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DieseArbeitsmappe" defaultThemeVersion="124226"/>
  <mc:AlternateContent xmlns:mc="http://schemas.openxmlformats.org/markup-compatibility/2006">
    <mc:Choice Requires="x15">
      <x15ac:absPath xmlns:x15ac="http://schemas.microsoft.com/office/spreadsheetml/2010/11/ac" url="https://naturvardsverket.sharepoint.com/sites/ETSochCBAM/Delade dokument/03. Stationära anläggningar (ETS 1)/3. Tilldelning/Hemsidan/Publicerat/Publicerade dokument/"/>
    </mc:Choice>
  </mc:AlternateContent>
  <xr:revisionPtr revIDLastSave="0" documentId="8_{FA3FC0FD-E670-49C4-82FC-356EEB72A29F}" xr6:coauthVersionLast="47" xr6:coauthVersionMax="47" xr10:uidLastSave="{00000000-0000-0000-0000-000000000000}"/>
  <bookViews>
    <workbookView xWindow="-110" yWindow="-110" windowWidth="19420" windowHeight="10300" firstSheet="5" activeTab="5" xr2:uid="{F0E0445A-60EA-463A-AFB2-1EBAE17BC5D4}"/>
  </bookViews>
  <sheets>
    <sheet name="a_Contents" sheetId="9" r:id="rId1"/>
    <sheet name="b_Guidelines &amp; conditions" sheetId="10" r:id="rId2"/>
    <sheet name="c_NIMsSummary" sheetId="64" r:id="rId3"/>
    <sheet name="A_InstallationData" sheetId="43" r:id="rId4"/>
    <sheet name="B+C_SubInstallations" sheetId="62" r:id="rId5"/>
    <sheet name="D_Emissions" sheetId="49" r:id="rId6"/>
    <sheet name="E_EnergyFlows" sheetId="41" r:id="rId7"/>
    <sheet name="F_ProductBM" sheetId="37" r:id="rId8"/>
    <sheet name="G_Fall-back" sheetId="42" r:id="rId9"/>
    <sheet name="H_SpecialBM" sheetId="47" r:id="rId10"/>
    <sheet name="I_MSspecific" sheetId="53" r:id="rId11"/>
    <sheet name="J_Comments" sheetId="51" r:id="rId12"/>
    <sheet name="K_Summary" sheetId="50" r:id="rId13"/>
    <sheet name="EUwideConstants" sheetId="34" state="hidden" r:id="rId14"/>
    <sheet name="MSParameters" sheetId="38" state="hidden" r:id="rId15"/>
    <sheet name="Translations" sheetId="33" r:id="rId16"/>
    <sheet name="VersionDocumentation" sheetId="25" state="hidden" r:id="rId17"/>
  </sheets>
  <externalReferences>
    <externalReference r:id="rId18"/>
  </externalReferences>
  <definedNames>
    <definedName name="_xlnm._FilterDatabase" localSheetId="6" hidden="1">E_EnergyFlows!$C$6:$N$6</definedName>
    <definedName name="_xlnm._FilterDatabase" localSheetId="13" hidden="1">EUwideConstants!$A$1:$AF$311</definedName>
    <definedName name="_xlnm._FilterDatabase" localSheetId="15" hidden="1">Translations!$A$1:$C$1611</definedName>
    <definedName name="CNTR_AnnexIActivities">A_InstallationData!$Q$227:$Q$232</definedName>
    <definedName name="CNTR_ApplyLinF" localSheetId="2">c_NIMsSummary!$I$59</definedName>
    <definedName name="CNTR_ApplyLinF">K_Summary!$I$52</definedName>
    <definedName name="CNTR_Cessation">A_InstallationData!$R$21</definedName>
    <definedName name="CNTR_ConfirmationOK">K_Summary!$P$54</definedName>
    <definedName name="CNTR_ConnectionEntityList">A_InstallationData!$H$426:$H$435</definedName>
    <definedName name="CNTR_ConnectionEntityListCITL_IDs">A_InstallationData!$J$426:$J$435</definedName>
    <definedName name="CNTR_ConnectionEntityListTypes">A_InstallationData!$K$426:$K$435</definedName>
    <definedName name="CNTR_ConnectionListAndWithinInst">A_InstallationData!$H$425:$H$435</definedName>
    <definedName name="CNTR_Eligible10a" localSheetId="2">c_NIMsSummary!$M$64</definedName>
    <definedName name="CNTR_Eligible10a">K_Summary!$M$57</definedName>
    <definedName name="CNTR_ExistConnectionEntries">A_InstallationData!$G$438</definedName>
    <definedName name="CNTR_ExistProductSubEntries">'B+C_SubInstallations'!$J$174</definedName>
    <definedName name="CNTR_ExistSubInstEntries">'B+C_SubInstallations'!$G$174</definedName>
    <definedName name="CNTR_FallBackSubInstRelevant">'B+C_SubInstallations'!$T$57:$T$63</definedName>
    <definedName name="CNTR_HasEntries_A_I">A_InstallationData!$G$420</definedName>
    <definedName name="CNTR_HasErrors_A">A_InstallationData!$G$450</definedName>
    <definedName name="CNTR_Incumbent">A_InstallationData!$R$14</definedName>
    <definedName name="CNTR_NACEInstallation">A_InstallationData!$L$242</definedName>
    <definedName name="CNTR_OnlyCombustion">K_Summary!$R$22</definedName>
    <definedName name="CNTR_ProdElec">E_EnergyFlows!$M$358</definedName>
    <definedName name="CNTR_ReportingYear">A_InstallationData!$V$11</definedName>
    <definedName name="CNTR_SubInstCessationDate">'B+C_SubInstallations'!$K$155:$K$171</definedName>
    <definedName name="CNTR_SubInstListBMnumbers">'B+C_SubInstallations'!$I$155:$I$171</definedName>
    <definedName name="CNTR_SubInstListHALUnit">'B+C_SubInstallations'!$N$155:$N$171</definedName>
    <definedName name="CNTR_SubInstListIsProdBM">'B+C_SubInstallations'!$H$155:$H$171</definedName>
    <definedName name="CNTR_SubInstListNames">'B+C_SubInstallations'!$F$155:$F$171</definedName>
    <definedName name="CNTR_SubInstStartDate">'B+C_SubInstallations'!$J$155:$J$171</definedName>
    <definedName name="CNTR_SubPeriod">A_InstallationData!$R$11</definedName>
    <definedName name="CNTR_TemplateVersion">a_Contents!$G$57</definedName>
    <definedName name="CNTR_UniqueID">A_InstallationData!$J$61</definedName>
    <definedName name="CTRL_InputMethodFuelDistribution">E_EnergyFlows!$Q$18</definedName>
    <definedName name="CTRL_InputMethodHeatSubInstSplit">E_EnergyFlows!$Q$230</definedName>
    <definedName name="CTRL_InputMethodNIMsvalues">A_InstallationData!$Q$31</definedName>
    <definedName name="EUconst_AbsRel">EUwideConstants!$B$9:$C$9</definedName>
    <definedName name="EUconst_AllocInitial">EUwideConstants!$B$108</definedName>
    <definedName name="EUconst_AllocPrelim">EUwideConstants!$B$109</definedName>
    <definedName name="EUconst_Allowances">EUwideConstants!$B$70</definedName>
    <definedName name="EUconst_AllYears">EUwideConstants!$B$5:$L$5</definedName>
    <definedName name="EUconst_AnnexIActivities">EUwideConstants!$B$218:$B$245</definedName>
    <definedName name="EUconst_BaselinePeriods">EUwideConstants!$B$6:$C$6</definedName>
    <definedName name="EUconst_BM">EUwideConstants!$B$16</definedName>
    <definedName name="EUconst_BM_ARR_Range">EUwideConstants!$B$57:$C$57</definedName>
    <definedName name="EUconst_BMlist107">EUwideConstants!$E$305:$E$307</definedName>
    <definedName name="EUconst_BMlistARR">EUwideConstants!$P$249:$P$300</definedName>
    <definedName name="EUconst_BMlistBMARRvaluesMatrix">EUwideConstants!$N$249:$P$300</definedName>
    <definedName name="EUconst_BMlistBMmaxvalues">EUwideConstants!$Q$249:$Q$300</definedName>
    <definedName name="EUconst_BMlistBMminvalues">EUwideConstants!$R$249:$R$300</definedName>
    <definedName name="EUconst_BMlistBMvalues">EUwideConstants!$S$249:$S$300</definedName>
    <definedName name="EUconst_BMlistBMvaluesMatrix">EUwideConstants!$Q$249:$S$300</definedName>
    <definedName name="EUconst_BMlistCLstatus">EUwideConstants!$G$249:$G$300</definedName>
    <definedName name="EUconst_BMlistElExchangability">EUwideConstants!$H$249:$H$300</definedName>
    <definedName name="EUconst_BMlistMatrix">EUwideConstants!$E$249:$H$300</definedName>
    <definedName name="EUconst_BMlistNames">EUwideConstants!$E$249:$E$300</definedName>
    <definedName name="EUconst_BMlistNotCWT">EUwideConstants!$K$249:$K$300</definedName>
    <definedName name="EUconst_BMlistNumberOfActivity">EUwideConstants!$B$249:$B$300</definedName>
    <definedName name="EUconst_BMlistNumberOfBM">EUwideConstants!$C$249:$C$300</definedName>
    <definedName name="EUconst_BMlistPulp">EUwideConstants!$L$249:$L$300</definedName>
    <definedName name="EUconst_BMlistSpecialJumpTable">EUwideConstants!$J$249:$J$300</definedName>
    <definedName name="EUconst_BMlistSpecialReporting">EUwideConstants!$I$249:$I$300</definedName>
    <definedName name="EUconst_BMlistUnits">EUwideConstants!$F$249:$F$300</definedName>
    <definedName name="EUconst_BMSubinst">EUwideConstants!$B$17</definedName>
    <definedName name="EUconst_CessationReason">EUwideConstants!$B$197:$C$197</definedName>
    <definedName name="EUconst_CLEFDistrict">EUwideConstants!$B$186:$K$186</definedName>
    <definedName name="EUconst_CLEFYears">EUwideConstants!$B$185:$K$185</definedName>
    <definedName name="EUconst_CLnonCL">EUwideConstants!$B$61:$C$61</definedName>
    <definedName name="EUconst_CNTR_100EUA_ActivityLevel">EUwideConstants!$B$189</definedName>
    <definedName name="EUconst_CNTR_100EUA_ElExch">EUwideConstants!$B$190</definedName>
    <definedName name="EUconst_CNTR_100EUA_HEAT">EUwideConstants!$B$191</definedName>
    <definedName name="EUconst_CNTR_100EUA_HVC">EUwideConstants!$B$193</definedName>
    <definedName name="EUconst_CNTR_100EUA_VCM">EUwideConstants!$B$194</definedName>
    <definedName name="EUconst_CNTR_100EUA_WGFlare">EUwideConstants!$B$192</definedName>
    <definedName name="EUconst_CNTR_AttributedEmissions">EUwideConstants!$B$169</definedName>
    <definedName name="EUconst_CNTR_CARejection">EUwideConstants!$B$195</definedName>
    <definedName name="EUconst_CNTR_CARejectionRelevant">EUwideConstants!$B$196</definedName>
    <definedName name="EUconst_CNTR_CO2Feedstock">EUwideConstants!$B$180</definedName>
    <definedName name="EUconst_CNTR_ElectricityExported">EUwideConstants!$B$168</definedName>
    <definedName name="EUconst_CNTR_ELEXCH">EUwideConstants!$B$88</definedName>
    <definedName name="EUconst_CNTR_ELEXCHfinal">EUwideConstants!$B$90</definedName>
    <definedName name="EUconst_CNTR_ELEXCHInitial">EUwideConstants!$B$87</definedName>
    <definedName name="EUconst_CNTR_ELEXCHprelim">EUwideConstants!$B$89</definedName>
    <definedName name="EUconst_CNTR_Emissions">EUwideConstants!$B$170</definedName>
    <definedName name="EUconst_CNTR_EmissionsIntSource1">EUwideConstants!$B$176</definedName>
    <definedName name="EUconst_CNTR_EmissionsIntSource2">EUwideConstants!$B$177</definedName>
    <definedName name="EUconst_CNTR_EnEff">EUwideConstants!$B$105</definedName>
    <definedName name="EUconst_CNTR_EnEffInitial">EUwideConstants!$B$104</definedName>
    <definedName name="EUconst_CNTR_EnEffPct">EUwideConstants!$B$106</definedName>
    <definedName name="EUconst_CNTR_FuelEF">EUwideConstants!$B$150</definedName>
    <definedName name="EUconst_CNTR_FuelInput">EUwideConstants!$B$149</definedName>
    <definedName name="EUconst_CNTR_HAL">EUwideConstants!$B$82</definedName>
    <definedName name="EUconst_CNTR_HALAdjPct">EUwideConstants!$B$86</definedName>
    <definedName name="EUconst_CNTR_HALfinal">EUwideConstants!$B$84</definedName>
    <definedName name="EUconst_CNTR_HALinitial">EUwideConstants!$B$81</definedName>
    <definedName name="EUconst_CNTR_HALprelim">EUwideConstants!$B$83</definedName>
    <definedName name="EUconst_CNTR_HALPulpTotal">EUwideConstants!$B$181</definedName>
    <definedName name="EUconst_CNTR_HALspecial">EUwideConstants!$B$85</definedName>
    <definedName name="EUconst_CNTR_HEAT">EUwideConstants!$B$92</definedName>
    <definedName name="EUconst_CNTR_HeatExport">EUwideConstants!$B$152</definedName>
    <definedName name="EUconst_CNTR_HeatExportEF">EUwideConstants!$B$153</definedName>
    <definedName name="EUconst_CNTR_HEATfinal">EUwideConstants!$B$94</definedName>
    <definedName name="EUconst_CNTR_HeatImport">EUwideConstants!$B$164</definedName>
    <definedName name="EUconst_CNTR_HeatImportEF">EUwideConstants!$B$165</definedName>
    <definedName name="EUconst_CNTR_HeatImportFuel">EUwideConstants!$B$174</definedName>
    <definedName name="EUconst_CNTR_HeatImportFuelEF">EUwideConstants!$B$175</definedName>
    <definedName name="EUconst_CNTR_HeatImportNitric">EUwideConstants!$B$167</definedName>
    <definedName name="EUconst_CNTR_HeatImportProduct">EUwideConstants!$B$171</definedName>
    <definedName name="EUconst_CNTR_HeatImportProductEF">EUwideConstants!$B$172</definedName>
    <definedName name="EUconst_CNTR_HeatImportPulp">EUwideConstants!$B$166</definedName>
    <definedName name="EUconst_CNTR_HeatImportPulpEF">EUwideConstants!$B$173</definedName>
    <definedName name="EUconst_CNTR_HEATInitial">EUwideConstants!$B$91</definedName>
    <definedName name="EUconst_CNTR_HEATprelim">EUwideConstants!$B$93</definedName>
    <definedName name="EUconst_CNTR_HeatProduced">EUwideConstants!$B$151</definedName>
    <definedName name="EUconst_CNTR_HVC">EUwideConstants!$B$100</definedName>
    <definedName name="EUconst_CNTR_HVCfinal">EUwideConstants!$B$102</definedName>
    <definedName name="EUconst_CNTR_HVCInitial">EUwideConstants!$B$99</definedName>
    <definedName name="EUconst_CNTR_HVCprelim">EUwideConstants!$B$101</definedName>
    <definedName name="EUconst_CNTR_IntermediateExport">EUwideConstants!$B$179</definedName>
    <definedName name="EUconst_CNTR_IntermediateImport">EUwideConstants!$B$178</definedName>
    <definedName name="EUconst_CNTR_NIMsValue">EUwideConstants!$B$80</definedName>
    <definedName name="EUconst_CNTR_nonETSMeasHeat">EUwideConstants!$B$116</definedName>
    <definedName name="EUconst_CNTR_RelThreshold">EUwideConstants!$B$188</definedName>
    <definedName name="EUconst_CNTR_VCM">EUwideConstants!$B$96</definedName>
    <definedName name="EUconst_CNTR_VCMfinal">EUwideConstants!$B$98</definedName>
    <definedName name="EUconst_CNTR_VCMInitial">EUwideConstants!$B$95</definedName>
    <definedName name="EUconst_CNTR_VCMprelim">EUwideConstants!$B$97</definedName>
    <definedName name="EUconst_CNTR_WGConsumed">EUwideConstants!$B$156</definedName>
    <definedName name="EUconst_CNTR_WGConsumedEF">EUwideConstants!$B$157</definedName>
    <definedName name="EUconst_CNTR_WGExport">EUwideConstants!$B$162</definedName>
    <definedName name="EUconst_CNTR_WGExportEF">EUwideConstants!$B$163</definedName>
    <definedName name="EUconst_CNTR_WGFlared">EUwideConstants!$B$158</definedName>
    <definedName name="EUconst_CNTR_WGFlaredEF">EUwideConstants!$B$159</definedName>
    <definedName name="EUconst_CNTR_WGImport">EUwideConstants!$B$160</definedName>
    <definedName name="EUconst_CNTR_WGImportEF">EUwideConstants!$B$161</definedName>
    <definedName name="EUconst_CNTR_WGProduced">EUwideConstants!$B$154</definedName>
    <definedName name="EUconst_CNTR_WGProducedEF">EUwideConstants!$B$155</definedName>
    <definedName name="EUconst_CombustionActivity">EUwideConstants!$B$218</definedName>
    <definedName name="EUconst_ConfirmAllowUseOfData">EUwideConstants!$B$73</definedName>
    <definedName name="EUconst_ConfirmApplicationForAlloc">EUwideConstants!$B$72:$B$72</definedName>
    <definedName name="EUconst_ConfirmationNotEligible">EUwideConstants!$B$71:$B$71</definedName>
    <definedName name="EUconst_ConnectedEntityTypes">EUwideConstants!$B$46:$E$46</definedName>
    <definedName name="EUconst_ConnectionShortTypes">EUwideConstants!$B$48:$E$48</definedName>
    <definedName name="EUconst_ConnectionTransferTypes">EUwideConstants!$B$49:$C$49</definedName>
    <definedName name="EUconst_ConnectionTypes">EUwideConstants!$B$47:$E$47</definedName>
    <definedName name="EUconst_CWTpa">EUwideConstants!$B$69</definedName>
    <definedName name="EUconst_DateMissing">EUwideConstants!$B$114</definedName>
    <definedName name="EUconst_ElBM">EUwideConstants!$B$55</definedName>
    <definedName name="EUconst_ERR_ActivityMissing">EUwideConstants!$B$143</definedName>
    <definedName name="EUconst_ERR_AttrEmBMapplied">EUwideConstants!$B$131</definedName>
    <definedName name="EUconst_ERR_CADecision">EUwideConstants!$B$132</definedName>
    <definedName name="EUconst_ERR_DatesSorting">EUwideConstants!$B$142</definedName>
    <definedName name="EUconst_ERR_DoubleBMentry">EUwideConstants!$B$123</definedName>
    <definedName name="EUconst_ERR_Goto_DI2">EUwideConstants!$B$128</definedName>
    <definedName name="EUconst_ERR_LinkToNIMs">EUwideConstants!$B$133</definedName>
    <definedName name="EUconst_ERR_Mandatory_abd">EUwideConstants!$B$120</definedName>
    <definedName name="EUconst_ERR_Mandatory_Bbc">EUwideConstants!$B$126</definedName>
    <definedName name="EUconst_ERR_Mandatory_ef">EUwideConstants!$B$121</definedName>
    <definedName name="EUconst_ERR_Mandatory_g">EUwideConstants!$B$122</definedName>
    <definedName name="EUconst_ERR_MandatoryDII3a">EUwideConstants!$B$130</definedName>
    <definedName name="EUconst_ERR_MandatoryEII4">EUwideConstants!$B$129</definedName>
    <definedName name="EUconst_ERR_MissingFallBackEntry">EUwideConstants!$B$125</definedName>
    <definedName name="EUconst_ERR_MissingSubInstEntry">EUwideConstants!$B$124</definedName>
    <definedName name="EUconst_ERR_StartWithFuels">EUwideConstants!$B$127</definedName>
    <definedName name="EUconst_Error">EUwideConstants!$B$107</definedName>
    <definedName name="EUconst_EUA">EUwideConstants!$B$12</definedName>
    <definedName name="EUconst_EUApa">EUwideConstants!$B$31</definedName>
    <definedName name="EUconst_EUApt">EUwideConstants!$B$32</definedName>
    <definedName name="EUconst_FallBackARR">EUwideConstants!$P$304:$P$310</definedName>
    <definedName name="EUconst_FallBackListBMARRvaluesMatrix">EUwideConstants!$N$304:$P$310</definedName>
    <definedName name="EUconst_FallBackListBMvalues">EUwideConstants!$S$304:$S$310</definedName>
    <definedName name="EUconst_FallBackListBMvaluesMatrix">EUwideConstants!$Q$304:$S$310</definedName>
    <definedName name="EUconst_FallBackListCLstatus">EUwideConstants!$G$304:$G$310</definedName>
    <definedName name="EUconst_FallBackListMatrix">EUwideConstants!$E$304:$H$310</definedName>
    <definedName name="EUconst_FallbackListMissing">EUwideConstants!$I$304:$I$310</definedName>
    <definedName name="EUconst_FallBackListNames">EUwideConstants!$E$304:$E$310</definedName>
    <definedName name="EUconst_FallBackListNumber">EUwideConstants!$C$304:$C$310</definedName>
    <definedName name="EUconst_FallBackListUnits">EUwideConstants!$F$304:$F$310</definedName>
    <definedName name="Euconst_FallBackSub">EUwideConstants!$B$199</definedName>
    <definedName name="EUconst_FBSubinst">EUwideConstants!$B$18</definedName>
    <definedName name="EUconst_Fuel">EUwideConstants!$B$15</definedName>
    <definedName name="EUconst_FuelBMvalue">EUwideConstants!$B$56</definedName>
    <definedName name="EUconst_FuelUseTypes">EUwideConstants!$B$52:$E$52</definedName>
    <definedName name="EUconst_GJ">EUwideConstants!$B$22</definedName>
    <definedName name="EUconst_GJpa">EUwideConstants!$B$34</definedName>
    <definedName name="EUconst_GJperTorKNm3">EUwideConstants!$B$64:$C$64</definedName>
    <definedName name="EUconst_GJperUnit">EUwideConstants!$B$67</definedName>
    <definedName name="EUconst_GJpt">EUwideConstants!$B$33</definedName>
    <definedName name="EUconst_HALsum">EUwideConstants!$B$103</definedName>
    <definedName name="EUconst_HeatBMvalue">EUwideConstants!$B$54</definedName>
    <definedName name="EUconst_HeatUseTypes">EUwideConstants!$B$51:$F$51</definedName>
    <definedName name="EUconst_Incomplete">EUwideConstants!$B$110</definedName>
    <definedName name="EUconst_Inconsistent">EUwideConstants!$B$112</definedName>
    <definedName name="EUconst_kNm3pa">EUwideConstants!$B$62</definedName>
    <definedName name="EUconst_LinkManual">EUwideConstants!$B$10:$C$10</definedName>
    <definedName name="EUconst_MinOrMaxOrActual">EUwideConstants!$B$187:$D$187</definedName>
    <definedName name="EUconst_MNm3pa">EUwideConstants!$B$68</definedName>
    <definedName name="EUconst_Month">EUwideConstants!$B$14</definedName>
    <definedName name="EUconst_MsgAttrEm">EUwideConstants!$B$135</definedName>
    <definedName name="EUconst_MsgBackToSheetF">EUwideConstants!$B$146</definedName>
    <definedName name="EUconst_MsgEnterThisSection">EUwideConstants!$B$144</definedName>
    <definedName name="EUconst_MsgGoOn">EUwideConstants!$B$138</definedName>
    <definedName name="EUconst_MsgGoOn_cd">EUwideConstants!$B$147</definedName>
    <definedName name="EUconst_MsgGoOn_d">EUwideConstants!$B$140</definedName>
    <definedName name="EUconst_MsgGoOn_e">EUwideConstants!$B$148</definedName>
    <definedName name="EUconst_MsgGoOnIfNotRelevant">EUwideConstants!$B$141</definedName>
    <definedName name="EUconst_MsgGoToNextSubInst">EUwideConstants!$B$145</definedName>
    <definedName name="EUconst_MsgProceedEII2">EUwideConstants!$B$137</definedName>
    <definedName name="EUconst_MsgProceedF">EUwideConstants!$B$136</definedName>
    <definedName name="EUconst_MsgSeeFirst">EUwideConstants!$B$134</definedName>
    <definedName name="EUconst_MsgUseElExchTool">EUwideConstants!$B$139</definedName>
    <definedName name="EUconst_MSlist">EUwideConstants!$B$117:$AF$117</definedName>
    <definedName name="EUconst_MSlistEUTLcodes">EUwideConstants!$B$119:$AF$119</definedName>
    <definedName name="EUconst_MSlistISOcodes">EUwideConstants!$B$118:$AF$118</definedName>
    <definedName name="EUconst_MWh">EUwideConstants!$B$27</definedName>
    <definedName name="EUconst_MWhpa">EUwideConstants!$B$28</definedName>
    <definedName name="EUconst_NA">EUwideConstants!$B$11</definedName>
    <definedName name="EUconst_Negative">EUwideConstants!$B$111</definedName>
    <definedName name="EUconst_NGEFvalue">EUwideConstants!$B$183</definedName>
    <definedName name="EUconst_NotEligible">EUwideConstants!$B$115</definedName>
    <definedName name="EUconst_NotRelevant">EUwideConstants!$B$59</definedName>
    <definedName name="EUconst_OK">EUwideConstants!$B$113</definedName>
    <definedName name="EUconst_Or">EUwideConstants!$B$42</definedName>
    <definedName name="EUconst_ProcessEmissionTypes">EUwideConstants!$B$53:$J$53</definedName>
    <definedName name="Euconst_ProdBMSub">EUwideConstants!$B$198</definedName>
    <definedName name="EUconst_Relevant">EUwideConstants!$B$58</definedName>
    <definedName name="EUconst_RelevantNotRelevant">EUwideConstants!$B$60:$C$60</definedName>
    <definedName name="EUconst_relOrMWhpa">EUwideConstants!$B$44</definedName>
    <definedName name="EUconst_relOrtCO2pa">EUwideConstants!$B$45</definedName>
    <definedName name="EUconst_relOrTJpa">EUwideConstants!$B$43</definedName>
    <definedName name="EUconst_ReportingYears">EUwideConstants!$B$3:$F$3</definedName>
    <definedName name="EUconst_ReportingYears2">EUwideConstants!$B$4:$F$4</definedName>
    <definedName name="EUconst_StatusOfDataCollection">EUwideConstants!$B$2</definedName>
    <definedName name="EUconst_SumBioCO2">EUwideConstants!$B$76</definedName>
    <definedName name="EUconst_SumCO2">EUwideConstants!$B$74</definedName>
    <definedName name="EUconst_SumEnergyIN">EUwideConstants!$B$77</definedName>
    <definedName name="EUconst_SumN2O">EUwideConstants!$B$78</definedName>
    <definedName name="EUconst_SumPFC">EUwideConstants!$B$79</definedName>
    <definedName name="EUconst_SumTransferCO2">EUwideConstants!$B$75</definedName>
    <definedName name="EUconst_t">EUwideConstants!$B$29</definedName>
    <definedName name="EUconst_tCO2">EUwideConstants!$B$24</definedName>
    <definedName name="EUconst_tCO2e">EUwideConstants!$B$23</definedName>
    <definedName name="EUconst_tCO2epa">EUwideConstants!$B$40</definedName>
    <definedName name="EUconst_tCO2ept">EUwideConstants!$B$41</definedName>
    <definedName name="EUconst_tCO2eptN2O">EUwideConstants!$B$39</definedName>
    <definedName name="EUconst_tCO2pa">EUwideConstants!$B$36</definedName>
    <definedName name="EUconst_tCO2pkNm3">EUwideConstants!$B$66</definedName>
    <definedName name="EUconst_tCO2pMWh">EUwideConstants!$B$182</definedName>
    <definedName name="EUconst_tCO2pt">EUwideConstants!$B$37</definedName>
    <definedName name="EUconst_tCO2pTJ">EUwideConstants!$B$35</definedName>
    <definedName name="EUconst_tCO2pTJorT">EUwideConstants!$B$65:$D$65</definedName>
    <definedName name="EUconst_TJ">EUwideConstants!$B$21</definedName>
    <definedName name="EUconst_TJpa">EUwideConstants!$B$26</definedName>
    <definedName name="EUconst_tN2O">EUwideConstants!$B$25</definedName>
    <definedName name="EUconst_tN2Opa">EUwideConstants!$B$38</definedName>
    <definedName name="EUconst_TonnesOrkNm3pa">EUwideConstants!$B$63:$C$63</definedName>
    <definedName name="EUconst_Tons">EUwideConstants!$B$20</definedName>
    <definedName name="EUconst_tpa">EUwideConstants!$B$30</definedName>
    <definedName name="Euconst_TrueFalse">EUwideConstants!$B$7:$C$7</definedName>
    <definedName name="Euconst_TrueFalseNA">EUwideConstants!$B$8:$D$8</definedName>
    <definedName name="EUconst_Unit">EUwideConstants!$B$13</definedName>
    <definedName name="EUconst_WasteGasCorrFactor">EUwideConstants!$B$184</definedName>
    <definedName name="EUconst_WithinInst">EUwideConstants!$B$50</definedName>
    <definedName name="EUconst_Year">EUwideConstants!$B$19</definedName>
    <definedName name="JUMP_A_Bottom">A_InstallationData!$D$407</definedName>
    <definedName name="JUMP_A_I">A_InstallationData!$D$9</definedName>
    <definedName name="JUMP_A_I1">A_InstallationData!$C$49</definedName>
    <definedName name="JUMP_A_I2">A_InstallationData!$C$163</definedName>
    <definedName name="JUMP_A_I3">A_InstallationData!$C$188</definedName>
    <definedName name="JUMP_A_I4">A_InstallationData!$C$209</definedName>
    <definedName name="JUMP_A_II">A_InstallationData!$D$25</definedName>
    <definedName name="JUMP_A_II1">A_InstallationData!$C$252</definedName>
    <definedName name="JUMP_A_II2">A_InstallationData!$C$10</definedName>
    <definedName name="JUMP_A_III">A_InstallationData!$D$47</definedName>
    <definedName name="JUMP_A_IV">A_InstallationData!$D$250</definedName>
    <definedName name="JUMP_A_IV1">A_InstallationData!$C$302</definedName>
    <definedName name="JUMP_A_V">A_InstallationData!$D$300</definedName>
    <definedName name="JUMP_B_Bottom">'B+C_SubInstallations'!$D$149</definedName>
    <definedName name="JUMP_B_I">'B+C_SubInstallations'!$C$8</definedName>
    <definedName name="JUMP_B_I1">'B+C_SubInstallations'!$C$10</definedName>
    <definedName name="JUMP_B_II" localSheetId="4">'B+C_SubInstallations'!$D$68:$N$68</definedName>
    <definedName name="JUMP_Coverpage_Bottom">a_Contents!$C$71</definedName>
    <definedName name="JUMP_Coverpage_Top">a_Contents!$B$5</definedName>
    <definedName name="JUMP_D_Bottom">D_Emissions!$D$269</definedName>
    <definedName name="JUMP_D_I">D_Emissions!$D$8</definedName>
    <definedName name="JUMP_D_II">D_Emissions!$D$30</definedName>
    <definedName name="JUMP_D_III">D_Emissions!$D$43</definedName>
    <definedName name="JUMP_D_III2">D_Emissions!$C$109</definedName>
    <definedName name="JUMP_D_IV">D_Emissions!$D$154</definedName>
    <definedName name="JUMP_D_IV2">D_Emissions!$C$222</definedName>
    <definedName name="JUMP_D_Top">D_Emissions!$C$6</definedName>
    <definedName name="JUMP_E_Bottom">E_EnergyFlows!$D$384</definedName>
    <definedName name="JUMP_E_HeatFinal">E_EnergyFlows!$E$234</definedName>
    <definedName name="JUMP_E_I">E_EnergyFlows!$D$8</definedName>
    <definedName name="JUMP_E_II">E_EnergyFlows!$D$61</definedName>
    <definedName name="JUMP_E_II_2">E_EnergyFlows!$C$63</definedName>
    <definedName name="JUMP_E_III">E_EnergyFlows!$D$248</definedName>
    <definedName name="JUMP_E_IV">E_EnergyFlows!$D$354</definedName>
    <definedName name="JUMP_E_Top">E_EnergyFlows!$C$6</definedName>
    <definedName name="JUMP_F_Bottom">F_ProductBM!$D$3034</definedName>
    <definedName name="JUMP_F_I">F_ProductBM!$D$11</definedName>
    <definedName name="JUMP_F_Top">F_ProductBM!$C$7</definedName>
    <definedName name="JUMP_F1">F_ProductBM!$C$13</definedName>
    <definedName name="JUMP_F10">F_ProductBM!$C$2731</definedName>
    <definedName name="JUMP_F2">F_ProductBM!$C$315</definedName>
    <definedName name="JUMP_F3">F_ProductBM!$C$617</definedName>
    <definedName name="JUMP_F4">F_ProductBM!$C$919</definedName>
    <definedName name="JUMP_F5">F_ProductBM!$C$1221</definedName>
    <definedName name="JUMP_F6">F_ProductBM!$C$1523</definedName>
    <definedName name="JUMP_F7">F_ProductBM!$C$1825</definedName>
    <definedName name="JUMP_F8">F_ProductBM!$C$2127</definedName>
    <definedName name="JUMP_F9">F_ProductBM!$C$2429</definedName>
    <definedName name="JUMP_G_Bottom">'G_Fall-back'!$D$942</definedName>
    <definedName name="JUMP_G_I">'G_Fall-back'!$D$10</definedName>
    <definedName name="JUMP_G_Top">'G_Fall-back'!$C$6</definedName>
    <definedName name="JUMP_G1">'G_Fall-back'!$C$12</definedName>
    <definedName name="JUMP_G2">'G_Fall-back'!$C$209</definedName>
    <definedName name="JUMP_G3">'G_Fall-back'!$C$406</definedName>
    <definedName name="JUMP_G4">'G_Fall-back'!$C$529</definedName>
    <definedName name="JUMP_G5">'G_Fall-back'!$C$676</definedName>
    <definedName name="JUMP_G6">'G_Fall-back'!$C$823</definedName>
    <definedName name="JUMP_G7">'G_Fall-back'!$C$883</definedName>
    <definedName name="JUMP_Guidelines_Bottom">'b_Guidelines &amp; conditions'!$B$97</definedName>
    <definedName name="JUMP_Guidelines_Home">'b_Guidelines &amp; conditions'!$B$7</definedName>
    <definedName name="JUMP_H_Bottom">H_SpecialBM!$D$412</definedName>
    <definedName name="JUMP_H_I">H_SpecialBM!$D$9</definedName>
    <definedName name="JUMP_H_II">H_SpecialBM!$D$99</definedName>
    <definedName name="JUMP_H_III">H_SpecialBM!$D$133</definedName>
    <definedName name="JUMP_H_IV">H_SpecialBM!$D$167</definedName>
    <definedName name="JUMP_H_IX">H_SpecialBM!$D$369</definedName>
    <definedName name="JUMP_H_Top">H_SpecialBM!$C$7</definedName>
    <definedName name="JUMP_H_V">H_SpecialBM!$D$234</definedName>
    <definedName name="JUMP_H_VI">H_SpecialBM!$D$274</definedName>
    <definedName name="JUMP_H_VII">H_SpecialBM!$D$307</definedName>
    <definedName name="JUMP_H_VIII">H_SpecialBM!$D$340</definedName>
    <definedName name="JUMP_I_Bottom">I_MSspecific!$C$30</definedName>
    <definedName name="JUMP_I_MSspecific">I_MSspecific!$C$7</definedName>
    <definedName name="JUMP_I_Top">I_MSspecific!$B$5</definedName>
    <definedName name="JUMP_J_I">J_Comments!$C$7</definedName>
    <definedName name="JUMP_J_II">J_Comments!$C$49</definedName>
    <definedName name="JUMP_J_Top">J_Comments!$B$5</definedName>
    <definedName name="JUMP_K_Bottom">K_Summary!$D$2588</definedName>
    <definedName name="JUMP_K_I" localSheetId="2">c_NIMsSummary!$D$18</definedName>
    <definedName name="JUMP_K_I">K_Summary!$D$8</definedName>
    <definedName name="JUMP_K_II" localSheetId="2">c_NIMsSummary!$C$53</definedName>
    <definedName name="JUMP_K_II">K_Summary!$C$47</definedName>
    <definedName name="JUMP_K_III" localSheetId="2">c_NIMsSummary!$C$69</definedName>
    <definedName name="JUMP_K_III">K_Summary!$C$59</definedName>
    <definedName name="JUMP_K_III2" localSheetId="2">c_NIMsSummary!$C$83</definedName>
    <definedName name="JUMP_K_III2">K_Summary!$C$73</definedName>
    <definedName name="JUMP_K_IV" localSheetId="2">c_NIMsSummary!$C$453</definedName>
    <definedName name="JUMP_K_IV">K_Summary!$C$450</definedName>
    <definedName name="JUMP_K_Top" localSheetId="2">c_NIMsSummary!$C$2</definedName>
    <definedName name="JUMP_K_Top">K_Summary!$C$6</definedName>
    <definedName name="JUMP_K_V" localSheetId="2">c_NIMsSummary!$C$1299</definedName>
    <definedName name="JUMP_K_V">K_Summary!$C$2502</definedName>
    <definedName name="JUMP_K_V_Disclaimer" localSheetId="2">c_NIMsSummary!$D$1315</definedName>
    <definedName name="JUMP_K_V_Disclaimer">K_Summary!$D$2509</definedName>
    <definedName name="JUMP_NIMsSummary">c_NIMsSummary!$D$3</definedName>
    <definedName name="JUMP_TOC_Home">a_Contents!$A$5</definedName>
    <definedName name="MSconst_RequireEmissionTotals">MSParameters!$B$3</definedName>
    <definedName name="MSconst_RequireEnEffDetails">MSParameters!$B$6</definedName>
    <definedName name="MSconst_RequireFuelEF">MSParameters!$B$5</definedName>
    <definedName name="MSconst_RequirePermitInfo">MSParameters!$B$2</definedName>
    <definedName name="MSconst_RequireSubAttrEmissions">MSParameters!$B$4</definedName>
    <definedName name="_xlnm.Print_Area" localSheetId="0">a_Contents!$A$4:$K$70</definedName>
    <definedName name="_xlnm.Print_Area" localSheetId="3">A_InstallationData!$C$5:$P$405</definedName>
    <definedName name="_xlnm.Print_Area" localSheetId="1">'b_Guidelines &amp; conditions'!$A$4:$J$96</definedName>
    <definedName name="_xlnm.Print_Area" localSheetId="4">'B+C_SubInstallations'!$C$5:$P$147</definedName>
    <definedName name="_xlnm.Print_Area" localSheetId="2">c_NIMsSummary!$C$2:$N$17</definedName>
    <definedName name="_xlnm.Print_Area" localSheetId="5">D_Emissions!$C$5:$P$268</definedName>
    <definedName name="_xlnm.Print_Area" localSheetId="6">E_EnergyFlows!$B$5:$P$383</definedName>
    <definedName name="_xlnm.Print_Area" localSheetId="7">INDIRECT(F_ProductBM!$S$2)</definedName>
    <definedName name="_xlnm.Print_Area" localSheetId="8">'G_Fall-back'!$B$5:$P$881</definedName>
    <definedName name="_xlnm.Print_Area" localSheetId="9">H_SpecialBM!$B$6:$P$411</definedName>
    <definedName name="_xlnm.Print_Area" localSheetId="10">I_MSspecific!$A$4:$L$29</definedName>
    <definedName name="_xlnm.Print_Area" localSheetId="11">J_Comments!$A$4:$L$61</definedName>
    <definedName name="_xlnm.Print_Area" localSheetId="12">K_Summary!$C$5:$N$2587</definedName>
    <definedName name="_xlnm.Print_Area" localSheetId="16">VersionDocumentation!$A$1:$C$86</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068" i="50" l="1"/>
  <c r="E2064" i="50"/>
  <c r="E2063" i="50"/>
  <c r="E2062" i="50"/>
  <c r="I2061" i="50"/>
  <c r="H2061" i="50"/>
  <c r="E2061" i="50"/>
  <c r="E2057" i="50"/>
  <c r="E2056" i="50"/>
  <c r="E2055" i="50"/>
  <c r="H2051" i="50"/>
  <c r="E2051" i="50"/>
  <c r="E2050" i="50"/>
  <c r="E2049" i="50"/>
  <c r="H2048" i="50"/>
  <c r="E2048" i="50"/>
  <c r="H2047" i="50"/>
  <c r="E2045" i="50"/>
  <c r="E2043" i="50"/>
  <c r="E2042" i="50"/>
  <c r="E2041" i="50"/>
  <c r="E2040" i="50"/>
  <c r="E2039" i="50"/>
  <c r="E2038" i="50"/>
  <c r="E2037" i="50"/>
  <c r="E2031" i="50"/>
  <c r="E2029" i="50"/>
  <c r="H2028" i="50"/>
  <c r="E2028" i="50"/>
  <c r="H2027" i="50"/>
  <c r="E2027" i="50"/>
  <c r="E2024" i="50"/>
  <c r="E2023" i="50"/>
  <c r="E2022" i="50"/>
  <c r="E2021" i="50"/>
  <c r="H2017" i="50"/>
  <c r="E2017" i="50"/>
  <c r="E2015" i="50"/>
  <c r="H2014" i="50"/>
  <c r="E2014" i="50"/>
  <c r="H2013" i="50"/>
  <c r="E2013" i="50"/>
  <c r="E2008" i="50"/>
  <c r="E2007" i="50"/>
  <c r="E2006" i="50"/>
  <c r="E2005" i="50"/>
  <c r="H2003" i="50"/>
  <c r="E2003" i="50"/>
  <c r="E2001" i="50"/>
  <c r="H2000" i="50"/>
  <c r="E2000" i="50"/>
  <c r="E1999" i="50"/>
  <c r="E1997" i="50"/>
  <c r="E1996" i="50"/>
  <c r="E1995" i="50"/>
  <c r="E1994" i="50"/>
  <c r="H1989" i="50"/>
  <c r="E1989" i="50"/>
  <c r="E1987" i="50"/>
  <c r="E1986" i="50"/>
  <c r="E1985" i="50"/>
  <c r="H1981" i="50"/>
  <c r="E1979" i="50"/>
  <c r="E1978" i="50"/>
  <c r="E1977" i="50"/>
  <c r="E1976" i="50"/>
  <c r="E1975" i="50"/>
  <c r="E1973" i="50"/>
  <c r="H1968" i="50"/>
  <c r="H1966" i="50"/>
  <c r="E1966" i="50"/>
  <c r="E1964" i="50"/>
  <c r="E1963" i="50"/>
  <c r="E1962" i="50"/>
  <c r="E1959" i="50"/>
  <c r="G1958" i="50"/>
  <c r="E1904" i="50"/>
  <c r="E1900" i="50"/>
  <c r="H1899" i="50"/>
  <c r="E1899" i="50"/>
  <c r="E1898" i="50"/>
  <c r="I1897" i="50"/>
  <c r="E1897" i="50"/>
  <c r="E1893" i="50"/>
  <c r="E1892" i="50"/>
  <c r="E1891" i="50"/>
  <c r="H1887" i="50"/>
  <c r="E1887" i="50"/>
  <c r="E1886" i="50"/>
  <c r="E1885" i="50"/>
  <c r="H1884" i="50"/>
  <c r="E1884" i="50"/>
  <c r="E1881" i="50"/>
  <c r="E1879" i="50"/>
  <c r="E1878" i="50"/>
  <c r="H1877" i="50"/>
  <c r="E1877" i="50"/>
  <c r="E1876" i="50"/>
  <c r="E1875" i="50"/>
  <c r="E1874" i="50"/>
  <c r="E1873" i="50"/>
  <c r="E1867" i="50"/>
  <c r="E1865" i="50"/>
  <c r="E1864" i="50"/>
  <c r="E1863" i="50"/>
  <c r="E1860" i="50"/>
  <c r="E1859" i="50"/>
  <c r="E1858" i="50"/>
  <c r="E1857" i="50"/>
  <c r="H1856" i="50"/>
  <c r="H1853" i="50"/>
  <c r="E1853" i="50"/>
  <c r="E1851" i="50"/>
  <c r="H1850" i="50"/>
  <c r="E1850" i="50"/>
  <c r="E1849" i="50"/>
  <c r="E1844" i="50"/>
  <c r="E1843" i="50"/>
  <c r="E1842" i="50"/>
  <c r="E1841" i="50"/>
  <c r="H1839" i="50"/>
  <c r="E1839" i="50"/>
  <c r="E1837" i="50"/>
  <c r="E1836" i="50"/>
  <c r="E1835" i="50"/>
  <c r="E1833" i="50"/>
  <c r="E1832" i="50"/>
  <c r="E1831" i="50"/>
  <c r="E1830" i="50"/>
  <c r="E1825" i="50"/>
  <c r="E1823" i="50"/>
  <c r="E1822" i="50"/>
  <c r="H1821" i="50"/>
  <c r="E1821" i="50"/>
  <c r="E1815" i="50"/>
  <c r="E1814" i="50"/>
  <c r="E1813" i="50"/>
  <c r="E1812" i="50"/>
  <c r="E1811" i="50"/>
  <c r="H1809" i="50"/>
  <c r="E1809" i="50"/>
  <c r="H1806" i="50"/>
  <c r="H1805" i="50"/>
  <c r="H1802" i="50"/>
  <c r="E1802" i="50"/>
  <c r="E1800" i="50"/>
  <c r="E1799" i="50"/>
  <c r="E1798" i="50"/>
  <c r="E1795" i="50"/>
  <c r="G1794" i="50"/>
  <c r="F1794" i="50"/>
  <c r="E1740" i="50"/>
  <c r="H1737" i="50"/>
  <c r="H1736" i="50"/>
  <c r="E1736" i="50"/>
  <c r="E1735" i="50"/>
  <c r="E1734" i="50"/>
  <c r="I1733" i="50"/>
  <c r="E1733" i="50"/>
  <c r="E1729" i="50"/>
  <c r="H1728" i="50"/>
  <c r="E1728" i="50"/>
  <c r="E1727" i="50"/>
  <c r="H1724" i="50"/>
  <c r="H1723" i="50"/>
  <c r="E1723" i="50"/>
  <c r="E1722" i="50"/>
  <c r="E1721" i="50"/>
  <c r="H1720" i="50"/>
  <c r="E1720" i="50"/>
  <c r="H1717" i="50"/>
  <c r="E1717" i="50"/>
  <c r="E1715" i="50"/>
  <c r="E1714" i="50"/>
  <c r="H1713" i="50"/>
  <c r="E1713" i="50"/>
  <c r="E1712" i="50"/>
  <c r="E1711" i="50"/>
  <c r="E1710" i="50"/>
  <c r="E1709" i="50"/>
  <c r="H1703" i="50"/>
  <c r="E1703" i="50"/>
  <c r="E1701" i="50"/>
  <c r="H1700" i="50"/>
  <c r="E1700" i="50"/>
  <c r="E1699" i="50"/>
  <c r="E1696" i="50"/>
  <c r="E1695" i="50"/>
  <c r="E1694" i="50"/>
  <c r="E1693" i="50"/>
  <c r="H1689" i="50"/>
  <c r="E1689" i="50"/>
  <c r="E1687" i="50"/>
  <c r="E1686" i="50"/>
  <c r="E1685" i="50"/>
  <c r="H1682" i="50"/>
  <c r="E1680" i="50"/>
  <c r="E1679" i="50"/>
  <c r="E1678" i="50"/>
  <c r="E1677" i="50"/>
  <c r="E1675" i="50"/>
  <c r="E1673" i="50"/>
  <c r="H1672" i="50"/>
  <c r="E1672" i="50"/>
  <c r="H1671" i="50"/>
  <c r="E1671" i="50"/>
  <c r="E1669" i="50"/>
  <c r="E1668" i="50"/>
  <c r="E1667" i="50"/>
  <c r="E1666" i="50"/>
  <c r="E1661" i="50"/>
  <c r="E1659" i="50"/>
  <c r="E1658" i="50"/>
  <c r="H1657" i="50"/>
  <c r="E1657" i="50"/>
  <c r="H1654" i="50"/>
  <c r="E1651" i="50"/>
  <c r="E1650" i="50"/>
  <c r="E1649" i="50"/>
  <c r="E1648" i="50"/>
  <c r="H1647" i="50"/>
  <c r="E1647" i="50"/>
  <c r="E1645" i="50"/>
  <c r="H1641" i="50"/>
  <c r="E1638" i="50"/>
  <c r="E1636" i="50"/>
  <c r="E1635" i="50"/>
  <c r="E1634" i="50"/>
  <c r="E1631" i="50"/>
  <c r="G1630" i="50"/>
  <c r="F1630" i="50"/>
  <c r="E1576" i="50"/>
  <c r="E1572" i="50"/>
  <c r="E1571" i="50"/>
  <c r="E1570" i="50"/>
  <c r="I1569" i="50"/>
  <c r="H1569" i="50"/>
  <c r="E1569" i="50"/>
  <c r="E1565" i="50"/>
  <c r="E1564" i="50"/>
  <c r="E1563" i="50"/>
  <c r="H1559" i="50"/>
  <c r="E1559" i="50"/>
  <c r="E1558" i="50"/>
  <c r="E1557" i="50"/>
  <c r="H1556" i="50"/>
  <c r="E1556" i="50"/>
  <c r="H1555" i="50"/>
  <c r="H1553" i="50"/>
  <c r="E1553" i="50"/>
  <c r="E1551" i="50"/>
  <c r="E1550" i="50"/>
  <c r="E1549" i="50"/>
  <c r="E1548" i="50"/>
  <c r="E1547" i="50"/>
  <c r="E1546" i="50"/>
  <c r="E1545" i="50"/>
  <c r="H1542" i="50"/>
  <c r="H1541" i="50"/>
  <c r="H1539" i="50"/>
  <c r="E1539" i="50"/>
  <c r="E1537" i="50"/>
  <c r="E1536" i="50"/>
  <c r="E1535" i="50"/>
  <c r="E1532" i="50"/>
  <c r="E1531" i="50"/>
  <c r="E1530" i="50"/>
  <c r="E1529" i="50"/>
  <c r="E1525" i="50"/>
  <c r="E1523" i="50"/>
  <c r="E1522" i="50"/>
  <c r="E1521" i="50"/>
  <c r="E1516" i="50"/>
  <c r="E1515" i="50"/>
  <c r="E1514" i="50"/>
  <c r="E1513" i="50"/>
  <c r="H1511" i="50"/>
  <c r="E1511" i="50"/>
  <c r="E1509" i="50"/>
  <c r="E1508" i="50"/>
  <c r="H1507" i="50"/>
  <c r="E1507" i="50"/>
  <c r="E1505" i="50"/>
  <c r="E1504" i="50"/>
  <c r="E1503" i="50"/>
  <c r="E1502" i="50"/>
  <c r="E1497" i="50"/>
  <c r="E1495" i="50"/>
  <c r="H1494" i="50"/>
  <c r="E1494" i="50"/>
  <c r="E1493" i="50"/>
  <c r="E1487" i="50"/>
  <c r="E1486" i="50"/>
  <c r="E1485" i="50"/>
  <c r="E1484" i="50"/>
  <c r="H1483" i="50"/>
  <c r="E1483" i="50"/>
  <c r="E1481" i="50"/>
  <c r="E1474" i="50"/>
  <c r="E1472" i="50"/>
  <c r="E1471" i="50"/>
  <c r="E1470" i="50"/>
  <c r="E1467" i="50"/>
  <c r="G1466" i="50"/>
  <c r="F1466" i="50"/>
  <c r="E1412" i="50"/>
  <c r="E1408" i="50"/>
  <c r="E1407" i="50"/>
  <c r="E1406" i="50"/>
  <c r="I1405" i="50"/>
  <c r="H1405" i="50"/>
  <c r="E1405" i="50"/>
  <c r="E1401" i="50"/>
  <c r="E1400" i="50"/>
  <c r="E1399" i="50"/>
  <c r="H1395" i="50"/>
  <c r="E1395" i="50"/>
  <c r="E1394" i="50"/>
  <c r="E1393" i="50"/>
  <c r="H1392" i="50"/>
  <c r="E1392" i="50"/>
  <c r="E1389" i="50"/>
  <c r="E1387" i="50"/>
  <c r="E1386" i="50"/>
  <c r="H1385" i="50"/>
  <c r="E1385" i="50"/>
  <c r="E1384" i="50"/>
  <c r="E1383" i="50"/>
  <c r="E1382" i="50"/>
  <c r="E1381" i="50"/>
  <c r="E1375" i="50"/>
  <c r="E1373" i="50"/>
  <c r="E1372" i="50"/>
  <c r="H1371" i="50"/>
  <c r="E1371" i="50"/>
  <c r="H1368" i="50"/>
  <c r="E1368" i="50"/>
  <c r="E1367" i="50"/>
  <c r="E1366" i="50"/>
  <c r="E1365" i="50"/>
  <c r="E1361" i="50"/>
  <c r="E1359" i="50"/>
  <c r="E1358" i="50"/>
  <c r="H1357" i="50"/>
  <c r="E1357" i="50"/>
  <c r="E1352" i="50"/>
  <c r="E1351" i="50"/>
  <c r="E1350" i="50"/>
  <c r="E1349" i="50"/>
  <c r="E1347" i="50"/>
  <c r="E1345" i="50"/>
  <c r="E1344" i="50"/>
  <c r="E1343" i="50"/>
  <c r="E1341" i="50"/>
  <c r="E1340" i="50"/>
  <c r="E1339" i="50"/>
  <c r="E1338" i="50"/>
  <c r="H1337" i="50"/>
  <c r="H1333" i="50"/>
  <c r="E1333" i="50"/>
  <c r="E1331" i="50"/>
  <c r="E1330" i="50"/>
  <c r="E1329" i="50"/>
  <c r="H1324" i="50"/>
  <c r="E1323" i="50"/>
  <c r="E1322" i="50"/>
  <c r="E1321" i="50"/>
  <c r="E1320" i="50"/>
  <c r="E1319" i="50"/>
  <c r="E1317" i="50"/>
  <c r="H1313" i="50"/>
  <c r="H1310" i="50"/>
  <c r="E1310" i="50"/>
  <c r="E1308" i="50"/>
  <c r="E1307" i="50"/>
  <c r="E1306" i="50"/>
  <c r="E1303" i="50"/>
  <c r="G1302" i="50"/>
  <c r="E1248" i="50"/>
  <c r="E1244" i="50"/>
  <c r="H1243" i="50"/>
  <c r="E1243" i="50"/>
  <c r="E1242" i="50"/>
  <c r="I1241" i="50"/>
  <c r="E1241" i="50"/>
  <c r="E1237" i="50"/>
  <c r="E1236" i="50"/>
  <c r="H1235" i="50"/>
  <c r="E1235" i="50"/>
  <c r="H1231" i="50"/>
  <c r="E1231" i="50"/>
  <c r="E1230" i="50"/>
  <c r="E1229" i="50"/>
  <c r="H1228" i="50"/>
  <c r="E1228" i="50"/>
  <c r="E1225" i="50"/>
  <c r="E1223" i="50"/>
  <c r="H1222" i="50"/>
  <c r="E1222" i="50"/>
  <c r="E1221" i="50"/>
  <c r="E1220" i="50"/>
  <c r="E1219" i="50"/>
  <c r="E1218" i="50"/>
  <c r="E1217" i="50"/>
  <c r="H1211" i="50"/>
  <c r="E1211" i="50"/>
  <c r="E1209" i="50"/>
  <c r="H1208" i="50"/>
  <c r="E1208" i="50"/>
  <c r="H1207" i="50"/>
  <c r="E1207" i="50"/>
  <c r="E1204" i="50"/>
  <c r="E1203" i="50"/>
  <c r="E1202" i="50"/>
  <c r="E1201" i="50"/>
  <c r="H1200" i="50"/>
  <c r="H1197" i="50"/>
  <c r="E1197" i="50"/>
  <c r="E1195" i="50"/>
  <c r="H1194" i="50"/>
  <c r="E1194" i="50"/>
  <c r="E1193" i="50"/>
  <c r="E1188" i="50"/>
  <c r="E1187" i="50"/>
  <c r="E1186" i="50"/>
  <c r="H1185" i="50"/>
  <c r="E1185" i="50"/>
  <c r="H1183" i="50"/>
  <c r="E1183" i="50"/>
  <c r="E1181" i="50"/>
  <c r="E1180" i="50"/>
  <c r="E1179" i="50"/>
  <c r="E1177" i="50"/>
  <c r="E1176" i="50"/>
  <c r="E1175" i="50"/>
  <c r="E1174" i="50"/>
  <c r="H1172" i="50"/>
  <c r="E1169" i="50"/>
  <c r="E1167" i="50"/>
  <c r="E1166" i="50"/>
  <c r="H1165" i="50"/>
  <c r="E1165" i="50"/>
  <c r="H1162" i="50"/>
  <c r="H1160" i="50"/>
  <c r="E1159" i="50"/>
  <c r="E1158" i="50"/>
  <c r="E1157" i="50"/>
  <c r="E1156" i="50"/>
  <c r="E1155" i="50"/>
  <c r="E1153" i="50"/>
  <c r="H1149" i="50"/>
  <c r="H1148" i="50"/>
  <c r="E1146" i="50"/>
  <c r="E1144" i="50"/>
  <c r="E1143" i="50"/>
  <c r="E1142" i="50"/>
  <c r="E1139" i="50"/>
  <c r="G1138" i="50"/>
  <c r="F1138" i="50"/>
  <c r="E1084" i="50"/>
  <c r="H1080" i="50"/>
  <c r="E1080" i="50"/>
  <c r="H1079" i="50"/>
  <c r="E1079" i="50"/>
  <c r="E1078" i="50"/>
  <c r="I1077" i="50"/>
  <c r="E1077" i="50"/>
  <c r="E1073" i="50"/>
  <c r="H1072" i="50"/>
  <c r="E1072" i="50"/>
  <c r="E1071" i="50"/>
  <c r="H1068" i="50"/>
  <c r="H1067" i="50"/>
  <c r="E1067" i="50"/>
  <c r="E1066" i="50"/>
  <c r="E1065" i="50"/>
  <c r="H1064" i="50"/>
  <c r="E1064" i="50"/>
  <c r="H1061" i="50"/>
  <c r="E1061" i="50"/>
  <c r="E1059" i="50"/>
  <c r="E1058" i="50"/>
  <c r="E1057" i="50"/>
  <c r="E1056" i="50"/>
  <c r="E1055" i="50"/>
  <c r="E1054" i="50"/>
  <c r="E1053" i="50"/>
  <c r="H1049" i="50"/>
  <c r="H1047" i="50"/>
  <c r="E1047" i="50"/>
  <c r="E1045" i="50"/>
  <c r="E1044" i="50"/>
  <c r="E1043" i="50"/>
  <c r="E1040" i="50"/>
  <c r="E1039" i="50"/>
  <c r="E1038" i="50"/>
  <c r="E1037" i="50"/>
  <c r="H1035" i="50"/>
  <c r="H1033" i="50"/>
  <c r="E1033" i="50"/>
  <c r="E1031" i="50"/>
  <c r="E1030" i="50"/>
  <c r="E1029" i="50"/>
  <c r="H1026" i="50"/>
  <c r="H1025" i="50"/>
  <c r="E1024" i="50"/>
  <c r="E1023" i="50"/>
  <c r="E1022" i="50"/>
  <c r="E1021" i="50"/>
  <c r="E1019" i="50"/>
  <c r="E1017" i="50"/>
  <c r="E1016" i="50"/>
  <c r="E1015" i="50"/>
  <c r="E1013" i="50"/>
  <c r="E1012" i="50"/>
  <c r="E1011" i="50"/>
  <c r="E1010" i="50"/>
  <c r="E1005" i="50"/>
  <c r="E1003" i="50"/>
  <c r="E1002" i="50"/>
  <c r="E1001" i="50"/>
  <c r="E995" i="50"/>
  <c r="E994" i="50"/>
  <c r="E993" i="50"/>
  <c r="E992" i="50"/>
  <c r="H991" i="50"/>
  <c r="E991" i="50"/>
  <c r="H989" i="50"/>
  <c r="E989" i="50"/>
  <c r="E982" i="50"/>
  <c r="E980" i="50"/>
  <c r="E979" i="50"/>
  <c r="E978" i="50"/>
  <c r="E975" i="50"/>
  <c r="G974" i="50"/>
  <c r="F974" i="50"/>
  <c r="H920" i="50"/>
  <c r="E920" i="50"/>
  <c r="H917" i="50"/>
  <c r="E916" i="50"/>
  <c r="E915" i="50"/>
  <c r="E914" i="50"/>
  <c r="I913" i="50"/>
  <c r="H913" i="50"/>
  <c r="E913" i="50"/>
  <c r="E909" i="50"/>
  <c r="H908" i="50"/>
  <c r="E908" i="50"/>
  <c r="H907" i="50"/>
  <c r="E907" i="50"/>
  <c r="H903" i="50"/>
  <c r="E903" i="50"/>
  <c r="E902" i="50"/>
  <c r="E901" i="50"/>
  <c r="H900" i="50"/>
  <c r="E900" i="50"/>
  <c r="H897" i="50"/>
  <c r="E897" i="50"/>
  <c r="E895" i="50"/>
  <c r="E894" i="50"/>
  <c r="E893" i="50"/>
  <c r="E892" i="50"/>
  <c r="E891" i="50"/>
  <c r="E890" i="50"/>
  <c r="E889" i="50"/>
  <c r="H886" i="50"/>
  <c r="H883" i="50"/>
  <c r="E883" i="50"/>
  <c r="E881" i="50"/>
  <c r="E880" i="50"/>
  <c r="E879" i="50"/>
  <c r="H876" i="50"/>
  <c r="E876" i="50"/>
  <c r="E875" i="50"/>
  <c r="E874" i="50"/>
  <c r="E873" i="50"/>
  <c r="E869" i="50"/>
  <c r="E867" i="50"/>
  <c r="E866" i="50"/>
  <c r="H865" i="50"/>
  <c r="E865" i="50"/>
  <c r="H862" i="50"/>
  <c r="H861" i="50"/>
  <c r="E860" i="50"/>
  <c r="E859" i="50"/>
  <c r="E858" i="50"/>
  <c r="E857" i="50"/>
  <c r="H855" i="50"/>
  <c r="E855" i="50"/>
  <c r="E853" i="50"/>
  <c r="E852" i="50"/>
  <c r="H851" i="50"/>
  <c r="E851" i="50"/>
  <c r="E849" i="50"/>
  <c r="E848" i="50"/>
  <c r="E847" i="50"/>
  <c r="E846" i="50"/>
  <c r="H843" i="50"/>
  <c r="H841" i="50"/>
  <c r="E841" i="50"/>
  <c r="E839" i="50"/>
  <c r="H838" i="50"/>
  <c r="E838" i="50"/>
  <c r="E837" i="50"/>
  <c r="E831" i="50"/>
  <c r="E830" i="50"/>
  <c r="E829" i="50"/>
  <c r="E828" i="50"/>
  <c r="H827" i="50"/>
  <c r="E827" i="50"/>
  <c r="E825" i="50"/>
  <c r="E818" i="50"/>
  <c r="E816" i="50"/>
  <c r="E815" i="50"/>
  <c r="E814" i="50"/>
  <c r="E811" i="50"/>
  <c r="G810" i="50"/>
  <c r="E756" i="50"/>
  <c r="E752" i="50"/>
  <c r="E751" i="50"/>
  <c r="E750" i="50"/>
  <c r="I749" i="50"/>
  <c r="H749" i="50"/>
  <c r="E749" i="50"/>
  <c r="E745" i="50"/>
  <c r="E744" i="50"/>
  <c r="E743" i="50"/>
  <c r="H739" i="50"/>
  <c r="E739" i="50"/>
  <c r="E738" i="50"/>
  <c r="E737" i="50"/>
  <c r="H736" i="50"/>
  <c r="E736" i="50"/>
  <c r="E733" i="50"/>
  <c r="E731" i="50"/>
  <c r="E730" i="50"/>
  <c r="E729" i="50"/>
  <c r="E728" i="50"/>
  <c r="E727" i="50"/>
  <c r="E726" i="50"/>
  <c r="E725" i="50"/>
  <c r="E719" i="50"/>
  <c r="E717" i="50"/>
  <c r="E716" i="50"/>
  <c r="H715" i="50"/>
  <c r="E715" i="50"/>
  <c r="H712" i="50"/>
  <c r="E712" i="50"/>
  <c r="E711" i="50"/>
  <c r="E710" i="50"/>
  <c r="E709" i="50"/>
  <c r="H705" i="50"/>
  <c r="E705" i="50"/>
  <c r="E703" i="50"/>
  <c r="E702" i="50"/>
  <c r="H701" i="50"/>
  <c r="E701" i="50"/>
  <c r="E696" i="50"/>
  <c r="E695" i="50"/>
  <c r="E694" i="50"/>
  <c r="E693" i="50"/>
  <c r="H691" i="50"/>
  <c r="E691" i="50"/>
  <c r="E689" i="50"/>
  <c r="E688" i="50"/>
  <c r="E687" i="50"/>
  <c r="E685" i="50"/>
  <c r="E684" i="50"/>
  <c r="E683" i="50"/>
  <c r="E682" i="50"/>
  <c r="H677" i="50"/>
  <c r="E677" i="50"/>
  <c r="E675" i="50"/>
  <c r="E674" i="50"/>
  <c r="E673" i="50"/>
  <c r="H669" i="50"/>
  <c r="E667" i="50"/>
  <c r="E666" i="50"/>
  <c r="E665" i="50"/>
  <c r="E664" i="50"/>
  <c r="E663" i="50"/>
  <c r="E661" i="50"/>
  <c r="H657" i="50"/>
  <c r="H654" i="50"/>
  <c r="E654" i="50"/>
  <c r="E652" i="50"/>
  <c r="E651" i="50"/>
  <c r="E650" i="50"/>
  <c r="E647" i="50"/>
  <c r="G646" i="50"/>
  <c r="M1955" i="50"/>
  <c r="L1955" i="50"/>
  <c r="K1955" i="50"/>
  <c r="J1955" i="50"/>
  <c r="H1955" i="50"/>
  <c r="M1791" i="50"/>
  <c r="L1791" i="50"/>
  <c r="K1791" i="50"/>
  <c r="J1791" i="50"/>
  <c r="H1791" i="50"/>
  <c r="M1627" i="50"/>
  <c r="L1627" i="50"/>
  <c r="K1627" i="50"/>
  <c r="J1627" i="50"/>
  <c r="H1627" i="50"/>
  <c r="M1463" i="50"/>
  <c r="L1463" i="50"/>
  <c r="K1463" i="50"/>
  <c r="J1463" i="50"/>
  <c r="H1463" i="50"/>
  <c r="M1299" i="50"/>
  <c r="L1299" i="50"/>
  <c r="K1299" i="50"/>
  <c r="J1299" i="50"/>
  <c r="H1299" i="50"/>
  <c r="M1135" i="50"/>
  <c r="L1135" i="50"/>
  <c r="K1135" i="50"/>
  <c r="J1135" i="50"/>
  <c r="H1135" i="50"/>
  <c r="M971" i="50"/>
  <c r="L971" i="50"/>
  <c r="K971" i="50"/>
  <c r="J971" i="50"/>
  <c r="H971" i="50"/>
  <c r="M807" i="50"/>
  <c r="L807" i="50"/>
  <c r="K807" i="50"/>
  <c r="J807" i="50"/>
  <c r="H807" i="50"/>
  <c r="M643" i="50"/>
  <c r="L643" i="50"/>
  <c r="K643" i="50"/>
  <c r="J643" i="50"/>
  <c r="H643" i="50"/>
  <c r="S719" i="42"/>
  <c r="S718" i="42"/>
  <c r="S717" i="42"/>
  <c r="S716" i="42"/>
  <c r="S715" i="42"/>
  <c r="S714" i="42"/>
  <c r="S713" i="42"/>
  <c r="S712" i="42"/>
  <c r="S711" i="42"/>
  <c r="S710" i="42"/>
  <c r="S572" i="42"/>
  <c r="S571" i="42"/>
  <c r="S570" i="42"/>
  <c r="S569" i="42"/>
  <c r="S568" i="42"/>
  <c r="S567" i="42"/>
  <c r="S566" i="42"/>
  <c r="S565" i="42"/>
  <c r="S564" i="42"/>
  <c r="S563" i="42"/>
  <c r="S254" i="42"/>
  <c r="S253" i="42"/>
  <c r="S252" i="42"/>
  <c r="S251" i="42"/>
  <c r="S250" i="42"/>
  <c r="S249" i="42"/>
  <c r="S248" i="42"/>
  <c r="S247" i="42"/>
  <c r="S246" i="42"/>
  <c r="S245" i="42"/>
  <c r="S57" i="42"/>
  <c r="S56" i="42"/>
  <c r="S55" i="42"/>
  <c r="S54" i="42"/>
  <c r="S53" i="42"/>
  <c r="S52" i="42"/>
  <c r="S51" i="42"/>
  <c r="S50" i="42"/>
  <c r="S49" i="42"/>
  <c r="S48" i="42"/>
  <c r="J760" i="42"/>
  <c r="H737" i="42"/>
  <c r="I760" i="42"/>
  <c r="H760" i="42"/>
  <c r="H766" i="42" s="1"/>
  <c r="G98" i="42"/>
  <c r="I2602" i="50"/>
  <c r="G2607" i="50"/>
  <c r="G2605" i="50"/>
  <c r="I2601" i="50"/>
  <c r="A2610" i="50"/>
  <c r="A2611" i="50"/>
  <c r="A2612" i="50"/>
  <c r="A2613" i="50"/>
  <c r="A2603" i="50"/>
  <c r="S300" i="34"/>
  <c r="S299" i="34"/>
  <c r="S298" i="34"/>
  <c r="S297" i="34"/>
  <c r="S296" i="34"/>
  <c r="S295" i="34"/>
  <c r="S294" i="34"/>
  <c r="S293" i="34"/>
  <c r="S292" i="34"/>
  <c r="S291" i="34"/>
  <c r="S290" i="34"/>
  <c r="S289" i="34"/>
  <c r="S288" i="34"/>
  <c r="S287" i="34"/>
  <c r="S286" i="34"/>
  <c r="S285" i="34"/>
  <c r="S284" i="34"/>
  <c r="S283" i="34"/>
  <c r="S282" i="34"/>
  <c r="S281" i="34"/>
  <c r="S280" i="34"/>
  <c r="S279" i="34"/>
  <c r="S278" i="34"/>
  <c r="S277" i="34"/>
  <c r="S276" i="34"/>
  <c r="S275" i="34"/>
  <c r="S274" i="34"/>
  <c r="S273" i="34"/>
  <c r="S272" i="34"/>
  <c r="S271" i="34"/>
  <c r="S270" i="34"/>
  <c r="S269" i="34"/>
  <c r="S268" i="34"/>
  <c r="S267" i="34"/>
  <c r="S266" i="34"/>
  <c r="S265" i="34"/>
  <c r="S264" i="34"/>
  <c r="S263" i="34"/>
  <c r="S262" i="34"/>
  <c r="S261" i="34"/>
  <c r="S260" i="34"/>
  <c r="S259" i="34"/>
  <c r="S258" i="34"/>
  <c r="S257" i="34"/>
  <c r="S256" i="34"/>
  <c r="S255" i="34"/>
  <c r="S254" i="34"/>
  <c r="S253" i="34"/>
  <c r="S252" i="34"/>
  <c r="S251" i="34"/>
  <c r="S250" i="34"/>
  <c r="S249" i="34"/>
  <c r="S308" i="34"/>
  <c r="S307" i="34"/>
  <c r="S306" i="34"/>
  <c r="S305" i="34"/>
  <c r="S304" i="34"/>
  <c r="M544" i="64"/>
  <c r="K542" i="64"/>
  <c r="P544" i="64" s="1"/>
  <c r="P1" i="64"/>
  <c r="I125" i="64"/>
  <c r="I129" i="64"/>
  <c r="S303" i="34"/>
  <c r="B28" i="25"/>
  <c r="B27" i="25"/>
  <c r="B26" i="25"/>
  <c r="B25" i="25"/>
  <c r="B24" i="25"/>
  <c r="B23" i="25"/>
  <c r="B22" i="25"/>
  <c r="B21" i="25"/>
  <c r="B20" i="25"/>
  <c r="B19" i="25"/>
  <c r="B18" i="25"/>
  <c r="B17" i="25"/>
  <c r="B16" i="25"/>
  <c r="B14" i="25"/>
  <c r="B15" i="25"/>
  <c r="R185" i="50"/>
  <c r="H56" i="62"/>
  <c r="B115" i="34"/>
  <c r="C32" i="10" s="1"/>
  <c r="E310" i="34"/>
  <c r="E125" i="62" s="1"/>
  <c r="E309" i="34"/>
  <c r="E284" i="49" s="1"/>
  <c r="E107" i="50"/>
  <c r="E308" i="34"/>
  <c r="E307" i="34"/>
  <c r="E105" i="50"/>
  <c r="E125" i="50" s="1"/>
  <c r="E240" i="50" s="1"/>
  <c r="P240" i="50" s="1"/>
  <c r="E306" i="34"/>
  <c r="E305" i="34"/>
  <c r="E304" i="34"/>
  <c r="R303" i="34"/>
  <c r="Q303" i="34"/>
  <c r="M303" i="34"/>
  <c r="I303" i="34"/>
  <c r="H303" i="34"/>
  <c r="G303" i="34"/>
  <c r="F303" i="34"/>
  <c r="E303" i="34"/>
  <c r="D303" i="34"/>
  <c r="C303" i="34"/>
  <c r="A302" i="34"/>
  <c r="E300" i="34"/>
  <c r="I299" i="34"/>
  <c r="E299" i="34"/>
  <c r="I298" i="34"/>
  <c r="E298" i="34"/>
  <c r="E297" i="34"/>
  <c r="E296" i="34"/>
  <c r="I295" i="34"/>
  <c r="E295" i="34"/>
  <c r="I294" i="34"/>
  <c r="E294" i="34"/>
  <c r="E293" i="34"/>
  <c r="E292" i="34"/>
  <c r="I291" i="34"/>
  <c r="F291" i="34"/>
  <c r="E291" i="34"/>
  <c r="I290" i="34"/>
  <c r="E290" i="34"/>
  <c r="P709" i="50" s="1"/>
  <c r="E289" i="34"/>
  <c r="E288" i="34"/>
  <c r="I287" i="34"/>
  <c r="E287" i="34"/>
  <c r="E286" i="34"/>
  <c r="F285" i="34"/>
  <c r="E285" i="34"/>
  <c r="F284" i="34"/>
  <c r="E284" i="34"/>
  <c r="F283" i="34"/>
  <c r="E283" i="34"/>
  <c r="E282" i="34"/>
  <c r="F281" i="34"/>
  <c r="E281" i="34"/>
  <c r="F280" i="34"/>
  <c r="E280" i="34"/>
  <c r="F279" i="34"/>
  <c r="E279" i="34"/>
  <c r="F278" i="34"/>
  <c r="E278" i="34"/>
  <c r="I277" i="34"/>
  <c r="F277" i="34"/>
  <c r="E277" i="34"/>
  <c r="I276" i="34"/>
  <c r="F276" i="34"/>
  <c r="E276" i="34"/>
  <c r="I275" i="34"/>
  <c r="F275" i="34"/>
  <c r="E275" i="34"/>
  <c r="E274" i="34"/>
  <c r="E273" i="34"/>
  <c r="E272" i="34"/>
  <c r="E271" i="34"/>
  <c r="E270" i="34"/>
  <c r="E269" i="34"/>
  <c r="E268" i="34"/>
  <c r="E267" i="34"/>
  <c r="E266" i="34"/>
  <c r="E265" i="34"/>
  <c r="E264" i="34"/>
  <c r="E263" i="34"/>
  <c r="E262" i="34"/>
  <c r="I261" i="34"/>
  <c r="E261" i="34"/>
  <c r="I260" i="34"/>
  <c r="E260" i="34"/>
  <c r="E259" i="34"/>
  <c r="E258" i="34"/>
  <c r="E257" i="34"/>
  <c r="E256" i="34"/>
  <c r="E255" i="34"/>
  <c r="E254" i="34"/>
  <c r="E253" i="34"/>
  <c r="E252" i="34"/>
  <c r="E251" i="34"/>
  <c r="E250" i="34"/>
  <c r="I249" i="34"/>
  <c r="F249" i="34"/>
  <c r="E249" i="34"/>
  <c r="S248" i="34"/>
  <c r="R248" i="34"/>
  <c r="Q248" i="34"/>
  <c r="M248" i="34"/>
  <c r="L248" i="34"/>
  <c r="K248" i="34"/>
  <c r="J248" i="34"/>
  <c r="I248" i="34"/>
  <c r="H248" i="34"/>
  <c r="G248" i="34"/>
  <c r="F248" i="34"/>
  <c r="E248" i="34"/>
  <c r="D248" i="34"/>
  <c r="C248" i="34"/>
  <c r="B248" i="34"/>
  <c r="A248" i="34"/>
  <c r="A247" i="34"/>
  <c r="H245" i="34"/>
  <c r="B245" i="34" s="1"/>
  <c r="H244" i="34"/>
  <c r="B244" i="34" s="1"/>
  <c r="H243" i="34"/>
  <c r="B243" i="34" s="1"/>
  <c r="H242" i="34"/>
  <c r="B242" i="34" s="1"/>
  <c r="A300" i="34" s="1"/>
  <c r="H241" i="34"/>
  <c r="B241" i="34" s="1"/>
  <c r="H240" i="34"/>
  <c r="B240" i="34" s="1"/>
  <c r="H239" i="34"/>
  <c r="B239" i="34"/>
  <c r="A289" i="34" s="1"/>
  <c r="H238" i="34"/>
  <c r="B238" i="34" s="1"/>
  <c r="H237" i="34"/>
  <c r="B237" i="34" s="1"/>
  <c r="A288" i="34" s="1"/>
  <c r="H236" i="34"/>
  <c r="B236" i="34"/>
  <c r="A287" i="34" s="1"/>
  <c r="H235" i="34"/>
  <c r="B235" i="34" s="1"/>
  <c r="A286" i="34" s="1"/>
  <c r="H234" i="34"/>
  <c r="B234" i="34" s="1"/>
  <c r="H233" i="34"/>
  <c r="H232" i="34"/>
  <c r="B232" i="34" s="1"/>
  <c r="A274" i="34" s="1"/>
  <c r="H231" i="34"/>
  <c r="B231" i="34" s="1"/>
  <c r="A271" i="34" s="1"/>
  <c r="H230" i="34"/>
  <c r="B230" i="34" s="1"/>
  <c r="H229" i="34"/>
  <c r="B229" i="34" s="1"/>
  <c r="A266" i="34" s="1"/>
  <c r="H228" i="34"/>
  <c r="B228" i="34" s="1"/>
  <c r="A261" i="34" s="1"/>
  <c r="H227" i="34"/>
  <c r="B227" i="34" s="1"/>
  <c r="H226" i="34"/>
  <c r="B226" i="34"/>
  <c r="H225" i="34"/>
  <c r="H224" i="34"/>
  <c r="B224" i="34" s="1"/>
  <c r="H223" i="34"/>
  <c r="B223" i="34" s="1"/>
  <c r="A255" i="34" s="1"/>
  <c r="H222" i="34"/>
  <c r="B222" i="34"/>
  <c r="H221" i="34"/>
  <c r="H220" i="34"/>
  <c r="B220" i="34" s="1"/>
  <c r="A250" i="34" s="1"/>
  <c r="H219" i="34"/>
  <c r="B219" i="34" s="1"/>
  <c r="H218" i="34"/>
  <c r="B217" i="34"/>
  <c r="A217" i="34"/>
  <c r="A216" i="34"/>
  <c r="B199" i="34"/>
  <c r="B198" i="34"/>
  <c r="C197" i="34"/>
  <c r="B197" i="34"/>
  <c r="D187" i="34"/>
  <c r="C187" i="34"/>
  <c r="B187" i="34"/>
  <c r="B148" i="34"/>
  <c r="B147" i="34"/>
  <c r="B146" i="34"/>
  <c r="B145" i="34"/>
  <c r="B144" i="34"/>
  <c r="E70" i="41" s="1"/>
  <c r="B143" i="34"/>
  <c r="B142" i="34"/>
  <c r="B141" i="34"/>
  <c r="B140" i="34"/>
  <c r="B139" i="34"/>
  <c r="B138" i="34"/>
  <c r="B137" i="34"/>
  <c r="B136" i="34"/>
  <c r="B135" i="34"/>
  <c r="E41" i="49" s="1"/>
  <c r="B134" i="34"/>
  <c r="B133" i="34"/>
  <c r="B130" i="34"/>
  <c r="B129" i="34"/>
  <c r="B128" i="34"/>
  <c r="B127" i="34"/>
  <c r="B126" i="34"/>
  <c r="B125" i="34"/>
  <c r="B124" i="34"/>
  <c r="B123" i="34"/>
  <c r="B122" i="34"/>
  <c r="B121" i="34"/>
  <c r="B120" i="34"/>
  <c r="AF117" i="34"/>
  <c r="AE117" i="34"/>
  <c r="AD117" i="34"/>
  <c r="AC117" i="34"/>
  <c r="AB117" i="34"/>
  <c r="AA117" i="34"/>
  <c r="Z117" i="34"/>
  <c r="Y117" i="34"/>
  <c r="X117" i="34"/>
  <c r="W117" i="34"/>
  <c r="V117" i="34"/>
  <c r="U117" i="34"/>
  <c r="T117" i="34"/>
  <c r="S117" i="34"/>
  <c r="R117" i="34"/>
  <c r="Q117" i="34"/>
  <c r="P117" i="34"/>
  <c r="O117" i="34"/>
  <c r="N117" i="34"/>
  <c r="M117" i="34"/>
  <c r="L117" i="34"/>
  <c r="K117" i="34"/>
  <c r="J117" i="34"/>
  <c r="I117" i="34"/>
  <c r="H117" i="34"/>
  <c r="G117" i="34"/>
  <c r="F117" i="34"/>
  <c r="E117" i="34"/>
  <c r="D117" i="34"/>
  <c r="C117" i="34"/>
  <c r="B117" i="34"/>
  <c r="B116" i="34"/>
  <c r="B114" i="34"/>
  <c r="B113" i="34"/>
  <c r="B112" i="34"/>
  <c r="C30" i="10" s="1"/>
  <c r="B111" i="34"/>
  <c r="C31" i="10" s="1"/>
  <c r="B110" i="34"/>
  <c r="C29" i="10" s="1"/>
  <c r="B73" i="34"/>
  <c r="B72" i="34"/>
  <c r="B71" i="34"/>
  <c r="B70" i="34"/>
  <c r="C64" i="34"/>
  <c r="C61" i="34"/>
  <c r="B61" i="34"/>
  <c r="R197" i="50"/>
  <c r="B59" i="34"/>
  <c r="C60" i="34" s="1"/>
  <c r="B58" i="34"/>
  <c r="B60" i="34" s="1"/>
  <c r="J53" i="34"/>
  <c r="I53" i="34"/>
  <c r="H53" i="34"/>
  <c r="G53" i="34"/>
  <c r="F53" i="34"/>
  <c r="E53" i="34"/>
  <c r="D53" i="34"/>
  <c r="C53" i="34"/>
  <c r="E52" i="34"/>
  <c r="D52" i="34"/>
  <c r="C52" i="34"/>
  <c r="B52" i="34"/>
  <c r="F51" i="34"/>
  <c r="E51" i="34"/>
  <c r="D51" i="34"/>
  <c r="C51" i="34"/>
  <c r="B51" i="34"/>
  <c r="B50" i="34"/>
  <c r="H425" i="43" s="1"/>
  <c r="C49" i="34"/>
  <c r="B49" i="34"/>
  <c r="E48" i="34"/>
  <c r="C48" i="34"/>
  <c r="B48" i="34"/>
  <c r="E47" i="34"/>
  <c r="D47" i="34"/>
  <c r="C47" i="34"/>
  <c r="B47" i="34"/>
  <c r="E46" i="34"/>
  <c r="D46" i="34"/>
  <c r="C46" i="34"/>
  <c r="B46" i="34"/>
  <c r="B42" i="34"/>
  <c r="B43" i="34" s="1"/>
  <c r="B20" i="34"/>
  <c r="B19" i="34"/>
  <c r="B69" i="34" s="1"/>
  <c r="G95" i="47" s="1"/>
  <c r="B18" i="34"/>
  <c r="B17" i="34"/>
  <c r="D430" i="37" s="1"/>
  <c r="B16" i="34"/>
  <c r="B15" i="34"/>
  <c r="B14" i="34"/>
  <c r="B13" i="34"/>
  <c r="H2045" i="50" s="1"/>
  <c r="B12" i="34"/>
  <c r="B11" i="34"/>
  <c r="C10" i="34"/>
  <c r="E37" i="43"/>
  <c r="B10" i="34"/>
  <c r="E33" i="43" s="1"/>
  <c r="C9" i="34"/>
  <c r="B9" i="34"/>
  <c r="C1" i="34"/>
  <c r="B1" i="34"/>
  <c r="A1" i="34"/>
  <c r="E2586" i="50"/>
  <c r="D2584" i="50"/>
  <c r="D2566" i="50"/>
  <c r="E2564" i="50"/>
  <c r="E2563" i="50"/>
  <c r="E2561" i="50"/>
  <c r="E2559" i="50"/>
  <c r="E2558" i="50"/>
  <c r="E2557" i="50"/>
  <c r="E2555" i="50"/>
  <c r="E2553" i="50"/>
  <c r="E2551" i="50"/>
  <c r="E2549" i="50"/>
  <c r="E2547" i="50"/>
  <c r="E2545" i="50"/>
  <c r="D2543" i="50"/>
  <c r="D2541" i="50"/>
  <c r="D2523" i="50"/>
  <c r="E2521" i="50"/>
  <c r="E2519" i="50"/>
  <c r="E2518" i="50"/>
  <c r="E2517" i="50"/>
  <c r="E2515" i="50"/>
  <c r="E2513" i="50"/>
  <c r="E2512" i="50"/>
  <c r="D2511" i="50"/>
  <c r="D2509" i="50"/>
  <c r="F2507" i="50"/>
  <c r="F2506" i="50"/>
  <c r="F2505" i="50"/>
  <c r="E2504" i="50"/>
  <c r="D2502" i="50"/>
  <c r="C54" i="9"/>
  <c r="E2499" i="50"/>
  <c r="E2494" i="50"/>
  <c r="E2493" i="50"/>
  <c r="I2492" i="50"/>
  <c r="E2492" i="50"/>
  <c r="E2488" i="50"/>
  <c r="E2487" i="50"/>
  <c r="E2486" i="50"/>
  <c r="E2485" i="50"/>
  <c r="E2484" i="50"/>
  <c r="E2483" i="50"/>
  <c r="E2482" i="50"/>
  <c r="E2481" i="50"/>
  <c r="E2479" i="50"/>
  <c r="E2477" i="50"/>
  <c r="E2475" i="50"/>
  <c r="E2474" i="50"/>
  <c r="E2473" i="50"/>
  <c r="E2470" i="50"/>
  <c r="G2469" i="50"/>
  <c r="M2466" i="50"/>
  <c r="L2466" i="50"/>
  <c r="K2466" i="50"/>
  <c r="J2466" i="50"/>
  <c r="H2466" i="50"/>
  <c r="E2460" i="50"/>
  <c r="E2455" i="50"/>
  <c r="E2454" i="50"/>
  <c r="I2453" i="50"/>
  <c r="E2453" i="50"/>
  <c r="E2449" i="50"/>
  <c r="E2448" i="50"/>
  <c r="E2447" i="50"/>
  <c r="E2446" i="50"/>
  <c r="E2445" i="50"/>
  <c r="E2444" i="50"/>
  <c r="E2443" i="50"/>
  <c r="E2442" i="50"/>
  <c r="E2440" i="50"/>
  <c r="E2438" i="50"/>
  <c r="E2436" i="50"/>
  <c r="E2435" i="50"/>
  <c r="E2434" i="50"/>
  <c r="E2431" i="50"/>
  <c r="G2430" i="50"/>
  <c r="M2427" i="50"/>
  <c r="L2427" i="50"/>
  <c r="K2427" i="50"/>
  <c r="J2427" i="50"/>
  <c r="H2427" i="50"/>
  <c r="E2421" i="50"/>
  <c r="E2420" i="50"/>
  <c r="E2418" i="50"/>
  <c r="E2416" i="50"/>
  <c r="E2415" i="50"/>
  <c r="E2414" i="50"/>
  <c r="E2413" i="50"/>
  <c r="E2411" i="50"/>
  <c r="E2406" i="50"/>
  <c r="E2405" i="50"/>
  <c r="I2404" i="50"/>
  <c r="E2404" i="50"/>
  <c r="E2400" i="50"/>
  <c r="E2399" i="50"/>
  <c r="E2398" i="50"/>
  <c r="E2397" i="50"/>
  <c r="E2396" i="50"/>
  <c r="E2395" i="50"/>
  <c r="E2393" i="50"/>
  <c r="E2392" i="50"/>
  <c r="E2391" i="50"/>
  <c r="E2390" i="50"/>
  <c r="E2389" i="50"/>
  <c r="E2388" i="50"/>
  <c r="E2387" i="50"/>
  <c r="E2386" i="50"/>
  <c r="E2384" i="50"/>
  <c r="E2382" i="50"/>
  <c r="E2380" i="50"/>
  <c r="E2379" i="50"/>
  <c r="E2378" i="50"/>
  <c r="E2375" i="50"/>
  <c r="E2374" i="50"/>
  <c r="G2373" i="50"/>
  <c r="M2370" i="50"/>
  <c r="L2370" i="50"/>
  <c r="K2370" i="50"/>
  <c r="J2370" i="50"/>
  <c r="H2370" i="50"/>
  <c r="E2364" i="50"/>
  <c r="E2363" i="50"/>
  <c r="E2361" i="50"/>
  <c r="E2359" i="50"/>
  <c r="E2358" i="50"/>
  <c r="E2357" i="50"/>
  <c r="E2356" i="50"/>
  <c r="E2354" i="50"/>
  <c r="E2349" i="50"/>
  <c r="E2348" i="50"/>
  <c r="I2347" i="50"/>
  <c r="E2347" i="50"/>
  <c r="E2343" i="50"/>
  <c r="E2342" i="50"/>
  <c r="E2341" i="50"/>
  <c r="E2340" i="50"/>
  <c r="E2339" i="50"/>
  <c r="E2338" i="50"/>
  <c r="E2336" i="50"/>
  <c r="E2335" i="50"/>
  <c r="E2334" i="50"/>
  <c r="E2333" i="50"/>
  <c r="E2332" i="50"/>
  <c r="E2331" i="50"/>
  <c r="E2330" i="50"/>
  <c r="E2329" i="50"/>
  <c r="E2327" i="50"/>
  <c r="E2325" i="50"/>
  <c r="E2323" i="50"/>
  <c r="E2322" i="50"/>
  <c r="E2321" i="50"/>
  <c r="E2318" i="50"/>
  <c r="E2317" i="50"/>
  <c r="G2316" i="50"/>
  <c r="M2313" i="50"/>
  <c r="L2313" i="50"/>
  <c r="K2313" i="50"/>
  <c r="J2313" i="50"/>
  <c r="H2313" i="50"/>
  <c r="E2307" i="50"/>
  <c r="E2306" i="50"/>
  <c r="E2305" i="50"/>
  <c r="E2304" i="50"/>
  <c r="E2303" i="50"/>
  <c r="E2302" i="50"/>
  <c r="E2301" i="50"/>
  <c r="E2300" i="50"/>
  <c r="E2299" i="50"/>
  <c r="E2298" i="50"/>
  <c r="E2296" i="50"/>
  <c r="E2294" i="50"/>
  <c r="E2293" i="50"/>
  <c r="E2292" i="50"/>
  <c r="E2291" i="50"/>
  <c r="E2289" i="50"/>
  <c r="E2287" i="50"/>
  <c r="E2282" i="50"/>
  <c r="E2281" i="50"/>
  <c r="I2280" i="50"/>
  <c r="E2280" i="50"/>
  <c r="E2276" i="50"/>
  <c r="E2275" i="50"/>
  <c r="E2274" i="50"/>
  <c r="E2273" i="50"/>
  <c r="E2272" i="50"/>
  <c r="E2271" i="50"/>
  <c r="E2270" i="50"/>
  <c r="E2269" i="50"/>
  <c r="E2267" i="50"/>
  <c r="E2265" i="50"/>
  <c r="E2263" i="50"/>
  <c r="E2262" i="50"/>
  <c r="E2261" i="50"/>
  <c r="E2258" i="50"/>
  <c r="G2257" i="50"/>
  <c r="M2254" i="50"/>
  <c r="L2254" i="50"/>
  <c r="K2254" i="50"/>
  <c r="J2254" i="50"/>
  <c r="H2254" i="50"/>
  <c r="E2248" i="50"/>
  <c r="E2247" i="50"/>
  <c r="E2246" i="50"/>
  <c r="E2245" i="50"/>
  <c r="E2244" i="50"/>
  <c r="E2243" i="50"/>
  <c r="E2242" i="50"/>
  <c r="E2241" i="50"/>
  <c r="E2240" i="50"/>
  <c r="E2239" i="50"/>
  <c r="E2237" i="50"/>
  <c r="E2235" i="50"/>
  <c r="E2234" i="50"/>
  <c r="E2233" i="50"/>
  <c r="E2232" i="50"/>
  <c r="E2230" i="50"/>
  <c r="E2228" i="50"/>
  <c r="E2223" i="50"/>
  <c r="E2222" i="50"/>
  <c r="I2221" i="50"/>
  <c r="E2221" i="50"/>
  <c r="E2217" i="50"/>
  <c r="E2216" i="50"/>
  <c r="E2215" i="50"/>
  <c r="E2214" i="50"/>
  <c r="E2213" i="50"/>
  <c r="E2212" i="50"/>
  <c r="E2210" i="50"/>
  <c r="E2209" i="50"/>
  <c r="E2208" i="50"/>
  <c r="E2207" i="50"/>
  <c r="E2206" i="50"/>
  <c r="E2205" i="50"/>
  <c r="E2204" i="50"/>
  <c r="E2203" i="50"/>
  <c r="E2201" i="50"/>
  <c r="E2199" i="50"/>
  <c r="E2197" i="50"/>
  <c r="E2196" i="50"/>
  <c r="E2195" i="50"/>
  <c r="E2192" i="50"/>
  <c r="E2191" i="50"/>
  <c r="G2190" i="50"/>
  <c r="M2187" i="50"/>
  <c r="L2187" i="50"/>
  <c r="K2187" i="50"/>
  <c r="J2187" i="50"/>
  <c r="H2187" i="50"/>
  <c r="E2181" i="50"/>
  <c r="E2180" i="50"/>
  <c r="E2179" i="50"/>
  <c r="E2178" i="50"/>
  <c r="E2177" i="50"/>
  <c r="E2176" i="50"/>
  <c r="E2175" i="50"/>
  <c r="E2174" i="50"/>
  <c r="E2173" i="50"/>
  <c r="E2172" i="50"/>
  <c r="E2170" i="50"/>
  <c r="E2168" i="50"/>
  <c r="E2167" i="50"/>
  <c r="E2166" i="50"/>
  <c r="E2165" i="50"/>
  <c r="E2163" i="50"/>
  <c r="E2161" i="50"/>
  <c r="E2156" i="50"/>
  <c r="E2155" i="50"/>
  <c r="I2154" i="50"/>
  <c r="E2154" i="50"/>
  <c r="E2150" i="50"/>
  <c r="E2149" i="50"/>
  <c r="E2148" i="50"/>
  <c r="E2147" i="50"/>
  <c r="E2146" i="50"/>
  <c r="E2145" i="50"/>
  <c r="E2143" i="50"/>
  <c r="E2142" i="50"/>
  <c r="E2141" i="50"/>
  <c r="E2140" i="50"/>
  <c r="E2139" i="50"/>
  <c r="E2138" i="50"/>
  <c r="E2137" i="50"/>
  <c r="E2136" i="50"/>
  <c r="E2134" i="50"/>
  <c r="E2132" i="50"/>
  <c r="E2130" i="50"/>
  <c r="E2129" i="50"/>
  <c r="E2128" i="50"/>
  <c r="E2125" i="50"/>
  <c r="E2124" i="50"/>
  <c r="G2123" i="50"/>
  <c r="M2120" i="50"/>
  <c r="L2120" i="50"/>
  <c r="K2120" i="50"/>
  <c r="J2120" i="50"/>
  <c r="H2120" i="50"/>
  <c r="E2111" i="50"/>
  <c r="E2108" i="50"/>
  <c r="E2106" i="50"/>
  <c r="E2104" i="50"/>
  <c r="E2103" i="50"/>
  <c r="E2101" i="50"/>
  <c r="E2100" i="50"/>
  <c r="E2099" i="50"/>
  <c r="E2098" i="50"/>
  <c r="E2097" i="50"/>
  <c r="E2096" i="50"/>
  <c r="E2095" i="50"/>
  <c r="E2094" i="50"/>
  <c r="E2093" i="50"/>
  <c r="E2092" i="50"/>
  <c r="E2090" i="50"/>
  <c r="E2089" i="50"/>
  <c r="E2087" i="50"/>
  <c r="E2086" i="50"/>
  <c r="E2084" i="50"/>
  <c r="E2083" i="50"/>
  <c r="E2081" i="50"/>
  <c r="E2080" i="50"/>
  <c r="E2079" i="50"/>
  <c r="E2078" i="50"/>
  <c r="E2076" i="50"/>
  <c r="E2075" i="50"/>
  <c r="E2073" i="50"/>
  <c r="E1947" i="50"/>
  <c r="E1944" i="50"/>
  <c r="E1942" i="50"/>
  <c r="E1940" i="50"/>
  <c r="E1939" i="50"/>
  <c r="E1937" i="50"/>
  <c r="E1936" i="50"/>
  <c r="E1935" i="50"/>
  <c r="E1934" i="50"/>
  <c r="E1933" i="50"/>
  <c r="E1932" i="50"/>
  <c r="E1931" i="50"/>
  <c r="E1930" i="50"/>
  <c r="E1929" i="50"/>
  <c r="E1928" i="50"/>
  <c r="E1926" i="50"/>
  <c r="E1925" i="50"/>
  <c r="E1923" i="50"/>
  <c r="E1922" i="50"/>
  <c r="E1920" i="50"/>
  <c r="E1919" i="50"/>
  <c r="E1917" i="50"/>
  <c r="E1916" i="50"/>
  <c r="E1915" i="50"/>
  <c r="E1914" i="50"/>
  <c r="E1912" i="50"/>
  <c r="E1911" i="50"/>
  <c r="E1909" i="50"/>
  <c r="E1783" i="50"/>
  <c r="E1780" i="50"/>
  <c r="E1778" i="50"/>
  <c r="E1776" i="50"/>
  <c r="E1775" i="50"/>
  <c r="E1773" i="50"/>
  <c r="E1772" i="50"/>
  <c r="E1771" i="50"/>
  <c r="E1770" i="50"/>
  <c r="E1769" i="50"/>
  <c r="E1768" i="50"/>
  <c r="E1767" i="50"/>
  <c r="E1766" i="50"/>
  <c r="E1765" i="50"/>
  <c r="E1764" i="50"/>
  <c r="E1762" i="50"/>
  <c r="E1761" i="50"/>
  <c r="E1759" i="50"/>
  <c r="E1758" i="50"/>
  <c r="E1756" i="50"/>
  <c r="E1755" i="50"/>
  <c r="E1753" i="50"/>
  <c r="E1752" i="50"/>
  <c r="E1751" i="50"/>
  <c r="E1750" i="50"/>
  <c r="E1748" i="50"/>
  <c r="E1747" i="50"/>
  <c r="E1745" i="50"/>
  <c r="E1619" i="50"/>
  <c r="E1616" i="50"/>
  <c r="E1614" i="50"/>
  <c r="E1612" i="50"/>
  <c r="E1611" i="50"/>
  <c r="E1609" i="50"/>
  <c r="E1608" i="50"/>
  <c r="E1607" i="50"/>
  <c r="E1606" i="50"/>
  <c r="E1605" i="50"/>
  <c r="E1604" i="50"/>
  <c r="E1603" i="50"/>
  <c r="E1602" i="50"/>
  <c r="E1601" i="50"/>
  <c r="E1600" i="50"/>
  <c r="E1598" i="50"/>
  <c r="E1597" i="50"/>
  <c r="E1595" i="50"/>
  <c r="E1594" i="50"/>
  <c r="E1592" i="50"/>
  <c r="E1591" i="50"/>
  <c r="E1589" i="50"/>
  <c r="E1588" i="50"/>
  <c r="E1587" i="50"/>
  <c r="E1586" i="50"/>
  <c r="E1584" i="50"/>
  <c r="E1583" i="50"/>
  <c r="E1581" i="50"/>
  <c r="E1455" i="50"/>
  <c r="E1452" i="50"/>
  <c r="E1450" i="50"/>
  <c r="E1448" i="50"/>
  <c r="E1447" i="50"/>
  <c r="E1445" i="50"/>
  <c r="E1444" i="50"/>
  <c r="E1443" i="50"/>
  <c r="E1442" i="50"/>
  <c r="E1441" i="50"/>
  <c r="E1440" i="50"/>
  <c r="E1439" i="50"/>
  <c r="E1438" i="50"/>
  <c r="E1437" i="50"/>
  <c r="E1436" i="50"/>
  <c r="E1434" i="50"/>
  <c r="E1433" i="50"/>
  <c r="E1431" i="50"/>
  <c r="E1430" i="50"/>
  <c r="E1428" i="50"/>
  <c r="E1427" i="50"/>
  <c r="E1425" i="50"/>
  <c r="E1424" i="50"/>
  <c r="E1423" i="50"/>
  <c r="E1422" i="50"/>
  <c r="E1420" i="50"/>
  <c r="E1419" i="50"/>
  <c r="E1417" i="50"/>
  <c r="E1291" i="50"/>
  <c r="E1288" i="50"/>
  <c r="E1286" i="50"/>
  <c r="E1284" i="50"/>
  <c r="E1283" i="50"/>
  <c r="E1281" i="50"/>
  <c r="E1280" i="50"/>
  <c r="E1279" i="50"/>
  <c r="E1278" i="50"/>
  <c r="E1277" i="50"/>
  <c r="E1276" i="50"/>
  <c r="E1275" i="50"/>
  <c r="E1274" i="50"/>
  <c r="E1273" i="50"/>
  <c r="E1272" i="50"/>
  <c r="E1270" i="50"/>
  <c r="E1269" i="50"/>
  <c r="E1267" i="50"/>
  <c r="E1266" i="50"/>
  <c r="E1264" i="50"/>
  <c r="E1263" i="50"/>
  <c r="E1261" i="50"/>
  <c r="E1260" i="50"/>
  <c r="E1259" i="50"/>
  <c r="E1258" i="50"/>
  <c r="E1256" i="50"/>
  <c r="E1255" i="50"/>
  <c r="E1253" i="50"/>
  <c r="E1127" i="50"/>
  <c r="E1124" i="50"/>
  <c r="E1122" i="50"/>
  <c r="E1120" i="50"/>
  <c r="E1119" i="50"/>
  <c r="E1117" i="50"/>
  <c r="E1116" i="50"/>
  <c r="E1115" i="50"/>
  <c r="E1114" i="50"/>
  <c r="E1113" i="50"/>
  <c r="E1112" i="50"/>
  <c r="E1111" i="50"/>
  <c r="E1110" i="50"/>
  <c r="E1109" i="50"/>
  <c r="E1108" i="50"/>
  <c r="E1106" i="50"/>
  <c r="E1105" i="50"/>
  <c r="E1103" i="50"/>
  <c r="E1102" i="50"/>
  <c r="E1100" i="50"/>
  <c r="E1099" i="50"/>
  <c r="E1097" i="50"/>
  <c r="E1096" i="50"/>
  <c r="E1095" i="50"/>
  <c r="E1094" i="50"/>
  <c r="E1092" i="50"/>
  <c r="E1091" i="50"/>
  <c r="E1089" i="50"/>
  <c r="E963" i="50"/>
  <c r="E960" i="50"/>
  <c r="E958" i="50"/>
  <c r="E956" i="50"/>
  <c r="E955" i="50"/>
  <c r="E953" i="50"/>
  <c r="E952" i="50"/>
  <c r="E951" i="50"/>
  <c r="E950" i="50"/>
  <c r="E949" i="50"/>
  <c r="E948" i="50"/>
  <c r="E947" i="50"/>
  <c r="E946" i="50"/>
  <c r="E945" i="50"/>
  <c r="E944" i="50"/>
  <c r="E942" i="50"/>
  <c r="E941" i="50"/>
  <c r="E939" i="50"/>
  <c r="E938" i="50"/>
  <c r="E936" i="50"/>
  <c r="E935" i="50"/>
  <c r="E933" i="50"/>
  <c r="E932" i="50"/>
  <c r="E931" i="50"/>
  <c r="E930" i="50"/>
  <c r="E928" i="50"/>
  <c r="E927" i="50"/>
  <c r="E925" i="50"/>
  <c r="E799" i="50"/>
  <c r="E796" i="50"/>
  <c r="E794" i="50"/>
  <c r="E792" i="50"/>
  <c r="E791" i="50"/>
  <c r="E789" i="50"/>
  <c r="E788" i="50"/>
  <c r="E787" i="50"/>
  <c r="E786" i="50"/>
  <c r="E785" i="50"/>
  <c r="E784" i="50"/>
  <c r="E783" i="50"/>
  <c r="E782" i="50"/>
  <c r="E781" i="50"/>
  <c r="E780" i="50"/>
  <c r="E778" i="50"/>
  <c r="E777" i="50"/>
  <c r="E775" i="50"/>
  <c r="E774" i="50"/>
  <c r="E772" i="50"/>
  <c r="E771" i="50"/>
  <c r="E769" i="50"/>
  <c r="E768" i="50"/>
  <c r="E767" i="50"/>
  <c r="E766" i="50"/>
  <c r="E764" i="50"/>
  <c r="E763" i="50"/>
  <c r="E761" i="50"/>
  <c r="E635" i="50"/>
  <c r="E632" i="50"/>
  <c r="E630" i="50"/>
  <c r="E628" i="50"/>
  <c r="E627" i="50"/>
  <c r="E625" i="50"/>
  <c r="E624" i="50"/>
  <c r="E623" i="50"/>
  <c r="E622" i="50"/>
  <c r="E621" i="50"/>
  <c r="E620" i="50"/>
  <c r="E619" i="50"/>
  <c r="E618" i="50"/>
  <c r="E617" i="50"/>
  <c r="E616" i="50"/>
  <c r="E614" i="50"/>
  <c r="E613" i="50"/>
  <c r="E611" i="50"/>
  <c r="E610" i="50"/>
  <c r="E608" i="50"/>
  <c r="E607" i="50"/>
  <c r="E605" i="50"/>
  <c r="E604" i="50"/>
  <c r="E603" i="50"/>
  <c r="E602" i="50"/>
  <c r="E600" i="50"/>
  <c r="E599" i="50"/>
  <c r="E597" i="50"/>
  <c r="E592" i="50"/>
  <c r="E588" i="50"/>
  <c r="E587" i="50"/>
  <c r="E586" i="50"/>
  <c r="I585" i="50"/>
  <c r="E585" i="50"/>
  <c r="E581" i="50"/>
  <c r="E580" i="50"/>
  <c r="E579" i="50"/>
  <c r="E575" i="50"/>
  <c r="E574" i="50"/>
  <c r="E573" i="50"/>
  <c r="E572" i="50"/>
  <c r="E569" i="50"/>
  <c r="E567" i="50"/>
  <c r="E566" i="50"/>
  <c r="E565" i="50"/>
  <c r="E564" i="50"/>
  <c r="E563" i="50"/>
  <c r="E562" i="50"/>
  <c r="E561" i="50"/>
  <c r="E555" i="50"/>
  <c r="E553" i="50"/>
  <c r="E552" i="50"/>
  <c r="E551" i="50"/>
  <c r="E548" i="50"/>
  <c r="E547" i="50"/>
  <c r="E546" i="50"/>
  <c r="E545" i="50"/>
  <c r="E541" i="50"/>
  <c r="E539" i="50"/>
  <c r="E538" i="50"/>
  <c r="E537" i="50"/>
  <c r="E532" i="50"/>
  <c r="E531" i="50"/>
  <c r="E530" i="50"/>
  <c r="E529" i="50"/>
  <c r="E527" i="50"/>
  <c r="E525" i="50"/>
  <c r="E524" i="50"/>
  <c r="E523" i="50"/>
  <c r="E521" i="50"/>
  <c r="E520" i="50"/>
  <c r="E519" i="50"/>
  <c r="E518" i="50"/>
  <c r="E513" i="50"/>
  <c r="E511" i="50"/>
  <c r="E510" i="50"/>
  <c r="E509" i="50"/>
  <c r="E503" i="50"/>
  <c r="E502" i="50"/>
  <c r="E501" i="50"/>
  <c r="E500" i="50"/>
  <c r="E499" i="50"/>
  <c r="E497" i="50"/>
  <c r="E490" i="50"/>
  <c r="E488" i="50"/>
  <c r="E487" i="50"/>
  <c r="E486" i="50"/>
  <c r="E483" i="50"/>
  <c r="G482" i="50"/>
  <c r="M479" i="50"/>
  <c r="L479" i="50"/>
  <c r="K479" i="50"/>
  <c r="J479" i="50"/>
  <c r="H479" i="50"/>
  <c r="D475" i="50"/>
  <c r="F473" i="50"/>
  <c r="D473" i="50"/>
  <c r="F472" i="50"/>
  <c r="D472" i="50"/>
  <c r="F471" i="50"/>
  <c r="D471" i="50"/>
  <c r="F470" i="50"/>
  <c r="D470" i="50"/>
  <c r="F469" i="50"/>
  <c r="D469" i="50"/>
  <c r="F468" i="50"/>
  <c r="D468" i="50"/>
  <c r="F467" i="50"/>
  <c r="D467" i="50"/>
  <c r="F466" i="50"/>
  <c r="D466" i="50"/>
  <c r="F465" i="50"/>
  <c r="F464" i="50"/>
  <c r="F463" i="50"/>
  <c r="D463" i="50"/>
  <c r="F462" i="50"/>
  <c r="D462" i="50"/>
  <c r="F461" i="50"/>
  <c r="F460" i="50"/>
  <c r="F459" i="50"/>
  <c r="D459" i="50"/>
  <c r="F458" i="50"/>
  <c r="D458" i="50"/>
  <c r="F457" i="50"/>
  <c r="D457" i="50"/>
  <c r="F456" i="50"/>
  <c r="D456" i="50"/>
  <c r="F455" i="50"/>
  <c r="D455" i="50"/>
  <c r="D454" i="50"/>
  <c r="D452" i="50"/>
  <c r="D450" i="50"/>
  <c r="C53" i="9" s="1"/>
  <c r="G346" i="50"/>
  <c r="D345" i="50"/>
  <c r="D243" i="50"/>
  <c r="E226" i="50"/>
  <c r="E224" i="50"/>
  <c r="E223" i="50"/>
  <c r="E222" i="50"/>
  <c r="E221" i="50"/>
  <c r="E219" i="50"/>
  <c r="D209" i="50"/>
  <c r="E204" i="50"/>
  <c r="E202" i="50"/>
  <c r="E201" i="50"/>
  <c r="E192" i="50"/>
  <c r="E190" i="50"/>
  <c r="E189" i="50"/>
  <c r="G187" i="50"/>
  <c r="D183" i="50"/>
  <c r="E176" i="50"/>
  <c r="E174" i="50"/>
  <c r="E173" i="50"/>
  <c r="E170" i="50"/>
  <c r="E165" i="50"/>
  <c r="E160" i="50"/>
  <c r="E158" i="50"/>
  <c r="E151" i="50"/>
  <c r="E149" i="50"/>
  <c r="E148" i="50"/>
  <c r="E145" i="50"/>
  <c r="E140" i="50"/>
  <c r="E135" i="50"/>
  <c r="E133" i="50"/>
  <c r="D131" i="50"/>
  <c r="E109" i="50"/>
  <c r="E129" i="50" s="1"/>
  <c r="E91" i="50"/>
  <c r="E111" i="50" s="1"/>
  <c r="E90" i="50"/>
  <c r="E89" i="50"/>
  <c r="F88" i="50"/>
  <c r="F87" i="50"/>
  <c r="E86" i="50"/>
  <c r="F85" i="50"/>
  <c r="F84" i="50"/>
  <c r="F83" i="50"/>
  <c r="F82" i="50"/>
  <c r="F81" i="50"/>
  <c r="F80" i="50"/>
  <c r="F79" i="50"/>
  <c r="F78" i="50"/>
  <c r="F77" i="50"/>
  <c r="E76" i="50"/>
  <c r="E75" i="50"/>
  <c r="D73" i="50"/>
  <c r="D61" i="50"/>
  <c r="D59" i="50"/>
  <c r="C52" i="9" s="1"/>
  <c r="E57" i="50"/>
  <c r="K52" i="50"/>
  <c r="E52" i="50"/>
  <c r="K51" i="50"/>
  <c r="E51" i="50"/>
  <c r="D49" i="50"/>
  <c r="D47" i="50"/>
  <c r="C51" i="9" s="1"/>
  <c r="L35" i="50"/>
  <c r="I35" i="50"/>
  <c r="E35" i="50"/>
  <c r="D34" i="50"/>
  <c r="I32" i="50"/>
  <c r="L31" i="50"/>
  <c r="I31" i="50"/>
  <c r="L30" i="50"/>
  <c r="I30" i="50"/>
  <c r="L29" i="50"/>
  <c r="I29" i="50"/>
  <c r="E29" i="50"/>
  <c r="E21" i="50"/>
  <c r="L19" i="50"/>
  <c r="E19" i="50"/>
  <c r="L18" i="50"/>
  <c r="E18" i="50"/>
  <c r="E16" i="50"/>
  <c r="E15" i="50"/>
  <c r="E14" i="50"/>
  <c r="L13" i="50"/>
  <c r="E13" i="50"/>
  <c r="E12" i="50"/>
  <c r="D10" i="50"/>
  <c r="D8" i="50"/>
  <c r="C50" i="9" s="1"/>
  <c r="D6" i="50"/>
  <c r="C49" i="9" s="1"/>
  <c r="G4" i="50"/>
  <c r="E4" i="50"/>
  <c r="M3" i="50"/>
  <c r="K3" i="50"/>
  <c r="I3" i="50"/>
  <c r="G3" i="50"/>
  <c r="E3" i="50"/>
  <c r="I2" i="50"/>
  <c r="G2" i="50"/>
  <c r="E2" i="50"/>
  <c r="B2" i="50"/>
  <c r="C51" i="51"/>
  <c r="C49" i="51"/>
  <c r="C48" i="9" s="1"/>
  <c r="F38" i="51"/>
  <c r="D38" i="51"/>
  <c r="C36" i="51"/>
  <c r="C35" i="51"/>
  <c r="K27" i="51"/>
  <c r="I27" i="51"/>
  <c r="H27" i="51"/>
  <c r="F27" i="51"/>
  <c r="D27" i="51"/>
  <c r="C27" i="51"/>
  <c r="C25" i="51"/>
  <c r="C24" i="51"/>
  <c r="F19" i="51"/>
  <c r="D19" i="51"/>
  <c r="C17" i="51"/>
  <c r="C16" i="51"/>
  <c r="C14" i="51"/>
  <c r="C13" i="51"/>
  <c r="C12" i="51"/>
  <c r="C11" i="51"/>
  <c r="C10" i="51"/>
  <c r="C9" i="51"/>
  <c r="C7" i="51"/>
  <c r="C47" i="9" s="1"/>
  <c r="C5" i="51"/>
  <c r="C46" i="9" s="1"/>
  <c r="D3" i="51"/>
  <c r="D2" i="51"/>
  <c r="L1" i="51"/>
  <c r="J1" i="51"/>
  <c r="H1" i="51"/>
  <c r="F1" i="51"/>
  <c r="D1" i="51"/>
  <c r="A1" i="51"/>
  <c r="C30" i="53"/>
  <c r="C7" i="53"/>
  <c r="C45" i="9" s="1"/>
  <c r="C5" i="53"/>
  <c r="C44" i="9" s="1"/>
  <c r="D3" i="53"/>
  <c r="D2" i="53"/>
  <c r="L1" i="53"/>
  <c r="J1" i="53"/>
  <c r="H1" i="53"/>
  <c r="F1" i="53"/>
  <c r="D1" i="53"/>
  <c r="A1" i="53"/>
  <c r="D412" i="47"/>
  <c r="E406" i="47"/>
  <c r="E404" i="47"/>
  <c r="E403" i="47"/>
  <c r="E400" i="47"/>
  <c r="E398" i="47"/>
  <c r="I397" i="47"/>
  <c r="E397" i="47"/>
  <c r="E395" i="47"/>
  <c r="E391" i="47"/>
  <c r="E390" i="47"/>
  <c r="E389" i="47"/>
  <c r="E388" i="47"/>
  <c r="E387" i="47"/>
  <c r="E386" i="47"/>
  <c r="E385" i="47"/>
  <c r="E384" i="47"/>
  <c r="E381" i="47"/>
  <c r="E380" i="47"/>
  <c r="F378" i="47"/>
  <c r="F377" i="47"/>
  <c r="F376" i="47"/>
  <c r="F375" i="47"/>
  <c r="E374" i="47"/>
  <c r="E373" i="47"/>
  <c r="D371" i="47"/>
  <c r="D369" i="47"/>
  <c r="E365" i="47"/>
  <c r="E363" i="47"/>
  <c r="E362" i="47"/>
  <c r="E361" i="47"/>
  <c r="E359" i="47"/>
  <c r="E358" i="47"/>
  <c r="E357" i="47"/>
  <c r="E356" i="47"/>
  <c r="E355" i="47"/>
  <c r="E353" i="47"/>
  <c r="E352" i="47"/>
  <c r="E351" i="47"/>
  <c r="E348" i="47"/>
  <c r="E347" i="47"/>
  <c r="E345" i="47"/>
  <c r="E344" i="47"/>
  <c r="D342" i="47"/>
  <c r="D340" i="47"/>
  <c r="E336" i="47"/>
  <c r="E334" i="47"/>
  <c r="E333" i="47"/>
  <c r="E332" i="47"/>
  <c r="E331" i="47"/>
  <c r="E329" i="47"/>
  <c r="E327" i="47"/>
  <c r="E326" i="47"/>
  <c r="E325" i="47"/>
  <c r="E323" i="47"/>
  <c r="E321" i="47"/>
  <c r="E320" i="47"/>
  <c r="E319" i="47"/>
  <c r="E316" i="47"/>
  <c r="E315" i="47"/>
  <c r="E313" i="47"/>
  <c r="E312" i="47"/>
  <c r="E311" i="47"/>
  <c r="D309" i="47"/>
  <c r="D307" i="47"/>
  <c r="C41" i="9"/>
  <c r="E303" i="47"/>
  <c r="E301" i="47"/>
  <c r="E300" i="47"/>
  <c r="E299" i="47"/>
  <c r="E298" i="47"/>
  <c r="E296" i="47"/>
  <c r="E294" i="47"/>
  <c r="E293" i="47"/>
  <c r="E292" i="47"/>
  <c r="E290" i="47"/>
  <c r="E288" i="47"/>
  <c r="E287" i="47"/>
  <c r="E286" i="47"/>
  <c r="E283" i="47"/>
  <c r="E282" i="47"/>
  <c r="E280" i="47"/>
  <c r="E279" i="47"/>
  <c r="E278" i="47"/>
  <c r="D276" i="47"/>
  <c r="D274" i="47"/>
  <c r="C40" i="9" s="1"/>
  <c r="E270" i="47"/>
  <c r="E268" i="47"/>
  <c r="E267" i="47"/>
  <c r="E266" i="47"/>
  <c r="E265" i="47"/>
  <c r="E264" i="47"/>
  <c r="E262" i="47"/>
  <c r="E261" i="47"/>
  <c r="E260" i="47"/>
  <c r="E259" i="47"/>
  <c r="E258" i="47"/>
  <c r="E257" i="47"/>
  <c r="E256" i="47"/>
  <c r="E255" i="47"/>
  <c r="G254" i="47"/>
  <c r="F254" i="47"/>
  <c r="E254" i="47"/>
  <c r="E252" i="47"/>
  <c r="F251" i="47"/>
  <c r="F250" i="47"/>
  <c r="E249" i="47"/>
  <c r="E248" i="47"/>
  <c r="E247" i="47"/>
  <c r="E246" i="47"/>
  <c r="E243" i="47"/>
  <c r="E242" i="47"/>
  <c r="E240" i="47"/>
  <c r="E239" i="47"/>
  <c r="E238" i="47"/>
  <c r="D236" i="47"/>
  <c r="D234" i="47"/>
  <c r="G4" i="47" s="1"/>
  <c r="E228" i="47"/>
  <c r="E226" i="47"/>
  <c r="E225" i="47"/>
  <c r="E222" i="47"/>
  <c r="E220" i="47"/>
  <c r="I219" i="47"/>
  <c r="E219" i="47"/>
  <c r="E217" i="47"/>
  <c r="E213" i="47"/>
  <c r="E212" i="47"/>
  <c r="E210" i="47"/>
  <c r="E209" i="47"/>
  <c r="E208" i="47"/>
  <c r="F207" i="47"/>
  <c r="E207" i="47"/>
  <c r="E206" i="47"/>
  <c r="E205" i="47"/>
  <c r="E203" i="47"/>
  <c r="E202" i="47"/>
  <c r="E201" i="47"/>
  <c r="D199" i="47"/>
  <c r="E197" i="47"/>
  <c r="E195" i="47"/>
  <c r="E194" i="47"/>
  <c r="E193" i="47"/>
  <c r="E191" i="47"/>
  <c r="E190" i="47"/>
  <c r="E189" i="47"/>
  <c r="E188" i="47"/>
  <c r="F187" i="47"/>
  <c r="F186" i="47"/>
  <c r="F185" i="47"/>
  <c r="E184" i="47"/>
  <c r="E183" i="47"/>
  <c r="E181" i="47"/>
  <c r="E179" i="47"/>
  <c r="E178" i="47"/>
  <c r="E175" i="47"/>
  <c r="E174" i="47"/>
  <c r="E172" i="47"/>
  <c r="E171" i="47"/>
  <c r="D169" i="47"/>
  <c r="D167" i="47"/>
  <c r="M3" i="47" s="1"/>
  <c r="E163" i="47"/>
  <c r="E161" i="47"/>
  <c r="E160" i="47"/>
  <c r="E159" i="47"/>
  <c r="E157" i="47"/>
  <c r="E156" i="47"/>
  <c r="F154" i="47"/>
  <c r="F153" i="47"/>
  <c r="F152" i="47"/>
  <c r="F151" i="47"/>
  <c r="E150" i="47"/>
  <c r="E149" i="47"/>
  <c r="E147" i="47"/>
  <c r="E145" i="47"/>
  <c r="E144" i="47"/>
  <c r="E141" i="47"/>
  <c r="E140" i="47"/>
  <c r="E138" i="47"/>
  <c r="E137" i="47"/>
  <c r="D135" i="47"/>
  <c r="D133" i="47"/>
  <c r="K3" i="47" s="1"/>
  <c r="E129" i="47"/>
  <c r="E127" i="47"/>
  <c r="E126" i="47"/>
  <c r="E125" i="47"/>
  <c r="E123" i="47"/>
  <c r="E122" i="47"/>
  <c r="F120" i="47"/>
  <c r="F119" i="47"/>
  <c r="F118" i="47"/>
  <c r="F117" i="47"/>
  <c r="E116" i="47"/>
  <c r="E115" i="47"/>
  <c r="E113" i="47"/>
  <c r="E111" i="47"/>
  <c r="E110" i="47"/>
  <c r="E107" i="47"/>
  <c r="E106" i="47"/>
  <c r="E104" i="47"/>
  <c r="E103" i="47"/>
  <c r="D101" i="47"/>
  <c r="D99" i="47"/>
  <c r="E95" i="47"/>
  <c r="E93" i="47"/>
  <c r="E92" i="47"/>
  <c r="E91" i="47"/>
  <c r="E90" i="47"/>
  <c r="E89" i="47"/>
  <c r="E87" i="47"/>
  <c r="E86" i="47"/>
  <c r="E85" i="47"/>
  <c r="E84" i="47"/>
  <c r="E83" i="47"/>
  <c r="E82" i="47"/>
  <c r="E81" i="47"/>
  <c r="E80" i="47"/>
  <c r="E79" i="47"/>
  <c r="E78" i="47"/>
  <c r="E77" i="47"/>
  <c r="E76" i="47"/>
  <c r="E75" i="47"/>
  <c r="E74" i="47"/>
  <c r="E73" i="47"/>
  <c r="E72" i="47"/>
  <c r="E71" i="47"/>
  <c r="E70" i="47"/>
  <c r="E69" i="47"/>
  <c r="E68" i="47"/>
  <c r="E67" i="47"/>
  <c r="E66" i="47"/>
  <c r="E65" i="47"/>
  <c r="E64" i="47"/>
  <c r="E63" i="47"/>
  <c r="E62" i="47"/>
  <c r="E61" i="47"/>
  <c r="E60" i="47"/>
  <c r="E59" i="47"/>
  <c r="E58" i="47"/>
  <c r="E57" i="47"/>
  <c r="E56" i="47"/>
  <c r="E55" i="47"/>
  <c r="E54" i="47"/>
  <c r="E53" i="47"/>
  <c r="E52" i="47"/>
  <c r="E51" i="47"/>
  <c r="E50" i="47"/>
  <c r="E49" i="47"/>
  <c r="E48" i="47"/>
  <c r="E47" i="47"/>
  <c r="E46" i="47"/>
  <c r="E45" i="47"/>
  <c r="E44" i="47"/>
  <c r="E43" i="47"/>
  <c r="E42" i="47"/>
  <c r="E41" i="47"/>
  <c r="E40" i="47"/>
  <c r="E39" i="47"/>
  <c r="E38" i="47"/>
  <c r="E37" i="47"/>
  <c r="E36" i="47"/>
  <c r="E35" i="47"/>
  <c r="E34" i="47"/>
  <c r="E33" i="47"/>
  <c r="E32" i="47"/>
  <c r="G31" i="47"/>
  <c r="F31" i="47"/>
  <c r="E31" i="47"/>
  <c r="E29" i="47"/>
  <c r="F28" i="47"/>
  <c r="F27" i="47"/>
  <c r="F26" i="47"/>
  <c r="F25" i="47"/>
  <c r="E24" i="47"/>
  <c r="E23" i="47"/>
  <c r="E22" i="47"/>
  <c r="E21" i="47"/>
  <c r="E18" i="47"/>
  <c r="E17" i="47"/>
  <c r="E15" i="47"/>
  <c r="E14" i="47"/>
  <c r="E13" i="47"/>
  <c r="D11" i="47"/>
  <c r="D9" i="47"/>
  <c r="D7" i="47"/>
  <c r="C34" i="9" s="1"/>
  <c r="E4" i="47"/>
  <c r="E3" i="47"/>
  <c r="P2" i="47"/>
  <c r="M2" i="47"/>
  <c r="K2" i="47"/>
  <c r="I2" i="47"/>
  <c r="G2" i="47"/>
  <c r="E2" i="47"/>
  <c r="B2" i="47"/>
  <c r="D942" i="42"/>
  <c r="E940" i="42"/>
  <c r="E929" i="42"/>
  <c r="E927" i="42"/>
  <c r="H915" i="42"/>
  <c r="E915" i="42"/>
  <c r="E913" i="42"/>
  <c r="E912" i="42"/>
  <c r="D910" i="42"/>
  <c r="E907" i="42"/>
  <c r="E906" i="42"/>
  <c r="E904" i="42"/>
  <c r="E903" i="42"/>
  <c r="E901" i="42"/>
  <c r="E900" i="42"/>
  <c r="E898" i="42"/>
  <c r="I897" i="42"/>
  <c r="E897" i="42"/>
  <c r="F895" i="42"/>
  <c r="F894" i="42"/>
  <c r="F893" i="42"/>
  <c r="E892" i="42"/>
  <c r="E889" i="42"/>
  <c r="E888" i="42"/>
  <c r="E887" i="42"/>
  <c r="E885" i="42"/>
  <c r="E880" i="42"/>
  <c r="E869" i="42"/>
  <c r="E867" i="42"/>
  <c r="H855" i="42"/>
  <c r="E855" i="42"/>
  <c r="E853" i="42"/>
  <c r="E852" i="42"/>
  <c r="D850" i="42"/>
  <c r="E847" i="42"/>
  <c r="E846" i="42"/>
  <c r="E844" i="42"/>
  <c r="E843" i="42"/>
  <c r="E841" i="42"/>
  <c r="E840" i="42"/>
  <c r="E838" i="42"/>
  <c r="I837" i="42"/>
  <c r="E837" i="42"/>
  <c r="F835" i="42"/>
  <c r="F834" i="42"/>
  <c r="F833" i="42"/>
  <c r="E832" i="42"/>
  <c r="E829" i="42"/>
  <c r="E828" i="42"/>
  <c r="E827" i="42"/>
  <c r="E825" i="42"/>
  <c r="E819" i="42"/>
  <c r="E818" i="42"/>
  <c r="E817" i="42"/>
  <c r="E816" i="42"/>
  <c r="E814" i="42"/>
  <c r="E813" i="42"/>
  <c r="E811" i="42"/>
  <c r="E810" i="42"/>
  <c r="E808" i="42"/>
  <c r="E807" i="42"/>
  <c r="E806" i="42"/>
  <c r="E803" i="42"/>
  <c r="E802" i="42"/>
  <c r="E801" i="42"/>
  <c r="E800" i="42"/>
  <c r="E799" i="42"/>
  <c r="D795" i="42"/>
  <c r="E791" i="42"/>
  <c r="E790" i="42"/>
  <c r="E789" i="42"/>
  <c r="E788" i="42"/>
  <c r="E786" i="42"/>
  <c r="E785" i="42"/>
  <c r="E784" i="42"/>
  <c r="E783" i="42"/>
  <c r="E781" i="42"/>
  <c r="E780" i="42"/>
  <c r="E779" i="42"/>
  <c r="E778" i="42"/>
  <c r="E777" i="42"/>
  <c r="E775" i="42"/>
  <c r="E774" i="42"/>
  <c r="E773" i="42"/>
  <c r="E771" i="42"/>
  <c r="E770" i="42"/>
  <c r="I769" i="42"/>
  <c r="E769" i="42"/>
  <c r="E766" i="42"/>
  <c r="G765" i="42"/>
  <c r="E764" i="42"/>
  <c r="E763" i="42"/>
  <c r="E761" i="42"/>
  <c r="E760" i="42"/>
  <c r="G749" i="42"/>
  <c r="E747" i="42"/>
  <c r="E746" i="42"/>
  <c r="F745" i="42"/>
  <c r="F744" i="42"/>
  <c r="F743" i="42"/>
  <c r="E742" i="42"/>
  <c r="E741" i="42"/>
  <c r="E740" i="42"/>
  <c r="E739" i="42"/>
  <c r="E737" i="42"/>
  <c r="G726" i="42"/>
  <c r="E724" i="42"/>
  <c r="E723" i="42"/>
  <c r="E722" i="42"/>
  <c r="E721" i="42"/>
  <c r="G709" i="42"/>
  <c r="E726" i="42"/>
  <c r="E749" i="42" s="1"/>
  <c r="E709" i="42"/>
  <c r="E707" i="42"/>
  <c r="E706" i="42"/>
  <c r="E705" i="42"/>
  <c r="E704" i="42"/>
  <c r="F703" i="42"/>
  <c r="F702" i="42"/>
  <c r="E701" i="42"/>
  <c r="E700" i="42"/>
  <c r="D698" i="42"/>
  <c r="E695" i="42"/>
  <c r="E694" i="42"/>
  <c r="E692" i="42"/>
  <c r="I691" i="42"/>
  <c r="E691" i="42"/>
  <c r="F689" i="42"/>
  <c r="F688" i="42"/>
  <c r="F687" i="42"/>
  <c r="E686" i="42"/>
  <c r="E683" i="42"/>
  <c r="E682" i="42"/>
  <c r="E681" i="42"/>
  <c r="E680" i="42"/>
  <c r="E678" i="42"/>
  <c r="E672" i="42"/>
  <c r="E671" i="42"/>
  <c r="E670" i="42"/>
  <c r="E669" i="42"/>
  <c r="E667" i="42"/>
  <c r="E666" i="42"/>
  <c r="E664" i="42"/>
  <c r="E663" i="42"/>
  <c r="E661" i="42"/>
  <c r="E660" i="42"/>
  <c r="E659" i="42"/>
  <c r="E656" i="42"/>
  <c r="E655" i="42"/>
  <c r="E654" i="42"/>
  <c r="E653" i="42"/>
  <c r="E652" i="42"/>
  <c r="D648" i="42"/>
  <c r="E644" i="42"/>
  <c r="E643" i="42"/>
  <c r="E642" i="42"/>
  <c r="E641" i="42"/>
  <c r="E639" i="42"/>
  <c r="E638" i="42"/>
  <c r="E637" i="42"/>
  <c r="E636" i="42"/>
  <c r="E634" i="42"/>
  <c r="E633" i="42"/>
  <c r="E632" i="42"/>
  <c r="E631" i="42"/>
  <c r="E630" i="42"/>
  <c r="E628" i="42"/>
  <c r="E627" i="42"/>
  <c r="E626" i="42"/>
  <c r="E624" i="42"/>
  <c r="E623" i="42"/>
  <c r="I622" i="42"/>
  <c r="E622" i="42"/>
  <c r="E619" i="42"/>
  <c r="G618" i="42"/>
  <c r="E617" i="42"/>
  <c r="E616" i="42"/>
  <c r="E614" i="42"/>
  <c r="E613" i="42"/>
  <c r="G602" i="42"/>
  <c r="E600" i="42"/>
  <c r="E599" i="42"/>
  <c r="F598" i="42"/>
  <c r="F597" i="42"/>
  <c r="F596" i="42"/>
  <c r="E595" i="42"/>
  <c r="E594" i="42"/>
  <c r="E593" i="42"/>
  <c r="E592" i="42"/>
  <c r="E590" i="42"/>
  <c r="G579" i="42"/>
  <c r="E577" i="42"/>
  <c r="E576" i="42"/>
  <c r="E575" i="42"/>
  <c r="E574" i="42"/>
  <c r="G562" i="42"/>
  <c r="E579" i="42" s="1"/>
  <c r="E602" i="42" s="1"/>
  <c r="E562" i="42"/>
  <c r="E560" i="42"/>
  <c r="E559" i="42"/>
  <c r="E558" i="42"/>
  <c r="E557" i="42"/>
  <c r="F556" i="42"/>
  <c r="F555" i="42"/>
  <c r="E554" i="42"/>
  <c r="E553" i="42"/>
  <c r="D551" i="42"/>
  <c r="E548" i="42"/>
  <c r="E547" i="42"/>
  <c r="E545" i="42"/>
  <c r="I544" i="42"/>
  <c r="E544" i="42"/>
  <c r="F542" i="42"/>
  <c r="F541" i="42"/>
  <c r="F540" i="42"/>
  <c r="E539" i="42"/>
  <c r="E536" i="42"/>
  <c r="E535" i="42"/>
  <c r="E534" i="42"/>
  <c r="E533" i="42"/>
  <c r="E531" i="42"/>
  <c r="E525" i="42"/>
  <c r="E523" i="42"/>
  <c r="E522" i="42"/>
  <c r="E521" i="42"/>
  <c r="E519" i="42"/>
  <c r="E518" i="42"/>
  <c r="E517" i="42"/>
  <c r="E515" i="42"/>
  <c r="E514" i="42"/>
  <c r="E513" i="42"/>
  <c r="E511" i="42"/>
  <c r="E510" i="42"/>
  <c r="E509" i="42"/>
  <c r="E507" i="42"/>
  <c r="E506" i="42"/>
  <c r="E505" i="42"/>
  <c r="E504" i="42"/>
  <c r="E503" i="42"/>
  <c r="E502" i="42"/>
  <c r="F501" i="42"/>
  <c r="F500" i="42"/>
  <c r="F499" i="42"/>
  <c r="F498" i="42"/>
  <c r="F497" i="42"/>
  <c r="E496" i="42"/>
  <c r="E495" i="42"/>
  <c r="E494" i="42"/>
  <c r="E491" i="42"/>
  <c r="E490" i="42"/>
  <c r="E489" i="42"/>
  <c r="E488" i="42"/>
  <c r="E486" i="42"/>
  <c r="E485" i="42"/>
  <c r="E483" i="42"/>
  <c r="E482" i="42"/>
  <c r="E480" i="42"/>
  <c r="E479" i="42"/>
  <c r="E478" i="42"/>
  <c r="E477" i="42"/>
  <c r="E476" i="42"/>
  <c r="E475" i="42"/>
  <c r="E474" i="42"/>
  <c r="E471" i="42"/>
  <c r="F470" i="42"/>
  <c r="F469" i="42"/>
  <c r="F468" i="42"/>
  <c r="F467" i="42"/>
  <c r="F466" i="42"/>
  <c r="E465" i="42"/>
  <c r="E464" i="42"/>
  <c r="E463" i="42"/>
  <c r="E461" i="42"/>
  <c r="E460" i="42"/>
  <c r="E459" i="42"/>
  <c r="E458" i="42"/>
  <c r="E457" i="42"/>
  <c r="D453" i="42"/>
  <c r="E449" i="42"/>
  <c r="E448" i="42"/>
  <c r="E447" i="42"/>
  <c r="E446" i="42"/>
  <c r="E445" i="42"/>
  <c r="E444" i="42"/>
  <c r="E443" i="42"/>
  <c r="E442" i="42"/>
  <c r="E441" i="42"/>
  <c r="E440" i="42"/>
  <c r="G439" i="42"/>
  <c r="E439" i="42"/>
  <c r="E437" i="42"/>
  <c r="E436" i="42"/>
  <c r="D434" i="42"/>
  <c r="E431" i="42"/>
  <c r="E430" i="42"/>
  <c r="E428" i="42"/>
  <c r="E427" i="42"/>
  <c r="E425" i="42"/>
  <c r="E424" i="42"/>
  <c r="E422" i="42"/>
  <c r="I421" i="42"/>
  <c r="E421" i="42"/>
  <c r="F419" i="42"/>
  <c r="F418" i="42"/>
  <c r="F417" i="42"/>
  <c r="E416" i="42"/>
  <c r="E413" i="42"/>
  <c r="E412" i="42"/>
  <c r="E411" i="42"/>
  <c r="E410" i="42"/>
  <c r="E408" i="42"/>
  <c r="E402" i="42"/>
  <c r="E400" i="42"/>
  <c r="E399" i="42"/>
  <c r="E398" i="42"/>
  <c r="E396" i="42"/>
  <c r="E395" i="42"/>
  <c r="E394" i="42"/>
  <c r="E392" i="42"/>
  <c r="E391" i="42"/>
  <c r="E390" i="42"/>
  <c r="E388" i="42"/>
  <c r="E387" i="42"/>
  <c r="E386" i="42"/>
  <c r="E384" i="42"/>
  <c r="E383" i="42"/>
  <c r="E382" i="42"/>
  <c r="E381" i="42"/>
  <c r="E380" i="42"/>
  <c r="E379" i="42"/>
  <c r="F378" i="42"/>
  <c r="F377" i="42"/>
  <c r="F376" i="42"/>
  <c r="F375" i="42"/>
  <c r="F374" i="42"/>
  <c r="E373" i="42"/>
  <c r="E372" i="42"/>
  <c r="E371" i="42"/>
  <c r="E368" i="42"/>
  <c r="E367" i="42"/>
  <c r="E366" i="42"/>
  <c r="E365" i="42"/>
  <c r="E363" i="42"/>
  <c r="E362" i="42"/>
  <c r="E360" i="42"/>
  <c r="E359" i="42"/>
  <c r="E357" i="42"/>
  <c r="E356" i="42"/>
  <c r="E355" i="42"/>
  <c r="E354" i="42"/>
  <c r="E353" i="42"/>
  <c r="E352" i="42"/>
  <c r="E351" i="42"/>
  <c r="E348" i="42"/>
  <c r="F347" i="42"/>
  <c r="F346" i="42"/>
  <c r="F345" i="42"/>
  <c r="F344" i="42"/>
  <c r="F343" i="42"/>
  <c r="E342" i="42"/>
  <c r="E341" i="42"/>
  <c r="E340" i="42"/>
  <c r="E338" i="42"/>
  <c r="E337" i="42"/>
  <c r="E336" i="42"/>
  <c r="E335" i="42"/>
  <c r="E334" i="42"/>
  <c r="D330" i="42"/>
  <c r="E326" i="42"/>
  <c r="E325" i="42"/>
  <c r="E324" i="42"/>
  <c r="E323" i="42"/>
  <c r="E321" i="42"/>
  <c r="E320" i="42"/>
  <c r="E319" i="42"/>
  <c r="E318" i="42"/>
  <c r="E316" i="42"/>
  <c r="E315" i="42"/>
  <c r="E314" i="42"/>
  <c r="E313" i="42"/>
  <c r="E312" i="42"/>
  <c r="E310" i="42"/>
  <c r="E309" i="42"/>
  <c r="E308" i="42"/>
  <c r="E306" i="42"/>
  <c r="E305" i="42"/>
  <c r="I304" i="42"/>
  <c r="E304" i="42"/>
  <c r="E301" i="42"/>
  <c r="G300" i="42"/>
  <c r="E299" i="42"/>
  <c r="E298" i="42"/>
  <c r="E296" i="42"/>
  <c r="E295" i="42"/>
  <c r="G284" i="42"/>
  <c r="E282" i="42"/>
  <c r="E281" i="42"/>
  <c r="F280" i="42"/>
  <c r="F279" i="42"/>
  <c r="F278" i="42"/>
  <c r="E277" i="42"/>
  <c r="E276" i="42"/>
  <c r="E275" i="42"/>
  <c r="E274" i="42"/>
  <c r="E272" i="42"/>
  <c r="G261" i="42"/>
  <c r="E259" i="42"/>
  <c r="E258" i="42"/>
  <c r="E257" i="42"/>
  <c r="E256" i="42"/>
  <c r="I244" i="42"/>
  <c r="E261" i="42"/>
  <c r="E284" i="42" s="1"/>
  <c r="G244" i="42"/>
  <c r="E244" i="42"/>
  <c r="E242" i="42"/>
  <c r="E241" i="42"/>
  <c r="E240" i="42"/>
  <c r="E239" i="42"/>
  <c r="E238" i="42"/>
  <c r="F237" i="42"/>
  <c r="F236" i="42"/>
  <c r="F235" i="42"/>
  <c r="E234" i="42"/>
  <c r="E233" i="42"/>
  <c r="D231" i="42"/>
  <c r="E228" i="42"/>
  <c r="E227" i="42"/>
  <c r="E225" i="42"/>
  <c r="I224" i="42"/>
  <c r="E224" i="42"/>
  <c r="F222" i="42"/>
  <c r="F221" i="42"/>
  <c r="F220" i="42"/>
  <c r="E219" i="42"/>
  <c r="E216" i="42"/>
  <c r="E215" i="42"/>
  <c r="E214" i="42"/>
  <c r="E213" i="42"/>
  <c r="E211" i="42"/>
  <c r="E205" i="42"/>
  <c r="E203" i="42"/>
  <c r="E202" i="42"/>
  <c r="E201" i="42"/>
  <c r="E199" i="42"/>
  <c r="E198" i="42"/>
  <c r="E197" i="42"/>
  <c r="E195" i="42"/>
  <c r="E194" i="42"/>
  <c r="E193" i="42"/>
  <c r="E191" i="42"/>
  <c r="E190" i="42"/>
  <c r="E189" i="42"/>
  <c r="E187" i="42"/>
  <c r="E186" i="42"/>
  <c r="E185" i="42"/>
  <c r="E184" i="42"/>
  <c r="E183" i="42"/>
  <c r="E182" i="42"/>
  <c r="F181" i="42"/>
  <c r="F180" i="42"/>
  <c r="F179" i="42"/>
  <c r="F178" i="42"/>
  <c r="F177" i="42"/>
  <c r="E176" i="42"/>
  <c r="E175" i="42"/>
  <c r="E174" i="42"/>
  <c r="E171" i="42"/>
  <c r="E170" i="42"/>
  <c r="E169" i="42"/>
  <c r="E168" i="42"/>
  <c r="E166" i="42"/>
  <c r="E165" i="42"/>
  <c r="E163" i="42"/>
  <c r="E162" i="42"/>
  <c r="E160" i="42"/>
  <c r="E159" i="42"/>
  <c r="E158" i="42"/>
  <c r="E157" i="42"/>
  <c r="E156" i="42"/>
  <c r="E155" i="42"/>
  <c r="E154" i="42"/>
  <c r="E151" i="42"/>
  <c r="F150" i="42"/>
  <c r="F149" i="42"/>
  <c r="F148" i="42"/>
  <c r="F147" i="42"/>
  <c r="F146" i="42"/>
  <c r="E145" i="42"/>
  <c r="E144" i="42"/>
  <c r="E143" i="42"/>
  <c r="E141" i="42"/>
  <c r="E140" i="42"/>
  <c r="E139" i="42"/>
  <c r="E138" i="42"/>
  <c r="E137" i="42"/>
  <c r="D133" i="42"/>
  <c r="E129" i="42"/>
  <c r="E128" i="42"/>
  <c r="E127" i="42"/>
  <c r="E126" i="42"/>
  <c r="E124" i="42"/>
  <c r="E123" i="42"/>
  <c r="E122" i="42"/>
  <c r="E121" i="42"/>
  <c r="E119" i="42"/>
  <c r="E118" i="42"/>
  <c r="E117" i="42"/>
  <c r="E116" i="42"/>
  <c r="E115" i="42"/>
  <c r="E113" i="42"/>
  <c r="E112" i="42"/>
  <c r="E111" i="42"/>
  <c r="E109" i="42"/>
  <c r="E108" i="42"/>
  <c r="I107" i="42"/>
  <c r="E107" i="42"/>
  <c r="E104" i="42"/>
  <c r="G103" i="42"/>
  <c r="E102" i="42"/>
  <c r="E101" i="42"/>
  <c r="E99" i="42"/>
  <c r="E98" i="42"/>
  <c r="G87" i="42"/>
  <c r="E85" i="42"/>
  <c r="E84" i="42"/>
  <c r="F83" i="42"/>
  <c r="F82" i="42"/>
  <c r="F81" i="42"/>
  <c r="E80" i="42"/>
  <c r="E79" i="42"/>
  <c r="E78" i="42"/>
  <c r="E77" i="42"/>
  <c r="E75" i="42"/>
  <c r="G64" i="42"/>
  <c r="E62" i="42"/>
  <c r="E61" i="42"/>
  <c r="E60" i="42"/>
  <c r="E59" i="42"/>
  <c r="I47" i="42"/>
  <c r="E64" i="42" s="1"/>
  <c r="E87" i="42" s="1"/>
  <c r="G47" i="42"/>
  <c r="E47" i="42"/>
  <c r="E45" i="42"/>
  <c r="E44" i="42"/>
  <c r="E43" i="42"/>
  <c r="E42" i="42"/>
  <c r="E41" i="42"/>
  <c r="F40" i="42"/>
  <c r="F39" i="42"/>
  <c r="F38" i="42"/>
  <c r="E37" i="42"/>
  <c r="E36" i="42"/>
  <c r="D34" i="42"/>
  <c r="E31" i="42"/>
  <c r="E30" i="42"/>
  <c r="E28" i="42"/>
  <c r="I27" i="42"/>
  <c r="E27" i="42"/>
  <c r="F25" i="42"/>
  <c r="F24" i="42"/>
  <c r="F23" i="42"/>
  <c r="E22" i="42"/>
  <c r="E19" i="42"/>
  <c r="E18" i="42"/>
  <c r="E17" i="42"/>
  <c r="E16" i="42"/>
  <c r="E14" i="42"/>
  <c r="D10" i="42"/>
  <c r="C33" i="9" s="1"/>
  <c r="E8" i="42"/>
  <c r="D6" i="42"/>
  <c r="C32" i="9" s="1"/>
  <c r="E4" i="42"/>
  <c r="E3" i="42"/>
  <c r="P2" i="42"/>
  <c r="M2" i="42"/>
  <c r="K2" i="42"/>
  <c r="I2" i="42"/>
  <c r="G2" i="42"/>
  <c r="E2" i="42"/>
  <c r="B2" i="42"/>
  <c r="D3034" i="37"/>
  <c r="E3027" i="37"/>
  <c r="E3026" i="37"/>
  <c r="E3022" i="37"/>
  <c r="E3018" i="37"/>
  <c r="E3016" i="37"/>
  <c r="E3015" i="37"/>
  <c r="E3014" i="37"/>
  <c r="E3013" i="37"/>
  <c r="E3010" i="37"/>
  <c r="E3009" i="37"/>
  <c r="E3008" i="37"/>
  <c r="E3007" i="37"/>
  <c r="E3005" i="37"/>
  <c r="E3003" i="37"/>
  <c r="E3002" i="37"/>
  <c r="E3001" i="37"/>
  <c r="E2999" i="37"/>
  <c r="E2998" i="37"/>
  <c r="E2997" i="37"/>
  <c r="E2996" i="37"/>
  <c r="E2994" i="37"/>
  <c r="E2993" i="37"/>
  <c r="E2992" i="37"/>
  <c r="E2990" i="37"/>
  <c r="E2989" i="37"/>
  <c r="E2988" i="37"/>
  <c r="E2987" i="37"/>
  <c r="E2985" i="37"/>
  <c r="E2984" i="37"/>
  <c r="E2983" i="37"/>
  <c r="E2980" i="37"/>
  <c r="E2979" i="37"/>
  <c r="E2977" i="37"/>
  <c r="E2976" i="37"/>
  <c r="E2973" i="37"/>
  <c r="E2971" i="37"/>
  <c r="I2970" i="37"/>
  <c r="E2970" i="37"/>
  <c r="E2967" i="37"/>
  <c r="E2965" i="37"/>
  <c r="E2964" i="37"/>
  <c r="E2963" i="37"/>
  <c r="E2962" i="37"/>
  <c r="E2960" i="37"/>
  <c r="E2959" i="37"/>
  <c r="E2958" i="37"/>
  <c r="E2957" i="37"/>
  <c r="E2955" i="37"/>
  <c r="E2954" i="37"/>
  <c r="E2953" i="37"/>
  <c r="E2952" i="37"/>
  <c r="E2950" i="37"/>
  <c r="E2949" i="37"/>
  <c r="E2948" i="37"/>
  <c r="E2946" i="37"/>
  <c r="E2945" i="37"/>
  <c r="E2944" i="37"/>
  <c r="E2943" i="37"/>
  <c r="E2941" i="37"/>
  <c r="E2940" i="37"/>
  <c r="E2939" i="37"/>
  <c r="E2938" i="37"/>
  <c r="E2937" i="37"/>
  <c r="E2935" i="37"/>
  <c r="E2933" i="37"/>
  <c r="E2932" i="37"/>
  <c r="E2931" i="37"/>
  <c r="E2929" i="37"/>
  <c r="E2928" i="37"/>
  <c r="E2927" i="37"/>
  <c r="E2925" i="37"/>
  <c r="E2924" i="37"/>
  <c r="E2923" i="37"/>
  <c r="E2922" i="37"/>
  <c r="E2921" i="37"/>
  <c r="E2920" i="37"/>
  <c r="E2919" i="37"/>
  <c r="E2918" i="37"/>
  <c r="E2917" i="37"/>
  <c r="E2915" i="37"/>
  <c r="E2913" i="37"/>
  <c r="E2912" i="37"/>
  <c r="E2911" i="37"/>
  <c r="E2910" i="37"/>
  <c r="E2908" i="37"/>
  <c r="E2907" i="37"/>
  <c r="E2906" i="37"/>
  <c r="E2905" i="37"/>
  <c r="E2904" i="37"/>
  <c r="E2903" i="37"/>
  <c r="E2902" i="37"/>
  <c r="E2901" i="37"/>
  <c r="E2900" i="37"/>
  <c r="E2898" i="37"/>
  <c r="E2896" i="37"/>
  <c r="E2895" i="37"/>
  <c r="E2894" i="37"/>
  <c r="E2893" i="37"/>
  <c r="E2892" i="37"/>
  <c r="E2891" i="37"/>
  <c r="E2890" i="37"/>
  <c r="E2889" i="37"/>
  <c r="E2888" i="37"/>
  <c r="E2886" i="37"/>
  <c r="E2885" i="37"/>
  <c r="E2884" i="37"/>
  <c r="E2883" i="37"/>
  <c r="E2882" i="37"/>
  <c r="E2881" i="37"/>
  <c r="E2880" i="37"/>
  <c r="E2879" i="37"/>
  <c r="E2878" i="37"/>
  <c r="E2877" i="37"/>
  <c r="E2875" i="37"/>
  <c r="E2874" i="37"/>
  <c r="E2872" i="37"/>
  <c r="E2871" i="37"/>
  <c r="E2870" i="37"/>
  <c r="E2869" i="37"/>
  <c r="E2868" i="37"/>
  <c r="E2865" i="37"/>
  <c r="F2864" i="37"/>
  <c r="F2863" i="37"/>
  <c r="F2862" i="37"/>
  <c r="F2861" i="37"/>
  <c r="F2860" i="37"/>
  <c r="F2859" i="37"/>
  <c r="F2858" i="37"/>
  <c r="E2857" i="37"/>
  <c r="E2856" i="37"/>
  <c r="E2855" i="37"/>
  <c r="E2853" i="37"/>
  <c r="E2851" i="37"/>
  <c r="E2850" i="37"/>
  <c r="E2849" i="37"/>
  <c r="E2848" i="37"/>
  <c r="D2844" i="37"/>
  <c r="E2841" i="37"/>
  <c r="F2830" i="37"/>
  <c r="E2828" i="37"/>
  <c r="E2826" i="37"/>
  <c r="E2825" i="37"/>
  <c r="E2824" i="37"/>
  <c r="E2822" i="37"/>
  <c r="D2820" i="37"/>
  <c r="E2817" i="37"/>
  <c r="E2816" i="37"/>
  <c r="E2814" i="37"/>
  <c r="E2813" i="37"/>
  <c r="E2810" i="37"/>
  <c r="E2808" i="37"/>
  <c r="I2807" i="37"/>
  <c r="E2807" i="37"/>
  <c r="E2805" i="37"/>
  <c r="E2803" i="37"/>
  <c r="E2802" i="37"/>
  <c r="E2801" i="37"/>
  <c r="E2800" i="37"/>
  <c r="E2799" i="37"/>
  <c r="E2798" i="37"/>
  <c r="E2797" i="37"/>
  <c r="E2796" i="37"/>
  <c r="E2795" i="37"/>
  <c r="E2792" i="37"/>
  <c r="E2791" i="37"/>
  <c r="E2789" i="37"/>
  <c r="E2788" i="37"/>
  <c r="E2785" i="37"/>
  <c r="E2783" i="37"/>
  <c r="I2782" i="37"/>
  <c r="E2782" i="37"/>
  <c r="E2780" i="37"/>
  <c r="E2776" i="37"/>
  <c r="E2775" i="37"/>
  <c r="E2774" i="37"/>
  <c r="E2773" i="37"/>
  <c r="E2772" i="37"/>
  <c r="E2771" i="37"/>
  <c r="E2770" i="37"/>
  <c r="E2769" i="37"/>
  <c r="E2768" i="37"/>
  <c r="E2767" i="37"/>
  <c r="D2765" i="37"/>
  <c r="E2762" i="37"/>
  <c r="E2761" i="37"/>
  <c r="E2759" i="37"/>
  <c r="E2758" i="37"/>
  <c r="E2755" i="37"/>
  <c r="E2753" i="37"/>
  <c r="I2752" i="37"/>
  <c r="E2752" i="37"/>
  <c r="F2750" i="37"/>
  <c r="F2749" i="37"/>
  <c r="E2748" i="37"/>
  <c r="E2747" i="37"/>
  <c r="E2746" i="37"/>
  <c r="E2744" i="37"/>
  <c r="E2743" i="37"/>
  <c r="E2741" i="37"/>
  <c r="E2740" i="37"/>
  <c r="E2738" i="37"/>
  <c r="E2737" i="37"/>
  <c r="E2736" i="37"/>
  <c r="E2735" i="37"/>
  <c r="E2734" i="37"/>
  <c r="E2732" i="37"/>
  <c r="E2725" i="37"/>
  <c r="E2724" i="37"/>
  <c r="E2720" i="37"/>
  <c r="E2716" i="37"/>
  <c r="E2714" i="37"/>
  <c r="E2713" i="37"/>
  <c r="E2712" i="37"/>
  <c r="E2711" i="37"/>
  <c r="E2708" i="37"/>
  <c r="E2707" i="37"/>
  <c r="E2706" i="37"/>
  <c r="E2705" i="37"/>
  <c r="E2703" i="37"/>
  <c r="E2701" i="37"/>
  <c r="E2700" i="37"/>
  <c r="E2699" i="37"/>
  <c r="E2697" i="37"/>
  <c r="E2696" i="37"/>
  <c r="E2695" i="37"/>
  <c r="E2694" i="37"/>
  <c r="E2692" i="37"/>
  <c r="E2691" i="37"/>
  <c r="E2690" i="37"/>
  <c r="E2688" i="37"/>
  <c r="E2687" i="37"/>
  <c r="E2686" i="37"/>
  <c r="E2685" i="37"/>
  <c r="E2683" i="37"/>
  <c r="E2682" i="37"/>
  <c r="E2681" i="37"/>
  <c r="E2678" i="37"/>
  <c r="E2677" i="37"/>
  <c r="E2675" i="37"/>
  <c r="E2674" i="37"/>
  <c r="E2671" i="37"/>
  <c r="E2669" i="37"/>
  <c r="I2668" i="37"/>
  <c r="E2668" i="37"/>
  <c r="E2665" i="37"/>
  <c r="E2663" i="37"/>
  <c r="E2662" i="37"/>
  <c r="E2661" i="37"/>
  <c r="E2660" i="37"/>
  <c r="E2658" i="37"/>
  <c r="E2657" i="37"/>
  <c r="E2656" i="37"/>
  <c r="E2655" i="37"/>
  <c r="E2653" i="37"/>
  <c r="E2652" i="37"/>
  <c r="E2651" i="37"/>
  <c r="E2650" i="37"/>
  <c r="E2648" i="37"/>
  <c r="E2647" i="37"/>
  <c r="E2646" i="37"/>
  <c r="E2644" i="37"/>
  <c r="E2643" i="37"/>
  <c r="E2642" i="37"/>
  <c r="E2641" i="37"/>
  <c r="E2639" i="37"/>
  <c r="E2638" i="37"/>
  <c r="E2637" i="37"/>
  <c r="E2636" i="37"/>
  <c r="E2635" i="37"/>
  <c r="E2633" i="37"/>
  <c r="E2631" i="37"/>
  <c r="E2630" i="37"/>
  <c r="E2629" i="37"/>
  <c r="E2627" i="37"/>
  <c r="E2626" i="37"/>
  <c r="E2625" i="37"/>
  <c r="E2623" i="37"/>
  <c r="E2622" i="37"/>
  <c r="E2621" i="37"/>
  <c r="E2620" i="37"/>
  <c r="E2619" i="37"/>
  <c r="E2618" i="37"/>
  <c r="E2617" i="37"/>
  <c r="E2616" i="37"/>
  <c r="E2615" i="37"/>
  <c r="E2613" i="37"/>
  <c r="E2611" i="37"/>
  <c r="E2610" i="37"/>
  <c r="E2609" i="37"/>
  <c r="E2608" i="37"/>
  <c r="E2606" i="37"/>
  <c r="E2605" i="37"/>
  <c r="E2604" i="37"/>
  <c r="E2603" i="37"/>
  <c r="E2602" i="37"/>
  <c r="E2601" i="37"/>
  <c r="E2600" i="37"/>
  <c r="E2599" i="37"/>
  <c r="E2598" i="37"/>
  <c r="E2596" i="37"/>
  <c r="E2594" i="37"/>
  <c r="E2593" i="37"/>
  <c r="E2592" i="37"/>
  <c r="E2591" i="37"/>
  <c r="E2590" i="37"/>
  <c r="E2589" i="37"/>
  <c r="E2588" i="37"/>
  <c r="E2587" i="37"/>
  <c r="E2586" i="37"/>
  <c r="E2584" i="37"/>
  <c r="E2583" i="37"/>
  <c r="E2582" i="37"/>
  <c r="E2581" i="37"/>
  <c r="E2580" i="37"/>
  <c r="E2579" i="37"/>
  <c r="E2578" i="37"/>
  <c r="E2577" i="37"/>
  <c r="E2576" i="37"/>
  <c r="E2575" i="37"/>
  <c r="E2573" i="37"/>
  <c r="E2572" i="37"/>
  <c r="E2570" i="37"/>
  <c r="E2569" i="37"/>
  <c r="E2568" i="37"/>
  <c r="E2567" i="37"/>
  <c r="E2566" i="37"/>
  <c r="E2563" i="37"/>
  <c r="F2562" i="37"/>
  <c r="F2561" i="37"/>
  <c r="F2560" i="37"/>
  <c r="F2559" i="37"/>
  <c r="F2558" i="37"/>
  <c r="F2557" i="37"/>
  <c r="F2556" i="37"/>
  <c r="E2555" i="37"/>
  <c r="E2554" i="37"/>
  <c r="E2553" i="37"/>
  <c r="E2551" i="37"/>
  <c r="E2549" i="37"/>
  <c r="E2548" i="37"/>
  <c r="E2547" i="37"/>
  <c r="E2546" i="37"/>
  <c r="D2542" i="37"/>
  <c r="E2539" i="37"/>
  <c r="F2528" i="37"/>
  <c r="E2526" i="37"/>
  <c r="E2524" i="37"/>
  <c r="E2523" i="37"/>
  <c r="E2522" i="37"/>
  <c r="E2520" i="37"/>
  <c r="D2518" i="37"/>
  <c r="E2515" i="37"/>
  <c r="E2514" i="37"/>
  <c r="E2512" i="37"/>
  <c r="E2511" i="37"/>
  <c r="E2508" i="37"/>
  <c r="E2506" i="37"/>
  <c r="I2505" i="37"/>
  <c r="E2505" i="37"/>
  <c r="E2503" i="37"/>
  <c r="E2501" i="37"/>
  <c r="E2500" i="37"/>
  <c r="E2499" i="37"/>
  <c r="E2498" i="37"/>
  <c r="E2497" i="37"/>
  <c r="E2496" i="37"/>
  <c r="E2495" i="37"/>
  <c r="E2494" i="37"/>
  <c r="E2493" i="37"/>
  <c r="E2490" i="37"/>
  <c r="E2489" i="37"/>
  <c r="E2487" i="37"/>
  <c r="E2486" i="37"/>
  <c r="E2483" i="37"/>
  <c r="E2481" i="37"/>
  <c r="I2480" i="37"/>
  <c r="E2480" i="37"/>
  <c r="E2478" i="37"/>
  <c r="E2474" i="37"/>
  <c r="E2473" i="37"/>
  <c r="E2472" i="37"/>
  <c r="E2471" i="37"/>
  <c r="E2470" i="37"/>
  <c r="E2469" i="37"/>
  <c r="E2468" i="37"/>
  <c r="E2467" i="37"/>
  <c r="E2466" i="37"/>
  <c r="E2465" i="37"/>
  <c r="D2463" i="37"/>
  <c r="E2460" i="37"/>
  <c r="E2459" i="37"/>
  <c r="E2457" i="37"/>
  <c r="E2456" i="37"/>
  <c r="E2453" i="37"/>
  <c r="E2451" i="37"/>
  <c r="I2450" i="37"/>
  <c r="E2450" i="37"/>
  <c r="F2448" i="37"/>
  <c r="F2447" i="37"/>
  <c r="E2446" i="37"/>
  <c r="E2445" i="37"/>
  <c r="E2444" i="37"/>
  <c r="E2442" i="37"/>
  <c r="E2441" i="37"/>
  <c r="E2439" i="37"/>
  <c r="E2438" i="37"/>
  <c r="E2436" i="37"/>
  <c r="E2435" i="37"/>
  <c r="E2434" i="37"/>
  <c r="E2433" i="37"/>
  <c r="E2432" i="37"/>
  <c r="E2430" i="37"/>
  <c r="E2423" i="37"/>
  <c r="E2422" i="37"/>
  <c r="E2418" i="37"/>
  <c r="E2414" i="37"/>
  <c r="E2412" i="37"/>
  <c r="E2411" i="37"/>
  <c r="E2410" i="37"/>
  <c r="E2409" i="37"/>
  <c r="E2406" i="37"/>
  <c r="E2405" i="37"/>
  <c r="E2404" i="37"/>
  <c r="E2403" i="37"/>
  <c r="E2401" i="37"/>
  <c r="E2399" i="37"/>
  <c r="E2398" i="37"/>
  <c r="E2397" i="37"/>
  <c r="E2395" i="37"/>
  <c r="E2394" i="37"/>
  <c r="E2393" i="37"/>
  <c r="E2392" i="37"/>
  <c r="E2390" i="37"/>
  <c r="E2389" i="37"/>
  <c r="E2388" i="37"/>
  <c r="E2386" i="37"/>
  <c r="E2385" i="37"/>
  <c r="E2384" i="37"/>
  <c r="E2383" i="37"/>
  <c r="E2381" i="37"/>
  <c r="E2380" i="37"/>
  <c r="E2379" i="37"/>
  <c r="E2376" i="37"/>
  <c r="E2375" i="37"/>
  <c r="E2373" i="37"/>
  <c r="E2372" i="37"/>
  <c r="E2369" i="37"/>
  <c r="E2367" i="37"/>
  <c r="I2366" i="37"/>
  <c r="E2366" i="37"/>
  <c r="E2363" i="37"/>
  <c r="E2361" i="37"/>
  <c r="E2360" i="37"/>
  <c r="E2359" i="37"/>
  <c r="E2358" i="37"/>
  <c r="E2356" i="37"/>
  <c r="E2355" i="37"/>
  <c r="E2354" i="37"/>
  <c r="E2353" i="37"/>
  <c r="E2351" i="37"/>
  <c r="E2350" i="37"/>
  <c r="E2349" i="37"/>
  <c r="E2348" i="37"/>
  <c r="E2346" i="37"/>
  <c r="E2345" i="37"/>
  <c r="E2344" i="37"/>
  <c r="E2342" i="37"/>
  <c r="E2341" i="37"/>
  <c r="E2340" i="37"/>
  <c r="E2339" i="37"/>
  <c r="E2337" i="37"/>
  <c r="E2336" i="37"/>
  <c r="E2335" i="37"/>
  <c r="E2334" i="37"/>
  <c r="E2333" i="37"/>
  <c r="E2331" i="37"/>
  <c r="E2329" i="37"/>
  <c r="E2328" i="37"/>
  <c r="E2327" i="37"/>
  <c r="E2325" i="37"/>
  <c r="E2324" i="37"/>
  <c r="E2323" i="37"/>
  <c r="E2321" i="37"/>
  <c r="E2320" i="37"/>
  <c r="E2319" i="37"/>
  <c r="E2318" i="37"/>
  <c r="E2317" i="37"/>
  <c r="E2316" i="37"/>
  <c r="E2315" i="37"/>
  <c r="E2314" i="37"/>
  <c r="E2313" i="37"/>
  <c r="E2311" i="37"/>
  <c r="E2309" i="37"/>
  <c r="E2308" i="37"/>
  <c r="E2307" i="37"/>
  <c r="E2306" i="37"/>
  <c r="E2304" i="37"/>
  <c r="E2303" i="37"/>
  <c r="E2302" i="37"/>
  <c r="E2301" i="37"/>
  <c r="E2300" i="37"/>
  <c r="E2299" i="37"/>
  <c r="E2298" i="37"/>
  <c r="E2297" i="37"/>
  <c r="E2296" i="37"/>
  <c r="E2294" i="37"/>
  <c r="E2292" i="37"/>
  <c r="E2291" i="37"/>
  <c r="E2290" i="37"/>
  <c r="E2289" i="37"/>
  <c r="E2288" i="37"/>
  <c r="E2287" i="37"/>
  <c r="E2286" i="37"/>
  <c r="E2285" i="37"/>
  <c r="E2284" i="37"/>
  <c r="E2282" i="37"/>
  <c r="E2281" i="37"/>
  <c r="E2280" i="37"/>
  <c r="E2279" i="37"/>
  <c r="E2278" i="37"/>
  <c r="E2277" i="37"/>
  <c r="E2276" i="37"/>
  <c r="E2275" i="37"/>
  <c r="E2274" i="37"/>
  <c r="E2273" i="37"/>
  <c r="E2271" i="37"/>
  <c r="E2270" i="37"/>
  <c r="E2268" i="37"/>
  <c r="E2267" i="37"/>
  <c r="E2266" i="37"/>
  <c r="E2265" i="37"/>
  <c r="E2264" i="37"/>
  <c r="E2261" i="37"/>
  <c r="F2260" i="37"/>
  <c r="F2259" i="37"/>
  <c r="F2258" i="37"/>
  <c r="F2257" i="37"/>
  <c r="F2256" i="37"/>
  <c r="F2255" i="37"/>
  <c r="F2254" i="37"/>
  <c r="E2253" i="37"/>
  <c r="E2252" i="37"/>
  <c r="E2251" i="37"/>
  <c r="E2249" i="37"/>
  <c r="E2247" i="37"/>
  <c r="E2246" i="37"/>
  <c r="E2245" i="37"/>
  <c r="E2244" i="37"/>
  <c r="D2240" i="37"/>
  <c r="E2237" i="37"/>
  <c r="F2226" i="37"/>
  <c r="E2224" i="37"/>
  <c r="E2222" i="37"/>
  <c r="E2221" i="37"/>
  <c r="E2220" i="37"/>
  <c r="E2218" i="37"/>
  <c r="D2216" i="37"/>
  <c r="E2213" i="37"/>
  <c r="E2212" i="37"/>
  <c r="E2210" i="37"/>
  <c r="E2209" i="37"/>
  <c r="E2206" i="37"/>
  <c r="E2204" i="37"/>
  <c r="I2203" i="37"/>
  <c r="E2203" i="37"/>
  <c r="E2201" i="37"/>
  <c r="E2199" i="37"/>
  <c r="E2198" i="37"/>
  <c r="E2197" i="37"/>
  <c r="E2196" i="37"/>
  <c r="E2195" i="37"/>
  <c r="E2194" i="37"/>
  <c r="E2193" i="37"/>
  <c r="E2192" i="37"/>
  <c r="E2191" i="37"/>
  <c r="E2188" i="37"/>
  <c r="E2187" i="37"/>
  <c r="E2185" i="37"/>
  <c r="E2184" i="37"/>
  <c r="E2181" i="37"/>
  <c r="E2179" i="37"/>
  <c r="I2178" i="37"/>
  <c r="E2178" i="37"/>
  <c r="E2176" i="37"/>
  <c r="E2172" i="37"/>
  <c r="E2171" i="37"/>
  <c r="E2170" i="37"/>
  <c r="E2169" i="37"/>
  <c r="E2168" i="37"/>
  <c r="E2167" i="37"/>
  <c r="E2166" i="37"/>
  <c r="E2165" i="37"/>
  <c r="E2164" i="37"/>
  <c r="E2163" i="37"/>
  <c r="D2161" i="37"/>
  <c r="E2158" i="37"/>
  <c r="E2157" i="37"/>
  <c r="E2155" i="37"/>
  <c r="E2154" i="37"/>
  <c r="E2151" i="37"/>
  <c r="E2149" i="37"/>
  <c r="I2148" i="37"/>
  <c r="E2148" i="37"/>
  <c r="F2146" i="37"/>
  <c r="F2145" i="37"/>
  <c r="E2144" i="37"/>
  <c r="E2143" i="37"/>
  <c r="E2142" i="37"/>
  <c r="E2140" i="37"/>
  <c r="E2139" i="37"/>
  <c r="E2137" i="37"/>
  <c r="E2136" i="37"/>
  <c r="E2134" i="37"/>
  <c r="E2133" i="37"/>
  <c r="E2132" i="37"/>
  <c r="E2131" i="37"/>
  <c r="E2130" i="37"/>
  <c r="E2128" i="37"/>
  <c r="E2121" i="37"/>
  <c r="E2120" i="37"/>
  <c r="E2116" i="37"/>
  <c r="E2112" i="37"/>
  <c r="E2110" i="37"/>
  <c r="E2109" i="37"/>
  <c r="E2108" i="37"/>
  <c r="E2107" i="37"/>
  <c r="E2104" i="37"/>
  <c r="E2103" i="37"/>
  <c r="E2102" i="37"/>
  <c r="E2101" i="37"/>
  <c r="E2099" i="37"/>
  <c r="E2097" i="37"/>
  <c r="E2096" i="37"/>
  <c r="E2095" i="37"/>
  <c r="E2093" i="37"/>
  <c r="E2092" i="37"/>
  <c r="E2091" i="37"/>
  <c r="E2090" i="37"/>
  <c r="E2088" i="37"/>
  <c r="E2087" i="37"/>
  <c r="E2086" i="37"/>
  <c r="E2084" i="37"/>
  <c r="E2083" i="37"/>
  <c r="E2082" i="37"/>
  <c r="E2081" i="37"/>
  <c r="E2079" i="37"/>
  <c r="E2078" i="37"/>
  <c r="E2077" i="37"/>
  <c r="E2074" i="37"/>
  <c r="E2073" i="37"/>
  <c r="E2071" i="37"/>
  <c r="E2070" i="37"/>
  <c r="E2067" i="37"/>
  <c r="E2065" i="37"/>
  <c r="I2064" i="37"/>
  <c r="E2064" i="37"/>
  <c r="E2061" i="37"/>
  <c r="E2059" i="37"/>
  <c r="E2058" i="37"/>
  <c r="E2057" i="37"/>
  <c r="E2056" i="37"/>
  <c r="E2054" i="37"/>
  <c r="E2053" i="37"/>
  <c r="E2052" i="37"/>
  <c r="E2051" i="37"/>
  <c r="E2049" i="37"/>
  <c r="E2048" i="37"/>
  <c r="E2047" i="37"/>
  <c r="E2046" i="37"/>
  <c r="E2044" i="37"/>
  <c r="E2043" i="37"/>
  <c r="E2042" i="37"/>
  <c r="E2040" i="37"/>
  <c r="E2039" i="37"/>
  <c r="E2038" i="37"/>
  <c r="E2037" i="37"/>
  <c r="E2035" i="37"/>
  <c r="E2034" i="37"/>
  <c r="E2033" i="37"/>
  <c r="E2032" i="37"/>
  <c r="E2031" i="37"/>
  <c r="E2029" i="37"/>
  <c r="E2027" i="37"/>
  <c r="E2026" i="37"/>
  <c r="E2025" i="37"/>
  <c r="E2023" i="37"/>
  <c r="E2022" i="37"/>
  <c r="E2021" i="37"/>
  <c r="E2019" i="37"/>
  <c r="E2018" i="37"/>
  <c r="E2017" i="37"/>
  <c r="E2016" i="37"/>
  <c r="E2015" i="37"/>
  <c r="E2014" i="37"/>
  <c r="E2013" i="37"/>
  <c r="E2012" i="37"/>
  <c r="E2011" i="37"/>
  <c r="E2009" i="37"/>
  <c r="E2007" i="37"/>
  <c r="E2006" i="37"/>
  <c r="E2005" i="37"/>
  <c r="E2004" i="37"/>
  <c r="E2002" i="37"/>
  <c r="E2001" i="37"/>
  <c r="E2000" i="37"/>
  <c r="E1999" i="37"/>
  <c r="E1998" i="37"/>
  <c r="E1997" i="37"/>
  <c r="E1996" i="37"/>
  <c r="E1995" i="37"/>
  <c r="E1994" i="37"/>
  <c r="E1992" i="37"/>
  <c r="E1990" i="37"/>
  <c r="E1989" i="37"/>
  <c r="E1988" i="37"/>
  <c r="E1987" i="37"/>
  <c r="E1986" i="37"/>
  <c r="E1985" i="37"/>
  <c r="E1984" i="37"/>
  <c r="E1983" i="37"/>
  <c r="E1982" i="37"/>
  <c r="E1980" i="37"/>
  <c r="E1979" i="37"/>
  <c r="E1978" i="37"/>
  <c r="E1977" i="37"/>
  <c r="E1976" i="37"/>
  <c r="E1975" i="37"/>
  <c r="E1974" i="37"/>
  <c r="E1973" i="37"/>
  <c r="E1972" i="37"/>
  <c r="E1971" i="37"/>
  <c r="E1969" i="37"/>
  <c r="E1968" i="37"/>
  <c r="E1966" i="37"/>
  <c r="E1965" i="37"/>
  <c r="E1964" i="37"/>
  <c r="E1963" i="37"/>
  <c r="E1962" i="37"/>
  <c r="E1959" i="37"/>
  <c r="F1958" i="37"/>
  <c r="F1957" i="37"/>
  <c r="F1956" i="37"/>
  <c r="F1955" i="37"/>
  <c r="F1954" i="37"/>
  <c r="F1953" i="37"/>
  <c r="F1952" i="37"/>
  <c r="E1951" i="37"/>
  <c r="E1950" i="37"/>
  <c r="E1949" i="37"/>
  <c r="E1947" i="37"/>
  <c r="E1945" i="37"/>
  <c r="E1944" i="37"/>
  <c r="E1943" i="37"/>
  <c r="E1942" i="37"/>
  <c r="D1938" i="37"/>
  <c r="E1935" i="37"/>
  <c r="F1924" i="37"/>
  <c r="E1922" i="37"/>
  <c r="E1920" i="37"/>
  <c r="E1919" i="37"/>
  <c r="E1918" i="37"/>
  <c r="E1916" i="37"/>
  <c r="D1914" i="37"/>
  <c r="E1911" i="37"/>
  <c r="E1910" i="37"/>
  <c r="E1908" i="37"/>
  <c r="E1907" i="37"/>
  <c r="E1904" i="37"/>
  <c r="E1902" i="37"/>
  <c r="I1901" i="37"/>
  <c r="E1901" i="37"/>
  <c r="E1899" i="37"/>
  <c r="E1897" i="37"/>
  <c r="E1896" i="37"/>
  <c r="E1895" i="37"/>
  <c r="E1894" i="37"/>
  <c r="E1893" i="37"/>
  <c r="E1892" i="37"/>
  <c r="E1891" i="37"/>
  <c r="E1890" i="37"/>
  <c r="E1889" i="37"/>
  <c r="E1886" i="37"/>
  <c r="E1885" i="37"/>
  <c r="E1883" i="37"/>
  <c r="E1882" i="37"/>
  <c r="E1879" i="37"/>
  <c r="E1877" i="37"/>
  <c r="I1876" i="37"/>
  <c r="E1876" i="37"/>
  <c r="E1874" i="37"/>
  <c r="E1870" i="37"/>
  <c r="E1869" i="37"/>
  <c r="E1868" i="37"/>
  <c r="E1867" i="37"/>
  <c r="E1866" i="37"/>
  <c r="E1865" i="37"/>
  <c r="E1864" i="37"/>
  <c r="E1863" i="37"/>
  <c r="E1862" i="37"/>
  <c r="E1861" i="37"/>
  <c r="D1859" i="37"/>
  <c r="E1856" i="37"/>
  <c r="E1855" i="37"/>
  <c r="E1853" i="37"/>
  <c r="E1852" i="37"/>
  <c r="E1849" i="37"/>
  <c r="E1847" i="37"/>
  <c r="I1846" i="37"/>
  <c r="E1846" i="37"/>
  <c r="F1844" i="37"/>
  <c r="F1843" i="37"/>
  <c r="E1842" i="37"/>
  <c r="E1841" i="37"/>
  <c r="E1840" i="37"/>
  <c r="E1838" i="37"/>
  <c r="E1837" i="37"/>
  <c r="E1835" i="37"/>
  <c r="E1834" i="37"/>
  <c r="E1832" i="37"/>
  <c r="E1831" i="37"/>
  <c r="E1830" i="37"/>
  <c r="E1829" i="37"/>
  <c r="E1828" i="37"/>
  <c r="E1826" i="37"/>
  <c r="E1819" i="37"/>
  <c r="E1818" i="37"/>
  <c r="E1814" i="37"/>
  <c r="E1810" i="37"/>
  <c r="E1808" i="37"/>
  <c r="E1807" i="37"/>
  <c r="E1806" i="37"/>
  <c r="E1805" i="37"/>
  <c r="E1802" i="37"/>
  <c r="E1801" i="37"/>
  <c r="E1800" i="37"/>
  <c r="E1799" i="37"/>
  <c r="E1797" i="37"/>
  <c r="E1795" i="37"/>
  <c r="E1794" i="37"/>
  <c r="E1793" i="37"/>
  <c r="E1791" i="37"/>
  <c r="E1790" i="37"/>
  <c r="E1789" i="37"/>
  <c r="E1788" i="37"/>
  <c r="E1786" i="37"/>
  <c r="E1785" i="37"/>
  <c r="E1784" i="37"/>
  <c r="E1782" i="37"/>
  <c r="E1781" i="37"/>
  <c r="E1780" i="37"/>
  <c r="E1779" i="37"/>
  <c r="E1777" i="37"/>
  <c r="E1776" i="37"/>
  <c r="E1775" i="37"/>
  <c r="E1772" i="37"/>
  <c r="E1771" i="37"/>
  <c r="E1769" i="37"/>
  <c r="E1768" i="37"/>
  <c r="E1765" i="37"/>
  <c r="E1763" i="37"/>
  <c r="I1762" i="37"/>
  <c r="E1762" i="37"/>
  <c r="E1759" i="37"/>
  <c r="E1757" i="37"/>
  <c r="E1756" i="37"/>
  <c r="E1755" i="37"/>
  <c r="E1754" i="37"/>
  <c r="E1752" i="37"/>
  <c r="E1751" i="37"/>
  <c r="E1750" i="37"/>
  <c r="E1749" i="37"/>
  <c r="E1747" i="37"/>
  <c r="E1746" i="37"/>
  <c r="E1745" i="37"/>
  <c r="E1744" i="37"/>
  <c r="E1742" i="37"/>
  <c r="E1741" i="37"/>
  <c r="E1740" i="37"/>
  <c r="E1738" i="37"/>
  <c r="E1737" i="37"/>
  <c r="E1736" i="37"/>
  <c r="E1735" i="37"/>
  <c r="E1733" i="37"/>
  <c r="E1732" i="37"/>
  <c r="E1731" i="37"/>
  <c r="E1730" i="37"/>
  <c r="E1729" i="37"/>
  <c r="E1727" i="37"/>
  <c r="E1725" i="37"/>
  <c r="E1724" i="37"/>
  <c r="E1723" i="37"/>
  <c r="E1721" i="37"/>
  <c r="E1720" i="37"/>
  <c r="E1719" i="37"/>
  <c r="E1717" i="37"/>
  <c r="E1716" i="37"/>
  <c r="E1715" i="37"/>
  <c r="E1714" i="37"/>
  <c r="E1713" i="37"/>
  <c r="E1712" i="37"/>
  <c r="E1711" i="37"/>
  <c r="E1710" i="37"/>
  <c r="E1709" i="37"/>
  <c r="E1707" i="37"/>
  <c r="E1705" i="37"/>
  <c r="E1704" i="37"/>
  <c r="E1703" i="37"/>
  <c r="E1702" i="37"/>
  <c r="E1700" i="37"/>
  <c r="E1699" i="37"/>
  <c r="E1698" i="37"/>
  <c r="E1697" i="37"/>
  <c r="E1696" i="37"/>
  <c r="E1695" i="37"/>
  <c r="E1694" i="37"/>
  <c r="E1693" i="37"/>
  <c r="E1692" i="37"/>
  <c r="E1690" i="37"/>
  <c r="E1688" i="37"/>
  <c r="E1687" i="37"/>
  <c r="E1686" i="37"/>
  <c r="E1685" i="37"/>
  <c r="E1684" i="37"/>
  <c r="E1683" i="37"/>
  <c r="E1682" i="37"/>
  <c r="E1681" i="37"/>
  <c r="E1680" i="37"/>
  <c r="E1678" i="37"/>
  <c r="E1677" i="37"/>
  <c r="E1676" i="37"/>
  <c r="E1675" i="37"/>
  <c r="E1674" i="37"/>
  <c r="E1673" i="37"/>
  <c r="E1672" i="37"/>
  <c r="E1671" i="37"/>
  <c r="E1670" i="37"/>
  <c r="E1669" i="37"/>
  <c r="E1667" i="37"/>
  <c r="E1666" i="37"/>
  <c r="E1664" i="37"/>
  <c r="E1663" i="37"/>
  <c r="E1662" i="37"/>
  <c r="E1661" i="37"/>
  <c r="E1660" i="37"/>
  <c r="E1657" i="37"/>
  <c r="F1656" i="37"/>
  <c r="F1655" i="37"/>
  <c r="F1654" i="37"/>
  <c r="F1653" i="37"/>
  <c r="F1652" i="37"/>
  <c r="F1651" i="37"/>
  <c r="F1650" i="37"/>
  <c r="E1649" i="37"/>
  <c r="E1648" i="37"/>
  <c r="E1647" i="37"/>
  <c r="E1645" i="37"/>
  <c r="E1643" i="37"/>
  <c r="E1642" i="37"/>
  <c r="E1641" i="37"/>
  <c r="E1640" i="37"/>
  <c r="D1636" i="37"/>
  <c r="E1633" i="37"/>
  <c r="F1622" i="37"/>
  <c r="E1620" i="37"/>
  <c r="E1618" i="37"/>
  <c r="E1617" i="37"/>
  <c r="E1616" i="37"/>
  <c r="E1614" i="37"/>
  <c r="D1612" i="37"/>
  <c r="E1609" i="37"/>
  <c r="E1608" i="37"/>
  <c r="E1606" i="37"/>
  <c r="E1605" i="37"/>
  <c r="E1602" i="37"/>
  <c r="E1600" i="37"/>
  <c r="I1599" i="37"/>
  <c r="E1599" i="37"/>
  <c r="E1597" i="37"/>
  <c r="E1595" i="37"/>
  <c r="E1594" i="37"/>
  <c r="E1593" i="37"/>
  <c r="E1592" i="37"/>
  <c r="E1591" i="37"/>
  <c r="E1590" i="37"/>
  <c r="E1589" i="37"/>
  <c r="E1588" i="37"/>
  <c r="E1587" i="37"/>
  <c r="E1584" i="37"/>
  <c r="E1583" i="37"/>
  <c r="E1581" i="37"/>
  <c r="E1580" i="37"/>
  <c r="E1577" i="37"/>
  <c r="E1575" i="37"/>
  <c r="I1574" i="37"/>
  <c r="E1574" i="37"/>
  <c r="E1572" i="37"/>
  <c r="E1568" i="37"/>
  <c r="E1567" i="37"/>
  <c r="E1566" i="37"/>
  <c r="E1565" i="37"/>
  <c r="E1564" i="37"/>
  <c r="E1563" i="37"/>
  <c r="E1562" i="37"/>
  <c r="E1561" i="37"/>
  <c r="E1560" i="37"/>
  <c r="E1559" i="37"/>
  <c r="D1557" i="37"/>
  <c r="E1554" i="37"/>
  <c r="E1553" i="37"/>
  <c r="E1551" i="37"/>
  <c r="E1550" i="37"/>
  <c r="E1547" i="37"/>
  <c r="E1545" i="37"/>
  <c r="I1544" i="37"/>
  <c r="E1544" i="37"/>
  <c r="F1542" i="37"/>
  <c r="F1541" i="37"/>
  <c r="E1540" i="37"/>
  <c r="E1539" i="37"/>
  <c r="E1538" i="37"/>
  <c r="E1536" i="37"/>
  <c r="E1535" i="37"/>
  <c r="E1533" i="37"/>
  <c r="E1532" i="37"/>
  <c r="E1530" i="37"/>
  <c r="E1529" i="37"/>
  <c r="E1528" i="37"/>
  <c r="E1527" i="37"/>
  <c r="E1526" i="37"/>
  <c r="E1524" i="37"/>
  <c r="E1517" i="37"/>
  <c r="E1516" i="37"/>
  <c r="E1512" i="37"/>
  <c r="E1508" i="37"/>
  <c r="E1506" i="37"/>
  <c r="E1505" i="37"/>
  <c r="E1504" i="37"/>
  <c r="E1503" i="37"/>
  <c r="E1500" i="37"/>
  <c r="E1499" i="37"/>
  <c r="E1498" i="37"/>
  <c r="E1497" i="37"/>
  <c r="E1495" i="37"/>
  <c r="E1493" i="37"/>
  <c r="E1492" i="37"/>
  <c r="E1491" i="37"/>
  <c r="E1489" i="37"/>
  <c r="E1488" i="37"/>
  <c r="E1487" i="37"/>
  <c r="E1486" i="37"/>
  <c r="E1484" i="37"/>
  <c r="E1483" i="37"/>
  <c r="E1482" i="37"/>
  <c r="E1480" i="37"/>
  <c r="E1479" i="37"/>
  <c r="E1478" i="37"/>
  <c r="E1477" i="37"/>
  <c r="E1475" i="37"/>
  <c r="E1474" i="37"/>
  <c r="E1473" i="37"/>
  <c r="E1470" i="37"/>
  <c r="E1469" i="37"/>
  <c r="E1467" i="37"/>
  <c r="E1466" i="37"/>
  <c r="E1463" i="37"/>
  <c r="E1461" i="37"/>
  <c r="I1460" i="37"/>
  <c r="E1460" i="37"/>
  <c r="E1457" i="37"/>
  <c r="E1455" i="37"/>
  <c r="E1454" i="37"/>
  <c r="E1453" i="37"/>
  <c r="E1452" i="37"/>
  <c r="E1450" i="37"/>
  <c r="E1449" i="37"/>
  <c r="E1448" i="37"/>
  <c r="E1447" i="37"/>
  <c r="E1445" i="37"/>
  <c r="E1444" i="37"/>
  <c r="E1443" i="37"/>
  <c r="E1442" i="37"/>
  <c r="E1440" i="37"/>
  <c r="E1439" i="37"/>
  <c r="E1438" i="37"/>
  <c r="E1436" i="37"/>
  <c r="E1435" i="37"/>
  <c r="E1434" i="37"/>
  <c r="E1433" i="37"/>
  <c r="E1431" i="37"/>
  <c r="E1430" i="37"/>
  <c r="E1429" i="37"/>
  <c r="E1428" i="37"/>
  <c r="E1427" i="37"/>
  <c r="E1425" i="37"/>
  <c r="E1423" i="37"/>
  <c r="E1422" i="37"/>
  <c r="E1421" i="37"/>
  <c r="E1419" i="37"/>
  <c r="E1418" i="37"/>
  <c r="E1417" i="37"/>
  <c r="E1415" i="37"/>
  <c r="E1414" i="37"/>
  <c r="E1413" i="37"/>
  <c r="E1412" i="37"/>
  <c r="E1411" i="37"/>
  <c r="E1410" i="37"/>
  <c r="E1409" i="37"/>
  <c r="E1408" i="37"/>
  <c r="E1407" i="37"/>
  <c r="E1405" i="37"/>
  <c r="E1403" i="37"/>
  <c r="E1402" i="37"/>
  <c r="E1401" i="37"/>
  <c r="E1400" i="37"/>
  <c r="E1398" i="37"/>
  <c r="E1397" i="37"/>
  <c r="E1396" i="37"/>
  <c r="E1395" i="37"/>
  <c r="E1394" i="37"/>
  <c r="E1393" i="37"/>
  <c r="E1392" i="37"/>
  <c r="E1391" i="37"/>
  <c r="E1390" i="37"/>
  <c r="E1388" i="37"/>
  <c r="E1386" i="37"/>
  <c r="E1385" i="37"/>
  <c r="E1384" i="37"/>
  <c r="E1383" i="37"/>
  <c r="E1382" i="37"/>
  <c r="E1381" i="37"/>
  <c r="E1380" i="37"/>
  <c r="E1379" i="37"/>
  <c r="E1378" i="37"/>
  <c r="E1376" i="37"/>
  <c r="E1375" i="37"/>
  <c r="E1374" i="37"/>
  <c r="E1373" i="37"/>
  <c r="E1372" i="37"/>
  <c r="E1371" i="37"/>
  <c r="E1370" i="37"/>
  <c r="E1369" i="37"/>
  <c r="E1368" i="37"/>
  <c r="E1367" i="37"/>
  <c r="E1365" i="37"/>
  <c r="E1364" i="37"/>
  <c r="E1362" i="37"/>
  <c r="E1361" i="37"/>
  <c r="E1360" i="37"/>
  <c r="E1359" i="37"/>
  <c r="E1358" i="37"/>
  <c r="E1355" i="37"/>
  <c r="F1354" i="37"/>
  <c r="F1353" i="37"/>
  <c r="F1352" i="37"/>
  <c r="F1351" i="37"/>
  <c r="F1350" i="37"/>
  <c r="F1349" i="37"/>
  <c r="F1348" i="37"/>
  <c r="E1347" i="37"/>
  <c r="E1346" i="37"/>
  <c r="E1345" i="37"/>
  <c r="E1343" i="37"/>
  <c r="E1341" i="37"/>
  <c r="E1340" i="37"/>
  <c r="E1339" i="37"/>
  <c r="E1338" i="37"/>
  <c r="D1334" i="37"/>
  <c r="E1331" i="37"/>
  <c r="F1320" i="37"/>
  <c r="E1318" i="37"/>
  <c r="E1316" i="37"/>
  <c r="E1315" i="37"/>
  <c r="E1314" i="37"/>
  <c r="E1312" i="37"/>
  <c r="D1310" i="37"/>
  <c r="E1307" i="37"/>
  <c r="E1306" i="37"/>
  <c r="E1304" i="37"/>
  <c r="E1303" i="37"/>
  <c r="E1300" i="37"/>
  <c r="E1298" i="37"/>
  <c r="I1297" i="37"/>
  <c r="E1297" i="37"/>
  <c r="E1295" i="37"/>
  <c r="E1293" i="37"/>
  <c r="E1292" i="37"/>
  <c r="E1291" i="37"/>
  <c r="E1290" i="37"/>
  <c r="E1289" i="37"/>
  <c r="E1288" i="37"/>
  <c r="E1287" i="37"/>
  <c r="E1286" i="37"/>
  <c r="E1285" i="37"/>
  <c r="E1282" i="37"/>
  <c r="E1281" i="37"/>
  <c r="E1279" i="37"/>
  <c r="E1278" i="37"/>
  <c r="E1275" i="37"/>
  <c r="E1273" i="37"/>
  <c r="I1272" i="37"/>
  <c r="E1272" i="37"/>
  <c r="E1270" i="37"/>
  <c r="E1266" i="37"/>
  <c r="E1265" i="37"/>
  <c r="E1264" i="37"/>
  <c r="E1263" i="37"/>
  <c r="E1262" i="37"/>
  <c r="E1261" i="37"/>
  <c r="E1260" i="37"/>
  <c r="E1259" i="37"/>
  <c r="E1258" i="37"/>
  <c r="E1257" i="37"/>
  <c r="D1255" i="37"/>
  <c r="E1252" i="37"/>
  <c r="E1251" i="37"/>
  <c r="E1249" i="37"/>
  <c r="E1248" i="37"/>
  <c r="E1245" i="37"/>
  <c r="E1243" i="37"/>
  <c r="I1242" i="37"/>
  <c r="E1242" i="37"/>
  <c r="F1240" i="37"/>
  <c r="F1239" i="37"/>
  <c r="E1238" i="37"/>
  <c r="E1237" i="37"/>
  <c r="E1236" i="37"/>
  <c r="E1234" i="37"/>
  <c r="E1233" i="37"/>
  <c r="E1231" i="37"/>
  <c r="E1230" i="37"/>
  <c r="E1228" i="37"/>
  <c r="E1227" i="37"/>
  <c r="E1226" i="37"/>
  <c r="E1225" i="37"/>
  <c r="E1224" i="37"/>
  <c r="E1222" i="37"/>
  <c r="E1215" i="37"/>
  <c r="E1214" i="37"/>
  <c r="E1210" i="37"/>
  <c r="E1206" i="37"/>
  <c r="E1204" i="37"/>
  <c r="E1203" i="37"/>
  <c r="E1202" i="37"/>
  <c r="E1201" i="37"/>
  <c r="E1198" i="37"/>
  <c r="E1197" i="37"/>
  <c r="E1196" i="37"/>
  <c r="E1195" i="37"/>
  <c r="E1193" i="37"/>
  <c r="E1191" i="37"/>
  <c r="E1190" i="37"/>
  <c r="E1189" i="37"/>
  <c r="E1187" i="37"/>
  <c r="E1186" i="37"/>
  <c r="E1185" i="37"/>
  <c r="E1184" i="37"/>
  <c r="E1182" i="37"/>
  <c r="E1181" i="37"/>
  <c r="E1180" i="37"/>
  <c r="E1178" i="37"/>
  <c r="E1177" i="37"/>
  <c r="E1176" i="37"/>
  <c r="E1175" i="37"/>
  <c r="E1173" i="37"/>
  <c r="E1172" i="37"/>
  <c r="E1171" i="37"/>
  <c r="E1168" i="37"/>
  <c r="E1167" i="37"/>
  <c r="E1165" i="37"/>
  <c r="E1164" i="37"/>
  <c r="E1161" i="37"/>
  <c r="E1159" i="37"/>
  <c r="I1158" i="37"/>
  <c r="E1158" i="37"/>
  <c r="E1155" i="37"/>
  <c r="E1153" i="37"/>
  <c r="E1152" i="37"/>
  <c r="E1151" i="37"/>
  <c r="E1150" i="37"/>
  <c r="E1148" i="37"/>
  <c r="E1147" i="37"/>
  <c r="E1146" i="37"/>
  <c r="E1145" i="37"/>
  <c r="E1143" i="37"/>
  <c r="E1142" i="37"/>
  <c r="E1141" i="37"/>
  <c r="E1140" i="37"/>
  <c r="E1138" i="37"/>
  <c r="E1137" i="37"/>
  <c r="E1136" i="37"/>
  <c r="E1134" i="37"/>
  <c r="E1133" i="37"/>
  <c r="E1132" i="37"/>
  <c r="E1131" i="37"/>
  <c r="E1129" i="37"/>
  <c r="E1128" i="37"/>
  <c r="E1127" i="37"/>
  <c r="E1126" i="37"/>
  <c r="E1125" i="37"/>
  <c r="E1123" i="37"/>
  <c r="E1121" i="37"/>
  <c r="E1120" i="37"/>
  <c r="E1119" i="37"/>
  <c r="E1117" i="37"/>
  <c r="E1116" i="37"/>
  <c r="E1115" i="37"/>
  <c r="E1113" i="37"/>
  <c r="E1112" i="37"/>
  <c r="E1111" i="37"/>
  <c r="E1110" i="37"/>
  <c r="E1109" i="37"/>
  <c r="E1108" i="37"/>
  <c r="E1107" i="37"/>
  <c r="E1106" i="37"/>
  <c r="E1105" i="37"/>
  <c r="E1103" i="37"/>
  <c r="E1101" i="37"/>
  <c r="E1100" i="37"/>
  <c r="E1099" i="37"/>
  <c r="E1098" i="37"/>
  <c r="E1096" i="37"/>
  <c r="E1095" i="37"/>
  <c r="E1094" i="37"/>
  <c r="E1093" i="37"/>
  <c r="E1092" i="37"/>
  <c r="E1091" i="37"/>
  <c r="E1090" i="37"/>
  <c r="E1089" i="37"/>
  <c r="E1088" i="37"/>
  <c r="E1086" i="37"/>
  <c r="E1084" i="37"/>
  <c r="E1083" i="37"/>
  <c r="E1082" i="37"/>
  <c r="E1081" i="37"/>
  <c r="E1080" i="37"/>
  <c r="E1079" i="37"/>
  <c r="E1078" i="37"/>
  <c r="E1077" i="37"/>
  <c r="E1076" i="37"/>
  <c r="E1074" i="37"/>
  <c r="E1073" i="37"/>
  <c r="E1072" i="37"/>
  <c r="E1071" i="37"/>
  <c r="E1070" i="37"/>
  <c r="E1069" i="37"/>
  <c r="E1068" i="37"/>
  <c r="E1067" i="37"/>
  <c r="E1066" i="37"/>
  <c r="E1065" i="37"/>
  <c r="E1063" i="37"/>
  <c r="E1062" i="37"/>
  <c r="E1060" i="37"/>
  <c r="E1059" i="37"/>
  <c r="E1058" i="37"/>
  <c r="E1057" i="37"/>
  <c r="E1056" i="37"/>
  <c r="E1053" i="37"/>
  <c r="F1052" i="37"/>
  <c r="F1051" i="37"/>
  <c r="F1050" i="37"/>
  <c r="F1049" i="37"/>
  <c r="F1048" i="37"/>
  <c r="F1047" i="37"/>
  <c r="F1046" i="37"/>
  <c r="E1045" i="37"/>
  <c r="E1044" i="37"/>
  <c r="E1043" i="37"/>
  <c r="E1041" i="37"/>
  <c r="E1039" i="37"/>
  <c r="E1038" i="37"/>
  <c r="E1037" i="37"/>
  <c r="E1036" i="37"/>
  <c r="D1032" i="37"/>
  <c r="E1029" i="37"/>
  <c r="F1018" i="37"/>
  <c r="E1016" i="37"/>
  <c r="E1014" i="37"/>
  <c r="E1013" i="37"/>
  <c r="E1012" i="37"/>
  <c r="E1010" i="37"/>
  <c r="D1008" i="37"/>
  <c r="E1005" i="37"/>
  <c r="E1004" i="37"/>
  <c r="E1002" i="37"/>
  <c r="E1001" i="37"/>
  <c r="E998" i="37"/>
  <c r="E996" i="37"/>
  <c r="I995" i="37"/>
  <c r="E995" i="37"/>
  <c r="E993" i="37"/>
  <c r="E991" i="37"/>
  <c r="E990" i="37"/>
  <c r="E989" i="37"/>
  <c r="E988" i="37"/>
  <c r="E987" i="37"/>
  <c r="E986" i="37"/>
  <c r="E985" i="37"/>
  <c r="E984" i="37"/>
  <c r="E983" i="37"/>
  <c r="E980" i="37"/>
  <c r="E979" i="37"/>
  <c r="E977" i="37"/>
  <c r="E976" i="37"/>
  <c r="E973" i="37"/>
  <c r="E971" i="37"/>
  <c r="I970" i="37"/>
  <c r="E970" i="37"/>
  <c r="E968" i="37"/>
  <c r="E964" i="37"/>
  <c r="E963" i="37"/>
  <c r="E962" i="37"/>
  <c r="E961" i="37"/>
  <c r="E960" i="37"/>
  <c r="E959" i="37"/>
  <c r="E958" i="37"/>
  <c r="E957" i="37"/>
  <c r="E956" i="37"/>
  <c r="E955" i="37"/>
  <c r="D953" i="37"/>
  <c r="E950" i="37"/>
  <c r="E949" i="37"/>
  <c r="E947" i="37"/>
  <c r="E946" i="37"/>
  <c r="E943" i="37"/>
  <c r="E941" i="37"/>
  <c r="I940" i="37"/>
  <c r="E940" i="37"/>
  <c r="F938" i="37"/>
  <c r="F937" i="37"/>
  <c r="E936" i="37"/>
  <c r="E935" i="37"/>
  <c r="E934" i="37"/>
  <c r="E932" i="37"/>
  <c r="E931" i="37"/>
  <c r="E929" i="37"/>
  <c r="E928" i="37"/>
  <c r="E926" i="37"/>
  <c r="E925" i="37"/>
  <c r="E924" i="37"/>
  <c r="E923" i="37"/>
  <c r="E922" i="37"/>
  <c r="E920" i="37"/>
  <c r="E913" i="37"/>
  <c r="E912" i="37"/>
  <c r="E908" i="37"/>
  <c r="E904" i="37"/>
  <c r="E902" i="37"/>
  <c r="E901" i="37"/>
  <c r="E900" i="37"/>
  <c r="E899" i="37"/>
  <c r="E896" i="37"/>
  <c r="E895" i="37"/>
  <c r="E894" i="37"/>
  <c r="E893" i="37"/>
  <c r="E891" i="37"/>
  <c r="E889" i="37"/>
  <c r="E888" i="37"/>
  <c r="E887" i="37"/>
  <c r="E885" i="37"/>
  <c r="E884" i="37"/>
  <c r="E883" i="37"/>
  <c r="E882" i="37"/>
  <c r="E880" i="37"/>
  <c r="E879" i="37"/>
  <c r="E878" i="37"/>
  <c r="E876" i="37"/>
  <c r="E875" i="37"/>
  <c r="E874" i="37"/>
  <c r="E873" i="37"/>
  <c r="E871" i="37"/>
  <c r="E870" i="37"/>
  <c r="E869" i="37"/>
  <c r="E866" i="37"/>
  <c r="E865" i="37"/>
  <c r="E863" i="37"/>
  <c r="E862" i="37"/>
  <c r="E859" i="37"/>
  <c r="E857" i="37"/>
  <c r="I856" i="37"/>
  <c r="E856" i="37"/>
  <c r="E853" i="37"/>
  <c r="E851" i="37"/>
  <c r="E850" i="37"/>
  <c r="E849" i="37"/>
  <c r="E848" i="37"/>
  <c r="E846" i="37"/>
  <c r="E845" i="37"/>
  <c r="E844" i="37"/>
  <c r="E843" i="37"/>
  <c r="E841" i="37"/>
  <c r="E840" i="37"/>
  <c r="E839" i="37"/>
  <c r="E838" i="37"/>
  <c r="E836" i="37"/>
  <c r="E835" i="37"/>
  <c r="E834" i="37"/>
  <c r="E832" i="37"/>
  <c r="E831" i="37"/>
  <c r="E830" i="37"/>
  <c r="E829" i="37"/>
  <c r="E827" i="37"/>
  <c r="E826" i="37"/>
  <c r="E825" i="37"/>
  <c r="E824" i="37"/>
  <c r="E823" i="37"/>
  <c r="E821" i="37"/>
  <c r="E819" i="37"/>
  <c r="E818" i="37"/>
  <c r="E817" i="37"/>
  <c r="E815" i="37"/>
  <c r="E814" i="37"/>
  <c r="E813" i="37"/>
  <c r="E811" i="37"/>
  <c r="E810" i="37"/>
  <c r="E809" i="37"/>
  <c r="E808" i="37"/>
  <c r="E807" i="37"/>
  <c r="E806" i="37"/>
  <c r="E805" i="37"/>
  <c r="E804" i="37"/>
  <c r="E803" i="37"/>
  <c r="E801" i="37"/>
  <c r="E799" i="37"/>
  <c r="E798" i="37"/>
  <c r="E797" i="37"/>
  <c r="E796" i="37"/>
  <c r="E794" i="37"/>
  <c r="E793" i="37"/>
  <c r="E792" i="37"/>
  <c r="E791" i="37"/>
  <c r="E790" i="37"/>
  <c r="E789" i="37"/>
  <c r="E788" i="37"/>
  <c r="E787" i="37"/>
  <c r="E786" i="37"/>
  <c r="E784" i="37"/>
  <c r="E782" i="37"/>
  <c r="E781" i="37"/>
  <c r="E780" i="37"/>
  <c r="E779" i="37"/>
  <c r="E778" i="37"/>
  <c r="E777" i="37"/>
  <c r="E776" i="37"/>
  <c r="E775" i="37"/>
  <c r="E774" i="37"/>
  <c r="E772" i="37"/>
  <c r="E771" i="37"/>
  <c r="E770" i="37"/>
  <c r="E769" i="37"/>
  <c r="E768" i="37"/>
  <c r="E767" i="37"/>
  <c r="E766" i="37"/>
  <c r="E765" i="37"/>
  <c r="E764" i="37"/>
  <c r="E763" i="37"/>
  <c r="E761" i="37"/>
  <c r="E760" i="37"/>
  <c r="E758" i="37"/>
  <c r="E757" i="37"/>
  <c r="E756" i="37"/>
  <c r="E755" i="37"/>
  <c r="E754" i="37"/>
  <c r="E751" i="37"/>
  <c r="F750" i="37"/>
  <c r="F749" i="37"/>
  <c r="F748" i="37"/>
  <c r="F747" i="37"/>
  <c r="F746" i="37"/>
  <c r="F745" i="37"/>
  <c r="F744" i="37"/>
  <c r="E743" i="37"/>
  <c r="E742" i="37"/>
  <c r="E741" i="37"/>
  <c r="E739" i="37"/>
  <c r="E737" i="37"/>
  <c r="E736" i="37"/>
  <c r="E735" i="37"/>
  <c r="E734" i="37"/>
  <c r="D730" i="37"/>
  <c r="E727" i="37"/>
  <c r="F716" i="37"/>
  <c r="E714" i="37"/>
  <c r="E712" i="37"/>
  <c r="E711" i="37"/>
  <c r="E710" i="37"/>
  <c r="E708" i="37"/>
  <c r="D706" i="37"/>
  <c r="E703" i="37"/>
  <c r="E702" i="37"/>
  <c r="E700" i="37"/>
  <c r="E699" i="37"/>
  <c r="E696" i="37"/>
  <c r="E694" i="37"/>
  <c r="I693" i="37"/>
  <c r="E693" i="37"/>
  <c r="E691" i="37"/>
  <c r="E689" i="37"/>
  <c r="E688" i="37"/>
  <c r="E687" i="37"/>
  <c r="E686" i="37"/>
  <c r="E685" i="37"/>
  <c r="E684" i="37"/>
  <c r="E683" i="37"/>
  <c r="E682" i="37"/>
  <c r="E681" i="37"/>
  <c r="E678" i="37"/>
  <c r="E677" i="37"/>
  <c r="E675" i="37"/>
  <c r="E674" i="37"/>
  <c r="E671" i="37"/>
  <c r="E669" i="37"/>
  <c r="I668" i="37"/>
  <c r="E668" i="37"/>
  <c r="E666" i="37"/>
  <c r="E662" i="37"/>
  <c r="E661" i="37"/>
  <c r="E660" i="37"/>
  <c r="E659" i="37"/>
  <c r="E658" i="37"/>
  <c r="E657" i="37"/>
  <c r="E656" i="37"/>
  <c r="E655" i="37"/>
  <c r="E654" i="37"/>
  <c r="E653" i="37"/>
  <c r="D651" i="37"/>
  <c r="E648" i="37"/>
  <c r="E647" i="37"/>
  <c r="E645" i="37"/>
  <c r="E644" i="37"/>
  <c r="E641" i="37"/>
  <c r="E639" i="37"/>
  <c r="I638" i="37"/>
  <c r="E638" i="37"/>
  <c r="F636" i="37"/>
  <c r="F635" i="37"/>
  <c r="E634" i="37"/>
  <c r="E633" i="37"/>
  <c r="E632" i="37"/>
  <c r="E630" i="37"/>
  <c r="E629" i="37"/>
  <c r="E627" i="37"/>
  <c r="E626" i="37"/>
  <c r="E624" i="37"/>
  <c r="E623" i="37"/>
  <c r="E622" i="37"/>
  <c r="E621" i="37"/>
  <c r="E620" i="37"/>
  <c r="E618" i="37"/>
  <c r="E611" i="37"/>
  <c r="E610" i="37"/>
  <c r="E606" i="37"/>
  <c r="E602" i="37"/>
  <c r="E600" i="37"/>
  <c r="E599" i="37"/>
  <c r="E598" i="37"/>
  <c r="E597" i="37"/>
  <c r="E594" i="37"/>
  <c r="E593" i="37"/>
  <c r="E592" i="37"/>
  <c r="E591" i="37"/>
  <c r="E589" i="37"/>
  <c r="E587" i="37"/>
  <c r="E586" i="37"/>
  <c r="E585" i="37"/>
  <c r="E583" i="37"/>
  <c r="E582" i="37"/>
  <c r="E581" i="37"/>
  <c r="E580" i="37"/>
  <c r="E578" i="37"/>
  <c r="E577" i="37"/>
  <c r="E576" i="37"/>
  <c r="E574" i="37"/>
  <c r="E573" i="37"/>
  <c r="E572" i="37"/>
  <c r="E571" i="37"/>
  <c r="E569" i="37"/>
  <c r="E568" i="37"/>
  <c r="E567" i="37"/>
  <c r="E564" i="37"/>
  <c r="E563" i="37"/>
  <c r="E561" i="37"/>
  <c r="E560" i="37"/>
  <c r="E557" i="37"/>
  <c r="E555" i="37"/>
  <c r="I554" i="37"/>
  <c r="E554" i="37"/>
  <c r="E551" i="37"/>
  <c r="E549" i="37"/>
  <c r="E548" i="37"/>
  <c r="E547" i="37"/>
  <c r="E546" i="37"/>
  <c r="E544" i="37"/>
  <c r="E543" i="37"/>
  <c r="E542" i="37"/>
  <c r="E541" i="37"/>
  <c r="E539" i="37"/>
  <c r="E538" i="37"/>
  <c r="E537" i="37"/>
  <c r="E536" i="37"/>
  <c r="E534" i="37"/>
  <c r="E533" i="37"/>
  <c r="E532" i="37"/>
  <c r="E530" i="37"/>
  <c r="E529" i="37"/>
  <c r="E528" i="37"/>
  <c r="E527" i="37"/>
  <c r="E525" i="37"/>
  <c r="E524" i="37"/>
  <c r="E523" i="37"/>
  <c r="E522" i="37"/>
  <c r="E521" i="37"/>
  <c r="E519" i="37"/>
  <c r="E517" i="37"/>
  <c r="E516" i="37"/>
  <c r="E515" i="37"/>
  <c r="E513" i="37"/>
  <c r="E512" i="37"/>
  <c r="E511" i="37"/>
  <c r="E509" i="37"/>
  <c r="E508" i="37"/>
  <c r="E507" i="37"/>
  <c r="E506" i="37"/>
  <c r="E505" i="37"/>
  <c r="E504" i="37"/>
  <c r="E503" i="37"/>
  <c r="E502" i="37"/>
  <c r="E501" i="37"/>
  <c r="E499" i="37"/>
  <c r="E497" i="37"/>
  <c r="E496" i="37"/>
  <c r="E495" i="37"/>
  <c r="E494" i="37"/>
  <c r="E492" i="37"/>
  <c r="E491" i="37"/>
  <c r="E490" i="37"/>
  <c r="E489" i="37"/>
  <c r="E488" i="37"/>
  <c r="E487" i="37"/>
  <c r="E486" i="37"/>
  <c r="E485" i="37"/>
  <c r="E484" i="37"/>
  <c r="E482" i="37"/>
  <c r="E480" i="37"/>
  <c r="E479" i="37"/>
  <c r="E478" i="37"/>
  <c r="E477" i="37"/>
  <c r="E476" i="37"/>
  <c r="E475" i="37"/>
  <c r="E474" i="37"/>
  <c r="E473" i="37"/>
  <c r="E472" i="37"/>
  <c r="E470" i="37"/>
  <c r="E469" i="37"/>
  <c r="E468" i="37"/>
  <c r="E467" i="37"/>
  <c r="E466" i="37"/>
  <c r="E465" i="37"/>
  <c r="E464" i="37"/>
  <c r="E463" i="37"/>
  <c r="E462" i="37"/>
  <c r="E461" i="37"/>
  <c r="E459" i="37"/>
  <c r="E458" i="37"/>
  <c r="E456" i="37"/>
  <c r="E455" i="37"/>
  <c r="E454" i="37"/>
  <c r="E453" i="37"/>
  <c r="E452" i="37"/>
  <c r="E449" i="37"/>
  <c r="F448" i="37"/>
  <c r="F447" i="37"/>
  <c r="F446" i="37"/>
  <c r="F445" i="37"/>
  <c r="F444" i="37"/>
  <c r="F443" i="37"/>
  <c r="F442" i="37"/>
  <c r="E441" i="37"/>
  <c r="E440" i="37"/>
  <c r="E439" i="37"/>
  <c r="E437" i="37"/>
  <c r="E435" i="37"/>
  <c r="E434" i="37"/>
  <c r="E433" i="37"/>
  <c r="E432" i="37"/>
  <c r="D428" i="37"/>
  <c r="E425" i="37"/>
  <c r="F414" i="37"/>
  <c r="E412" i="37"/>
  <c r="E410" i="37"/>
  <c r="E409" i="37"/>
  <c r="E408" i="37"/>
  <c r="E406" i="37"/>
  <c r="D404" i="37"/>
  <c r="E401" i="37"/>
  <c r="E400" i="37"/>
  <c r="E398" i="37"/>
  <c r="E397" i="37"/>
  <c r="E394" i="37"/>
  <c r="E392" i="37"/>
  <c r="I391" i="37"/>
  <c r="E391" i="37"/>
  <c r="E389" i="37"/>
  <c r="E387" i="37"/>
  <c r="E386" i="37"/>
  <c r="E385" i="37"/>
  <c r="E384" i="37"/>
  <c r="E383" i="37"/>
  <c r="E382" i="37"/>
  <c r="E381" i="37"/>
  <c r="E380" i="37"/>
  <c r="E379" i="37"/>
  <c r="E376" i="37"/>
  <c r="E375" i="37"/>
  <c r="E373" i="37"/>
  <c r="E372" i="37"/>
  <c r="E369" i="37"/>
  <c r="E367" i="37"/>
  <c r="I366" i="37"/>
  <c r="E366" i="37"/>
  <c r="E364" i="37"/>
  <c r="E360" i="37"/>
  <c r="E359" i="37"/>
  <c r="E358" i="37"/>
  <c r="E357" i="37"/>
  <c r="E356" i="37"/>
  <c r="E355" i="37"/>
  <c r="E354" i="37"/>
  <c r="E353" i="37"/>
  <c r="E352" i="37"/>
  <c r="E351" i="37"/>
  <c r="D349" i="37"/>
  <c r="E346" i="37"/>
  <c r="E345" i="37"/>
  <c r="E343" i="37"/>
  <c r="E342" i="37"/>
  <c r="E339" i="37"/>
  <c r="E337" i="37"/>
  <c r="I336" i="37"/>
  <c r="E336" i="37"/>
  <c r="F334" i="37"/>
  <c r="F333" i="37"/>
  <c r="E332" i="37"/>
  <c r="E331" i="37"/>
  <c r="E330" i="37"/>
  <c r="E328" i="37"/>
  <c r="E327" i="37"/>
  <c r="E325" i="37"/>
  <c r="E324" i="37"/>
  <c r="E322" i="37"/>
  <c r="E321" i="37"/>
  <c r="E320" i="37"/>
  <c r="E319" i="37"/>
  <c r="E318" i="37"/>
  <c r="E316" i="37"/>
  <c r="E309" i="37"/>
  <c r="E308" i="37"/>
  <c r="E304" i="37"/>
  <c r="E300" i="37"/>
  <c r="E298" i="37"/>
  <c r="E297" i="37"/>
  <c r="E296" i="37"/>
  <c r="E295" i="37"/>
  <c r="E292" i="37"/>
  <c r="E291" i="37"/>
  <c r="E290" i="37"/>
  <c r="E289" i="37"/>
  <c r="E287" i="37"/>
  <c r="E285" i="37"/>
  <c r="E284" i="37"/>
  <c r="E283" i="37"/>
  <c r="E281" i="37"/>
  <c r="E280" i="37"/>
  <c r="E279" i="37"/>
  <c r="E278" i="37"/>
  <c r="E276" i="37"/>
  <c r="E275" i="37"/>
  <c r="E274" i="37"/>
  <c r="E272" i="37"/>
  <c r="E271" i="37"/>
  <c r="E270" i="37"/>
  <c r="E269" i="37"/>
  <c r="E267" i="37"/>
  <c r="E266" i="37"/>
  <c r="E265" i="37"/>
  <c r="E262" i="37"/>
  <c r="E261" i="37"/>
  <c r="E259" i="37"/>
  <c r="E258" i="37"/>
  <c r="E255" i="37"/>
  <c r="E253" i="37"/>
  <c r="I252" i="37"/>
  <c r="E252" i="37"/>
  <c r="E249" i="37"/>
  <c r="E247" i="37"/>
  <c r="E246" i="37"/>
  <c r="E245" i="37"/>
  <c r="E244" i="37"/>
  <c r="E242" i="37"/>
  <c r="E241" i="37"/>
  <c r="E240" i="37"/>
  <c r="E239" i="37"/>
  <c r="E237" i="37"/>
  <c r="E236" i="37"/>
  <c r="E235" i="37"/>
  <c r="E234" i="37"/>
  <c r="E232" i="37"/>
  <c r="E231" i="37"/>
  <c r="E230" i="37"/>
  <c r="E228" i="37"/>
  <c r="E227" i="37"/>
  <c r="E226" i="37"/>
  <c r="E225" i="37"/>
  <c r="E223" i="37"/>
  <c r="E222" i="37"/>
  <c r="E221" i="37"/>
  <c r="E220" i="37"/>
  <c r="E219" i="37"/>
  <c r="E217" i="37"/>
  <c r="E215" i="37"/>
  <c r="E214" i="37"/>
  <c r="E213" i="37"/>
  <c r="E211" i="37"/>
  <c r="E210" i="37"/>
  <c r="E209" i="37"/>
  <c r="E207" i="37"/>
  <c r="E206" i="37"/>
  <c r="E205" i="37"/>
  <c r="E204" i="37"/>
  <c r="E203" i="37"/>
  <c r="E202" i="37"/>
  <c r="E201" i="37"/>
  <c r="E200" i="37"/>
  <c r="E199" i="37"/>
  <c r="E197" i="37"/>
  <c r="E195" i="37"/>
  <c r="E194" i="37"/>
  <c r="E193" i="37"/>
  <c r="E192" i="37"/>
  <c r="E190" i="37"/>
  <c r="E189" i="37"/>
  <c r="E188" i="37"/>
  <c r="E187" i="37"/>
  <c r="E186" i="37"/>
  <c r="E185" i="37"/>
  <c r="E184" i="37"/>
  <c r="E183" i="37"/>
  <c r="E182" i="37"/>
  <c r="E180" i="37"/>
  <c r="E178" i="37"/>
  <c r="E177" i="37"/>
  <c r="E176" i="37"/>
  <c r="E175" i="37"/>
  <c r="E174" i="37"/>
  <c r="E173" i="37"/>
  <c r="E172" i="37"/>
  <c r="E171" i="37"/>
  <c r="E170" i="37"/>
  <c r="E168" i="37"/>
  <c r="E167" i="37"/>
  <c r="E166" i="37"/>
  <c r="E165" i="37"/>
  <c r="E164" i="37"/>
  <c r="E163" i="37"/>
  <c r="E162" i="37"/>
  <c r="E161" i="37"/>
  <c r="E160" i="37"/>
  <c r="E159" i="37"/>
  <c r="E157" i="37"/>
  <c r="E156" i="37"/>
  <c r="E154" i="37"/>
  <c r="E153" i="37"/>
  <c r="E152" i="37"/>
  <c r="E151" i="37"/>
  <c r="E150" i="37"/>
  <c r="E147" i="37"/>
  <c r="F146" i="37"/>
  <c r="F145" i="37"/>
  <c r="F144" i="37"/>
  <c r="F143" i="37"/>
  <c r="F142" i="37"/>
  <c r="F141" i="37"/>
  <c r="F140" i="37"/>
  <c r="E139" i="37"/>
  <c r="E138" i="37"/>
  <c r="E137" i="37"/>
  <c r="E135" i="37"/>
  <c r="E133" i="37"/>
  <c r="E132" i="37"/>
  <c r="E131" i="37"/>
  <c r="E130" i="37"/>
  <c r="D126" i="37"/>
  <c r="E123" i="37"/>
  <c r="F112" i="37"/>
  <c r="E110" i="37"/>
  <c r="E108" i="37"/>
  <c r="E107" i="37"/>
  <c r="E106" i="37"/>
  <c r="E104" i="37"/>
  <c r="D102" i="37"/>
  <c r="E99" i="37"/>
  <c r="E98" i="37"/>
  <c r="E96" i="37"/>
  <c r="E95" i="37"/>
  <c r="E92" i="37"/>
  <c r="E90" i="37"/>
  <c r="I89" i="37"/>
  <c r="E89" i="37"/>
  <c r="E87" i="37"/>
  <c r="E85" i="37"/>
  <c r="E84" i="37"/>
  <c r="E83" i="37"/>
  <c r="E82" i="37"/>
  <c r="E81" i="37"/>
  <c r="E80" i="37"/>
  <c r="E79" i="37"/>
  <c r="E78" i="37"/>
  <c r="E77" i="37"/>
  <c r="E74" i="37"/>
  <c r="E73" i="37"/>
  <c r="E71" i="37"/>
  <c r="E70" i="37"/>
  <c r="E67" i="37"/>
  <c r="E65" i="37"/>
  <c r="I64" i="37"/>
  <c r="E64" i="37"/>
  <c r="E62" i="37"/>
  <c r="E58" i="37"/>
  <c r="E57" i="37"/>
  <c r="E56" i="37"/>
  <c r="E55" i="37"/>
  <c r="E54" i="37"/>
  <c r="E53" i="37"/>
  <c r="E52" i="37"/>
  <c r="E51" i="37"/>
  <c r="E50" i="37"/>
  <c r="E49" i="37"/>
  <c r="D47" i="37"/>
  <c r="E44" i="37"/>
  <c r="E43" i="37"/>
  <c r="E41" i="37"/>
  <c r="E40" i="37"/>
  <c r="E37" i="37"/>
  <c r="E35" i="37"/>
  <c r="I34" i="37"/>
  <c r="E34" i="37"/>
  <c r="F32" i="37"/>
  <c r="F31" i="37"/>
  <c r="E30" i="37"/>
  <c r="E29" i="37"/>
  <c r="E28" i="37"/>
  <c r="E26" i="37"/>
  <c r="E25" i="37"/>
  <c r="E23" i="37"/>
  <c r="E22" i="37"/>
  <c r="E20" i="37"/>
  <c r="E19" i="37"/>
  <c r="E18" i="37"/>
  <c r="E17" i="37"/>
  <c r="E16" i="37"/>
  <c r="E14" i="37"/>
  <c r="D11" i="37"/>
  <c r="C31" i="9"/>
  <c r="E9" i="37"/>
  <c r="D7" i="37"/>
  <c r="C30" i="9" s="1"/>
  <c r="E4" i="37"/>
  <c r="E3" i="37"/>
  <c r="P2" i="37"/>
  <c r="M2" i="37"/>
  <c r="K2" i="37"/>
  <c r="I2" i="37"/>
  <c r="G2" i="37"/>
  <c r="E2" i="37"/>
  <c r="B2" i="37"/>
  <c r="D384" i="41"/>
  <c r="E381" i="41"/>
  <c r="E380" i="41"/>
  <c r="E379" i="41"/>
  <c r="E377" i="41"/>
  <c r="E448" i="50" s="1"/>
  <c r="E376" i="41"/>
  <c r="E374" i="41"/>
  <c r="E447" i="50" s="1"/>
  <c r="E373" i="41"/>
  <c r="E371" i="41"/>
  <c r="E446" i="50" s="1"/>
  <c r="E370" i="41"/>
  <c r="E368" i="41"/>
  <c r="E445" i="50" s="1"/>
  <c r="E367" i="41"/>
  <c r="E365" i="41"/>
  <c r="E444" i="50" s="1"/>
  <c r="E364" i="41"/>
  <c r="E443" i="50" s="1"/>
  <c r="E362" i="41"/>
  <c r="E361" i="41"/>
  <c r="E359" i="41"/>
  <c r="E358" i="41"/>
  <c r="E440" i="50" s="1"/>
  <c r="D356" i="41"/>
  <c r="D438" i="50" s="1"/>
  <c r="D354" i="41"/>
  <c r="C29" i="9" s="1"/>
  <c r="E352" i="41"/>
  <c r="E436" i="50" s="1"/>
  <c r="E351" i="41"/>
  <c r="E435" i="50" s="1"/>
  <c r="E350" i="41"/>
  <c r="E349" i="41"/>
  <c r="E434" i="50" s="1"/>
  <c r="E347" i="41"/>
  <c r="E432" i="50"/>
  <c r="E346" i="41"/>
  <c r="E431" i="50" s="1"/>
  <c r="E335" i="41"/>
  <c r="E420" i="50" s="1"/>
  <c r="E334" i="41"/>
  <c r="E333" i="41"/>
  <c r="E332" i="41"/>
  <c r="E419" i="50" s="1"/>
  <c r="E330" i="41"/>
  <c r="E417" i="50" s="1"/>
  <c r="E329" i="41"/>
  <c r="E416" i="50"/>
  <c r="E327" i="41"/>
  <c r="E414" i="50" s="1"/>
  <c r="E321" i="41"/>
  <c r="E408" i="50" s="1"/>
  <c r="E320" i="41"/>
  <c r="E319" i="41"/>
  <c r="E407" i="50" s="1"/>
  <c r="E317" i="41"/>
  <c r="E405" i="50"/>
  <c r="E306" i="41"/>
  <c r="E394" i="50" s="1"/>
  <c r="E305" i="41"/>
  <c r="E304" i="41"/>
  <c r="E393" i="50" s="1"/>
  <c r="E302" i="41"/>
  <c r="E391" i="50" s="1"/>
  <c r="E301" i="41"/>
  <c r="E390" i="50" s="1"/>
  <c r="E299" i="41"/>
  <c r="E388" i="50" s="1"/>
  <c r="E295" i="41"/>
  <c r="E384" i="50" s="1"/>
  <c r="E294" i="41"/>
  <c r="E293" i="41"/>
  <c r="E383" i="50" s="1"/>
  <c r="E291" i="41"/>
  <c r="E381" i="50"/>
  <c r="E287" i="41"/>
  <c r="E377" i="50" s="1"/>
  <c r="E286" i="41"/>
  <c r="E285" i="41"/>
  <c r="E284" i="41"/>
  <c r="E376" i="50"/>
  <c r="E282" i="41"/>
  <c r="E374" i="50" s="1"/>
  <c r="E281" i="41"/>
  <c r="E373" i="50" s="1"/>
  <c r="E279" i="41"/>
  <c r="E371" i="50" s="1"/>
  <c r="E278" i="41"/>
  <c r="E370" i="50" s="1"/>
  <c r="E277" i="41"/>
  <c r="E369" i="50" s="1"/>
  <c r="E276" i="41"/>
  <c r="E368" i="50" s="1"/>
  <c r="E275" i="41"/>
  <c r="E274" i="41"/>
  <c r="E273" i="41"/>
  <c r="E367" i="50" s="1"/>
  <c r="E271" i="41"/>
  <c r="E365" i="50" s="1"/>
  <c r="E260" i="41"/>
  <c r="E354" i="50" s="1"/>
  <c r="E259" i="41"/>
  <c r="E258" i="41"/>
  <c r="E353" i="50" s="1"/>
  <c r="E256" i="41"/>
  <c r="E254" i="41"/>
  <c r="D252" i="41"/>
  <c r="D251" i="41"/>
  <c r="D250" i="41"/>
  <c r="D351" i="50"/>
  <c r="D248" i="41"/>
  <c r="C28" i="9"/>
  <c r="E243" i="41"/>
  <c r="E239" i="41"/>
  <c r="E237" i="41"/>
  <c r="E236" i="41"/>
  <c r="E235" i="41"/>
  <c r="E234" i="41"/>
  <c r="E232" i="41"/>
  <c r="E231" i="41"/>
  <c r="E230" i="41"/>
  <c r="E228" i="41"/>
  <c r="E343" i="50" s="1"/>
  <c r="E226" i="41"/>
  <c r="E225" i="41"/>
  <c r="E224" i="41"/>
  <c r="E341" i="50" s="1"/>
  <c r="E222" i="41"/>
  <c r="E339" i="50" s="1"/>
  <c r="E221" i="41"/>
  <c r="E338" i="50" s="1"/>
  <c r="E219" i="41"/>
  <c r="E336" i="50" s="1"/>
  <c r="E218" i="41"/>
  <c r="E335" i="50" s="1"/>
  <c r="E216" i="41"/>
  <c r="E215" i="41"/>
  <c r="E214" i="41"/>
  <c r="E333" i="50" s="1"/>
  <c r="E212" i="41"/>
  <c r="E331" i="50" s="1"/>
  <c r="E206" i="41"/>
  <c r="E325" i="50" s="1"/>
  <c r="E205" i="41"/>
  <c r="E204" i="41"/>
  <c r="E203" i="41"/>
  <c r="E324" i="50" s="1"/>
  <c r="E201" i="41"/>
  <c r="E322" i="50" s="1"/>
  <c r="E200" i="41"/>
  <c r="E199" i="41"/>
  <c r="E321" i="50"/>
  <c r="E197" i="41"/>
  <c r="E319" i="50" s="1"/>
  <c r="E196" i="41"/>
  <c r="E318" i="50" s="1"/>
  <c r="E194" i="41"/>
  <c r="E316" i="50" s="1"/>
  <c r="E193" i="41"/>
  <c r="E192" i="41"/>
  <c r="E191" i="41"/>
  <c r="E189" i="41"/>
  <c r="E313" i="50" s="1"/>
  <c r="E186" i="41"/>
  <c r="E310" i="50" s="1"/>
  <c r="E184" i="41"/>
  <c r="E182" i="41"/>
  <c r="E308" i="50" s="1"/>
  <c r="E176" i="41"/>
  <c r="E175" i="41"/>
  <c r="E174" i="41"/>
  <c r="E173" i="41"/>
  <c r="E172" i="41"/>
  <c r="E301" i="50" s="1"/>
  <c r="E170" i="41"/>
  <c r="E299" i="50"/>
  <c r="E169" i="41"/>
  <c r="E298" i="50"/>
  <c r="E167" i="41"/>
  <c r="E296" i="50" s="1"/>
  <c r="E166" i="41"/>
  <c r="E295" i="50"/>
  <c r="E164" i="41"/>
  <c r="E163" i="41"/>
  <c r="E162" i="41"/>
  <c r="E160" i="41"/>
  <c r="E293" i="50" s="1"/>
  <c r="E159" i="41"/>
  <c r="E292" i="50" s="1"/>
  <c r="E157" i="41"/>
  <c r="E290" i="50" s="1"/>
  <c r="E145" i="41"/>
  <c r="E144" i="41"/>
  <c r="E143" i="41"/>
  <c r="E278" i="50" s="1"/>
  <c r="E141" i="41"/>
  <c r="E276" i="50" s="1"/>
  <c r="E140" i="41"/>
  <c r="E275" i="50" s="1"/>
  <c r="E139" i="41"/>
  <c r="E274" i="50" s="1"/>
  <c r="E137" i="41"/>
  <c r="E136" i="41"/>
  <c r="E135" i="41"/>
  <c r="E272" i="50" s="1"/>
  <c r="E133" i="41"/>
  <c r="E132" i="41"/>
  <c r="E131" i="41"/>
  <c r="E130" i="41"/>
  <c r="E128" i="41"/>
  <c r="E270" i="50" s="1"/>
  <c r="E126" i="41"/>
  <c r="E125" i="41"/>
  <c r="E124" i="41"/>
  <c r="E269" i="50" s="1"/>
  <c r="E122" i="41"/>
  <c r="E267" i="50" s="1"/>
  <c r="E121" i="41"/>
  <c r="E266" i="50"/>
  <c r="E119" i="41"/>
  <c r="E264" i="50" s="1"/>
  <c r="E117" i="41"/>
  <c r="E116" i="41"/>
  <c r="E263" i="50" s="1"/>
  <c r="E114" i="41"/>
  <c r="E261" i="50" s="1"/>
  <c r="E110" i="41"/>
  <c r="E257" i="50" s="1"/>
  <c r="E109" i="41"/>
  <c r="E108" i="41"/>
  <c r="E107" i="41"/>
  <c r="E106" i="41"/>
  <c r="E105" i="41"/>
  <c r="E256" i="50" s="1"/>
  <c r="E103" i="41"/>
  <c r="E254" i="50" s="1"/>
  <c r="E99" i="41"/>
  <c r="E250" i="50" s="1"/>
  <c r="E98" i="41"/>
  <c r="E97" i="41"/>
  <c r="E96" i="41"/>
  <c r="E249" i="50" s="1"/>
  <c r="E94" i="41"/>
  <c r="E247" i="50" s="1"/>
  <c r="E92" i="41"/>
  <c r="E91" i="41"/>
  <c r="E90" i="41"/>
  <c r="E245" i="50" s="1"/>
  <c r="E88" i="41"/>
  <c r="E86" i="41"/>
  <c r="E85" i="41"/>
  <c r="E84" i="41"/>
  <c r="E83" i="41"/>
  <c r="E82" i="41"/>
  <c r="E81" i="41"/>
  <c r="E80" i="41"/>
  <c r="D79" i="41"/>
  <c r="E78" i="41"/>
  <c r="E77" i="41"/>
  <c r="D76" i="41"/>
  <c r="D75" i="41"/>
  <c r="D74" i="41"/>
  <c r="D72" i="41"/>
  <c r="E69" i="41"/>
  <c r="E67" i="41"/>
  <c r="E66" i="41"/>
  <c r="E65" i="41"/>
  <c r="D63" i="41"/>
  <c r="D61" i="41"/>
  <c r="C27" i="9"/>
  <c r="E59" i="41"/>
  <c r="E58" i="41"/>
  <c r="E57" i="41"/>
  <c r="E56" i="41"/>
  <c r="E54" i="41"/>
  <c r="E53" i="41"/>
  <c r="E52" i="41"/>
  <c r="E42" i="41"/>
  <c r="E40" i="41"/>
  <c r="E50" i="41" s="1"/>
  <c r="E217" i="50" s="1"/>
  <c r="E39" i="41"/>
  <c r="E49" i="41" s="1"/>
  <c r="E213" i="50" s="1"/>
  <c r="E36" i="41"/>
  <c r="E46" i="41"/>
  <c r="E212" i="50" s="1"/>
  <c r="E35" i="41"/>
  <c r="E45" i="41" s="1"/>
  <c r="E214" i="50" s="1"/>
  <c r="E34" i="41"/>
  <c r="E44" i="41" s="1"/>
  <c r="E211" i="50" s="1"/>
  <c r="E32" i="41"/>
  <c r="E31" i="41"/>
  <c r="E30" i="41"/>
  <c r="E29" i="41"/>
  <c r="F28" i="41"/>
  <c r="F27" i="41"/>
  <c r="F26" i="41"/>
  <c r="F25" i="41"/>
  <c r="F24" i="41"/>
  <c r="E23" i="41"/>
  <c r="E22" i="41"/>
  <c r="E20" i="41"/>
  <c r="E19" i="41"/>
  <c r="E18" i="41"/>
  <c r="E16" i="41"/>
  <c r="E13" i="41"/>
  <c r="D10" i="41"/>
  <c r="D8" i="41"/>
  <c r="C26" i="9"/>
  <c r="D6" i="41"/>
  <c r="C25" i="9" s="1"/>
  <c r="G4" i="41"/>
  <c r="E4" i="41"/>
  <c r="M3" i="41"/>
  <c r="K3" i="41"/>
  <c r="I3" i="41"/>
  <c r="G3" i="41"/>
  <c r="E3" i="41"/>
  <c r="P2" i="41"/>
  <c r="M2" i="41"/>
  <c r="K2" i="41"/>
  <c r="I2" i="41"/>
  <c r="G2" i="41"/>
  <c r="E2" i="41"/>
  <c r="B2" i="41"/>
  <c r="D269" i="49"/>
  <c r="E267" i="49"/>
  <c r="E205" i="50" s="1"/>
  <c r="E264" i="49"/>
  <c r="E262" i="49"/>
  <c r="E261" i="49"/>
  <c r="E259" i="49"/>
  <c r="E257" i="49"/>
  <c r="M256" i="49"/>
  <c r="M207" i="50" s="1"/>
  <c r="J256" i="49"/>
  <c r="J207" i="50" s="1"/>
  <c r="E256" i="49"/>
  <c r="E207" i="50" s="1"/>
  <c r="E254" i="49"/>
  <c r="E252" i="49"/>
  <c r="E203" i="50" s="1"/>
  <c r="E250" i="49"/>
  <c r="E248" i="49"/>
  <c r="E247" i="49"/>
  <c r="E245" i="49"/>
  <c r="E243" i="49"/>
  <c r="E242" i="49"/>
  <c r="E240" i="49"/>
  <c r="E238" i="49"/>
  <c r="E200" i="50"/>
  <c r="E235" i="49"/>
  <c r="E230" i="49"/>
  <c r="E198" i="50" s="1"/>
  <c r="E228" i="49"/>
  <c r="E226" i="49"/>
  <c r="E197" i="50" s="1"/>
  <c r="D222" i="49"/>
  <c r="E219" i="49"/>
  <c r="E193" i="50" s="1"/>
  <c r="E217" i="49"/>
  <c r="E216" i="49"/>
  <c r="E215" i="49"/>
  <c r="E214" i="49"/>
  <c r="E212" i="49"/>
  <c r="E211" i="49"/>
  <c r="E210" i="49"/>
  <c r="E209" i="49"/>
  <c r="E207" i="49"/>
  <c r="M206" i="49"/>
  <c r="M195" i="50" s="1"/>
  <c r="J206" i="49"/>
  <c r="J195" i="50" s="1"/>
  <c r="E206" i="49"/>
  <c r="E195" i="50"/>
  <c r="E205" i="49"/>
  <c r="E203" i="49"/>
  <c r="E191" i="50" s="1"/>
  <c r="E201" i="49"/>
  <c r="E200" i="49"/>
  <c r="E198" i="49"/>
  <c r="E197" i="49"/>
  <c r="E196" i="49"/>
  <c r="E195" i="49"/>
  <c r="E194" i="49"/>
  <c r="E193" i="49"/>
  <c r="E191" i="49"/>
  <c r="E190" i="49"/>
  <c r="E189" i="49"/>
  <c r="E188" i="49"/>
  <c r="E187" i="49"/>
  <c r="E185" i="49"/>
  <c r="E188" i="50" s="1"/>
  <c r="E183" i="49"/>
  <c r="E182" i="49"/>
  <c r="E178" i="49"/>
  <c r="E177" i="49"/>
  <c r="E176" i="49"/>
  <c r="E186" i="50" s="1"/>
  <c r="E174" i="49"/>
  <c r="E172" i="49"/>
  <c r="E171" i="49"/>
  <c r="E170" i="49"/>
  <c r="E185" i="50" s="1"/>
  <c r="D168" i="49"/>
  <c r="E166" i="49"/>
  <c r="F165" i="49"/>
  <c r="F164" i="49"/>
  <c r="F163" i="49"/>
  <c r="F162" i="49"/>
  <c r="F161" i="49"/>
  <c r="E160" i="49"/>
  <c r="E159" i="49"/>
  <c r="E158" i="49"/>
  <c r="E157" i="49"/>
  <c r="E156" i="49"/>
  <c r="D154" i="49"/>
  <c r="C24" i="9" s="1"/>
  <c r="E152" i="49"/>
  <c r="E181" i="50" s="1"/>
  <c r="E151" i="49"/>
  <c r="E180" i="50" s="1"/>
  <c r="E149" i="49"/>
  <c r="E147" i="49"/>
  <c r="E178" i="50" s="1"/>
  <c r="E146" i="49"/>
  <c r="E177" i="50"/>
  <c r="E144" i="49"/>
  <c r="E142" i="49"/>
  <c r="E141" i="49"/>
  <c r="E139" i="49"/>
  <c r="E137" i="49"/>
  <c r="E172" i="50" s="1"/>
  <c r="E136" i="49"/>
  <c r="E171" i="50" s="1"/>
  <c r="E134" i="49"/>
  <c r="M132" i="49"/>
  <c r="J132" i="49"/>
  <c r="E132" i="49"/>
  <c r="E130" i="49"/>
  <c r="E168" i="50" s="1"/>
  <c r="E129" i="49"/>
  <c r="E167" i="50" s="1"/>
  <c r="E128" i="49"/>
  <c r="E166" i="50"/>
  <c r="E126" i="49"/>
  <c r="E124" i="49"/>
  <c r="E163" i="50" s="1"/>
  <c r="E123" i="49"/>
  <c r="E121" i="49"/>
  <c r="E119" i="49"/>
  <c r="E162" i="50" s="1"/>
  <c r="E117" i="49"/>
  <c r="E115" i="49"/>
  <c r="E161" i="50" s="1"/>
  <c r="E113" i="49"/>
  <c r="D109" i="49"/>
  <c r="E107" i="49"/>
  <c r="E156" i="50"/>
  <c r="E106" i="49"/>
  <c r="E155" i="50"/>
  <c r="E104" i="49"/>
  <c r="E103" i="49"/>
  <c r="E101" i="49"/>
  <c r="E153" i="50" s="1"/>
  <c r="E100" i="49"/>
  <c r="E152" i="50" s="1"/>
  <c r="E98" i="49"/>
  <c r="E97" i="49"/>
  <c r="E96" i="49"/>
  <c r="E95" i="49"/>
  <c r="E93" i="49"/>
  <c r="E92" i="49"/>
  <c r="E90" i="49"/>
  <c r="E89" i="49"/>
  <c r="E88" i="49"/>
  <c r="E87" i="49"/>
  <c r="E86" i="49"/>
  <c r="E84" i="49"/>
  <c r="E147" i="50" s="1"/>
  <c r="E83" i="49"/>
  <c r="E146" i="50" s="1"/>
  <c r="E81" i="49"/>
  <c r="E80" i="49"/>
  <c r="E79" i="49"/>
  <c r="M77" i="49"/>
  <c r="J77" i="49"/>
  <c r="E77" i="49"/>
  <c r="E75" i="49"/>
  <c r="E143" i="50" s="1"/>
  <c r="E74" i="49"/>
  <c r="E142" i="50" s="1"/>
  <c r="E73" i="49"/>
  <c r="E141" i="50" s="1"/>
  <c r="E71" i="49"/>
  <c r="E70" i="49"/>
  <c r="E68" i="49"/>
  <c r="E138" i="50" s="1"/>
  <c r="E67" i="49"/>
  <c r="E65" i="49"/>
  <c r="E64" i="49"/>
  <c r="E62" i="49"/>
  <c r="E137" i="50"/>
  <c r="E60" i="49"/>
  <c r="E59" i="49"/>
  <c r="E57" i="49"/>
  <c r="E136" i="50" s="1"/>
  <c r="E55" i="49"/>
  <c r="E54" i="49"/>
  <c r="D52" i="49"/>
  <c r="E50" i="49"/>
  <c r="E49" i="49"/>
  <c r="E48" i="49"/>
  <c r="E47" i="49"/>
  <c r="E46" i="49"/>
  <c r="E45" i="49"/>
  <c r="D43" i="49"/>
  <c r="C23" i="9" s="1"/>
  <c r="E40" i="49"/>
  <c r="E39" i="49"/>
  <c r="D37" i="49"/>
  <c r="E35" i="49"/>
  <c r="E34" i="49"/>
  <c r="D32" i="49"/>
  <c r="D30" i="49"/>
  <c r="C22" i="9" s="1"/>
  <c r="E28" i="49"/>
  <c r="E71" i="50" s="1"/>
  <c r="E27" i="49"/>
  <c r="E70" i="50" s="1"/>
  <c r="E26" i="49"/>
  <c r="E69" i="50" s="1"/>
  <c r="E25" i="49"/>
  <c r="E68" i="50" s="1"/>
  <c r="E24" i="49"/>
  <c r="E67" i="50" s="1"/>
  <c r="E23" i="49"/>
  <c r="E66" i="50" s="1"/>
  <c r="E22" i="49"/>
  <c r="E65" i="50" s="1"/>
  <c r="E21" i="49"/>
  <c r="E64" i="50" s="1"/>
  <c r="E20" i="49"/>
  <c r="E63" i="50" s="1"/>
  <c r="E18" i="49"/>
  <c r="E17" i="49"/>
  <c r="F16" i="49"/>
  <c r="F15" i="49"/>
  <c r="F14" i="49"/>
  <c r="F13" i="49"/>
  <c r="F12" i="49"/>
  <c r="F11" i="49"/>
  <c r="E10" i="49"/>
  <c r="D8" i="49"/>
  <c r="C21" i="9" s="1"/>
  <c r="D6" i="49"/>
  <c r="C20" i="9"/>
  <c r="I4" i="49"/>
  <c r="G4" i="49"/>
  <c r="E4" i="49"/>
  <c r="M3" i="49"/>
  <c r="K3" i="49"/>
  <c r="I3" i="49"/>
  <c r="G3" i="49"/>
  <c r="E3" i="49"/>
  <c r="P2" i="49"/>
  <c r="M2" i="49"/>
  <c r="K2" i="49"/>
  <c r="I2" i="49"/>
  <c r="G2" i="49"/>
  <c r="E2" i="49"/>
  <c r="B2" i="49"/>
  <c r="D149" i="62"/>
  <c r="E129" i="62"/>
  <c r="D129" i="62"/>
  <c r="E128" i="62"/>
  <c r="E127" i="62"/>
  <c r="I107" i="62"/>
  <c r="I129" i="62" s="1"/>
  <c r="H107" i="62"/>
  <c r="E107" i="62"/>
  <c r="D107" i="62"/>
  <c r="E106" i="62"/>
  <c r="F105" i="62"/>
  <c r="F104" i="62"/>
  <c r="F103" i="62"/>
  <c r="F102" i="62"/>
  <c r="F101" i="62"/>
  <c r="F100" i="62"/>
  <c r="F99" i="62"/>
  <c r="F98" i="62"/>
  <c r="E98" i="62"/>
  <c r="F97" i="62"/>
  <c r="F96" i="62"/>
  <c r="E96" i="62"/>
  <c r="F95" i="62"/>
  <c r="F94" i="62"/>
  <c r="E94" i="62"/>
  <c r="E93" i="62"/>
  <c r="E92" i="62"/>
  <c r="K72" i="62"/>
  <c r="K107" i="62" s="1"/>
  <c r="K129" i="62" s="1"/>
  <c r="J72" i="62"/>
  <c r="J107" i="62" s="1"/>
  <c r="J129" i="62" s="1"/>
  <c r="I72" i="62"/>
  <c r="E72" i="62"/>
  <c r="D72" i="62"/>
  <c r="E71" i="62"/>
  <c r="E70" i="62"/>
  <c r="D68" i="62"/>
  <c r="C19" i="9" s="1"/>
  <c r="L56" i="62"/>
  <c r="K56" i="62"/>
  <c r="J56" i="62"/>
  <c r="I56" i="62"/>
  <c r="G56" i="62"/>
  <c r="E56" i="62"/>
  <c r="D56" i="62"/>
  <c r="E54" i="62"/>
  <c r="F53" i="62"/>
  <c r="E53" i="62"/>
  <c r="F52" i="62"/>
  <c r="E52" i="62"/>
  <c r="F51" i="62"/>
  <c r="E51" i="62"/>
  <c r="G50" i="62"/>
  <c r="F50" i="62"/>
  <c r="G49" i="62"/>
  <c r="F49" i="62"/>
  <c r="E49" i="62"/>
  <c r="G48" i="62"/>
  <c r="F48" i="62"/>
  <c r="G47" i="62"/>
  <c r="F47" i="62"/>
  <c r="E47" i="62"/>
  <c r="G46" i="62"/>
  <c r="F46" i="62"/>
  <c r="G45" i="62"/>
  <c r="F45" i="62"/>
  <c r="E45" i="62"/>
  <c r="E44" i="62"/>
  <c r="E43" i="62"/>
  <c r="E42" i="62"/>
  <c r="E41" i="62"/>
  <c r="D40" i="62"/>
  <c r="L25" i="62"/>
  <c r="K25" i="62"/>
  <c r="J25" i="62"/>
  <c r="I25" i="62"/>
  <c r="G25" i="62"/>
  <c r="E25" i="62"/>
  <c r="D25" i="62"/>
  <c r="E23" i="62"/>
  <c r="F22" i="62"/>
  <c r="E22" i="62"/>
  <c r="F21" i="62"/>
  <c r="E21" i="62"/>
  <c r="F20" i="62"/>
  <c r="E20" i="62"/>
  <c r="G19" i="62"/>
  <c r="F19" i="62"/>
  <c r="G18" i="62"/>
  <c r="F18" i="62"/>
  <c r="E18" i="62"/>
  <c r="G17" i="62"/>
  <c r="F17" i="62"/>
  <c r="G16" i="62"/>
  <c r="F16" i="62"/>
  <c r="E16" i="62"/>
  <c r="G15" i="62"/>
  <c r="F15" i="62"/>
  <c r="G14" i="62"/>
  <c r="F14" i="62"/>
  <c r="E14" i="62"/>
  <c r="E13" i="62"/>
  <c r="E12" i="62"/>
  <c r="D10" i="62"/>
  <c r="D8" i="62"/>
  <c r="C18" i="9"/>
  <c r="D6" i="62"/>
  <c r="C17" i="9" s="1"/>
  <c r="E4" i="62"/>
  <c r="I3" i="62"/>
  <c r="G3" i="62"/>
  <c r="E3" i="62"/>
  <c r="P2" i="62"/>
  <c r="M2" i="62"/>
  <c r="K2" i="62"/>
  <c r="I2" i="62"/>
  <c r="G2" i="62"/>
  <c r="E2" i="62"/>
  <c r="B2" i="62"/>
  <c r="D407" i="43"/>
  <c r="M394" i="43"/>
  <c r="J394" i="43"/>
  <c r="H394" i="43"/>
  <c r="F394" i="43"/>
  <c r="E394" i="43"/>
  <c r="M382" i="43"/>
  <c r="K382" i="43"/>
  <c r="I382" i="43"/>
  <c r="F382" i="43"/>
  <c r="E382" i="43"/>
  <c r="E380" i="43"/>
  <c r="M368" i="43"/>
  <c r="J368" i="43"/>
  <c r="H368" i="43"/>
  <c r="F368" i="43"/>
  <c r="E368" i="43"/>
  <c r="E367" i="43"/>
  <c r="E366" i="43"/>
  <c r="E365" i="43"/>
  <c r="M353" i="43"/>
  <c r="K353" i="43"/>
  <c r="I353" i="43"/>
  <c r="F353" i="43"/>
  <c r="E353" i="43"/>
  <c r="F351" i="43"/>
  <c r="F350" i="43"/>
  <c r="E349" i="43"/>
  <c r="F348" i="43"/>
  <c r="F347" i="43"/>
  <c r="F346" i="43"/>
  <c r="F345" i="43"/>
  <c r="E344" i="43"/>
  <c r="F343" i="43"/>
  <c r="F342" i="43"/>
  <c r="F341" i="43"/>
  <c r="E340" i="43"/>
  <c r="F339" i="43"/>
  <c r="F338" i="43"/>
  <c r="F337" i="43"/>
  <c r="F336" i="43"/>
  <c r="E335" i="43"/>
  <c r="E334" i="43"/>
  <c r="E333" i="43"/>
  <c r="E332" i="43"/>
  <c r="E331" i="43"/>
  <c r="E330" i="43"/>
  <c r="E329" i="43"/>
  <c r="M317" i="43"/>
  <c r="J317" i="43"/>
  <c r="H317" i="43"/>
  <c r="F317" i="43"/>
  <c r="E317" i="43"/>
  <c r="M305" i="43"/>
  <c r="K305" i="43"/>
  <c r="I305" i="43"/>
  <c r="F305" i="43"/>
  <c r="E305" i="43"/>
  <c r="E303" i="43"/>
  <c r="E302" i="43"/>
  <c r="D300" i="43"/>
  <c r="C16" i="9" s="1"/>
  <c r="E296" i="43"/>
  <c r="E295" i="43"/>
  <c r="E294" i="43"/>
  <c r="E287" i="43"/>
  <c r="E285" i="43"/>
  <c r="E283" i="43"/>
  <c r="E282" i="43"/>
  <c r="E281" i="43"/>
  <c r="E280" i="43"/>
  <c r="E277" i="43"/>
  <c r="E275" i="43"/>
  <c r="E267" i="43"/>
  <c r="E265" i="43"/>
  <c r="E264" i="43"/>
  <c r="E263" i="43"/>
  <c r="E259" i="43"/>
  <c r="E257" i="43"/>
  <c r="E254" i="43"/>
  <c r="D252" i="43"/>
  <c r="D250" i="43"/>
  <c r="C15" i="9" s="1"/>
  <c r="E248" i="43"/>
  <c r="E247" i="43"/>
  <c r="E244" i="43"/>
  <c r="E240" i="43"/>
  <c r="E239" i="43"/>
  <c r="E238" i="43"/>
  <c r="E237" i="43"/>
  <c r="E236" i="43"/>
  <c r="E235" i="43"/>
  <c r="E234" i="43"/>
  <c r="F214" i="43"/>
  <c r="E214" i="43"/>
  <c r="E213" i="43"/>
  <c r="E212" i="43"/>
  <c r="E211" i="43"/>
  <c r="D209" i="43"/>
  <c r="G207" i="43"/>
  <c r="G206" i="43"/>
  <c r="G205" i="43"/>
  <c r="E204" i="43"/>
  <c r="G202" i="43"/>
  <c r="G201" i="43"/>
  <c r="G200" i="43"/>
  <c r="G199" i="43"/>
  <c r="E198" i="43"/>
  <c r="E197" i="43"/>
  <c r="G195" i="43"/>
  <c r="G194" i="43"/>
  <c r="G193" i="43"/>
  <c r="G192" i="43"/>
  <c r="G191" i="43"/>
  <c r="E190" i="43"/>
  <c r="D188" i="43"/>
  <c r="G186" i="43"/>
  <c r="G185" i="43"/>
  <c r="G184" i="43"/>
  <c r="G183" i="43"/>
  <c r="E182" i="43"/>
  <c r="G180" i="43"/>
  <c r="G179" i="43"/>
  <c r="G178" i="43"/>
  <c r="G177" i="43"/>
  <c r="G175" i="43"/>
  <c r="G174" i="43"/>
  <c r="G173" i="43"/>
  <c r="G172" i="43"/>
  <c r="G170" i="43"/>
  <c r="G169" i="43"/>
  <c r="G168" i="43"/>
  <c r="G167" i="43"/>
  <c r="E166" i="43"/>
  <c r="E164" i="43"/>
  <c r="D163" i="43"/>
  <c r="G152" i="43"/>
  <c r="G151" i="43"/>
  <c r="G150" i="43"/>
  <c r="E149" i="43"/>
  <c r="E148" i="43"/>
  <c r="E147" i="43"/>
  <c r="E146" i="43"/>
  <c r="G144" i="43"/>
  <c r="G143" i="43"/>
  <c r="G142" i="43"/>
  <c r="G141" i="43"/>
  <c r="G139" i="43"/>
  <c r="G138" i="43"/>
  <c r="G137" i="43"/>
  <c r="G136" i="43"/>
  <c r="G134" i="43"/>
  <c r="G133" i="43"/>
  <c r="G132" i="43"/>
  <c r="G131" i="43"/>
  <c r="E130" i="43"/>
  <c r="G128" i="43"/>
  <c r="G127" i="43"/>
  <c r="G126" i="43"/>
  <c r="G125" i="43"/>
  <c r="G124" i="43"/>
  <c r="G123" i="43"/>
  <c r="G122" i="43"/>
  <c r="G121" i="43"/>
  <c r="G120" i="43"/>
  <c r="G118" i="43"/>
  <c r="G117" i="43"/>
  <c r="G116" i="43"/>
  <c r="G115" i="43"/>
  <c r="G114" i="43"/>
  <c r="G113" i="43"/>
  <c r="G112" i="43"/>
  <c r="G111" i="43"/>
  <c r="G110" i="43"/>
  <c r="G108" i="43"/>
  <c r="G107" i="43"/>
  <c r="G106" i="43"/>
  <c r="G105" i="43"/>
  <c r="G104" i="43"/>
  <c r="G103" i="43"/>
  <c r="G102" i="43"/>
  <c r="G101" i="43"/>
  <c r="G100" i="43"/>
  <c r="E99" i="43"/>
  <c r="E98" i="43"/>
  <c r="F96" i="43"/>
  <c r="F95" i="43"/>
  <c r="F94" i="43"/>
  <c r="F92" i="43"/>
  <c r="F91" i="43"/>
  <c r="F90" i="43"/>
  <c r="F86" i="43"/>
  <c r="E85" i="43"/>
  <c r="E84" i="43"/>
  <c r="E83" i="43"/>
  <c r="E81" i="43"/>
  <c r="E80" i="43"/>
  <c r="E78" i="43"/>
  <c r="E75" i="43"/>
  <c r="E73" i="43"/>
  <c r="E70" i="43"/>
  <c r="E68" i="43"/>
  <c r="E67" i="43"/>
  <c r="E66" i="43"/>
  <c r="E63" i="43"/>
  <c r="E61" i="43"/>
  <c r="E59" i="43"/>
  <c r="E58" i="43"/>
  <c r="E56" i="43"/>
  <c r="E54" i="43"/>
  <c r="E51" i="43"/>
  <c r="D49" i="43"/>
  <c r="D47" i="43"/>
  <c r="C14" i="9" s="1"/>
  <c r="F43" i="43"/>
  <c r="F42" i="43"/>
  <c r="F41" i="43"/>
  <c r="E40" i="43"/>
  <c r="F38" i="43"/>
  <c r="F37" i="43"/>
  <c r="F35" i="43"/>
  <c r="F34" i="43"/>
  <c r="F33" i="43"/>
  <c r="E31" i="43"/>
  <c r="E29" i="43"/>
  <c r="E28" i="43"/>
  <c r="D25" i="43"/>
  <c r="C13" i="9" s="1"/>
  <c r="E23" i="43"/>
  <c r="E22" i="43"/>
  <c r="E21" i="43"/>
  <c r="E19" i="43"/>
  <c r="E18" i="43"/>
  <c r="F17" i="43"/>
  <c r="F16" i="43"/>
  <c r="E15" i="43"/>
  <c r="E14" i="43"/>
  <c r="E12" i="43"/>
  <c r="E11" i="43"/>
  <c r="D9" i="43"/>
  <c r="D6" i="43"/>
  <c r="C11" i="9" s="1"/>
  <c r="M4" i="43"/>
  <c r="K4" i="43"/>
  <c r="I4" i="43"/>
  <c r="G4" i="43"/>
  <c r="E4" i="43"/>
  <c r="M3" i="43"/>
  <c r="K3" i="43"/>
  <c r="I3" i="43"/>
  <c r="G3" i="43"/>
  <c r="C12" i="9" s="1"/>
  <c r="E3" i="43"/>
  <c r="P2" i="43"/>
  <c r="M2" i="43"/>
  <c r="K2" i="43"/>
  <c r="I2" i="43"/>
  <c r="G2" i="43"/>
  <c r="E2" i="43"/>
  <c r="B2" i="43"/>
  <c r="M1447" i="64"/>
  <c r="J1447" i="64"/>
  <c r="H1447" i="64"/>
  <c r="F1447" i="64"/>
  <c r="E1447" i="64"/>
  <c r="E1446" i="64"/>
  <c r="M1434" i="64"/>
  <c r="K1434" i="64"/>
  <c r="I1434" i="64"/>
  <c r="F1434" i="64"/>
  <c r="E1434" i="64"/>
  <c r="E1433" i="64"/>
  <c r="D1431" i="64"/>
  <c r="G1429" i="64"/>
  <c r="G1428" i="64"/>
  <c r="G1427" i="64"/>
  <c r="G1426" i="64"/>
  <c r="E1425" i="64"/>
  <c r="D1424" i="64"/>
  <c r="G1423" i="64"/>
  <c r="G1422" i="64"/>
  <c r="G1421" i="64"/>
  <c r="G1420" i="64"/>
  <c r="E1419" i="64"/>
  <c r="G1417" i="64"/>
  <c r="G1416" i="64"/>
  <c r="G1415" i="64"/>
  <c r="G1414" i="64"/>
  <c r="G1413" i="64"/>
  <c r="G1412" i="64"/>
  <c r="G1411" i="64"/>
  <c r="G1410" i="64"/>
  <c r="G1409" i="64"/>
  <c r="E1408" i="64"/>
  <c r="F1407" i="64"/>
  <c r="E1406" i="64"/>
  <c r="E1404" i="64"/>
  <c r="E1402" i="64"/>
  <c r="D1400" i="64"/>
  <c r="D1398" i="64"/>
  <c r="D1395" i="64"/>
  <c r="D1377" i="64"/>
  <c r="E1375" i="64"/>
  <c r="E1374" i="64"/>
  <c r="E1372" i="64"/>
  <c r="E1370" i="64"/>
  <c r="E1369" i="64"/>
  <c r="E1368" i="64"/>
  <c r="E1366" i="64"/>
  <c r="E1365" i="64"/>
  <c r="E1363" i="64"/>
  <c r="E1362" i="64"/>
  <c r="E1361" i="64"/>
  <c r="E1359" i="64"/>
  <c r="E1356" i="64"/>
  <c r="D1354" i="64"/>
  <c r="D1352" i="64"/>
  <c r="D1334" i="64"/>
  <c r="E1332" i="64"/>
  <c r="E1330" i="64"/>
  <c r="E1329" i="64"/>
  <c r="E1328" i="64"/>
  <c r="E1326" i="64"/>
  <c r="E1324" i="64"/>
  <c r="E1323" i="64"/>
  <c r="E1322" i="64"/>
  <c r="E1321" i="64"/>
  <c r="E1319" i="64"/>
  <c r="E1318" i="64"/>
  <c r="D1317" i="64"/>
  <c r="D1315" i="64"/>
  <c r="F1313" i="64"/>
  <c r="F1312" i="64"/>
  <c r="F1311" i="64"/>
  <c r="F1310" i="64"/>
  <c r="F1309" i="64"/>
  <c r="F1308" i="64"/>
  <c r="F1307" i="64"/>
  <c r="E1306" i="64"/>
  <c r="F1305" i="64"/>
  <c r="F1304" i="64"/>
  <c r="F1303" i="64"/>
  <c r="E1302" i="64"/>
  <c r="D1300" i="64"/>
  <c r="E1297" i="64"/>
  <c r="H1296" i="64"/>
  <c r="M1292" i="64"/>
  <c r="K1292" i="64"/>
  <c r="I1292" i="64"/>
  <c r="E1290" i="64"/>
  <c r="N1289" i="64"/>
  <c r="E1289" i="64"/>
  <c r="H1288" i="64"/>
  <c r="M1283" i="64"/>
  <c r="L1283" i="64"/>
  <c r="K1283" i="64"/>
  <c r="J1283" i="64"/>
  <c r="I1283" i="64"/>
  <c r="H1283" i="64"/>
  <c r="E1277" i="64"/>
  <c r="H1276" i="64"/>
  <c r="M1272" i="64"/>
  <c r="K1272" i="64"/>
  <c r="I1272" i="64"/>
  <c r="E1270" i="64"/>
  <c r="N1269" i="64"/>
  <c r="E1269" i="64"/>
  <c r="H1268" i="64"/>
  <c r="M1263" i="64"/>
  <c r="L1263" i="64"/>
  <c r="K1263" i="64"/>
  <c r="J1263" i="64"/>
  <c r="I1263" i="64"/>
  <c r="H1263" i="64"/>
  <c r="E1257" i="64"/>
  <c r="E1256" i="64"/>
  <c r="E1254" i="64"/>
  <c r="E1252" i="64"/>
  <c r="E1251" i="64"/>
  <c r="E1250" i="64"/>
  <c r="E1249" i="64"/>
  <c r="E1247" i="64"/>
  <c r="H1246" i="64"/>
  <c r="M1242" i="64"/>
  <c r="K1242" i="64"/>
  <c r="I1242" i="64"/>
  <c r="E1240" i="64"/>
  <c r="N1239" i="64"/>
  <c r="E1239" i="64"/>
  <c r="H1238" i="64"/>
  <c r="M1233" i="64"/>
  <c r="L1233" i="64"/>
  <c r="K1233" i="64"/>
  <c r="J1233" i="64"/>
  <c r="I1233" i="64"/>
  <c r="H1233" i="64"/>
  <c r="E1227" i="64"/>
  <c r="E1226" i="64"/>
  <c r="E1224" i="64"/>
  <c r="E1222" i="64"/>
  <c r="E1221" i="64"/>
  <c r="E1220" i="64"/>
  <c r="E1219" i="64"/>
  <c r="E1217" i="64"/>
  <c r="H1216" i="64"/>
  <c r="M1212" i="64"/>
  <c r="K1212" i="64"/>
  <c r="I1212" i="64"/>
  <c r="E1210" i="64"/>
  <c r="N1209" i="64"/>
  <c r="E1209" i="64"/>
  <c r="H1208" i="64"/>
  <c r="M1203" i="64"/>
  <c r="L1203" i="64"/>
  <c r="K1203" i="64"/>
  <c r="J1203" i="64"/>
  <c r="I1203" i="64"/>
  <c r="H1203" i="64"/>
  <c r="E1197" i="64"/>
  <c r="E1196" i="64"/>
  <c r="E1195" i="64"/>
  <c r="E1194" i="64"/>
  <c r="E1193" i="64"/>
  <c r="E1192" i="64"/>
  <c r="E1191" i="64"/>
  <c r="E1190" i="64"/>
  <c r="E1189" i="64"/>
  <c r="E1188" i="64"/>
  <c r="E1186" i="64"/>
  <c r="E1184" i="64"/>
  <c r="E1183" i="64"/>
  <c r="E1182" i="64"/>
  <c r="E1181" i="64"/>
  <c r="E1179" i="64"/>
  <c r="E1177" i="64"/>
  <c r="H1176" i="64"/>
  <c r="M1172" i="64"/>
  <c r="K1172" i="64"/>
  <c r="I1172" i="64"/>
  <c r="E1170" i="64"/>
  <c r="N1169" i="64"/>
  <c r="E1169" i="64"/>
  <c r="H1168" i="64"/>
  <c r="M1163" i="64"/>
  <c r="L1163" i="64"/>
  <c r="K1163" i="64"/>
  <c r="J1163" i="64"/>
  <c r="I1163" i="64"/>
  <c r="H1163" i="64"/>
  <c r="E1157" i="64"/>
  <c r="E1156" i="64"/>
  <c r="E1155" i="64"/>
  <c r="E1154" i="64"/>
  <c r="E1153" i="64"/>
  <c r="E1152" i="64"/>
  <c r="E1151" i="64"/>
  <c r="E1150" i="64"/>
  <c r="E1149" i="64"/>
  <c r="E1148" i="64"/>
  <c r="E1146" i="64"/>
  <c r="E1144" i="64"/>
  <c r="E1143" i="64"/>
  <c r="E1142" i="64"/>
  <c r="E1141" i="64"/>
  <c r="E1139" i="64"/>
  <c r="E1137" i="64"/>
  <c r="H1136" i="64"/>
  <c r="M1132" i="64"/>
  <c r="K1132" i="64"/>
  <c r="I1132" i="64"/>
  <c r="E1130" i="64"/>
  <c r="N1129" i="64"/>
  <c r="E1129" i="64"/>
  <c r="H1128" i="64"/>
  <c r="M1123" i="64"/>
  <c r="L1123" i="64"/>
  <c r="K1123" i="64"/>
  <c r="J1123" i="64"/>
  <c r="I1123" i="64"/>
  <c r="H1123" i="64"/>
  <c r="E1117" i="64"/>
  <c r="E1116" i="64"/>
  <c r="E1115" i="64"/>
  <c r="E1114" i="64"/>
  <c r="E1113" i="64"/>
  <c r="E1112" i="64"/>
  <c r="E1111" i="64"/>
  <c r="E1110" i="64"/>
  <c r="E1109" i="64"/>
  <c r="E1108" i="64"/>
  <c r="E1106" i="64"/>
  <c r="E1104" i="64"/>
  <c r="E1103" i="64"/>
  <c r="E1102" i="64"/>
  <c r="E1101" i="64"/>
  <c r="E1099" i="64"/>
  <c r="E1097" i="64"/>
  <c r="H1096" i="64"/>
  <c r="M1092" i="64"/>
  <c r="K1092" i="64"/>
  <c r="I1092" i="64"/>
  <c r="E1090" i="64"/>
  <c r="N1089" i="64"/>
  <c r="E1089" i="64"/>
  <c r="H1088" i="64"/>
  <c r="M1083" i="64"/>
  <c r="L1083" i="64"/>
  <c r="K1083" i="64"/>
  <c r="J1083" i="64"/>
  <c r="I1083" i="64"/>
  <c r="H1083" i="64"/>
  <c r="H1075" i="64"/>
  <c r="H1074" i="64"/>
  <c r="E1073" i="64"/>
  <c r="H1072" i="64"/>
  <c r="H1071" i="64"/>
  <c r="E1070" i="64"/>
  <c r="H1068" i="64"/>
  <c r="E1068" i="64"/>
  <c r="E1066" i="64"/>
  <c r="E1065" i="64"/>
  <c r="E1063" i="64"/>
  <c r="E1062" i="64"/>
  <c r="E1061" i="64"/>
  <c r="E1060" i="64"/>
  <c r="E1059" i="64"/>
  <c r="E1058" i="64"/>
  <c r="E1057" i="64"/>
  <c r="E1056" i="64"/>
  <c r="E1055" i="64"/>
  <c r="E1054" i="64"/>
  <c r="E1052" i="64"/>
  <c r="E1051" i="64"/>
  <c r="E1049" i="64"/>
  <c r="E1048" i="64"/>
  <c r="E1046" i="64"/>
  <c r="E1045" i="64"/>
  <c r="E1043" i="64"/>
  <c r="E1042" i="64"/>
  <c r="E1041" i="64"/>
  <c r="E1040" i="64"/>
  <c r="E1038" i="64"/>
  <c r="E1037" i="64"/>
  <c r="E1035" i="64"/>
  <c r="H1034" i="64"/>
  <c r="M1030" i="64"/>
  <c r="K1030" i="64"/>
  <c r="I1030" i="64"/>
  <c r="E1028" i="64"/>
  <c r="N1027" i="64"/>
  <c r="E1027" i="64"/>
  <c r="H1026" i="64"/>
  <c r="E1024" i="64"/>
  <c r="L1023" i="64"/>
  <c r="H1023" i="64"/>
  <c r="G1023" i="64"/>
  <c r="M1021" i="64"/>
  <c r="L1021" i="64"/>
  <c r="K1021" i="64"/>
  <c r="J1021" i="64"/>
  <c r="H1021" i="64"/>
  <c r="H1015" i="64"/>
  <c r="H1014" i="64"/>
  <c r="E1013" i="64"/>
  <c r="H1012" i="64"/>
  <c r="H1011" i="64"/>
  <c r="E1010" i="64"/>
  <c r="H1008" i="64"/>
  <c r="E1008" i="64"/>
  <c r="E1006" i="64"/>
  <c r="E1005" i="64"/>
  <c r="E1003" i="64"/>
  <c r="E1002" i="64"/>
  <c r="E1001" i="64"/>
  <c r="E1000" i="64"/>
  <c r="E999" i="64"/>
  <c r="E998" i="64"/>
  <c r="E997" i="64"/>
  <c r="E996" i="64"/>
  <c r="E995" i="64"/>
  <c r="E994" i="64"/>
  <c r="E992" i="64"/>
  <c r="E991" i="64"/>
  <c r="E989" i="64"/>
  <c r="E988" i="64"/>
  <c r="E986" i="64"/>
  <c r="E985" i="64"/>
  <c r="E983" i="64"/>
  <c r="E982" i="64"/>
  <c r="E981" i="64"/>
  <c r="E980" i="64"/>
  <c r="E978" i="64"/>
  <c r="E977" i="64"/>
  <c r="E975" i="64"/>
  <c r="H974" i="64"/>
  <c r="M970" i="64"/>
  <c r="K970" i="64"/>
  <c r="I970" i="64"/>
  <c r="E968" i="64"/>
  <c r="N967" i="64"/>
  <c r="E967" i="64"/>
  <c r="H966" i="64"/>
  <c r="E964" i="64"/>
  <c r="L963" i="64"/>
  <c r="H963" i="64"/>
  <c r="G963" i="64"/>
  <c r="M961" i="64"/>
  <c r="L961" i="64"/>
  <c r="K961" i="64"/>
  <c r="J961" i="64"/>
  <c r="H961" i="64"/>
  <c r="H955" i="64"/>
  <c r="H954" i="64"/>
  <c r="E953" i="64"/>
  <c r="H952" i="64"/>
  <c r="H951" i="64"/>
  <c r="E950" i="64"/>
  <c r="H948" i="64"/>
  <c r="E948" i="64"/>
  <c r="E946" i="64"/>
  <c r="E945" i="64"/>
  <c r="E943" i="64"/>
  <c r="E942" i="64"/>
  <c r="E941" i="64"/>
  <c r="E940" i="64"/>
  <c r="E939" i="64"/>
  <c r="E938" i="64"/>
  <c r="E937" i="64"/>
  <c r="E936" i="64"/>
  <c r="E935" i="64"/>
  <c r="E934" i="64"/>
  <c r="E932" i="64"/>
  <c r="E931" i="64"/>
  <c r="E929" i="64"/>
  <c r="E928" i="64"/>
  <c r="E926" i="64"/>
  <c r="E925" i="64"/>
  <c r="E923" i="64"/>
  <c r="E922" i="64"/>
  <c r="E921" i="64"/>
  <c r="E920" i="64"/>
  <c r="E918" i="64"/>
  <c r="E917" i="64"/>
  <c r="E915" i="64"/>
  <c r="H914" i="64"/>
  <c r="M910" i="64"/>
  <c r="K910" i="64"/>
  <c r="I910" i="64"/>
  <c r="E908" i="64"/>
  <c r="N907" i="64"/>
  <c r="E907" i="64"/>
  <c r="H906" i="64"/>
  <c r="E904" i="64"/>
  <c r="L903" i="64"/>
  <c r="H903" i="64"/>
  <c r="G903" i="64"/>
  <c r="M901" i="64"/>
  <c r="L901" i="64"/>
  <c r="K901" i="64"/>
  <c r="J901" i="64"/>
  <c r="H901" i="64"/>
  <c r="H895" i="64"/>
  <c r="H894" i="64"/>
  <c r="E893" i="64"/>
  <c r="H892" i="64"/>
  <c r="H891" i="64"/>
  <c r="E890" i="64"/>
  <c r="H888" i="64"/>
  <c r="E888" i="64"/>
  <c r="E886" i="64"/>
  <c r="E885" i="64"/>
  <c r="E883" i="64"/>
  <c r="E882" i="64"/>
  <c r="E881" i="64"/>
  <c r="E880" i="64"/>
  <c r="E879" i="64"/>
  <c r="E878" i="64"/>
  <c r="E877" i="64"/>
  <c r="E876" i="64"/>
  <c r="E875" i="64"/>
  <c r="E874" i="64"/>
  <c r="E872" i="64"/>
  <c r="E871" i="64"/>
  <c r="E869" i="64"/>
  <c r="E868" i="64"/>
  <c r="E866" i="64"/>
  <c r="E865" i="64"/>
  <c r="E863" i="64"/>
  <c r="E862" i="64"/>
  <c r="E861" i="64"/>
  <c r="E860" i="64"/>
  <c r="E858" i="64"/>
  <c r="E857" i="64"/>
  <c r="E855" i="64"/>
  <c r="H854" i="64"/>
  <c r="M850" i="64"/>
  <c r="K850" i="64"/>
  <c r="I850" i="64"/>
  <c r="E848" i="64"/>
  <c r="N847" i="64"/>
  <c r="E847" i="64"/>
  <c r="H846" i="64"/>
  <c r="E844" i="64"/>
  <c r="L843" i="64"/>
  <c r="H843" i="64"/>
  <c r="G843" i="64"/>
  <c r="M841" i="64"/>
  <c r="L841" i="64"/>
  <c r="K841" i="64"/>
  <c r="J841" i="64"/>
  <c r="H841" i="64"/>
  <c r="H835" i="64"/>
  <c r="H834" i="64"/>
  <c r="E833" i="64"/>
  <c r="H832" i="64"/>
  <c r="H831" i="64"/>
  <c r="E830" i="64"/>
  <c r="H828" i="64"/>
  <c r="E828" i="64"/>
  <c r="E826" i="64"/>
  <c r="E825" i="64"/>
  <c r="E823" i="64"/>
  <c r="E822" i="64"/>
  <c r="E821" i="64"/>
  <c r="E820" i="64"/>
  <c r="E819" i="64"/>
  <c r="E818" i="64"/>
  <c r="E817" i="64"/>
  <c r="E816" i="64"/>
  <c r="E815" i="64"/>
  <c r="E814" i="64"/>
  <c r="E812" i="64"/>
  <c r="E811" i="64"/>
  <c r="E809" i="64"/>
  <c r="E808" i="64"/>
  <c r="E806" i="64"/>
  <c r="E805" i="64"/>
  <c r="E803" i="64"/>
  <c r="E802" i="64"/>
  <c r="E801" i="64"/>
  <c r="E800" i="64"/>
  <c r="E798" i="64"/>
  <c r="E797" i="64"/>
  <c r="E795" i="64"/>
  <c r="H794" i="64"/>
  <c r="M790" i="64"/>
  <c r="K790" i="64"/>
  <c r="I790" i="64"/>
  <c r="E788" i="64"/>
  <c r="N787" i="64"/>
  <c r="E787" i="64"/>
  <c r="H786" i="64"/>
  <c r="E784" i="64"/>
  <c r="L783" i="64"/>
  <c r="H783" i="64"/>
  <c r="G783" i="64"/>
  <c r="M781" i="64"/>
  <c r="L781" i="64"/>
  <c r="K781" i="64"/>
  <c r="J781" i="64"/>
  <c r="H781" i="64"/>
  <c r="H775" i="64"/>
  <c r="H774" i="64"/>
  <c r="E773" i="64"/>
  <c r="H772" i="64"/>
  <c r="H771" i="64"/>
  <c r="E770" i="64"/>
  <c r="H768" i="64"/>
  <c r="E768" i="64"/>
  <c r="E766" i="64"/>
  <c r="E765" i="64"/>
  <c r="E763" i="64"/>
  <c r="E762" i="64"/>
  <c r="E761" i="64"/>
  <c r="E760" i="64"/>
  <c r="E759" i="64"/>
  <c r="E758" i="64"/>
  <c r="E757" i="64"/>
  <c r="E756" i="64"/>
  <c r="E755" i="64"/>
  <c r="E754" i="64"/>
  <c r="E752" i="64"/>
  <c r="E751" i="64"/>
  <c r="E749" i="64"/>
  <c r="E748" i="64"/>
  <c r="E746" i="64"/>
  <c r="E745" i="64"/>
  <c r="E743" i="64"/>
  <c r="E742" i="64"/>
  <c r="E741" i="64"/>
  <c r="E740" i="64"/>
  <c r="E738" i="64"/>
  <c r="E737" i="64"/>
  <c r="E735" i="64"/>
  <c r="H734" i="64"/>
  <c r="M730" i="64"/>
  <c r="K730" i="64"/>
  <c r="I730" i="64"/>
  <c r="E728" i="64"/>
  <c r="N727" i="64"/>
  <c r="E727" i="64"/>
  <c r="H726" i="64"/>
  <c r="E724" i="64"/>
  <c r="L723" i="64"/>
  <c r="H723" i="64"/>
  <c r="G723" i="64"/>
  <c r="M721" i="64"/>
  <c r="L721" i="64"/>
  <c r="K721" i="64"/>
  <c r="J721" i="64"/>
  <c r="H721" i="64"/>
  <c r="H715" i="64"/>
  <c r="H714" i="64"/>
  <c r="E713" i="64"/>
  <c r="H712" i="64"/>
  <c r="H711" i="64"/>
  <c r="E710" i="64"/>
  <c r="H708" i="64"/>
  <c r="E708" i="64"/>
  <c r="E706" i="64"/>
  <c r="E705" i="64"/>
  <c r="E703" i="64"/>
  <c r="E702" i="64"/>
  <c r="E701" i="64"/>
  <c r="E700" i="64"/>
  <c r="E699" i="64"/>
  <c r="E698" i="64"/>
  <c r="E697" i="64"/>
  <c r="E696" i="64"/>
  <c r="E695" i="64"/>
  <c r="E694" i="64"/>
  <c r="E692" i="64"/>
  <c r="E691" i="64"/>
  <c r="E689" i="64"/>
  <c r="E688" i="64"/>
  <c r="E686" i="64"/>
  <c r="E685" i="64"/>
  <c r="E683" i="64"/>
  <c r="E682" i="64"/>
  <c r="E681" i="64"/>
  <c r="E680" i="64"/>
  <c r="E678" i="64"/>
  <c r="E677" i="64"/>
  <c r="E675" i="64"/>
  <c r="H674" i="64"/>
  <c r="M670" i="64"/>
  <c r="K670" i="64"/>
  <c r="I670" i="64"/>
  <c r="E668" i="64"/>
  <c r="N667" i="64"/>
  <c r="E667" i="64"/>
  <c r="H666" i="64"/>
  <c r="E664" i="64"/>
  <c r="L663" i="64"/>
  <c r="H663" i="64"/>
  <c r="G663" i="64"/>
  <c r="M661" i="64"/>
  <c r="L661" i="64"/>
  <c r="K661" i="64"/>
  <c r="J661" i="64"/>
  <c r="H661" i="64"/>
  <c r="H655" i="64"/>
  <c r="H654" i="64"/>
  <c r="E653" i="64"/>
  <c r="H652" i="64"/>
  <c r="H651" i="64"/>
  <c r="E650" i="64"/>
  <c r="H648" i="64"/>
  <c r="E648" i="64"/>
  <c r="E646" i="64"/>
  <c r="E645" i="64"/>
  <c r="E643" i="64"/>
  <c r="E642" i="64"/>
  <c r="E641" i="64"/>
  <c r="E640" i="64"/>
  <c r="E639" i="64"/>
  <c r="E638" i="64"/>
  <c r="E637" i="64"/>
  <c r="E636" i="64"/>
  <c r="E635" i="64"/>
  <c r="E634" i="64"/>
  <c r="E632" i="64"/>
  <c r="E631" i="64"/>
  <c r="E629" i="64"/>
  <c r="E628" i="64"/>
  <c r="E626" i="64"/>
  <c r="E625" i="64"/>
  <c r="E623" i="64"/>
  <c r="E622" i="64"/>
  <c r="E621" i="64"/>
  <c r="E620" i="64"/>
  <c r="E618" i="64"/>
  <c r="E617" i="64"/>
  <c r="E615" i="64"/>
  <c r="H614" i="64"/>
  <c r="M610" i="64"/>
  <c r="K610" i="64"/>
  <c r="I610" i="64"/>
  <c r="E608" i="64"/>
  <c r="N607" i="64"/>
  <c r="E607" i="64"/>
  <c r="H606" i="64"/>
  <c r="E604" i="64"/>
  <c r="L603" i="64"/>
  <c r="H603" i="64"/>
  <c r="G603" i="64"/>
  <c r="M601" i="64"/>
  <c r="L601" i="64"/>
  <c r="K601" i="64"/>
  <c r="J601" i="64"/>
  <c r="H601" i="64"/>
  <c r="H595" i="64"/>
  <c r="H594" i="64"/>
  <c r="E593" i="64"/>
  <c r="H592" i="64"/>
  <c r="H591" i="64"/>
  <c r="E590" i="64"/>
  <c r="H588" i="64"/>
  <c r="E588" i="64"/>
  <c r="E586" i="64"/>
  <c r="E585" i="64"/>
  <c r="E583" i="64"/>
  <c r="E582" i="64"/>
  <c r="E581" i="64"/>
  <c r="E580" i="64"/>
  <c r="E579" i="64"/>
  <c r="E578" i="64"/>
  <c r="E577" i="64"/>
  <c r="E576" i="64"/>
  <c r="E575" i="64"/>
  <c r="E574" i="64"/>
  <c r="E572" i="64"/>
  <c r="E571" i="64"/>
  <c r="E569" i="64"/>
  <c r="E568" i="64"/>
  <c r="E566" i="64"/>
  <c r="E565" i="64"/>
  <c r="E563" i="64"/>
  <c r="E562" i="64"/>
  <c r="E561" i="64"/>
  <c r="E560" i="64"/>
  <c r="E558" i="64"/>
  <c r="E557" i="64"/>
  <c r="E555" i="64"/>
  <c r="H554" i="64"/>
  <c r="M550" i="64"/>
  <c r="K550" i="64"/>
  <c r="I550" i="64"/>
  <c r="E548" i="64"/>
  <c r="N547" i="64"/>
  <c r="E547" i="64"/>
  <c r="H546" i="64"/>
  <c r="E544" i="64"/>
  <c r="L543" i="64"/>
  <c r="H543" i="64"/>
  <c r="G543" i="64"/>
  <c r="M541" i="64"/>
  <c r="L541" i="64"/>
  <c r="K541" i="64"/>
  <c r="J541" i="64"/>
  <c r="H541" i="64"/>
  <c r="H535" i="64"/>
  <c r="H534" i="64"/>
  <c r="E533" i="64"/>
  <c r="H532" i="64"/>
  <c r="H531" i="64"/>
  <c r="E530" i="64"/>
  <c r="H528" i="64"/>
  <c r="E528" i="64"/>
  <c r="E526" i="64"/>
  <c r="E525" i="64"/>
  <c r="E523" i="64"/>
  <c r="E522" i="64"/>
  <c r="E521" i="64"/>
  <c r="E520" i="64"/>
  <c r="E519" i="64"/>
  <c r="E518" i="64"/>
  <c r="E517" i="64"/>
  <c r="E516" i="64"/>
  <c r="E515" i="64"/>
  <c r="E514" i="64"/>
  <c r="E512" i="64"/>
  <c r="E511" i="64"/>
  <c r="E509" i="64"/>
  <c r="E508" i="64"/>
  <c r="E506" i="64"/>
  <c r="E505" i="64"/>
  <c r="E503" i="64"/>
  <c r="E502" i="64"/>
  <c r="E501" i="64"/>
  <c r="E500" i="64"/>
  <c r="E498" i="64"/>
  <c r="E497" i="64"/>
  <c r="E495" i="64"/>
  <c r="H494" i="64"/>
  <c r="M490" i="64"/>
  <c r="K490" i="64"/>
  <c r="I490" i="64"/>
  <c r="E488" i="64"/>
  <c r="N487" i="64"/>
  <c r="E487" i="64"/>
  <c r="H486" i="64"/>
  <c r="E484" i="64"/>
  <c r="L483" i="64"/>
  <c r="H483" i="64"/>
  <c r="G483" i="64"/>
  <c r="M481" i="64"/>
  <c r="L481" i="64"/>
  <c r="K481" i="64"/>
  <c r="J481" i="64"/>
  <c r="H481" i="64"/>
  <c r="D477" i="64"/>
  <c r="F475" i="64"/>
  <c r="D475" i="64"/>
  <c r="F474" i="64"/>
  <c r="D474" i="64"/>
  <c r="F473" i="64"/>
  <c r="F472" i="64"/>
  <c r="D472" i="64"/>
  <c r="F471" i="64"/>
  <c r="D471" i="64"/>
  <c r="F470" i="64"/>
  <c r="F469" i="64"/>
  <c r="F468" i="64"/>
  <c r="D468" i="64"/>
  <c r="F467" i="64"/>
  <c r="D467" i="64"/>
  <c r="F466" i="64"/>
  <c r="F465" i="64"/>
  <c r="F464" i="64"/>
  <c r="D464" i="64"/>
  <c r="F463" i="64"/>
  <c r="D463" i="64"/>
  <c r="F462" i="64"/>
  <c r="D462" i="64"/>
  <c r="F461" i="64"/>
  <c r="D461" i="64"/>
  <c r="F460" i="64"/>
  <c r="D460" i="64"/>
  <c r="F459" i="64"/>
  <c r="D459" i="64"/>
  <c r="D458" i="64"/>
  <c r="D456" i="64"/>
  <c r="D454" i="64"/>
  <c r="E452" i="64"/>
  <c r="E451" i="64"/>
  <c r="E450" i="64"/>
  <c r="E449" i="64"/>
  <c r="E448" i="64"/>
  <c r="E447" i="64"/>
  <c r="H446" i="64"/>
  <c r="E444" i="64"/>
  <c r="D442" i="64"/>
  <c r="E440" i="64"/>
  <c r="E439" i="64"/>
  <c r="E438" i="64"/>
  <c r="E436" i="64"/>
  <c r="E435" i="64"/>
  <c r="H424" i="64"/>
  <c r="E424" i="64"/>
  <c r="E423" i="64"/>
  <c r="E421" i="64"/>
  <c r="E420" i="64"/>
  <c r="E418" i="64"/>
  <c r="E417" i="64"/>
  <c r="E416" i="64"/>
  <c r="E415" i="64"/>
  <c r="E414" i="64"/>
  <c r="E413" i="64"/>
  <c r="H412" i="64"/>
  <c r="E412" i="64"/>
  <c r="E411" i="64"/>
  <c r="E409" i="64"/>
  <c r="H398" i="64"/>
  <c r="E398" i="64"/>
  <c r="E397" i="64"/>
  <c r="E395" i="64"/>
  <c r="E394" i="64"/>
  <c r="E392" i="64"/>
  <c r="H388" i="64"/>
  <c r="E388" i="64"/>
  <c r="E387" i="64"/>
  <c r="E385" i="64"/>
  <c r="H381" i="64"/>
  <c r="E381" i="64"/>
  <c r="E380" i="64"/>
  <c r="E378" i="64"/>
  <c r="E377" i="64"/>
  <c r="E375" i="64"/>
  <c r="E374" i="64"/>
  <c r="E373" i="64"/>
  <c r="H372" i="64"/>
  <c r="E372" i="64"/>
  <c r="E371" i="64"/>
  <c r="E369" i="64"/>
  <c r="H358" i="64"/>
  <c r="E358" i="64"/>
  <c r="E357" i="64"/>
  <c r="D355" i="64"/>
  <c r="E353" i="64"/>
  <c r="E352" i="64"/>
  <c r="E351" i="64"/>
  <c r="H350" i="64"/>
  <c r="D349" i="64"/>
  <c r="E347" i="64"/>
  <c r="H346" i="64"/>
  <c r="E345" i="64"/>
  <c r="E343" i="64"/>
  <c r="E342" i="64"/>
  <c r="E340" i="64"/>
  <c r="E339" i="64"/>
  <c r="H338" i="64"/>
  <c r="E337" i="64"/>
  <c r="E335" i="64"/>
  <c r="H329" i="64"/>
  <c r="E329" i="64"/>
  <c r="E328" i="64"/>
  <c r="E326" i="64"/>
  <c r="E325" i="64"/>
  <c r="E323" i="64"/>
  <c r="E322" i="64"/>
  <c r="E320" i="64"/>
  <c r="E319" i="64"/>
  <c r="E317" i="64"/>
  <c r="H316" i="64"/>
  <c r="E314" i="64"/>
  <c r="E312" i="64"/>
  <c r="H306" i="64"/>
  <c r="E306" i="64"/>
  <c r="E305" i="64"/>
  <c r="E303" i="64"/>
  <c r="E302" i="64"/>
  <c r="E300" i="64"/>
  <c r="E299" i="64"/>
  <c r="E297" i="64"/>
  <c r="E296" i="64"/>
  <c r="E294" i="64"/>
  <c r="H283" i="64"/>
  <c r="E282" i="64"/>
  <c r="E280" i="64"/>
  <c r="E279" i="64"/>
  <c r="E278" i="64"/>
  <c r="E276" i="64"/>
  <c r="E274" i="64"/>
  <c r="E273" i="64"/>
  <c r="E271" i="64"/>
  <c r="E270" i="64"/>
  <c r="E268" i="64"/>
  <c r="E267" i="64"/>
  <c r="E265" i="64"/>
  <c r="H261" i="64"/>
  <c r="E261" i="64"/>
  <c r="E260" i="64"/>
  <c r="E258" i="64"/>
  <c r="H254" i="64"/>
  <c r="E254" i="64"/>
  <c r="E253" i="64"/>
  <c r="E251" i="64"/>
  <c r="H250" i="64"/>
  <c r="E249" i="64"/>
  <c r="D247" i="64"/>
  <c r="E245" i="64"/>
  <c r="E244" i="64"/>
  <c r="E243" i="64"/>
  <c r="E242" i="64"/>
  <c r="E241" i="64"/>
  <c r="E230" i="64"/>
  <c r="E228" i="64"/>
  <c r="E227" i="64"/>
  <c r="E226" i="64"/>
  <c r="E225" i="64"/>
  <c r="E224" i="64"/>
  <c r="E223" i="64"/>
  <c r="H222" i="64"/>
  <c r="E222" i="64"/>
  <c r="D220" i="64"/>
  <c r="M218" i="64"/>
  <c r="J218" i="64"/>
  <c r="E218" i="64"/>
  <c r="E216" i="64"/>
  <c r="E215" i="64"/>
  <c r="E214" i="64"/>
  <c r="E213" i="64"/>
  <c r="E212" i="64"/>
  <c r="E211" i="64"/>
  <c r="H210" i="64"/>
  <c r="E209" i="64"/>
  <c r="E208" i="64"/>
  <c r="M206" i="64"/>
  <c r="J206" i="64"/>
  <c r="E206" i="64"/>
  <c r="E204" i="64"/>
  <c r="E203" i="64"/>
  <c r="E202" i="64"/>
  <c r="E201" i="64"/>
  <c r="E200" i="64"/>
  <c r="E199" i="64"/>
  <c r="H198" i="64"/>
  <c r="E197" i="64"/>
  <c r="E196" i="64"/>
  <c r="D194" i="64"/>
  <c r="E192" i="64"/>
  <c r="E191" i="64"/>
  <c r="E189" i="64"/>
  <c r="E188" i="64"/>
  <c r="H187" i="64"/>
  <c r="E187" i="64"/>
  <c r="E185" i="64"/>
  <c r="E184" i="64"/>
  <c r="E183" i="64"/>
  <c r="E182" i="64"/>
  <c r="H181" i="64"/>
  <c r="E181" i="64"/>
  <c r="E179" i="64"/>
  <c r="E178" i="64"/>
  <c r="E177" i="64"/>
  <c r="H176" i="64"/>
  <c r="E176" i="64"/>
  <c r="E174" i="64"/>
  <c r="E173" i="64"/>
  <c r="E172" i="64"/>
  <c r="H171" i="64"/>
  <c r="E171" i="64"/>
  <c r="E169" i="64"/>
  <c r="E167" i="64"/>
  <c r="E166" i="64"/>
  <c r="E164" i="64"/>
  <c r="E163" i="64"/>
  <c r="H162" i="64"/>
  <c r="E162" i="64"/>
  <c r="E160" i="64"/>
  <c r="E159" i="64"/>
  <c r="E158" i="64"/>
  <c r="E157" i="64"/>
  <c r="H156" i="64"/>
  <c r="E156" i="64"/>
  <c r="E154" i="64"/>
  <c r="E153" i="64"/>
  <c r="E152" i="64"/>
  <c r="H151" i="64"/>
  <c r="E151" i="64"/>
  <c r="E149" i="64"/>
  <c r="E148" i="64"/>
  <c r="E147" i="64"/>
  <c r="H146" i="64"/>
  <c r="E146" i="64"/>
  <c r="E144" i="64"/>
  <c r="D142" i="64"/>
  <c r="E140" i="64"/>
  <c r="E139" i="64"/>
  <c r="E138" i="64"/>
  <c r="E137" i="64"/>
  <c r="E136" i="64"/>
  <c r="E135" i="64"/>
  <c r="E134" i="64"/>
  <c r="E133" i="64"/>
  <c r="H122" i="64"/>
  <c r="E122" i="64"/>
  <c r="E120" i="64"/>
  <c r="E119" i="64"/>
  <c r="E118" i="64"/>
  <c r="E117" i="64"/>
  <c r="E116" i="64"/>
  <c r="E115" i="64"/>
  <c r="E114" i="64"/>
  <c r="E113" i="64"/>
  <c r="H102" i="64"/>
  <c r="E102" i="64"/>
  <c r="E101" i="64"/>
  <c r="E100" i="64"/>
  <c r="F99" i="64"/>
  <c r="F98" i="64"/>
  <c r="E97" i="64"/>
  <c r="F96" i="64"/>
  <c r="F95" i="64"/>
  <c r="F94" i="64"/>
  <c r="F93" i="64"/>
  <c r="F92" i="64"/>
  <c r="F91" i="64"/>
  <c r="F90" i="64"/>
  <c r="F89" i="64"/>
  <c r="F88" i="64"/>
  <c r="E87" i="64"/>
  <c r="E86" i="64"/>
  <c r="D84" i="64"/>
  <c r="E82" i="64"/>
  <c r="E81" i="64"/>
  <c r="E80" i="64"/>
  <c r="E79" i="64"/>
  <c r="E78" i="64"/>
  <c r="E77" i="64"/>
  <c r="E76" i="64"/>
  <c r="E75" i="64"/>
  <c r="H74" i="64"/>
  <c r="E74" i="64"/>
  <c r="D72" i="64"/>
  <c r="D70" i="64"/>
  <c r="E68" i="64"/>
  <c r="D66" i="64"/>
  <c r="E64" i="64"/>
  <c r="K59" i="64"/>
  <c r="E59" i="64"/>
  <c r="K58" i="64"/>
  <c r="E58" i="64"/>
  <c r="D56" i="64"/>
  <c r="D54" i="64"/>
  <c r="L42" i="64"/>
  <c r="I42" i="64"/>
  <c r="E42" i="64"/>
  <c r="D41" i="64"/>
  <c r="E33" i="64"/>
  <c r="L31" i="64"/>
  <c r="E31" i="64"/>
  <c r="L30" i="64"/>
  <c r="L29" i="64"/>
  <c r="E29" i="64"/>
  <c r="L28" i="64"/>
  <c r="E28" i="64"/>
  <c r="L27" i="64"/>
  <c r="E27" i="64"/>
  <c r="E25" i="64"/>
  <c r="E24" i="64"/>
  <c r="E23" i="64"/>
  <c r="L22" i="64"/>
  <c r="E22" i="64"/>
  <c r="D20" i="64"/>
  <c r="D18" i="64"/>
  <c r="F15" i="64"/>
  <c r="F14" i="64"/>
  <c r="F13" i="64"/>
  <c r="E13" i="64"/>
  <c r="F12" i="64"/>
  <c r="F11" i="64"/>
  <c r="E11" i="64"/>
  <c r="F10" i="64"/>
  <c r="E10" i="64"/>
  <c r="F9" i="64"/>
  <c r="F8" i="64"/>
  <c r="E8" i="64"/>
  <c r="F7" i="64"/>
  <c r="E7" i="64"/>
  <c r="F6" i="64"/>
  <c r="E6" i="64"/>
  <c r="E4" i="64"/>
  <c r="B97" i="10"/>
  <c r="B83" i="10"/>
  <c r="B79" i="10"/>
  <c r="B78" i="10"/>
  <c r="B76" i="10"/>
  <c r="B75" i="10"/>
  <c r="D73" i="10"/>
  <c r="B73" i="10"/>
  <c r="D72" i="10"/>
  <c r="B72" i="10"/>
  <c r="B71" i="10"/>
  <c r="B70" i="10"/>
  <c r="D60" i="10"/>
  <c r="B58" i="10"/>
  <c r="B56" i="10"/>
  <c r="B53" i="10"/>
  <c r="B51" i="10"/>
  <c r="B50" i="10"/>
  <c r="B49" i="10"/>
  <c r="B48" i="10"/>
  <c r="D46" i="10"/>
  <c r="B46" i="10"/>
  <c r="D45" i="10"/>
  <c r="B45" i="10"/>
  <c r="D44" i="10"/>
  <c r="B44" i="10"/>
  <c r="D43" i="10"/>
  <c r="B43" i="10"/>
  <c r="D42" i="10"/>
  <c r="D41" i="10"/>
  <c r="B41" i="10"/>
  <c r="D40" i="10"/>
  <c r="B40" i="10"/>
  <c r="D39" i="10"/>
  <c r="B39" i="10"/>
  <c r="D38" i="10"/>
  <c r="D37" i="10"/>
  <c r="D36" i="10"/>
  <c r="B36" i="10"/>
  <c r="D35" i="10"/>
  <c r="B35" i="10"/>
  <c r="B34" i="10"/>
  <c r="D32" i="10"/>
  <c r="D31" i="10"/>
  <c r="D30" i="10"/>
  <c r="D29" i="10"/>
  <c r="B28" i="10"/>
  <c r="B27" i="10"/>
  <c r="B26" i="10"/>
  <c r="B25" i="10"/>
  <c r="B24" i="10"/>
  <c r="B23" i="10"/>
  <c r="B22" i="10"/>
  <c r="B20" i="10"/>
  <c r="B18" i="10"/>
  <c r="B17" i="10"/>
  <c r="B16" i="10"/>
  <c r="B15" i="10"/>
  <c r="B14" i="10"/>
  <c r="B13" i="10"/>
  <c r="B12" i="10"/>
  <c r="B11" i="10"/>
  <c r="B10" i="10"/>
  <c r="B9" i="10"/>
  <c r="B7" i="10"/>
  <c r="B5" i="10"/>
  <c r="C10" i="9" s="1"/>
  <c r="B3" i="10"/>
  <c r="B2" i="10"/>
  <c r="J1" i="10"/>
  <c r="H1" i="10"/>
  <c r="F1" i="10"/>
  <c r="D1" i="10"/>
  <c r="B1" i="10"/>
  <c r="G70" i="9"/>
  <c r="C70" i="9"/>
  <c r="C64" i="9"/>
  <c r="C62" i="9"/>
  <c r="C61" i="9"/>
  <c r="C60" i="9"/>
  <c r="C59" i="9"/>
  <c r="C57" i="9"/>
  <c r="C56" i="9"/>
  <c r="B9" i="9"/>
  <c r="B7" i="9"/>
  <c r="B5" i="9"/>
  <c r="B3" i="9"/>
  <c r="B2" i="9"/>
  <c r="K1" i="9"/>
  <c r="I1" i="9"/>
  <c r="B1" i="9"/>
  <c r="M1457" i="64"/>
  <c r="M327" i="43" s="1"/>
  <c r="M404" i="43" s="1"/>
  <c r="J1457" i="64"/>
  <c r="J327" i="43" s="1"/>
  <c r="J404" i="43" s="1"/>
  <c r="H1457" i="64"/>
  <c r="H327" i="43" s="1"/>
  <c r="H404" i="43" s="1"/>
  <c r="F1457" i="64"/>
  <c r="F327" i="43" s="1"/>
  <c r="F404" i="43" s="1"/>
  <c r="M1456" i="64"/>
  <c r="M326" i="43" s="1"/>
  <c r="M403" i="43" s="1"/>
  <c r="J1456" i="64"/>
  <c r="J326" i="43" s="1"/>
  <c r="J403" i="43" s="1"/>
  <c r="H1456" i="64"/>
  <c r="H326" i="43" s="1"/>
  <c r="H403" i="43" s="1"/>
  <c r="F1456" i="64"/>
  <c r="F326" i="43" s="1"/>
  <c r="F403" i="43" s="1"/>
  <c r="M1455" i="64"/>
  <c r="M325" i="43" s="1"/>
  <c r="M402" i="43" s="1"/>
  <c r="J1455" i="64"/>
  <c r="J325" i="43" s="1"/>
  <c r="J402" i="43" s="1"/>
  <c r="H1455" i="64"/>
  <c r="H325" i="43" s="1"/>
  <c r="H402" i="43" s="1"/>
  <c r="F1455" i="64"/>
  <c r="F325" i="43" s="1"/>
  <c r="F402" i="43" s="1"/>
  <c r="M1454" i="64"/>
  <c r="M324" i="43" s="1"/>
  <c r="M401" i="43" s="1"/>
  <c r="J1454" i="64"/>
  <c r="J324" i="43" s="1"/>
  <c r="J401" i="43" s="1"/>
  <c r="H1454" i="64"/>
  <c r="H324" i="43" s="1"/>
  <c r="H401" i="43" s="1"/>
  <c r="F1454" i="64"/>
  <c r="F324" i="43" s="1"/>
  <c r="F401" i="43" s="1"/>
  <c r="M1453" i="64"/>
  <c r="M323" i="43" s="1"/>
  <c r="M400" i="43" s="1"/>
  <c r="J1453" i="64"/>
  <c r="J323" i="43" s="1"/>
  <c r="J400" i="43" s="1"/>
  <c r="H1453" i="64"/>
  <c r="H323" i="43" s="1"/>
  <c r="H400" i="43" s="1"/>
  <c r="F1453" i="64"/>
  <c r="F323" i="43"/>
  <c r="F400" i="43" s="1"/>
  <c r="M1452" i="64"/>
  <c r="M322" i="43" s="1"/>
  <c r="M399" i="43" s="1"/>
  <c r="J1452" i="64"/>
  <c r="J322" i="43" s="1"/>
  <c r="J399" i="43" s="1"/>
  <c r="H1452" i="64"/>
  <c r="H322" i="43" s="1"/>
  <c r="H399" i="43" s="1"/>
  <c r="F1452" i="64"/>
  <c r="F322" i="43" s="1"/>
  <c r="F399" i="43" s="1"/>
  <c r="M1451" i="64"/>
  <c r="M321" i="43"/>
  <c r="M398" i="43" s="1"/>
  <c r="J1451" i="64"/>
  <c r="J321" i="43" s="1"/>
  <c r="J398" i="43" s="1"/>
  <c r="H1451" i="64"/>
  <c r="H321" i="43" s="1"/>
  <c r="H398" i="43" s="1"/>
  <c r="F1451" i="64"/>
  <c r="F321" i="43"/>
  <c r="F398" i="43" s="1"/>
  <c r="M1450" i="64"/>
  <c r="M320" i="43" s="1"/>
  <c r="M397" i="43" s="1"/>
  <c r="J1450" i="64"/>
  <c r="J320" i="43" s="1"/>
  <c r="J397" i="43" s="1"/>
  <c r="H1450" i="64"/>
  <c r="H320" i="43" s="1"/>
  <c r="H397" i="43" s="1"/>
  <c r="F1450" i="64"/>
  <c r="F320" i="43" s="1"/>
  <c r="F397" i="43" s="1"/>
  <c r="M1449" i="64"/>
  <c r="M319" i="43" s="1"/>
  <c r="M396" i="43" s="1"/>
  <c r="J1449" i="64"/>
  <c r="J319" i="43" s="1"/>
  <c r="J396" i="43" s="1"/>
  <c r="H1449" i="64"/>
  <c r="H319" i="43" s="1"/>
  <c r="H396" i="43" s="1"/>
  <c r="F1449" i="64"/>
  <c r="F319" i="43" s="1"/>
  <c r="F396" i="43" s="1"/>
  <c r="M1448" i="64"/>
  <c r="M318" i="43" s="1"/>
  <c r="M395" i="43" s="1"/>
  <c r="J1448" i="64"/>
  <c r="J318" i="43" s="1"/>
  <c r="J395" i="43" s="1"/>
  <c r="H1448" i="64"/>
  <c r="H318" i="43" s="1"/>
  <c r="H395" i="43" s="1"/>
  <c r="F1448" i="64"/>
  <c r="F318" i="43" s="1"/>
  <c r="F395" i="43" s="1"/>
  <c r="M1444" i="64"/>
  <c r="M315" i="43" s="1"/>
  <c r="M392" i="43" s="1"/>
  <c r="T45" i="50" s="1"/>
  <c r="K1444" i="64"/>
  <c r="K315" i="43" s="1"/>
  <c r="I1444" i="64"/>
  <c r="I315" i="43" s="1"/>
  <c r="F1444" i="64"/>
  <c r="F315" i="43" s="1"/>
  <c r="F392" i="43" s="1"/>
  <c r="R392" i="43" s="1"/>
  <c r="M1443" i="64"/>
  <c r="M314" i="43" s="1"/>
  <c r="K1443" i="64"/>
  <c r="K314" i="43" s="1"/>
  <c r="I1443" i="64"/>
  <c r="I314" i="43" s="1"/>
  <c r="F1443" i="64"/>
  <c r="F314" i="43" s="1"/>
  <c r="F391" i="43" s="1"/>
  <c r="R391" i="43" s="1"/>
  <c r="M1442" i="64"/>
  <c r="M313" i="43" s="1"/>
  <c r="K1442" i="64"/>
  <c r="K313" i="43" s="1"/>
  <c r="I1442" i="64"/>
  <c r="I313" i="43" s="1"/>
  <c r="I390" i="43" s="1"/>
  <c r="F1442" i="64"/>
  <c r="F313" i="43" s="1"/>
  <c r="F390" i="43" s="1"/>
  <c r="R390" i="43" s="1"/>
  <c r="M1441" i="64"/>
  <c r="M312" i="43" s="1"/>
  <c r="M389" i="43" s="1"/>
  <c r="K1441" i="64"/>
  <c r="K312" i="43" s="1"/>
  <c r="I1441" i="64"/>
  <c r="I312" i="43" s="1"/>
  <c r="F1441" i="64"/>
  <c r="F312" i="43" s="1"/>
  <c r="F389" i="43" s="1"/>
  <c r="R389" i="43" s="1"/>
  <c r="M1440" i="64"/>
  <c r="M311" i="43" s="1"/>
  <c r="K1440" i="64"/>
  <c r="K311" i="43" s="1"/>
  <c r="I1440" i="64"/>
  <c r="I311" i="43" s="1"/>
  <c r="F1440" i="64"/>
  <c r="F311" i="43" s="1"/>
  <c r="F388" i="43" s="1"/>
  <c r="R388" i="43" s="1"/>
  <c r="M1439" i="64"/>
  <c r="M310" i="43" s="1"/>
  <c r="K1439" i="64"/>
  <c r="K310" i="43"/>
  <c r="I1439" i="64"/>
  <c r="I310" i="43" s="1"/>
  <c r="I387" i="43" s="1"/>
  <c r="R40" i="50" s="1"/>
  <c r="F1439" i="64"/>
  <c r="F310" i="43" s="1"/>
  <c r="F387" i="43" s="1"/>
  <c r="R387" i="43" s="1"/>
  <c r="M1438" i="64"/>
  <c r="M309" i="43" s="1"/>
  <c r="K1438" i="64"/>
  <c r="K309" i="43" s="1"/>
  <c r="I1438" i="64"/>
  <c r="I309" i="43" s="1"/>
  <c r="I386" i="43" s="1"/>
  <c r="F1438" i="64"/>
  <c r="F309" i="43" s="1"/>
  <c r="F386" i="43" s="1"/>
  <c r="R386" i="43" s="1"/>
  <c r="M1437" i="64"/>
  <c r="M308" i="43" s="1"/>
  <c r="K1437" i="64"/>
  <c r="K308" i="43" s="1"/>
  <c r="I1437" i="64"/>
  <c r="I308" i="43" s="1"/>
  <c r="F1437" i="64"/>
  <c r="F308" i="43" s="1"/>
  <c r="F385" i="43" s="1"/>
  <c r="R385" i="43" s="1"/>
  <c r="M1436" i="64"/>
  <c r="M307" i="43" s="1"/>
  <c r="K1436" i="64"/>
  <c r="K307" i="43" s="1"/>
  <c r="I1436" i="64"/>
  <c r="I307" i="43" s="1"/>
  <c r="I384" i="43" s="1"/>
  <c r="S384" i="43" s="1"/>
  <c r="F1436" i="64"/>
  <c r="F307" i="43" s="1"/>
  <c r="F384" i="43" s="1"/>
  <c r="R384" i="43" s="1"/>
  <c r="M1435" i="64"/>
  <c r="M306" i="43" s="1"/>
  <c r="K1435" i="64"/>
  <c r="K306" i="43" s="1"/>
  <c r="I1435" i="64"/>
  <c r="I306" i="43" s="1"/>
  <c r="I383" i="43" s="1"/>
  <c r="S383" i="43" s="1"/>
  <c r="F1435" i="64"/>
  <c r="F306" i="43" s="1"/>
  <c r="F383" i="43" s="1"/>
  <c r="R383" i="43" s="1"/>
  <c r="J1429" i="64"/>
  <c r="J170" i="43" s="1"/>
  <c r="J180" i="43" s="1"/>
  <c r="J1428" i="64"/>
  <c r="J169" i="43" s="1"/>
  <c r="J179" i="43" s="1"/>
  <c r="J1427" i="64"/>
  <c r="J168" i="43" s="1"/>
  <c r="J178" i="43" s="1"/>
  <c r="J1426" i="64"/>
  <c r="J167" i="43" s="1"/>
  <c r="J177" i="43" s="1"/>
  <c r="J1423" i="64"/>
  <c r="J134" i="43" s="1"/>
  <c r="J144" i="43" s="1"/>
  <c r="J1422" i="64"/>
  <c r="J133" i="43" s="1"/>
  <c r="J143" i="43" s="1"/>
  <c r="J1421" i="64"/>
  <c r="J132" i="43" s="1"/>
  <c r="J142" i="43" s="1"/>
  <c r="J1420" i="64"/>
  <c r="J131" i="43" s="1"/>
  <c r="J141" i="43" s="1"/>
  <c r="J1417" i="64"/>
  <c r="J108" i="43" s="1"/>
  <c r="J128" i="43" s="1"/>
  <c r="J1416" i="64"/>
  <c r="J107" i="43" s="1"/>
  <c r="J127" i="43" s="1"/>
  <c r="J1415" i="64"/>
  <c r="J106" i="43" s="1"/>
  <c r="J126" i="43" s="1"/>
  <c r="J1414" i="64"/>
  <c r="J105" i="43" s="1"/>
  <c r="J125" i="43" s="1"/>
  <c r="J1413" i="64"/>
  <c r="J104" i="43" s="1"/>
  <c r="J124" i="43" s="1"/>
  <c r="J1412" i="64"/>
  <c r="J103" i="43" s="1"/>
  <c r="J123" i="43" s="1"/>
  <c r="J1411" i="64"/>
  <c r="J102" i="43" s="1"/>
  <c r="J122" i="43" s="1"/>
  <c r="J1410" i="64"/>
  <c r="J101" i="43" s="1"/>
  <c r="J121" i="43" s="1"/>
  <c r="J1409" i="64"/>
  <c r="J100" i="43" s="1"/>
  <c r="J120" i="43" s="1"/>
  <c r="H15" i="50" s="1"/>
  <c r="J1407" i="64"/>
  <c r="J86" i="43" s="1"/>
  <c r="J88" i="43" s="1"/>
  <c r="J1404" i="64"/>
  <c r="J56" i="43" s="1"/>
  <c r="J1402" i="64"/>
  <c r="J63" i="43" s="1"/>
  <c r="J65" i="43" s="1"/>
  <c r="D1379" i="64"/>
  <c r="D1378" i="64"/>
  <c r="M1372" i="64"/>
  <c r="L1372" i="64"/>
  <c r="K1372" i="64"/>
  <c r="J1372" i="64"/>
  <c r="I1372" i="64"/>
  <c r="M1366" i="64"/>
  <c r="L1366" i="64"/>
  <c r="K1366" i="64"/>
  <c r="J1366" i="64"/>
  <c r="I1366" i="64"/>
  <c r="M1359" i="64"/>
  <c r="L1359" i="64"/>
  <c r="K1359" i="64"/>
  <c r="D1336" i="64"/>
  <c r="D1335" i="64"/>
  <c r="M1329" i="64"/>
  <c r="L1329" i="64"/>
  <c r="K1329" i="64"/>
  <c r="M1328" i="64"/>
  <c r="L1328" i="64"/>
  <c r="K1328" i="64"/>
  <c r="H1289" i="64"/>
  <c r="N1284" i="64" s="1"/>
  <c r="L1284" i="64"/>
  <c r="M1277" i="64"/>
  <c r="L1277" i="64"/>
  <c r="K1277" i="64"/>
  <c r="J1277" i="64"/>
  <c r="I1277" i="64"/>
  <c r="M1273" i="64"/>
  <c r="F1273" i="64"/>
  <c r="N1270" i="64"/>
  <c r="K1270" i="64"/>
  <c r="J1270" i="64"/>
  <c r="I1270" i="64"/>
  <c r="M1269" i="64"/>
  <c r="K1269" i="64"/>
  <c r="J1269" i="64"/>
  <c r="H1269" i="64"/>
  <c r="M1266" i="64"/>
  <c r="M1265" i="64"/>
  <c r="L1264" i="64"/>
  <c r="K1264" i="64"/>
  <c r="J1264" i="64"/>
  <c r="H1264" i="64"/>
  <c r="E1264" i="64"/>
  <c r="M1261" i="64"/>
  <c r="I1261" i="64"/>
  <c r="M1257" i="64"/>
  <c r="L1257" i="64"/>
  <c r="K1257" i="64"/>
  <c r="J1257" i="64"/>
  <c r="I1257" i="64"/>
  <c r="M1256" i="64"/>
  <c r="L1256" i="64"/>
  <c r="K1256" i="64"/>
  <c r="J1256" i="64"/>
  <c r="I1256" i="64"/>
  <c r="M1254" i="64"/>
  <c r="L1254" i="64"/>
  <c r="K1254" i="64"/>
  <c r="J1254" i="64"/>
  <c r="I1254" i="64"/>
  <c r="M1252" i="64"/>
  <c r="L1252" i="64"/>
  <c r="K1252" i="64"/>
  <c r="J1252" i="64"/>
  <c r="I1252" i="64"/>
  <c r="M1251" i="64"/>
  <c r="L1251" i="64"/>
  <c r="K1251" i="64"/>
  <c r="J1251" i="64"/>
  <c r="I1251" i="64"/>
  <c r="M1250" i="64"/>
  <c r="L1250" i="64"/>
  <c r="K1250" i="64"/>
  <c r="J1250" i="64"/>
  <c r="I1250" i="64"/>
  <c r="M1249" i="64"/>
  <c r="L1249" i="64"/>
  <c r="K1249" i="64"/>
  <c r="J1249" i="64"/>
  <c r="I1249" i="64"/>
  <c r="M1247" i="64"/>
  <c r="L1247" i="64"/>
  <c r="K1247" i="64"/>
  <c r="J1247" i="64"/>
  <c r="I1247" i="64"/>
  <c r="M1243" i="64"/>
  <c r="K1243" i="64"/>
  <c r="I1243" i="64"/>
  <c r="F1243" i="64"/>
  <c r="M1240" i="64"/>
  <c r="L1240" i="64"/>
  <c r="K1240" i="64"/>
  <c r="J1240" i="64"/>
  <c r="I1240" i="64"/>
  <c r="H1240" i="64"/>
  <c r="M1239" i="64"/>
  <c r="L1239" i="64"/>
  <c r="K1239" i="64"/>
  <c r="J1239" i="64"/>
  <c r="I1239" i="64"/>
  <c r="H1239" i="64"/>
  <c r="M1236" i="64"/>
  <c r="P1236" i="64" s="1"/>
  <c r="M1235" i="64"/>
  <c r="M1234" i="64"/>
  <c r="L1234" i="64"/>
  <c r="K1234" i="64"/>
  <c r="J1234" i="64"/>
  <c r="I1234" i="64"/>
  <c r="H1234" i="64"/>
  <c r="E1234" i="64"/>
  <c r="M1231" i="64"/>
  <c r="I1231" i="64"/>
  <c r="M1217" i="64"/>
  <c r="L1217" i="64"/>
  <c r="K1217" i="64"/>
  <c r="J1217" i="64"/>
  <c r="I1217" i="64"/>
  <c r="H1210" i="64"/>
  <c r="H1209" i="64"/>
  <c r="L1204" i="64"/>
  <c r="H1204" i="64"/>
  <c r="E1204" i="64"/>
  <c r="I1201" i="64"/>
  <c r="M1197" i="64"/>
  <c r="L1197" i="64"/>
  <c r="K1197" i="64"/>
  <c r="J1197" i="64"/>
  <c r="I1197" i="64"/>
  <c r="M1196" i="64"/>
  <c r="L1196" i="64"/>
  <c r="K1196" i="64"/>
  <c r="J1196" i="64"/>
  <c r="I1196" i="64"/>
  <c r="M1195" i="64"/>
  <c r="L1195" i="64"/>
  <c r="K1195" i="64"/>
  <c r="J1195" i="64"/>
  <c r="I1195" i="64"/>
  <c r="M1194" i="64"/>
  <c r="L1194" i="64"/>
  <c r="K1194" i="64"/>
  <c r="J1194" i="64"/>
  <c r="I1194" i="64"/>
  <c r="M1193" i="64"/>
  <c r="L1193" i="64"/>
  <c r="K1193" i="64"/>
  <c r="J1193" i="64"/>
  <c r="I1193" i="64"/>
  <c r="M1192" i="64"/>
  <c r="L1192" i="64"/>
  <c r="K1192" i="64"/>
  <c r="J1192" i="64"/>
  <c r="I1192" i="64"/>
  <c r="M1191" i="64"/>
  <c r="L1191" i="64"/>
  <c r="K1191" i="64"/>
  <c r="J1191" i="64"/>
  <c r="I1191" i="64"/>
  <c r="M1190" i="64"/>
  <c r="L1190" i="64"/>
  <c r="K1190" i="64"/>
  <c r="J1190" i="64"/>
  <c r="I1190" i="64"/>
  <c r="M1189" i="64"/>
  <c r="L1189" i="64"/>
  <c r="K1189" i="64"/>
  <c r="J1189" i="64"/>
  <c r="I1189" i="64"/>
  <c r="M1188" i="64"/>
  <c r="L1188" i="64"/>
  <c r="K1188" i="64"/>
  <c r="J1188" i="64"/>
  <c r="I1188" i="64"/>
  <c r="M1186" i="64"/>
  <c r="L1186" i="64"/>
  <c r="K1186" i="64"/>
  <c r="J1186" i="64"/>
  <c r="I1186" i="64"/>
  <c r="M1184" i="64"/>
  <c r="L1184" i="64"/>
  <c r="K1184" i="64"/>
  <c r="J1184" i="64"/>
  <c r="I1184" i="64"/>
  <c r="M1183" i="64"/>
  <c r="L1183" i="64"/>
  <c r="K1183" i="64"/>
  <c r="J1183" i="64"/>
  <c r="I1183" i="64"/>
  <c r="M1182" i="64"/>
  <c r="L1182" i="64"/>
  <c r="K1182" i="64"/>
  <c r="J1182" i="64"/>
  <c r="I1182" i="64"/>
  <c r="M1181" i="64"/>
  <c r="L1181" i="64"/>
  <c r="K1181" i="64"/>
  <c r="J1181" i="64"/>
  <c r="I1181" i="64"/>
  <c r="M1179" i="64"/>
  <c r="L1179" i="64"/>
  <c r="K1179" i="64"/>
  <c r="J1179" i="64"/>
  <c r="I1179" i="64"/>
  <c r="M1177" i="64"/>
  <c r="L1177" i="64"/>
  <c r="K1177" i="64"/>
  <c r="J1177" i="64"/>
  <c r="I1177" i="64"/>
  <c r="M1173" i="64"/>
  <c r="K1173" i="64"/>
  <c r="I1173" i="64"/>
  <c r="F1173" i="64"/>
  <c r="N1170" i="64"/>
  <c r="M1170" i="64"/>
  <c r="L1170" i="64"/>
  <c r="K1170" i="64"/>
  <c r="J1170" i="64"/>
  <c r="I1170" i="64"/>
  <c r="H1170" i="64"/>
  <c r="M1169" i="64"/>
  <c r="L1169" i="64"/>
  <c r="K1169" i="64"/>
  <c r="J1169" i="64"/>
  <c r="I1169" i="64"/>
  <c r="H1169" i="64"/>
  <c r="M1166" i="64"/>
  <c r="P1166" i="64" s="1"/>
  <c r="M1165" i="64"/>
  <c r="M1164" i="64"/>
  <c r="L1164" i="64"/>
  <c r="K1164" i="64"/>
  <c r="J1164" i="64"/>
  <c r="I1164" i="64"/>
  <c r="H1164" i="64"/>
  <c r="M1161" i="64"/>
  <c r="I1161" i="64"/>
  <c r="M1157" i="64"/>
  <c r="L1157" i="64"/>
  <c r="K1157" i="64"/>
  <c r="J1157" i="64"/>
  <c r="I1157" i="64"/>
  <c r="M1156" i="64"/>
  <c r="L1156" i="64"/>
  <c r="K1156" i="64"/>
  <c r="J1156" i="64"/>
  <c r="I1156" i="64"/>
  <c r="M1155" i="64"/>
  <c r="L1155" i="64"/>
  <c r="K1155" i="64"/>
  <c r="J1155" i="64"/>
  <c r="I1155" i="64"/>
  <c r="M1154" i="64"/>
  <c r="L1154" i="64"/>
  <c r="K1154" i="64"/>
  <c r="J1154" i="64"/>
  <c r="I1154" i="64"/>
  <c r="M1153" i="64"/>
  <c r="L1153" i="64"/>
  <c r="K1153" i="64"/>
  <c r="J1153" i="64"/>
  <c r="I1153" i="64"/>
  <c r="M1152" i="64"/>
  <c r="L1152" i="64"/>
  <c r="K1152" i="64"/>
  <c r="J1152" i="64"/>
  <c r="I1152" i="64"/>
  <c r="M1151" i="64"/>
  <c r="L1151" i="64"/>
  <c r="K1151" i="64"/>
  <c r="J1151" i="64"/>
  <c r="I1151" i="64"/>
  <c r="M1150" i="64"/>
  <c r="L1150" i="64"/>
  <c r="K1150" i="64"/>
  <c r="J1150" i="64"/>
  <c r="I1150" i="64"/>
  <c r="M1149" i="64"/>
  <c r="L1149" i="64"/>
  <c r="K1149" i="64"/>
  <c r="J1149" i="64"/>
  <c r="I1149" i="64"/>
  <c r="M1148" i="64"/>
  <c r="L1148" i="64"/>
  <c r="K1148" i="64"/>
  <c r="J1148" i="64"/>
  <c r="I1148" i="64"/>
  <c r="M1146" i="64"/>
  <c r="L1146" i="64"/>
  <c r="K1146" i="64"/>
  <c r="J1146" i="64"/>
  <c r="I1146" i="64"/>
  <c r="M1144" i="64"/>
  <c r="L1144" i="64"/>
  <c r="K1144" i="64"/>
  <c r="J1144" i="64"/>
  <c r="I1144" i="64"/>
  <c r="M1143" i="64"/>
  <c r="L1143" i="64"/>
  <c r="K1143" i="64"/>
  <c r="J1143" i="64"/>
  <c r="I1143" i="64"/>
  <c r="M1142" i="64"/>
  <c r="L1142" i="64"/>
  <c r="K1142" i="64"/>
  <c r="J1142" i="64"/>
  <c r="I1142" i="64"/>
  <c r="M1141" i="64"/>
  <c r="L1141" i="64"/>
  <c r="K1141" i="64"/>
  <c r="J1141" i="64"/>
  <c r="I1141" i="64"/>
  <c r="M1139" i="64"/>
  <c r="L1139" i="64"/>
  <c r="K1139" i="64"/>
  <c r="J1139" i="64"/>
  <c r="I1139" i="64"/>
  <c r="M1137" i="64"/>
  <c r="L1137" i="64"/>
  <c r="K1137" i="64"/>
  <c r="J1137" i="64"/>
  <c r="I1137" i="64"/>
  <c r="M1133" i="64"/>
  <c r="K1133" i="64"/>
  <c r="I1133" i="64"/>
  <c r="F1133" i="64"/>
  <c r="N1130" i="64"/>
  <c r="M1130" i="64"/>
  <c r="L1130" i="64"/>
  <c r="K1130" i="64"/>
  <c r="J1130" i="64"/>
  <c r="I1130" i="64"/>
  <c r="H1130" i="64"/>
  <c r="M1129" i="64"/>
  <c r="L1129" i="64"/>
  <c r="K1129" i="64"/>
  <c r="J1129" i="64"/>
  <c r="I1129" i="64"/>
  <c r="H1129" i="64"/>
  <c r="M1126" i="64"/>
  <c r="P1126" i="64" s="1"/>
  <c r="M1125" i="64"/>
  <c r="M1124" i="64"/>
  <c r="L1124" i="64"/>
  <c r="K1124" i="64"/>
  <c r="J1124" i="64"/>
  <c r="I1124" i="64"/>
  <c r="H1124" i="64"/>
  <c r="E1124" i="64"/>
  <c r="M1121" i="64"/>
  <c r="I1121" i="64"/>
  <c r="M1117" i="64"/>
  <c r="L1117" i="64"/>
  <c r="K1117" i="64"/>
  <c r="J1117" i="64"/>
  <c r="I1117" i="64"/>
  <c r="M1116" i="64"/>
  <c r="L1116" i="64"/>
  <c r="K1116" i="64"/>
  <c r="J1116" i="64"/>
  <c r="I1116" i="64"/>
  <c r="M1115" i="64"/>
  <c r="L1115" i="64"/>
  <c r="K1115" i="64"/>
  <c r="J1115" i="64"/>
  <c r="I1115" i="64"/>
  <c r="M1114" i="64"/>
  <c r="L1114" i="64"/>
  <c r="K1114" i="64"/>
  <c r="J1114" i="64"/>
  <c r="I1114" i="64"/>
  <c r="M1113" i="64"/>
  <c r="L1113" i="64"/>
  <c r="K1113" i="64"/>
  <c r="J1113" i="64"/>
  <c r="I1113" i="64"/>
  <c r="M1112" i="64"/>
  <c r="L1112" i="64"/>
  <c r="K1112" i="64"/>
  <c r="J1112" i="64"/>
  <c r="I1112" i="64"/>
  <c r="M1111" i="64"/>
  <c r="L1111" i="64"/>
  <c r="K1111" i="64"/>
  <c r="J1111" i="64"/>
  <c r="I1111" i="64"/>
  <c r="M1110" i="64"/>
  <c r="L1110" i="64"/>
  <c r="K1110" i="64"/>
  <c r="J1110" i="64"/>
  <c r="I1110" i="64"/>
  <c r="M1109" i="64"/>
  <c r="L1109" i="64"/>
  <c r="K1109" i="64"/>
  <c r="J1109" i="64"/>
  <c r="I1109" i="64"/>
  <c r="M1108" i="64"/>
  <c r="L1108" i="64"/>
  <c r="K1108" i="64"/>
  <c r="J1108" i="64"/>
  <c r="I1108" i="64"/>
  <c r="M1106" i="64"/>
  <c r="L1106" i="64"/>
  <c r="K1106" i="64"/>
  <c r="J1106" i="64"/>
  <c r="I1106" i="64"/>
  <c r="M1104" i="64"/>
  <c r="L1104" i="64"/>
  <c r="K1104" i="64"/>
  <c r="J1104" i="64"/>
  <c r="I1104" i="64"/>
  <c r="M1103" i="64"/>
  <c r="L1103" i="64"/>
  <c r="K1103" i="64"/>
  <c r="J1103" i="64"/>
  <c r="I1103" i="64"/>
  <c r="M1102" i="64"/>
  <c r="L1102" i="64"/>
  <c r="K1102" i="64"/>
  <c r="J1102" i="64"/>
  <c r="I1102" i="64"/>
  <c r="M1101" i="64"/>
  <c r="L1101" i="64"/>
  <c r="K1101" i="64"/>
  <c r="J1101" i="64"/>
  <c r="I1101" i="64"/>
  <c r="M1099" i="64"/>
  <c r="L1099" i="64"/>
  <c r="K1099" i="64"/>
  <c r="J1099" i="64"/>
  <c r="I1099" i="64"/>
  <c r="M1097" i="64"/>
  <c r="L1097" i="64"/>
  <c r="K1097" i="64"/>
  <c r="J1097" i="64"/>
  <c r="I1097" i="64"/>
  <c r="M1093" i="64"/>
  <c r="K1093" i="64"/>
  <c r="I1093" i="64"/>
  <c r="F1093" i="64"/>
  <c r="N1090" i="64"/>
  <c r="M1090" i="64"/>
  <c r="L1090" i="64"/>
  <c r="K1090" i="64"/>
  <c r="J1090" i="64"/>
  <c r="I1090" i="64"/>
  <c r="H1090" i="64"/>
  <c r="M1089" i="64"/>
  <c r="L1089" i="64"/>
  <c r="K1089" i="64"/>
  <c r="J1089" i="64"/>
  <c r="I1089" i="64"/>
  <c r="H1089" i="64"/>
  <c r="M1086" i="64"/>
  <c r="P1086" i="64" s="1"/>
  <c r="M1085" i="64"/>
  <c r="M1084" i="64"/>
  <c r="L1084" i="64"/>
  <c r="K1084" i="64"/>
  <c r="J1084" i="64"/>
  <c r="I1084" i="64"/>
  <c r="H1084" i="64"/>
  <c r="E1084" i="64"/>
  <c r="M1081" i="64"/>
  <c r="I1081" i="64"/>
  <c r="E1075" i="64"/>
  <c r="E1074" i="64"/>
  <c r="E1072" i="64"/>
  <c r="E1071" i="64"/>
  <c r="M1075" i="64"/>
  <c r="L1075" i="64"/>
  <c r="K1075" i="64"/>
  <c r="J1075" i="64"/>
  <c r="I1075" i="64"/>
  <c r="M1074" i="64"/>
  <c r="L1074" i="64"/>
  <c r="K1074" i="64"/>
  <c r="J1074" i="64"/>
  <c r="I1074" i="64"/>
  <c r="M1072" i="64"/>
  <c r="L1072" i="64"/>
  <c r="K1072" i="64"/>
  <c r="J1072" i="64"/>
  <c r="I1072" i="64"/>
  <c r="M1071" i="64"/>
  <c r="L1071" i="64"/>
  <c r="K1071" i="64"/>
  <c r="J1071" i="64"/>
  <c r="I1071" i="64"/>
  <c r="M1068" i="64"/>
  <c r="L1068" i="64"/>
  <c r="K1068" i="64"/>
  <c r="J1068" i="64"/>
  <c r="I1068" i="64"/>
  <c r="M1066" i="64"/>
  <c r="L1066" i="64"/>
  <c r="K1066" i="64"/>
  <c r="J1066" i="64"/>
  <c r="I1066" i="64"/>
  <c r="M1065" i="64"/>
  <c r="L1065" i="64"/>
  <c r="K1065" i="64"/>
  <c r="J1065" i="64"/>
  <c r="I1065" i="64"/>
  <c r="M1063" i="64"/>
  <c r="L1063" i="64"/>
  <c r="K1063" i="64"/>
  <c r="J1063" i="64"/>
  <c r="I1063" i="64"/>
  <c r="M1062" i="64"/>
  <c r="L1062" i="64"/>
  <c r="K1062" i="64"/>
  <c r="J1062" i="64"/>
  <c r="I1062" i="64"/>
  <c r="M1061" i="64"/>
  <c r="L1061" i="64"/>
  <c r="K1061" i="64"/>
  <c r="J1061" i="64"/>
  <c r="I1061" i="64"/>
  <c r="M1060" i="64"/>
  <c r="L1060" i="64"/>
  <c r="K1060" i="64"/>
  <c r="J1060" i="64"/>
  <c r="I1060" i="64"/>
  <c r="M1059" i="64"/>
  <c r="L1059" i="64"/>
  <c r="K1059" i="64"/>
  <c r="J1059" i="64"/>
  <c r="I1059" i="64"/>
  <c r="M1058" i="64"/>
  <c r="L1058" i="64"/>
  <c r="K1058" i="64"/>
  <c r="J1058" i="64"/>
  <c r="I1058" i="64"/>
  <c r="M1057" i="64"/>
  <c r="L1057" i="64"/>
  <c r="K1057" i="64"/>
  <c r="J1057" i="64"/>
  <c r="I1057" i="64"/>
  <c r="M1056" i="64"/>
  <c r="L1056" i="64"/>
  <c r="K1056" i="64"/>
  <c r="J1056" i="64"/>
  <c r="I1056" i="64"/>
  <c r="M1055" i="64"/>
  <c r="L1055" i="64"/>
  <c r="K1055" i="64"/>
  <c r="J1055" i="64"/>
  <c r="I1055" i="64"/>
  <c r="M1054" i="64"/>
  <c r="L1054" i="64"/>
  <c r="K1054" i="64"/>
  <c r="J1054" i="64"/>
  <c r="I1054" i="64"/>
  <c r="M1052" i="64"/>
  <c r="L1052" i="64"/>
  <c r="K1052" i="64"/>
  <c r="J1052" i="64"/>
  <c r="I1052" i="64"/>
  <c r="M1051" i="64"/>
  <c r="L1051" i="64"/>
  <c r="K1051" i="64"/>
  <c r="J1051" i="64"/>
  <c r="I1051" i="64"/>
  <c r="M1049" i="64"/>
  <c r="L1049" i="64"/>
  <c r="K1049" i="64"/>
  <c r="J1049" i="64"/>
  <c r="I1049" i="64"/>
  <c r="M1048" i="64"/>
  <c r="L1048" i="64"/>
  <c r="K1048" i="64"/>
  <c r="J1048" i="64"/>
  <c r="I1048" i="64"/>
  <c r="M1046" i="64"/>
  <c r="L1046" i="64"/>
  <c r="K1046" i="64"/>
  <c r="J1046" i="64"/>
  <c r="I1046" i="64"/>
  <c r="M1045" i="64"/>
  <c r="L1045" i="64"/>
  <c r="K1045" i="64"/>
  <c r="J1045" i="64"/>
  <c r="I1045" i="64"/>
  <c r="M1043" i="64"/>
  <c r="L1043" i="64"/>
  <c r="K1043" i="64"/>
  <c r="J1043" i="64"/>
  <c r="I1043" i="64"/>
  <c r="M1042" i="64"/>
  <c r="L1042" i="64"/>
  <c r="K1042" i="64"/>
  <c r="J1042" i="64"/>
  <c r="I1042" i="64"/>
  <c r="M1041" i="64"/>
  <c r="L1041" i="64"/>
  <c r="K1041" i="64"/>
  <c r="J1041" i="64"/>
  <c r="I1041" i="64"/>
  <c r="M1040" i="64"/>
  <c r="L1040" i="64"/>
  <c r="K1040" i="64"/>
  <c r="J1040" i="64"/>
  <c r="I1040" i="64"/>
  <c r="M1038" i="64"/>
  <c r="L1038" i="64"/>
  <c r="K1038" i="64"/>
  <c r="J1038" i="64"/>
  <c r="I1038" i="64"/>
  <c r="M1037" i="64"/>
  <c r="L1037" i="64"/>
  <c r="K1037" i="64"/>
  <c r="J1037" i="64"/>
  <c r="I1037" i="64"/>
  <c r="M1035" i="64"/>
  <c r="L1035" i="64"/>
  <c r="K1035" i="64"/>
  <c r="J1035" i="64"/>
  <c r="I1035" i="64"/>
  <c r="M1031" i="64"/>
  <c r="K1031" i="64"/>
  <c r="I1031" i="64"/>
  <c r="G1031" i="64"/>
  <c r="F1031" i="64"/>
  <c r="N1028" i="64"/>
  <c r="M1028" i="64"/>
  <c r="L1028" i="64"/>
  <c r="K1028" i="64"/>
  <c r="J1028" i="64"/>
  <c r="I1028" i="64"/>
  <c r="H1028" i="64"/>
  <c r="M1027" i="64"/>
  <c r="L1027" i="64"/>
  <c r="K1027" i="64"/>
  <c r="J1027" i="64"/>
  <c r="I1027" i="64"/>
  <c r="H1027" i="64"/>
  <c r="N1022" i="64" s="1"/>
  <c r="M1024" i="64"/>
  <c r="L1024" i="64"/>
  <c r="K1024" i="64"/>
  <c r="J1024" i="64"/>
  <c r="I1024" i="64"/>
  <c r="H1024" i="64"/>
  <c r="G1024" i="64"/>
  <c r="M1023" i="64"/>
  <c r="M1022" i="64"/>
  <c r="L1022" i="64"/>
  <c r="K1022" i="64"/>
  <c r="P1024" i="64" s="1"/>
  <c r="J1022" i="64"/>
  <c r="I1022" i="64"/>
  <c r="H1022" i="64"/>
  <c r="E1022" i="64"/>
  <c r="I1019" i="64"/>
  <c r="E1015" i="64"/>
  <c r="E1014" i="64"/>
  <c r="E1012" i="64"/>
  <c r="E1011" i="64"/>
  <c r="M1015" i="64"/>
  <c r="L1015" i="64"/>
  <c r="K1015" i="64"/>
  <c r="J1015" i="64"/>
  <c r="I1015" i="64"/>
  <c r="M1014" i="64"/>
  <c r="L1014" i="64"/>
  <c r="K1014" i="64"/>
  <c r="J1014" i="64"/>
  <c r="I1014" i="64"/>
  <c r="M1012" i="64"/>
  <c r="L1012" i="64"/>
  <c r="K1012" i="64"/>
  <c r="J1012" i="64"/>
  <c r="I1012" i="64"/>
  <c r="M1011" i="64"/>
  <c r="L1011" i="64"/>
  <c r="K1011" i="64"/>
  <c r="J1011" i="64"/>
  <c r="I1011" i="64"/>
  <c r="M1008" i="64"/>
  <c r="L1008" i="64"/>
  <c r="K1008" i="64"/>
  <c r="J1008" i="64"/>
  <c r="I1008" i="64"/>
  <c r="M1006" i="64"/>
  <c r="L1006" i="64"/>
  <c r="K1006" i="64"/>
  <c r="J1006" i="64"/>
  <c r="I1006" i="64"/>
  <c r="M1005" i="64"/>
  <c r="L1005" i="64"/>
  <c r="K1005" i="64"/>
  <c r="J1005" i="64"/>
  <c r="I1005" i="64"/>
  <c r="M1003" i="64"/>
  <c r="L1003" i="64"/>
  <c r="K1003" i="64"/>
  <c r="J1003" i="64"/>
  <c r="I1003" i="64"/>
  <c r="M1002" i="64"/>
  <c r="L1002" i="64"/>
  <c r="K1002" i="64"/>
  <c r="J1002" i="64"/>
  <c r="I1002" i="64"/>
  <c r="M1001" i="64"/>
  <c r="L1001" i="64"/>
  <c r="K1001" i="64"/>
  <c r="J1001" i="64"/>
  <c r="I1001" i="64"/>
  <c r="M1000" i="64"/>
  <c r="L1000" i="64"/>
  <c r="K1000" i="64"/>
  <c r="J1000" i="64"/>
  <c r="I1000" i="64"/>
  <c r="M999" i="64"/>
  <c r="L999" i="64"/>
  <c r="K999" i="64"/>
  <c r="J999" i="64"/>
  <c r="I999" i="64"/>
  <c r="M998" i="64"/>
  <c r="L998" i="64"/>
  <c r="K998" i="64"/>
  <c r="J998" i="64"/>
  <c r="I998" i="64"/>
  <c r="M997" i="64"/>
  <c r="L997" i="64"/>
  <c r="K997" i="64"/>
  <c r="J997" i="64"/>
  <c r="I997" i="64"/>
  <c r="M996" i="64"/>
  <c r="L996" i="64"/>
  <c r="K996" i="64"/>
  <c r="J996" i="64"/>
  <c r="I996" i="64"/>
  <c r="M995" i="64"/>
  <c r="L995" i="64"/>
  <c r="K995" i="64"/>
  <c r="J995" i="64"/>
  <c r="I995" i="64"/>
  <c r="M994" i="64"/>
  <c r="L994" i="64"/>
  <c r="K994" i="64"/>
  <c r="J994" i="64"/>
  <c r="I994" i="64"/>
  <c r="M992" i="64"/>
  <c r="L992" i="64"/>
  <c r="K992" i="64"/>
  <c r="J992" i="64"/>
  <c r="I992" i="64"/>
  <c r="M991" i="64"/>
  <c r="L991" i="64"/>
  <c r="K991" i="64"/>
  <c r="J991" i="64"/>
  <c r="I991" i="64"/>
  <c r="M989" i="64"/>
  <c r="L989" i="64"/>
  <c r="K989" i="64"/>
  <c r="J989" i="64"/>
  <c r="I989" i="64"/>
  <c r="M988" i="64"/>
  <c r="L988" i="64"/>
  <c r="K988" i="64"/>
  <c r="J988" i="64"/>
  <c r="I988" i="64"/>
  <c r="M986" i="64"/>
  <c r="L986" i="64"/>
  <c r="K986" i="64"/>
  <c r="J986" i="64"/>
  <c r="I986" i="64"/>
  <c r="M985" i="64"/>
  <c r="L985" i="64"/>
  <c r="K985" i="64"/>
  <c r="J985" i="64"/>
  <c r="I985" i="64"/>
  <c r="M983" i="64"/>
  <c r="L983" i="64"/>
  <c r="K983" i="64"/>
  <c r="J983" i="64"/>
  <c r="I983" i="64"/>
  <c r="M982" i="64"/>
  <c r="L982" i="64"/>
  <c r="K982" i="64"/>
  <c r="J982" i="64"/>
  <c r="I982" i="64"/>
  <c r="M981" i="64"/>
  <c r="L981" i="64"/>
  <c r="K981" i="64"/>
  <c r="J981" i="64"/>
  <c r="I981" i="64"/>
  <c r="M980" i="64"/>
  <c r="L980" i="64"/>
  <c r="K980" i="64"/>
  <c r="J980" i="64"/>
  <c r="I980" i="64"/>
  <c r="M978" i="64"/>
  <c r="L978" i="64"/>
  <c r="K978" i="64"/>
  <c r="J978" i="64"/>
  <c r="I978" i="64"/>
  <c r="M977" i="64"/>
  <c r="L977" i="64"/>
  <c r="K977" i="64"/>
  <c r="J977" i="64"/>
  <c r="I977" i="64"/>
  <c r="M975" i="64"/>
  <c r="L975" i="64"/>
  <c r="K975" i="64"/>
  <c r="J975" i="64"/>
  <c r="I975" i="64"/>
  <c r="M971" i="64"/>
  <c r="K971" i="64"/>
  <c r="I971" i="64"/>
  <c r="G971" i="64"/>
  <c r="F971" i="64"/>
  <c r="N968" i="64"/>
  <c r="M968" i="64"/>
  <c r="L968" i="64"/>
  <c r="K968" i="64"/>
  <c r="J968" i="64"/>
  <c r="I968" i="64"/>
  <c r="H968" i="64"/>
  <c r="M967" i="64"/>
  <c r="L967" i="64"/>
  <c r="K967" i="64"/>
  <c r="J967" i="64"/>
  <c r="I967" i="64"/>
  <c r="H967" i="64"/>
  <c r="M964" i="64"/>
  <c r="L964" i="64"/>
  <c r="K964" i="64"/>
  <c r="J964" i="64"/>
  <c r="I964" i="64"/>
  <c r="H964" i="64"/>
  <c r="G964" i="64"/>
  <c r="M963" i="64"/>
  <c r="M962" i="64"/>
  <c r="L962" i="64"/>
  <c r="K962" i="64"/>
  <c r="P964" i="64" s="1"/>
  <c r="J962" i="64"/>
  <c r="I962" i="64"/>
  <c r="H962" i="64"/>
  <c r="E962" i="64"/>
  <c r="I959" i="64"/>
  <c r="E955" i="64"/>
  <c r="E954" i="64"/>
  <c r="E952" i="64"/>
  <c r="E951" i="64"/>
  <c r="M955" i="64"/>
  <c r="L955" i="64"/>
  <c r="K955" i="64"/>
  <c r="J955" i="64"/>
  <c r="I955" i="64"/>
  <c r="M954" i="64"/>
  <c r="L954" i="64"/>
  <c r="K954" i="64"/>
  <c r="J954" i="64"/>
  <c r="I954" i="64"/>
  <c r="M952" i="64"/>
  <c r="L952" i="64"/>
  <c r="K952" i="64"/>
  <c r="J952" i="64"/>
  <c r="I952" i="64"/>
  <c r="M951" i="64"/>
  <c r="L951" i="64"/>
  <c r="K951" i="64"/>
  <c r="J951" i="64"/>
  <c r="I951" i="64"/>
  <c r="M948" i="64"/>
  <c r="L948" i="64"/>
  <c r="K948" i="64"/>
  <c r="J948" i="64"/>
  <c r="I948" i="64"/>
  <c r="M946" i="64"/>
  <c r="L946" i="64"/>
  <c r="K946" i="64"/>
  <c r="J946" i="64"/>
  <c r="I946" i="64"/>
  <c r="M945" i="64"/>
  <c r="L945" i="64"/>
  <c r="K945" i="64"/>
  <c r="J945" i="64"/>
  <c r="I945" i="64"/>
  <c r="M943" i="64"/>
  <c r="L943" i="64"/>
  <c r="K943" i="64"/>
  <c r="J943" i="64"/>
  <c r="I943" i="64"/>
  <c r="M942" i="64"/>
  <c r="L942" i="64"/>
  <c r="K942" i="64"/>
  <c r="J942" i="64"/>
  <c r="I942" i="64"/>
  <c r="M941" i="64"/>
  <c r="L941" i="64"/>
  <c r="K941" i="64"/>
  <c r="J941" i="64"/>
  <c r="I941" i="64"/>
  <c r="M940" i="64"/>
  <c r="L940" i="64"/>
  <c r="K940" i="64"/>
  <c r="J940" i="64"/>
  <c r="I940" i="64"/>
  <c r="M939" i="64"/>
  <c r="L939" i="64"/>
  <c r="K939" i="64"/>
  <c r="J939" i="64"/>
  <c r="I939" i="64"/>
  <c r="M938" i="64"/>
  <c r="L938" i="64"/>
  <c r="K938" i="64"/>
  <c r="J938" i="64"/>
  <c r="I938" i="64"/>
  <c r="M937" i="64"/>
  <c r="L937" i="64"/>
  <c r="K937" i="64"/>
  <c r="J937" i="64"/>
  <c r="I937" i="64"/>
  <c r="M936" i="64"/>
  <c r="L936" i="64"/>
  <c r="K936" i="64"/>
  <c r="J936" i="64"/>
  <c r="I936" i="64"/>
  <c r="M935" i="64"/>
  <c r="L935" i="64"/>
  <c r="K935" i="64"/>
  <c r="J935" i="64"/>
  <c r="I935" i="64"/>
  <c r="M934" i="64"/>
  <c r="L934" i="64"/>
  <c r="K934" i="64"/>
  <c r="J934" i="64"/>
  <c r="I934" i="64"/>
  <c r="M932" i="64"/>
  <c r="L932" i="64"/>
  <c r="K932" i="64"/>
  <c r="J932" i="64"/>
  <c r="I932" i="64"/>
  <c r="M931" i="64"/>
  <c r="L931" i="64"/>
  <c r="K931" i="64"/>
  <c r="J931" i="64"/>
  <c r="I931" i="64"/>
  <c r="M929" i="64"/>
  <c r="L929" i="64"/>
  <c r="K929" i="64"/>
  <c r="J929" i="64"/>
  <c r="I929" i="64"/>
  <c r="M928" i="64"/>
  <c r="L928" i="64"/>
  <c r="K928" i="64"/>
  <c r="J928" i="64"/>
  <c r="I928" i="64"/>
  <c r="M926" i="64"/>
  <c r="L926" i="64"/>
  <c r="K926" i="64"/>
  <c r="J926" i="64"/>
  <c r="I926" i="64"/>
  <c r="M925" i="64"/>
  <c r="L925" i="64"/>
  <c r="K925" i="64"/>
  <c r="J925" i="64"/>
  <c r="I925" i="64"/>
  <c r="M923" i="64"/>
  <c r="L923" i="64"/>
  <c r="K923" i="64"/>
  <c r="J923" i="64"/>
  <c r="I923" i="64"/>
  <c r="M922" i="64"/>
  <c r="L922" i="64"/>
  <c r="K922" i="64"/>
  <c r="J922" i="64"/>
  <c r="I922" i="64"/>
  <c r="M921" i="64"/>
  <c r="L921" i="64"/>
  <c r="K921" i="64"/>
  <c r="J921" i="64"/>
  <c r="I921" i="64"/>
  <c r="M920" i="64"/>
  <c r="L920" i="64"/>
  <c r="K920" i="64"/>
  <c r="J920" i="64"/>
  <c r="I920" i="64"/>
  <c r="M918" i="64"/>
  <c r="L918" i="64"/>
  <c r="K918" i="64"/>
  <c r="J918" i="64"/>
  <c r="I918" i="64"/>
  <c r="M917" i="64"/>
  <c r="L917" i="64"/>
  <c r="K917" i="64"/>
  <c r="J917" i="64"/>
  <c r="I917" i="64"/>
  <c r="M915" i="64"/>
  <c r="L915" i="64"/>
  <c r="K915" i="64"/>
  <c r="J915" i="64"/>
  <c r="I915" i="64"/>
  <c r="M911" i="64"/>
  <c r="K911" i="64"/>
  <c r="I911" i="64"/>
  <c r="G911" i="64"/>
  <c r="F911" i="64"/>
  <c r="N908" i="64"/>
  <c r="M908" i="64"/>
  <c r="L908" i="64"/>
  <c r="K908" i="64"/>
  <c r="J908" i="64"/>
  <c r="I908" i="64"/>
  <c r="H908" i="64"/>
  <c r="M907" i="64"/>
  <c r="L907" i="64"/>
  <c r="K907" i="64"/>
  <c r="J907" i="64"/>
  <c r="I907" i="64"/>
  <c r="H907" i="64"/>
  <c r="M904" i="64"/>
  <c r="L904" i="64"/>
  <c r="K904" i="64"/>
  <c r="J904" i="64"/>
  <c r="I904" i="64"/>
  <c r="H904" i="64"/>
  <c r="G904" i="64"/>
  <c r="M903" i="64"/>
  <c r="M902" i="64"/>
  <c r="L902" i="64"/>
  <c r="K902" i="64"/>
  <c r="P904" i="64" s="1"/>
  <c r="J902" i="64"/>
  <c r="I902" i="64"/>
  <c r="H902" i="64"/>
  <c r="E902" i="64"/>
  <c r="I899" i="64"/>
  <c r="I839" i="64"/>
  <c r="E835" i="64"/>
  <c r="E834" i="64"/>
  <c r="E832" i="64"/>
  <c r="E831" i="64"/>
  <c r="M835" i="64"/>
  <c r="L835" i="64"/>
  <c r="K835" i="64"/>
  <c r="J835" i="64"/>
  <c r="I835" i="64"/>
  <c r="M834" i="64"/>
  <c r="L834" i="64"/>
  <c r="K834" i="64"/>
  <c r="J834" i="64"/>
  <c r="I834" i="64"/>
  <c r="M832" i="64"/>
  <c r="L832" i="64"/>
  <c r="K832" i="64"/>
  <c r="J832" i="64"/>
  <c r="I832" i="64"/>
  <c r="M831" i="64"/>
  <c r="L831" i="64"/>
  <c r="K831" i="64"/>
  <c r="J831" i="64"/>
  <c r="I831" i="64"/>
  <c r="M828" i="64"/>
  <c r="L828" i="64"/>
  <c r="K828" i="64"/>
  <c r="J828" i="64"/>
  <c r="I828" i="64"/>
  <c r="M826" i="64"/>
  <c r="L826" i="64"/>
  <c r="K826" i="64"/>
  <c r="J826" i="64"/>
  <c r="I826" i="64"/>
  <c r="M825" i="64"/>
  <c r="L825" i="64"/>
  <c r="K825" i="64"/>
  <c r="J825" i="64"/>
  <c r="I825" i="64"/>
  <c r="M823" i="64"/>
  <c r="L823" i="64"/>
  <c r="K823" i="64"/>
  <c r="J823" i="64"/>
  <c r="I823" i="64"/>
  <c r="M822" i="64"/>
  <c r="L822" i="64"/>
  <c r="K822" i="64"/>
  <c r="J822" i="64"/>
  <c r="I822" i="64"/>
  <c r="M821" i="64"/>
  <c r="L821" i="64"/>
  <c r="K821" i="64"/>
  <c r="J821" i="64"/>
  <c r="I821" i="64"/>
  <c r="M820" i="64"/>
  <c r="L820" i="64"/>
  <c r="K820" i="64"/>
  <c r="J820" i="64"/>
  <c r="I820" i="64"/>
  <c r="M819" i="64"/>
  <c r="L819" i="64"/>
  <c r="K819" i="64"/>
  <c r="J819" i="64"/>
  <c r="I819" i="64"/>
  <c r="M818" i="64"/>
  <c r="L818" i="64"/>
  <c r="K818" i="64"/>
  <c r="J818" i="64"/>
  <c r="I818" i="64"/>
  <c r="M817" i="64"/>
  <c r="L817" i="64"/>
  <c r="K817" i="64"/>
  <c r="J817" i="64"/>
  <c r="I817" i="64"/>
  <c r="M816" i="64"/>
  <c r="L816" i="64"/>
  <c r="K816" i="64"/>
  <c r="J816" i="64"/>
  <c r="I816" i="64"/>
  <c r="M815" i="64"/>
  <c r="L815" i="64"/>
  <c r="K815" i="64"/>
  <c r="J815" i="64"/>
  <c r="I815" i="64"/>
  <c r="M814" i="64"/>
  <c r="L814" i="64"/>
  <c r="K814" i="64"/>
  <c r="J814" i="64"/>
  <c r="I814" i="64"/>
  <c r="M812" i="64"/>
  <c r="L812" i="64"/>
  <c r="K812" i="64"/>
  <c r="J812" i="64"/>
  <c r="I812" i="64"/>
  <c r="M811" i="64"/>
  <c r="L811" i="64"/>
  <c r="K811" i="64"/>
  <c r="J811" i="64"/>
  <c r="I811" i="64"/>
  <c r="M809" i="64"/>
  <c r="L809" i="64"/>
  <c r="K809" i="64"/>
  <c r="J809" i="64"/>
  <c r="I809" i="64"/>
  <c r="M808" i="64"/>
  <c r="L808" i="64"/>
  <c r="K808" i="64"/>
  <c r="J808" i="64"/>
  <c r="I808" i="64"/>
  <c r="M806" i="64"/>
  <c r="L806" i="64"/>
  <c r="K806" i="64"/>
  <c r="J806" i="64"/>
  <c r="I806" i="64"/>
  <c r="M805" i="64"/>
  <c r="L805" i="64"/>
  <c r="K805" i="64"/>
  <c r="J805" i="64"/>
  <c r="I805" i="64"/>
  <c r="M803" i="64"/>
  <c r="L803" i="64"/>
  <c r="K803" i="64"/>
  <c r="J803" i="64"/>
  <c r="I803" i="64"/>
  <c r="M802" i="64"/>
  <c r="L802" i="64"/>
  <c r="K802" i="64"/>
  <c r="J802" i="64"/>
  <c r="I802" i="64"/>
  <c r="M801" i="64"/>
  <c r="L801" i="64"/>
  <c r="K801" i="64"/>
  <c r="J801" i="64"/>
  <c r="I801" i="64"/>
  <c r="M800" i="64"/>
  <c r="L800" i="64"/>
  <c r="K800" i="64"/>
  <c r="J800" i="64"/>
  <c r="I800" i="64"/>
  <c r="M798" i="64"/>
  <c r="L798" i="64"/>
  <c r="K798" i="64"/>
  <c r="J798" i="64"/>
  <c r="I798" i="64"/>
  <c r="M797" i="64"/>
  <c r="L797" i="64"/>
  <c r="K797" i="64"/>
  <c r="J797" i="64"/>
  <c r="I797" i="64"/>
  <c r="M795" i="64"/>
  <c r="L795" i="64"/>
  <c r="K795" i="64"/>
  <c r="J795" i="64"/>
  <c r="I795" i="64"/>
  <c r="M791" i="64"/>
  <c r="K791" i="64"/>
  <c r="I791" i="64"/>
  <c r="G791" i="64"/>
  <c r="F791" i="64"/>
  <c r="N788" i="64"/>
  <c r="M788" i="64"/>
  <c r="L788" i="64"/>
  <c r="K788" i="64"/>
  <c r="J788" i="64"/>
  <c r="I788" i="64"/>
  <c r="H788" i="64"/>
  <c r="M787" i="64"/>
  <c r="L787" i="64"/>
  <c r="K787" i="64"/>
  <c r="J787" i="64"/>
  <c r="I787" i="64"/>
  <c r="H787" i="64"/>
  <c r="M784" i="64"/>
  <c r="L784" i="64"/>
  <c r="K784" i="64"/>
  <c r="J784" i="64"/>
  <c r="I784" i="64"/>
  <c r="H784" i="64"/>
  <c r="G784" i="64"/>
  <c r="M783" i="64"/>
  <c r="M782" i="64"/>
  <c r="L782" i="64"/>
  <c r="K782" i="64"/>
  <c r="P784" i="64" s="1"/>
  <c r="J782" i="64"/>
  <c r="I782" i="64"/>
  <c r="H782" i="64"/>
  <c r="E782" i="64"/>
  <c r="I779" i="64"/>
  <c r="E775" i="64"/>
  <c r="E774" i="64"/>
  <c r="E772" i="64"/>
  <c r="E771" i="64"/>
  <c r="M775" i="64"/>
  <c r="L775" i="64"/>
  <c r="K775" i="64"/>
  <c r="J775" i="64"/>
  <c r="I775" i="64"/>
  <c r="M774" i="64"/>
  <c r="L774" i="64"/>
  <c r="K774" i="64"/>
  <c r="J774" i="64"/>
  <c r="I774" i="64"/>
  <c r="M772" i="64"/>
  <c r="L772" i="64"/>
  <c r="K772" i="64"/>
  <c r="J772" i="64"/>
  <c r="I772" i="64"/>
  <c r="M771" i="64"/>
  <c r="L771" i="64"/>
  <c r="K771" i="64"/>
  <c r="J771" i="64"/>
  <c r="I771" i="64"/>
  <c r="M768" i="64"/>
  <c r="L768" i="64"/>
  <c r="K768" i="64"/>
  <c r="J768" i="64"/>
  <c r="I768" i="64"/>
  <c r="M766" i="64"/>
  <c r="L766" i="64"/>
  <c r="K766" i="64"/>
  <c r="J766" i="64"/>
  <c r="I766" i="64"/>
  <c r="M765" i="64"/>
  <c r="L765" i="64"/>
  <c r="K765" i="64"/>
  <c r="J765" i="64"/>
  <c r="I765" i="64"/>
  <c r="M763" i="64"/>
  <c r="L763" i="64"/>
  <c r="K763" i="64"/>
  <c r="J763" i="64"/>
  <c r="I763" i="64"/>
  <c r="M762" i="64"/>
  <c r="L762" i="64"/>
  <c r="K762" i="64"/>
  <c r="J762" i="64"/>
  <c r="I762" i="64"/>
  <c r="M761" i="64"/>
  <c r="L761" i="64"/>
  <c r="K761" i="64"/>
  <c r="J761" i="64"/>
  <c r="I761" i="64"/>
  <c r="M760" i="64"/>
  <c r="L760" i="64"/>
  <c r="K760" i="64"/>
  <c r="J760" i="64"/>
  <c r="I760" i="64"/>
  <c r="M759" i="64"/>
  <c r="L759" i="64"/>
  <c r="K759" i="64"/>
  <c r="J759" i="64"/>
  <c r="I759" i="64"/>
  <c r="M758" i="64"/>
  <c r="L758" i="64"/>
  <c r="K758" i="64"/>
  <c r="J758" i="64"/>
  <c r="I758" i="64"/>
  <c r="M757" i="64"/>
  <c r="L757" i="64"/>
  <c r="K757" i="64"/>
  <c r="J757" i="64"/>
  <c r="I757" i="64"/>
  <c r="M756" i="64"/>
  <c r="L756" i="64"/>
  <c r="K756" i="64"/>
  <c r="J756" i="64"/>
  <c r="I756" i="64"/>
  <c r="M755" i="64"/>
  <c r="L755" i="64"/>
  <c r="K755" i="64"/>
  <c r="J755" i="64"/>
  <c r="I755" i="64"/>
  <c r="M754" i="64"/>
  <c r="L754" i="64"/>
  <c r="K754" i="64"/>
  <c r="J754" i="64"/>
  <c r="I754" i="64"/>
  <c r="M752" i="64"/>
  <c r="L752" i="64"/>
  <c r="K752" i="64"/>
  <c r="J752" i="64"/>
  <c r="I752" i="64"/>
  <c r="M751" i="64"/>
  <c r="L751" i="64"/>
  <c r="K751" i="64"/>
  <c r="J751" i="64"/>
  <c r="I751" i="64"/>
  <c r="M749" i="64"/>
  <c r="L749" i="64"/>
  <c r="K749" i="64"/>
  <c r="J749" i="64"/>
  <c r="I749" i="64"/>
  <c r="M748" i="64"/>
  <c r="L748" i="64"/>
  <c r="K748" i="64"/>
  <c r="J748" i="64"/>
  <c r="I748" i="64"/>
  <c r="M746" i="64"/>
  <c r="L746" i="64"/>
  <c r="K746" i="64"/>
  <c r="J746" i="64"/>
  <c r="I746" i="64"/>
  <c r="M745" i="64"/>
  <c r="L745" i="64"/>
  <c r="K745" i="64"/>
  <c r="J745" i="64"/>
  <c r="I745" i="64"/>
  <c r="M743" i="64"/>
  <c r="L743" i="64"/>
  <c r="K743" i="64"/>
  <c r="J743" i="64"/>
  <c r="I743" i="64"/>
  <c r="M742" i="64"/>
  <c r="L742" i="64"/>
  <c r="K742" i="64"/>
  <c r="J742" i="64"/>
  <c r="I742" i="64"/>
  <c r="M741" i="64"/>
  <c r="L741" i="64"/>
  <c r="K741" i="64"/>
  <c r="J741" i="64"/>
  <c r="I741" i="64"/>
  <c r="M740" i="64"/>
  <c r="L740" i="64"/>
  <c r="K740" i="64"/>
  <c r="J740" i="64"/>
  <c r="I740" i="64"/>
  <c r="M738" i="64"/>
  <c r="L738" i="64"/>
  <c r="K738" i="64"/>
  <c r="J738" i="64"/>
  <c r="I738" i="64"/>
  <c r="M737" i="64"/>
  <c r="L737" i="64"/>
  <c r="K737" i="64"/>
  <c r="J737" i="64"/>
  <c r="I737" i="64"/>
  <c r="M735" i="64"/>
  <c r="L735" i="64"/>
  <c r="K735" i="64"/>
  <c r="J735" i="64"/>
  <c r="I735" i="64"/>
  <c r="M731" i="64"/>
  <c r="K731" i="64"/>
  <c r="I731" i="64"/>
  <c r="G731" i="64"/>
  <c r="F731" i="64"/>
  <c r="N728" i="64"/>
  <c r="M728" i="64"/>
  <c r="L728" i="64"/>
  <c r="K728" i="64"/>
  <c r="J728" i="64"/>
  <c r="I728" i="64"/>
  <c r="H728" i="64"/>
  <c r="M727" i="64"/>
  <c r="L727" i="64"/>
  <c r="K727" i="64"/>
  <c r="J727" i="64"/>
  <c r="I727" i="64"/>
  <c r="H727" i="64"/>
  <c r="N723" i="64" s="1"/>
  <c r="M724" i="64"/>
  <c r="L724" i="64"/>
  <c r="K724" i="64"/>
  <c r="J724" i="64"/>
  <c r="I724" i="64"/>
  <c r="H724" i="64"/>
  <c r="G724" i="64"/>
  <c r="M723" i="64"/>
  <c r="M722" i="64"/>
  <c r="L722" i="64"/>
  <c r="K722" i="64"/>
  <c r="P724" i="64" s="1"/>
  <c r="J722" i="64"/>
  <c r="I722" i="64"/>
  <c r="H722" i="64"/>
  <c r="E722" i="64"/>
  <c r="I719" i="64"/>
  <c r="E715" i="64"/>
  <c r="E714" i="64"/>
  <c r="E712" i="64"/>
  <c r="E711" i="64"/>
  <c r="M715" i="64"/>
  <c r="L715" i="64"/>
  <c r="K715" i="64"/>
  <c r="J715" i="64"/>
  <c r="I715" i="64"/>
  <c r="M714" i="64"/>
  <c r="L714" i="64"/>
  <c r="K714" i="64"/>
  <c r="J714" i="64"/>
  <c r="I714" i="64"/>
  <c r="M712" i="64"/>
  <c r="L712" i="64"/>
  <c r="K712" i="64"/>
  <c r="J712" i="64"/>
  <c r="I712" i="64"/>
  <c r="M711" i="64"/>
  <c r="L711" i="64"/>
  <c r="K711" i="64"/>
  <c r="J711" i="64"/>
  <c r="I711" i="64"/>
  <c r="M708" i="64"/>
  <c r="L708" i="64"/>
  <c r="K708" i="64"/>
  <c r="J708" i="64"/>
  <c r="I708" i="64"/>
  <c r="M706" i="64"/>
  <c r="L706" i="64"/>
  <c r="K706" i="64"/>
  <c r="J706" i="64"/>
  <c r="I706" i="64"/>
  <c r="M705" i="64"/>
  <c r="L705" i="64"/>
  <c r="K705" i="64"/>
  <c r="J705" i="64"/>
  <c r="I705" i="64"/>
  <c r="M703" i="64"/>
  <c r="L703" i="64"/>
  <c r="K703" i="64"/>
  <c r="J703" i="64"/>
  <c r="I703" i="64"/>
  <c r="M702" i="64"/>
  <c r="L702" i="64"/>
  <c r="K702" i="64"/>
  <c r="J702" i="64"/>
  <c r="I702" i="64"/>
  <c r="M701" i="64"/>
  <c r="L701" i="64"/>
  <c r="K701" i="64"/>
  <c r="J701" i="64"/>
  <c r="I701" i="64"/>
  <c r="M700" i="64"/>
  <c r="L700" i="64"/>
  <c r="K700" i="64"/>
  <c r="J700" i="64"/>
  <c r="I700" i="64"/>
  <c r="M699" i="64"/>
  <c r="L699" i="64"/>
  <c r="K699" i="64"/>
  <c r="J699" i="64"/>
  <c r="I699" i="64"/>
  <c r="M698" i="64"/>
  <c r="L698" i="64"/>
  <c r="K698" i="64"/>
  <c r="J698" i="64"/>
  <c r="I698" i="64"/>
  <c r="M697" i="64"/>
  <c r="L697" i="64"/>
  <c r="K697" i="64"/>
  <c r="J697" i="64"/>
  <c r="I697" i="64"/>
  <c r="M696" i="64"/>
  <c r="L696" i="64"/>
  <c r="K696" i="64"/>
  <c r="J696" i="64"/>
  <c r="I696" i="64"/>
  <c r="M695" i="64"/>
  <c r="L695" i="64"/>
  <c r="K695" i="64"/>
  <c r="J695" i="64"/>
  <c r="I695" i="64"/>
  <c r="M694" i="64"/>
  <c r="L694" i="64"/>
  <c r="K694" i="64"/>
  <c r="J694" i="64"/>
  <c r="I694" i="64"/>
  <c r="M692" i="64"/>
  <c r="L692" i="64"/>
  <c r="K692" i="64"/>
  <c r="J692" i="64"/>
  <c r="I692" i="64"/>
  <c r="M691" i="64"/>
  <c r="L691" i="64"/>
  <c r="K691" i="64"/>
  <c r="J691" i="64"/>
  <c r="I691" i="64"/>
  <c r="M689" i="64"/>
  <c r="L689" i="64"/>
  <c r="K689" i="64"/>
  <c r="J689" i="64"/>
  <c r="I689" i="64"/>
  <c r="M688" i="64"/>
  <c r="L688" i="64"/>
  <c r="K688" i="64"/>
  <c r="J688" i="64"/>
  <c r="I688" i="64"/>
  <c r="M686" i="64"/>
  <c r="L686" i="64"/>
  <c r="K686" i="64"/>
  <c r="J686" i="64"/>
  <c r="I686" i="64"/>
  <c r="M685" i="64"/>
  <c r="L685" i="64"/>
  <c r="K685" i="64"/>
  <c r="J685" i="64"/>
  <c r="I685" i="64"/>
  <c r="M683" i="64"/>
  <c r="L683" i="64"/>
  <c r="K683" i="64"/>
  <c r="J683" i="64"/>
  <c r="I683" i="64"/>
  <c r="M682" i="64"/>
  <c r="L682" i="64"/>
  <c r="K682" i="64"/>
  <c r="J682" i="64"/>
  <c r="I682" i="64"/>
  <c r="M681" i="64"/>
  <c r="L681" i="64"/>
  <c r="K681" i="64"/>
  <c r="J681" i="64"/>
  <c r="I681" i="64"/>
  <c r="M680" i="64"/>
  <c r="L680" i="64"/>
  <c r="K680" i="64"/>
  <c r="J680" i="64"/>
  <c r="I680" i="64"/>
  <c r="M678" i="64"/>
  <c r="L678" i="64"/>
  <c r="K678" i="64"/>
  <c r="J678" i="64"/>
  <c r="I678" i="64"/>
  <c r="M677" i="64"/>
  <c r="L677" i="64"/>
  <c r="K677" i="64"/>
  <c r="J677" i="64"/>
  <c r="I677" i="64"/>
  <c r="M675" i="64"/>
  <c r="L675" i="64"/>
  <c r="K675" i="64"/>
  <c r="J675" i="64"/>
  <c r="I675" i="64"/>
  <c r="M671" i="64"/>
  <c r="K671" i="64"/>
  <c r="I671" i="64"/>
  <c r="G671" i="64"/>
  <c r="F671" i="64"/>
  <c r="N668" i="64"/>
  <c r="M668" i="64"/>
  <c r="L668" i="64"/>
  <c r="K668" i="64"/>
  <c r="J668" i="64"/>
  <c r="I668" i="64"/>
  <c r="H668" i="64"/>
  <c r="M667" i="64"/>
  <c r="L667" i="64"/>
  <c r="K667" i="64"/>
  <c r="J667" i="64"/>
  <c r="I667" i="64"/>
  <c r="H667" i="64"/>
  <c r="M664" i="64"/>
  <c r="L664" i="64"/>
  <c r="K664" i="64"/>
  <c r="J664" i="64"/>
  <c r="I664" i="64"/>
  <c r="H664" i="64"/>
  <c r="G664" i="64"/>
  <c r="M663" i="64"/>
  <c r="M662" i="64"/>
  <c r="L662" i="64"/>
  <c r="K662" i="64"/>
  <c r="P664" i="64" s="1"/>
  <c r="J662" i="64"/>
  <c r="I662" i="64"/>
  <c r="H662" i="64"/>
  <c r="E662" i="64"/>
  <c r="I659" i="64"/>
  <c r="E655" i="64"/>
  <c r="E654" i="64"/>
  <c r="E652" i="64"/>
  <c r="E651" i="64"/>
  <c r="M655" i="64"/>
  <c r="L655" i="64"/>
  <c r="K655" i="64"/>
  <c r="J655" i="64"/>
  <c r="I655" i="64"/>
  <c r="M654" i="64"/>
  <c r="L654" i="64"/>
  <c r="K654" i="64"/>
  <c r="J654" i="64"/>
  <c r="I654" i="64"/>
  <c r="M652" i="64"/>
  <c r="L652" i="64"/>
  <c r="K652" i="64"/>
  <c r="J652" i="64"/>
  <c r="I652" i="64"/>
  <c r="M651" i="64"/>
  <c r="L651" i="64"/>
  <c r="K651" i="64"/>
  <c r="J651" i="64"/>
  <c r="I651" i="64"/>
  <c r="M648" i="64"/>
  <c r="L648" i="64"/>
  <c r="K648" i="64"/>
  <c r="J648" i="64"/>
  <c r="I648" i="64"/>
  <c r="M646" i="64"/>
  <c r="L646" i="64"/>
  <c r="K646" i="64"/>
  <c r="J646" i="64"/>
  <c r="I646" i="64"/>
  <c r="M645" i="64"/>
  <c r="L645" i="64"/>
  <c r="K645" i="64"/>
  <c r="J645" i="64"/>
  <c r="I645" i="64"/>
  <c r="M643" i="64"/>
  <c r="L643" i="64"/>
  <c r="K643" i="64"/>
  <c r="J643" i="64"/>
  <c r="I643" i="64"/>
  <c r="M642" i="64"/>
  <c r="L642" i="64"/>
  <c r="K642" i="64"/>
  <c r="J642" i="64"/>
  <c r="I642" i="64"/>
  <c r="M641" i="64"/>
  <c r="L641" i="64"/>
  <c r="K641" i="64"/>
  <c r="J641" i="64"/>
  <c r="I641" i="64"/>
  <c r="M640" i="64"/>
  <c r="L640" i="64"/>
  <c r="K640" i="64"/>
  <c r="J640" i="64"/>
  <c r="I640" i="64"/>
  <c r="M639" i="64"/>
  <c r="L639" i="64"/>
  <c r="K639" i="64"/>
  <c r="J639" i="64"/>
  <c r="I639" i="64"/>
  <c r="M638" i="64"/>
  <c r="L638" i="64"/>
  <c r="K638" i="64"/>
  <c r="J638" i="64"/>
  <c r="I638" i="64"/>
  <c r="M637" i="64"/>
  <c r="L637" i="64"/>
  <c r="K637" i="64"/>
  <c r="J637" i="64"/>
  <c r="I637" i="64"/>
  <c r="M636" i="64"/>
  <c r="L636" i="64"/>
  <c r="K636" i="64"/>
  <c r="J636" i="64"/>
  <c r="I636" i="64"/>
  <c r="M635" i="64"/>
  <c r="L635" i="64"/>
  <c r="K635" i="64"/>
  <c r="J635" i="64"/>
  <c r="I635" i="64"/>
  <c r="M634" i="64"/>
  <c r="L634" i="64"/>
  <c r="K634" i="64"/>
  <c r="J634" i="64"/>
  <c r="I634" i="64"/>
  <c r="M632" i="64"/>
  <c r="L632" i="64"/>
  <c r="K632" i="64"/>
  <c r="J632" i="64"/>
  <c r="I632" i="64"/>
  <c r="M631" i="64"/>
  <c r="L631" i="64"/>
  <c r="K631" i="64"/>
  <c r="J631" i="64"/>
  <c r="I631" i="64"/>
  <c r="M629" i="64"/>
  <c r="L629" i="64"/>
  <c r="K629" i="64"/>
  <c r="J629" i="64"/>
  <c r="I629" i="64"/>
  <c r="M628" i="64"/>
  <c r="L628" i="64"/>
  <c r="K628" i="64"/>
  <c r="J628" i="64"/>
  <c r="I628" i="64"/>
  <c r="M626" i="64"/>
  <c r="L626" i="64"/>
  <c r="K626" i="64"/>
  <c r="J626" i="64"/>
  <c r="I626" i="64"/>
  <c r="M625" i="64"/>
  <c r="L625" i="64"/>
  <c r="K625" i="64"/>
  <c r="J625" i="64"/>
  <c r="I625" i="64"/>
  <c r="M623" i="64"/>
  <c r="L623" i="64"/>
  <c r="K623" i="64"/>
  <c r="J623" i="64"/>
  <c r="I623" i="64"/>
  <c r="M622" i="64"/>
  <c r="L622" i="64"/>
  <c r="K622" i="64"/>
  <c r="J622" i="64"/>
  <c r="I622" i="64"/>
  <c r="M621" i="64"/>
  <c r="L621" i="64"/>
  <c r="K621" i="64"/>
  <c r="J621" i="64"/>
  <c r="I621" i="64"/>
  <c r="M620" i="64"/>
  <c r="L620" i="64"/>
  <c r="K620" i="64"/>
  <c r="J620" i="64"/>
  <c r="I620" i="64"/>
  <c r="M618" i="64"/>
  <c r="L618" i="64"/>
  <c r="K618" i="64"/>
  <c r="J618" i="64"/>
  <c r="I618" i="64"/>
  <c r="M617" i="64"/>
  <c r="L617" i="64"/>
  <c r="K617" i="64"/>
  <c r="J617" i="64"/>
  <c r="I617" i="64"/>
  <c r="M615" i="64"/>
  <c r="L615" i="64"/>
  <c r="K615" i="64"/>
  <c r="J615" i="64"/>
  <c r="I615" i="64"/>
  <c r="M611" i="64"/>
  <c r="K611" i="64"/>
  <c r="I611" i="64"/>
  <c r="G611" i="64"/>
  <c r="F611" i="64"/>
  <c r="N608" i="64"/>
  <c r="M608" i="64"/>
  <c r="L608" i="64"/>
  <c r="K608" i="64"/>
  <c r="J608" i="64"/>
  <c r="I608" i="64"/>
  <c r="H608" i="64"/>
  <c r="M607" i="64"/>
  <c r="L607" i="64"/>
  <c r="K607" i="64"/>
  <c r="J607" i="64"/>
  <c r="I607" i="64"/>
  <c r="H607" i="64"/>
  <c r="N604" i="64" s="1"/>
  <c r="M604" i="64"/>
  <c r="L604" i="64"/>
  <c r="K604" i="64"/>
  <c r="J604" i="64"/>
  <c r="I604" i="64"/>
  <c r="H604" i="64"/>
  <c r="G604" i="64"/>
  <c r="M603" i="64"/>
  <c r="M602" i="64"/>
  <c r="L602" i="64"/>
  <c r="K602" i="64"/>
  <c r="P604" i="64" s="1"/>
  <c r="J602" i="64"/>
  <c r="I602" i="64"/>
  <c r="H602" i="64"/>
  <c r="E602" i="64"/>
  <c r="I599" i="64"/>
  <c r="E595" i="64"/>
  <c r="E594" i="64"/>
  <c r="E592" i="64"/>
  <c r="E591" i="64"/>
  <c r="M595" i="64"/>
  <c r="L595" i="64"/>
  <c r="K595" i="64"/>
  <c r="J595" i="64"/>
  <c r="I595" i="64"/>
  <c r="M594" i="64"/>
  <c r="L594" i="64"/>
  <c r="K594" i="64"/>
  <c r="J594" i="64"/>
  <c r="I594" i="64"/>
  <c r="M592" i="64"/>
  <c r="L592" i="64"/>
  <c r="K592" i="64"/>
  <c r="J592" i="64"/>
  <c r="I592" i="64"/>
  <c r="M591" i="64"/>
  <c r="L591" i="64"/>
  <c r="K591" i="64"/>
  <c r="J591" i="64"/>
  <c r="I591" i="64"/>
  <c r="M588" i="64"/>
  <c r="L588" i="64"/>
  <c r="K588" i="64"/>
  <c r="J588" i="64"/>
  <c r="I588" i="64"/>
  <c r="M586" i="64"/>
  <c r="L586" i="64"/>
  <c r="K586" i="64"/>
  <c r="J586" i="64"/>
  <c r="I586" i="64"/>
  <c r="M585" i="64"/>
  <c r="L585" i="64"/>
  <c r="K585" i="64"/>
  <c r="J585" i="64"/>
  <c r="I585" i="64"/>
  <c r="M583" i="64"/>
  <c r="L583" i="64"/>
  <c r="K583" i="64"/>
  <c r="J583" i="64"/>
  <c r="I583" i="64"/>
  <c r="M582" i="64"/>
  <c r="L582" i="64"/>
  <c r="K582" i="64"/>
  <c r="J582" i="64"/>
  <c r="I582" i="64"/>
  <c r="M581" i="64"/>
  <c r="L581" i="64"/>
  <c r="K581" i="64"/>
  <c r="J581" i="64"/>
  <c r="I581" i="64"/>
  <c r="M580" i="64"/>
  <c r="L580" i="64"/>
  <c r="K580" i="64"/>
  <c r="J580" i="64"/>
  <c r="I580" i="64"/>
  <c r="M579" i="64"/>
  <c r="L579" i="64"/>
  <c r="K579" i="64"/>
  <c r="J579" i="64"/>
  <c r="I579" i="64"/>
  <c r="M578" i="64"/>
  <c r="L578" i="64"/>
  <c r="K578" i="64"/>
  <c r="J578" i="64"/>
  <c r="I578" i="64"/>
  <c r="M577" i="64"/>
  <c r="L577" i="64"/>
  <c r="K577" i="64"/>
  <c r="J577" i="64"/>
  <c r="I577" i="64"/>
  <c r="M576" i="64"/>
  <c r="L576" i="64"/>
  <c r="K576" i="64"/>
  <c r="J576" i="64"/>
  <c r="I576" i="64"/>
  <c r="M575" i="64"/>
  <c r="L575" i="64"/>
  <c r="K575" i="64"/>
  <c r="J575" i="64"/>
  <c r="I575" i="64"/>
  <c r="M574" i="64"/>
  <c r="L574" i="64"/>
  <c r="K574" i="64"/>
  <c r="J574" i="64"/>
  <c r="I574" i="64"/>
  <c r="M572" i="64"/>
  <c r="L572" i="64"/>
  <c r="K572" i="64"/>
  <c r="J572" i="64"/>
  <c r="I572" i="64"/>
  <c r="M571" i="64"/>
  <c r="L571" i="64"/>
  <c r="K571" i="64"/>
  <c r="J571" i="64"/>
  <c r="I571" i="64"/>
  <c r="M569" i="64"/>
  <c r="L569" i="64"/>
  <c r="K569" i="64"/>
  <c r="J569" i="64"/>
  <c r="I569" i="64"/>
  <c r="M568" i="64"/>
  <c r="L568" i="64"/>
  <c r="K568" i="64"/>
  <c r="J568" i="64"/>
  <c r="I568" i="64"/>
  <c r="M566" i="64"/>
  <c r="L566" i="64"/>
  <c r="K566" i="64"/>
  <c r="J566" i="64"/>
  <c r="I566" i="64"/>
  <c r="M565" i="64"/>
  <c r="L565" i="64"/>
  <c r="K565" i="64"/>
  <c r="J565" i="64"/>
  <c r="I565" i="64"/>
  <c r="M563" i="64"/>
  <c r="L563" i="64"/>
  <c r="K563" i="64"/>
  <c r="J563" i="64"/>
  <c r="I563" i="64"/>
  <c r="M562" i="64"/>
  <c r="L562" i="64"/>
  <c r="K562" i="64"/>
  <c r="J562" i="64"/>
  <c r="I562" i="64"/>
  <c r="M561" i="64"/>
  <c r="L561" i="64"/>
  <c r="K561" i="64"/>
  <c r="J561" i="64"/>
  <c r="I561" i="64"/>
  <c r="M560" i="64"/>
  <c r="L560" i="64"/>
  <c r="K560" i="64"/>
  <c r="J560" i="64"/>
  <c r="I560" i="64"/>
  <c r="M558" i="64"/>
  <c r="L558" i="64"/>
  <c r="K558" i="64"/>
  <c r="J558" i="64"/>
  <c r="I558" i="64"/>
  <c r="M557" i="64"/>
  <c r="L557" i="64"/>
  <c r="K557" i="64"/>
  <c r="J557" i="64"/>
  <c r="I557" i="64"/>
  <c r="M555" i="64"/>
  <c r="L555" i="64"/>
  <c r="K555" i="64"/>
  <c r="J555" i="64"/>
  <c r="I555" i="64"/>
  <c r="M551" i="64"/>
  <c r="K551" i="64"/>
  <c r="I551" i="64"/>
  <c r="G551" i="64"/>
  <c r="F551" i="64"/>
  <c r="N548" i="64"/>
  <c r="M548" i="64"/>
  <c r="L548" i="64"/>
  <c r="K548" i="64"/>
  <c r="J548" i="64"/>
  <c r="I548" i="64"/>
  <c r="H548" i="64"/>
  <c r="M547" i="64"/>
  <c r="L547" i="64"/>
  <c r="K547" i="64"/>
  <c r="J547" i="64"/>
  <c r="I547" i="64"/>
  <c r="H547" i="64"/>
  <c r="N542" i="64"/>
  <c r="L544" i="64"/>
  <c r="K544" i="64"/>
  <c r="J544" i="64"/>
  <c r="I544" i="64"/>
  <c r="H544" i="64"/>
  <c r="G544" i="64"/>
  <c r="M543" i="64"/>
  <c r="M542" i="64"/>
  <c r="L542" i="64"/>
  <c r="J542" i="64"/>
  <c r="I542" i="64"/>
  <c r="H542" i="64"/>
  <c r="E542" i="64"/>
  <c r="I539" i="64"/>
  <c r="E535" i="64"/>
  <c r="E534" i="64"/>
  <c r="E532" i="64"/>
  <c r="E531" i="64"/>
  <c r="M535" i="64"/>
  <c r="L535" i="64"/>
  <c r="K535" i="64"/>
  <c r="J535" i="64"/>
  <c r="I535" i="64"/>
  <c r="M534" i="64"/>
  <c r="L534" i="64"/>
  <c r="K534" i="64"/>
  <c r="J534" i="64"/>
  <c r="I534" i="64"/>
  <c r="M532" i="64"/>
  <c r="L532" i="64"/>
  <c r="K532" i="64"/>
  <c r="J532" i="64"/>
  <c r="I532" i="64"/>
  <c r="M531" i="64"/>
  <c r="L531" i="64"/>
  <c r="K531" i="64"/>
  <c r="J531" i="64"/>
  <c r="I531" i="64"/>
  <c r="M528" i="64"/>
  <c r="L528" i="64"/>
  <c r="K528" i="64"/>
  <c r="J528" i="64"/>
  <c r="I528" i="64"/>
  <c r="M526" i="64"/>
  <c r="L526" i="64"/>
  <c r="K526" i="64"/>
  <c r="J526" i="64"/>
  <c r="I526" i="64"/>
  <c r="M525" i="64"/>
  <c r="L525" i="64"/>
  <c r="K525" i="64"/>
  <c r="J525" i="64"/>
  <c r="I525" i="64"/>
  <c r="M523" i="64"/>
  <c r="L523" i="64"/>
  <c r="K523" i="64"/>
  <c r="J523" i="64"/>
  <c r="I523" i="64"/>
  <c r="M522" i="64"/>
  <c r="L522" i="64"/>
  <c r="K522" i="64"/>
  <c r="J522" i="64"/>
  <c r="I522" i="64"/>
  <c r="M521" i="64"/>
  <c r="L521" i="64"/>
  <c r="K521" i="64"/>
  <c r="J521" i="64"/>
  <c r="I521" i="64"/>
  <c r="M520" i="64"/>
  <c r="L520" i="64"/>
  <c r="K520" i="64"/>
  <c r="J520" i="64"/>
  <c r="I520" i="64"/>
  <c r="M519" i="64"/>
  <c r="L519" i="64"/>
  <c r="K519" i="64"/>
  <c r="J519" i="64"/>
  <c r="I519" i="64"/>
  <c r="M518" i="64"/>
  <c r="L518" i="64"/>
  <c r="K518" i="64"/>
  <c r="J518" i="64"/>
  <c r="I518" i="64"/>
  <c r="M517" i="64"/>
  <c r="L517" i="64"/>
  <c r="K517" i="64"/>
  <c r="J517" i="64"/>
  <c r="I517" i="64"/>
  <c r="M516" i="64"/>
  <c r="L516" i="64"/>
  <c r="K516" i="64"/>
  <c r="J516" i="64"/>
  <c r="I516" i="64"/>
  <c r="M515" i="64"/>
  <c r="L515" i="64"/>
  <c r="K515" i="64"/>
  <c r="J515" i="64"/>
  <c r="I515" i="64"/>
  <c r="M514" i="64"/>
  <c r="L514" i="64"/>
  <c r="K514" i="64"/>
  <c r="J514" i="64"/>
  <c r="I514" i="64"/>
  <c r="M512" i="64"/>
  <c r="L512" i="64"/>
  <c r="K512" i="64"/>
  <c r="J512" i="64"/>
  <c r="I512" i="64"/>
  <c r="M511" i="64"/>
  <c r="L511" i="64"/>
  <c r="K511" i="64"/>
  <c r="J511" i="64"/>
  <c r="I511" i="64"/>
  <c r="M509" i="64"/>
  <c r="L509" i="64"/>
  <c r="K509" i="64"/>
  <c r="J509" i="64"/>
  <c r="I509" i="64"/>
  <c r="M508" i="64"/>
  <c r="L508" i="64"/>
  <c r="K508" i="64"/>
  <c r="J508" i="64"/>
  <c r="I508" i="64"/>
  <c r="M506" i="64"/>
  <c r="L506" i="64"/>
  <c r="K506" i="64"/>
  <c r="J506" i="64"/>
  <c r="I506" i="64"/>
  <c r="M505" i="64"/>
  <c r="L505" i="64"/>
  <c r="K505" i="64"/>
  <c r="J505" i="64"/>
  <c r="I505" i="64"/>
  <c r="M503" i="64"/>
  <c r="L503" i="64"/>
  <c r="K503" i="64"/>
  <c r="J503" i="64"/>
  <c r="I503" i="64"/>
  <c r="M502" i="64"/>
  <c r="L502" i="64"/>
  <c r="K502" i="64"/>
  <c r="J502" i="64"/>
  <c r="I502" i="64"/>
  <c r="M501" i="64"/>
  <c r="L501" i="64"/>
  <c r="K501" i="64"/>
  <c r="J501" i="64"/>
  <c r="I501" i="64"/>
  <c r="M500" i="64"/>
  <c r="L500" i="64"/>
  <c r="K500" i="64"/>
  <c r="J500" i="64"/>
  <c r="I500" i="64"/>
  <c r="M498" i="64"/>
  <c r="L498" i="64"/>
  <c r="K498" i="64"/>
  <c r="J498" i="64"/>
  <c r="I498" i="64"/>
  <c r="M497" i="64"/>
  <c r="L497" i="64"/>
  <c r="K497" i="64"/>
  <c r="J497" i="64"/>
  <c r="I497" i="64"/>
  <c r="M495" i="64"/>
  <c r="L495" i="64"/>
  <c r="K495" i="64"/>
  <c r="J495" i="64"/>
  <c r="I495" i="64"/>
  <c r="M491" i="64"/>
  <c r="K491" i="64"/>
  <c r="I491" i="64"/>
  <c r="G491" i="64"/>
  <c r="F491" i="64"/>
  <c r="N488" i="64"/>
  <c r="M488" i="64"/>
  <c r="L488" i="64"/>
  <c r="K488" i="64"/>
  <c r="J488" i="64"/>
  <c r="I488" i="64"/>
  <c r="H488" i="64"/>
  <c r="M487" i="64"/>
  <c r="L487" i="64"/>
  <c r="K487" i="64"/>
  <c r="J487" i="64"/>
  <c r="I487" i="64"/>
  <c r="H487" i="64"/>
  <c r="M484" i="64"/>
  <c r="L484" i="64"/>
  <c r="K484" i="64"/>
  <c r="J484" i="64"/>
  <c r="I484" i="64"/>
  <c r="H484" i="64"/>
  <c r="G484" i="64"/>
  <c r="M483" i="64"/>
  <c r="M482" i="64"/>
  <c r="L482" i="64"/>
  <c r="K482" i="64"/>
  <c r="P484" i="64" s="1"/>
  <c r="J482" i="64"/>
  <c r="I482" i="64"/>
  <c r="H482" i="64"/>
  <c r="G482" i="64"/>
  <c r="F482" i="64"/>
  <c r="E482" i="64"/>
  <c r="I479" i="64"/>
  <c r="M452" i="64"/>
  <c r="L452" i="64"/>
  <c r="K452" i="64"/>
  <c r="J452" i="64"/>
  <c r="I452" i="64"/>
  <c r="M451" i="64"/>
  <c r="L451" i="64"/>
  <c r="K451" i="64"/>
  <c r="J451" i="64"/>
  <c r="I451" i="64"/>
  <c r="M450" i="64"/>
  <c r="L450" i="64"/>
  <c r="K450" i="64"/>
  <c r="J450" i="64"/>
  <c r="I450" i="64"/>
  <c r="M449" i="64"/>
  <c r="L449" i="64"/>
  <c r="K449" i="64"/>
  <c r="J449" i="64"/>
  <c r="I449" i="64"/>
  <c r="M448" i="64"/>
  <c r="L448" i="64"/>
  <c r="K448" i="64"/>
  <c r="J448" i="64"/>
  <c r="I448" i="64"/>
  <c r="M447" i="64"/>
  <c r="L447" i="64"/>
  <c r="K447" i="64"/>
  <c r="J447" i="64"/>
  <c r="I447" i="64"/>
  <c r="L444" i="64"/>
  <c r="M435" i="64"/>
  <c r="L435" i="64"/>
  <c r="K435" i="64"/>
  <c r="J435" i="64"/>
  <c r="I435" i="64"/>
  <c r="E434" i="64"/>
  <c r="E433" i="64"/>
  <c r="E432" i="64"/>
  <c r="E431" i="64"/>
  <c r="E430" i="64"/>
  <c r="E429" i="64"/>
  <c r="E428" i="64"/>
  <c r="E427" i="64"/>
  <c r="E425" i="64"/>
  <c r="M421" i="64"/>
  <c r="L421" i="64"/>
  <c r="K421" i="64"/>
  <c r="J421" i="64"/>
  <c r="I421" i="64"/>
  <c r="E408" i="64"/>
  <c r="E407" i="64"/>
  <c r="E406" i="64"/>
  <c r="E405" i="64"/>
  <c r="E404" i="64"/>
  <c r="E403" i="64"/>
  <c r="E402" i="64"/>
  <c r="E401" i="64"/>
  <c r="E400" i="64"/>
  <c r="E399" i="64"/>
  <c r="M392" i="64"/>
  <c r="L392" i="64"/>
  <c r="K392" i="64"/>
  <c r="J392" i="64"/>
  <c r="I392" i="64"/>
  <c r="M391" i="64"/>
  <c r="L391" i="64"/>
  <c r="K391" i="64"/>
  <c r="J391" i="64"/>
  <c r="I391" i="64"/>
  <c r="M390" i="64"/>
  <c r="L390" i="64"/>
  <c r="K390" i="64"/>
  <c r="J390" i="64"/>
  <c r="I390" i="64"/>
  <c r="M389" i="64"/>
  <c r="L389" i="64"/>
  <c r="K389" i="64"/>
  <c r="J389" i="64"/>
  <c r="I389" i="64"/>
  <c r="E391" i="64"/>
  <c r="E390" i="64"/>
  <c r="E389" i="64"/>
  <c r="M385" i="64"/>
  <c r="L385" i="64"/>
  <c r="K385" i="64"/>
  <c r="J385" i="64"/>
  <c r="I385" i="64"/>
  <c r="M384" i="64"/>
  <c r="L384" i="64"/>
  <c r="K384" i="64"/>
  <c r="J384" i="64"/>
  <c r="I384" i="64"/>
  <c r="M383" i="64"/>
  <c r="L383" i="64"/>
  <c r="K383" i="64"/>
  <c r="J383" i="64"/>
  <c r="I383" i="64"/>
  <c r="M382" i="64"/>
  <c r="L382" i="64"/>
  <c r="K382" i="64"/>
  <c r="J382" i="64"/>
  <c r="I382" i="64"/>
  <c r="E384" i="64"/>
  <c r="E383" i="64"/>
  <c r="E382" i="64"/>
  <c r="M375" i="64"/>
  <c r="L375" i="64"/>
  <c r="K375" i="64"/>
  <c r="J375" i="64"/>
  <c r="I375" i="64"/>
  <c r="M374" i="64"/>
  <c r="L374" i="64"/>
  <c r="K374" i="64"/>
  <c r="J374" i="64"/>
  <c r="I374" i="64"/>
  <c r="M373" i="64"/>
  <c r="L373" i="64"/>
  <c r="K373" i="64"/>
  <c r="J373" i="64"/>
  <c r="I373" i="64"/>
  <c r="E368" i="64"/>
  <c r="E367" i="64"/>
  <c r="E366" i="64"/>
  <c r="E365" i="64"/>
  <c r="E364" i="64"/>
  <c r="E363" i="64"/>
  <c r="E362" i="64"/>
  <c r="E361" i="64"/>
  <c r="E360" i="64"/>
  <c r="E359" i="64"/>
  <c r="M353" i="64"/>
  <c r="L353" i="64"/>
  <c r="K353" i="64"/>
  <c r="J353" i="64"/>
  <c r="I353" i="64"/>
  <c r="M352" i="64"/>
  <c r="L352" i="64"/>
  <c r="K352" i="64"/>
  <c r="J352" i="64"/>
  <c r="I352" i="64"/>
  <c r="M351" i="64"/>
  <c r="L351" i="64"/>
  <c r="K351" i="64"/>
  <c r="J351" i="64"/>
  <c r="I351" i="64"/>
  <c r="M347" i="64"/>
  <c r="L347" i="64"/>
  <c r="K347" i="64"/>
  <c r="J347" i="64"/>
  <c r="I347" i="64"/>
  <c r="M343" i="64"/>
  <c r="L343" i="64"/>
  <c r="K343" i="64"/>
  <c r="J343" i="64"/>
  <c r="I343" i="64"/>
  <c r="M340" i="64"/>
  <c r="L340" i="64"/>
  <c r="K340" i="64"/>
  <c r="J340" i="64"/>
  <c r="I340" i="64"/>
  <c r="M339" i="64"/>
  <c r="L339" i="64"/>
  <c r="K339" i="64"/>
  <c r="J339" i="64"/>
  <c r="I339" i="64"/>
  <c r="M335" i="64"/>
  <c r="L335" i="64"/>
  <c r="K335" i="64"/>
  <c r="J335" i="64"/>
  <c r="I335" i="64"/>
  <c r="M334" i="64"/>
  <c r="L334" i="64"/>
  <c r="K334" i="64"/>
  <c r="J334" i="64"/>
  <c r="I334" i="64"/>
  <c r="M333" i="64"/>
  <c r="L333" i="64"/>
  <c r="K333" i="64"/>
  <c r="J333" i="64"/>
  <c r="I333" i="64"/>
  <c r="M332" i="64"/>
  <c r="L332" i="64"/>
  <c r="K332" i="64"/>
  <c r="J332" i="64"/>
  <c r="I332" i="64"/>
  <c r="M331" i="64"/>
  <c r="L331" i="64"/>
  <c r="K331" i="64"/>
  <c r="J331" i="64"/>
  <c r="I331" i="64"/>
  <c r="M330" i="64"/>
  <c r="L330" i="64"/>
  <c r="K330" i="64"/>
  <c r="J330" i="64"/>
  <c r="I330" i="64"/>
  <c r="E334" i="64"/>
  <c r="E333" i="64"/>
  <c r="E332" i="64"/>
  <c r="E331" i="64"/>
  <c r="E330" i="64"/>
  <c r="M326" i="64"/>
  <c r="L326" i="64"/>
  <c r="K326" i="64"/>
  <c r="J326" i="64"/>
  <c r="I326" i="64"/>
  <c r="M323" i="64"/>
  <c r="L323" i="64"/>
  <c r="K323" i="64"/>
  <c r="J323" i="64"/>
  <c r="I323" i="64"/>
  <c r="M320" i="64"/>
  <c r="L320" i="64"/>
  <c r="K320" i="64"/>
  <c r="J320" i="64"/>
  <c r="I320" i="64"/>
  <c r="M319" i="64"/>
  <c r="L319" i="64"/>
  <c r="K319" i="64"/>
  <c r="J319" i="64"/>
  <c r="I319" i="64"/>
  <c r="M317" i="64"/>
  <c r="L317" i="64"/>
  <c r="K317" i="64"/>
  <c r="J317" i="64"/>
  <c r="I317" i="64"/>
  <c r="M312" i="64"/>
  <c r="L312" i="64"/>
  <c r="K312" i="64"/>
  <c r="J312" i="64"/>
  <c r="I312" i="64"/>
  <c r="M311" i="64"/>
  <c r="L311" i="64"/>
  <c r="K311" i="64"/>
  <c r="J311" i="64"/>
  <c r="I311" i="64"/>
  <c r="M310" i="64"/>
  <c r="L310" i="64"/>
  <c r="K310" i="64"/>
  <c r="J310" i="64"/>
  <c r="I310" i="64"/>
  <c r="M309" i="64"/>
  <c r="L309" i="64"/>
  <c r="K309" i="64"/>
  <c r="J309" i="64"/>
  <c r="I309" i="64"/>
  <c r="M308" i="64"/>
  <c r="L308" i="64"/>
  <c r="K308" i="64"/>
  <c r="J308" i="64"/>
  <c r="I308" i="64"/>
  <c r="M307" i="64"/>
  <c r="L307" i="64"/>
  <c r="K307" i="64"/>
  <c r="J307" i="64"/>
  <c r="I307" i="64"/>
  <c r="E311" i="64"/>
  <c r="E310" i="64"/>
  <c r="E309" i="64"/>
  <c r="E308" i="64"/>
  <c r="E307" i="64"/>
  <c r="M294" i="64"/>
  <c r="L294" i="64"/>
  <c r="K294" i="64"/>
  <c r="J294" i="64"/>
  <c r="I294" i="64"/>
  <c r="M293" i="64"/>
  <c r="L293" i="64"/>
  <c r="K293" i="64"/>
  <c r="J293" i="64"/>
  <c r="I293" i="64"/>
  <c r="M292" i="64"/>
  <c r="L292" i="64"/>
  <c r="K292" i="64"/>
  <c r="J292" i="64"/>
  <c r="I292" i="64"/>
  <c r="M291" i="64"/>
  <c r="L291" i="64"/>
  <c r="K291" i="64"/>
  <c r="J291" i="64"/>
  <c r="I291" i="64"/>
  <c r="M290" i="64"/>
  <c r="L290" i="64"/>
  <c r="K290" i="64"/>
  <c r="J290" i="64"/>
  <c r="I290" i="64"/>
  <c r="M289" i="64"/>
  <c r="L289" i="64"/>
  <c r="K289" i="64"/>
  <c r="J289" i="64"/>
  <c r="I289" i="64"/>
  <c r="M288" i="64"/>
  <c r="L288" i="64"/>
  <c r="K288" i="64"/>
  <c r="J288" i="64"/>
  <c r="I288" i="64"/>
  <c r="M287" i="64"/>
  <c r="L287" i="64"/>
  <c r="K287" i="64"/>
  <c r="J287" i="64"/>
  <c r="I287" i="64"/>
  <c r="M286" i="64"/>
  <c r="L286" i="64"/>
  <c r="K286" i="64"/>
  <c r="J286" i="64"/>
  <c r="I286" i="64"/>
  <c r="M285" i="64"/>
  <c r="L285" i="64"/>
  <c r="K285" i="64"/>
  <c r="J285" i="64"/>
  <c r="I285" i="64"/>
  <c r="M284" i="64"/>
  <c r="L284" i="64"/>
  <c r="K284" i="64"/>
  <c r="J284" i="64"/>
  <c r="I284" i="64"/>
  <c r="E293" i="64"/>
  <c r="E292" i="64"/>
  <c r="E291" i="64"/>
  <c r="E290" i="64"/>
  <c r="E289" i="64"/>
  <c r="E288" i="64"/>
  <c r="E287" i="64"/>
  <c r="E286" i="64"/>
  <c r="E285" i="64"/>
  <c r="E284" i="64"/>
  <c r="M280" i="64"/>
  <c r="L280" i="64"/>
  <c r="K280" i="64"/>
  <c r="J280" i="64"/>
  <c r="I280" i="64"/>
  <c r="M279" i="64"/>
  <c r="L279" i="64"/>
  <c r="K279" i="64"/>
  <c r="J279" i="64"/>
  <c r="I279" i="64"/>
  <c r="M278" i="64"/>
  <c r="L278" i="64"/>
  <c r="K278" i="64"/>
  <c r="J278" i="64"/>
  <c r="I278" i="64"/>
  <c r="M274" i="64"/>
  <c r="L274" i="64"/>
  <c r="K274" i="64"/>
  <c r="J274" i="64"/>
  <c r="I274" i="64"/>
  <c r="M271" i="64"/>
  <c r="L271" i="64"/>
  <c r="K271" i="64"/>
  <c r="J271" i="64"/>
  <c r="I271" i="64"/>
  <c r="M268" i="64"/>
  <c r="L268" i="64"/>
  <c r="K268" i="64"/>
  <c r="J268" i="64"/>
  <c r="I268" i="64"/>
  <c r="M265" i="64"/>
  <c r="L265" i="64"/>
  <c r="K265" i="64"/>
  <c r="J265" i="64"/>
  <c r="I265" i="64"/>
  <c r="M264" i="64"/>
  <c r="L264" i="64"/>
  <c r="K264" i="64"/>
  <c r="J264" i="64"/>
  <c r="I264" i="64"/>
  <c r="M263" i="64"/>
  <c r="L263" i="64"/>
  <c r="K263" i="64"/>
  <c r="J263" i="64"/>
  <c r="I263" i="64"/>
  <c r="M262" i="64"/>
  <c r="L262" i="64"/>
  <c r="K262" i="64"/>
  <c r="J262" i="64"/>
  <c r="I262" i="64"/>
  <c r="E264" i="64"/>
  <c r="E263" i="64"/>
  <c r="E262" i="64"/>
  <c r="M258" i="64"/>
  <c r="L258" i="64"/>
  <c r="K258" i="64"/>
  <c r="J258" i="64"/>
  <c r="I258" i="64"/>
  <c r="M257" i="64"/>
  <c r="L257" i="64"/>
  <c r="K257" i="64"/>
  <c r="J257" i="64"/>
  <c r="I257" i="64"/>
  <c r="M256" i="64"/>
  <c r="L256" i="64"/>
  <c r="K256" i="64"/>
  <c r="J256" i="64"/>
  <c r="I256" i="64"/>
  <c r="M255" i="64"/>
  <c r="L255" i="64"/>
  <c r="K255" i="64"/>
  <c r="J255" i="64"/>
  <c r="I255" i="64"/>
  <c r="E257" i="64"/>
  <c r="E256" i="64"/>
  <c r="E255" i="64"/>
  <c r="M251" i="64"/>
  <c r="L251" i="64"/>
  <c r="K251" i="64"/>
  <c r="J251" i="64"/>
  <c r="I251" i="64"/>
  <c r="E240" i="64"/>
  <c r="E238" i="64"/>
  <c r="E237" i="64"/>
  <c r="E236" i="64"/>
  <c r="E235" i="64"/>
  <c r="E234" i="64"/>
  <c r="E233" i="64"/>
  <c r="E232" i="64"/>
  <c r="E231" i="64"/>
  <c r="M240" i="64"/>
  <c r="L240" i="64"/>
  <c r="K240" i="64"/>
  <c r="J240" i="64"/>
  <c r="I240" i="64"/>
  <c r="M236" i="64"/>
  <c r="L236" i="64"/>
  <c r="K236" i="64"/>
  <c r="J236" i="64"/>
  <c r="I236" i="64"/>
  <c r="L234" i="64"/>
  <c r="K234" i="64"/>
  <c r="K233" i="64"/>
  <c r="M232" i="64"/>
  <c r="L232" i="64"/>
  <c r="K232" i="64"/>
  <c r="J232" i="64"/>
  <c r="I232" i="64"/>
  <c r="M231" i="64"/>
  <c r="L231" i="64"/>
  <c r="K231" i="64"/>
  <c r="J231" i="64"/>
  <c r="I231" i="64"/>
  <c r="M228" i="64"/>
  <c r="L228" i="64"/>
  <c r="K228" i="64"/>
  <c r="J228" i="64"/>
  <c r="I228" i="64"/>
  <c r="M227" i="64"/>
  <c r="L227" i="64"/>
  <c r="K227" i="64"/>
  <c r="J227" i="64"/>
  <c r="I227" i="64"/>
  <c r="M226" i="64"/>
  <c r="L226" i="64"/>
  <c r="K226" i="64"/>
  <c r="J226" i="64"/>
  <c r="I226" i="64"/>
  <c r="M225" i="64"/>
  <c r="L225" i="64"/>
  <c r="K225" i="64"/>
  <c r="J225" i="64"/>
  <c r="I225" i="64"/>
  <c r="M224" i="64"/>
  <c r="L224" i="64"/>
  <c r="K224" i="64"/>
  <c r="J224" i="64"/>
  <c r="I224" i="64"/>
  <c r="M223" i="64"/>
  <c r="L223" i="64"/>
  <c r="K223" i="64"/>
  <c r="J223" i="64"/>
  <c r="I223" i="64"/>
  <c r="N218" i="64"/>
  <c r="K218" i="64"/>
  <c r="M216" i="64"/>
  <c r="L216" i="64"/>
  <c r="K216" i="64"/>
  <c r="J216" i="64"/>
  <c r="I216" i="64"/>
  <c r="M215" i="64"/>
  <c r="L215" i="64"/>
  <c r="K215" i="64"/>
  <c r="J215" i="64"/>
  <c r="I215" i="64"/>
  <c r="M214" i="64"/>
  <c r="L214" i="64"/>
  <c r="K214" i="64"/>
  <c r="J214" i="64"/>
  <c r="I214" i="64"/>
  <c r="M213" i="64"/>
  <c r="L213" i="64"/>
  <c r="K213" i="64"/>
  <c r="J213" i="64"/>
  <c r="I213" i="64"/>
  <c r="M212" i="64"/>
  <c r="L212" i="64"/>
  <c r="K212" i="64"/>
  <c r="J212" i="64"/>
  <c r="I212" i="64"/>
  <c r="M211" i="64"/>
  <c r="L211" i="64"/>
  <c r="K211" i="64"/>
  <c r="J211" i="64"/>
  <c r="I211" i="64"/>
  <c r="H209" i="64"/>
  <c r="L208" i="64"/>
  <c r="N206" i="64"/>
  <c r="K206" i="64"/>
  <c r="M204" i="64"/>
  <c r="L204" i="64"/>
  <c r="K204" i="64"/>
  <c r="J204" i="64"/>
  <c r="I204" i="64"/>
  <c r="M203" i="64"/>
  <c r="L203" i="64"/>
  <c r="K203" i="64"/>
  <c r="J203" i="64"/>
  <c r="I203" i="64"/>
  <c r="M202" i="64"/>
  <c r="L202" i="64"/>
  <c r="K202" i="64"/>
  <c r="J202" i="64"/>
  <c r="I202" i="64"/>
  <c r="M201" i="64"/>
  <c r="L201" i="64"/>
  <c r="K201" i="64"/>
  <c r="J201" i="64"/>
  <c r="I201" i="64"/>
  <c r="M200" i="64"/>
  <c r="L200" i="64"/>
  <c r="K200" i="64"/>
  <c r="J200" i="64"/>
  <c r="I200" i="64"/>
  <c r="M199" i="64"/>
  <c r="L199" i="64"/>
  <c r="K199" i="64"/>
  <c r="J199" i="64"/>
  <c r="I199" i="64"/>
  <c r="H197" i="64"/>
  <c r="L196" i="64"/>
  <c r="M192" i="64"/>
  <c r="L192" i="64"/>
  <c r="K192" i="64"/>
  <c r="J192" i="64"/>
  <c r="I192" i="64"/>
  <c r="M191" i="64"/>
  <c r="L191" i="64"/>
  <c r="K191" i="64"/>
  <c r="J191" i="64"/>
  <c r="I191" i="64"/>
  <c r="M189" i="64"/>
  <c r="L189" i="64"/>
  <c r="K189" i="64"/>
  <c r="J189" i="64"/>
  <c r="I189" i="64"/>
  <c r="M188" i="64"/>
  <c r="L188" i="64"/>
  <c r="K188" i="64"/>
  <c r="J188" i="64"/>
  <c r="I188" i="64"/>
  <c r="M185" i="64"/>
  <c r="L185" i="64"/>
  <c r="K185" i="64"/>
  <c r="J185" i="64"/>
  <c r="I185" i="64"/>
  <c r="M184" i="64"/>
  <c r="L184" i="64"/>
  <c r="K184" i="64"/>
  <c r="J184" i="64"/>
  <c r="I184" i="64"/>
  <c r="M183" i="64"/>
  <c r="L183" i="64"/>
  <c r="K183" i="64"/>
  <c r="J183" i="64"/>
  <c r="I183" i="64"/>
  <c r="M182" i="64"/>
  <c r="L182" i="64"/>
  <c r="K182" i="64"/>
  <c r="J182" i="64"/>
  <c r="I182" i="64"/>
  <c r="M179" i="64"/>
  <c r="L179" i="64"/>
  <c r="K179" i="64"/>
  <c r="J179" i="64"/>
  <c r="I179" i="64"/>
  <c r="M178" i="64"/>
  <c r="L178" i="64"/>
  <c r="K178" i="64"/>
  <c r="J178" i="64"/>
  <c r="I178" i="64"/>
  <c r="M177" i="64"/>
  <c r="L177" i="64"/>
  <c r="K177" i="64"/>
  <c r="J177" i="64"/>
  <c r="I177" i="64"/>
  <c r="M174" i="64"/>
  <c r="L174" i="64"/>
  <c r="K174" i="64"/>
  <c r="J174" i="64"/>
  <c r="I174" i="64"/>
  <c r="M173" i="64"/>
  <c r="L173" i="64"/>
  <c r="K173" i="64"/>
  <c r="J173" i="64"/>
  <c r="I173" i="64"/>
  <c r="M172" i="64"/>
  <c r="L172" i="64"/>
  <c r="K172" i="64"/>
  <c r="J172" i="64"/>
  <c r="I172" i="64"/>
  <c r="M169" i="64"/>
  <c r="M167" i="64"/>
  <c r="L167" i="64"/>
  <c r="K167" i="64"/>
  <c r="I167" i="64"/>
  <c r="M166" i="64"/>
  <c r="L166" i="64"/>
  <c r="K166" i="64"/>
  <c r="I166" i="64"/>
  <c r="M164" i="64"/>
  <c r="L164" i="64"/>
  <c r="K164" i="64"/>
  <c r="J164" i="64"/>
  <c r="I164" i="64"/>
  <c r="M163" i="64"/>
  <c r="L163" i="64"/>
  <c r="K163" i="64"/>
  <c r="J163" i="64"/>
  <c r="I163" i="64"/>
  <c r="M160" i="64"/>
  <c r="L160" i="64"/>
  <c r="K160" i="64"/>
  <c r="J160" i="64"/>
  <c r="I160" i="64"/>
  <c r="M159" i="64"/>
  <c r="L159" i="64"/>
  <c r="K159" i="64"/>
  <c r="J159" i="64"/>
  <c r="I159" i="64"/>
  <c r="M158" i="64"/>
  <c r="L158" i="64"/>
  <c r="K158" i="64"/>
  <c r="J158" i="64"/>
  <c r="I158" i="64"/>
  <c r="M157" i="64"/>
  <c r="L157" i="64"/>
  <c r="K157" i="64"/>
  <c r="J157" i="64"/>
  <c r="I157" i="64"/>
  <c r="M154" i="64"/>
  <c r="L154" i="64"/>
  <c r="K154" i="64"/>
  <c r="J154" i="64"/>
  <c r="I154" i="64"/>
  <c r="M153" i="64"/>
  <c r="L153" i="64"/>
  <c r="K153" i="64"/>
  <c r="J153" i="64"/>
  <c r="I153" i="64"/>
  <c r="M152" i="64"/>
  <c r="L152" i="64"/>
  <c r="K152" i="64"/>
  <c r="J152" i="64"/>
  <c r="I152" i="64"/>
  <c r="M149" i="64"/>
  <c r="L149" i="64"/>
  <c r="K149" i="64"/>
  <c r="J149" i="64"/>
  <c r="I149" i="64"/>
  <c r="M148" i="64"/>
  <c r="L148" i="64"/>
  <c r="K148" i="64"/>
  <c r="J148" i="64"/>
  <c r="I148" i="64"/>
  <c r="M147" i="64"/>
  <c r="L147" i="64"/>
  <c r="K147" i="64"/>
  <c r="J147" i="64"/>
  <c r="I147" i="64"/>
  <c r="M144" i="64"/>
  <c r="E132" i="64"/>
  <c r="E131" i="64"/>
  <c r="E130" i="64"/>
  <c r="E129" i="64"/>
  <c r="E128" i="64"/>
  <c r="E127" i="64"/>
  <c r="E126" i="64"/>
  <c r="E125" i="64"/>
  <c r="E124" i="64"/>
  <c r="E123" i="64"/>
  <c r="M140" i="64"/>
  <c r="L140" i="64"/>
  <c r="K140" i="64"/>
  <c r="J140" i="64"/>
  <c r="I140" i="64"/>
  <c r="M139" i="64"/>
  <c r="L139" i="64"/>
  <c r="K139" i="64"/>
  <c r="J139" i="64"/>
  <c r="I139" i="64"/>
  <c r="M138" i="64"/>
  <c r="L138" i="64"/>
  <c r="K138" i="64"/>
  <c r="J138" i="64"/>
  <c r="I138" i="64"/>
  <c r="M137" i="64"/>
  <c r="L137" i="64"/>
  <c r="K137" i="64"/>
  <c r="J137" i="64"/>
  <c r="I137" i="64"/>
  <c r="M136" i="64"/>
  <c r="L136" i="64"/>
  <c r="K136" i="64"/>
  <c r="J136" i="64"/>
  <c r="I136" i="64"/>
  <c r="M135" i="64"/>
  <c r="L135" i="64"/>
  <c r="K135" i="64"/>
  <c r="J135" i="64"/>
  <c r="I135" i="64"/>
  <c r="M134" i="64"/>
  <c r="L134" i="64"/>
  <c r="K134" i="64"/>
  <c r="J134" i="64"/>
  <c r="I134" i="64"/>
  <c r="M133" i="64"/>
  <c r="L133" i="64"/>
  <c r="K133" i="64"/>
  <c r="J133" i="64"/>
  <c r="I133" i="64"/>
  <c r="M132" i="64"/>
  <c r="L132" i="64"/>
  <c r="K132" i="64"/>
  <c r="J132" i="64"/>
  <c r="I132" i="64"/>
  <c r="M131" i="64"/>
  <c r="L131" i="64"/>
  <c r="K131" i="64"/>
  <c r="J131" i="64"/>
  <c r="I131" i="64"/>
  <c r="M130" i="64"/>
  <c r="L130" i="64"/>
  <c r="K130" i="64"/>
  <c r="J130" i="64"/>
  <c r="I130" i="64"/>
  <c r="M129" i="64"/>
  <c r="L129" i="64"/>
  <c r="K129" i="64"/>
  <c r="J129" i="64"/>
  <c r="M128" i="64"/>
  <c r="L128" i="64"/>
  <c r="K128" i="64"/>
  <c r="J128" i="64"/>
  <c r="I128" i="64"/>
  <c r="M127" i="64"/>
  <c r="L127" i="64"/>
  <c r="K127" i="64"/>
  <c r="J127" i="64"/>
  <c r="I127" i="64"/>
  <c r="M126" i="64"/>
  <c r="L126" i="64"/>
  <c r="K126" i="64"/>
  <c r="J126" i="64"/>
  <c r="I126" i="64"/>
  <c r="M125" i="64"/>
  <c r="L125" i="64"/>
  <c r="K125" i="64"/>
  <c r="J125" i="64"/>
  <c r="M124" i="64"/>
  <c r="L124" i="64"/>
  <c r="K124" i="64"/>
  <c r="J124" i="64"/>
  <c r="I124" i="64"/>
  <c r="M123" i="64"/>
  <c r="L123" i="64"/>
  <c r="K123" i="64"/>
  <c r="J123" i="64"/>
  <c r="I123" i="64"/>
  <c r="M120" i="64"/>
  <c r="L120" i="64"/>
  <c r="K120" i="64"/>
  <c r="J120" i="64"/>
  <c r="I120" i="64"/>
  <c r="M119" i="64"/>
  <c r="L119" i="64"/>
  <c r="K119" i="64"/>
  <c r="J119" i="64"/>
  <c r="I119" i="64"/>
  <c r="M118" i="64"/>
  <c r="L118" i="64"/>
  <c r="K118" i="64"/>
  <c r="J118" i="64"/>
  <c r="I118" i="64"/>
  <c r="M117" i="64"/>
  <c r="L117" i="64"/>
  <c r="K117" i="64"/>
  <c r="J117" i="64"/>
  <c r="I117" i="64"/>
  <c r="M116" i="64"/>
  <c r="L116" i="64"/>
  <c r="K116" i="64"/>
  <c r="J116" i="64"/>
  <c r="I116" i="64"/>
  <c r="M115" i="64"/>
  <c r="L115" i="64"/>
  <c r="K115" i="64"/>
  <c r="J115" i="64"/>
  <c r="I115" i="64"/>
  <c r="M114" i="64"/>
  <c r="L114" i="64"/>
  <c r="K114" i="64"/>
  <c r="J114" i="64"/>
  <c r="I114" i="64"/>
  <c r="M113" i="64"/>
  <c r="L113" i="64"/>
  <c r="K113" i="64"/>
  <c r="J113" i="64"/>
  <c r="I113" i="64"/>
  <c r="M112" i="64"/>
  <c r="L112" i="64"/>
  <c r="K112" i="64"/>
  <c r="J112" i="64"/>
  <c r="I112" i="64"/>
  <c r="M111" i="64"/>
  <c r="L111" i="64"/>
  <c r="K111" i="64"/>
  <c r="J111" i="64"/>
  <c r="I111" i="64"/>
  <c r="M110" i="64"/>
  <c r="L110" i="64"/>
  <c r="K110" i="64"/>
  <c r="J110" i="64"/>
  <c r="I110" i="64"/>
  <c r="M109" i="64"/>
  <c r="L109" i="64"/>
  <c r="K109" i="64"/>
  <c r="J109" i="64"/>
  <c r="I109" i="64"/>
  <c r="M108" i="64"/>
  <c r="L108" i="64"/>
  <c r="K108" i="64"/>
  <c r="J108" i="64"/>
  <c r="I108" i="64"/>
  <c r="M107" i="64"/>
  <c r="L107" i="64"/>
  <c r="K107" i="64"/>
  <c r="J107" i="64"/>
  <c r="I107" i="64"/>
  <c r="M106" i="64"/>
  <c r="L106" i="64"/>
  <c r="K106" i="64"/>
  <c r="J106" i="64"/>
  <c r="I106" i="64"/>
  <c r="M105" i="64"/>
  <c r="L105" i="64"/>
  <c r="K105" i="64"/>
  <c r="J105" i="64"/>
  <c r="I105" i="64"/>
  <c r="M104" i="64"/>
  <c r="L104" i="64"/>
  <c r="K104" i="64"/>
  <c r="J104" i="64"/>
  <c r="I104" i="64"/>
  <c r="M103" i="64"/>
  <c r="L103" i="64"/>
  <c r="K103" i="64"/>
  <c r="J103" i="64"/>
  <c r="I103" i="64"/>
  <c r="E112" i="64"/>
  <c r="E111" i="64"/>
  <c r="E110" i="64"/>
  <c r="E109" i="64"/>
  <c r="E108" i="64"/>
  <c r="E107" i="64"/>
  <c r="E106" i="64"/>
  <c r="E105" i="64"/>
  <c r="E104" i="64"/>
  <c r="E103" i="64"/>
  <c r="M82" i="64"/>
  <c r="L82" i="64"/>
  <c r="K82" i="64"/>
  <c r="I82" i="64"/>
  <c r="M81" i="64"/>
  <c r="L81" i="64"/>
  <c r="K81" i="64"/>
  <c r="J81" i="64"/>
  <c r="I81" i="64"/>
  <c r="M80" i="64"/>
  <c r="L80" i="64"/>
  <c r="K80" i="64"/>
  <c r="J80" i="64"/>
  <c r="I80" i="64"/>
  <c r="M79" i="64"/>
  <c r="L79" i="64"/>
  <c r="J79" i="64"/>
  <c r="I79" i="64"/>
  <c r="M78" i="64"/>
  <c r="L78" i="64"/>
  <c r="K78" i="64"/>
  <c r="J78" i="64"/>
  <c r="I78" i="64"/>
  <c r="M77" i="64"/>
  <c r="L77" i="64"/>
  <c r="K77" i="64"/>
  <c r="J77" i="64"/>
  <c r="I77" i="64"/>
  <c r="M76" i="64"/>
  <c r="L76" i="64"/>
  <c r="K76" i="64"/>
  <c r="J76" i="64"/>
  <c r="I76" i="64"/>
  <c r="M75" i="64"/>
  <c r="L75" i="64"/>
  <c r="K75" i="64"/>
  <c r="J75" i="64"/>
  <c r="I75" i="64"/>
  <c r="M68" i="64"/>
  <c r="L68" i="64"/>
  <c r="K68" i="64"/>
  <c r="J68" i="64"/>
  <c r="I68" i="64"/>
  <c r="M64" i="64"/>
  <c r="E62" i="64"/>
  <c r="E61" i="64"/>
  <c r="M59" i="64"/>
  <c r="M267" i="43" s="1"/>
  <c r="M269" i="43" s="1"/>
  <c r="M58" i="64"/>
  <c r="M259" i="43" s="1"/>
  <c r="M261" i="43" s="1"/>
  <c r="I59" i="64"/>
  <c r="I58" i="64"/>
  <c r="M254" i="43" s="1"/>
  <c r="M256" i="43" s="1"/>
  <c r="L46" i="64"/>
  <c r="I46" i="64"/>
  <c r="L45" i="64"/>
  <c r="I45" i="64"/>
  <c r="L44" i="64"/>
  <c r="I44" i="64"/>
  <c r="L43" i="64"/>
  <c r="I43" i="64"/>
  <c r="E46" i="64"/>
  <c r="E45" i="64"/>
  <c r="E44" i="64"/>
  <c r="E43" i="64"/>
  <c r="F39" i="64"/>
  <c r="F220" i="43" s="1"/>
  <c r="F38" i="64"/>
  <c r="F219" i="43" s="1"/>
  <c r="F37" i="64"/>
  <c r="F218" i="43" s="1"/>
  <c r="F36" i="64"/>
  <c r="F217" i="43" s="1"/>
  <c r="F35" i="64"/>
  <c r="F216" i="43" s="1"/>
  <c r="F34" i="64"/>
  <c r="F215" i="43" s="1"/>
  <c r="M31" i="64"/>
  <c r="L244" i="43" s="1"/>
  <c r="L246" i="43" s="1"/>
  <c r="M19" i="50" s="1"/>
  <c r="M30" i="64"/>
  <c r="M29" i="64"/>
  <c r="M28" i="64"/>
  <c r="M27" i="64"/>
  <c r="M22" i="64"/>
  <c r="J51" i="43" s="1"/>
  <c r="H31" i="64"/>
  <c r="L240" i="43" s="1"/>
  <c r="L242" i="43" s="1"/>
  <c r="M18" i="50" s="1"/>
  <c r="H29" i="64"/>
  <c r="J75" i="43" s="1"/>
  <c r="J77" i="43" s="1"/>
  <c r="H19" i="50" s="1"/>
  <c r="H28" i="64"/>
  <c r="H27" i="64"/>
  <c r="H25" i="64"/>
  <c r="H24" i="64"/>
  <c r="H23" i="64"/>
  <c r="J70" i="43" s="1"/>
  <c r="J72" i="43" s="1"/>
  <c r="H22" i="64"/>
  <c r="Z399" i="42"/>
  <c r="Y399" i="42"/>
  <c r="X399" i="42"/>
  <c r="W399" i="42"/>
  <c r="V399" i="42"/>
  <c r="U399" i="42"/>
  <c r="T399" i="42"/>
  <c r="Z395" i="42"/>
  <c r="Y395" i="42"/>
  <c r="X395" i="42"/>
  <c r="W395" i="42"/>
  <c r="V395" i="42"/>
  <c r="U395" i="42"/>
  <c r="T395" i="42"/>
  <c r="Z391" i="42"/>
  <c r="Y391" i="42"/>
  <c r="X391" i="42"/>
  <c r="W391" i="42"/>
  <c r="V391" i="42"/>
  <c r="U391" i="42"/>
  <c r="T391" i="42"/>
  <c r="Z387" i="42"/>
  <c r="Y387" i="42"/>
  <c r="X387" i="42"/>
  <c r="W387" i="42"/>
  <c r="V387" i="42"/>
  <c r="U387" i="42"/>
  <c r="T387" i="42"/>
  <c r="Z383" i="42"/>
  <c r="Y383" i="42"/>
  <c r="X383" i="42"/>
  <c r="W383" i="42"/>
  <c r="V383" i="42"/>
  <c r="U383" i="42"/>
  <c r="T383" i="42"/>
  <c r="Z2980" i="37"/>
  <c r="Y2980" i="37"/>
  <c r="X2980" i="37"/>
  <c r="W2980" i="37"/>
  <c r="V2980" i="37"/>
  <c r="Z2932" i="37"/>
  <c r="Y2932" i="37"/>
  <c r="X2932" i="37"/>
  <c r="W2932" i="37"/>
  <c r="V2932" i="37"/>
  <c r="U2932" i="37"/>
  <c r="T2932" i="37"/>
  <c r="Z2924" i="37"/>
  <c r="Y2924" i="37"/>
  <c r="X2924" i="37"/>
  <c r="W2924" i="37"/>
  <c r="V2924" i="37"/>
  <c r="U2924" i="37"/>
  <c r="T2924" i="37"/>
  <c r="Z2801" i="37"/>
  <c r="Y2801" i="37"/>
  <c r="X2801" i="37"/>
  <c r="W2801" i="37"/>
  <c r="V2801" i="37"/>
  <c r="U2801" i="37"/>
  <c r="T2801" i="37"/>
  <c r="R2795" i="37"/>
  <c r="Q2774" i="37"/>
  <c r="R2767" i="37"/>
  <c r="Z2678" i="37"/>
  <c r="Y2678" i="37"/>
  <c r="X2678" i="37"/>
  <c r="W2678" i="37"/>
  <c r="V2678" i="37"/>
  <c r="Z2630" i="37"/>
  <c r="Y2630" i="37"/>
  <c r="X2630" i="37"/>
  <c r="W2630" i="37"/>
  <c r="V2630" i="37"/>
  <c r="U2630" i="37"/>
  <c r="T2630" i="37"/>
  <c r="Z2622" i="37"/>
  <c r="Y2622" i="37"/>
  <c r="X2622" i="37"/>
  <c r="W2622" i="37"/>
  <c r="V2622" i="37"/>
  <c r="U2622" i="37"/>
  <c r="T2622" i="37"/>
  <c r="Z2499" i="37"/>
  <c r="Y2499" i="37"/>
  <c r="X2499" i="37"/>
  <c r="W2499" i="37"/>
  <c r="V2499" i="37"/>
  <c r="U2499" i="37"/>
  <c r="T2499" i="37"/>
  <c r="R2493" i="37"/>
  <c r="Q2472" i="37"/>
  <c r="R2465" i="37"/>
  <c r="Z2376" i="37"/>
  <c r="Y2376" i="37"/>
  <c r="X2376" i="37"/>
  <c r="W2376" i="37"/>
  <c r="V2376" i="37"/>
  <c r="Z2328" i="37"/>
  <c r="Y2328" i="37"/>
  <c r="X2328" i="37"/>
  <c r="W2328" i="37"/>
  <c r="V2328" i="37"/>
  <c r="U2328" i="37"/>
  <c r="T2328" i="37"/>
  <c r="Z2320" i="37"/>
  <c r="Y2320" i="37"/>
  <c r="X2320" i="37"/>
  <c r="W2320" i="37"/>
  <c r="V2320" i="37"/>
  <c r="U2320" i="37"/>
  <c r="T2320" i="37"/>
  <c r="Z2197" i="37"/>
  <c r="Y2197" i="37"/>
  <c r="X2197" i="37"/>
  <c r="W2197" i="37"/>
  <c r="V2197" i="37"/>
  <c r="U2197" i="37"/>
  <c r="T2197" i="37"/>
  <c r="R2191" i="37"/>
  <c r="Q2170" i="37"/>
  <c r="R2163" i="37"/>
  <c r="Z2074" i="37"/>
  <c r="Y2074" i="37"/>
  <c r="X2074" i="37"/>
  <c r="W2074" i="37"/>
  <c r="V2074" i="37"/>
  <c r="Z2026" i="37"/>
  <c r="Y2026" i="37"/>
  <c r="X2026" i="37"/>
  <c r="W2026" i="37"/>
  <c r="V2026" i="37"/>
  <c r="U2026" i="37"/>
  <c r="T2026" i="37"/>
  <c r="Z2018" i="37"/>
  <c r="Y2018" i="37"/>
  <c r="X2018" i="37"/>
  <c r="W2018" i="37"/>
  <c r="V2018" i="37"/>
  <c r="U2018" i="37"/>
  <c r="T2018" i="37"/>
  <c r="Z1895" i="37"/>
  <c r="Y1895" i="37"/>
  <c r="X1895" i="37"/>
  <c r="W1895" i="37"/>
  <c r="V1895" i="37"/>
  <c r="U1895" i="37"/>
  <c r="T1895" i="37"/>
  <c r="R1889" i="37"/>
  <c r="Q1868" i="37"/>
  <c r="R1861" i="37"/>
  <c r="Z1772" i="37"/>
  <c r="Y1772" i="37"/>
  <c r="X1772" i="37"/>
  <c r="W1772" i="37"/>
  <c r="V1772" i="37"/>
  <c r="Z1724" i="37"/>
  <c r="Y1724" i="37"/>
  <c r="X1724" i="37"/>
  <c r="W1724" i="37"/>
  <c r="V1724" i="37"/>
  <c r="U1724" i="37"/>
  <c r="T1724" i="37"/>
  <c r="Z1716" i="37"/>
  <c r="Y1716" i="37"/>
  <c r="X1716" i="37"/>
  <c r="W1716" i="37"/>
  <c r="V1716" i="37"/>
  <c r="U1716" i="37"/>
  <c r="T1716" i="37"/>
  <c r="Z1593" i="37"/>
  <c r="Y1593" i="37"/>
  <c r="X1593" i="37"/>
  <c r="W1593" i="37"/>
  <c r="V1593" i="37"/>
  <c r="U1593" i="37"/>
  <c r="T1593" i="37"/>
  <c r="R1587" i="37"/>
  <c r="Q1566" i="37"/>
  <c r="R1559" i="37"/>
  <c r="Z1470" i="37"/>
  <c r="Y1470" i="37"/>
  <c r="X1470" i="37"/>
  <c r="W1470" i="37"/>
  <c r="V1470" i="37"/>
  <c r="Z1422" i="37"/>
  <c r="Y1422" i="37"/>
  <c r="X1422" i="37"/>
  <c r="W1422" i="37"/>
  <c r="V1422" i="37"/>
  <c r="U1422" i="37"/>
  <c r="T1422" i="37"/>
  <c r="Z1414" i="37"/>
  <c r="Y1414" i="37"/>
  <c r="X1414" i="37"/>
  <c r="W1414" i="37"/>
  <c r="V1414" i="37"/>
  <c r="U1414" i="37"/>
  <c r="T1414" i="37"/>
  <c r="Z1291" i="37"/>
  <c r="Y1291" i="37"/>
  <c r="X1291" i="37"/>
  <c r="W1291" i="37"/>
  <c r="V1291" i="37"/>
  <c r="U1291" i="37"/>
  <c r="T1291" i="37"/>
  <c r="R1285" i="37"/>
  <c r="Q1264" i="37"/>
  <c r="R1257" i="37"/>
  <c r="Z1168" i="37"/>
  <c r="Y1168" i="37"/>
  <c r="X1168" i="37"/>
  <c r="W1168" i="37"/>
  <c r="V1168" i="37"/>
  <c r="Z1120" i="37"/>
  <c r="Y1120" i="37"/>
  <c r="X1120" i="37"/>
  <c r="W1120" i="37"/>
  <c r="V1120" i="37"/>
  <c r="U1120" i="37"/>
  <c r="T1120" i="37"/>
  <c r="Z1112" i="37"/>
  <c r="Y1112" i="37"/>
  <c r="X1112" i="37"/>
  <c r="W1112" i="37"/>
  <c r="V1112" i="37"/>
  <c r="U1112" i="37"/>
  <c r="T1112" i="37"/>
  <c r="Z989" i="37"/>
  <c r="Y989" i="37"/>
  <c r="X989" i="37"/>
  <c r="W989" i="37"/>
  <c r="V989" i="37"/>
  <c r="U989" i="37"/>
  <c r="T989" i="37"/>
  <c r="R983" i="37"/>
  <c r="Q962" i="37"/>
  <c r="R955" i="37"/>
  <c r="Z866" i="37"/>
  <c r="Y866" i="37"/>
  <c r="X866" i="37"/>
  <c r="W866" i="37"/>
  <c r="V866" i="37"/>
  <c r="Z818" i="37"/>
  <c r="Y818" i="37"/>
  <c r="X818" i="37"/>
  <c r="W818" i="37"/>
  <c r="V818" i="37"/>
  <c r="U818" i="37"/>
  <c r="T818" i="37"/>
  <c r="Z810" i="37"/>
  <c r="Y810" i="37"/>
  <c r="X810" i="37"/>
  <c r="W810" i="37"/>
  <c r="V810" i="37"/>
  <c r="U810" i="37"/>
  <c r="T810" i="37"/>
  <c r="Z687" i="37"/>
  <c r="Y687" i="37"/>
  <c r="X687" i="37"/>
  <c r="W687" i="37"/>
  <c r="V687" i="37"/>
  <c r="U687" i="37"/>
  <c r="T687" i="37"/>
  <c r="R681" i="37"/>
  <c r="Q660" i="37"/>
  <c r="R653" i="37"/>
  <c r="Z564" i="37"/>
  <c r="Y564" i="37"/>
  <c r="X564" i="37"/>
  <c r="W564" i="37"/>
  <c r="V564" i="37"/>
  <c r="Z516" i="37"/>
  <c r="Y516" i="37"/>
  <c r="X516" i="37"/>
  <c r="W516" i="37"/>
  <c r="V516" i="37"/>
  <c r="U516" i="37"/>
  <c r="T516" i="37"/>
  <c r="Z508" i="37"/>
  <c r="Y508" i="37"/>
  <c r="X508" i="37"/>
  <c r="W508" i="37"/>
  <c r="V508" i="37"/>
  <c r="U508" i="37"/>
  <c r="T508" i="37"/>
  <c r="Z385" i="37"/>
  <c r="Y385" i="37"/>
  <c r="X385" i="37"/>
  <c r="W385" i="37"/>
  <c r="V385" i="37"/>
  <c r="U385" i="37"/>
  <c r="T385" i="37"/>
  <c r="R379" i="37"/>
  <c r="Q358" i="37"/>
  <c r="R351" i="37"/>
  <c r="H940" i="42"/>
  <c r="I940" i="42"/>
  <c r="H880" i="42"/>
  <c r="I880" i="42"/>
  <c r="N2998" i="37"/>
  <c r="M2998" i="37"/>
  <c r="L2998" i="37"/>
  <c r="K2998" i="37"/>
  <c r="J2998" i="37"/>
  <c r="I2998" i="37"/>
  <c r="H2998" i="37"/>
  <c r="N2989" i="37"/>
  <c r="Z2989" i="37" s="1"/>
  <c r="M2989" i="37"/>
  <c r="Y2989" i="37" s="1"/>
  <c r="L2989" i="37"/>
  <c r="X2989" i="37" s="1"/>
  <c r="K2989" i="37"/>
  <c r="W2989" i="37" s="1"/>
  <c r="J2989" i="37"/>
  <c r="V2989" i="37" s="1"/>
  <c r="I2989" i="37"/>
  <c r="U2989" i="37" s="1"/>
  <c r="H2989" i="37"/>
  <c r="T2989" i="37" s="1"/>
  <c r="G2967" i="37"/>
  <c r="H2971" i="37" s="1"/>
  <c r="N2964" i="37"/>
  <c r="M2964" i="37"/>
  <c r="L2964" i="37"/>
  <c r="K2964" i="37"/>
  <c r="J2964" i="37"/>
  <c r="I2964" i="37"/>
  <c r="H2964" i="37"/>
  <c r="N2954" i="37"/>
  <c r="M2954" i="37"/>
  <c r="L2954" i="37"/>
  <c r="K2954" i="37"/>
  <c r="J2954" i="37"/>
  <c r="I2954" i="37"/>
  <c r="H2954" i="37"/>
  <c r="N2945" i="37"/>
  <c r="M2945" i="37"/>
  <c r="L2945" i="37"/>
  <c r="K2945" i="37"/>
  <c r="J2945" i="37"/>
  <c r="I2945" i="37"/>
  <c r="H2945" i="37"/>
  <c r="N2908" i="37"/>
  <c r="N2905" i="37" s="1"/>
  <c r="N2906" i="37" s="1"/>
  <c r="M2908" i="37"/>
  <c r="M2905" i="37" s="1"/>
  <c r="M2906" i="37" s="1"/>
  <c r="L2908" i="37"/>
  <c r="L2905" i="37" s="1"/>
  <c r="L2906" i="37" s="1"/>
  <c r="K2908" i="37"/>
  <c r="K2905" i="37" s="1"/>
  <c r="K2906" i="37" s="1"/>
  <c r="J2908" i="37"/>
  <c r="J2905" i="37" s="1"/>
  <c r="J2906" i="37" s="1"/>
  <c r="I2908" i="37"/>
  <c r="I2905" i="37" s="1"/>
  <c r="I2906" i="37" s="1"/>
  <c r="H2908" i="37"/>
  <c r="H2905" i="37" s="1"/>
  <c r="H2906" i="37" s="1"/>
  <c r="N2907" i="37"/>
  <c r="M2907" i="37"/>
  <c r="L2907" i="37"/>
  <c r="K2907" i="37"/>
  <c r="J2907" i="37"/>
  <c r="I2907" i="37"/>
  <c r="H2907" i="37"/>
  <c r="N2896" i="37"/>
  <c r="N2893" i="37" s="1"/>
  <c r="N2894" i="37" s="1"/>
  <c r="M2896" i="37"/>
  <c r="M2893" i="37" s="1"/>
  <c r="M2894" i="37" s="1"/>
  <c r="L2896" i="37"/>
  <c r="L2893" i="37" s="1"/>
  <c r="L2894" i="37" s="1"/>
  <c r="K2896" i="37"/>
  <c r="K2893" i="37" s="1"/>
  <c r="K2894" i="37" s="1"/>
  <c r="J2896" i="37"/>
  <c r="J2893" i="37" s="1"/>
  <c r="J2894" i="37" s="1"/>
  <c r="I2896" i="37"/>
  <c r="I2893" i="37" s="1"/>
  <c r="I2894" i="37" s="1"/>
  <c r="H2896" i="37"/>
  <c r="H2893" i="37" s="1"/>
  <c r="H2894" i="37" s="1"/>
  <c r="N2895" i="37"/>
  <c r="M2895" i="37"/>
  <c r="L2895" i="37"/>
  <c r="K2895" i="37"/>
  <c r="J2895" i="37"/>
  <c r="I2895" i="37"/>
  <c r="H2895" i="37"/>
  <c r="N2841" i="37"/>
  <c r="M2841" i="37"/>
  <c r="L2841" i="37"/>
  <c r="K2841" i="37"/>
  <c r="J2841" i="37"/>
  <c r="I2841" i="37"/>
  <c r="H2841" i="37"/>
  <c r="D2832" i="37"/>
  <c r="D2833" i="37"/>
  <c r="D2834" i="37" s="1"/>
  <c r="D2835" i="37" s="1"/>
  <c r="D2836" i="37" s="1"/>
  <c r="D2837" i="37" s="1"/>
  <c r="D2838" i="37" s="1"/>
  <c r="D2839" i="37" s="1"/>
  <c r="D2840" i="37" s="1"/>
  <c r="H2808" i="37"/>
  <c r="N2803" i="37"/>
  <c r="M2803" i="37"/>
  <c r="L2803" i="37"/>
  <c r="K2803" i="37"/>
  <c r="J2803" i="37"/>
  <c r="I2803" i="37"/>
  <c r="H2803" i="37"/>
  <c r="H2783" i="37"/>
  <c r="N2776" i="37"/>
  <c r="M2776" i="37"/>
  <c r="L2776" i="37"/>
  <c r="K2776" i="37"/>
  <c r="J2776" i="37"/>
  <c r="I2776" i="37"/>
  <c r="H2776" i="37"/>
  <c r="N2775" i="37"/>
  <c r="M2775" i="37"/>
  <c r="L2775" i="37"/>
  <c r="K2775" i="37"/>
  <c r="J2775" i="37"/>
  <c r="I2775" i="37"/>
  <c r="H2775" i="37"/>
  <c r="N2696" i="37"/>
  <c r="M2696" i="37"/>
  <c r="L2696" i="37"/>
  <c r="K2696" i="37"/>
  <c r="J2696" i="37"/>
  <c r="I2696" i="37"/>
  <c r="H2696" i="37"/>
  <c r="N2687" i="37"/>
  <c r="Z2687" i="37"/>
  <c r="M2687" i="37"/>
  <c r="Y2687" i="37" s="1"/>
  <c r="L2687" i="37"/>
  <c r="X2687" i="37" s="1"/>
  <c r="K2687" i="37"/>
  <c r="W2687" i="37" s="1"/>
  <c r="J2687" i="37"/>
  <c r="V2687" i="37"/>
  <c r="I2687" i="37"/>
  <c r="U2687" i="37" s="1"/>
  <c r="H2687" i="37"/>
  <c r="T2687" i="37" s="1"/>
  <c r="G2665" i="37"/>
  <c r="H2669" i="37" s="1"/>
  <c r="H2672" i="37" s="1"/>
  <c r="N2662" i="37"/>
  <c r="M2662" i="37"/>
  <c r="L2662" i="37"/>
  <c r="K2662" i="37"/>
  <c r="J2662" i="37"/>
  <c r="I2662" i="37"/>
  <c r="H2662" i="37"/>
  <c r="N2652" i="37"/>
  <c r="M2652" i="37"/>
  <c r="L2652" i="37"/>
  <c r="K2652" i="37"/>
  <c r="J2652" i="37"/>
  <c r="I2652" i="37"/>
  <c r="H2652" i="37"/>
  <c r="N2643" i="37"/>
  <c r="M2643" i="37"/>
  <c r="L2643" i="37"/>
  <c r="K2643" i="37"/>
  <c r="J2643" i="37"/>
  <c r="I2643" i="37"/>
  <c r="H2643" i="37"/>
  <c r="N2606" i="37"/>
  <c r="N2603" i="37" s="1"/>
  <c r="N2604" i="37" s="1"/>
  <c r="M2606" i="37"/>
  <c r="M2603" i="37" s="1"/>
  <c r="M2604" i="37" s="1"/>
  <c r="L2606" i="37"/>
  <c r="L2603" i="37" s="1"/>
  <c r="L2604" i="37" s="1"/>
  <c r="K2606" i="37"/>
  <c r="K2603" i="37" s="1"/>
  <c r="K2604" i="37" s="1"/>
  <c r="J2606" i="37"/>
  <c r="J2603" i="37" s="1"/>
  <c r="J2604" i="37" s="1"/>
  <c r="I2606" i="37"/>
  <c r="I2603" i="37" s="1"/>
  <c r="I2604" i="37" s="1"/>
  <c r="H2606" i="37"/>
  <c r="H2603" i="37" s="1"/>
  <c r="H2604" i="37" s="1"/>
  <c r="N2605" i="37"/>
  <c r="M2605" i="37"/>
  <c r="L2605" i="37"/>
  <c r="K2605" i="37"/>
  <c r="J2605" i="37"/>
  <c r="I2605" i="37"/>
  <c r="H2605" i="37"/>
  <c r="N2594" i="37"/>
  <c r="N2591" i="37" s="1"/>
  <c r="N2592" i="37" s="1"/>
  <c r="M2594" i="37"/>
  <c r="M2591" i="37" s="1"/>
  <c r="M2592" i="37" s="1"/>
  <c r="L2594" i="37"/>
  <c r="L2591" i="37" s="1"/>
  <c r="L2592" i="37" s="1"/>
  <c r="K2594" i="37"/>
  <c r="K2591" i="37" s="1"/>
  <c r="K2592" i="37" s="1"/>
  <c r="J2594" i="37"/>
  <c r="J2591" i="37" s="1"/>
  <c r="J2592" i="37" s="1"/>
  <c r="I2594" i="37"/>
  <c r="I2591" i="37" s="1"/>
  <c r="I2592" i="37" s="1"/>
  <c r="H2594" i="37"/>
  <c r="H2591" i="37"/>
  <c r="H2592" i="37" s="1"/>
  <c r="N2593" i="37"/>
  <c r="M2593" i="37"/>
  <c r="L2593" i="37"/>
  <c r="K2593" i="37"/>
  <c r="J2593" i="37"/>
  <c r="I2593" i="37"/>
  <c r="H2593" i="37"/>
  <c r="N2539" i="37"/>
  <c r="M2539" i="37"/>
  <c r="L2539" i="37"/>
  <c r="K2539" i="37"/>
  <c r="J2539" i="37"/>
  <c r="I2539" i="37"/>
  <c r="H2539" i="37"/>
  <c r="D2530" i="37"/>
  <c r="D2531" i="37" s="1"/>
  <c r="D2532" i="37" s="1"/>
  <c r="D2533" i="37" s="1"/>
  <c r="D2534" i="37" s="1"/>
  <c r="D2535" i="37" s="1"/>
  <c r="D2536" i="37" s="1"/>
  <c r="D2537" i="37" s="1"/>
  <c r="D2538" i="37" s="1"/>
  <c r="H2506" i="37"/>
  <c r="N2501" i="37"/>
  <c r="M2501" i="37"/>
  <c r="L2501" i="37"/>
  <c r="K2501" i="37"/>
  <c r="J2501" i="37"/>
  <c r="I2501" i="37"/>
  <c r="H2501" i="37"/>
  <c r="H2481" i="37"/>
  <c r="H2484" i="37" s="1"/>
  <c r="N2474" i="37"/>
  <c r="M2474" i="37"/>
  <c r="L2474" i="37"/>
  <c r="K2474" i="37"/>
  <c r="J2474" i="37"/>
  <c r="I2474" i="37"/>
  <c r="H2474" i="37"/>
  <c r="N2473" i="37"/>
  <c r="M2473" i="37"/>
  <c r="L2473" i="37"/>
  <c r="K2473" i="37"/>
  <c r="J2473" i="37"/>
  <c r="I2473" i="37"/>
  <c r="H2473" i="37"/>
  <c r="N2394" i="37"/>
  <c r="M2394" i="37"/>
  <c r="L2394" i="37"/>
  <c r="K2394" i="37"/>
  <c r="J2394" i="37"/>
  <c r="I2394" i="37"/>
  <c r="H2394" i="37"/>
  <c r="N2385" i="37"/>
  <c r="Z2385" i="37" s="1"/>
  <c r="M2385" i="37"/>
  <c r="Y2385" i="37" s="1"/>
  <c r="L2385" i="37"/>
  <c r="X2385" i="37" s="1"/>
  <c r="K2385" i="37"/>
  <c r="W2385" i="37" s="1"/>
  <c r="J2385" i="37"/>
  <c r="V2385" i="37" s="1"/>
  <c r="I2385" i="37"/>
  <c r="U2385" i="37" s="1"/>
  <c r="H2385" i="37"/>
  <c r="T2385" i="37" s="1"/>
  <c r="G2363" i="37"/>
  <c r="H2367" i="37" s="1"/>
  <c r="H2370" i="37" s="1"/>
  <c r="N2360" i="37"/>
  <c r="M2360" i="37"/>
  <c r="L2360" i="37"/>
  <c r="K2360" i="37"/>
  <c r="J2360" i="37"/>
  <c r="I2360" i="37"/>
  <c r="H2360" i="37"/>
  <c r="N2350" i="37"/>
  <c r="M2350" i="37"/>
  <c r="L2350" i="37"/>
  <c r="K2350" i="37"/>
  <c r="J2350" i="37"/>
  <c r="I2350" i="37"/>
  <c r="H2350" i="37"/>
  <c r="N2341" i="37"/>
  <c r="M2341" i="37"/>
  <c r="L2341" i="37"/>
  <c r="K2341" i="37"/>
  <c r="J2341" i="37"/>
  <c r="I2341" i="37"/>
  <c r="H2341" i="37"/>
  <c r="N2304" i="37"/>
  <c r="N2301" i="37" s="1"/>
  <c r="N2302" i="37" s="1"/>
  <c r="M2304" i="37"/>
  <c r="M2301" i="37" s="1"/>
  <c r="M2302" i="37" s="1"/>
  <c r="L2304" i="37"/>
  <c r="L2301" i="37" s="1"/>
  <c r="L2302" i="37" s="1"/>
  <c r="K2304" i="37"/>
  <c r="K2301" i="37" s="1"/>
  <c r="K2302" i="37" s="1"/>
  <c r="J2304" i="37"/>
  <c r="J2301" i="37" s="1"/>
  <c r="J2302" i="37" s="1"/>
  <c r="I2304" i="37"/>
  <c r="I2301" i="37" s="1"/>
  <c r="I2302" i="37" s="1"/>
  <c r="H2304" i="37"/>
  <c r="H2301" i="37" s="1"/>
  <c r="H2302" i="37" s="1"/>
  <c r="N2303" i="37"/>
  <c r="M2303" i="37"/>
  <c r="L2303" i="37"/>
  <c r="K2303" i="37"/>
  <c r="J2303" i="37"/>
  <c r="I2303" i="37"/>
  <c r="H2303" i="37"/>
  <c r="N2292" i="37"/>
  <c r="N2289" i="37" s="1"/>
  <c r="N2290" i="37" s="1"/>
  <c r="M2292" i="37"/>
  <c r="M2289" i="37" s="1"/>
  <c r="M2290" i="37" s="1"/>
  <c r="L2292" i="37"/>
  <c r="L2289" i="37" s="1"/>
  <c r="L2290" i="37" s="1"/>
  <c r="K2292" i="37"/>
  <c r="K2289" i="37" s="1"/>
  <c r="K2290" i="37" s="1"/>
  <c r="J2292" i="37"/>
  <c r="J2289" i="37" s="1"/>
  <c r="J2290" i="37" s="1"/>
  <c r="I2292" i="37"/>
  <c r="I2289" i="37" s="1"/>
  <c r="I2290" i="37" s="1"/>
  <c r="H2292" i="37"/>
  <c r="H2289" i="37" s="1"/>
  <c r="H2290" i="37" s="1"/>
  <c r="N2291" i="37"/>
  <c r="M2291" i="37"/>
  <c r="L2291" i="37"/>
  <c r="K2291" i="37"/>
  <c r="J2291" i="37"/>
  <c r="I2291" i="37"/>
  <c r="H2291" i="37"/>
  <c r="N2237" i="37"/>
  <c r="M2237" i="37"/>
  <c r="L2237" i="37"/>
  <c r="K2237" i="37"/>
  <c r="J2237" i="37"/>
  <c r="I2237" i="37"/>
  <c r="H2237" i="37"/>
  <c r="D2228" i="37"/>
  <c r="D2229" i="37" s="1"/>
  <c r="D2230" i="37" s="1"/>
  <c r="D2231" i="37" s="1"/>
  <c r="D2232" i="37" s="1"/>
  <c r="D2233" i="37" s="1"/>
  <c r="D2234" i="37" s="1"/>
  <c r="D2235" i="37" s="1"/>
  <c r="D2236" i="37" s="1"/>
  <c r="H2204" i="37"/>
  <c r="N2199" i="37"/>
  <c r="M2199" i="37"/>
  <c r="L2199" i="37"/>
  <c r="K2199" i="37"/>
  <c r="J2199" i="37"/>
  <c r="I2199" i="37"/>
  <c r="H2199" i="37"/>
  <c r="H2179" i="37"/>
  <c r="H2188" i="37" s="1"/>
  <c r="N2172" i="37"/>
  <c r="M2172" i="37"/>
  <c r="L2172" i="37"/>
  <c r="K2172" i="37"/>
  <c r="J2172" i="37"/>
  <c r="I2172" i="37"/>
  <c r="H2172" i="37"/>
  <c r="N2171" i="37"/>
  <c r="M2171" i="37"/>
  <c r="L2171" i="37"/>
  <c r="K2171" i="37"/>
  <c r="J2171" i="37"/>
  <c r="I2171" i="37"/>
  <c r="H2171" i="37"/>
  <c r="N2092" i="37"/>
  <c r="M2092" i="37"/>
  <c r="L2092" i="37"/>
  <c r="K2092" i="37"/>
  <c r="J2092" i="37"/>
  <c r="I2092" i="37"/>
  <c r="H2092" i="37"/>
  <c r="N2083" i="37"/>
  <c r="Z2083" i="37" s="1"/>
  <c r="M2083" i="37"/>
  <c r="Y2083" i="37" s="1"/>
  <c r="L2083" i="37"/>
  <c r="X2083" i="37" s="1"/>
  <c r="K2083" i="37"/>
  <c r="W2083" i="37" s="1"/>
  <c r="J2083" i="37"/>
  <c r="V2083" i="37" s="1"/>
  <c r="I2083" i="37"/>
  <c r="U2083" i="37"/>
  <c r="H2083" i="37"/>
  <c r="T2083" i="37" s="1"/>
  <c r="G2061" i="37"/>
  <c r="H2065" i="37"/>
  <c r="N2058" i="37"/>
  <c r="M2058" i="37"/>
  <c r="L2058" i="37"/>
  <c r="K2058" i="37"/>
  <c r="J2058" i="37"/>
  <c r="I2058" i="37"/>
  <c r="H2058" i="37"/>
  <c r="N2048" i="37"/>
  <c r="M2048" i="37"/>
  <c r="L2048" i="37"/>
  <c r="K2048" i="37"/>
  <c r="J2048" i="37"/>
  <c r="I2048" i="37"/>
  <c r="H2048" i="37"/>
  <c r="N2039" i="37"/>
  <c r="M2039" i="37"/>
  <c r="L2039" i="37"/>
  <c r="K2039" i="37"/>
  <c r="J2039" i="37"/>
  <c r="I2039" i="37"/>
  <c r="H2039" i="37"/>
  <c r="N2002" i="37"/>
  <c r="N1999" i="37" s="1"/>
  <c r="N2000" i="37" s="1"/>
  <c r="M2002" i="37"/>
  <c r="M1999" i="37" s="1"/>
  <c r="M2000" i="37" s="1"/>
  <c r="L2002" i="37"/>
  <c r="L1999" i="37" s="1"/>
  <c r="L2000" i="37" s="1"/>
  <c r="K2002" i="37"/>
  <c r="K1999" i="37" s="1"/>
  <c r="K2000" i="37" s="1"/>
  <c r="J2002" i="37"/>
  <c r="J1999" i="37" s="1"/>
  <c r="J2000" i="37" s="1"/>
  <c r="I2002" i="37"/>
  <c r="I1999" i="37" s="1"/>
  <c r="I2000" i="37" s="1"/>
  <c r="H2002" i="37"/>
  <c r="H1999" i="37" s="1"/>
  <c r="H2000" i="37" s="1"/>
  <c r="N2001" i="37"/>
  <c r="M2001" i="37"/>
  <c r="L2001" i="37"/>
  <c r="K2001" i="37"/>
  <c r="J2001" i="37"/>
  <c r="I2001" i="37"/>
  <c r="H2001" i="37"/>
  <c r="N1990" i="37"/>
  <c r="N1987" i="37" s="1"/>
  <c r="N1988" i="37" s="1"/>
  <c r="M1990" i="37"/>
  <c r="M1987" i="37" s="1"/>
  <c r="M1988" i="37" s="1"/>
  <c r="L1990" i="37"/>
  <c r="L1987" i="37" s="1"/>
  <c r="L1988" i="37" s="1"/>
  <c r="K1990" i="37"/>
  <c r="K1987" i="37"/>
  <c r="K1988" i="37" s="1"/>
  <c r="J1990" i="37"/>
  <c r="J1987" i="37" s="1"/>
  <c r="J1988" i="37" s="1"/>
  <c r="I1990" i="37"/>
  <c r="I1987" i="37" s="1"/>
  <c r="I1988" i="37" s="1"/>
  <c r="H1990" i="37"/>
  <c r="H1987" i="37" s="1"/>
  <c r="H1988" i="37" s="1"/>
  <c r="N1989" i="37"/>
  <c r="M1989" i="37"/>
  <c r="L1989" i="37"/>
  <c r="K1989" i="37"/>
  <c r="J1989" i="37"/>
  <c r="I1989" i="37"/>
  <c r="H1989" i="37"/>
  <c r="N1935" i="37"/>
  <c r="M1935" i="37"/>
  <c r="L1935" i="37"/>
  <c r="K1935" i="37"/>
  <c r="J1935" i="37"/>
  <c r="I1935" i="37"/>
  <c r="H1935" i="37"/>
  <c r="D1926" i="37"/>
  <c r="D1927" i="37" s="1"/>
  <c r="D1928" i="37" s="1"/>
  <c r="D1929" i="37" s="1"/>
  <c r="D1930" i="37" s="1"/>
  <c r="D1931" i="37" s="1"/>
  <c r="D1932" i="37" s="1"/>
  <c r="D1933" i="37" s="1"/>
  <c r="D1934" i="37" s="1"/>
  <c r="H1902" i="37"/>
  <c r="H1905" i="37" s="1"/>
  <c r="N1897" i="37"/>
  <c r="M1897" i="37"/>
  <c r="L1897" i="37"/>
  <c r="K1897" i="37"/>
  <c r="J1897" i="37"/>
  <c r="I1897" i="37"/>
  <c r="H1897" i="37"/>
  <c r="H1877" i="37"/>
  <c r="N1870" i="37"/>
  <c r="M1870" i="37"/>
  <c r="L1870" i="37"/>
  <c r="K1870" i="37"/>
  <c r="J1870" i="37"/>
  <c r="I1870" i="37"/>
  <c r="H1870" i="37"/>
  <c r="N1869" i="37"/>
  <c r="M1869" i="37"/>
  <c r="L1869" i="37"/>
  <c r="K1869" i="37"/>
  <c r="J1869" i="37"/>
  <c r="I1869" i="37"/>
  <c r="H1869" i="37"/>
  <c r="N1790" i="37"/>
  <c r="M1790" i="37"/>
  <c r="L1790" i="37"/>
  <c r="K1790" i="37"/>
  <c r="J1790" i="37"/>
  <c r="I1790" i="37"/>
  <c r="H1790" i="37"/>
  <c r="N1781" i="37"/>
  <c r="Z1781" i="37" s="1"/>
  <c r="M1781" i="37"/>
  <c r="Y1781" i="37"/>
  <c r="L1781" i="37"/>
  <c r="X1781" i="37" s="1"/>
  <c r="K1781" i="37"/>
  <c r="W1781" i="37"/>
  <c r="J1781" i="37"/>
  <c r="V1781" i="37" s="1"/>
  <c r="I1781" i="37"/>
  <c r="U1781" i="37"/>
  <c r="H1781" i="37"/>
  <c r="T1781" i="37" s="1"/>
  <c r="G1759" i="37"/>
  <c r="H1763" i="37"/>
  <c r="N1756" i="37"/>
  <c r="M1756" i="37"/>
  <c r="L1756" i="37"/>
  <c r="K1756" i="37"/>
  <c r="J1756" i="37"/>
  <c r="I1756" i="37"/>
  <c r="H1756" i="37"/>
  <c r="N1746" i="37"/>
  <c r="M1746" i="37"/>
  <c r="L1746" i="37"/>
  <c r="K1746" i="37"/>
  <c r="J1746" i="37"/>
  <c r="I1746" i="37"/>
  <c r="H1746" i="37"/>
  <c r="N1737" i="37"/>
  <c r="M1737" i="37"/>
  <c r="L1737" i="37"/>
  <c r="K1737" i="37"/>
  <c r="J1737" i="37"/>
  <c r="I1737" i="37"/>
  <c r="H1737" i="37"/>
  <c r="N1700" i="37"/>
  <c r="N1697" i="37" s="1"/>
  <c r="N1698" i="37" s="1"/>
  <c r="M1700" i="37"/>
  <c r="M1697" i="37" s="1"/>
  <c r="M1698" i="37" s="1"/>
  <c r="L1700" i="37"/>
  <c r="L1697" i="37" s="1"/>
  <c r="L1698" i="37" s="1"/>
  <c r="K1700" i="37"/>
  <c r="K1697" i="37" s="1"/>
  <c r="K1698" i="37" s="1"/>
  <c r="J1700" i="37"/>
  <c r="J1697" i="37" s="1"/>
  <c r="J1698" i="37" s="1"/>
  <c r="I1700" i="37"/>
  <c r="I1697" i="37" s="1"/>
  <c r="I1698" i="37" s="1"/>
  <c r="H1700" i="37"/>
  <c r="H1697" i="37" s="1"/>
  <c r="H1698" i="37" s="1"/>
  <c r="N1699" i="37"/>
  <c r="M1699" i="37"/>
  <c r="L1699" i="37"/>
  <c r="K1699" i="37"/>
  <c r="J1699" i="37"/>
  <c r="I1699" i="37"/>
  <c r="H1699" i="37"/>
  <c r="N1688" i="37"/>
  <c r="N1685" i="37" s="1"/>
  <c r="N1686" i="37" s="1"/>
  <c r="M1688" i="37"/>
  <c r="M1685" i="37" s="1"/>
  <c r="M1686" i="37" s="1"/>
  <c r="L1688" i="37"/>
  <c r="L1685" i="37" s="1"/>
  <c r="L1686" i="37" s="1"/>
  <c r="K1688" i="37"/>
  <c r="K1685" i="37" s="1"/>
  <c r="K1686" i="37" s="1"/>
  <c r="J1688" i="37"/>
  <c r="J1685" i="37" s="1"/>
  <c r="J1686" i="37" s="1"/>
  <c r="I1688" i="37"/>
  <c r="I1685" i="37" s="1"/>
  <c r="I1686" i="37" s="1"/>
  <c r="H1688" i="37"/>
  <c r="H1685" i="37" s="1"/>
  <c r="H1686" i="37" s="1"/>
  <c r="N1687" i="37"/>
  <c r="M1687" i="37"/>
  <c r="L1687" i="37"/>
  <c r="K1687" i="37"/>
  <c r="J1687" i="37"/>
  <c r="I1687" i="37"/>
  <c r="H1687" i="37"/>
  <c r="N1633" i="37"/>
  <c r="M1633" i="37"/>
  <c r="L1633" i="37"/>
  <c r="K1633" i="37"/>
  <c r="J1633" i="37"/>
  <c r="I1633" i="37"/>
  <c r="H1633" i="37"/>
  <c r="D1624" i="37"/>
  <c r="D1625" i="37" s="1"/>
  <c r="D1626" i="37" s="1"/>
  <c r="D1627" i="37" s="1"/>
  <c r="D1628" i="37" s="1"/>
  <c r="D1629" i="37" s="1"/>
  <c r="D1630" i="37" s="1"/>
  <c r="D1631" i="37" s="1"/>
  <c r="D1632" i="37" s="1"/>
  <c r="H1600" i="37"/>
  <c r="N1595" i="37"/>
  <c r="M1595" i="37"/>
  <c r="L1595" i="37"/>
  <c r="K1595" i="37"/>
  <c r="J1595" i="37"/>
  <c r="I1595" i="37"/>
  <c r="H1595" i="37"/>
  <c r="H1575" i="37"/>
  <c r="H1584" i="37" s="1"/>
  <c r="N1568" i="37"/>
  <c r="M1568" i="37"/>
  <c r="L1568" i="37"/>
  <c r="K1568" i="37"/>
  <c r="J1568" i="37"/>
  <c r="I1568" i="37"/>
  <c r="H1568" i="37"/>
  <c r="N1567" i="37"/>
  <c r="M1567" i="37"/>
  <c r="L1567" i="37"/>
  <c r="K1567" i="37"/>
  <c r="J1567" i="37"/>
  <c r="I1567" i="37"/>
  <c r="H1567" i="37"/>
  <c r="N1488" i="37"/>
  <c r="M1488" i="37"/>
  <c r="L1488" i="37"/>
  <c r="K1488" i="37"/>
  <c r="J1488" i="37"/>
  <c r="I1488" i="37"/>
  <c r="H1488" i="37"/>
  <c r="N1479" i="37"/>
  <c r="Z1479" i="37" s="1"/>
  <c r="M1479" i="37"/>
  <c r="Y1479" i="37" s="1"/>
  <c r="L1479" i="37"/>
  <c r="X1479" i="37" s="1"/>
  <c r="K1479" i="37"/>
  <c r="W1479" i="37"/>
  <c r="J1479" i="37"/>
  <c r="V1479" i="37" s="1"/>
  <c r="I1479" i="37"/>
  <c r="U1479" i="37" s="1"/>
  <c r="H1479" i="37"/>
  <c r="T1479" i="37" s="1"/>
  <c r="G1457" i="37"/>
  <c r="H1461" i="37"/>
  <c r="N1454" i="37"/>
  <c r="M1454" i="37"/>
  <c r="L1454" i="37"/>
  <c r="K1454" i="37"/>
  <c r="J1454" i="37"/>
  <c r="I1454" i="37"/>
  <c r="H1454" i="37"/>
  <c r="N1444" i="37"/>
  <c r="M1444" i="37"/>
  <c r="L1444" i="37"/>
  <c r="K1444" i="37"/>
  <c r="J1444" i="37"/>
  <c r="I1444" i="37"/>
  <c r="H1444" i="37"/>
  <c r="N1435" i="37"/>
  <c r="M1435" i="37"/>
  <c r="L1435" i="37"/>
  <c r="K1435" i="37"/>
  <c r="J1435" i="37"/>
  <c r="I1435" i="37"/>
  <c r="H1435" i="37"/>
  <c r="N1398" i="37"/>
  <c r="N1395" i="37" s="1"/>
  <c r="N1396" i="37" s="1"/>
  <c r="M1398" i="37"/>
  <c r="M1395" i="37" s="1"/>
  <c r="M1396" i="37" s="1"/>
  <c r="L1398" i="37"/>
  <c r="L1395" i="37" s="1"/>
  <c r="L1396" i="37" s="1"/>
  <c r="K1398" i="37"/>
  <c r="K1395" i="37" s="1"/>
  <c r="K1396" i="37" s="1"/>
  <c r="J1398" i="37"/>
  <c r="J1395" i="37" s="1"/>
  <c r="J1396" i="37"/>
  <c r="I1398" i="37"/>
  <c r="I1395" i="37" s="1"/>
  <c r="I1396" i="37" s="1"/>
  <c r="H1398" i="37"/>
  <c r="H1395" i="37" s="1"/>
  <c r="H1396" i="37" s="1"/>
  <c r="N1397" i="37"/>
  <c r="M1397" i="37"/>
  <c r="L1397" i="37"/>
  <c r="K1397" i="37"/>
  <c r="J1397" i="37"/>
  <c r="I1397" i="37"/>
  <c r="H1397" i="37"/>
  <c r="N1386" i="37"/>
  <c r="N1383" i="37" s="1"/>
  <c r="N1384" i="37" s="1"/>
  <c r="M1386" i="37"/>
  <c r="M1383" i="37" s="1"/>
  <c r="M1384" i="37" s="1"/>
  <c r="L1386" i="37"/>
  <c r="L1383" i="37" s="1"/>
  <c r="L1384" i="37" s="1"/>
  <c r="K1386" i="37"/>
  <c r="K1383" i="37" s="1"/>
  <c r="K1384" i="37" s="1"/>
  <c r="J1386" i="37"/>
  <c r="J1383" i="37" s="1"/>
  <c r="J1384" i="37" s="1"/>
  <c r="I1386" i="37"/>
  <c r="I1383" i="37" s="1"/>
  <c r="I1384" i="37" s="1"/>
  <c r="H1386" i="37"/>
  <c r="H1383" i="37" s="1"/>
  <c r="H1384" i="37" s="1"/>
  <c r="N1385" i="37"/>
  <c r="M1385" i="37"/>
  <c r="L1385" i="37"/>
  <c r="K1385" i="37"/>
  <c r="J1385" i="37"/>
  <c r="I1385" i="37"/>
  <c r="H1385" i="37"/>
  <c r="N1331" i="37"/>
  <c r="M1331" i="37"/>
  <c r="L1331" i="37"/>
  <c r="K1331" i="37"/>
  <c r="J1331" i="37"/>
  <c r="I1331" i="37"/>
  <c r="H1331" i="37"/>
  <c r="D1322" i="37"/>
  <c r="D1323" i="37" s="1"/>
  <c r="D1324" i="37" s="1"/>
  <c r="D1325" i="37" s="1"/>
  <c r="D1326" i="37" s="1"/>
  <c r="D1327" i="37" s="1"/>
  <c r="D1328" i="37" s="1"/>
  <c r="D1329" i="37" s="1"/>
  <c r="D1330" i="37" s="1"/>
  <c r="H1298" i="37"/>
  <c r="N1293" i="37"/>
  <c r="M1293" i="37"/>
  <c r="L1293" i="37"/>
  <c r="K1293" i="37"/>
  <c r="J1293" i="37"/>
  <c r="I1293" i="37"/>
  <c r="H1293" i="37"/>
  <c r="H1273" i="37"/>
  <c r="N1266" i="37"/>
  <c r="M1266" i="37"/>
  <c r="L1266" i="37"/>
  <c r="K1266" i="37"/>
  <c r="J1266" i="37"/>
  <c r="I1266" i="37"/>
  <c r="H1266" i="37"/>
  <c r="N1265" i="37"/>
  <c r="M1265" i="37"/>
  <c r="L1265" i="37"/>
  <c r="K1265" i="37"/>
  <c r="J1265" i="37"/>
  <c r="I1265" i="37"/>
  <c r="H1265" i="37"/>
  <c r="N1186" i="37"/>
  <c r="M1186" i="37"/>
  <c r="L1186" i="37"/>
  <c r="K1186" i="37"/>
  <c r="J1186" i="37"/>
  <c r="I1186" i="37"/>
  <c r="H1186" i="37"/>
  <c r="N1177" i="37"/>
  <c r="Z1177" i="37" s="1"/>
  <c r="M1177" i="37"/>
  <c r="Y1177" i="37" s="1"/>
  <c r="L1177" i="37"/>
  <c r="X1177" i="37" s="1"/>
  <c r="K1177" i="37"/>
  <c r="W1177" i="37" s="1"/>
  <c r="J1177" i="37"/>
  <c r="V1177" i="37" s="1"/>
  <c r="I1177" i="37"/>
  <c r="U1177" i="37" s="1"/>
  <c r="H1177" i="37"/>
  <c r="T1177" i="37" s="1"/>
  <c r="G1155" i="37"/>
  <c r="H1159" i="37"/>
  <c r="H1162" i="37" s="1"/>
  <c r="N1152" i="37"/>
  <c r="M1152" i="37"/>
  <c r="L1152" i="37"/>
  <c r="K1152" i="37"/>
  <c r="J1152" i="37"/>
  <c r="I1152" i="37"/>
  <c r="H1152" i="37"/>
  <c r="N1142" i="37"/>
  <c r="M1142" i="37"/>
  <c r="L1142" i="37"/>
  <c r="K1142" i="37"/>
  <c r="J1142" i="37"/>
  <c r="I1142" i="37"/>
  <c r="H1142" i="37"/>
  <c r="N1133" i="37"/>
  <c r="M1133" i="37"/>
  <c r="L1133" i="37"/>
  <c r="K1133" i="37"/>
  <c r="J1133" i="37"/>
  <c r="I1133" i="37"/>
  <c r="H1133" i="37"/>
  <c r="N1096" i="37"/>
  <c r="N1093" i="37" s="1"/>
  <c r="N1094" i="37" s="1"/>
  <c r="M1096" i="37"/>
  <c r="M1093" i="37" s="1"/>
  <c r="M1094" i="37" s="1"/>
  <c r="L1096" i="37"/>
  <c r="L1093" i="37" s="1"/>
  <c r="L1094" i="37" s="1"/>
  <c r="K1096" i="37"/>
  <c r="K1093" i="37" s="1"/>
  <c r="K1094" i="37" s="1"/>
  <c r="J1096" i="37"/>
  <c r="J1093" i="37" s="1"/>
  <c r="J1094" i="37" s="1"/>
  <c r="I1096" i="37"/>
  <c r="I1093" i="37" s="1"/>
  <c r="I1094" i="37" s="1"/>
  <c r="H1096" i="37"/>
  <c r="H1093" i="37" s="1"/>
  <c r="H1094" i="37" s="1"/>
  <c r="N1095" i="37"/>
  <c r="M1095" i="37"/>
  <c r="L1095" i="37"/>
  <c r="K1095" i="37"/>
  <c r="J1095" i="37"/>
  <c r="I1095" i="37"/>
  <c r="H1095" i="37"/>
  <c r="N1084" i="37"/>
  <c r="N1081" i="37" s="1"/>
  <c r="N1082" i="37" s="1"/>
  <c r="M1084" i="37"/>
  <c r="M1081" i="37" s="1"/>
  <c r="M1082" i="37" s="1"/>
  <c r="L1084" i="37"/>
  <c r="L1081" i="37" s="1"/>
  <c r="L1082" i="37" s="1"/>
  <c r="K1084" i="37"/>
  <c r="K1081" i="37" s="1"/>
  <c r="K1082" i="37" s="1"/>
  <c r="J1084" i="37"/>
  <c r="J1081" i="37" s="1"/>
  <c r="J1082" i="37" s="1"/>
  <c r="I1084" i="37"/>
  <c r="I1081" i="37" s="1"/>
  <c r="I1082" i="37" s="1"/>
  <c r="H1084" i="37"/>
  <c r="H1081" i="37" s="1"/>
  <c r="H1082" i="37" s="1"/>
  <c r="N1083" i="37"/>
  <c r="M1083" i="37"/>
  <c r="L1083" i="37"/>
  <c r="K1083" i="37"/>
  <c r="J1083" i="37"/>
  <c r="I1083" i="37"/>
  <c r="H1083" i="37"/>
  <c r="N1029" i="37"/>
  <c r="M1029" i="37"/>
  <c r="L1029" i="37"/>
  <c r="K1029" i="37"/>
  <c r="J1029" i="37"/>
  <c r="I1029" i="37"/>
  <c r="H1029" i="37"/>
  <c r="D1020" i="37"/>
  <c r="D1021" i="37" s="1"/>
  <c r="D1022" i="37" s="1"/>
  <c r="D1023" i="37" s="1"/>
  <c r="D1024" i="37" s="1"/>
  <c r="D1025" i="37" s="1"/>
  <c r="D1026" i="37" s="1"/>
  <c r="D1027" i="37" s="1"/>
  <c r="D1028" i="37" s="1"/>
  <c r="H996" i="37"/>
  <c r="N991" i="37"/>
  <c r="M991" i="37"/>
  <c r="L991" i="37"/>
  <c r="K991" i="37"/>
  <c r="J991" i="37"/>
  <c r="I991" i="37"/>
  <c r="H991" i="37"/>
  <c r="H971" i="37"/>
  <c r="H980" i="37" s="1"/>
  <c r="N964" i="37"/>
  <c r="M964" i="37"/>
  <c r="L964" i="37"/>
  <c r="K964" i="37"/>
  <c r="J964" i="37"/>
  <c r="I964" i="37"/>
  <c r="H964" i="37"/>
  <c r="N963" i="37"/>
  <c r="M963" i="37"/>
  <c r="L963" i="37"/>
  <c r="K963" i="37"/>
  <c r="J963" i="37"/>
  <c r="I963" i="37"/>
  <c r="H963" i="37"/>
  <c r="N884" i="37"/>
  <c r="M884" i="37"/>
  <c r="L884" i="37"/>
  <c r="K884" i="37"/>
  <c r="J884" i="37"/>
  <c r="I884" i="37"/>
  <c r="H884" i="37"/>
  <c r="N875" i="37"/>
  <c r="Z875" i="37" s="1"/>
  <c r="M875" i="37"/>
  <c r="Y875" i="37" s="1"/>
  <c r="L875" i="37"/>
  <c r="X875" i="37" s="1"/>
  <c r="K875" i="37"/>
  <c r="W875" i="37" s="1"/>
  <c r="J875" i="37"/>
  <c r="V875" i="37" s="1"/>
  <c r="I875" i="37"/>
  <c r="U875" i="37" s="1"/>
  <c r="H875" i="37"/>
  <c r="T875" i="37" s="1"/>
  <c r="G853" i="37"/>
  <c r="H857" i="37" s="1"/>
  <c r="H866" i="37" s="1"/>
  <c r="N850" i="37"/>
  <c r="M850" i="37"/>
  <c r="L850" i="37"/>
  <c r="K850" i="37"/>
  <c r="J850" i="37"/>
  <c r="I850" i="37"/>
  <c r="H850" i="37"/>
  <c r="N840" i="37"/>
  <c r="M840" i="37"/>
  <c r="L840" i="37"/>
  <c r="K840" i="37"/>
  <c r="J840" i="37"/>
  <c r="I840" i="37"/>
  <c r="H840" i="37"/>
  <c r="N831" i="37"/>
  <c r="M831" i="37"/>
  <c r="L831" i="37"/>
  <c r="K831" i="37"/>
  <c r="J831" i="37"/>
  <c r="I831" i="37"/>
  <c r="H831" i="37"/>
  <c r="N794" i="37"/>
  <c r="N791" i="37" s="1"/>
  <c r="N792" i="37" s="1"/>
  <c r="M794" i="37"/>
  <c r="M791" i="37" s="1"/>
  <c r="M792" i="37" s="1"/>
  <c r="L794" i="37"/>
  <c r="L791" i="37" s="1"/>
  <c r="L792" i="37" s="1"/>
  <c r="K794" i="37"/>
  <c r="K791" i="37" s="1"/>
  <c r="K792" i="37" s="1"/>
  <c r="J794" i="37"/>
  <c r="J791" i="37" s="1"/>
  <c r="J792" i="37" s="1"/>
  <c r="I794" i="37"/>
  <c r="I791" i="37" s="1"/>
  <c r="I792" i="37" s="1"/>
  <c r="H794" i="37"/>
  <c r="H791" i="37" s="1"/>
  <c r="H792" i="37" s="1"/>
  <c r="N793" i="37"/>
  <c r="M793" i="37"/>
  <c r="L793" i="37"/>
  <c r="K793" i="37"/>
  <c r="J793" i="37"/>
  <c r="I793" i="37"/>
  <c r="H793" i="37"/>
  <c r="N782" i="37"/>
  <c r="N779" i="37" s="1"/>
  <c r="N780" i="37" s="1"/>
  <c r="M782" i="37"/>
  <c r="M779" i="37" s="1"/>
  <c r="M780" i="37" s="1"/>
  <c r="L782" i="37"/>
  <c r="L779" i="37" s="1"/>
  <c r="L780" i="37" s="1"/>
  <c r="K782" i="37"/>
  <c r="K779" i="37" s="1"/>
  <c r="K780" i="37" s="1"/>
  <c r="J782" i="37"/>
  <c r="J779" i="37" s="1"/>
  <c r="J780" i="37" s="1"/>
  <c r="I782" i="37"/>
  <c r="I779" i="37" s="1"/>
  <c r="I780" i="37" s="1"/>
  <c r="H782" i="37"/>
  <c r="H779" i="37" s="1"/>
  <c r="H780" i="37" s="1"/>
  <c r="N781" i="37"/>
  <c r="M781" i="37"/>
  <c r="L781" i="37"/>
  <c r="K781" i="37"/>
  <c r="J781" i="37"/>
  <c r="I781" i="37"/>
  <c r="H781" i="37"/>
  <c r="N727" i="37"/>
  <c r="M727" i="37"/>
  <c r="L727" i="37"/>
  <c r="K727" i="37"/>
  <c r="J727" i="37"/>
  <c r="I727" i="37"/>
  <c r="H727" i="37"/>
  <c r="D718" i="37"/>
  <c r="D719" i="37" s="1"/>
  <c r="D720" i="37" s="1"/>
  <c r="D721" i="37" s="1"/>
  <c r="D722" i="37" s="1"/>
  <c r="D723" i="37" s="1"/>
  <c r="D724" i="37" s="1"/>
  <c r="D725" i="37" s="1"/>
  <c r="D726" i="37" s="1"/>
  <c r="H694" i="37"/>
  <c r="N689" i="37"/>
  <c r="M689" i="37"/>
  <c r="L689" i="37"/>
  <c r="K689" i="37"/>
  <c r="J689" i="37"/>
  <c r="I689" i="37"/>
  <c r="H689" i="37"/>
  <c r="H669" i="37"/>
  <c r="N662" i="37"/>
  <c r="M662" i="37"/>
  <c r="L662" i="37"/>
  <c r="K662" i="37"/>
  <c r="J662" i="37"/>
  <c r="I662" i="37"/>
  <c r="H662" i="37"/>
  <c r="N661" i="37"/>
  <c r="M661" i="37"/>
  <c r="L661" i="37"/>
  <c r="K661" i="37"/>
  <c r="J661" i="37"/>
  <c r="I661" i="37"/>
  <c r="H661" i="37"/>
  <c r="N582" i="37"/>
  <c r="M582" i="37"/>
  <c r="L582" i="37"/>
  <c r="K582" i="37"/>
  <c r="J582" i="37"/>
  <c r="I582" i="37"/>
  <c r="H582" i="37"/>
  <c r="N573" i="37"/>
  <c r="Z573" i="37" s="1"/>
  <c r="M573" i="37"/>
  <c r="Y573" i="37" s="1"/>
  <c r="L573" i="37"/>
  <c r="X573" i="37" s="1"/>
  <c r="K573" i="37"/>
  <c r="W573" i="37" s="1"/>
  <c r="J573" i="37"/>
  <c r="V573" i="37" s="1"/>
  <c r="I573" i="37"/>
  <c r="U573" i="37" s="1"/>
  <c r="H573" i="37"/>
  <c r="T573" i="37" s="1"/>
  <c r="G551" i="37"/>
  <c r="H555" i="37" s="1"/>
  <c r="N548" i="37"/>
  <c r="M548" i="37"/>
  <c r="L548" i="37"/>
  <c r="K548" i="37"/>
  <c r="J548" i="37"/>
  <c r="I548" i="37"/>
  <c r="H548" i="37"/>
  <c r="N538" i="37"/>
  <c r="M538" i="37"/>
  <c r="L538" i="37"/>
  <c r="K538" i="37"/>
  <c r="J538" i="37"/>
  <c r="I538" i="37"/>
  <c r="H538" i="37"/>
  <c r="N529" i="37"/>
  <c r="M529" i="37"/>
  <c r="L529" i="37"/>
  <c r="K529" i="37"/>
  <c r="J529" i="37"/>
  <c r="I529" i="37"/>
  <c r="H529" i="37"/>
  <c r="N492" i="37"/>
  <c r="N489" i="37" s="1"/>
  <c r="N490" i="37" s="1"/>
  <c r="M492" i="37"/>
  <c r="M489" i="37" s="1"/>
  <c r="M490" i="37" s="1"/>
  <c r="L492" i="37"/>
  <c r="L489" i="37" s="1"/>
  <c r="L490" i="37" s="1"/>
  <c r="K492" i="37"/>
  <c r="K489" i="37" s="1"/>
  <c r="K490" i="37" s="1"/>
  <c r="J492" i="37"/>
  <c r="J489" i="37" s="1"/>
  <c r="J490" i="37" s="1"/>
  <c r="I492" i="37"/>
  <c r="I489" i="37" s="1"/>
  <c r="I490" i="37" s="1"/>
  <c r="H492" i="37"/>
  <c r="H489" i="37" s="1"/>
  <c r="H490" i="37" s="1"/>
  <c r="N491" i="37"/>
  <c r="M491" i="37"/>
  <c r="L491" i="37"/>
  <c r="K491" i="37"/>
  <c r="J491" i="37"/>
  <c r="I491" i="37"/>
  <c r="H491" i="37"/>
  <c r="N480" i="37"/>
  <c r="N477" i="37" s="1"/>
  <c r="N478" i="37" s="1"/>
  <c r="M480" i="37"/>
  <c r="M477" i="37" s="1"/>
  <c r="M478" i="37" s="1"/>
  <c r="L480" i="37"/>
  <c r="L477" i="37"/>
  <c r="L478" i="37" s="1"/>
  <c r="K480" i="37"/>
  <c r="K477" i="37" s="1"/>
  <c r="K478" i="37" s="1"/>
  <c r="J480" i="37"/>
  <c r="J477" i="37"/>
  <c r="J478" i="37" s="1"/>
  <c r="I480" i="37"/>
  <c r="I477" i="37" s="1"/>
  <c r="I478" i="37" s="1"/>
  <c r="H480" i="37"/>
  <c r="H477" i="37" s="1"/>
  <c r="H478" i="37" s="1"/>
  <c r="N479" i="37"/>
  <c r="M479" i="37"/>
  <c r="L479" i="37"/>
  <c r="K479" i="37"/>
  <c r="J479" i="37"/>
  <c r="I479" i="37"/>
  <c r="H479" i="37"/>
  <c r="N425" i="37"/>
  <c r="M425" i="37"/>
  <c r="L425" i="37"/>
  <c r="K425" i="37"/>
  <c r="J425" i="37"/>
  <c r="I425" i="37"/>
  <c r="H425" i="37"/>
  <c r="D416" i="37"/>
  <c r="D417" i="37" s="1"/>
  <c r="D418" i="37" s="1"/>
  <c r="D419" i="37" s="1"/>
  <c r="D420" i="37" s="1"/>
  <c r="D421" i="37" s="1"/>
  <c r="D422" i="37" s="1"/>
  <c r="D423" i="37" s="1"/>
  <c r="D424" i="37" s="1"/>
  <c r="H392" i="37"/>
  <c r="N387" i="37"/>
  <c r="M387" i="37"/>
  <c r="L387" i="37"/>
  <c r="K387" i="37"/>
  <c r="J387" i="37"/>
  <c r="I387" i="37"/>
  <c r="H387" i="37"/>
  <c r="H367" i="37"/>
  <c r="N360" i="37"/>
  <c r="M360" i="37"/>
  <c r="L360" i="37"/>
  <c r="K360" i="37"/>
  <c r="J360" i="37"/>
  <c r="I360" i="37"/>
  <c r="H360" i="37"/>
  <c r="N359" i="37"/>
  <c r="M359" i="37"/>
  <c r="L359" i="37"/>
  <c r="K359" i="37"/>
  <c r="J359" i="37"/>
  <c r="I359" i="37"/>
  <c r="H359" i="37"/>
  <c r="R252" i="49"/>
  <c r="S252" i="49"/>
  <c r="R203" i="49"/>
  <c r="S203" i="49"/>
  <c r="Y28" i="49"/>
  <c r="N16" i="41" s="1"/>
  <c r="X28" i="49"/>
  <c r="W28" i="49"/>
  <c r="V28" i="49"/>
  <c r="U28" i="49"/>
  <c r="T28" i="49"/>
  <c r="I16" i="41" s="1"/>
  <c r="S28" i="49"/>
  <c r="H16" i="41" s="1"/>
  <c r="Y26" i="49"/>
  <c r="N69" i="50" s="1"/>
  <c r="X26" i="49"/>
  <c r="M69" i="50" s="1"/>
  <c r="W26" i="49"/>
  <c r="V26" i="49"/>
  <c r="K69" i="50" s="1"/>
  <c r="U26" i="49"/>
  <c r="J69" i="50" s="1"/>
  <c r="T26" i="49"/>
  <c r="I69" i="50" s="1"/>
  <c r="S26" i="49"/>
  <c r="Y24" i="49"/>
  <c r="N67" i="50" s="1"/>
  <c r="X24" i="49"/>
  <c r="M67" i="50" s="1"/>
  <c r="W24" i="49"/>
  <c r="L67" i="50" s="1"/>
  <c r="V24" i="49"/>
  <c r="K67" i="50" s="1"/>
  <c r="U24" i="49"/>
  <c r="J67" i="50" s="1"/>
  <c r="T24" i="49"/>
  <c r="I67" i="50" s="1"/>
  <c r="S24" i="49"/>
  <c r="H67" i="50" s="1"/>
  <c r="Y23" i="49"/>
  <c r="N66" i="50" s="1"/>
  <c r="X23" i="49"/>
  <c r="M66" i="50"/>
  <c r="W23" i="49"/>
  <c r="L66" i="50" s="1"/>
  <c r="V23" i="49"/>
  <c r="U23" i="49"/>
  <c r="J66" i="50" s="1"/>
  <c r="T23" i="49"/>
  <c r="I66" i="50" s="1"/>
  <c r="S23" i="49"/>
  <c r="H66" i="50" s="1"/>
  <c r="Y22" i="49"/>
  <c r="N65" i="50" s="1"/>
  <c r="X22" i="49"/>
  <c r="M65" i="50" s="1"/>
  <c r="W22" i="49"/>
  <c r="L65" i="50" s="1"/>
  <c r="V22" i="49"/>
  <c r="K65" i="50" s="1"/>
  <c r="U22" i="49"/>
  <c r="J65" i="50" s="1"/>
  <c r="T22" i="49"/>
  <c r="I65" i="50" s="1"/>
  <c r="S22" i="49"/>
  <c r="H65" i="50" s="1"/>
  <c r="Y21" i="49"/>
  <c r="X21" i="49"/>
  <c r="W21" i="49"/>
  <c r="V21" i="49"/>
  <c r="K64" i="50" s="1"/>
  <c r="U21" i="49"/>
  <c r="J64" i="50" s="1"/>
  <c r="T21" i="49"/>
  <c r="S21" i="49"/>
  <c r="H64" i="50" s="1"/>
  <c r="Z811" i="42"/>
  <c r="Y811" i="42"/>
  <c r="X811" i="42"/>
  <c r="W811" i="42"/>
  <c r="V811" i="42"/>
  <c r="U811" i="42"/>
  <c r="T811" i="42"/>
  <c r="F761" i="42"/>
  <c r="N760" i="42"/>
  <c r="N766" i="42" s="1"/>
  <c r="M760" i="42"/>
  <c r="M766" i="42" s="1"/>
  <c r="L760" i="42"/>
  <c r="L766" i="42" s="1"/>
  <c r="F760" i="42"/>
  <c r="F759" i="42"/>
  <c r="F758" i="42"/>
  <c r="F757" i="42"/>
  <c r="F756" i="42"/>
  <c r="F755" i="42"/>
  <c r="F754" i="42"/>
  <c r="F753" i="42"/>
  <c r="F752" i="42"/>
  <c r="F751" i="42"/>
  <c r="D751" i="42"/>
  <c r="D752" i="42" s="1"/>
  <c r="D753" i="42" s="1"/>
  <c r="D754" i="42" s="1"/>
  <c r="D755" i="42" s="1"/>
  <c r="D756" i="42" s="1"/>
  <c r="D757" i="42" s="1"/>
  <c r="D758" i="42" s="1"/>
  <c r="D759" i="42" s="1"/>
  <c r="F750" i="42"/>
  <c r="N737" i="42"/>
  <c r="M737" i="42"/>
  <c r="L737" i="42"/>
  <c r="F737" i="42"/>
  <c r="F766" i="42" s="1"/>
  <c r="H770" i="42" s="1"/>
  <c r="E736" i="42"/>
  <c r="E759" i="42" s="1"/>
  <c r="E735" i="42"/>
  <c r="E734" i="42"/>
  <c r="E733" i="42"/>
  <c r="E756" i="42" s="1"/>
  <c r="E732" i="42"/>
  <c r="E755" i="42" s="1"/>
  <c r="E731" i="42"/>
  <c r="E730" i="42"/>
  <c r="E753" i="42" s="1"/>
  <c r="E729" i="42"/>
  <c r="E752" i="42" s="1"/>
  <c r="E728" i="42"/>
  <c r="D728" i="42"/>
  <c r="D729" i="42" s="1"/>
  <c r="D730" i="42" s="1"/>
  <c r="D731" i="42" s="1"/>
  <c r="D732" i="42" s="1"/>
  <c r="D733" i="42" s="1"/>
  <c r="D734" i="42" s="1"/>
  <c r="D735" i="42" s="1"/>
  <c r="D736" i="42" s="1"/>
  <c r="E727" i="42"/>
  <c r="E750" i="42" s="1"/>
  <c r="G760" i="42"/>
  <c r="D711" i="42"/>
  <c r="D712" i="42" s="1"/>
  <c r="D713" i="42" s="1"/>
  <c r="D714" i="42" s="1"/>
  <c r="D715" i="42" s="1"/>
  <c r="D716" i="42" s="1"/>
  <c r="D717" i="42" s="1"/>
  <c r="D718" i="42" s="1"/>
  <c r="D719" i="42" s="1"/>
  <c r="Y664" i="42"/>
  <c r="X664" i="42"/>
  <c r="W664" i="42"/>
  <c r="V664" i="42"/>
  <c r="U664" i="42"/>
  <c r="T664" i="42"/>
  <c r="E327" i="50"/>
  <c r="N224" i="50"/>
  <c r="M224" i="50"/>
  <c r="L224" i="50"/>
  <c r="K224" i="50"/>
  <c r="J224" i="50"/>
  <c r="I224" i="50"/>
  <c r="H224" i="50"/>
  <c r="N223" i="50"/>
  <c r="M223" i="50"/>
  <c r="L223" i="50"/>
  <c r="K223" i="50"/>
  <c r="J223" i="50"/>
  <c r="I223" i="50"/>
  <c r="H223" i="50"/>
  <c r="N222" i="50"/>
  <c r="M222" i="50"/>
  <c r="L222" i="50"/>
  <c r="K222" i="50"/>
  <c r="J222" i="50"/>
  <c r="I222" i="50"/>
  <c r="H222" i="50"/>
  <c r="C315" i="37"/>
  <c r="P2067" i="50"/>
  <c r="P2065" i="50"/>
  <c r="A2054" i="50"/>
  <c r="A2053" i="50"/>
  <c r="A2052" i="50"/>
  <c r="A2047" i="50"/>
  <c r="A2046" i="50"/>
  <c r="P2043" i="50"/>
  <c r="P2040" i="50"/>
  <c r="A2036" i="50"/>
  <c r="A2035" i="50"/>
  <c r="A2034" i="50"/>
  <c r="A2033" i="50"/>
  <c r="A2032" i="50"/>
  <c r="A2026" i="50"/>
  <c r="A2025" i="50"/>
  <c r="P2024" i="50"/>
  <c r="A2024" i="50"/>
  <c r="A2020" i="50"/>
  <c r="A2019" i="50"/>
  <c r="A2018" i="50"/>
  <c r="A2012" i="50"/>
  <c r="A2011" i="50"/>
  <c r="A2010" i="50"/>
  <c r="A2009" i="50"/>
  <c r="A2004" i="50"/>
  <c r="A1998" i="50"/>
  <c r="A1993" i="50"/>
  <c r="A1992" i="50"/>
  <c r="A1991" i="50"/>
  <c r="A1990" i="50"/>
  <c r="A1984" i="50"/>
  <c r="A1983" i="50"/>
  <c r="A1982" i="50"/>
  <c r="A1981" i="50"/>
  <c r="A1980" i="50"/>
  <c r="A1972" i="50"/>
  <c r="A1971" i="50"/>
  <c r="A1970" i="50"/>
  <c r="A1969" i="50"/>
  <c r="A1968" i="50"/>
  <c r="A1967" i="50"/>
  <c r="P1903" i="50"/>
  <c r="P1901" i="50"/>
  <c r="A1890" i="50"/>
  <c r="A1889" i="50"/>
  <c r="A1888" i="50"/>
  <c r="A1883" i="50"/>
  <c r="A1882" i="50"/>
  <c r="P1879" i="50"/>
  <c r="P1876" i="50"/>
  <c r="A1872" i="50"/>
  <c r="A1871" i="50"/>
  <c r="A1870" i="50"/>
  <c r="A1869" i="50"/>
  <c r="A1868" i="50"/>
  <c r="A1862" i="50"/>
  <c r="A1861" i="50"/>
  <c r="P1860" i="50"/>
  <c r="A1856" i="50"/>
  <c r="A1855" i="50"/>
  <c r="A1854" i="50"/>
  <c r="A1848" i="50"/>
  <c r="A1847" i="50"/>
  <c r="A1846" i="50"/>
  <c r="A1845" i="50"/>
  <c r="A1840" i="50"/>
  <c r="A1834" i="50"/>
  <c r="A1829" i="50"/>
  <c r="A1828" i="50"/>
  <c r="A1827" i="50"/>
  <c r="A1826" i="50"/>
  <c r="A1820" i="50"/>
  <c r="A1819" i="50"/>
  <c r="A1818" i="50"/>
  <c r="A1817" i="50"/>
  <c r="A1816" i="50"/>
  <c r="A1808" i="50"/>
  <c r="A1807" i="50"/>
  <c r="A1806" i="50"/>
  <c r="A1805" i="50"/>
  <c r="A1804" i="50"/>
  <c r="A1803" i="50"/>
  <c r="P1739" i="50"/>
  <c r="P1737" i="50"/>
  <c r="A1726" i="50"/>
  <c r="A1725" i="50"/>
  <c r="A1724" i="50"/>
  <c r="A1719" i="50"/>
  <c r="A1718" i="50"/>
  <c r="P1715" i="50"/>
  <c r="P1712" i="50"/>
  <c r="A1708" i="50"/>
  <c r="A1707" i="50"/>
  <c r="A1706" i="50"/>
  <c r="A1705" i="50"/>
  <c r="A1704" i="50"/>
  <c r="A1698" i="50"/>
  <c r="A1697" i="50"/>
  <c r="P1696" i="50"/>
  <c r="P1694" i="50" s="1"/>
  <c r="P1695" i="50" s="1"/>
  <c r="A1692" i="50"/>
  <c r="A1691" i="50"/>
  <c r="A1690" i="50"/>
  <c r="A1684" i="50"/>
  <c r="A1683" i="50"/>
  <c r="A1682" i="50"/>
  <c r="A1681" i="50"/>
  <c r="A1676" i="50"/>
  <c r="A1670" i="50"/>
  <c r="A1665" i="50"/>
  <c r="A1664" i="50"/>
  <c r="A1663" i="50"/>
  <c r="A1662" i="50"/>
  <c r="A1656" i="50"/>
  <c r="A1655" i="50"/>
  <c r="A1654" i="50"/>
  <c r="A1653" i="50"/>
  <c r="A1652" i="50"/>
  <c r="A1644" i="50"/>
  <c r="A1643" i="50"/>
  <c r="A1642" i="50"/>
  <c r="A1641" i="50"/>
  <c r="A1640" i="50"/>
  <c r="A1639" i="50"/>
  <c r="P1575" i="50"/>
  <c r="P1573" i="50"/>
  <c r="A1562" i="50"/>
  <c r="A1561" i="50"/>
  <c r="A1560" i="50"/>
  <c r="A1555" i="50"/>
  <c r="A1554" i="50"/>
  <c r="P1551" i="50"/>
  <c r="P1548" i="50"/>
  <c r="A1544" i="50"/>
  <c r="A1543" i="50"/>
  <c r="A1542" i="50"/>
  <c r="A1541" i="50"/>
  <c r="A1540" i="50"/>
  <c r="A1534" i="50"/>
  <c r="A1533" i="50"/>
  <c r="P1532" i="50"/>
  <c r="P1530" i="50"/>
  <c r="P1531" i="50" s="1"/>
  <c r="A1528" i="50"/>
  <c r="A1527" i="50"/>
  <c r="A1526" i="50"/>
  <c r="A1520" i="50"/>
  <c r="A1519" i="50"/>
  <c r="A1518" i="50"/>
  <c r="A1517" i="50"/>
  <c r="A1512" i="50"/>
  <c r="A1506" i="50"/>
  <c r="A1501" i="50"/>
  <c r="A1500" i="50"/>
  <c r="A1499" i="50"/>
  <c r="A1498" i="50"/>
  <c r="A1492" i="50"/>
  <c r="A1491" i="50"/>
  <c r="A1490" i="50"/>
  <c r="A1489" i="50"/>
  <c r="A1488" i="50"/>
  <c r="A1480" i="50"/>
  <c r="A1479" i="50"/>
  <c r="A1478" i="50"/>
  <c r="A1477" i="50"/>
  <c r="A1476" i="50"/>
  <c r="A1475" i="50"/>
  <c r="P1411" i="50"/>
  <c r="P1409" i="50"/>
  <c r="A1398" i="50"/>
  <c r="A1397" i="50"/>
  <c r="A1396" i="50"/>
  <c r="A1391" i="50"/>
  <c r="A1390" i="50"/>
  <c r="P1387" i="50"/>
  <c r="P1384" i="50"/>
  <c r="P1382" i="50" s="1"/>
  <c r="P1383" i="50" s="1"/>
  <c r="A1380" i="50"/>
  <c r="A1379" i="50"/>
  <c r="A1378" i="50"/>
  <c r="A1377" i="50"/>
  <c r="A1376" i="50"/>
  <c r="A1370" i="50"/>
  <c r="A1369" i="50"/>
  <c r="P1368" i="50"/>
  <c r="A1364" i="50"/>
  <c r="A1363" i="50"/>
  <c r="A1362" i="50"/>
  <c r="A1356" i="50"/>
  <c r="A1355" i="50"/>
  <c r="A1354" i="50"/>
  <c r="A1353" i="50"/>
  <c r="A1348" i="50"/>
  <c r="A1342" i="50"/>
  <c r="A1337" i="50"/>
  <c r="A1336" i="50"/>
  <c r="A1335" i="50"/>
  <c r="A1334" i="50"/>
  <c r="A1328" i="50"/>
  <c r="A1327" i="50"/>
  <c r="A1326" i="50"/>
  <c r="A1325" i="50"/>
  <c r="A1324" i="50"/>
  <c r="A1316" i="50"/>
  <c r="A1315" i="50"/>
  <c r="A1314" i="50"/>
  <c r="A1313" i="50"/>
  <c r="A1312" i="50"/>
  <c r="A1311" i="50"/>
  <c r="P1247" i="50"/>
  <c r="P1245" i="50"/>
  <c r="A1234" i="50"/>
  <c r="A1233" i="50"/>
  <c r="A1232" i="50"/>
  <c r="A1227" i="50"/>
  <c r="A1226" i="50"/>
  <c r="P1223" i="50"/>
  <c r="P1220" i="50"/>
  <c r="A1216" i="50"/>
  <c r="A1215" i="50"/>
  <c r="A1214" i="50"/>
  <c r="A1213" i="50"/>
  <c r="A1212" i="50"/>
  <c r="A1206" i="50"/>
  <c r="A1205" i="50"/>
  <c r="P1204" i="50"/>
  <c r="A1200" i="50"/>
  <c r="A1199" i="50"/>
  <c r="A1198" i="50"/>
  <c r="A1192" i="50"/>
  <c r="A1191" i="50"/>
  <c r="A1190" i="50"/>
  <c r="A1189" i="50"/>
  <c r="A1184" i="50"/>
  <c r="A1178" i="50"/>
  <c r="A1173" i="50"/>
  <c r="A1172" i="50"/>
  <c r="A1171" i="50"/>
  <c r="A1170" i="50"/>
  <c r="A1164" i="50"/>
  <c r="A1163" i="50"/>
  <c r="A1162" i="50"/>
  <c r="A1161" i="50"/>
  <c r="A1160" i="50"/>
  <c r="A1152" i="50"/>
  <c r="A1151" i="50"/>
  <c r="A1150" i="50"/>
  <c r="A1149" i="50"/>
  <c r="A1148" i="50"/>
  <c r="A1147" i="50"/>
  <c r="P1083" i="50"/>
  <c r="P1081" i="50"/>
  <c r="A1070" i="50"/>
  <c r="A1069" i="50"/>
  <c r="A1068" i="50"/>
  <c r="A1063" i="50"/>
  <c r="A1062" i="50"/>
  <c r="P1059" i="50"/>
  <c r="P1056" i="50"/>
  <c r="A1056" i="50" s="1"/>
  <c r="A1052" i="50"/>
  <c r="A1051" i="50"/>
  <c r="A1050" i="50"/>
  <c r="A1049" i="50"/>
  <c r="A1048" i="50"/>
  <c r="A1042" i="50"/>
  <c r="A1041" i="50"/>
  <c r="P1040" i="50"/>
  <c r="A1036" i="50"/>
  <c r="A1035" i="50"/>
  <c r="A1034" i="50"/>
  <c r="A1028" i="50"/>
  <c r="A1027" i="50"/>
  <c r="A1026" i="50"/>
  <c r="A1025" i="50"/>
  <c r="A1020" i="50"/>
  <c r="A1014" i="50"/>
  <c r="A1009" i="50"/>
  <c r="A1008" i="50"/>
  <c r="A1007" i="50"/>
  <c r="A1006" i="50"/>
  <c r="A1000" i="50"/>
  <c r="A999" i="50"/>
  <c r="A998" i="50"/>
  <c r="A997" i="50"/>
  <c r="A996" i="50"/>
  <c r="A988" i="50"/>
  <c r="A987" i="50"/>
  <c r="A986" i="50"/>
  <c r="A985" i="50"/>
  <c r="A984" i="50"/>
  <c r="A983" i="50"/>
  <c r="P919" i="50"/>
  <c r="P917" i="50"/>
  <c r="A906" i="50"/>
  <c r="A905" i="50"/>
  <c r="A904" i="50"/>
  <c r="A899" i="50"/>
  <c r="A898" i="50"/>
  <c r="P895" i="50"/>
  <c r="P892" i="50"/>
  <c r="A888" i="50"/>
  <c r="A887" i="50"/>
  <c r="A886" i="50"/>
  <c r="A885" i="50"/>
  <c r="A884" i="50"/>
  <c r="A878" i="50"/>
  <c r="A877" i="50"/>
  <c r="P876" i="50"/>
  <c r="A876" i="50" s="1"/>
  <c r="A872" i="50"/>
  <c r="A871" i="50"/>
  <c r="A870" i="50"/>
  <c r="A864" i="50"/>
  <c r="A863" i="50"/>
  <c r="A862" i="50"/>
  <c r="A861" i="50"/>
  <c r="A856" i="50"/>
  <c r="A850" i="50"/>
  <c r="A845" i="50"/>
  <c r="A844" i="50"/>
  <c r="A843" i="50"/>
  <c r="A842" i="50"/>
  <c r="A836" i="50"/>
  <c r="A835" i="50"/>
  <c r="A834" i="50"/>
  <c r="A833" i="50"/>
  <c r="A832" i="50"/>
  <c r="A824" i="50"/>
  <c r="A823" i="50"/>
  <c r="A822" i="50"/>
  <c r="A821" i="50"/>
  <c r="A820" i="50"/>
  <c r="A819" i="50"/>
  <c r="A2478" i="50"/>
  <c r="A2439" i="50"/>
  <c r="A2383" i="50"/>
  <c r="A2326" i="50"/>
  <c r="A2266" i="50"/>
  <c r="C2185" i="50"/>
  <c r="A2200" i="50"/>
  <c r="C641" i="50"/>
  <c r="P591" i="50"/>
  <c r="P589" i="50"/>
  <c r="A578" i="50"/>
  <c r="A577" i="50"/>
  <c r="A576" i="50"/>
  <c r="H575" i="50"/>
  <c r="H572" i="50"/>
  <c r="A571" i="50"/>
  <c r="A570" i="50"/>
  <c r="P567" i="50"/>
  <c r="P564" i="50"/>
  <c r="P562" i="50"/>
  <c r="P563" i="50" s="1"/>
  <c r="A560" i="50"/>
  <c r="A559" i="50"/>
  <c r="A558" i="50"/>
  <c r="A557" i="50"/>
  <c r="A556" i="50"/>
  <c r="A550" i="50"/>
  <c r="A549" i="50"/>
  <c r="P548" i="50"/>
  <c r="A544" i="50"/>
  <c r="A543" i="50"/>
  <c r="A542" i="50"/>
  <c r="A536" i="50"/>
  <c r="A535" i="50"/>
  <c r="A534" i="50"/>
  <c r="A533" i="50"/>
  <c r="A528" i="50"/>
  <c r="A522" i="50"/>
  <c r="A517" i="50"/>
  <c r="A516" i="50"/>
  <c r="A515" i="50"/>
  <c r="A514" i="50"/>
  <c r="A508" i="50"/>
  <c r="A507" i="50"/>
  <c r="A506" i="50"/>
  <c r="A505" i="50"/>
  <c r="A504" i="50"/>
  <c r="A496" i="50"/>
  <c r="A495" i="50"/>
  <c r="A494" i="50"/>
  <c r="A493" i="50"/>
  <c r="A492" i="50"/>
  <c r="A491" i="50"/>
  <c r="Q477" i="50"/>
  <c r="N940" i="42"/>
  <c r="M940" i="42"/>
  <c r="L940" i="42"/>
  <c r="K940" i="42"/>
  <c r="J940" i="42"/>
  <c r="E939" i="42"/>
  <c r="E938" i="42"/>
  <c r="E937" i="42"/>
  <c r="E936" i="42"/>
  <c r="E935" i="42"/>
  <c r="E934" i="42"/>
  <c r="E933" i="42"/>
  <c r="E932" i="42"/>
  <c r="E931" i="42"/>
  <c r="D931" i="42"/>
  <c r="D932" i="42" s="1"/>
  <c r="D933" i="42" s="1"/>
  <c r="D934" i="42" s="1"/>
  <c r="D935" i="42" s="1"/>
  <c r="D936" i="42" s="1"/>
  <c r="D937" i="42" s="1"/>
  <c r="D938" i="42" s="1"/>
  <c r="D939" i="42" s="1"/>
  <c r="E930" i="42"/>
  <c r="D917" i="42"/>
  <c r="D918" i="42" s="1"/>
  <c r="D919" i="42" s="1"/>
  <c r="D920" i="42" s="1"/>
  <c r="D921" i="42" s="1"/>
  <c r="D922" i="42" s="1"/>
  <c r="D923" i="42" s="1"/>
  <c r="D924" i="42" s="1"/>
  <c r="D925" i="42" s="1"/>
  <c r="Z664" i="42"/>
  <c r="F614" i="42"/>
  <c r="N613" i="42"/>
  <c r="N619" i="42" s="1"/>
  <c r="M613" i="42"/>
  <c r="M619" i="42" s="1"/>
  <c r="L613" i="42"/>
  <c r="L619" i="42" s="1"/>
  <c r="K613" i="42"/>
  <c r="K619" i="42" s="1"/>
  <c r="J613" i="42"/>
  <c r="I613" i="42"/>
  <c r="H613" i="42"/>
  <c r="H619" i="42" s="1"/>
  <c r="G613" i="42"/>
  <c r="F613" i="42"/>
  <c r="F612" i="42"/>
  <c r="F611" i="42"/>
  <c r="F610" i="42"/>
  <c r="F609" i="42"/>
  <c r="F608" i="42"/>
  <c r="F607" i="42"/>
  <c r="F606" i="42"/>
  <c r="F605" i="42"/>
  <c r="F604" i="42"/>
  <c r="D604" i="42"/>
  <c r="D605" i="42" s="1"/>
  <c r="D606" i="42" s="1"/>
  <c r="D607" i="42" s="1"/>
  <c r="D608" i="42" s="1"/>
  <c r="D609" i="42" s="1"/>
  <c r="D610" i="42" s="1"/>
  <c r="D611" i="42" s="1"/>
  <c r="D612" i="42" s="1"/>
  <c r="F603" i="42"/>
  <c r="N590" i="42"/>
  <c r="M590" i="42"/>
  <c r="L590" i="42"/>
  <c r="K590" i="42"/>
  <c r="J590" i="42"/>
  <c r="I590" i="42"/>
  <c r="H590" i="42"/>
  <c r="G590" i="42"/>
  <c r="F590" i="42"/>
  <c r="F619" i="42" s="1"/>
  <c r="H623" i="42" s="1"/>
  <c r="E589" i="42"/>
  <c r="E588" i="42"/>
  <c r="E611" i="42" s="1"/>
  <c r="E587" i="42"/>
  <c r="E586" i="42"/>
  <c r="E609" i="42" s="1"/>
  <c r="E585" i="42"/>
  <c r="E608" i="42" s="1"/>
  <c r="E584" i="42"/>
  <c r="E607" i="42"/>
  <c r="E583" i="42"/>
  <c r="E582" i="42"/>
  <c r="E605" i="42" s="1"/>
  <c r="E581" i="42"/>
  <c r="D581" i="42"/>
  <c r="D582" i="42" s="1"/>
  <c r="D583" i="42" s="1"/>
  <c r="D584" i="42" s="1"/>
  <c r="D585" i="42" s="1"/>
  <c r="D586" i="42" s="1"/>
  <c r="D587" i="42" s="1"/>
  <c r="D588" i="42" s="1"/>
  <c r="D589" i="42" s="1"/>
  <c r="E580" i="42"/>
  <c r="D564" i="42"/>
  <c r="D565" i="42"/>
  <c r="D566" i="42" s="1"/>
  <c r="D567" i="42" s="1"/>
  <c r="D568" i="42" s="1"/>
  <c r="D569" i="42" s="1"/>
  <c r="D570" i="42" s="1"/>
  <c r="D571" i="42" s="1"/>
  <c r="D572" i="42" s="1"/>
  <c r="N525" i="42"/>
  <c r="M525" i="42"/>
  <c r="L525" i="42"/>
  <c r="K525" i="42"/>
  <c r="J525" i="42"/>
  <c r="I525" i="42"/>
  <c r="H525" i="42"/>
  <c r="Z522" i="42"/>
  <c r="Y522" i="42"/>
  <c r="X522" i="42"/>
  <c r="W522" i="42"/>
  <c r="V522" i="42"/>
  <c r="U522" i="42"/>
  <c r="T522" i="42"/>
  <c r="Z518" i="42"/>
  <c r="Y518" i="42"/>
  <c r="X518" i="42"/>
  <c r="W518" i="42"/>
  <c r="V518" i="42"/>
  <c r="U518" i="42"/>
  <c r="T518" i="42"/>
  <c r="Z514" i="42"/>
  <c r="Y514" i="42"/>
  <c r="X514" i="42"/>
  <c r="W514" i="42"/>
  <c r="V514" i="42"/>
  <c r="U514" i="42"/>
  <c r="T514" i="42"/>
  <c r="Z510" i="42"/>
  <c r="Y510" i="42"/>
  <c r="X510" i="42"/>
  <c r="W510" i="42"/>
  <c r="V510" i="42"/>
  <c r="U510" i="42"/>
  <c r="T510" i="42"/>
  <c r="Z506" i="42"/>
  <c r="Y506" i="42"/>
  <c r="X506" i="42"/>
  <c r="W506" i="42"/>
  <c r="V506" i="42"/>
  <c r="U506" i="42"/>
  <c r="T506" i="42"/>
  <c r="D441" i="42"/>
  <c r="D442" i="42" s="1"/>
  <c r="D443" i="42" s="1"/>
  <c r="D444" i="42" s="1"/>
  <c r="D445" i="42" s="1"/>
  <c r="D446" i="42" s="1"/>
  <c r="D447" i="42" s="1"/>
  <c r="D448" i="42" s="1"/>
  <c r="D449" i="42" s="1"/>
  <c r="C209" i="42"/>
  <c r="N402" i="42"/>
  <c r="M402" i="42"/>
  <c r="L402" i="42"/>
  <c r="K402" i="42"/>
  <c r="J402" i="42"/>
  <c r="I402" i="42"/>
  <c r="H402" i="42"/>
  <c r="F296" i="42"/>
  <c r="N295" i="42"/>
  <c r="N301" i="42" s="1"/>
  <c r="M295" i="42"/>
  <c r="M301" i="42" s="1"/>
  <c r="L295" i="42"/>
  <c r="L301" i="42" s="1"/>
  <c r="G295" i="42"/>
  <c r="F295" i="42"/>
  <c r="F294" i="42"/>
  <c r="F293" i="42"/>
  <c r="F292" i="42"/>
  <c r="F291" i="42"/>
  <c r="F290" i="42"/>
  <c r="F289" i="42"/>
  <c r="F288" i="42"/>
  <c r="F287" i="42"/>
  <c r="F286" i="42"/>
  <c r="D286" i="42"/>
  <c r="D287" i="42" s="1"/>
  <c r="D288" i="42" s="1"/>
  <c r="D289" i="42" s="1"/>
  <c r="D290" i="42" s="1"/>
  <c r="D291" i="42" s="1"/>
  <c r="D292" i="42" s="1"/>
  <c r="D293" i="42" s="1"/>
  <c r="D294" i="42" s="1"/>
  <c r="F285" i="42"/>
  <c r="N272" i="42"/>
  <c r="M272" i="42"/>
  <c r="L272" i="42"/>
  <c r="K272" i="42"/>
  <c r="J272" i="42"/>
  <c r="I272" i="42"/>
  <c r="H272" i="42"/>
  <c r="G272" i="42"/>
  <c r="F272" i="42"/>
  <c r="F301" i="42" s="1"/>
  <c r="H305" i="42" s="1"/>
  <c r="E271" i="42"/>
  <c r="E294" i="42" s="1"/>
  <c r="E270" i="42"/>
  <c r="E269" i="42"/>
  <c r="E268" i="42"/>
  <c r="E267" i="42"/>
  <c r="E266" i="42"/>
  <c r="E265" i="42"/>
  <c r="E264" i="42"/>
  <c r="E263" i="42"/>
  <c r="D263" i="42"/>
  <c r="D264" i="42" s="1"/>
  <c r="D265" i="42" s="1"/>
  <c r="D266" i="42" s="1"/>
  <c r="D267" i="42" s="1"/>
  <c r="D268" i="42" s="1"/>
  <c r="D269" i="42" s="1"/>
  <c r="D270" i="42" s="1"/>
  <c r="D271" i="42" s="1"/>
  <c r="E262" i="42"/>
  <c r="E285" i="42" s="1"/>
  <c r="D246" i="42"/>
  <c r="D247" i="42" s="1"/>
  <c r="D248" i="42" s="1"/>
  <c r="D249" i="42" s="1"/>
  <c r="D250" i="42" s="1"/>
  <c r="D251" i="42" s="1"/>
  <c r="D252" i="42" s="1"/>
  <c r="D253" i="42" s="1"/>
  <c r="D254" i="42" s="1"/>
  <c r="Y31" i="43"/>
  <c r="H16" i="50"/>
  <c r="Z262" i="37"/>
  <c r="Y262" i="37"/>
  <c r="X262" i="37"/>
  <c r="W262" i="37"/>
  <c r="V262" i="37"/>
  <c r="N262" i="49"/>
  <c r="M262" i="49"/>
  <c r="M267" i="49" s="1"/>
  <c r="M205" i="50" s="1"/>
  <c r="L262" i="49"/>
  <c r="L267" i="49"/>
  <c r="L205" i="50" s="1"/>
  <c r="K262" i="49"/>
  <c r="J262" i="49"/>
  <c r="J204" i="50" s="1"/>
  <c r="I262" i="49"/>
  <c r="H262" i="49"/>
  <c r="H204" i="50" s="1"/>
  <c r="N212" i="49"/>
  <c r="M212" i="49"/>
  <c r="L212" i="49"/>
  <c r="K212" i="49"/>
  <c r="J212" i="49"/>
  <c r="I212" i="49"/>
  <c r="I192" i="50" s="1"/>
  <c r="H212" i="49"/>
  <c r="E396" i="43"/>
  <c r="E397" i="43" s="1"/>
  <c r="E398" i="43" s="1"/>
  <c r="E399" i="43" s="1"/>
  <c r="E400" i="43" s="1"/>
  <c r="E401" i="43" s="1"/>
  <c r="E402" i="43" s="1"/>
  <c r="E403" i="43" s="1"/>
  <c r="E404" i="43" s="1"/>
  <c r="E384" i="43"/>
  <c r="E385" i="43" s="1"/>
  <c r="E386" i="43" s="1"/>
  <c r="E387" i="43" s="1"/>
  <c r="E388" i="43" s="1"/>
  <c r="E389" i="43" s="1"/>
  <c r="E390" i="43" s="1"/>
  <c r="E391" i="43" s="1"/>
  <c r="E392" i="43" s="1"/>
  <c r="E306" i="43"/>
  <c r="E307" i="43"/>
  <c r="E308" i="43"/>
  <c r="E309" i="43"/>
  <c r="E310" i="43"/>
  <c r="E311" i="43"/>
  <c r="E312" i="43"/>
  <c r="E313" i="43"/>
  <c r="E314" i="43"/>
  <c r="E315" i="43"/>
  <c r="E318" i="43"/>
  <c r="E319" i="43"/>
  <c r="E320" i="43"/>
  <c r="E321" i="43"/>
  <c r="E322" i="43"/>
  <c r="E323" i="43"/>
  <c r="E324" i="43"/>
  <c r="E325" i="43"/>
  <c r="E326" i="43"/>
  <c r="E327" i="43"/>
  <c r="N75" i="42"/>
  <c r="M75" i="42"/>
  <c r="N98" i="42"/>
  <c r="N104" i="42" s="1"/>
  <c r="M98" i="42"/>
  <c r="M104" i="42" s="1"/>
  <c r="R21" i="43"/>
  <c r="G420" i="43"/>
  <c r="H90" i="37"/>
  <c r="I3044" i="37"/>
  <c r="H3044" i="37"/>
  <c r="J416" i="41"/>
  <c r="I416" i="41"/>
  <c r="H416" i="41"/>
  <c r="R378" i="43"/>
  <c r="R377" i="43"/>
  <c r="R376" i="43"/>
  <c r="R375" i="43"/>
  <c r="R374" i="43"/>
  <c r="R373" i="43"/>
  <c r="R372" i="43"/>
  <c r="R371" i="43"/>
  <c r="R370" i="43"/>
  <c r="R369" i="43"/>
  <c r="N269" i="43"/>
  <c r="N261" i="43"/>
  <c r="N227" i="43"/>
  <c r="N228" i="43" s="1"/>
  <c r="N229" i="43" s="1"/>
  <c r="N230" i="43" s="1"/>
  <c r="N231" i="43" s="1"/>
  <c r="N232" i="43" s="1"/>
  <c r="M227" i="43"/>
  <c r="M228" i="43" s="1"/>
  <c r="M229" i="43" s="1"/>
  <c r="M230" i="43" s="1"/>
  <c r="M231" i="43" s="1"/>
  <c r="M232" i="43" s="1"/>
  <c r="L227" i="43"/>
  <c r="L228" i="43" s="1"/>
  <c r="L229" i="43" s="1"/>
  <c r="L230" i="43" s="1"/>
  <c r="L231" i="43" s="1"/>
  <c r="L232" i="43" s="1"/>
  <c r="K227" i="43"/>
  <c r="K228" i="43" s="1"/>
  <c r="K229" i="43" s="1"/>
  <c r="K230" i="43" s="1"/>
  <c r="K231" i="43" s="1"/>
  <c r="K232" i="43" s="1"/>
  <c r="J227" i="43"/>
  <c r="J228" i="43" s="1"/>
  <c r="J229" i="43" s="1"/>
  <c r="J230" i="43" s="1"/>
  <c r="J231" i="43" s="1"/>
  <c r="J232" i="43" s="1"/>
  <c r="I227" i="43"/>
  <c r="I228" i="43" s="1"/>
  <c r="I229" i="43" s="1"/>
  <c r="I230" i="43" s="1"/>
  <c r="I231" i="43" s="1"/>
  <c r="I232" i="43" s="1"/>
  <c r="H227" i="43"/>
  <c r="H228" i="43" s="1"/>
  <c r="H229" i="43" s="1"/>
  <c r="H230" i="43" s="1"/>
  <c r="H231" i="43" s="1"/>
  <c r="H232" i="43" s="1"/>
  <c r="G227" i="43"/>
  <c r="G228" i="43" s="1"/>
  <c r="G229" i="43" s="1"/>
  <c r="G230" i="43" s="1"/>
  <c r="G231" i="43" s="1"/>
  <c r="G232" i="43" s="1"/>
  <c r="E216" i="43"/>
  <c r="E217" i="43" s="1"/>
  <c r="E218" i="43" s="1"/>
  <c r="E219" i="43" s="1"/>
  <c r="E222" i="43"/>
  <c r="E223" i="43" s="1"/>
  <c r="E224" i="43" s="1"/>
  <c r="E225" i="43" s="1"/>
  <c r="G438" i="43"/>
  <c r="Z83" i="37"/>
  <c r="Y83" i="37"/>
  <c r="N256" i="43"/>
  <c r="H125" i="62"/>
  <c r="H124" i="62"/>
  <c r="H123" i="62"/>
  <c r="H122" i="62"/>
  <c r="H121" i="62"/>
  <c r="H120" i="62"/>
  <c r="H119" i="62"/>
  <c r="N108" i="62"/>
  <c r="N130" i="62"/>
  <c r="L108" i="62"/>
  <c r="L130" i="62" s="1"/>
  <c r="N107" i="62"/>
  <c r="N129" i="62" s="1"/>
  <c r="M107" i="62"/>
  <c r="M129" i="62" s="1"/>
  <c r="L107" i="62"/>
  <c r="L129" i="62" s="1"/>
  <c r="Y202" i="42"/>
  <c r="X202" i="42"/>
  <c r="W202" i="42"/>
  <c r="V202" i="42"/>
  <c r="U202" i="42"/>
  <c r="T202" i="42"/>
  <c r="Y198" i="42"/>
  <c r="X198" i="42"/>
  <c r="W198" i="42"/>
  <c r="V198" i="42"/>
  <c r="U198" i="42"/>
  <c r="T198" i="42"/>
  <c r="Y194" i="42"/>
  <c r="X194" i="42"/>
  <c r="W194" i="42"/>
  <c r="V194" i="42"/>
  <c r="U194" i="42"/>
  <c r="T194" i="42"/>
  <c r="Y190" i="42"/>
  <c r="X190" i="42"/>
  <c r="W190" i="42"/>
  <c r="V190" i="42"/>
  <c r="U190" i="42"/>
  <c r="T190" i="42"/>
  <c r="Y186" i="42"/>
  <c r="X186" i="42"/>
  <c r="W186" i="42"/>
  <c r="V186" i="42"/>
  <c r="U186" i="42"/>
  <c r="T186" i="42"/>
  <c r="J30" i="50"/>
  <c r="H359" i="47"/>
  <c r="H365" i="47" s="1"/>
  <c r="I359" i="47"/>
  <c r="I365" i="47" s="1"/>
  <c r="H336" i="47"/>
  <c r="I336" i="47"/>
  <c r="H303" i="47"/>
  <c r="I303" i="47"/>
  <c r="H270" i="47"/>
  <c r="I270" i="47"/>
  <c r="F75" i="42"/>
  <c r="F104" i="42" s="1"/>
  <c r="H108" i="42" s="1"/>
  <c r="E355" i="43"/>
  <c r="E356" i="43" s="1"/>
  <c r="E357" i="43" s="1"/>
  <c r="E358" i="43" s="1"/>
  <c r="E359" i="43" s="1"/>
  <c r="E360" i="43" s="1"/>
  <c r="E361" i="43" s="1"/>
  <c r="E362" i="43" s="1"/>
  <c r="E363" i="43" s="1"/>
  <c r="S355" i="43"/>
  <c r="S356" i="43"/>
  <c r="S357" i="43"/>
  <c r="S358" i="43"/>
  <c r="S359" i="43"/>
  <c r="S360" i="43"/>
  <c r="S361" i="43"/>
  <c r="S362" i="43"/>
  <c r="S363" i="43"/>
  <c r="E370" i="43"/>
  <c r="E371" i="43" s="1"/>
  <c r="E372" i="43" s="1"/>
  <c r="E373" i="43" s="1"/>
  <c r="E374" i="43" s="1"/>
  <c r="E375" i="43" s="1"/>
  <c r="E376" i="43" s="1"/>
  <c r="E377" i="43" s="1"/>
  <c r="E378" i="43" s="1"/>
  <c r="J414" i="43"/>
  <c r="E156" i="62"/>
  <c r="E157" i="62" s="1"/>
  <c r="E158" i="62" s="1"/>
  <c r="E159" i="62" s="1"/>
  <c r="E160" i="62" s="1"/>
  <c r="E161" i="62" s="1"/>
  <c r="E162" i="62" s="1"/>
  <c r="E163" i="62" s="1"/>
  <c r="E164" i="62" s="1"/>
  <c r="E165" i="62" s="1"/>
  <c r="E166" i="62" s="1"/>
  <c r="E167" i="62" s="1"/>
  <c r="E168" i="62" s="1"/>
  <c r="E169" i="62" s="1"/>
  <c r="E170" i="62" s="1"/>
  <c r="E171" i="62" s="1"/>
  <c r="D142" i="62"/>
  <c r="D132" i="62"/>
  <c r="D133" i="62"/>
  <c r="D134" i="62" s="1"/>
  <c r="D135" i="62" s="1"/>
  <c r="D136" i="62" s="1"/>
  <c r="D137" i="62" s="1"/>
  <c r="D138" i="62" s="1"/>
  <c r="D139" i="62" s="1"/>
  <c r="D140" i="62" s="1"/>
  <c r="D120" i="62"/>
  <c r="D121" i="62" s="1"/>
  <c r="D122" i="62" s="1"/>
  <c r="D110" i="62"/>
  <c r="D111" i="62" s="1"/>
  <c r="D112" i="62" s="1"/>
  <c r="D113" i="62" s="1"/>
  <c r="D114" i="62" s="1"/>
  <c r="D115" i="62" s="1"/>
  <c r="D116" i="62" s="1"/>
  <c r="D117" i="62" s="1"/>
  <c r="D118" i="62" s="1"/>
  <c r="D85" i="62"/>
  <c r="D75" i="62"/>
  <c r="D76" i="62" s="1"/>
  <c r="D77" i="62" s="1"/>
  <c r="D78" i="62" s="1"/>
  <c r="D79" i="62" s="1"/>
  <c r="D80" i="62" s="1"/>
  <c r="D81" i="62" s="1"/>
  <c r="D82" i="62" s="1"/>
  <c r="D83" i="62" s="1"/>
  <c r="D58" i="62"/>
  <c r="D27" i="62"/>
  <c r="D28" i="62" s="1"/>
  <c r="D29" i="62" s="1"/>
  <c r="D30" i="62" s="1"/>
  <c r="D31" i="62" s="1"/>
  <c r="D32" i="62" s="1"/>
  <c r="D33" i="62" s="1"/>
  <c r="D34" i="62" s="1"/>
  <c r="D35" i="62" s="1"/>
  <c r="H163" i="47"/>
  <c r="I163" i="47"/>
  <c r="M31" i="50"/>
  <c r="M30" i="50"/>
  <c r="J32" i="50"/>
  <c r="J31" i="50"/>
  <c r="A2133" i="50"/>
  <c r="G249" i="37"/>
  <c r="H253" i="37" s="1"/>
  <c r="P712" i="50"/>
  <c r="A712" i="50"/>
  <c r="K2551" i="50"/>
  <c r="L2551" i="50" s="1"/>
  <c r="M2551" i="50" s="1"/>
  <c r="N2551" i="50" s="1"/>
  <c r="Q393" i="47"/>
  <c r="Q404" i="47"/>
  <c r="A655" i="50"/>
  <c r="A660" i="50"/>
  <c r="A659" i="50"/>
  <c r="A658" i="50"/>
  <c r="A657" i="50"/>
  <c r="A656" i="50"/>
  <c r="P755" i="50"/>
  <c r="A724" i="50"/>
  <c r="A723" i="50"/>
  <c r="A722" i="50"/>
  <c r="A721" i="50"/>
  <c r="A720" i="50"/>
  <c r="A714" i="50"/>
  <c r="A713" i="50"/>
  <c r="A708" i="50"/>
  <c r="A707" i="50"/>
  <c r="A706" i="50"/>
  <c r="A700" i="50"/>
  <c r="A699" i="50"/>
  <c r="A698" i="50"/>
  <c r="A697" i="50"/>
  <c r="A692" i="50"/>
  <c r="A686" i="50"/>
  <c r="A681" i="50"/>
  <c r="A680" i="50"/>
  <c r="A679" i="50"/>
  <c r="A678" i="50"/>
  <c r="A672" i="50"/>
  <c r="A671" i="50"/>
  <c r="A670" i="50"/>
  <c r="A669" i="50"/>
  <c r="A668" i="50"/>
  <c r="A742" i="50"/>
  <c r="A741" i="50"/>
  <c r="A740" i="50"/>
  <c r="A735" i="50"/>
  <c r="A734" i="50"/>
  <c r="P731" i="50"/>
  <c r="P728" i="50"/>
  <c r="Q407" i="47"/>
  <c r="Q401" i="47"/>
  <c r="Q399" i="47" s="1"/>
  <c r="AD398" i="47"/>
  <c r="H398" i="47"/>
  <c r="F99" i="42"/>
  <c r="H205" i="42"/>
  <c r="I205" i="42"/>
  <c r="L2121" i="50"/>
  <c r="Q2118" i="50"/>
  <c r="F98" i="42"/>
  <c r="F97" i="42"/>
  <c r="F96" i="42"/>
  <c r="F95" i="42"/>
  <c r="F94" i="42"/>
  <c r="F93" i="42"/>
  <c r="F92" i="42"/>
  <c r="F91" i="42"/>
  <c r="F90" i="42"/>
  <c r="F89" i="42"/>
  <c r="F88" i="42"/>
  <c r="D89" i="42"/>
  <c r="D90" i="42" s="1"/>
  <c r="D91" i="42" s="1"/>
  <c r="D92" i="42" s="1"/>
  <c r="D93" i="42" s="1"/>
  <c r="D94" i="42" s="1"/>
  <c r="D95" i="42" s="1"/>
  <c r="D96" i="42" s="1"/>
  <c r="D97" i="42" s="1"/>
  <c r="B4" i="34"/>
  <c r="P753" i="50"/>
  <c r="Q229" i="47"/>
  <c r="Q223" i="47"/>
  <c r="Q221" i="47"/>
  <c r="Q217" i="47"/>
  <c r="I210" i="47"/>
  <c r="H197" i="47"/>
  <c r="H208" i="47"/>
  <c r="H209" i="47"/>
  <c r="H210" i="47"/>
  <c r="H95" i="47"/>
  <c r="I95" i="47"/>
  <c r="H129" i="47"/>
  <c r="I129" i="47"/>
  <c r="H419" i="47"/>
  <c r="I419" i="47"/>
  <c r="J419" i="47"/>
  <c r="K419" i="47"/>
  <c r="L419" i="47"/>
  <c r="M419" i="47"/>
  <c r="N419" i="47"/>
  <c r="H422" i="47"/>
  <c r="I422" i="47"/>
  <c r="J422" i="47"/>
  <c r="K422" i="47"/>
  <c r="L422" i="47"/>
  <c r="M422" i="47"/>
  <c r="N422" i="47"/>
  <c r="H423" i="47"/>
  <c r="I423" i="47"/>
  <c r="J423" i="47"/>
  <c r="K423" i="47"/>
  <c r="L423" i="47"/>
  <c r="M423" i="47"/>
  <c r="N423" i="47"/>
  <c r="H123" i="37"/>
  <c r="I123" i="37"/>
  <c r="I209" i="47"/>
  <c r="T206" i="37"/>
  <c r="U206" i="37"/>
  <c r="T214" i="37"/>
  <c r="U214" i="37"/>
  <c r="H200" i="50"/>
  <c r="I200" i="50"/>
  <c r="H201" i="50"/>
  <c r="I201" i="50"/>
  <c r="H202" i="50"/>
  <c r="I202" i="50"/>
  <c r="H203" i="50"/>
  <c r="I203" i="50"/>
  <c r="H188" i="50"/>
  <c r="I188" i="50"/>
  <c r="H189" i="50"/>
  <c r="I189" i="50"/>
  <c r="H190" i="50"/>
  <c r="I190" i="50"/>
  <c r="H191" i="50"/>
  <c r="I191" i="50"/>
  <c r="H136" i="50"/>
  <c r="I136" i="50"/>
  <c r="H137" i="50"/>
  <c r="I137" i="50"/>
  <c r="H141" i="50"/>
  <c r="I141" i="50"/>
  <c r="H142" i="50"/>
  <c r="I142" i="50"/>
  <c r="H148" i="50"/>
  <c r="I148" i="50"/>
  <c r="H149" i="50"/>
  <c r="I149" i="50"/>
  <c r="H161" i="50"/>
  <c r="I161" i="50"/>
  <c r="H162" i="50"/>
  <c r="I162" i="50"/>
  <c r="H166" i="50"/>
  <c r="I166" i="50"/>
  <c r="H167" i="50"/>
  <c r="I167" i="50"/>
  <c r="H173" i="50"/>
  <c r="I173" i="50"/>
  <c r="H174" i="50"/>
  <c r="I174" i="50"/>
  <c r="H247" i="50"/>
  <c r="I247" i="50"/>
  <c r="H251" i="50"/>
  <c r="I251" i="50"/>
  <c r="H252" i="50"/>
  <c r="I252" i="50"/>
  <c r="H253" i="50"/>
  <c r="I253" i="50"/>
  <c r="H258" i="50"/>
  <c r="I258" i="50"/>
  <c r="H259" i="50"/>
  <c r="I259" i="50"/>
  <c r="H260" i="50"/>
  <c r="I260" i="50"/>
  <c r="H264" i="50"/>
  <c r="I264" i="50"/>
  <c r="H274" i="50"/>
  <c r="I274" i="50"/>
  <c r="H276" i="50"/>
  <c r="I276" i="50"/>
  <c r="H280" i="50"/>
  <c r="I280" i="50"/>
  <c r="H281" i="50"/>
  <c r="I281" i="50"/>
  <c r="H282" i="50"/>
  <c r="I282" i="50"/>
  <c r="H283" i="50"/>
  <c r="I283" i="50"/>
  <c r="H284" i="50"/>
  <c r="I284" i="50"/>
  <c r="H285" i="50"/>
  <c r="I285" i="50"/>
  <c r="H286" i="50"/>
  <c r="I286" i="50"/>
  <c r="H287" i="50"/>
  <c r="I287" i="50"/>
  <c r="H288" i="50"/>
  <c r="I288" i="50"/>
  <c r="H289" i="50"/>
  <c r="I289" i="50"/>
  <c r="H303" i="50"/>
  <c r="I303" i="50"/>
  <c r="H304" i="50"/>
  <c r="I304" i="50"/>
  <c r="H305" i="50"/>
  <c r="I305" i="50"/>
  <c r="H306" i="50"/>
  <c r="I306" i="50"/>
  <c r="H307" i="50"/>
  <c r="I307" i="50"/>
  <c r="H322" i="50"/>
  <c r="I322" i="50"/>
  <c r="H326" i="50"/>
  <c r="I326" i="50"/>
  <c r="H327" i="50"/>
  <c r="I327" i="50"/>
  <c r="H328" i="50"/>
  <c r="I328" i="50"/>
  <c r="H329" i="50"/>
  <c r="I329" i="50"/>
  <c r="H330" i="50"/>
  <c r="I330" i="50"/>
  <c r="H378" i="50"/>
  <c r="I378" i="50"/>
  <c r="H379" i="50"/>
  <c r="I379" i="50"/>
  <c r="H380" i="50"/>
  <c r="I380" i="50"/>
  <c r="H385" i="50"/>
  <c r="I385" i="50"/>
  <c r="H386" i="50"/>
  <c r="I386" i="50"/>
  <c r="H387" i="50"/>
  <c r="I387" i="50"/>
  <c r="H417" i="50"/>
  <c r="I417" i="50"/>
  <c r="H431" i="50"/>
  <c r="I431" i="50"/>
  <c r="H443" i="50"/>
  <c r="I443" i="50"/>
  <c r="H444" i="50"/>
  <c r="I444" i="50"/>
  <c r="H445" i="50"/>
  <c r="I445" i="50"/>
  <c r="H446" i="50"/>
  <c r="I446" i="50"/>
  <c r="H448" i="50"/>
  <c r="I448" i="50"/>
  <c r="H68" i="49"/>
  <c r="H138" i="50" s="1"/>
  <c r="I68" i="49"/>
  <c r="H75" i="49"/>
  <c r="I75" i="49"/>
  <c r="H124" i="49"/>
  <c r="H163" i="50" s="1"/>
  <c r="I124" i="49"/>
  <c r="I163" i="50" s="1"/>
  <c r="H130" i="49"/>
  <c r="I130" i="49"/>
  <c r="I136" i="49" s="1"/>
  <c r="I171" i="50" s="1"/>
  <c r="H25" i="49"/>
  <c r="H27" i="49" s="1"/>
  <c r="I25" i="49"/>
  <c r="I27" i="49"/>
  <c r="H276" i="49"/>
  <c r="I276" i="49"/>
  <c r="J276" i="49"/>
  <c r="K276" i="49"/>
  <c r="L276" i="49"/>
  <c r="M276" i="49"/>
  <c r="N276" i="49"/>
  <c r="H279" i="49"/>
  <c r="I279" i="49"/>
  <c r="J279" i="49"/>
  <c r="K279" i="49"/>
  <c r="L279" i="49"/>
  <c r="M279" i="49"/>
  <c r="N279" i="49"/>
  <c r="H280" i="49"/>
  <c r="I280" i="49"/>
  <c r="J280" i="49"/>
  <c r="K280" i="49"/>
  <c r="L280" i="49"/>
  <c r="M280" i="49"/>
  <c r="N280" i="49"/>
  <c r="I85" i="37"/>
  <c r="H85" i="37"/>
  <c r="H374" i="41"/>
  <c r="H447" i="50" s="1"/>
  <c r="I374" i="41"/>
  <c r="I447" i="50" s="1"/>
  <c r="H291" i="41"/>
  <c r="H381" i="50" s="1"/>
  <c r="I291" i="41"/>
  <c r="I381" i="50" s="1"/>
  <c r="H299" i="41"/>
  <c r="H388" i="50" s="1"/>
  <c r="I299" i="41"/>
  <c r="I388" i="50" s="1"/>
  <c r="H103" i="41"/>
  <c r="H254" i="50"/>
  <c r="I103" i="41"/>
  <c r="H114" i="41"/>
  <c r="H2198" i="37" s="1"/>
  <c r="I114" i="41"/>
  <c r="I261" i="50" s="1"/>
  <c r="I140" i="41"/>
  <c r="H157" i="41"/>
  <c r="H290" i="50" s="1"/>
  <c r="I157" i="41"/>
  <c r="H182" i="41"/>
  <c r="H308" i="50" s="1"/>
  <c r="I182" i="41"/>
  <c r="H212" i="41"/>
  <c r="I212" i="41"/>
  <c r="I58" i="37"/>
  <c r="H58" i="37"/>
  <c r="H402" i="41"/>
  <c r="H349" i="50" s="1"/>
  <c r="I402" i="41"/>
  <c r="I349" i="50" s="1"/>
  <c r="H280" i="37"/>
  <c r="I280" i="37"/>
  <c r="H271" i="37"/>
  <c r="T271" i="37" s="1"/>
  <c r="I271" i="37"/>
  <c r="U271" i="37" s="1"/>
  <c r="H246" i="37"/>
  <c r="I246" i="37"/>
  <c r="H236" i="37"/>
  <c r="I236" i="37"/>
  <c r="H227" i="37"/>
  <c r="I227" i="37"/>
  <c r="H189" i="37"/>
  <c r="I189" i="37"/>
  <c r="H190" i="37"/>
  <c r="H187" i="37" s="1"/>
  <c r="H188" i="37" s="1"/>
  <c r="I190" i="37"/>
  <c r="I187" i="37" s="1"/>
  <c r="I188" i="37" s="1"/>
  <c r="H177" i="37"/>
  <c r="I177" i="37"/>
  <c r="H178" i="37"/>
  <c r="H175" i="37" s="1"/>
  <c r="H176" i="37" s="1"/>
  <c r="I178" i="37"/>
  <c r="I175" i="37" s="1"/>
  <c r="I176" i="37" s="1"/>
  <c r="H65" i="37"/>
  <c r="N3044" i="37"/>
  <c r="M3044" i="37"/>
  <c r="L3044" i="37"/>
  <c r="K3044" i="37"/>
  <c r="J3044" i="37"/>
  <c r="N3043" i="37"/>
  <c r="M3043" i="37"/>
  <c r="L3043" i="37"/>
  <c r="K3043" i="37"/>
  <c r="J3043" i="37"/>
  <c r="N3040" i="37"/>
  <c r="M3040" i="37"/>
  <c r="L3040" i="37"/>
  <c r="K3040" i="37"/>
  <c r="J3040" i="37"/>
  <c r="C5" i="34"/>
  <c r="D5" i="34"/>
  <c r="E5" i="34"/>
  <c r="F5" i="34" s="1"/>
  <c r="G5" i="34" s="1"/>
  <c r="H5" i="34" s="1"/>
  <c r="I5" i="34" s="1"/>
  <c r="J5" i="34" s="1"/>
  <c r="C3" i="34"/>
  <c r="Z202" i="42"/>
  <c r="Z198" i="42"/>
  <c r="Z194" i="42"/>
  <c r="Z190" i="42"/>
  <c r="Z186" i="42"/>
  <c r="B233" i="34"/>
  <c r="A275" i="34" s="1"/>
  <c r="B225" i="34"/>
  <c r="B221" i="34"/>
  <c r="A251" i="34" s="1"/>
  <c r="B218" i="34"/>
  <c r="E297" i="43"/>
  <c r="E55" i="50" s="1"/>
  <c r="R55" i="50" s="1"/>
  <c r="S354" i="43"/>
  <c r="E315" i="50"/>
  <c r="E302" i="50"/>
  <c r="C30" i="51"/>
  <c r="C31" i="51"/>
  <c r="C32" i="51"/>
  <c r="C33" i="51"/>
  <c r="C28" i="51"/>
  <c r="C29" i="51"/>
  <c r="N124" i="49"/>
  <c r="M124" i="49"/>
  <c r="M137" i="49" s="1"/>
  <c r="M172" i="50" s="1"/>
  <c r="L124" i="49"/>
  <c r="K124" i="49"/>
  <c r="K163" i="50"/>
  <c r="J124" i="49"/>
  <c r="J163" i="50" s="1"/>
  <c r="N68" i="49"/>
  <c r="M68" i="49"/>
  <c r="M138" i="50"/>
  <c r="L68" i="49"/>
  <c r="K68" i="49"/>
  <c r="K138" i="50" s="1"/>
  <c r="J68" i="49"/>
  <c r="J138" i="50" s="1"/>
  <c r="Q56" i="37"/>
  <c r="J247" i="50"/>
  <c r="I262" i="34"/>
  <c r="Z214" i="37"/>
  <c r="Y214" i="37"/>
  <c r="X214" i="37"/>
  <c r="W214" i="37"/>
  <c r="V214" i="37"/>
  <c r="Z206" i="37"/>
  <c r="Y206" i="37"/>
  <c r="X206" i="37"/>
  <c r="W206" i="37"/>
  <c r="V206" i="37"/>
  <c r="C2568" i="50"/>
  <c r="C2569" i="50" s="1"/>
  <c r="C2570" i="50" s="1"/>
  <c r="C2571" i="50" s="1"/>
  <c r="C2572" i="50" s="1"/>
  <c r="C2573" i="50" s="1"/>
  <c r="C2574" i="50" s="1"/>
  <c r="C2575" i="50" s="1"/>
  <c r="C2576" i="50" s="1"/>
  <c r="C2577" i="50" s="1"/>
  <c r="C2578" i="50" s="1"/>
  <c r="C2579" i="50" s="1"/>
  <c r="C2580" i="50" s="1"/>
  <c r="C2581" i="50" s="1"/>
  <c r="C2582" i="50" s="1"/>
  <c r="C2525" i="50"/>
  <c r="C2526" i="50" s="1"/>
  <c r="C2527" i="50" s="1"/>
  <c r="C2528" i="50" s="1"/>
  <c r="C2529" i="50" s="1"/>
  <c r="C2530" i="50" s="1"/>
  <c r="C2531" i="50" s="1"/>
  <c r="C2532" i="50" s="1"/>
  <c r="C2533" i="50" s="1"/>
  <c r="C2534" i="50" s="1"/>
  <c r="T94" i="41"/>
  <c r="T100" i="41" s="1"/>
  <c r="T101" i="41" s="1"/>
  <c r="T102" i="41" s="1"/>
  <c r="T111" i="41" s="1"/>
  <c r="T112" i="41" s="1"/>
  <c r="T113" i="41" s="1"/>
  <c r="T119" i="41" s="1"/>
  <c r="T139" i="41" s="1"/>
  <c r="T141" i="41" s="1"/>
  <c r="T177" i="41" s="1"/>
  <c r="T178" i="41" s="1"/>
  <c r="T179" i="41" s="1"/>
  <c r="T180" i="41" s="1"/>
  <c r="T181" i="41" s="1"/>
  <c r="T201" i="41" s="1"/>
  <c r="T207" i="41" s="1"/>
  <c r="T208" i="41" s="1"/>
  <c r="T209" i="41" s="1"/>
  <c r="T210" i="41" s="1"/>
  <c r="T211" i="41" s="1"/>
  <c r="R70" i="41"/>
  <c r="T288" i="41"/>
  <c r="T289" i="41" s="1"/>
  <c r="T290" i="41" s="1"/>
  <c r="T296" i="41" s="1"/>
  <c r="T297" i="41" s="1"/>
  <c r="T298" i="41" s="1"/>
  <c r="T330" i="41" s="1"/>
  <c r="T346" i="41" s="1"/>
  <c r="R255" i="41"/>
  <c r="N448" i="50"/>
  <c r="M448" i="50"/>
  <c r="L448" i="50"/>
  <c r="K448" i="50"/>
  <c r="N446" i="50"/>
  <c r="M446" i="50"/>
  <c r="L446" i="50"/>
  <c r="K446" i="50"/>
  <c r="N445" i="50"/>
  <c r="M445" i="50"/>
  <c r="L445" i="50"/>
  <c r="K445" i="50"/>
  <c r="N444" i="50"/>
  <c r="M444" i="50"/>
  <c r="L444" i="50"/>
  <c r="K444" i="50"/>
  <c r="N443" i="50"/>
  <c r="M443" i="50"/>
  <c r="L443" i="50"/>
  <c r="K443" i="50"/>
  <c r="J448" i="50"/>
  <c r="J446" i="50"/>
  <c r="J445" i="50"/>
  <c r="J444" i="50"/>
  <c r="J443" i="50"/>
  <c r="M440" i="50"/>
  <c r="N431" i="50"/>
  <c r="M431" i="50"/>
  <c r="L431" i="50"/>
  <c r="K431" i="50"/>
  <c r="J431" i="50"/>
  <c r="N417" i="50"/>
  <c r="M417" i="50"/>
  <c r="L417" i="50"/>
  <c r="K417" i="50"/>
  <c r="J417" i="50"/>
  <c r="N387" i="50"/>
  <c r="M387" i="50"/>
  <c r="L387" i="50"/>
  <c r="K387" i="50"/>
  <c r="J387" i="50"/>
  <c r="N386" i="50"/>
  <c r="M386" i="50"/>
  <c r="L386" i="50"/>
  <c r="K386" i="50"/>
  <c r="J386" i="50"/>
  <c r="N385" i="50"/>
  <c r="M385" i="50"/>
  <c r="L385" i="50"/>
  <c r="K385" i="50"/>
  <c r="N380" i="50"/>
  <c r="M380" i="50"/>
  <c r="L380" i="50"/>
  <c r="K380" i="50"/>
  <c r="J380" i="50"/>
  <c r="N379" i="50"/>
  <c r="M379" i="50"/>
  <c r="L379" i="50"/>
  <c r="K379" i="50"/>
  <c r="J379" i="50"/>
  <c r="N378" i="50"/>
  <c r="M378" i="50"/>
  <c r="L378" i="50"/>
  <c r="K378" i="50"/>
  <c r="E380" i="50"/>
  <c r="E379" i="50"/>
  <c r="E387" i="50"/>
  <c r="E386" i="50"/>
  <c r="E385" i="50"/>
  <c r="J385" i="50"/>
  <c r="J378" i="50"/>
  <c r="E378" i="50"/>
  <c r="D353" i="50"/>
  <c r="D367" i="50"/>
  <c r="D373" i="50"/>
  <c r="D376" i="50"/>
  <c r="D383" i="50"/>
  <c r="D390" i="50"/>
  <c r="D393" i="50"/>
  <c r="D407" i="50"/>
  <c r="D416" i="50"/>
  <c r="D419" i="50"/>
  <c r="D434" i="50"/>
  <c r="G436" i="50"/>
  <c r="E330" i="50"/>
  <c r="E329" i="50"/>
  <c r="E328" i="50"/>
  <c r="E326" i="50"/>
  <c r="N247" i="50"/>
  <c r="M247" i="50"/>
  <c r="L247" i="50"/>
  <c r="K247" i="50"/>
  <c r="N253" i="50"/>
  <c r="M253" i="50"/>
  <c r="L253" i="50"/>
  <c r="K253" i="50"/>
  <c r="N252" i="50"/>
  <c r="M252" i="50"/>
  <c r="L252" i="50"/>
  <c r="K252" i="50"/>
  <c r="N251" i="50"/>
  <c r="M251" i="50"/>
  <c r="L251" i="50"/>
  <c r="K251" i="50"/>
  <c r="N260" i="50"/>
  <c r="M260" i="50"/>
  <c r="L260" i="50"/>
  <c r="K260" i="50"/>
  <c r="N259" i="50"/>
  <c r="M259" i="50"/>
  <c r="L259" i="50"/>
  <c r="K259" i="50"/>
  <c r="N258" i="50"/>
  <c r="M258" i="50"/>
  <c r="L258" i="50"/>
  <c r="K258" i="50"/>
  <c r="J258" i="50"/>
  <c r="J259" i="50"/>
  <c r="J260" i="50"/>
  <c r="N264" i="50"/>
  <c r="M264" i="50"/>
  <c r="L264" i="50"/>
  <c r="K264" i="50"/>
  <c r="N274" i="50"/>
  <c r="M274" i="50"/>
  <c r="L274" i="50"/>
  <c r="K274" i="50"/>
  <c r="N276" i="50"/>
  <c r="M276" i="50"/>
  <c r="L276" i="50"/>
  <c r="K276" i="50"/>
  <c r="N289" i="50"/>
  <c r="M289" i="50"/>
  <c r="L289" i="50"/>
  <c r="K289" i="50"/>
  <c r="N288" i="50"/>
  <c r="M288" i="50"/>
  <c r="L288" i="50"/>
  <c r="K288" i="50"/>
  <c r="N287" i="50"/>
  <c r="M287" i="50"/>
  <c r="L287" i="50"/>
  <c r="K287" i="50"/>
  <c r="N286" i="50"/>
  <c r="M286" i="50"/>
  <c r="L286" i="50"/>
  <c r="K286" i="50"/>
  <c r="N285" i="50"/>
  <c r="M285" i="50"/>
  <c r="L285" i="50"/>
  <c r="K285" i="50"/>
  <c r="N284" i="50"/>
  <c r="M284" i="50"/>
  <c r="L284" i="50"/>
  <c r="K284" i="50"/>
  <c r="N283" i="50"/>
  <c r="M283" i="50"/>
  <c r="L283" i="50"/>
  <c r="K283" i="50"/>
  <c r="N282" i="50"/>
  <c r="M282" i="50"/>
  <c r="L282" i="50"/>
  <c r="K282" i="50"/>
  <c r="N281" i="50"/>
  <c r="M281" i="50"/>
  <c r="L281" i="50"/>
  <c r="K281" i="50"/>
  <c r="N280" i="50"/>
  <c r="M280" i="50"/>
  <c r="L280" i="50"/>
  <c r="K280" i="50"/>
  <c r="N307" i="50"/>
  <c r="M307" i="50"/>
  <c r="L307" i="50"/>
  <c r="K307" i="50"/>
  <c r="N306" i="50"/>
  <c r="M306" i="50"/>
  <c r="L306" i="50"/>
  <c r="K306" i="50"/>
  <c r="N305" i="50"/>
  <c r="M305" i="50"/>
  <c r="L305" i="50"/>
  <c r="K305" i="50"/>
  <c r="N304" i="50"/>
  <c r="M304" i="50"/>
  <c r="L304" i="50"/>
  <c r="K304" i="50"/>
  <c r="N303" i="50"/>
  <c r="M303" i="50"/>
  <c r="L303" i="50"/>
  <c r="K303" i="50"/>
  <c r="N322" i="50"/>
  <c r="M322" i="50"/>
  <c r="L322" i="50"/>
  <c r="K322" i="50"/>
  <c r="N329" i="50"/>
  <c r="M329" i="50"/>
  <c r="L329" i="50"/>
  <c r="K329" i="50"/>
  <c r="N328" i="50"/>
  <c r="M328" i="50"/>
  <c r="L328" i="50"/>
  <c r="K328" i="50"/>
  <c r="N327" i="50"/>
  <c r="M327" i="50"/>
  <c r="L327" i="50"/>
  <c r="K327" i="50"/>
  <c r="N326" i="50"/>
  <c r="M326" i="50"/>
  <c r="L326" i="50"/>
  <c r="K326" i="50"/>
  <c r="E260" i="50"/>
  <c r="E259" i="50"/>
  <c r="E258" i="50"/>
  <c r="E253" i="50"/>
  <c r="E252" i="50"/>
  <c r="E251" i="50"/>
  <c r="E307" i="50"/>
  <c r="E306" i="50"/>
  <c r="E305" i="50"/>
  <c r="E304" i="50"/>
  <c r="E303" i="50"/>
  <c r="J329" i="50"/>
  <c r="J328" i="50"/>
  <c r="J327" i="50"/>
  <c r="J326" i="50"/>
  <c r="J322" i="50"/>
  <c r="J307" i="50"/>
  <c r="J306" i="50"/>
  <c r="J305" i="50"/>
  <c r="J304" i="50"/>
  <c r="J303" i="50"/>
  <c r="J289" i="50"/>
  <c r="J288" i="50"/>
  <c r="J287" i="50"/>
  <c r="J286" i="50"/>
  <c r="J285" i="50"/>
  <c r="J284" i="50"/>
  <c r="J283" i="50"/>
  <c r="J282" i="50"/>
  <c r="J281" i="50"/>
  <c r="J280" i="50"/>
  <c r="J276" i="50"/>
  <c r="J274" i="50"/>
  <c r="J264" i="50"/>
  <c r="J253" i="50"/>
  <c r="J252" i="50"/>
  <c r="J251" i="50"/>
  <c r="D245" i="50"/>
  <c r="D249" i="50"/>
  <c r="D256" i="50"/>
  <c r="D263" i="50"/>
  <c r="D266" i="50"/>
  <c r="D269" i="50"/>
  <c r="G270" i="50"/>
  <c r="D272" i="50"/>
  <c r="D278" i="50"/>
  <c r="G296" i="50"/>
  <c r="G299" i="50"/>
  <c r="D301" i="50"/>
  <c r="D310" i="50"/>
  <c r="D318" i="50"/>
  <c r="G319" i="50"/>
  <c r="D321" i="50"/>
  <c r="D324" i="50"/>
  <c r="D333" i="50"/>
  <c r="G336" i="50"/>
  <c r="D338" i="50"/>
  <c r="D341" i="50"/>
  <c r="N191" i="50"/>
  <c r="M191" i="50"/>
  <c r="L191" i="50"/>
  <c r="K191" i="50"/>
  <c r="N190" i="50"/>
  <c r="M190" i="50"/>
  <c r="L190" i="50"/>
  <c r="K190" i="50"/>
  <c r="N189" i="50"/>
  <c r="M189" i="50"/>
  <c r="L189" i="50"/>
  <c r="K189" i="50"/>
  <c r="N188" i="50"/>
  <c r="M188" i="50"/>
  <c r="L188" i="50"/>
  <c r="K188" i="50"/>
  <c r="N203" i="50"/>
  <c r="M203" i="50"/>
  <c r="L203" i="50"/>
  <c r="K203" i="50"/>
  <c r="N202" i="50"/>
  <c r="M202" i="50"/>
  <c r="L202" i="50"/>
  <c r="K202" i="50"/>
  <c r="N201" i="50"/>
  <c r="M201" i="50"/>
  <c r="L201" i="50"/>
  <c r="K201" i="50"/>
  <c r="N200" i="50"/>
  <c r="M200" i="50"/>
  <c r="L200" i="50"/>
  <c r="K200" i="50"/>
  <c r="N207" i="50"/>
  <c r="K207" i="50"/>
  <c r="G202" i="50"/>
  <c r="J203" i="50"/>
  <c r="J202" i="50"/>
  <c r="J201" i="50"/>
  <c r="J200" i="50"/>
  <c r="H198" i="50"/>
  <c r="L197" i="50"/>
  <c r="N195" i="50"/>
  <c r="K195" i="50"/>
  <c r="G190" i="50"/>
  <c r="J191" i="50"/>
  <c r="J190" i="50"/>
  <c r="J189" i="50"/>
  <c r="J188" i="50"/>
  <c r="H186" i="50"/>
  <c r="L185" i="50"/>
  <c r="N162" i="50"/>
  <c r="M162" i="50"/>
  <c r="L162" i="50"/>
  <c r="K162" i="50"/>
  <c r="N161" i="50"/>
  <c r="M161" i="50"/>
  <c r="L161" i="50"/>
  <c r="K161" i="50"/>
  <c r="N167" i="50"/>
  <c r="M167" i="50"/>
  <c r="L167" i="50"/>
  <c r="K167" i="50"/>
  <c r="N166" i="50"/>
  <c r="M166" i="50"/>
  <c r="L166" i="50"/>
  <c r="K166" i="50"/>
  <c r="N174" i="50"/>
  <c r="M174" i="50"/>
  <c r="L174" i="50"/>
  <c r="K174" i="50"/>
  <c r="N173" i="50"/>
  <c r="M173" i="50"/>
  <c r="L173" i="50"/>
  <c r="K173" i="50"/>
  <c r="J174" i="50"/>
  <c r="J173" i="50"/>
  <c r="J167" i="50"/>
  <c r="J166" i="50"/>
  <c r="J162" i="50"/>
  <c r="J161" i="50"/>
  <c r="N149" i="50"/>
  <c r="M149" i="50"/>
  <c r="L149" i="50"/>
  <c r="K149" i="50"/>
  <c r="N148" i="50"/>
  <c r="M148" i="50"/>
  <c r="L148" i="50"/>
  <c r="K148" i="50"/>
  <c r="J149" i="50"/>
  <c r="J148" i="50"/>
  <c r="N137" i="50"/>
  <c r="M137" i="50"/>
  <c r="L137" i="50"/>
  <c r="K137" i="50"/>
  <c r="N136" i="50"/>
  <c r="M136" i="50"/>
  <c r="L136" i="50"/>
  <c r="K136" i="50"/>
  <c r="J137" i="50"/>
  <c r="J136" i="50"/>
  <c r="N142" i="50"/>
  <c r="M142" i="50"/>
  <c r="L142" i="50"/>
  <c r="K142" i="50"/>
  <c r="N141" i="50"/>
  <c r="M141" i="50"/>
  <c r="L141" i="50"/>
  <c r="K141" i="50"/>
  <c r="J142" i="50"/>
  <c r="J141" i="50"/>
  <c r="M133" i="50"/>
  <c r="M158" i="50" s="1"/>
  <c r="G146" i="50"/>
  <c r="G147" i="50"/>
  <c r="G148" i="50"/>
  <c r="G149" i="50"/>
  <c r="G171" i="50"/>
  <c r="G172" i="50"/>
  <c r="G173" i="50"/>
  <c r="G174" i="50"/>
  <c r="J58" i="37"/>
  <c r="N306" i="34"/>
  <c r="N307" i="34"/>
  <c r="N308" i="34"/>
  <c r="N305" i="34"/>
  <c r="N304" i="34"/>
  <c r="N250" i="34"/>
  <c r="N251" i="34"/>
  <c r="N252" i="34"/>
  <c r="N253" i="34"/>
  <c r="N254" i="34"/>
  <c r="N255" i="34"/>
  <c r="N256" i="34"/>
  <c r="N257" i="34"/>
  <c r="N258" i="34"/>
  <c r="N259" i="34"/>
  <c r="N260" i="34"/>
  <c r="N261" i="34"/>
  <c r="N262" i="34"/>
  <c r="N263" i="34"/>
  <c r="N264" i="34"/>
  <c r="N265" i="34"/>
  <c r="N266" i="34"/>
  <c r="N267" i="34"/>
  <c r="N268" i="34"/>
  <c r="N269" i="34"/>
  <c r="N270" i="34"/>
  <c r="N271" i="34"/>
  <c r="N272" i="34"/>
  <c r="N273" i="34"/>
  <c r="N274" i="34"/>
  <c r="N275" i="34"/>
  <c r="N276" i="34"/>
  <c r="N277" i="34"/>
  <c r="N278" i="34"/>
  <c r="N279" i="34"/>
  <c r="N280" i="34"/>
  <c r="N281" i="34"/>
  <c r="N282" i="34"/>
  <c r="N283" i="34"/>
  <c r="N284" i="34"/>
  <c r="N285" i="34"/>
  <c r="N286" i="34"/>
  <c r="N287" i="34"/>
  <c r="N288" i="34"/>
  <c r="N289" i="34"/>
  <c r="N290" i="34"/>
  <c r="N291" i="34"/>
  <c r="N292" i="34"/>
  <c r="N293" i="34"/>
  <c r="N294" i="34"/>
  <c r="N295" i="34"/>
  <c r="N296" i="34"/>
  <c r="N297" i="34"/>
  <c r="N298" i="34"/>
  <c r="N299" i="34"/>
  <c r="N300" i="34"/>
  <c r="N249" i="34"/>
  <c r="N391" i="47"/>
  <c r="N405" i="41"/>
  <c r="M405" i="41"/>
  <c r="K18" i="41"/>
  <c r="E879" i="42"/>
  <c r="E878" i="42"/>
  <c r="E877" i="42"/>
  <c r="E876" i="42"/>
  <c r="E875" i="42"/>
  <c r="E874" i="42"/>
  <c r="E873" i="42"/>
  <c r="E872" i="42"/>
  <c r="E871" i="42"/>
  <c r="E870" i="42"/>
  <c r="N880" i="42"/>
  <c r="M880" i="42"/>
  <c r="L880" i="42"/>
  <c r="K880" i="42"/>
  <c r="J880" i="42"/>
  <c r="D871" i="42"/>
  <c r="D872" i="42" s="1"/>
  <c r="D873" i="42" s="1"/>
  <c r="D874" i="42" s="1"/>
  <c r="D875" i="42" s="1"/>
  <c r="D876" i="42" s="1"/>
  <c r="D877" i="42" s="1"/>
  <c r="D878" i="42" s="1"/>
  <c r="D879" i="42" s="1"/>
  <c r="D857" i="42"/>
  <c r="D858" i="42" s="1"/>
  <c r="D859" i="42" s="1"/>
  <c r="D860" i="42" s="1"/>
  <c r="D861" i="42" s="1"/>
  <c r="D862" i="42" s="1"/>
  <c r="D863" i="42" s="1"/>
  <c r="D864" i="42" s="1"/>
  <c r="D865" i="42" s="1"/>
  <c r="Y170" i="49"/>
  <c r="Y174" i="49" s="1"/>
  <c r="N205" i="42"/>
  <c r="M205" i="42"/>
  <c r="L205" i="42"/>
  <c r="K205" i="42"/>
  <c r="J205" i="42"/>
  <c r="Q278" i="41"/>
  <c r="Q277" i="41"/>
  <c r="X252" i="49"/>
  <c r="W252" i="49"/>
  <c r="V252" i="49"/>
  <c r="U252" i="49"/>
  <c r="T252" i="49"/>
  <c r="X203" i="49"/>
  <c r="W203" i="49"/>
  <c r="V203" i="49"/>
  <c r="U203" i="49"/>
  <c r="T203" i="49"/>
  <c r="Q252" i="49"/>
  <c r="Q203" i="49"/>
  <c r="N236" i="37"/>
  <c r="M236" i="37"/>
  <c r="L236" i="37"/>
  <c r="K236" i="37"/>
  <c r="J236" i="37"/>
  <c r="Q13" i="37"/>
  <c r="R111" i="49"/>
  <c r="E111" i="49" s="1"/>
  <c r="R224" i="49"/>
  <c r="N130" i="49"/>
  <c r="N136" i="49" s="1"/>
  <c r="N171" i="50" s="1"/>
  <c r="M130" i="49"/>
  <c r="M136" i="49" s="1"/>
  <c r="M171" i="50" s="1"/>
  <c r="L130" i="49"/>
  <c r="K130" i="49"/>
  <c r="J130" i="49"/>
  <c r="L246" i="37"/>
  <c r="N246" i="37"/>
  <c r="M246" i="37"/>
  <c r="K246" i="37"/>
  <c r="J246" i="37"/>
  <c r="Y57" i="49"/>
  <c r="Y62" i="49" s="1"/>
  <c r="R77" i="37"/>
  <c r="N25" i="49"/>
  <c r="N27" i="49" s="1"/>
  <c r="M25" i="49"/>
  <c r="M27" i="49" s="1"/>
  <c r="L25" i="49"/>
  <c r="L27" i="49" s="1"/>
  <c r="K25" i="49"/>
  <c r="K27" i="49" s="1"/>
  <c r="J25" i="49"/>
  <c r="J27" i="49" s="1"/>
  <c r="N85" i="37"/>
  <c r="M85" i="37"/>
  <c r="L85" i="37"/>
  <c r="K85" i="37"/>
  <c r="J85" i="37"/>
  <c r="H185" i="34"/>
  <c r="I185" i="34"/>
  <c r="J185" i="34" s="1"/>
  <c r="K185" i="34" s="1"/>
  <c r="Q12" i="42"/>
  <c r="R13" i="42" s="1"/>
  <c r="N299" i="41"/>
  <c r="N388" i="50" s="1"/>
  <c r="M299" i="41"/>
  <c r="M388" i="50" s="1"/>
  <c r="L299" i="41"/>
  <c r="L388" i="50" s="1"/>
  <c r="K299" i="41"/>
  <c r="K388" i="50" s="1"/>
  <c r="J299" i="41"/>
  <c r="J388" i="50" s="1"/>
  <c r="N291" i="41"/>
  <c r="N381" i="50" s="1"/>
  <c r="M291" i="41"/>
  <c r="M381" i="50" s="1"/>
  <c r="L291" i="41"/>
  <c r="L381" i="50" s="1"/>
  <c r="K291" i="41"/>
  <c r="K381" i="50" s="1"/>
  <c r="J291" i="41"/>
  <c r="J381" i="50" s="1"/>
  <c r="N75" i="49"/>
  <c r="M75" i="49"/>
  <c r="L75" i="49"/>
  <c r="T364" i="41"/>
  <c r="N190" i="37"/>
  <c r="N187" i="37" s="1"/>
  <c r="N188" i="37" s="1"/>
  <c r="M190" i="37"/>
  <c r="M187" i="37" s="1"/>
  <c r="M188" i="37" s="1"/>
  <c r="L190" i="37"/>
  <c r="L187" i="37" s="1"/>
  <c r="L188" i="37" s="1"/>
  <c r="K190" i="37"/>
  <c r="K187" i="37" s="1"/>
  <c r="K188" i="37" s="1"/>
  <c r="J190" i="37"/>
  <c r="J187" i="37" s="1"/>
  <c r="J188" i="37" s="1"/>
  <c r="N189" i="37"/>
  <c r="M189" i="37"/>
  <c r="L189" i="37"/>
  <c r="K189" i="37"/>
  <c r="J189" i="37"/>
  <c r="K177" i="37"/>
  <c r="L177" i="37"/>
  <c r="M177" i="37"/>
  <c r="N177" i="37"/>
  <c r="K178" i="37"/>
  <c r="K175" i="37" s="1"/>
  <c r="K176" i="37" s="1"/>
  <c r="L178" i="37"/>
  <c r="L175" i="37" s="1"/>
  <c r="L176" i="37" s="1"/>
  <c r="M178" i="37"/>
  <c r="M175" i="37" s="1"/>
  <c r="M176" i="37" s="1"/>
  <c r="N178" i="37"/>
  <c r="N175" i="37" s="1"/>
  <c r="N176" i="37" s="1"/>
  <c r="J178" i="37"/>
  <c r="J175" i="37" s="1"/>
  <c r="J176" i="37" s="1"/>
  <c r="J227" i="37"/>
  <c r="J177" i="37"/>
  <c r="F306" i="34"/>
  <c r="D306" i="34"/>
  <c r="N280" i="37"/>
  <c r="M280" i="37"/>
  <c r="L280" i="37"/>
  <c r="K280" i="37"/>
  <c r="J280" i="37"/>
  <c r="N271" i="37"/>
  <c r="Z271" i="37" s="1"/>
  <c r="M271" i="37"/>
  <c r="Y271" i="37" s="1"/>
  <c r="L271" i="37"/>
  <c r="X271" i="37" s="1"/>
  <c r="K271" i="37"/>
  <c r="W271" i="37"/>
  <c r="J271" i="37"/>
  <c r="V271" i="37" s="1"/>
  <c r="K75" i="49"/>
  <c r="K143" i="50" s="1"/>
  <c r="J75" i="49"/>
  <c r="J143" i="50" s="1"/>
  <c r="H257" i="49"/>
  <c r="H207" i="49"/>
  <c r="B182" i="34"/>
  <c r="N157" i="41"/>
  <c r="M157" i="41"/>
  <c r="L157" i="41"/>
  <c r="K157" i="41"/>
  <c r="J157" i="41"/>
  <c r="J251" i="34"/>
  <c r="J255" i="34"/>
  <c r="F310" i="34"/>
  <c r="F309" i="34"/>
  <c r="F308" i="34"/>
  <c r="F307" i="34"/>
  <c r="F305" i="34"/>
  <c r="M114" i="41"/>
  <c r="M2500" i="37" s="1"/>
  <c r="M103" i="41"/>
  <c r="M182" i="41"/>
  <c r="L114" i="41"/>
  <c r="L103" i="41"/>
  <c r="L254" i="50" s="1"/>
  <c r="L182" i="41"/>
  <c r="J114" i="41"/>
  <c r="J103" i="41"/>
  <c r="J254" i="50" s="1"/>
  <c r="J182" i="41"/>
  <c r="F304" i="34"/>
  <c r="F2124" i="50"/>
  <c r="A11" i="10"/>
  <c r="A13" i="10"/>
  <c r="A15" i="10"/>
  <c r="A16" i="10"/>
  <c r="A18" i="10" s="1"/>
  <c r="A22" i="10" s="1"/>
  <c r="A24" i="10" s="1"/>
  <c r="A25" i="10" s="1"/>
  <c r="A26" i="10" s="1"/>
  <c r="A34" i="10" s="1"/>
  <c r="A48" i="10" s="1"/>
  <c r="A49" i="10" s="1"/>
  <c r="A50" i="10" s="1"/>
  <c r="A51" i="10" s="1"/>
  <c r="A53" i="10" s="1"/>
  <c r="J123" i="37"/>
  <c r="R49" i="37"/>
  <c r="K114" i="41"/>
  <c r="K123" i="37"/>
  <c r="K103" i="41"/>
  <c r="K254" i="50" s="1"/>
  <c r="K182" i="41"/>
  <c r="L123" i="37"/>
  <c r="M123" i="37"/>
  <c r="N114" i="41"/>
  <c r="N103" i="41"/>
  <c r="N182" i="41"/>
  <c r="Q3054" i="37"/>
  <c r="N123" i="37"/>
  <c r="J374" i="41"/>
  <c r="J447" i="50" s="1"/>
  <c r="K374" i="41"/>
  <c r="K447" i="50" s="1"/>
  <c r="L374" i="41"/>
  <c r="L447" i="50" s="1"/>
  <c r="M374" i="41"/>
  <c r="M447" i="50"/>
  <c r="N374" i="41"/>
  <c r="N447" i="50" s="1"/>
  <c r="B35" i="34"/>
  <c r="G1273" i="50"/>
  <c r="B66" i="34"/>
  <c r="C65" i="34" s="1"/>
  <c r="E427" i="43"/>
  <c r="E428" i="43" s="1"/>
  <c r="E429" i="43" s="1"/>
  <c r="E430" i="43" s="1"/>
  <c r="E431" i="43" s="1"/>
  <c r="E432" i="43" s="1"/>
  <c r="J95" i="47"/>
  <c r="K95" i="47"/>
  <c r="M95" i="47"/>
  <c r="J253" i="34"/>
  <c r="M208" i="47"/>
  <c r="N208" i="47"/>
  <c r="M209" i="47"/>
  <c r="N209" i="47"/>
  <c r="M210" i="47"/>
  <c r="N210" i="47"/>
  <c r="J300" i="34"/>
  <c r="J269" i="34"/>
  <c r="B33" i="34"/>
  <c r="B37" i="34"/>
  <c r="D65" i="34"/>
  <c r="I253" i="34"/>
  <c r="I251" i="34"/>
  <c r="L95" i="47"/>
  <c r="N95" i="47"/>
  <c r="I269" i="34"/>
  <c r="I300" i="34"/>
  <c r="I255" i="34"/>
  <c r="J299" i="34"/>
  <c r="J298" i="34"/>
  <c r="J295" i="34"/>
  <c r="J294" i="34"/>
  <c r="J291" i="34"/>
  <c r="J290" i="34"/>
  <c r="J261" i="34"/>
  <c r="J260" i="34"/>
  <c r="J297" i="34"/>
  <c r="J296" i="34"/>
  <c r="J293" i="34"/>
  <c r="J292" i="34"/>
  <c r="J289" i="34"/>
  <c r="J288" i="34"/>
  <c r="J287" i="34"/>
  <c r="J286" i="34"/>
  <c r="J285" i="34"/>
  <c r="J284" i="34"/>
  <c r="J283" i="34"/>
  <c r="J282" i="34"/>
  <c r="J281" i="34"/>
  <c r="J280" i="34"/>
  <c r="J279" i="34"/>
  <c r="J278" i="34"/>
  <c r="J277" i="34"/>
  <c r="J276" i="34"/>
  <c r="J275" i="34"/>
  <c r="J274" i="34"/>
  <c r="J273" i="34"/>
  <c r="J272" i="34"/>
  <c r="J271" i="34"/>
  <c r="J270" i="34"/>
  <c r="J268" i="34"/>
  <c r="J267" i="34"/>
  <c r="J266" i="34"/>
  <c r="J265" i="34"/>
  <c r="J264" i="34"/>
  <c r="J263" i="34"/>
  <c r="J262" i="34"/>
  <c r="J259" i="34"/>
  <c r="J258" i="34"/>
  <c r="J257" i="34"/>
  <c r="J256" i="34"/>
  <c r="J254" i="34"/>
  <c r="J252" i="34"/>
  <c r="J250" i="34"/>
  <c r="J249" i="34"/>
  <c r="B41" i="34"/>
  <c r="E74" i="42"/>
  <c r="E97" i="42" s="1"/>
  <c r="D66" i="42"/>
  <c r="D67" i="42" s="1"/>
  <c r="D68" i="42" s="1"/>
  <c r="D69" i="42" s="1"/>
  <c r="D70" i="42" s="1"/>
  <c r="D71" i="42" s="1"/>
  <c r="D72" i="42" s="1"/>
  <c r="D73" i="42" s="1"/>
  <c r="D74" i="42" s="1"/>
  <c r="E73" i="42"/>
  <c r="E72" i="42"/>
  <c r="E71" i="42"/>
  <c r="E94" i="42" s="1"/>
  <c r="E70" i="42"/>
  <c r="E93" i="42"/>
  <c r="E69" i="42"/>
  <c r="E92" i="42" s="1"/>
  <c r="E68" i="42"/>
  <c r="E67" i="42"/>
  <c r="E66" i="42"/>
  <c r="E89" i="42" s="1"/>
  <c r="E65" i="42"/>
  <c r="E88" i="42" s="1"/>
  <c r="D49" i="42"/>
  <c r="D50" i="42" s="1"/>
  <c r="D51" i="42" s="1"/>
  <c r="D52" i="42" s="1"/>
  <c r="D53" i="42" s="1"/>
  <c r="D54" i="42" s="1"/>
  <c r="D55" i="42" s="1"/>
  <c r="D56" i="42" s="1"/>
  <c r="D57" i="42" s="1"/>
  <c r="D114" i="37"/>
  <c r="D115" i="37" s="1"/>
  <c r="D116" i="37" s="1"/>
  <c r="D117" i="37" s="1"/>
  <c r="D118" i="37" s="1"/>
  <c r="D119" i="37" s="1"/>
  <c r="D120" i="37" s="1"/>
  <c r="D121" i="37" s="1"/>
  <c r="D122" i="37" s="1"/>
  <c r="N270" i="47"/>
  <c r="M270" i="47"/>
  <c r="L270" i="47"/>
  <c r="K270" i="47"/>
  <c r="J270" i="47"/>
  <c r="N336" i="47"/>
  <c r="M336" i="47"/>
  <c r="L336" i="47"/>
  <c r="K336" i="47"/>
  <c r="J336" i="47"/>
  <c r="N303" i="47"/>
  <c r="M303" i="47"/>
  <c r="L303" i="47"/>
  <c r="K303" i="47"/>
  <c r="J303" i="47"/>
  <c r="D249" i="34"/>
  <c r="C250" i="34"/>
  <c r="C251" i="34" s="1"/>
  <c r="D251" i="34" s="1"/>
  <c r="I250" i="34"/>
  <c r="I252" i="34"/>
  <c r="I254" i="34"/>
  <c r="I256" i="34"/>
  <c r="I257" i="34"/>
  <c r="I258" i="34"/>
  <c r="I259" i="34"/>
  <c r="I263" i="34"/>
  <c r="I264" i="34"/>
  <c r="I265" i="34"/>
  <c r="I266" i="34"/>
  <c r="I267" i="34"/>
  <c r="I268" i="34"/>
  <c r="I270" i="34"/>
  <c r="I271" i="34"/>
  <c r="I272" i="34"/>
  <c r="I273" i="34"/>
  <c r="I274" i="34"/>
  <c r="I278" i="34"/>
  <c r="I279" i="34"/>
  <c r="I280" i="34"/>
  <c r="I281" i="34"/>
  <c r="I282" i="34"/>
  <c r="I283" i="34"/>
  <c r="I284" i="34"/>
  <c r="I285" i="34"/>
  <c r="I286" i="34"/>
  <c r="I288" i="34"/>
  <c r="I289" i="34"/>
  <c r="I292" i="34"/>
  <c r="I293" i="34"/>
  <c r="I296" i="34"/>
  <c r="I297" i="34"/>
  <c r="D304" i="34"/>
  <c r="D305" i="34"/>
  <c r="D307" i="34"/>
  <c r="D308" i="34"/>
  <c r="D309" i="34"/>
  <c r="D310" i="34"/>
  <c r="J129" i="47"/>
  <c r="K129" i="47"/>
  <c r="L129" i="47"/>
  <c r="M129" i="47"/>
  <c r="N129" i="47"/>
  <c r="J163" i="47"/>
  <c r="K163" i="47"/>
  <c r="L163" i="47"/>
  <c r="M163" i="47"/>
  <c r="N163" i="47"/>
  <c r="M197" i="47"/>
  <c r="N197" i="47"/>
  <c r="J359" i="47"/>
  <c r="J365" i="47"/>
  <c r="K359" i="47"/>
  <c r="K365" i="47" s="1"/>
  <c r="L359" i="47"/>
  <c r="L365" i="47" s="1"/>
  <c r="M359" i="47"/>
  <c r="M365" i="47" s="1"/>
  <c r="N359" i="47"/>
  <c r="N365" i="47" s="1"/>
  <c r="E228" i="43"/>
  <c r="E229" i="43" s="1"/>
  <c r="E230" i="43" s="1"/>
  <c r="E231" i="43" s="1"/>
  <c r="G56" i="9"/>
  <c r="N58" i="37"/>
  <c r="L58" i="37"/>
  <c r="K58" i="37"/>
  <c r="M58" i="37"/>
  <c r="L227" i="37"/>
  <c r="L405" i="41"/>
  <c r="M227" i="37"/>
  <c r="K227" i="37"/>
  <c r="N227" i="37"/>
  <c r="N57" i="37"/>
  <c r="J140" i="41"/>
  <c r="J275" i="50" s="1"/>
  <c r="L140" i="41"/>
  <c r="M140" i="41"/>
  <c r="J330" i="50"/>
  <c r="J212" i="41"/>
  <c r="J222" i="41" s="1"/>
  <c r="K212" i="41"/>
  <c r="K330" i="50"/>
  <c r="K140" i="41"/>
  <c r="K417" i="41" s="1"/>
  <c r="N140" i="41"/>
  <c r="L330" i="50"/>
  <c r="L212" i="41"/>
  <c r="N406" i="41"/>
  <c r="L406" i="41"/>
  <c r="M406" i="41"/>
  <c r="M330" i="50"/>
  <c r="M212" i="41"/>
  <c r="N212" i="41"/>
  <c r="N330" i="50"/>
  <c r="L416" i="41"/>
  <c r="K416" i="41"/>
  <c r="M416" i="41"/>
  <c r="N416" i="41"/>
  <c r="L402" i="41"/>
  <c r="L349" i="50" s="1"/>
  <c r="K402" i="41"/>
  <c r="K349" i="50" s="1"/>
  <c r="J402" i="41"/>
  <c r="J349" i="50" s="1"/>
  <c r="N402" i="41"/>
  <c r="N349" i="50" s="1"/>
  <c r="M402" i="41"/>
  <c r="M349" i="50" s="1"/>
  <c r="N401" i="41"/>
  <c r="N348" i="50" s="1"/>
  <c r="L401" i="41"/>
  <c r="L348" i="50" s="1"/>
  <c r="M401" i="41"/>
  <c r="M348" i="50" s="1"/>
  <c r="N400" i="41"/>
  <c r="N347" i="50" s="1"/>
  <c r="L208" i="47"/>
  <c r="I208" i="47"/>
  <c r="I197" i="47"/>
  <c r="J208" i="47"/>
  <c r="K230" i="41"/>
  <c r="L210" i="47"/>
  <c r="H140" i="41"/>
  <c r="H275" i="50" s="1"/>
  <c r="L209" i="47"/>
  <c r="L197" i="47"/>
  <c r="K391" i="47"/>
  <c r="M391" i="47"/>
  <c r="L391" i="47"/>
  <c r="M57" i="37"/>
  <c r="G99" i="49"/>
  <c r="M400" i="41"/>
  <c r="M347" i="50" s="1"/>
  <c r="G56" i="49"/>
  <c r="G135" i="50" s="1"/>
  <c r="H219" i="47"/>
  <c r="G184" i="49"/>
  <c r="G155" i="47"/>
  <c r="G93" i="41"/>
  <c r="G246" i="50" s="1"/>
  <c r="G306" i="41"/>
  <c r="G394" i="50" s="1"/>
  <c r="G322" i="47"/>
  <c r="F87" i="42"/>
  <c r="G2160" i="50"/>
  <c r="G91" i="49"/>
  <c r="G180" i="47"/>
  <c r="G760" i="50"/>
  <c r="G242" i="49"/>
  <c r="G276" i="41"/>
  <c r="G368" i="50" s="1"/>
  <c r="F103" i="42"/>
  <c r="G197" i="42"/>
  <c r="G335" i="41"/>
  <c r="G420" i="50" s="1"/>
  <c r="H2154" i="50"/>
  <c r="G82" i="49"/>
  <c r="G145" i="50" s="1"/>
  <c r="G233" i="37"/>
  <c r="H27" i="42"/>
  <c r="G227" i="41"/>
  <c r="G342" i="50" s="1"/>
  <c r="G110" i="41"/>
  <c r="G257" i="50" s="1"/>
  <c r="G146" i="47"/>
  <c r="G364" i="47"/>
  <c r="G121" i="47"/>
  <c r="G20" i="37"/>
  <c r="G277" i="37"/>
  <c r="H64" i="37"/>
  <c r="G237" i="49"/>
  <c r="G199" i="50"/>
  <c r="G147" i="37"/>
  <c r="G266" i="49"/>
  <c r="H397" i="47"/>
  <c r="G118" i="41"/>
  <c r="G171" i="42"/>
  <c r="G138" i="41"/>
  <c r="G196" i="37"/>
  <c r="G196" i="47"/>
  <c r="G161" i="42"/>
  <c r="G105" i="49"/>
  <c r="G260" i="41"/>
  <c r="G354" i="50"/>
  <c r="F64" i="42"/>
  <c r="G201" i="42"/>
  <c r="G251" i="49"/>
  <c r="G286" i="37"/>
  <c r="G269" i="47"/>
  <c r="G150" i="49"/>
  <c r="G190" i="49"/>
  <c r="G19" i="42"/>
  <c r="G217" i="41"/>
  <c r="G334" i="50" s="1"/>
  <c r="G53" i="37"/>
  <c r="G34" i="49"/>
  <c r="H252" i="37"/>
  <c r="G205" i="37"/>
  <c r="G224" i="37"/>
  <c r="G386" i="47"/>
  <c r="G155" i="37"/>
  <c r="G34" i="41"/>
  <c r="G188" i="41"/>
  <c r="G312" i="50" s="1"/>
  <c r="G206" i="41"/>
  <c r="G325" i="50" s="1"/>
  <c r="G127" i="49"/>
  <c r="G165" i="50"/>
  <c r="G122" i="49"/>
  <c r="G209" i="37"/>
  <c r="G295" i="41"/>
  <c r="G384" i="50" s="1"/>
  <c r="G140" i="49"/>
  <c r="G82" i="37"/>
  <c r="G335" i="47"/>
  <c r="G247" i="49"/>
  <c r="G328" i="47"/>
  <c r="H2136" i="50"/>
  <c r="G112" i="37"/>
  <c r="G869" i="42"/>
  <c r="G321" i="41"/>
  <c r="G408" i="50" s="1"/>
  <c r="G114" i="49"/>
  <c r="G160" i="50" s="1"/>
  <c r="H2132" i="50"/>
  <c r="G94" i="47"/>
  <c r="G207" i="47"/>
  <c r="G287" i="41"/>
  <c r="G377" i="50" s="1"/>
  <c r="H2128" i="50"/>
  <c r="G295" i="47"/>
  <c r="G66" i="49"/>
  <c r="H107" i="42"/>
  <c r="G112" i="47"/>
  <c r="Y76" i="43"/>
  <c r="J29" i="50"/>
  <c r="G268" i="37"/>
  <c r="F2123" i="50"/>
  <c r="G363" i="41"/>
  <c r="G442" i="50" s="1"/>
  <c r="G889" i="42"/>
  <c r="G829" i="42"/>
  <c r="F602" i="42"/>
  <c r="G536" i="42"/>
  <c r="G513" i="42"/>
  <c r="G491" i="42"/>
  <c r="G413" i="42"/>
  <c r="G394" i="42"/>
  <c r="H304" i="42"/>
  <c r="G216" i="42"/>
  <c r="G929" i="42"/>
  <c r="F618" i="42"/>
  <c r="G521" i="42"/>
  <c r="G662" i="42"/>
  <c r="G517" i="42"/>
  <c r="G398" i="42"/>
  <c r="G348" i="42"/>
  <c r="F284" i="42"/>
  <c r="H224" i="42"/>
  <c r="G656" i="42"/>
  <c r="H622" i="42"/>
  <c r="G509" i="42"/>
  <c r="G481" i="42"/>
  <c r="G390" i="42"/>
  <c r="G368" i="42"/>
  <c r="F300" i="42"/>
  <c r="F261" i="42"/>
  <c r="F579" i="42"/>
  <c r="G505" i="42"/>
  <c r="G471" i="42"/>
  <c r="G386" i="42"/>
  <c r="G358" i="42"/>
  <c r="H837" i="42"/>
  <c r="H544" i="42"/>
  <c r="H421" i="42"/>
  <c r="G382" i="42"/>
  <c r="R14" i="43"/>
  <c r="W83" i="37"/>
  <c r="V83" i="37"/>
  <c r="X83" i="37"/>
  <c r="J57" i="37"/>
  <c r="K57" i="37"/>
  <c r="L57" i="37"/>
  <c r="M29" i="50"/>
  <c r="G596" i="50"/>
  <c r="H555" i="50"/>
  <c r="H513" i="50"/>
  <c r="H490" i="50"/>
  <c r="F482" i="50"/>
  <c r="H569" i="50"/>
  <c r="H541" i="50"/>
  <c r="H499" i="50"/>
  <c r="H585" i="50"/>
  <c r="H527" i="50"/>
  <c r="G304" i="37"/>
  <c r="G239" i="41"/>
  <c r="G193" i="42"/>
  <c r="G189" i="42"/>
  <c r="H89" i="37"/>
  <c r="G135" i="49"/>
  <c r="G170" i="50" s="1"/>
  <c r="G302" i="47"/>
  <c r="H34" i="37"/>
  <c r="G289" i="47"/>
  <c r="G99" i="41"/>
  <c r="G250" i="50" s="1"/>
  <c r="G61" i="49"/>
  <c r="G140" i="50"/>
  <c r="G188" i="47"/>
  <c r="G72" i="49"/>
  <c r="G91" i="50"/>
  <c r="G354" i="47"/>
  <c r="G15" i="41"/>
  <c r="G111" i="50"/>
  <c r="G218" i="49"/>
  <c r="G44" i="41"/>
  <c r="G211" i="50" s="1"/>
  <c r="G243" i="37"/>
  <c r="G202" i="49"/>
  <c r="G300" i="37"/>
  <c r="G216" i="47"/>
  <c r="G213" i="37"/>
  <c r="G56" i="41"/>
  <c r="G146" i="41"/>
  <c r="G279" i="50" s="1"/>
  <c r="B67" i="34"/>
  <c r="G128" i="47"/>
  <c r="G151" i="42"/>
  <c r="G118" i="49"/>
  <c r="G261" i="49"/>
  <c r="G176" i="41"/>
  <c r="G302" i="50" s="1"/>
  <c r="G20" i="49"/>
  <c r="G63" i="50" s="1"/>
  <c r="G145" i="49"/>
  <c r="G182" i="37"/>
  <c r="G185" i="42"/>
  <c r="G162" i="47"/>
  <c r="G211" i="49"/>
  <c r="G197" i="49"/>
  <c r="G170" i="37"/>
  <c r="K400" i="41"/>
  <c r="K347" i="50" s="1"/>
  <c r="L400" i="41"/>
  <c r="L347" i="50" s="1"/>
  <c r="J400" i="41"/>
  <c r="J347" i="50" s="1"/>
  <c r="J405" i="41"/>
  <c r="G737" i="42"/>
  <c r="K405" i="41"/>
  <c r="J98" i="42"/>
  <c r="J104" i="42" s="1"/>
  <c r="K75" i="42"/>
  <c r="L98" i="42"/>
  <c r="L104" i="42"/>
  <c r="K98" i="42"/>
  <c r="K104" i="42" s="1"/>
  <c r="L75" i="42"/>
  <c r="J75" i="42"/>
  <c r="D2127" i="37"/>
  <c r="D128" i="37"/>
  <c r="F2190" i="50"/>
  <c r="H2221" i="50"/>
  <c r="H2382" i="50"/>
  <c r="G2410" i="50"/>
  <c r="H2434" i="50"/>
  <c r="H2453" i="50"/>
  <c r="G1252" i="50"/>
  <c r="G803" i="42"/>
  <c r="H769" i="42"/>
  <c r="H897" i="42"/>
  <c r="F2469" i="50"/>
  <c r="F765" i="42"/>
  <c r="F749" i="42"/>
  <c r="F726" i="42"/>
  <c r="H691" i="42"/>
  <c r="G809" i="42"/>
  <c r="G683" i="42"/>
  <c r="G221" i="50"/>
  <c r="G2072" i="50"/>
  <c r="G1744" i="50"/>
  <c r="G1580" i="50"/>
  <c r="G1416" i="50"/>
  <c r="G1088" i="50"/>
  <c r="G2459" i="50"/>
  <c r="H2438" i="50"/>
  <c r="G2498" i="50"/>
  <c r="H2477" i="50"/>
  <c r="H2442" i="50"/>
  <c r="G1908" i="50"/>
  <c r="H2195" i="50"/>
  <c r="H2203" i="50"/>
  <c r="F2257" i="50"/>
  <c r="H2280" i="50"/>
  <c r="F2316" i="50"/>
  <c r="H2347" i="50"/>
  <c r="H2392" i="50"/>
  <c r="H2481" i="50"/>
  <c r="G924" i="50"/>
  <c r="H2199" i="50"/>
  <c r="G2227" i="50"/>
  <c r="H2261" i="50"/>
  <c r="H2269" i="50"/>
  <c r="H2321" i="50"/>
  <c r="H2329" i="50"/>
  <c r="F2373" i="50"/>
  <c r="H2404" i="50"/>
  <c r="H2473" i="50"/>
  <c r="H2492" i="50"/>
  <c r="F2430" i="50"/>
  <c r="G2353" i="50"/>
  <c r="H2265" i="50"/>
  <c r="H2386" i="50"/>
  <c r="G2286" i="50"/>
  <c r="H2378" i="50"/>
  <c r="H2325" i="50"/>
  <c r="G2995" i="37"/>
  <c r="G2951" i="37"/>
  <c r="G2865" i="37"/>
  <c r="G2830" i="37"/>
  <c r="H2782" i="37"/>
  <c r="H2752" i="37"/>
  <c r="G2702" i="37"/>
  <c r="G2684" i="37"/>
  <c r="H2668" i="37"/>
  <c r="G2625" i="37"/>
  <c r="G2612" i="37"/>
  <c r="H2505" i="37"/>
  <c r="G2418" i="37"/>
  <c r="G2414" i="37"/>
  <c r="G2323" i="37"/>
  <c r="G2310" i="37"/>
  <c r="G3022" i="37"/>
  <c r="G3018" i="37"/>
  <c r="H2970" i="37"/>
  <c r="G2961" i="37"/>
  <c r="G2931" i="37"/>
  <c r="G2923" i="37"/>
  <c r="G2900" i="37"/>
  <c r="G2888" i="37"/>
  <c r="G2873" i="37"/>
  <c r="G2771" i="37"/>
  <c r="G2738" i="37"/>
  <c r="G2649" i="37"/>
  <c r="G2563" i="37"/>
  <c r="G2528" i="37"/>
  <c r="H2480" i="37"/>
  <c r="H2450" i="37"/>
  <c r="G2800" i="37"/>
  <c r="G2720" i="37"/>
  <c r="G2629" i="37"/>
  <c r="G2598" i="37"/>
  <c r="G2586" i="37"/>
  <c r="G2469" i="37"/>
  <c r="G2400" i="37"/>
  <c r="G2347" i="37"/>
  <c r="G2319" i="37"/>
  <c r="G2284" i="37"/>
  <c r="G2269" i="37"/>
  <c r="G2167" i="37"/>
  <c r="G2134" i="37"/>
  <c r="G2055" i="37"/>
  <c r="G2025" i="37"/>
  <c r="G2017" i="37"/>
  <c r="G1994" i="37"/>
  <c r="G1982" i="37"/>
  <c r="G1967" i="37"/>
  <c r="G1865" i="37"/>
  <c r="G1832" i="37"/>
  <c r="G2927" i="37"/>
  <c r="G2659" i="37"/>
  <c r="G2621" i="37"/>
  <c r="G2391" i="37"/>
  <c r="G2338" i="37"/>
  <c r="G2296" i="37"/>
  <c r="G2196" i="37"/>
  <c r="G2089" i="37"/>
  <c r="G2036" i="37"/>
  <c r="G1894" i="37"/>
  <c r="G2914" i="37"/>
  <c r="H2807" i="37"/>
  <c r="G2693" i="37"/>
  <c r="G2640" i="37"/>
  <c r="G2498" i="37"/>
  <c r="G2382" i="37"/>
  <c r="H2366" i="37"/>
  <c r="G2357" i="37"/>
  <c r="H2203" i="37"/>
  <c r="G2116" i="37"/>
  <c r="G2112" i="37"/>
  <c r="G2021" i="37"/>
  <c r="G2008" i="37"/>
  <c r="H1901" i="37"/>
  <c r="G1814" i="37"/>
  <c r="G1810" i="37"/>
  <c r="G3004" i="37"/>
  <c r="G2986" i="37"/>
  <c r="G2942" i="37"/>
  <c r="G2716" i="37"/>
  <c r="G2571" i="37"/>
  <c r="G2436" i="37"/>
  <c r="G2327" i="37"/>
  <c r="G2261" i="37"/>
  <c r="G2226" i="37"/>
  <c r="H2178" i="37"/>
  <c r="H2148" i="37"/>
  <c r="G2098" i="37"/>
  <c r="G2080" i="37"/>
  <c r="H2064" i="37"/>
  <c r="G2045" i="37"/>
  <c r="G1959" i="37"/>
  <c r="G1924" i="37"/>
  <c r="G1796" i="37"/>
  <c r="G1787" i="37"/>
  <c r="G1778" i="37"/>
  <c r="H1762" i="37"/>
  <c r="G1753" i="37"/>
  <c r="G1723" i="37"/>
  <c r="G1715" i="37"/>
  <c r="G1692" i="37"/>
  <c r="G1680" i="37"/>
  <c r="G1665" i="37"/>
  <c r="G1563" i="37"/>
  <c r="G1530" i="37"/>
  <c r="G1417" i="37"/>
  <c r="G1404" i="37"/>
  <c r="G1261" i="37"/>
  <c r="G1228" i="37"/>
  <c r="G1149" i="37"/>
  <c r="G1119" i="37"/>
  <c r="G1111" i="37"/>
  <c r="G1088" i="37"/>
  <c r="G1076" i="37"/>
  <c r="G1061" i="37"/>
  <c r="G959" i="37"/>
  <c r="G926" i="37"/>
  <c r="G837" i="37"/>
  <c r="G751" i="37"/>
  <c r="G716" i="37"/>
  <c r="G657" i="37"/>
  <c r="G624" i="37"/>
  <c r="G1734" i="37"/>
  <c r="G1592" i="37"/>
  <c r="G1485" i="37"/>
  <c r="G1441" i="37"/>
  <c r="G1355" i="37"/>
  <c r="G1320" i="37"/>
  <c r="G1183" i="37"/>
  <c r="G1130" i="37"/>
  <c r="G988" i="37"/>
  <c r="G881" i="37"/>
  <c r="H856" i="37"/>
  <c r="G847" i="37"/>
  <c r="G817" i="37"/>
  <c r="G809" i="37"/>
  <c r="G786" i="37"/>
  <c r="G774" i="37"/>
  <c r="G759" i="37"/>
  <c r="G579" i="37"/>
  <c r="H1846" i="37"/>
  <c r="G1719" i="37"/>
  <c r="G1706" i="37"/>
  <c r="H1599" i="37"/>
  <c r="G1512" i="37"/>
  <c r="G1508" i="37"/>
  <c r="H1460" i="37"/>
  <c r="G1451" i="37"/>
  <c r="G1421" i="37"/>
  <c r="G1413" i="37"/>
  <c r="G1390" i="37"/>
  <c r="G1378" i="37"/>
  <c r="G1363" i="37"/>
  <c r="G1290" i="37"/>
  <c r="G1210" i="37"/>
  <c r="G1206" i="37"/>
  <c r="G1115" i="37"/>
  <c r="G1102" i="37"/>
  <c r="H995" i="37"/>
  <c r="G908" i="37"/>
  <c r="G904" i="37"/>
  <c r="G828" i="37"/>
  <c r="G686" i="37"/>
  <c r="G606" i="37"/>
  <c r="G602" i="37"/>
  <c r="H1876" i="37"/>
  <c r="G1743" i="37"/>
  <c r="G1657" i="37"/>
  <c r="G1622" i="37"/>
  <c r="H1574" i="37"/>
  <c r="H1544" i="37"/>
  <c r="G1494" i="37"/>
  <c r="G1476" i="37"/>
  <c r="G1432" i="37"/>
  <c r="H1297" i="37"/>
  <c r="H1272" i="37"/>
  <c r="H1242" i="37"/>
  <c r="G1192" i="37"/>
  <c r="G1174" i="37"/>
  <c r="H1158" i="37"/>
  <c r="G1139" i="37"/>
  <c r="G1053" i="37"/>
  <c r="G1018" i="37"/>
  <c r="H970" i="37"/>
  <c r="H940" i="37"/>
  <c r="G890" i="37"/>
  <c r="G872" i="37"/>
  <c r="G813" i="37"/>
  <c r="G800" i="37"/>
  <c r="H693" i="37"/>
  <c r="H668" i="37"/>
  <c r="H638" i="37"/>
  <c r="G588" i="37"/>
  <c r="G545" i="37"/>
  <c r="G515" i="37"/>
  <c r="G507" i="37"/>
  <c r="G484" i="37"/>
  <c r="G472" i="37"/>
  <c r="G457" i="37"/>
  <c r="G355" i="37"/>
  <c r="G322" i="37"/>
  <c r="G526" i="37"/>
  <c r="G384" i="37"/>
  <c r="G511" i="37"/>
  <c r="G498" i="37"/>
  <c r="H391" i="37"/>
  <c r="G570" i="37"/>
  <c r="H554" i="37"/>
  <c r="G535" i="37"/>
  <c r="G449" i="37"/>
  <c r="G414" i="37"/>
  <c r="H366" i="37"/>
  <c r="H336" i="37"/>
  <c r="D2242" i="37"/>
  <c r="G2717" i="37"/>
  <c r="G1207" i="37"/>
  <c r="A296" i="34"/>
  <c r="E322" i="41"/>
  <c r="E409" i="50" s="1"/>
  <c r="E141" i="62"/>
  <c r="S141" i="62" s="1"/>
  <c r="I12" i="42"/>
  <c r="E102" i="50"/>
  <c r="E119" i="62"/>
  <c r="E84" i="62"/>
  <c r="B34" i="34"/>
  <c r="G217" i="47"/>
  <c r="C38" i="9"/>
  <c r="H57" i="37"/>
  <c r="I57" i="37"/>
  <c r="Q1291" i="37"/>
  <c r="H2376" i="37"/>
  <c r="M73" i="62"/>
  <c r="M108" i="62" s="1"/>
  <c r="M130" i="62" s="1"/>
  <c r="H537" i="50"/>
  <c r="H580" i="50"/>
  <c r="A262" i="34"/>
  <c r="G270" i="47"/>
  <c r="B40" i="34"/>
  <c r="G1658" i="37" s="1"/>
  <c r="B38" i="34"/>
  <c r="B26" i="34"/>
  <c r="Q2801" i="37"/>
  <c r="D959" i="64"/>
  <c r="D719" i="64"/>
  <c r="D479" i="64"/>
  <c r="D839" i="64"/>
  <c r="D599" i="64"/>
  <c r="A1532" i="50"/>
  <c r="D823" i="42"/>
  <c r="D529" i="42"/>
  <c r="D650" i="42"/>
  <c r="T83" i="37"/>
  <c r="U83" i="37"/>
  <c r="N168" i="50"/>
  <c r="H974" i="37"/>
  <c r="D1081" i="64"/>
  <c r="D1261" i="64"/>
  <c r="D1121" i="64"/>
  <c r="D1281" i="64"/>
  <c r="D1161" i="64"/>
  <c r="H2182" i="37"/>
  <c r="D1201" i="64"/>
  <c r="D1231" i="64"/>
  <c r="H571" i="50"/>
  <c r="F272" i="34"/>
  <c r="F261" i="34"/>
  <c r="F295" i="34"/>
  <c r="F282" i="34"/>
  <c r="F252" i="34"/>
  <c r="D539" i="64"/>
  <c r="C37" i="9"/>
  <c r="Q226" i="47"/>
  <c r="P1201" i="50"/>
  <c r="P1529" i="50"/>
  <c r="Q220" i="47"/>
  <c r="P873" i="50"/>
  <c r="P2021" i="50"/>
  <c r="P1693" i="50"/>
  <c r="P545" i="50"/>
  <c r="P1857" i="50"/>
  <c r="P1365" i="50"/>
  <c r="P1037" i="50"/>
  <c r="E90" i="62"/>
  <c r="E63" i="62"/>
  <c r="E147" i="62"/>
  <c r="S147" i="62" s="1"/>
  <c r="E108" i="50"/>
  <c r="E285" i="49"/>
  <c r="K208" i="47"/>
  <c r="J209" i="47"/>
  <c r="K209" i="47"/>
  <c r="K217" i="47" s="1"/>
  <c r="J197" i="47"/>
  <c r="K210" i="47"/>
  <c r="J210" i="47"/>
  <c r="K197" i="47"/>
  <c r="B56" i="34"/>
  <c r="B54" i="34"/>
  <c r="J391" i="47"/>
  <c r="H391" i="47"/>
  <c r="I391" i="47"/>
  <c r="A269" i="34"/>
  <c r="A268" i="34"/>
  <c r="C43" i="9"/>
  <c r="G5" i="47"/>
  <c r="D332" i="42"/>
  <c r="D406" i="42"/>
  <c r="D12" i="42"/>
  <c r="D59" i="62"/>
  <c r="H703" i="37"/>
  <c r="H697" i="37"/>
  <c r="M168" i="50"/>
  <c r="N1292" i="37"/>
  <c r="K239" i="64"/>
  <c r="I239" i="64"/>
  <c r="M239" i="64"/>
  <c r="J239" i="64"/>
  <c r="L239" i="64"/>
  <c r="E239" i="64"/>
  <c r="J237" i="64"/>
  <c r="L237" i="64"/>
  <c r="I237" i="64"/>
  <c r="K237" i="64"/>
  <c r="M237" i="64"/>
  <c r="J858" i="64"/>
  <c r="M891" i="64"/>
  <c r="I875" i="64"/>
  <c r="M869" i="64"/>
  <c r="J842" i="64"/>
  <c r="K860" i="64"/>
  <c r="M881" i="64"/>
  <c r="I868" i="64"/>
  <c r="L865" i="64"/>
  <c r="J865" i="64"/>
  <c r="M875" i="64"/>
  <c r="I855" i="64"/>
  <c r="I877" i="64"/>
  <c r="M894" i="64"/>
  <c r="L860" i="64"/>
  <c r="K872" i="64"/>
  <c r="M885" i="64"/>
  <c r="L861" i="64"/>
  <c r="L880" i="64"/>
  <c r="K871" i="64"/>
  <c r="L847" i="64"/>
  <c r="M876" i="64"/>
  <c r="L872" i="64"/>
  <c r="M892" i="64"/>
  <c r="J848" i="64"/>
  <c r="I882" i="64"/>
  <c r="L866" i="64"/>
  <c r="M865" i="64"/>
  <c r="J866" i="64"/>
  <c r="K874" i="64"/>
  <c r="M857" i="64"/>
  <c r="J868" i="64"/>
  <c r="M848" i="64"/>
  <c r="K855" i="64"/>
  <c r="J886" i="64"/>
  <c r="K861" i="64"/>
  <c r="K858" i="64"/>
  <c r="K895" i="64"/>
  <c r="L869" i="64"/>
  <c r="M880" i="64"/>
  <c r="H844" i="64"/>
  <c r="I872" i="64"/>
  <c r="J863" i="64"/>
  <c r="M861" i="64"/>
  <c r="I869" i="64"/>
  <c r="K876" i="64"/>
  <c r="L862" i="64"/>
  <c r="L875" i="64"/>
  <c r="I894" i="64"/>
  <c r="F851" i="64"/>
  <c r="J885" i="64"/>
  <c r="M877" i="64"/>
  <c r="L868" i="64"/>
  <c r="J875" i="64"/>
  <c r="I874" i="64"/>
  <c r="I858" i="64"/>
  <c r="E895" i="64"/>
  <c r="L855" i="64"/>
  <c r="I863" i="64"/>
  <c r="M871" i="64"/>
  <c r="K892" i="64"/>
  <c r="J862" i="64"/>
  <c r="M895" i="64"/>
  <c r="L878" i="64"/>
  <c r="J878" i="64"/>
  <c r="M847" i="64"/>
  <c r="I847" i="64"/>
  <c r="I848" i="64"/>
  <c r="J882" i="64"/>
  <c r="M844" i="64"/>
  <c r="E894" i="64"/>
  <c r="M862" i="64"/>
  <c r="L874" i="64"/>
  <c r="L892" i="64"/>
  <c r="J883" i="64"/>
  <c r="J871" i="64"/>
  <c r="M879" i="64"/>
  <c r="M886" i="64"/>
  <c r="I879" i="64"/>
  <c r="L876" i="64"/>
  <c r="J860" i="64"/>
  <c r="J888" i="64"/>
  <c r="J881" i="64"/>
  <c r="I883" i="64"/>
  <c r="K847" i="64"/>
  <c r="I895" i="64"/>
  <c r="E892" i="64"/>
  <c r="L885" i="64"/>
  <c r="M868" i="64"/>
  <c r="L881" i="64"/>
  <c r="L883" i="64"/>
  <c r="J872" i="64"/>
  <c r="L857" i="64"/>
  <c r="J847" i="64"/>
  <c r="M842" i="64"/>
  <c r="L894" i="64"/>
  <c r="K877" i="64"/>
  <c r="K862" i="64"/>
  <c r="K888" i="64"/>
  <c r="K868" i="64"/>
  <c r="J874" i="64"/>
  <c r="I871" i="64"/>
  <c r="K885" i="64"/>
  <c r="I891" i="64"/>
  <c r="I862" i="64"/>
  <c r="J869" i="64"/>
  <c r="M860" i="64"/>
  <c r="I892" i="64"/>
  <c r="J877" i="64"/>
  <c r="L879" i="64"/>
  <c r="M855" i="64"/>
  <c r="L888" i="64"/>
  <c r="M863" i="64"/>
  <c r="J880" i="64"/>
  <c r="K894" i="64"/>
  <c r="K863" i="64"/>
  <c r="K891" i="64"/>
  <c r="L891" i="64"/>
  <c r="M858" i="64"/>
  <c r="K869" i="64"/>
  <c r="K879" i="64"/>
  <c r="M882" i="64"/>
  <c r="K886" i="64"/>
  <c r="I888" i="64"/>
  <c r="I878" i="64"/>
  <c r="K882" i="64"/>
  <c r="M888" i="64"/>
  <c r="I857" i="64"/>
  <c r="I876" i="64"/>
  <c r="J895" i="64"/>
  <c r="J876" i="64"/>
  <c r="K844" i="64"/>
  <c r="J844" i="64"/>
  <c r="K857" i="64"/>
  <c r="J879" i="64"/>
  <c r="L877" i="64"/>
  <c r="K878" i="64"/>
  <c r="I886" i="64"/>
  <c r="E891" i="64"/>
  <c r="K881" i="64"/>
  <c r="K880" i="64"/>
  <c r="J861" i="64"/>
  <c r="K848" i="64"/>
  <c r="J894" i="64"/>
  <c r="I860" i="64"/>
  <c r="M872" i="64"/>
  <c r="J892" i="64"/>
  <c r="K865" i="64"/>
  <c r="M878" i="64"/>
  <c r="K866" i="64"/>
  <c r="K875" i="64"/>
  <c r="L871" i="64"/>
  <c r="I865" i="64"/>
  <c r="J857" i="64"/>
  <c r="M866" i="64"/>
  <c r="I866" i="64"/>
  <c r="M843" i="64"/>
  <c r="L848" i="64"/>
  <c r="M874" i="64"/>
  <c r="M883" i="64"/>
  <c r="I881" i="64"/>
  <c r="L886" i="64"/>
  <c r="I861" i="64"/>
  <c r="J891" i="64"/>
  <c r="I880" i="64"/>
  <c r="L895" i="64"/>
  <c r="L863" i="64"/>
  <c r="G844" i="64"/>
  <c r="K883" i="64"/>
  <c r="I885" i="64"/>
  <c r="L858" i="64"/>
  <c r="L882" i="64"/>
  <c r="J855" i="64"/>
  <c r="M235" i="64"/>
  <c r="J235" i="64"/>
  <c r="K235" i="64"/>
  <c r="I235" i="64"/>
  <c r="L235" i="64"/>
  <c r="L238" i="64"/>
  <c r="I238" i="64"/>
  <c r="J238" i="64"/>
  <c r="K238" i="64"/>
  <c r="M238" i="64"/>
  <c r="M234" i="64"/>
  <c r="J234" i="64"/>
  <c r="I234" i="64"/>
  <c r="L233" i="64"/>
  <c r="I233" i="64"/>
  <c r="M233" i="64"/>
  <c r="J233" i="64"/>
  <c r="E426" i="64"/>
  <c r="L47" i="64"/>
  <c r="I47" i="64"/>
  <c r="E47" i="64"/>
  <c r="N1240" i="64"/>
  <c r="M1264" i="64"/>
  <c r="L1269" i="64"/>
  <c r="L1270" i="64"/>
  <c r="M1270" i="64"/>
  <c r="I1264" i="64"/>
  <c r="I1269" i="64"/>
  <c r="K79" i="64"/>
  <c r="J82" i="64"/>
  <c r="E1164" i="64"/>
  <c r="H557" i="50"/>
  <c r="H587" i="50"/>
  <c r="H2447" i="50"/>
  <c r="H2391" i="50"/>
  <c r="H534" i="50"/>
  <c r="H2134" i="50"/>
  <c r="H2142" i="50"/>
  <c r="K73" i="62"/>
  <c r="K108" i="62" s="1"/>
  <c r="K130" i="62" s="1"/>
  <c r="H552" i="50"/>
  <c r="H515" i="50"/>
  <c r="H497" i="50"/>
  <c r="H2486" i="50"/>
  <c r="H2223" i="50"/>
  <c r="H2494" i="50"/>
  <c r="H2156" i="50"/>
  <c r="H523" i="50"/>
  <c r="H229" i="47"/>
  <c r="H592" i="50"/>
  <c r="H517" i="50"/>
  <c r="B31" i="34"/>
  <c r="H533" i="50"/>
  <c r="H2455" i="50"/>
  <c r="H2349" i="50"/>
  <c r="H2440" i="50"/>
  <c r="H2406" i="50"/>
  <c r="H2334" i="50"/>
  <c r="B32" i="34"/>
  <c r="H579" i="50"/>
  <c r="H516" i="50"/>
  <c r="H589" i="50"/>
  <c r="H551" i="50"/>
  <c r="H529" i="50"/>
  <c r="H493" i="50"/>
  <c r="H545" i="50"/>
  <c r="H566" i="50"/>
  <c r="H576" i="50"/>
  <c r="G1945" i="50"/>
  <c r="G1948" i="50"/>
  <c r="G1454" i="50"/>
  <c r="G965" i="50"/>
  <c r="G2722" i="37"/>
  <c r="G2118" i="37"/>
  <c r="G1812" i="37"/>
  <c r="G2416" i="37"/>
  <c r="G302" i="37"/>
  <c r="F268" i="34"/>
  <c r="G2106" i="50"/>
  <c r="G2110" i="50"/>
  <c r="G1290" i="50"/>
  <c r="G2105" i="37"/>
  <c r="G3020" i="37"/>
  <c r="G1514" i="37"/>
  <c r="G909" i="37"/>
  <c r="F298" i="34"/>
  <c r="F296" i="34"/>
  <c r="G634" i="50"/>
  <c r="F271" i="34"/>
  <c r="G961" i="50"/>
  <c r="G1453" i="50"/>
  <c r="G2709" i="37"/>
  <c r="G2721" i="37"/>
  <c r="G1510" i="37"/>
  <c r="F274" i="34"/>
  <c r="G1785" i="50"/>
  <c r="G2112" i="50"/>
  <c r="G1778" i="50"/>
  <c r="F267" i="34"/>
  <c r="G633" i="50"/>
  <c r="G305" i="37"/>
  <c r="F263" i="34"/>
  <c r="G608" i="37"/>
  <c r="G801" i="50"/>
  <c r="F251" i="34"/>
  <c r="G630" i="50"/>
  <c r="F290" i="34"/>
  <c r="H738" i="64"/>
  <c r="H1292" i="37"/>
  <c r="H1609" i="37"/>
  <c r="H1603" i="37"/>
  <c r="J167" i="64"/>
  <c r="J166" i="64"/>
  <c r="K1290" i="64"/>
  <c r="I1284" i="64"/>
  <c r="L1290" i="64"/>
  <c r="M1286" i="64"/>
  <c r="L1289" i="64"/>
  <c r="M1289" i="64"/>
  <c r="J1289" i="64"/>
  <c r="M1290" i="64"/>
  <c r="M1284" i="64"/>
  <c r="F1293" i="64"/>
  <c r="I1289" i="64"/>
  <c r="I1290" i="64"/>
  <c r="J1290" i="64"/>
  <c r="K1289" i="64"/>
  <c r="M1285" i="64"/>
  <c r="N1290" i="64"/>
  <c r="M1281" i="64"/>
  <c r="M851" i="64"/>
  <c r="J1359" i="64"/>
  <c r="I1359" i="64"/>
  <c r="K1273" i="64"/>
  <c r="H1270" i="64"/>
  <c r="K1227" i="64"/>
  <c r="M1209" i="64"/>
  <c r="L1224" i="64"/>
  <c r="K1226" i="64"/>
  <c r="M1205" i="64"/>
  <c r="L1209" i="64"/>
  <c r="I1221" i="64"/>
  <c r="I1210" i="64"/>
  <c r="K1222" i="64"/>
  <c r="K1209" i="64"/>
  <c r="I1227" i="64"/>
  <c r="J1210" i="64"/>
  <c r="K1224" i="64"/>
  <c r="M1210" i="64"/>
  <c r="K1219" i="64"/>
  <c r="M1221" i="64"/>
  <c r="M1206" i="64"/>
  <c r="P1206" i="64" s="1"/>
  <c r="L1226" i="64"/>
  <c r="I1204" i="64"/>
  <c r="I1226" i="64"/>
  <c r="L1227" i="64"/>
  <c r="L1219" i="64"/>
  <c r="I1222" i="64"/>
  <c r="F1213" i="64"/>
  <c r="K1210" i="64"/>
  <c r="M1220" i="64"/>
  <c r="M1204" i="64"/>
  <c r="J1226" i="64"/>
  <c r="I1224" i="64"/>
  <c r="J1209" i="64"/>
  <c r="I1209" i="64"/>
  <c r="M1227" i="64"/>
  <c r="J1224" i="64"/>
  <c r="N1210" i="64"/>
  <c r="L1221" i="64"/>
  <c r="L1210" i="64"/>
  <c r="J1220" i="64"/>
  <c r="J1221" i="64"/>
  <c r="L1222" i="64"/>
  <c r="M1224" i="64"/>
  <c r="M1222" i="64"/>
  <c r="I1220" i="64"/>
  <c r="K1221" i="64"/>
  <c r="L1220" i="64"/>
  <c r="M1226" i="64"/>
  <c r="I1219" i="64"/>
  <c r="K1220" i="64"/>
  <c r="J1222" i="64"/>
  <c r="J1219" i="64"/>
  <c r="J1227" i="64"/>
  <c r="M1219" i="64"/>
  <c r="M1201" i="64"/>
  <c r="I1273" i="64"/>
  <c r="H1290" i="64"/>
  <c r="E842" i="64"/>
  <c r="K842" i="64"/>
  <c r="P844" i="64" s="1"/>
  <c r="L244" i="64"/>
  <c r="M245" i="64"/>
  <c r="L243" i="64"/>
  <c r="K245" i="64"/>
  <c r="L242" i="64"/>
  <c r="M241" i="64"/>
  <c r="I243" i="64"/>
  <c r="M242" i="64"/>
  <c r="I244" i="64"/>
  <c r="L241" i="64"/>
  <c r="J245" i="64"/>
  <c r="M244" i="64"/>
  <c r="K241" i="64"/>
  <c r="J242" i="64"/>
  <c r="K244" i="64"/>
  <c r="K242" i="64"/>
  <c r="K243" i="64"/>
  <c r="J244" i="64"/>
  <c r="I245" i="64"/>
  <c r="I241" i="64"/>
  <c r="L245" i="64"/>
  <c r="I242" i="64"/>
  <c r="M243" i="64"/>
  <c r="J241" i="64"/>
  <c r="J243" i="64"/>
  <c r="E1284" i="64"/>
  <c r="L1297" i="64"/>
  <c r="J1297" i="64"/>
  <c r="K1297" i="64"/>
  <c r="I1297" i="64"/>
  <c r="M1297" i="64"/>
  <c r="I1281" i="64"/>
  <c r="I851" i="64"/>
  <c r="K851" i="64"/>
  <c r="M360" i="64"/>
  <c r="I365" i="64"/>
  <c r="L401" i="64"/>
  <c r="L403" i="64"/>
  <c r="M429" i="64"/>
  <c r="J360" i="64"/>
  <c r="L400" i="64"/>
  <c r="L365" i="64"/>
  <c r="J363" i="64"/>
  <c r="L427" i="64"/>
  <c r="K362" i="64"/>
  <c r="I360" i="64"/>
  <c r="J364" i="64"/>
  <c r="M404" i="64"/>
  <c r="K363" i="64"/>
  <c r="J361" i="64"/>
  <c r="K360" i="64"/>
  <c r="M428" i="64"/>
  <c r="J365" i="64"/>
  <c r="K427" i="64"/>
  <c r="I400" i="64"/>
  <c r="M401" i="64"/>
  <c r="K365" i="64"/>
  <c r="K428" i="64"/>
  <c r="I401" i="64"/>
  <c r="L361" i="64"/>
  <c r="I403" i="64"/>
  <c r="M402" i="64"/>
  <c r="I428" i="64"/>
  <c r="M364" i="64"/>
  <c r="K364" i="64"/>
  <c r="L402" i="64"/>
  <c r="L404" i="64"/>
  <c r="I364" i="64"/>
  <c r="I429" i="64"/>
  <c r="K402" i="64"/>
  <c r="M365" i="64"/>
  <c r="K429" i="64"/>
  <c r="J403" i="64"/>
  <c r="L364" i="64"/>
  <c r="L363" i="64"/>
  <c r="L428" i="64"/>
  <c r="J362" i="64"/>
  <c r="M400" i="64"/>
  <c r="J402" i="64"/>
  <c r="M363" i="64"/>
  <c r="J429" i="64"/>
  <c r="K404" i="64"/>
  <c r="J404" i="64"/>
  <c r="M361" i="64"/>
  <c r="K361" i="64"/>
  <c r="J401" i="64"/>
  <c r="L362" i="64"/>
  <c r="K400" i="64"/>
  <c r="I402" i="64"/>
  <c r="K401" i="64"/>
  <c r="J405" i="64"/>
  <c r="M430" i="64"/>
  <c r="M405" i="64"/>
  <c r="K366" i="64"/>
  <c r="J431" i="64"/>
  <c r="J406" i="64"/>
  <c r="M431" i="64"/>
  <c r="M368" i="64"/>
  <c r="J368" i="64"/>
  <c r="M407" i="64"/>
  <c r="I432" i="64"/>
  <c r="M433" i="64"/>
  <c r="J433" i="64"/>
  <c r="I433" i="64"/>
  <c r="M434" i="64"/>
  <c r="M362" i="64"/>
  <c r="M427" i="64"/>
  <c r="I404" i="64"/>
  <c r="J427" i="64"/>
  <c r="K403" i="64"/>
  <c r="M403" i="64"/>
  <c r="M366" i="64"/>
  <c r="L366" i="64"/>
  <c r="L405" i="64"/>
  <c r="M406" i="64"/>
  <c r="I367" i="64"/>
  <c r="M367" i="64"/>
  <c r="L367" i="64"/>
  <c r="L432" i="64"/>
  <c r="I368" i="64"/>
  <c r="K407" i="64"/>
  <c r="L407" i="64"/>
  <c r="L433" i="64"/>
  <c r="K408" i="64"/>
  <c r="J434" i="64"/>
  <c r="J428" i="64"/>
  <c r="L429" i="64"/>
  <c r="J400" i="64"/>
  <c r="I363" i="64"/>
  <c r="I361" i="64"/>
  <c r="K430" i="64"/>
  <c r="I405" i="64"/>
  <c r="I430" i="64"/>
  <c r="L430" i="64"/>
  <c r="I406" i="64"/>
  <c r="L431" i="64"/>
  <c r="K406" i="64"/>
  <c r="I431" i="64"/>
  <c r="M432" i="64"/>
  <c r="J432" i="64"/>
  <c r="K432" i="64"/>
  <c r="I408" i="64"/>
  <c r="L408" i="64"/>
  <c r="J408" i="64"/>
  <c r="I434" i="64"/>
  <c r="I362" i="64"/>
  <c r="I427" i="64"/>
  <c r="J430" i="64"/>
  <c r="K431" i="64"/>
  <c r="J407" i="64"/>
  <c r="L434" i="64"/>
  <c r="K368" i="64"/>
  <c r="L360" i="64"/>
  <c r="K367" i="64"/>
  <c r="J367" i="64"/>
  <c r="M408" i="64"/>
  <c r="K434" i="64"/>
  <c r="I366" i="64"/>
  <c r="L406" i="64"/>
  <c r="K433" i="64"/>
  <c r="K405" i="64"/>
  <c r="J366" i="64"/>
  <c r="L368" i="64"/>
  <c r="I407" i="64"/>
  <c r="J426" i="64"/>
  <c r="I426" i="64"/>
  <c r="L426" i="64"/>
  <c r="K426" i="64"/>
  <c r="M426" i="64"/>
  <c r="D1394" i="64"/>
  <c r="D1351" i="64"/>
  <c r="H1284" i="64"/>
  <c r="I842" i="64"/>
  <c r="I844" i="64"/>
  <c r="I1213" i="64"/>
  <c r="D1389" i="64"/>
  <c r="D1346" i="64"/>
  <c r="D1393" i="64"/>
  <c r="D1350" i="64"/>
  <c r="D1380" i="64"/>
  <c r="D1337" i="64"/>
  <c r="J1379" i="64"/>
  <c r="J1336" i="64"/>
  <c r="L1335" i="64"/>
  <c r="J1335" i="64"/>
  <c r="I1293" i="64"/>
  <c r="H842" i="64"/>
  <c r="L844" i="64"/>
  <c r="L842" i="64"/>
  <c r="N848" i="64"/>
  <c r="K1204" i="64"/>
  <c r="J1204" i="64"/>
  <c r="D1392" i="64"/>
  <c r="D1349" i="64"/>
  <c r="D1388" i="64"/>
  <c r="D1345" i="64"/>
  <c r="D1384" i="64"/>
  <c r="D1341" i="64"/>
  <c r="D1391" i="64"/>
  <c r="D1348" i="64"/>
  <c r="D1385" i="64"/>
  <c r="D1342" i="64"/>
  <c r="L1379" i="64"/>
  <c r="L1336" i="64"/>
  <c r="M1379" i="64"/>
  <c r="M1336" i="64"/>
  <c r="I417" i="64"/>
  <c r="I414" i="64"/>
  <c r="M416" i="64"/>
  <c r="M415" i="64"/>
  <c r="J416" i="64"/>
  <c r="K415" i="64"/>
  <c r="L417" i="64"/>
  <c r="L415" i="64"/>
  <c r="L414" i="64"/>
  <c r="K414" i="64"/>
  <c r="M414" i="64"/>
  <c r="M417" i="64"/>
  <c r="K416" i="64"/>
  <c r="J417" i="64"/>
  <c r="L416" i="64"/>
  <c r="I415" i="64"/>
  <c r="J414" i="64"/>
  <c r="I416" i="64"/>
  <c r="J415" i="64"/>
  <c r="K417" i="64"/>
  <c r="J1329" i="64"/>
  <c r="J1328" i="64"/>
  <c r="K1335" i="64"/>
  <c r="I48" i="64"/>
  <c r="L48" i="64"/>
  <c r="E48" i="64"/>
  <c r="H848" i="64"/>
  <c r="G851" i="64"/>
  <c r="H847" i="64"/>
  <c r="K1213" i="64"/>
  <c r="D1387" i="64"/>
  <c r="D1344" i="64"/>
  <c r="D1390" i="64"/>
  <c r="D1347" i="64"/>
  <c r="D1382" i="64"/>
  <c r="D1339" i="64"/>
  <c r="I1379" i="64"/>
  <c r="I1336" i="64"/>
  <c r="I1329" i="64"/>
  <c r="I1328" i="64"/>
  <c r="I1335" i="64"/>
  <c r="K1293" i="64"/>
  <c r="D1386" i="64"/>
  <c r="D1343" i="64"/>
  <c r="D1383" i="64"/>
  <c r="D1340" i="64"/>
  <c r="D1381" i="64"/>
  <c r="D1338" i="64"/>
  <c r="K1379" i="64"/>
  <c r="K1336" i="64"/>
  <c r="M1335" i="64"/>
  <c r="M1293" i="64"/>
  <c r="K1284" i="64"/>
  <c r="J1284" i="64"/>
  <c r="M1378" i="64"/>
  <c r="I399" i="64"/>
  <c r="I409" i="64"/>
  <c r="K425" i="64"/>
  <c r="K436" i="64"/>
  <c r="K300" i="64"/>
  <c r="K297" i="64"/>
  <c r="K303" i="64"/>
  <c r="M409" i="64"/>
  <c r="M399" i="64"/>
  <c r="J300" i="64"/>
  <c r="J303" i="64"/>
  <c r="J297" i="64"/>
  <c r="L425" i="64"/>
  <c r="L436" i="64"/>
  <c r="K1378" i="64"/>
  <c r="M418" i="64"/>
  <c r="M413" i="64"/>
  <c r="I1378" i="64"/>
  <c r="L418" i="64"/>
  <c r="L413" i="64"/>
  <c r="M436" i="64"/>
  <c r="M425" i="64"/>
  <c r="I425" i="64"/>
  <c r="I436" i="64"/>
  <c r="J409" i="64"/>
  <c r="J399" i="64"/>
  <c r="K359" i="64"/>
  <c r="L300" i="64"/>
  <c r="L303" i="64"/>
  <c r="L297" i="64"/>
  <c r="I413" i="64"/>
  <c r="I418" i="64"/>
  <c r="J359" i="64"/>
  <c r="J413" i="64"/>
  <c r="J418" i="64"/>
  <c r="K413" i="64"/>
  <c r="K418" i="64"/>
  <c r="I49" i="64"/>
  <c r="E49" i="64"/>
  <c r="L49" i="64"/>
  <c r="L359" i="64"/>
  <c r="J1378" i="64"/>
  <c r="M359" i="64"/>
  <c r="M1213" i="64"/>
  <c r="L1378" i="64"/>
  <c r="K399" i="64"/>
  <c r="K409" i="64"/>
  <c r="J436" i="64"/>
  <c r="J425" i="64"/>
  <c r="L409" i="64"/>
  <c r="L399" i="64"/>
  <c r="I359" i="64"/>
  <c r="L1389" i="64"/>
  <c r="L1346" i="64"/>
  <c r="M1388" i="64"/>
  <c r="M1345" i="64"/>
  <c r="L1388" i="64"/>
  <c r="L1345" i="64"/>
  <c r="L1384" i="64"/>
  <c r="L1341" i="64"/>
  <c r="M1387" i="64"/>
  <c r="M1344" i="64"/>
  <c r="J1387" i="64"/>
  <c r="J1344" i="64"/>
  <c r="M1394" i="64"/>
  <c r="M1351" i="64"/>
  <c r="L1394" i="64"/>
  <c r="L1351" i="64"/>
  <c r="M1382" i="64"/>
  <c r="M1339" i="64"/>
  <c r="L1382" i="64"/>
  <c r="L1339" i="64"/>
  <c r="I1381" i="64"/>
  <c r="I1338" i="64"/>
  <c r="J369" i="64"/>
  <c r="L1386" i="64"/>
  <c r="L1343" i="64"/>
  <c r="K1337" i="64"/>
  <c r="K1352" i="64"/>
  <c r="I1337" i="64"/>
  <c r="I1352" i="64"/>
  <c r="K1392" i="64"/>
  <c r="K1349" i="64"/>
  <c r="J1385" i="64"/>
  <c r="J1342" i="64"/>
  <c r="L1390" i="64"/>
  <c r="L1347" i="64"/>
  <c r="I1383" i="64"/>
  <c r="I1340" i="64"/>
  <c r="J1383" i="64"/>
  <c r="J1340" i="64"/>
  <c r="L1393" i="64"/>
  <c r="L1350" i="64"/>
  <c r="K1391" i="64"/>
  <c r="K1348" i="64"/>
  <c r="J1391" i="64"/>
  <c r="J1348" i="64"/>
  <c r="I303" i="64"/>
  <c r="I297" i="64"/>
  <c r="I300" i="64"/>
  <c r="I1394" i="64"/>
  <c r="I1351" i="64"/>
  <c r="J1382" i="64"/>
  <c r="J1339" i="64"/>
  <c r="K1381" i="64"/>
  <c r="K1338" i="64"/>
  <c r="L1381" i="64"/>
  <c r="L1338" i="64"/>
  <c r="I1386" i="64"/>
  <c r="I1343" i="64"/>
  <c r="K369" i="64"/>
  <c r="L1337" i="64"/>
  <c r="L1352" i="64"/>
  <c r="J1392" i="64"/>
  <c r="J1349" i="64"/>
  <c r="M1392" i="64"/>
  <c r="M1349" i="64"/>
  <c r="M1385" i="64"/>
  <c r="M1342" i="64"/>
  <c r="M1390" i="64"/>
  <c r="M1347" i="64"/>
  <c r="K1390" i="64"/>
  <c r="K1347" i="64"/>
  <c r="K1383" i="64"/>
  <c r="K1340" i="64"/>
  <c r="K1393" i="64"/>
  <c r="K1350" i="64"/>
  <c r="M1391" i="64"/>
  <c r="M1348" i="64"/>
  <c r="J1389" i="64"/>
  <c r="J1346" i="64"/>
  <c r="K1388" i="64"/>
  <c r="K1345" i="64"/>
  <c r="J1384" i="64"/>
  <c r="J1341" i="64"/>
  <c r="K1384" i="64"/>
  <c r="K1341" i="64"/>
  <c r="K1387" i="64"/>
  <c r="K1344" i="64"/>
  <c r="I369" i="64"/>
  <c r="K1389" i="64"/>
  <c r="K1346" i="64"/>
  <c r="I1389" i="64"/>
  <c r="I1346" i="64"/>
  <c r="E50" i="64"/>
  <c r="L50" i="64"/>
  <c r="I50" i="64"/>
  <c r="J1388" i="64"/>
  <c r="J1345" i="64"/>
  <c r="I1384" i="64"/>
  <c r="I1341" i="64"/>
  <c r="L1387" i="64"/>
  <c r="L1344" i="64"/>
  <c r="M369" i="64"/>
  <c r="L369" i="64"/>
  <c r="J1394" i="64"/>
  <c r="J1351" i="64"/>
  <c r="K1382" i="64"/>
  <c r="K1339" i="64"/>
  <c r="J1381" i="64"/>
  <c r="J1338" i="64"/>
  <c r="K1386" i="64"/>
  <c r="K1343" i="64"/>
  <c r="J1337" i="64"/>
  <c r="J1352" i="64"/>
  <c r="L1392" i="64"/>
  <c r="L1349" i="64"/>
  <c r="L1385" i="64"/>
  <c r="L1342" i="64"/>
  <c r="K1385" i="64"/>
  <c r="K1342" i="64"/>
  <c r="I1390" i="64"/>
  <c r="I1347" i="64"/>
  <c r="L1383" i="64"/>
  <c r="L1340" i="64"/>
  <c r="J1393" i="64"/>
  <c r="J1350" i="64"/>
  <c r="I1391" i="64"/>
  <c r="I1348" i="64"/>
  <c r="M1389" i="64"/>
  <c r="M1346" i="64"/>
  <c r="M303" i="64"/>
  <c r="M300" i="64"/>
  <c r="M297" i="64"/>
  <c r="I1388" i="64"/>
  <c r="I1345" i="64"/>
  <c r="M1384" i="64"/>
  <c r="M1341" i="64"/>
  <c r="I1387" i="64"/>
  <c r="I1344" i="64"/>
  <c r="K1394" i="64"/>
  <c r="K1351" i="64"/>
  <c r="I1382" i="64"/>
  <c r="I1339" i="64"/>
  <c r="M1381" i="64"/>
  <c r="M1338" i="64"/>
  <c r="J1386" i="64"/>
  <c r="J1343" i="64"/>
  <c r="M1386" i="64"/>
  <c r="M1343" i="64"/>
  <c r="M1337" i="64"/>
  <c r="M1352" i="64"/>
  <c r="I1392" i="64"/>
  <c r="I1349" i="64"/>
  <c r="I1385" i="64"/>
  <c r="I1342" i="64"/>
  <c r="J1390" i="64"/>
  <c r="J1347" i="64"/>
  <c r="M1383" i="64"/>
  <c r="M1340" i="64"/>
  <c r="I1393" i="64"/>
  <c r="I1350" i="64"/>
  <c r="M1393" i="64"/>
  <c r="M1350" i="64"/>
  <c r="L1391" i="64"/>
  <c r="L1348" i="64"/>
  <c r="J1380" i="64"/>
  <c r="J1395" i="64"/>
  <c r="M378" i="64"/>
  <c r="I378" i="64"/>
  <c r="K378" i="64"/>
  <c r="J378" i="64"/>
  <c r="L378" i="64"/>
  <c r="K1380" i="64"/>
  <c r="K1395" i="64"/>
  <c r="E52" i="64"/>
  <c r="I52" i="64"/>
  <c r="L52" i="64"/>
  <c r="L1380" i="64"/>
  <c r="L1395" i="64"/>
  <c r="I1380" i="64"/>
  <c r="I1395" i="64"/>
  <c r="M1380" i="64"/>
  <c r="M1395" i="64"/>
  <c r="I51" i="64"/>
  <c r="L51" i="64"/>
  <c r="E51" i="64"/>
  <c r="J395" i="64"/>
  <c r="M395" i="64"/>
  <c r="L395" i="64"/>
  <c r="K395" i="64"/>
  <c r="I395" i="64"/>
  <c r="I440" i="64"/>
  <c r="I439" i="64"/>
  <c r="J439" i="64"/>
  <c r="J440" i="64"/>
  <c r="K439" i="64"/>
  <c r="K440" i="64"/>
  <c r="L440" i="64"/>
  <c r="L439" i="64"/>
  <c r="M440" i="64"/>
  <c r="M439" i="64"/>
  <c r="H395" i="37"/>
  <c r="H401" i="37"/>
  <c r="H1578" i="37"/>
  <c r="H1911" i="37"/>
  <c r="H2275" i="50"/>
  <c r="F257" i="34"/>
  <c r="I4" i="47"/>
  <c r="D779" i="64"/>
  <c r="J83" i="49"/>
  <c r="J146" i="50" s="1"/>
  <c r="U25" i="49"/>
  <c r="I1594" i="37"/>
  <c r="Q385" i="37"/>
  <c r="A290" i="34"/>
  <c r="A292" i="34"/>
  <c r="I2118" i="50"/>
  <c r="E400" i="41"/>
  <c r="E240" i="41" s="1"/>
  <c r="E244" i="41" s="1"/>
  <c r="E57" i="62"/>
  <c r="C805" i="50"/>
  <c r="L204" i="50"/>
  <c r="A564" i="50"/>
  <c r="H99" i="37"/>
  <c r="H93" i="37"/>
  <c r="H1896" i="37"/>
  <c r="H386" i="37"/>
  <c r="N192" i="50"/>
  <c r="N219" i="49"/>
  <c r="N193" i="50" s="1"/>
  <c r="A1696" i="50"/>
  <c r="G1212" i="37"/>
  <c r="G619" i="50"/>
  <c r="G2414" i="50"/>
  <c r="H2490" i="37"/>
  <c r="A260" i="34"/>
  <c r="H860" i="37"/>
  <c r="H2208" i="50"/>
  <c r="H2282" i="50"/>
  <c r="G2329" i="37"/>
  <c r="G2177" i="50"/>
  <c r="G2271" i="37"/>
  <c r="G841" i="37"/>
  <c r="H1250" i="64"/>
  <c r="H1003" i="64"/>
  <c r="H932" i="64"/>
  <c r="H759" i="64"/>
  <c r="G1420" i="50"/>
  <c r="G1441" i="50"/>
  <c r="G574" i="37"/>
  <c r="G623" i="50"/>
  <c r="G388" i="42"/>
  <c r="G2965" i="37"/>
  <c r="G2166" i="50"/>
  <c r="H1142" i="64"/>
  <c r="H992" i="64"/>
  <c r="H819" i="64"/>
  <c r="G2240" i="50"/>
  <c r="G147" i="49"/>
  <c r="G178" i="50" s="1"/>
  <c r="G1480" i="37"/>
  <c r="G625" i="50"/>
  <c r="H618" i="64"/>
  <c r="H1157" i="64"/>
  <c r="H566" i="64"/>
  <c r="G163" i="42"/>
  <c r="G928" i="50"/>
  <c r="G2386" i="37"/>
  <c r="G600" i="50"/>
  <c r="G2101" i="50"/>
  <c r="H1001" i="64"/>
  <c r="G2342" i="37"/>
  <c r="G1445" i="50"/>
  <c r="G2623" i="37"/>
  <c r="H1115" i="64"/>
  <c r="H806" i="64"/>
  <c r="G2242" i="50"/>
  <c r="G664" i="42"/>
  <c r="G392" i="42"/>
  <c r="H1111" i="64"/>
  <c r="G384" i="42"/>
  <c r="H1184" i="64"/>
  <c r="H575" i="64"/>
  <c r="G1738" i="37"/>
  <c r="H1063" i="64"/>
  <c r="G1584" i="50"/>
  <c r="H558" i="64"/>
  <c r="G787" i="50"/>
  <c r="H1222" i="64"/>
  <c r="G59" i="41"/>
  <c r="G1063" i="37"/>
  <c r="H812" i="64"/>
  <c r="G1762" i="50"/>
  <c r="G819" i="37"/>
  <c r="I207" i="49"/>
  <c r="H761" i="64"/>
  <c r="G166" i="42"/>
  <c r="G2099" i="50"/>
  <c r="G363" i="42"/>
  <c r="G1929" i="50"/>
  <c r="G2090" i="50"/>
  <c r="H1046" i="64"/>
  <c r="G942" i="50"/>
  <c r="G247" i="37"/>
  <c r="G1365" i="37"/>
  <c r="G949" i="50"/>
  <c r="G1434" i="50"/>
  <c r="G1109" i="50"/>
  <c r="G614" i="50"/>
  <c r="G1281" i="50"/>
  <c r="G2298" i="37"/>
  <c r="G2588" i="37"/>
  <c r="G1996" i="37"/>
  <c r="G776" i="37"/>
  <c r="G2600" i="37"/>
  <c r="M217" i="47"/>
  <c r="L222" i="41"/>
  <c r="L339" i="50" s="1"/>
  <c r="L331" i="50"/>
  <c r="H688" i="37"/>
  <c r="H2500" i="37"/>
  <c r="H990" i="37"/>
  <c r="H2802" i="37"/>
  <c r="I168" i="50"/>
  <c r="I137" i="49"/>
  <c r="I172" i="50" s="1"/>
  <c r="H401" i="47"/>
  <c r="H407" i="47"/>
  <c r="M2198" i="37"/>
  <c r="N138" i="50"/>
  <c r="N84" i="49"/>
  <c r="N147" i="50" s="1"/>
  <c r="J611" i="64"/>
  <c r="J491" i="64"/>
  <c r="G107" i="49"/>
  <c r="G156" i="50" s="1"/>
  <c r="G395" i="42"/>
  <c r="G2998" i="37"/>
  <c r="N1293" i="64"/>
  <c r="N1031" i="64"/>
  <c r="L1293" i="64"/>
  <c r="L791" i="64"/>
  <c r="L551" i="64"/>
  <c r="P102" i="50"/>
  <c r="D250" i="34"/>
  <c r="H2678" i="37"/>
  <c r="A276" i="34"/>
  <c r="H199" i="64"/>
  <c r="G1707" i="37"/>
  <c r="G761" i="50"/>
  <c r="G27" i="49"/>
  <c r="G70" i="50" s="1"/>
  <c r="H795" i="64"/>
  <c r="H200" i="64"/>
  <c r="G106" i="50"/>
  <c r="G2230" i="50"/>
  <c r="G25" i="49"/>
  <c r="G68" i="50" s="1"/>
  <c r="G99" i="50"/>
  <c r="H855" i="64"/>
  <c r="G107" i="50"/>
  <c r="G2460" i="50"/>
  <c r="H116" i="64"/>
  <c r="G1273" i="64"/>
  <c r="G100" i="50"/>
  <c r="G1425" i="50"/>
  <c r="G1097" i="50"/>
  <c r="G2262" i="37"/>
  <c r="G243" i="49"/>
  <c r="G201" i="50" s="1"/>
  <c r="G2915" i="37"/>
  <c r="G284" i="49"/>
  <c r="G2073" i="50"/>
  <c r="G605" i="50"/>
  <c r="J331" i="50"/>
  <c r="J339" i="50"/>
  <c r="J417" i="41"/>
  <c r="P1054" i="50"/>
  <c r="P1055" i="50" s="1"/>
  <c r="Q230" i="41"/>
  <c r="Q240" i="41" s="1"/>
  <c r="Q18" i="41"/>
  <c r="H47" i="41" s="1"/>
  <c r="D8" i="34"/>
  <c r="H69" i="50"/>
  <c r="H430" i="41"/>
  <c r="H168" i="50"/>
  <c r="H136" i="49"/>
  <c r="N430" i="41"/>
  <c r="N308" i="50"/>
  <c r="H615" i="64"/>
  <c r="H111" i="64"/>
  <c r="H1179" i="64"/>
  <c r="F66" i="42"/>
  <c r="K290" i="50"/>
  <c r="K423" i="41"/>
  <c r="G252" i="49"/>
  <c r="G203" i="50" s="1"/>
  <c r="G2686" i="37"/>
  <c r="G235" i="37"/>
  <c r="G270" i="37"/>
  <c r="G1736" i="37"/>
  <c r="K137" i="49"/>
  <c r="K172" i="50" s="1"/>
  <c r="K84" i="49"/>
  <c r="K147" i="50"/>
  <c r="H2509" i="37"/>
  <c r="H2515" i="37"/>
  <c r="K66" i="50"/>
  <c r="G226" i="37"/>
  <c r="H214" i="64"/>
  <c r="G2047" i="37"/>
  <c r="G874" i="37"/>
  <c r="G2651" i="37"/>
  <c r="G2944" i="37"/>
  <c r="G1487" i="37"/>
  <c r="G2082" i="37"/>
  <c r="G2393" i="37"/>
  <c r="G2340" i="37"/>
  <c r="G1789" i="37"/>
  <c r="K275" i="50"/>
  <c r="K1292" i="37"/>
  <c r="P710" i="50"/>
  <c r="P711" i="50" s="1"/>
  <c r="N71" i="50"/>
  <c r="G1380" i="37"/>
  <c r="G474" i="37"/>
  <c r="G2286" i="37"/>
  <c r="G788" i="37"/>
  <c r="G1984" i="37"/>
  <c r="G184" i="37"/>
  <c r="N2198" i="37"/>
  <c r="N2500" i="37"/>
  <c r="N1594" i="37"/>
  <c r="J308" i="50"/>
  <c r="J430" i="41"/>
  <c r="J84" i="49"/>
  <c r="H1168" i="37"/>
  <c r="V25" i="49"/>
  <c r="K68" i="50" s="1"/>
  <c r="S25" i="49"/>
  <c r="H68" i="50" s="1"/>
  <c r="N1896" i="37"/>
  <c r="N261" i="50"/>
  <c r="N386" i="37"/>
  <c r="N688" i="37"/>
  <c r="L688" i="37"/>
  <c r="L1896" i="37"/>
  <c r="L143" i="50"/>
  <c r="L83" i="49"/>
  <c r="G2953" i="37"/>
  <c r="G581" i="37"/>
  <c r="G1443" i="37"/>
  <c r="G1780" i="37"/>
  <c r="G2988" i="37"/>
  <c r="G1434" i="37"/>
  <c r="G1176" i="37"/>
  <c r="G2642" i="37"/>
  <c r="H423" i="41"/>
  <c r="I138" i="50"/>
  <c r="I84" i="49"/>
  <c r="I275" i="50"/>
  <c r="I417" i="41"/>
  <c r="H2817" i="37"/>
  <c r="H2811" i="37"/>
  <c r="H872" i="64"/>
  <c r="I219" i="49"/>
  <c r="I193" i="50" s="1"/>
  <c r="C2252" i="50"/>
  <c r="D60" i="62"/>
  <c r="D61" i="62" s="1"/>
  <c r="M204" i="50"/>
  <c r="J267" i="49"/>
  <c r="J205" i="50" s="1"/>
  <c r="K990" i="37"/>
  <c r="I2198" i="37"/>
  <c r="I688" i="37"/>
  <c r="I84" i="37"/>
  <c r="I1896" i="37"/>
  <c r="P1858" i="50"/>
  <c r="P1859" i="50" s="1"/>
  <c r="A1860" i="50"/>
  <c r="H1470" i="37"/>
  <c r="H1464" i="37"/>
  <c r="I2802" i="37"/>
  <c r="H267" i="49"/>
  <c r="H205" i="50" s="1"/>
  <c r="I1292" i="37"/>
  <c r="G572" i="37"/>
  <c r="G1478" i="37"/>
  <c r="H2213" i="37"/>
  <c r="H2207" i="37"/>
  <c r="H137" i="49"/>
  <c r="H172" i="50" s="1"/>
  <c r="I386" i="37"/>
  <c r="I990" i="37"/>
  <c r="I2500" i="37"/>
  <c r="N64" i="50"/>
  <c r="M84" i="37"/>
  <c r="M990" i="37"/>
  <c r="M1896" i="37"/>
  <c r="M386" i="37"/>
  <c r="N290" i="50"/>
  <c r="N423" i="41"/>
  <c r="T365" i="41"/>
  <c r="T371" i="41"/>
  <c r="H672" i="37"/>
  <c r="H678" i="37"/>
  <c r="H999" i="37"/>
  <c r="H1005" i="37"/>
  <c r="L217" i="47"/>
  <c r="P546" i="50"/>
  <c r="P547" i="50" s="1"/>
  <c r="A548" i="50"/>
  <c r="A1204" i="50"/>
  <c r="P1202" i="50"/>
  <c r="P1203" i="50" s="1"/>
  <c r="H2074" i="37"/>
  <c r="H2068" i="37"/>
  <c r="A264" i="34"/>
  <c r="A263" i="34"/>
  <c r="A265" i="34"/>
  <c r="H2155" i="50"/>
  <c r="H2140" i="50"/>
  <c r="L1594" i="37"/>
  <c r="G172" i="42"/>
  <c r="G548" i="37"/>
  <c r="G83" i="37"/>
  <c r="G1291" i="37"/>
  <c r="M308" i="50"/>
  <c r="M430" i="41"/>
  <c r="M331" i="50"/>
  <c r="M222" i="41"/>
  <c r="M339" i="50" s="1"/>
  <c r="A892" i="50"/>
  <c r="P890" i="50"/>
  <c r="P891" i="50" s="1"/>
  <c r="N791" i="64"/>
  <c r="L1093" i="64"/>
  <c r="M2802" i="37"/>
  <c r="M688" i="37"/>
  <c r="M1292" i="37"/>
  <c r="M261" i="50"/>
  <c r="M1594" i="37"/>
  <c r="J290" i="50"/>
  <c r="J423" i="41"/>
  <c r="H84" i="37"/>
  <c r="H261" i="50"/>
  <c r="H122" i="41"/>
  <c r="H1594" i="37"/>
  <c r="P107" i="50"/>
  <c r="H98" i="42"/>
  <c r="H104" i="42" s="1"/>
  <c r="I98" i="42"/>
  <c r="G75" i="42"/>
  <c r="I75" i="42"/>
  <c r="H75" i="42"/>
  <c r="E603" i="42"/>
  <c r="E290" i="42"/>
  <c r="F263" i="42"/>
  <c r="F264" i="42" s="1"/>
  <c r="F265" i="42" s="1"/>
  <c r="F266" i="42" s="1"/>
  <c r="F267" i="42" s="1"/>
  <c r="F268" i="42" s="1"/>
  <c r="F269" i="42" s="1"/>
  <c r="F270" i="42" s="1"/>
  <c r="F271" i="42" s="1"/>
  <c r="E289" i="42"/>
  <c r="E286" i="42"/>
  <c r="N1084" i="64"/>
  <c r="N722" i="64"/>
  <c r="A299" i="34"/>
  <c r="A298" i="34"/>
  <c r="L16" i="41"/>
  <c r="L71" i="50"/>
  <c r="H68" i="37"/>
  <c r="H74" i="37"/>
  <c r="M64" i="50"/>
  <c r="X25" i="49"/>
  <c r="C406" i="42"/>
  <c r="Q209" i="42"/>
  <c r="K267" i="49"/>
  <c r="K205" i="50" s="1"/>
  <c r="K204" i="50"/>
  <c r="H1307" i="37"/>
  <c r="H1301" i="37"/>
  <c r="H563" i="64"/>
  <c r="I217" i="47"/>
  <c r="G785" i="50"/>
  <c r="G1717" i="37"/>
  <c r="C3" i="25"/>
  <c r="G57" i="9" s="1"/>
  <c r="K760" i="42"/>
  <c r="K766" i="42" s="1"/>
  <c r="F728" i="42"/>
  <c r="F729" i="42" s="1"/>
  <c r="F730" i="42" s="1"/>
  <c r="F731" i="42" s="1"/>
  <c r="F732" i="42" s="1"/>
  <c r="F733" i="42" s="1"/>
  <c r="J192" i="50"/>
  <c r="J219" i="49"/>
  <c r="J193" i="50"/>
  <c r="S152" i="42"/>
  <c r="Q191" i="42"/>
  <c r="Q162" i="42"/>
  <c r="Q129" i="42"/>
  <c r="S198" i="42"/>
  <c r="S190" i="42"/>
  <c r="S203" i="42"/>
  <c r="Q194" i="42"/>
  <c r="Q31" i="42"/>
  <c r="Q121" i="42"/>
  <c r="E20" i="42"/>
  <c r="G20" i="42" s="1"/>
  <c r="H28" i="42" s="1"/>
  <c r="H129" i="42" s="1"/>
  <c r="Q152" i="42"/>
  <c r="Q113" i="42"/>
  <c r="Q104" i="42"/>
  <c r="S202" i="42"/>
  <c r="S199" i="42"/>
  <c r="Q28" i="42"/>
  <c r="Q199" i="42"/>
  <c r="E152" i="42"/>
  <c r="E172" i="42" s="1"/>
  <c r="Q202" i="42"/>
  <c r="Q117" i="42"/>
  <c r="Q172" i="42"/>
  <c r="Q190" i="42"/>
  <c r="Q198" i="42"/>
  <c r="S195" i="42"/>
  <c r="Q109" i="42"/>
  <c r="Q187" i="42"/>
  <c r="Q195" i="42"/>
  <c r="Q186" i="42"/>
  <c r="Q203" i="42"/>
  <c r="S191" i="42"/>
  <c r="Q165" i="42"/>
  <c r="Q128" i="42"/>
  <c r="Q108" i="42"/>
  <c r="S186" i="42"/>
  <c r="Q163" i="42"/>
  <c r="S194" i="42"/>
  <c r="S187" i="42"/>
  <c r="Q166" i="42"/>
  <c r="Q29" i="42"/>
  <c r="I135" i="42"/>
  <c r="Q245" i="41"/>
  <c r="I146" i="49"/>
  <c r="M163" i="50"/>
  <c r="H2133" i="50"/>
  <c r="H2137" i="50" s="1"/>
  <c r="N2121" i="50"/>
  <c r="J688" i="37"/>
  <c r="J1896" i="37"/>
  <c r="M84" i="49"/>
  <c r="M147" i="50" s="1"/>
  <c r="D86" i="62"/>
  <c r="D87" i="62" s="1"/>
  <c r="D88" i="62" s="1"/>
  <c r="I400" i="41"/>
  <c r="I347" i="50" s="1"/>
  <c r="G391" i="42"/>
  <c r="G2356" i="50"/>
  <c r="H364" i="64"/>
  <c r="G241" i="50"/>
  <c r="H694" i="64"/>
  <c r="H820" i="64"/>
  <c r="H262" i="64"/>
  <c r="G2902" i="37"/>
  <c r="G1694" i="37"/>
  <c r="G1392" i="37"/>
  <c r="I143" i="50"/>
  <c r="I83" i="49"/>
  <c r="I146" i="50"/>
  <c r="C2311" i="50"/>
  <c r="G299" i="41"/>
  <c r="G388" i="50" s="1"/>
  <c r="H400" i="41"/>
  <c r="H347" i="50" s="1"/>
  <c r="U93" i="42"/>
  <c r="X103" i="42"/>
  <c r="T103" i="42"/>
  <c r="T93" i="42"/>
  <c r="W103" i="42"/>
  <c r="W93" i="42"/>
  <c r="V103" i="42"/>
  <c r="V93" i="42"/>
  <c r="Y103" i="42"/>
  <c r="Z93" i="42"/>
  <c r="Z95" i="42"/>
  <c r="Y97" i="42"/>
  <c r="U97" i="42"/>
  <c r="X97" i="42"/>
  <c r="T97" i="42"/>
  <c r="W97" i="42"/>
  <c r="Z97" i="42"/>
  <c r="V97" i="42"/>
  <c r="H217" i="47"/>
  <c r="W608" i="42"/>
  <c r="Z608" i="42"/>
  <c r="V608" i="42"/>
  <c r="Y608" i="42"/>
  <c r="U608" i="42"/>
  <c r="T608" i="42"/>
  <c r="X608" i="42"/>
  <c r="Y610" i="42"/>
  <c r="T610" i="42"/>
  <c r="W610" i="42"/>
  <c r="W612" i="42"/>
  <c r="V612" i="42"/>
  <c r="Y612" i="42"/>
  <c r="U612" i="42"/>
  <c r="T612" i="42"/>
  <c r="Z94" i="42"/>
  <c r="V94" i="42"/>
  <c r="Y94" i="42"/>
  <c r="U94" i="42"/>
  <c r="X94" i="42"/>
  <c r="T94" i="42"/>
  <c r="W94" i="42"/>
  <c r="X96" i="42"/>
  <c r="T96" i="42"/>
  <c r="W96" i="42"/>
  <c r="V96" i="42"/>
  <c r="Y96" i="42"/>
  <c r="U96" i="42"/>
  <c r="U291" i="42"/>
  <c r="T291" i="42"/>
  <c r="X293" i="42"/>
  <c r="T293" i="42"/>
  <c r="W293" i="42"/>
  <c r="Z293" i="42"/>
  <c r="V293" i="42"/>
  <c r="U293" i="42"/>
  <c r="Z756" i="42"/>
  <c r="V756" i="42"/>
  <c r="Y756" i="42"/>
  <c r="U756" i="42"/>
  <c r="X756" i="42"/>
  <c r="T756" i="42"/>
  <c r="W756" i="42"/>
  <c r="T758" i="42"/>
  <c r="W758" i="42"/>
  <c r="Z758" i="42"/>
  <c r="Y758" i="42"/>
  <c r="U758" i="42"/>
  <c r="V759" i="42"/>
  <c r="Z292" i="42"/>
  <c r="V292" i="42"/>
  <c r="Y292" i="42"/>
  <c r="X292" i="42"/>
  <c r="T292" i="42"/>
  <c r="Y294" i="42"/>
  <c r="X294" i="42"/>
  <c r="T294" i="42"/>
  <c r="W294" i="42"/>
  <c r="V294" i="42"/>
  <c r="X609" i="42"/>
  <c r="T609" i="42"/>
  <c r="W609" i="42"/>
  <c r="Z609" i="42"/>
  <c r="V609" i="42"/>
  <c r="Y609" i="42"/>
  <c r="U609" i="42"/>
  <c r="Z611" i="42"/>
  <c r="V611" i="42"/>
  <c r="Y611" i="42"/>
  <c r="U611" i="42"/>
  <c r="X611" i="42"/>
  <c r="T611" i="42"/>
  <c r="W611" i="42"/>
  <c r="Y755" i="42"/>
  <c r="U755" i="42"/>
  <c r="X755" i="42"/>
  <c r="T755" i="42"/>
  <c r="W755" i="42"/>
  <c r="Z755" i="42"/>
  <c r="V755" i="42"/>
  <c r="Y759" i="42"/>
  <c r="U759" i="42"/>
  <c r="X759" i="42"/>
  <c r="T759" i="42"/>
  <c r="W759" i="42"/>
  <c r="Z759" i="42"/>
  <c r="J406" i="41"/>
  <c r="K406" i="41"/>
  <c r="I737" i="42"/>
  <c r="I406" i="41"/>
  <c r="H406" i="41"/>
  <c r="I405" i="41"/>
  <c r="H405" i="41"/>
  <c r="K737" i="42"/>
  <c r="J737" i="42"/>
  <c r="Y286" i="42"/>
  <c r="U286" i="42"/>
  <c r="V286" i="42"/>
  <c r="W286" i="42"/>
  <c r="T286" i="42"/>
  <c r="X286" i="42"/>
  <c r="Z286" i="42"/>
  <c r="W88" i="42"/>
  <c r="U88" i="42"/>
  <c r="Z88" i="42"/>
  <c r="Y88" i="42"/>
  <c r="X88" i="42"/>
  <c r="T88" i="42"/>
  <c r="V88" i="42"/>
  <c r="X92" i="42"/>
  <c r="Z92" i="42"/>
  <c r="T92" i="42"/>
  <c r="Y92" i="42"/>
  <c r="W92" i="42"/>
  <c r="V92" i="42"/>
  <c r="U92" i="42"/>
  <c r="V89" i="42"/>
  <c r="U89" i="42"/>
  <c r="Y89" i="42"/>
  <c r="W89" i="42"/>
  <c r="X89" i="42"/>
  <c r="Z89" i="42"/>
  <c r="T89" i="42"/>
  <c r="W603" i="42"/>
  <c r="T603" i="42"/>
  <c r="Z603" i="42"/>
  <c r="Y603" i="42"/>
  <c r="X603" i="42"/>
  <c r="V603" i="42"/>
  <c r="U603" i="42"/>
  <c r="Y753" i="42"/>
  <c r="U753" i="42"/>
  <c r="V753" i="42"/>
  <c r="T753" i="42"/>
  <c r="W753" i="42"/>
  <c r="X753" i="42"/>
  <c r="Z753" i="42"/>
  <c r="W750" i="42"/>
  <c r="T750" i="42"/>
  <c r="X750" i="42"/>
  <c r="Y750" i="42"/>
  <c r="V750" i="42"/>
  <c r="Z750" i="42"/>
  <c r="U750" i="42"/>
  <c r="T607" i="42"/>
  <c r="Z607" i="42"/>
  <c r="X607" i="42"/>
  <c r="Y607" i="42"/>
  <c r="W607" i="42"/>
  <c r="U607" i="42"/>
  <c r="V607" i="42"/>
  <c r="X287" i="42"/>
  <c r="V287" i="42"/>
  <c r="Z287" i="42"/>
  <c r="Y288" i="42"/>
  <c r="Z288" i="42"/>
  <c r="W288" i="42"/>
  <c r="V288" i="42"/>
  <c r="U288" i="42"/>
  <c r="U290" i="42"/>
  <c r="Y290" i="42"/>
  <c r="V290" i="42"/>
  <c r="X290" i="42"/>
  <c r="W290" i="42"/>
  <c r="T290" i="42"/>
  <c r="Z290" i="42"/>
  <c r="V606" i="42"/>
  <c r="Z606" i="42"/>
  <c r="X606" i="42"/>
  <c r="U606" i="42"/>
  <c r="T606" i="42"/>
  <c r="Y605" i="42"/>
  <c r="Z605" i="42"/>
  <c r="U605" i="42"/>
  <c r="W605" i="42"/>
  <c r="X605" i="42"/>
  <c r="T605" i="42"/>
  <c r="V605" i="42"/>
  <c r="X751" i="42"/>
  <c r="W751" i="42"/>
  <c r="V751" i="42"/>
  <c r="T751" i="42"/>
  <c r="U751" i="42"/>
  <c r="U289" i="42"/>
  <c r="Z289" i="42"/>
  <c r="V289" i="42"/>
  <c r="X289" i="42"/>
  <c r="W289" i="42"/>
  <c r="T289" i="42"/>
  <c r="Y289" i="42"/>
  <c r="U90" i="42"/>
  <c r="Z90" i="42"/>
  <c r="Y90" i="42"/>
  <c r="T90" i="42"/>
  <c r="V91" i="42"/>
  <c r="T91" i="42"/>
  <c r="U91" i="42"/>
  <c r="X91" i="42"/>
  <c r="Y91" i="42"/>
  <c r="T752" i="42"/>
  <c r="W752" i="42"/>
  <c r="V752" i="42"/>
  <c r="Y752" i="42"/>
  <c r="X752" i="42"/>
  <c r="U752" i="42"/>
  <c r="Z752" i="42"/>
  <c r="W754" i="42"/>
  <c r="Z754" i="42"/>
  <c r="U754" i="42"/>
  <c r="J619" i="42"/>
  <c r="I619" i="42"/>
  <c r="I766" i="42"/>
  <c r="J766" i="42"/>
  <c r="I104" i="42"/>
  <c r="J2595" i="50"/>
  <c r="J392" i="41"/>
  <c r="J420" i="47"/>
  <c r="N222" i="41"/>
  <c r="N339" i="50" s="1"/>
  <c r="N331" i="50"/>
  <c r="N417" i="41"/>
  <c r="N275" i="50"/>
  <c r="N217" i="47"/>
  <c r="K414" i="43"/>
  <c r="K277" i="49" s="1"/>
  <c r="D3" i="34"/>
  <c r="C4" i="34"/>
  <c r="C252" i="34"/>
  <c r="D252" i="34" s="1"/>
  <c r="H222" i="41"/>
  <c r="H339" i="50" s="1"/>
  <c r="H331" i="50"/>
  <c r="N84" i="37"/>
  <c r="N2802" i="37"/>
  <c r="N990" i="37"/>
  <c r="J71" i="50"/>
  <c r="J16" i="41"/>
  <c r="M71" i="50"/>
  <c r="M16" i="41"/>
  <c r="G195" i="42"/>
  <c r="G2027" i="37"/>
  <c r="H817" i="64"/>
  <c r="G2305" i="50"/>
  <c r="G511" i="42"/>
  <c r="G281" i="37"/>
  <c r="H995" i="64"/>
  <c r="G1725" i="37"/>
  <c r="G2321" i="37"/>
  <c r="G2168" i="50"/>
  <c r="G1279" i="50"/>
  <c r="G1747" i="37"/>
  <c r="G947" i="50"/>
  <c r="G1609" i="50"/>
  <c r="G811" i="42"/>
  <c r="G1455" i="37"/>
  <c r="H637" i="64"/>
  <c r="H583" i="64"/>
  <c r="H752" i="64"/>
  <c r="H926" i="64"/>
  <c r="G2416" i="50"/>
  <c r="G1926" i="50"/>
  <c r="G2653" i="37"/>
  <c r="G2999" i="37"/>
  <c r="G207" i="37"/>
  <c r="G2084" i="50"/>
  <c r="G1264" i="50"/>
  <c r="G1415" i="37"/>
  <c r="H757" i="64"/>
  <c r="H695" i="64"/>
  <c r="H821" i="64"/>
  <c r="H999" i="64"/>
  <c r="G1603" i="50"/>
  <c r="G670" i="42"/>
  <c r="G1933" i="50"/>
  <c r="G2933" i="37"/>
  <c r="G507" i="42"/>
  <c r="H523" i="64"/>
  <c r="H879" i="64"/>
  <c r="G2233" i="50"/>
  <c r="G1489" i="37"/>
  <c r="G2946" i="37"/>
  <c r="G519" i="42"/>
  <c r="G1428" i="50"/>
  <c r="G1601" i="50"/>
  <c r="H1189" i="64"/>
  <c r="H521" i="64"/>
  <c r="G2076" i="50"/>
  <c r="G1275" i="50"/>
  <c r="G2097" i="50"/>
  <c r="H498" i="64"/>
  <c r="H632" i="64"/>
  <c r="G781" i="50"/>
  <c r="G851" i="37"/>
  <c r="G1769" i="50"/>
  <c r="G2631" i="37"/>
  <c r="H1252" i="64"/>
  <c r="G2875" i="37"/>
  <c r="G58" i="41"/>
  <c r="H1057" i="64"/>
  <c r="H1191" i="64"/>
  <c r="G187" i="42"/>
  <c r="H1113" i="64"/>
  <c r="H639" i="64"/>
  <c r="G2361" i="37"/>
  <c r="G237" i="37"/>
  <c r="G2084" i="37"/>
  <c r="H877" i="64"/>
  <c r="G530" i="37"/>
  <c r="G1113" i="50"/>
  <c r="H939" i="64"/>
  <c r="I257" i="49"/>
  <c r="H1038" i="64"/>
  <c r="G778" i="50"/>
  <c r="H626" i="64"/>
  <c r="H572" i="64"/>
  <c r="G199" i="42"/>
  <c r="H883" i="64"/>
  <c r="G222" i="50"/>
  <c r="H763" i="64"/>
  <c r="G1791" i="37"/>
  <c r="H1117" i="64"/>
  <c r="G764" i="50"/>
  <c r="G483" i="42"/>
  <c r="H699" i="64"/>
  <c r="G1771" i="50"/>
  <c r="G621" i="50"/>
  <c r="G608" i="50"/>
  <c r="G2095" i="50"/>
  <c r="G2181" i="50"/>
  <c r="G486" i="42"/>
  <c r="G1598" i="50"/>
  <c r="H1102" i="64"/>
  <c r="H815" i="64"/>
  <c r="H581" i="64"/>
  <c r="H579" i="64"/>
  <c r="G2294" i="50"/>
  <c r="G1153" i="37"/>
  <c r="G57" i="41"/>
  <c r="G1773" i="50"/>
  <c r="G2235" i="50"/>
  <c r="H1155" i="64"/>
  <c r="H935" i="64"/>
  <c r="H692" i="64"/>
  <c r="H686" i="64"/>
  <c r="B65" i="34"/>
  <c r="G2644" i="37"/>
  <c r="G667" i="42"/>
  <c r="G2351" i="37"/>
  <c r="H1052" i="64"/>
  <c r="G2303" i="50"/>
  <c r="G2019" i="37"/>
  <c r="G583" i="37"/>
  <c r="H1195" i="64"/>
  <c r="G203" i="42"/>
  <c r="H577" i="64"/>
  <c r="G936" i="50"/>
  <c r="G228" i="37"/>
  <c r="G1111" i="50"/>
  <c r="H189" i="64"/>
  <c r="G1935" i="50"/>
  <c r="G2093" i="50"/>
  <c r="G396" i="42"/>
  <c r="G1782" i="37"/>
  <c r="G885" i="37"/>
  <c r="G1115" i="50"/>
  <c r="H881" i="64"/>
  <c r="G2357" i="50"/>
  <c r="H1109" i="64"/>
  <c r="G2040" i="37"/>
  <c r="G945" i="50"/>
  <c r="G2246" i="50"/>
  <c r="G223" i="50"/>
  <c r="H697" i="64"/>
  <c r="G215" i="37"/>
  <c r="G2697" i="37"/>
  <c r="G549" i="37"/>
  <c r="G191" i="42"/>
  <c r="G523" i="42"/>
  <c r="H506" i="64"/>
  <c r="G2093" i="37"/>
  <c r="G1256" i="50"/>
  <c r="G1748" i="50"/>
  <c r="G1436" i="37"/>
  <c r="H1182" i="64"/>
  <c r="H678" i="64"/>
  <c r="G2573" i="37"/>
  <c r="G400" i="42"/>
  <c r="G1277" i="50"/>
  <c r="G224" i="50"/>
  <c r="G2301" i="50"/>
  <c r="G2307" i="50"/>
  <c r="H858" i="64"/>
  <c r="H1193" i="64"/>
  <c r="H1220" i="64"/>
  <c r="G1765" i="50"/>
  <c r="G2175" i="50"/>
  <c r="G1100" i="50"/>
  <c r="G1920" i="50"/>
  <c r="G2292" i="50"/>
  <c r="G2244" i="50"/>
  <c r="H978" i="64"/>
  <c r="H515" i="64"/>
  <c r="H512" i="64"/>
  <c r="H519" i="64"/>
  <c r="G1592" i="50"/>
  <c r="G1113" i="37"/>
  <c r="G1270" i="50"/>
  <c r="H997" i="64"/>
  <c r="H701" i="64"/>
  <c r="G157" i="37"/>
  <c r="G817" i="42"/>
  <c r="G1443" i="50"/>
  <c r="H755" i="64"/>
  <c r="G2955" i="37"/>
  <c r="H703" i="64"/>
  <c r="G2359" i="50"/>
  <c r="G772" i="50"/>
  <c r="G832" i="37"/>
  <c r="H941" i="64"/>
  <c r="G2248" i="50"/>
  <c r="G1757" i="37"/>
  <c r="G1437" i="50"/>
  <c r="H798" i="64"/>
  <c r="G1756" i="50"/>
  <c r="G1178" i="37"/>
  <c r="H746" i="64"/>
  <c r="G1607" i="50"/>
  <c r="H164" i="64"/>
  <c r="G783" i="50"/>
  <c r="G517" i="37"/>
  <c r="G2299" i="50"/>
  <c r="G360" i="42"/>
  <c r="H643" i="64"/>
  <c r="G1143" i="37"/>
  <c r="H875" i="64"/>
  <c r="H1055" i="64"/>
  <c r="H1153" i="64"/>
  <c r="G811" i="37"/>
  <c r="G1121" i="37"/>
  <c r="G1187" i="37"/>
  <c r="H1144" i="64"/>
  <c r="G1605" i="50"/>
  <c r="G1106" i="50"/>
  <c r="G1969" i="37"/>
  <c r="G1937" i="50"/>
  <c r="H986" i="64"/>
  <c r="G1931" i="50"/>
  <c r="H143" i="50"/>
  <c r="A1040" i="50"/>
  <c r="P1038" i="50"/>
  <c r="P1039" i="50" s="1"/>
  <c r="A1368" i="50"/>
  <c r="P1366" i="50"/>
  <c r="P1367" i="50"/>
  <c r="P874" i="50"/>
  <c r="P875" i="50" s="1"/>
  <c r="J168" i="50"/>
  <c r="J136" i="49"/>
  <c r="J171" i="50" s="1"/>
  <c r="N267" i="49"/>
  <c r="N205" i="50" s="1"/>
  <c r="N204" i="50"/>
  <c r="L146" i="50"/>
  <c r="I147" i="50"/>
  <c r="I100" i="49"/>
  <c r="J147" i="50"/>
  <c r="J100" i="49"/>
  <c r="U63" i="62"/>
  <c r="H417" i="41"/>
  <c r="P2022" i="50"/>
  <c r="P2023" i="50" s="1"/>
  <c r="L2255" i="50"/>
  <c r="F2258" i="50" s="1"/>
  <c r="J217" i="47"/>
  <c r="G151" i="50"/>
  <c r="G176" i="50"/>
  <c r="H1196" i="64"/>
  <c r="G491" i="37"/>
  <c r="G424" i="41"/>
  <c r="H430" i="64"/>
  <c r="G101" i="41"/>
  <c r="G252" i="50"/>
  <c r="G938" i="50"/>
  <c r="H749" i="64"/>
  <c r="G240" i="50"/>
  <c r="G201" i="41"/>
  <c r="G322" i="50" s="1"/>
  <c r="G1919" i="50"/>
  <c r="G209" i="41"/>
  <c r="G328" i="50" s="1"/>
  <c r="H374" i="64"/>
  <c r="I222" i="41"/>
  <c r="I339" i="50" s="1"/>
  <c r="I331" i="50"/>
  <c r="M275" i="50"/>
  <c r="M417" i="41"/>
  <c r="G2890" i="37"/>
  <c r="G1682" i="37"/>
  <c r="L423" i="41"/>
  <c r="L290" i="50"/>
  <c r="D143" i="62"/>
  <c r="K83" i="49"/>
  <c r="S27" i="49"/>
  <c r="K1896" i="37"/>
  <c r="E293" i="42"/>
  <c r="Y293" i="42"/>
  <c r="H389" i="64"/>
  <c r="G151" i="41"/>
  <c r="G284" i="50"/>
  <c r="G236" i="50"/>
  <c r="H173" i="64"/>
  <c r="G277" i="41"/>
  <c r="G369" i="50"/>
  <c r="G337" i="41"/>
  <c r="G422" i="50"/>
  <c r="G2895" i="37"/>
  <c r="H1188" i="64"/>
  <c r="H629" i="64"/>
  <c r="H631" i="64"/>
  <c r="H414" i="64"/>
  <c r="G1479" i="37"/>
  <c r="H580" i="64"/>
  <c r="H808" i="64"/>
  <c r="H814" i="64"/>
  <c r="G2026" i="37"/>
  <c r="G180" i="41"/>
  <c r="G306" i="50" s="1"/>
  <c r="P1710" i="50"/>
  <c r="P1711" i="50"/>
  <c r="A1712" i="50"/>
  <c r="L491" i="64"/>
  <c r="L1243" i="64"/>
  <c r="J791" i="64"/>
  <c r="G1117" i="37"/>
  <c r="G139" i="41"/>
  <c r="G274" i="50" s="1"/>
  <c r="G1444" i="50"/>
  <c r="H251" i="64"/>
  <c r="G2471" i="37"/>
  <c r="G2039" i="37"/>
  <c r="G2652" i="37"/>
  <c r="G405" i="41"/>
  <c r="G1761" i="50"/>
  <c r="H1049" i="64"/>
  <c r="G509" i="37"/>
  <c r="G1134" i="37"/>
  <c r="H1059" i="64"/>
  <c r="G1092" i="50"/>
  <c r="G539" i="37"/>
  <c r="H1151" i="64"/>
  <c r="G951" i="50"/>
  <c r="G1117" i="50"/>
  <c r="G876" i="37"/>
  <c r="G761" i="37"/>
  <c r="H866" i="64"/>
  <c r="H937" i="64"/>
  <c r="G459" i="37"/>
  <c r="H635" i="64"/>
  <c r="G2179" i="50"/>
  <c r="G101" i="49"/>
  <c r="G153" i="50" s="1"/>
  <c r="H1104" i="64"/>
  <c r="G1439" i="50"/>
  <c r="G789" i="50"/>
  <c r="G617" i="50"/>
  <c r="G2049" i="37"/>
  <c r="G2925" i="37"/>
  <c r="H1197" i="64"/>
  <c r="H641" i="64"/>
  <c r="H558" i="37"/>
  <c r="H564" i="37"/>
  <c r="J1243" i="64"/>
  <c r="N491" i="64"/>
  <c r="J731" i="64"/>
  <c r="A1384" i="50"/>
  <c r="Y25" i="49"/>
  <c r="Y27" i="49" s="1"/>
  <c r="K71" i="50"/>
  <c r="K16" i="41"/>
  <c r="G515" i="42"/>
  <c r="G2395" i="37"/>
  <c r="H1061" i="64"/>
  <c r="G1912" i="50"/>
  <c r="G2663" i="37"/>
  <c r="G1667" i="37"/>
  <c r="H517" i="64"/>
  <c r="H1149" i="64"/>
  <c r="G1767" i="50"/>
  <c r="G2173" i="50"/>
  <c r="H943" i="64"/>
  <c r="G814" i="42"/>
  <c r="H918" i="64"/>
  <c r="G2059" i="37"/>
  <c r="G1445" i="37"/>
  <c r="H823" i="64"/>
  <c r="G2990" i="37"/>
  <c r="G272" i="37"/>
  <c r="G1423" i="37"/>
  <c r="G2688" i="37"/>
  <c r="G953" i="50"/>
  <c r="L163" i="50"/>
  <c r="Q641" i="50"/>
  <c r="K40" i="41"/>
  <c r="K50" i="41" s="1"/>
  <c r="E54" i="50"/>
  <c r="AK170" i="49"/>
  <c r="G443" i="43"/>
  <c r="G447" i="43"/>
  <c r="E271" i="43"/>
  <c r="G444" i="43"/>
  <c r="N1205" i="64"/>
  <c r="N1204" i="64"/>
  <c r="N663" i="64"/>
  <c r="N904" i="64"/>
  <c r="I71" i="50"/>
  <c r="A249" i="34"/>
  <c r="L69" i="50"/>
  <c r="K146" i="50"/>
  <c r="K100" i="49"/>
  <c r="K106" i="49" s="1"/>
  <c r="K155" i="50" s="1"/>
  <c r="E95" i="42"/>
  <c r="V95" i="42"/>
  <c r="T95" i="42"/>
  <c r="Y95" i="42"/>
  <c r="U95" i="42"/>
  <c r="W95" i="42"/>
  <c r="X95" i="42"/>
  <c r="G1583" i="50"/>
  <c r="H578" i="64"/>
  <c r="G2954" i="37"/>
  <c r="G2325" i="37"/>
  <c r="H233" i="64"/>
  <c r="G2303" i="37"/>
  <c r="H574" i="64"/>
  <c r="H994" i="64"/>
  <c r="H1002" i="64"/>
  <c r="G290" i="41"/>
  <c r="G380" i="50"/>
  <c r="G343" i="41"/>
  <c r="G428" i="50" s="1"/>
  <c r="G1435" i="37"/>
  <c r="H1154" i="64"/>
  <c r="G177" i="37"/>
  <c r="H390" i="64"/>
  <c r="H509" i="64"/>
  <c r="G388" i="47"/>
  <c r="G2907" i="37"/>
  <c r="H149" i="64"/>
  <c r="H308" i="64"/>
  <c r="G1263" i="37"/>
  <c r="G512" i="37"/>
  <c r="G156" i="41"/>
  <c r="G289" i="50" s="1"/>
  <c r="H317" i="64"/>
  <c r="G666" i="42"/>
  <c r="H878" i="64"/>
  <c r="H362" i="64"/>
  <c r="G1186" i="37"/>
  <c r="G431" i="41"/>
  <c r="G989" i="37"/>
  <c r="H293" i="64"/>
  <c r="H811" i="64"/>
  <c r="G763" i="50"/>
  <c r="G1267" i="50"/>
  <c r="H418" i="64"/>
  <c r="G1103" i="50"/>
  <c r="H439" i="64"/>
  <c r="G100" i="41"/>
  <c r="G251" i="50" s="1"/>
  <c r="H284" i="64"/>
  <c r="G1766" i="50"/>
  <c r="G154" i="41"/>
  <c r="G287" i="50" s="1"/>
  <c r="H264" i="64"/>
  <c r="H434" i="64"/>
  <c r="H402" i="64"/>
  <c r="G311" i="41"/>
  <c r="G399" i="50" s="1"/>
  <c r="G94" i="41"/>
  <c r="G247" i="50"/>
  <c r="G1397" i="37"/>
  <c r="G1419" i="50"/>
  <c r="H363" i="64"/>
  <c r="H522" i="64"/>
  <c r="H339" i="64"/>
  <c r="G2098" i="50"/>
  <c r="G2075" i="50"/>
  <c r="H1116" i="64"/>
  <c r="G1608" i="50"/>
  <c r="G1758" i="50"/>
  <c r="H167" i="64"/>
  <c r="H1141" i="64"/>
  <c r="G312" i="41"/>
  <c r="G400" i="50" s="1"/>
  <c r="H332" i="64"/>
  <c r="G875" i="37"/>
  <c r="G227" i="50"/>
  <c r="G939" i="50"/>
  <c r="G2932" i="37"/>
  <c r="G362" i="42"/>
  <c r="G402" i="41"/>
  <c r="H334" i="64"/>
  <c r="G351" i="41"/>
  <c r="G435" i="50" s="1"/>
  <c r="H400" i="64"/>
  <c r="G513" i="37"/>
  <c r="G1263" i="50"/>
  <c r="G271" i="37"/>
  <c r="H263" i="64"/>
  <c r="H880" i="64"/>
  <c r="G2324" i="37"/>
  <c r="H404" i="64"/>
  <c r="G622" i="50"/>
  <c r="G1923" i="50"/>
  <c r="G345" i="41"/>
  <c r="G430" i="50" s="1"/>
  <c r="G1269" i="50"/>
  <c r="G212" i="41"/>
  <c r="G331" i="50" s="1"/>
  <c r="G239" i="50"/>
  <c r="G1687" i="37"/>
  <c r="G2178" i="50"/>
  <c r="H518" i="64"/>
  <c r="H291" i="64"/>
  <c r="G1430" i="50"/>
  <c r="H243" i="64"/>
  <c r="H1221" i="64"/>
  <c r="G2945" i="37"/>
  <c r="H1177" i="64"/>
  <c r="G1438" i="50"/>
  <c r="G2172" i="50"/>
  <c r="H689" i="64"/>
  <c r="G216" i="50"/>
  <c r="G2180" i="50"/>
  <c r="G2234" i="50"/>
  <c r="G369" i="42"/>
  <c r="G2169" i="37"/>
  <c r="G2174" i="50"/>
  <c r="G1759" i="50"/>
  <c r="H429" i="64"/>
  <c r="G288" i="41"/>
  <c r="G378" i="50" s="1"/>
  <c r="G950" i="50"/>
  <c r="G389" i="47"/>
  <c r="H401" i="64"/>
  <c r="G2023" i="37"/>
  <c r="H147" i="64"/>
  <c r="G1213" i="64"/>
  <c r="H1051" i="64"/>
  <c r="H428" i="64"/>
  <c r="H240" i="64"/>
  <c r="G1444" i="37"/>
  <c r="G344" i="41"/>
  <c r="G429" i="50" s="1"/>
  <c r="G417" i="41"/>
  <c r="G935" i="50"/>
  <c r="H359" i="64"/>
  <c r="G325" i="41"/>
  <c r="G412" i="50" s="1"/>
  <c r="G884" i="37"/>
  <c r="H934" i="64"/>
  <c r="G115" i="49"/>
  <c r="G161" i="50" s="1"/>
  <c r="G1764" i="50"/>
  <c r="G760" i="37"/>
  <c r="G215" i="50"/>
  <c r="G151" i="49"/>
  <c r="G180" i="50" s="1"/>
  <c r="H1183" i="64"/>
  <c r="H373" i="64"/>
  <c r="H292" i="64"/>
  <c r="G338" i="41"/>
  <c r="G423" i="50" s="1"/>
  <c r="H285" i="64"/>
  <c r="H416" i="64"/>
  <c r="G788" i="50"/>
  <c r="H413" i="64"/>
  <c r="G140" i="41"/>
  <c r="G275" i="50" s="1"/>
  <c r="G153" i="41"/>
  <c r="G286" i="50"/>
  <c r="H938" i="64"/>
  <c r="G433" i="41"/>
  <c r="H242" i="64"/>
  <c r="H942" i="64"/>
  <c r="H688" i="64"/>
  <c r="H433" i="64"/>
  <c r="H816" i="64"/>
  <c r="H343" i="64"/>
  <c r="G1595" i="50"/>
  <c r="G2385" i="37"/>
  <c r="G430" i="41"/>
  <c r="G1112" i="50"/>
  <c r="G434" i="41"/>
  <c r="G179" i="41"/>
  <c r="G305" i="50" s="1"/>
  <c r="G1062" i="37"/>
  <c r="G2499" i="37"/>
  <c r="G1737" i="37"/>
  <c r="G416" i="41"/>
  <c r="G831" i="37"/>
  <c r="H82" i="64"/>
  <c r="H628" i="64"/>
  <c r="G1930" i="50"/>
  <c r="G1414" i="37"/>
  <c r="H365" i="64"/>
  <c r="H857" i="64"/>
  <c r="G212" i="50"/>
  <c r="G2360" i="37"/>
  <c r="H231" i="64"/>
  <c r="G229" i="50"/>
  <c r="H257" i="64"/>
  <c r="H1156" i="64"/>
  <c r="G2304" i="50"/>
  <c r="H1045" i="64"/>
  <c r="G2687" i="37"/>
  <c r="G2801" i="37"/>
  <c r="G1867" i="37"/>
  <c r="H407" i="64"/>
  <c r="G207" i="41"/>
  <c r="G326" i="50" s="1"/>
  <c r="G659" i="37"/>
  <c r="H427" i="64"/>
  <c r="G317" i="41"/>
  <c r="G405" i="50" s="1"/>
  <c r="G818" i="37"/>
  <c r="H1148" i="64"/>
  <c r="G2293" i="50"/>
  <c r="G341" i="41"/>
  <c r="G426" i="50" s="1"/>
  <c r="G309" i="41"/>
  <c r="G397" i="50" s="1"/>
  <c r="G427" i="41"/>
  <c r="G233" i="50"/>
  <c r="H409" i="64"/>
  <c r="G1173" i="64"/>
  <c r="G124" i="49"/>
  <c r="G163" i="50"/>
  <c r="G2092" i="50"/>
  <c r="G271" i="41"/>
  <c r="G365" i="50" s="1"/>
  <c r="G291" i="41"/>
  <c r="G381" i="50"/>
  <c r="G235" i="50"/>
  <c r="G160" i="41"/>
  <c r="G293" i="50" s="1"/>
  <c r="G1110" i="50"/>
  <c r="G262" i="41"/>
  <c r="G356" i="50" s="1"/>
  <c r="H286" i="64"/>
  <c r="H576" i="64"/>
  <c r="H989" i="64"/>
  <c r="G205" i="42"/>
  <c r="H421" i="64"/>
  <c r="G1772" i="50"/>
  <c r="G780" i="50"/>
  <c r="G1989" i="37"/>
  <c r="G342" i="41"/>
  <c r="G427" i="50" s="1"/>
  <c r="G813" i="42"/>
  <c r="G1142" i="37"/>
  <c r="H876" i="64"/>
  <c r="D2311" i="50"/>
  <c r="H401" i="41"/>
  <c r="H348" i="50" s="1"/>
  <c r="I401" i="41"/>
  <c r="I348" i="50" s="1"/>
  <c r="L49" i="41"/>
  <c r="L213" i="50" s="1"/>
  <c r="U27" i="49"/>
  <c r="J35" i="49" s="1"/>
  <c r="J68" i="50"/>
  <c r="N163" i="50"/>
  <c r="N137" i="49"/>
  <c r="N146" i="49" s="1"/>
  <c r="K217" i="50"/>
  <c r="K136" i="49"/>
  <c r="K168" i="50"/>
  <c r="E606" i="42"/>
  <c r="W606" i="42"/>
  <c r="Y606" i="42"/>
  <c r="E758" i="42"/>
  <c r="X758" i="42"/>
  <c r="V758" i="42"/>
  <c r="Y93" i="42"/>
  <c r="X93" i="42"/>
  <c r="Z103" i="42"/>
  <c r="U103" i="42"/>
  <c r="M192" i="50"/>
  <c r="M219" i="49"/>
  <c r="M193" i="50" s="1"/>
  <c r="E287" i="42"/>
  <c r="U287" i="42"/>
  <c r="E291" i="42"/>
  <c r="Z291" i="42"/>
  <c r="X291" i="42"/>
  <c r="E612" i="42"/>
  <c r="Z612" i="42"/>
  <c r="X612" i="42"/>
  <c r="J1292" i="37"/>
  <c r="J990" i="37"/>
  <c r="J1594" i="37"/>
  <c r="L990" i="37"/>
  <c r="L2802" i="37"/>
  <c r="L122" i="41"/>
  <c r="E288" i="42"/>
  <c r="X288" i="42"/>
  <c r="T288" i="42"/>
  <c r="U294" i="42"/>
  <c r="Z294" i="42"/>
  <c r="A297" i="34"/>
  <c r="A291" i="34"/>
  <c r="K401" i="41"/>
  <c r="K348" i="50" s="1"/>
  <c r="G1078" i="37"/>
  <c r="G1090" i="37"/>
  <c r="G172" i="37"/>
  <c r="G486" i="37"/>
  <c r="B64" i="34"/>
  <c r="K192" i="50"/>
  <c r="K219" i="49"/>
  <c r="K193" i="50" s="1"/>
  <c r="P2038" i="50"/>
  <c r="P2039" i="50" s="1"/>
  <c r="A2040" i="50"/>
  <c r="Q242" i="41"/>
  <c r="J911" i="64"/>
  <c r="N731" i="64"/>
  <c r="L1031" i="64"/>
  <c r="J671" i="64"/>
  <c r="N551" i="64"/>
  <c r="N1093" i="64"/>
  <c r="I423" i="41"/>
  <c r="I290" i="50"/>
  <c r="H376" i="37"/>
  <c r="H370" i="37"/>
  <c r="H1880" i="37"/>
  <c r="H1886" i="37"/>
  <c r="J401" i="41"/>
  <c r="J348" i="50" s="1"/>
  <c r="J137" i="49"/>
  <c r="Q31" i="43"/>
  <c r="H18" i="50"/>
  <c r="E290" i="43"/>
  <c r="Y290" i="43" s="1"/>
  <c r="L128" i="41"/>
  <c r="L270" i="50" s="1"/>
  <c r="G49" i="41"/>
  <c r="J172" i="50"/>
  <c r="J146" i="49"/>
  <c r="Z63" i="62"/>
  <c r="AA63" i="62" s="1"/>
  <c r="N603" i="64"/>
  <c r="N602" i="64"/>
  <c r="N484" i="64"/>
  <c r="R54" i="50"/>
  <c r="H46" i="41"/>
  <c r="H40" i="41"/>
  <c r="H50" i="41" s="1"/>
  <c r="H217" i="50" s="1"/>
  <c r="H71" i="50"/>
  <c r="N543" i="64"/>
  <c r="N1236" i="64"/>
  <c r="X285" i="42"/>
  <c r="W285" i="42"/>
  <c r="Y285" i="42"/>
  <c r="Z285" i="42"/>
  <c r="V285" i="42"/>
  <c r="U285" i="42"/>
  <c r="T285" i="42"/>
  <c r="N1124" i="64"/>
  <c r="I295" i="42"/>
  <c r="I301" i="42" s="1"/>
  <c r="H295" i="42"/>
  <c r="H301" i="42"/>
  <c r="K295" i="42"/>
  <c r="K301" i="42" s="1"/>
  <c r="J295" i="42"/>
  <c r="J301" i="42"/>
  <c r="N1023" i="64"/>
  <c r="C2368" i="50"/>
  <c r="Q2311" i="50"/>
  <c r="K949" i="42"/>
  <c r="L2314" i="50"/>
  <c r="F2317" i="50"/>
  <c r="N68" i="50"/>
  <c r="J49" i="41"/>
  <c r="N48" i="41"/>
  <c r="N216" i="50" s="1"/>
  <c r="N46" i="41"/>
  <c r="M146" i="49"/>
  <c r="Y226" i="43"/>
  <c r="M74" i="62"/>
  <c r="Y354" i="43"/>
  <c r="Y71" i="43"/>
  <c r="Y311" i="43"/>
  <c r="Y254" i="43"/>
  <c r="Y86" i="43"/>
  <c r="K2607" i="50"/>
  <c r="J2601" i="50" s="1"/>
  <c r="Y324" i="43"/>
  <c r="I76" i="62"/>
  <c r="Y225" i="43"/>
  <c r="K82" i="62"/>
  <c r="Y174" i="43"/>
  <c r="Y308" i="43"/>
  <c r="N80" i="62"/>
  <c r="Y41" i="43"/>
  <c r="J75" i="62"/>
  <c r="Y312" i="43"/>
  <c r="Y360" i="43"/>
  <c r="Y70" i="43"/>
  <c r="Y57" i="43"/>
  <c r="Y108" i="43"/>
  <c r="Y318" i="43"/>
  <c r="E27" i="62"/>
  <c r="X27" i="62" s="1"/>
  <c r="E111" i="62"/>
  <c r="H111" i="62" s="1"/>
  <c r="Y322" i="43"/>
  <c r="Y112" i="43"/>
  <c r="Y323" i="43"/>
  <c r="Y327" i="43"/>
  <c r="J76" i="62"/>
  <c r="P2146" i="50"/>
  <c r="P2140" i="50"/>
  <c r="A2140" i="50" s="1"/>
  <c r="E2121" i="50"/>
  <c r="P2178" i="50"/>
  <c r="P2172" i="50"/>
  <c r="P2150" i="50"/>
  <c r="P2161" i="50"/>
  <c r="H2121" i="50"/>
  <c r="P2175" i="50"/>
  <c r="P2124" i="50"/>
  <c r="P2166" i="50"/>
  <c r="P2155" i="50"/>
  <c r="P2156" i="50"/>
  <c r="P2148" i="50"/>
  <c r="P2149" i="50"/>
  <c r="P2138" i="50"/>
  <c r="P2139" i="50" s="1"/>
  <c r="P2137" i="50"/>
  <c r="P2181" i="50"/>
  <c r="P2125" i="50"/>
  <c r="P2179" i="50"/>
  <c r="R2118" i="50"/>
  <c r="P2129" i="50"/>
  <c r="C2535" i="50"/>
  <c r="A728" i="50"/>
  <c r="P726" i="50"/>
  <c r="P727" i="50" s="1"/>
  <c r="H256" i="37"/>
  <c r="H262" i="37"/>
  <c r="F581" i="42"/>
  <c r="F582" i="42" s="1"/>
  <c r="F583" i="42" s="1"/>
  <c r="F584" i="42" s="1"/>
  <c r="F585" i="42" s="1"/>
  <c r="F586" i="42" s="1"/>
  <c r="F587" i="42" s="1"/>
  <c r="F588" i="42" s="1"/>
  <c r="F589" i="42" s="1"/>
  <c r="X604" i="42"/>
  <c r="Z604" i="42"/>
  <c r="T604" i="42"/>
  <c r="E604" i="42"/>
  <c r="V604" i="42"/>
  <c r="Y604" i="42"/>
  <c r="W604" i="42"/>
  <c r="U604" i="42"/>
  <c r="P1874" i="50"/>
  <c r="P1875" i="50" s="1"/>
  <c r="A1876" i="50"/>
  <c r="H1772" i="37"/>
  <c r="H1766" i="37"/>
  <c r="N782" i="64"/>
  <c r="N783" i="64"/>
  <c r="N784" i="64"/>
  <c r="K107" i="49"/>
  <c r="K156" i="50" s="1"/>
  <c r="K152" i="50"/>
  <c r="K101" i="49"/>
  <c r="K153" i="50" s="1"/>
  <c r="C253" i="34"/>
  <c r="R210" i="42"/>
  <c r="Q805" i="50"/>
  <c r="D805" i="50"/>
  <c r="C969" i="50"/>
  <c r="C1133" i="50" s="1"/>
  <c r="Q1133" i="50" s="1"/>
  <c r="L267" i="50"/>
  <c r="L189" i="41"/>
  <c r="L413" i="41"/>
  <c r="N70" i="50"/>
  <c r="N35" i="49"/>
  <c r="D144" i="62"/>
  <c r="D145" i="62" s="1"/>
  <c r="E143" i="62"/>
  <c r="H2266" i="50"/>
  <c r="H2270" i="50"/>
  <c r="H128" i="41"/>
  <c r="H270" i="50" s="1"/>
  <c r="L412" i="41"/>
  <c r="J70" i="50"/>
  <c r="D4" i="34"/>
  <c r="E3" i="34"/>
  <c r="L414" i="43"/>
  <c r="L415" i="43" s="1"/>
  <c r="L950" i="42" s="1"/>
  <c r="L309" i="42" s="1"/>
  <c r="X325" i="42" s="1"/>
  <c r="Q406" i="42"/>
  <c r="R407" i="42" s="1"/>
  <c r="H171" i="50"/>
  <c r="H146" i="49"/>
  <c r="J84" i="37"/>
  <c r="J2802" i="37"/>
  <c r="J2198" i="37"/>
  <c r="J122" i="41"/>
  <c r="J261" i="50"/>
  <c r="J2500" i="37"/>
  <c r="J386" i="37"/>
  <c r="L2500" i="37"/>
  <c r="L2198" i="37"/>
  <c r="L386" i="37"/>
  <c r="L1292" i="37"/>
  <c r="L84" i="37"/>
  <c r="L261" i="50"/>
  <c r="T368" i="41"/>
  <c r="T377" i="41"/>
  <c r="V27" i="49"/>
  <c r="D2368" i="50"/>
  <c r="L2371" i="50"/>
  <c r="N49" i="41"/>
  <c r="N213" i="50" s="1"/>
  <c r="L45" i="41"/>
  <c r="L214" i="50" s="1"/>
  <c r="G1054" i="37"/>
  <c r="G98" i="50"/>
  <c r="G2613" i="37"/>
  <c r="G92" i="50"/>
  <c r="G2499" i="50"/>
  <c r="H114" i="64"/>
  <c r="H623" i="64"/>
  <c r="G657" i="42"/>
  <c r="G769" i="50"/>
  <c r="H1099" i="64"/>
  <c r="G285" i="49"/>
  <c r="H923" i="64"/>
  <c r="G185" i="49"/>
  <c r="G188" i="50" s="1"/>
  <c r="H743" i="64"/>
  <c r="H81" i="64"/>
  <c r="H495" i="64"/>
  <c r="H1139" i="64"/>
  <c r="H863" i="64"/>
  <c r="E96" i="42"/>
  <c r="Z96" i="42"/>
  <c r="E292" i="42"/>
  <c r="W292" i="42"/>
  <c r="U292" i="42"/>
  <c r="P1546" i="50"/>
  <c r="P1547" i="50" s="1"/>
  <c r="A1548" i="50"/>
  <c r="Q244" i="41"/>
  <c r="Q241" i="41"/>
  <c r="E91" i="42"/>
  <c r="Z91" i="42"/>
  <c r="W91" i="42"/>
  <c r="P1218" i="50"/>
  <c r="P1219" i="50" s="1"/>
  <c r="A1220" i="50"/>
  <c r="N83" i="49"/>
  <c r="N143" i="50"/>
  <c r="E751" i="42"/>
  <c r="Z751" i="42"/>
  <c r="Y751" i="42"/>
  <c r="K4" i="47"/>
  <c r="K122" i="41"/>
  <c r="K267" i="50" s="1"/>
  <c r="N971" i="64"/>
  <c r="L611" i="64"/>
  <c r="Q2368" i="50"/>
  <c r="C2425" i="50"/>
  <c r="I2368" i="50"/>
  <c r="P2413" i="50" s="1"/>
  <c r="M177" i="50"/>
  <c r="M147" i="49"/>
  <c r="M178" i="50" s="1"/>
  <c r="M151" i="49"/>
  <c r="M152" i="49" s="1"/>
  <c r="M181" i="50" s="1"/>
  <c r="N102" i="50"/>
  <c r="N122" i="50" s="1"/>
  <c r="N100" i="50"/>
  <c r="N120" i="50" s="1"/>
  <c r="N99" i="50"/>
  <c r="N119" i="50" s="1"/>
  <c r="N103" i="50"/>
  <c r="N123" i="50" s="1"/>
  <c r="N107" i="50"/>
  <c r="N284" i="49" s="1"/>
  <c r="N96" i="50"/>
  <c r="N116" i="50" s="1"/>
  <c r="N98" i="50"/>
  <c r="N118" i="50" s="1"/>
  <c r="N108" i="50"/>
  <c r="N285" i="49" s="1"/>
  <c r="N104" i="50"/>
  <c r="N124" i="50" s="1"/>
  <c r="C2536" i="50"/>
  <c r="C2537" i="50" s="1"/>
  <c r="C2538" i="50" s="1"/>
  <c r="C2539" i="50" s="1"/>
  <c r="L949" i="42"/>
  <c r="L277" i="49"/>
  <c r="L420" i="47"/>
  <c r="J102" i="50"/>
  <c r="J122" i="50" s="1"/>
  <c r="J101" i="50"/>
  <c r="J121" i="50" s="1"/>
  <c r="J95" i="50"/>
  <c r="J115" i="50" s="1"/>
  <c r="J108" i="50"/>
  <c r="J285" i="49" s="1"/>
  <c r="J100" i="50"/>
  <c r="J120" i="50" s="1"/>
  <c r="J94" i="50"/>
  <c r="J114" i="50" s="1"/>
  <c r="J109" i="50"/>
  <c r="J129" i="50" s="1"/>
  <c r="J104" i="50"/>
  <c r="J124" i="50" s="1"/>
  <c r="J97" i="50"/>
  <c r="J117" i="50" s="1"/>
  <c r="F2374" i="50"/>
  <c r="J412" i="41"/>
  <c r="J419" i="41" s="1"/>
  <c r="J413" i="41"/>
  <c r="J128" i="41"/>
  <c r="J270" i="50"/>
  <c r="J267" i="50"/>
  <c r="J189" i="41"/>
  <c r="H177" i="50"/>
  <c r="H147" i="49"/>
  <c r="H178" i="50" s="1"/>
  <c r="H151" i="49"/>
  <c r="E4" i="34"/>
  <c r="R11" i="43" s="1"/>
  <c r="M414" i="43"/>
  <c r="M2595" i="50" s="1"/>
  <c r="F3" i="34"/>
  <c r="I2425" i="50"/>
  <c r="Q2425" i="50"/>
  <c r="N414" i="43"/>
  <c r="N420" i="47" s="1"/>
  <c r="F4" i="34"/>
  <c r="M420" i="47"/>
  <c r="J194" i="41"/>
  <c r="J316" i="50" s="1"/>
  <c r="O251" i="34"/>
  <c r="R251" i="34" s="1"/>
  <c r="Q278" i="34"/>
  <c r="L393" i="41"/>
  <c r="L2596" i="50"/>
  <c r="L421" i="47"/>
  <c r="L289" i="47" s="1"/>
  <c r="AG289" i="47" s="1"/>
  <c r="L386" i="47"/>
  <c r="AG386" i="47" s="1"/>
  <c r="L146" i="47"/>
  <c r="AG146" i="47" s="1"/>
  <c r="L155" i="47"/>
  <c r="L335" i="47"/>
  <c r="L328" i="47"/>
  <c r="L364" i="47"/>
  <c r="L302" i="47"/>
  <c r="L176" i="41"/>
  <c r="L302" i="50" s="1"/>
  <c r="L15" i="41"/>
  <c r="Z15" i="41" s="1"/>
  <c r="L276" i="41"/>
  <c r="L368" i="50" s="1"/>
  <c r="L188" i="41"/>
  <c r="L312" i="50" s="1"/>
  <c r="L44" i="41"/>
  <c r="L227" i="41"/>
  <c r="L342" i="50" s="1"/>
  <c r="L260" i="41"/>
  <c r="L354" i="50" s="1"/>
  <c r="L295" i="41"/>
  <c r="L384" i="50" s="1"/>
  <c r="L363" i="41"/>
  <c r="L442" i="50" s="1"/>
  <c r="L306" i="41"/>
  <c r="L394" i="50" s="1"/>
  <c r="L99" i="41"/>
  <c r="L250" i="50" s="1"/>
  <c r="L56" i="41"/>
  <c r="L93" i="41"/>
  <c r="L246" i="50" s="1"/>
  <c r="L138" i="41"/>
  <c r="L273" i="50" s="1"/>
  <c r="L146" i="41"/>
  <c r="L279" i="50" s="1"/>
  <c r="L239" i="41"/>
  <c r="L118" i="41"/>
  <c r="L217" i="41"/>
  <c r="L334" i="50" s="1"/>
  <c r="L287" i="41"/>
  <c r="L377" i="50" s="1"/>
  <c r="L335" i="41"/>
  <c r="L420" i="50" s="1"/>
  <c r="L321" i="41"/>
  <c r="L408" i="50" s="1"/>
  <c r="L34" i="41"/>
  <c r="L206" i="41"/>
  <c r="L325" i="50" s="1"/>
  <c r="L411" i="41"/>
  <c r="L110" i="41"/>
  <c r="L257" i="50" s="1"/>
  <c r="L2269" i="50"/>
  <c r="T1958" i="50"/>
  <c r="AG390" i="42"/>
  <c r="L427" i="42"/>
  <c r="X430" i="42" s="1"/>
  <c r="L185" i="42"/>
  <c r="X185" i="42" s="1"/>
  <c r="L889" i="42"/>
  <c r="X915" i="42" s="1"/>
  <c r="AG394" i="42"/>
  <c r="AG803" i="42"/>
  <c r="L513" i="42"/>
  <c r="X513" i="42" s="1"/>
  <c r="L903" i="42"/>
  <c r="X906" i="42" s="1"/>
  <c r="AG509" i="42"/>
  <c r="L627" i="42"/>
  <c r="X643" i="42" s="1"/>
  <c r="AG185" i="42"/>
  <c r="L869" i="42"/>
  <c r="AG521" i="42"/>
  <c r="A258" i="34" l="1"/>
  <c r="A259" i="34"/>
  <c r="Q322" i="41"/>
  <c r="I48" i="41"/>
  <c r="G191" i="49"/>
  <c r="G189" i="50" s="1"/>
  <c r="S387" i="43"/>
  <c r="H48" i="41"/>
  <c r="G24" i="49"/>
  <c r="G67" i="50" s="1"/>
  <c r="H79" i="64"/>
  <c r="H1277" i="64"/>
  <c r="G102" i="50"/>
  <c r="H1217" i="64"/>
  <c r="I385" i="43"/>
  <c r="S385" i="43" s="1"/>
  <c r="G1405" i="37"/>
  <c r="N212" i="50"/>
  <c r="G1581" i="50"/>
  <c r="H107" i="64"/>
  <c r="J214" i="50"/>
  <c r="J80" i="62"/>
  <c r="G61" i="62"/>
  <c r="Q61" i="62" s="1"/>
  <c r="G59" i="62"/>
  <c r="E112" i="62"/>
  <c r="H112" i="62" s="1"/>
  <c r="J77" i="62"/>
  <c r="Y240" i="43"/>
  <c r="Y175" i="43"/>
  <c r="Y377" i="43"/>
  <c r="I89" i="62"/>
  <c r="I80" i="62"/>
  <c r="I84" i="62"/>
  <c r="Y136" i="43"/>
  <c r="Y363" i="43"/>
  <c r="M79" i="62"/>
  <c r="N83" i="62"/>
  <c r="N82" i="62"/>
  <c r="G597" i="50"/>
  <c r="G1103" i="37"/>
  <c r="G1185" i="37"/>
  <c r="G2091" i="37"/>
  <c r="G1141" i="37"/>
  <c r="G203" i="49"/>
  <c r="G191" i="50" s="1"/>
  <c r="G883" i="37"/>
  <c r="G537" i="37"/>
  <c r="G2349" i="37"/>
  <c r="G1745" i="37"/>
  <c r="G279" i="37"/>
  <c r="G2038" i="37"/>
  <c r="H202" i="64"/>
  <c r="G528" i="37"/>
  <c r="G830" i="37"/>
  <c r="G2997" i="37"/>
  <c r="G839" i="37"/>
  <c r="G2384" i="37"/>
  <c r="G2695" i="37"/>
  <c r="G1132" i="37"/>
  <c r="A294" i="34"/>
  <c r="A295" i="34"/>
  <c r="A293" i="34"/>
  <c r="E406" i="41"/>
  <c r="E38" i="41"/>
  <c r="E48" i="41" s="1"/>
  <c r="E216" i="50" s="1"/>
  <c r="E106" i="50"/>
  <c r="Q20" i="42"/>
  <c r="L46" i="41"/>
  <c r="N215" i="50"/>
  <c r="H45" i="41"/>
  <c r="N40" i="41"/>
  <c r="N50" i="41" s="1"/>
  <c r="N217" i="50" s="1"/>
  <c r="L212" i="50"/>
  <c r="K48" i="41"/>
  <c r="N47" i="41"/>
  <c r="H49" i="41"/>
  <c r="N45" i="41"/>
  <c r="N214" i="50" s="1"/>
  <c r="H215" i="50"/>
  <c r="J45" i="41"/>
  <c r="L48" i="41"/>
  <c r="L216" i="50" s="1"/>
  <c r="L47" i="41"/>
  <c r="J40" i="41"/>
  <c r="J50" i="41" s="1"/>
  <c r="H105" i="64"/>
  <c r="G197" i="37"/>
  <c r="G752" i="37"/>
  <c r="H103" i="64"/>
  <c r="G1909" i="50"/>
  <c r="G1589" i="50"/>
  <c r="G1960" i="37"/>
  <c r="G1089" i="50"/>
  <c r="H915" i="64"/>
  <c r="H212" i="64"/>
  <c r="H683" i="64"/>
  <c r="G35" i="49"/>
  <c r="H555" i="64"/>
  <c r="G1253" i="50"/>
  <c r="H983" i="64"/>
  <c r="G1261" i="50"/>
  <c r="G238" i="49"/>
  <c r="G200" i="50" s="1"/>
  <c r="G94" i="50"/>
  <c r="G1293" i="64"/>
  <c r="G2866" i="37"/>
  <c r="G2411" i="50"/>
  <c r="H104" i="64"/>
  <c r="G2163" i="50"/>
  <c r="H119" i="64"/>
  <c r="G925" i="50"/>
  <c r="H118" i="64"/>
  <c r="G804" i="42"/>
  <c r="G97" i="50"/>
  <c r="G2354" i="50"/>
  <c r="G1745" i="50"/>
  <c r="H1043" i="64"/>
  <c r="G1917" i="50"/>
  <c r="G93" i="50"/>
  <c r="G101" i="50"/>
  <c r="G23" i="49"/>
  <c r="G66" i="50" s="1"/>
  <c r="G2081" i="50"/>
  <c r="H113" i="64"/>
  <c r="G109" i="50"/>
  <c r="G152" i="42"/>
  <c r="I3" i="47"/>
  <c r="C36" i="9"/>
  <c r="F300" i="34"/>
  <c r="G301" i="37"/>
  <c r="G2407" i="37"/>
  <c r="G3011" i="37"/>
  <c r="G306" i="37"/>
  <c r="G962" i="50"/>
  <c r="G1815" i="37"/>
  <c r="G1614" i="50"/>
  <c r="F254" i="34"/>
  <c r="F297" i="34"/>
  <c r="G2415" i="37"/>
  <c r="G1199" i="37"/>
  <c r="G1816" i="37"/>
  <c r="G794" i="50"/>
  <c r="G2114" i="37"/>
  <c r="F289" i="34"/>
  <c r="G1501" i="37"/>
  <c r="G595" i="37"/>
  <c r="G2117" i="37"/>
  <c r="F286" i="34"/>
  <c r="G2113" i="37"/>
  <c r="G1208" i="37"/>
  <c r="G1450" i="50"/>
  <c r="F292" i="34"/>
  <c r="F266" i="34"/>
  <c r="F273" i="34"/>
  <c r="G800" i="50"/>
  <c r="G2109" i="50"/>
  <c r="G1289" i="50"/>
  <c r="G1509" i="37"/>
  <c r="G2113" i="50"/>
  <c r="F253" i="34"/>
  <c r="F258" i="34"/>
  <c r="F287" i="34"/>
  <c r="G1811" i="37"/>
  <c r="F255" i="34"/>
  <c r="G2419" i="37"/>
  <c r="Q83" i="37"/>
  <c r="Q989" i="37"/>
  <c r="Q1593" i="37"/>
  <c r="Q687" i="37"/>
  <c r="Q1895" i="37"/>
  <c r="Q2499" i="37"/>
  <c r="Q3049" i="37"/>
  <c r="Q2197" i="37"/>
  <c r="H1297" i="64"/>
  <c r="I389" i="43"/>
  <c r="R42" i="50" s="1"/>
  <c r="I392" i="43"/>
  <c r="S392" i="43" s="1"/>
  <c r="C35" i="9"/>
  <c r="G3" i="47"/>
  <c r="E58" i="62"/>
  <c r="L58" i="62" s="1"/>
  <c r="E323" i="41"/>
  <c r="Q323" i="41" s="1"/>
  <c r="U57" i="62"/>
  <c r="L57" i="62"/>
  <c r="S57" i="62"/>
  <c r="G40" i="41"/>
  <c r="G245" i="41"/>
  <c r="M386" i="43"/>
  <c r="T39" i="50" s="1"/>
  <c r="M385" i="43"/>
  <c r="T38" i="50" s="1"/>
  <c r="A253" i="34"/>
  <c r="A254" i="34"/>
  <c r="T141" i="62"/>
  <c r="A272" i="34"/>
  <c r="A252" i="34"/>
  <c r="A273" i="34"/>
  <c r="T147" i="62"/>
  <c r="G349" i="42"/>
  <c r="H115" i="64"/>
  <c r="H77" i="64"/>
  <c r="C39" i="9"/>
  <c r="H108" i="64"/>
  <c r="G933" i="50"/>
  <c r="Y321" i="43"/>
  <c r="Y168" i="43"/>
  <c r="K45" i="41"/>
  <c r="G801" i="37"/>
  <c r="H112" i="64"/>
  <c r="G1417" i="50"/>
  <c r="H109" i="64"/>
  <c r="L731" i="64"/>
  <c r="N611" i="64"/>
  <c r="J1273" i="64"/>
  <c r="L971" i="64"/>
  <c r="L851" i="64"/>
  <c r="J1293" i="64"/>
  <c r="L671" i="64"/>
  <c r="J851" i="64"/>
  <c r="L1173" i="64"/>
  <c r="N851" i="64"/>
  <c r="J1031" i="64"/>
  <c r="J551" i="64"/>
  <c r="L1213" i="64"/>
  <c r="L911" i="64"/>
  <c r="N1243" i="64"/>
  <c r="S102" i="50"/>
  <c r="E122" i="50"/>
  <c r="E237" i="50" s="1"/>
  <c r="P237" i="50" s="1"/>
  <c r="H2068" i="50"/>
  <c r="H2041" i="50"/>
  <c r="H1982" i="50"/>
  <c r="H1855" i="50"/>
  <c r="H1719" i="50"/>
  <c r="H1707" i="50"/>
  <c r="H1693" i="50"/>
  <c r="H1564" i="50"/>
  <c r="H1522" i="50"/>
  <c r="H1481" i="50"/>
  <c r="H1379" i="50"/>
  <c r="H1335" i="50"/>
  <c r="H1221" i="50"/>
  <c r="H1161" i="50"/>
  <c r="H1057" i="50"/>
  <c r="H1044" i="50"/>
  <c r="H1016" i="50"/>
  <c r="H1001" i="50"/>
  <c r="H985" i="50"/>
  <c r="H860" i="50"/>
  <c r="H729" i="50"/>
  <c r="H670" i="50"/>
  <c r="H1980" i="50"/>
  <c r="H1740" i="50"/>
  <c r="H1705" i="50"/>
  <c r="H1692" i="50"/>
  <c r="H1576" i="50"/>
  <c r="H1563" i="50"/>
  <c r="H1521" i="50"/>
  <c r="H1508" i="50"/>
  <c r="H1391" i="50"/>
  <c r="H1244" i="50"/>
  <c r="H1015" i="50"/>
  <c r="H998" i="50"/>
  <c r="H887" i="50"/>
  <c r="H873" i="50"/>
  <c r="H668" i="50"/>
  <c r="H2448" i="50"/>
  <c r="H223" i="47"/>
  <c r="H2327" i="50"/>
  <c r="H494" i="50"/>
  <c r="H548" i="50"/>
  <c r="J73" i="62"/>
  <c r="J108" i="62" s="1"/>
  <c r="J130" i="62" s="1"/>
  <c r="H2384" i="50"/>
  <c r="H2024" i="50"/>
  <c r="H1818" i="50"/>
  <c r="H1804" i="50"/>
  <c r="H1680" i="50"/>
  <c r="H1518" i="50"/>
  <c r="H1349" i="50"/>
  <c r="H1336" i="50"/>
  <c r="H1232" i="50"/>
  <c r="H1037" i="50"/>
  <c r="H693" i="50"/>
  <c r="H681" i="50"/>
  <c r="H2479" i="50"/>
  <c r="H2335" i="50"/>
  <c r="H492" i="50"/>
  <c r="H544" i="50"/>
  <c r="H509" i="50"/>
  <c r="N1164" i="64"/>
  <c r="N1206" i="64"/>
  <c r="N1024" i="64"/>
  <c r="H1891" i="50"/>
  <c r="H1844" i="50"/>
  <c r="H1816" i="50"/>
  <c r="H1532" i="50"/>
  <c r="H1516" i="50"/>
  <c r="H1173" i="50"/>
  <c r="H1063" i="50"/>
  <c r="H1050" i="50"/>
  <c r="H1036" i="50"/>
  <c r="H1002" i="50"/>
  <c r="H844" i="50"/>
  <c r="H751" i="50"/>
  <c r="H723" i="50"/>
  <c r="H679" i="50"/>
  <c r="H1878" i="50"/>
  <c r="H1863" i="50"/>
  <c r="H1817" i="50"/>
  <c r="H1735" i="50"/>
  <c r="H1517" i="50"/>
  <c r="H1245" i="50"/>
  <c r="H1051" i="50"/>
  <c r="H986" i="50"/>
  <c r="H680" i="50"/>
  <c r="H2267" i="50"/>
  <c r="H538" i="50"/>
  <c r="H543" i="50"/>
  <c r="H504" i="50"/>
  <c r="H2487" i="50"/>
  <c r="H524" i="50"/>
  <c r="N1285" i="64"/>
  <c r="N724" i="64"/>
  <c r="H1992" i="50"/>
  <c r="H1901" i="50"/>
  <c r="H1888" i="50"/>
  <c r="H1691" i="50"/>
  <c r="H1645" i="50"/>
  <c r="H1573" i="50"/>
  <c r="H1407" i="50"/>
  <c r="H1344" i="50"/>
  <c r="H1312" i="50"/>
  <c r="H1199" i="50"/>
  <c r="H1153" i="50"/>
  <c r="H1084" i="50"/>
  <c r="H885" i="50"/>
  <c r="H825" i="50"/>
  <c r="H656" i="50"/>
  <c r="H588" i="50"/>
  <c r="H565" i="50"/>
  <c r="H506" i="50"/>
  <c r="H2209" i="50"/>
  <c r="H2201" i="50"/>
  <c r="H2274" i="50"/>
  <c r="N1126" i="64"/>
  <c r="H1969" i="50"/>
  <c r="H1828" i="50"/>
  <c r="H1642" i="50"/>
  <c r="H1543" i="50"/>
  <c r="H1529" i="50"/>
  <c r="H1499" i="50"/>
  <c r="H1372" i="50"/>
  <c r="H1326" i="50"/>
  <c r="H1150" i="50"/>
  <c r="H1081" i="50"/>
  <c r="H1058" i="50"/>
  <c r="H852" i="50"/>
  <c r="H2063" i="50"/>
  <c r="H2035" i="50"/>
  <c r="H1991" i="50"/>
  <c r="H1900" i="50"/>
  <c r="H1829" i="50"/>
  <c r="H1706" i="50"/>
  <c r="H1658" i="50"/>
  <c r="H1500" i="50"/>
  <c r="H1358" i="50"/>
  <c r="H1071" i="50"/>
  <c r="H899" i="50"/>
  <c r="H866" i="50"/>
  <c r="H735" i="50"/>
  <c r="H716" i="50"/>
  <c r="H702" i="50"/>
  <c r="H688" i="50"/>
  <c r="H220" i="47"/>
  <c r="H505" i="50"/>
  <c r="H510" i="50"/>
  <c r="H532" i="50"/>
  <c r="H2141" i="50"/>
  <c r="H559" i="50"/>
  <c r="H558" i="50"/>
  <c r="N544" i="64"/>
  <c r="H1841" i="50"/>
  <c r="D899" i="64"/>
  <c r="D659" i="64"/>
  <c r="D1019" i="64"/>
  <c r="A257" i="34"/>
  <c r="A256" i="34"/>
  <c r="H1024" i="50"/>
  <c r="H1188" i="50"/>
  <c r="H1325" i="50"/>
  <c r="H1681" i="50"/>
  <c r="H1714" i="50"/>
  <c r="H1727" i="50"/>
  <c r="H1864" i="50"/>
  <c r="H1993" i="50"/>
  <c r="H2005" i="50"/>
  <c r="N843" i="64"/>
  <c r="N1235" i="64"/>
  <c r="M384" i="43"/>
  <c r="T37" i="50" s="1"/>
  <c r="K390" i="43"/>
  <c r="S43" i="50" s="1"/>
  <c r="J53" i="43"/>
  <c r="J61" i="43" s="1"/>
  <c r="G61" i="9" s="1"/>
  <c r="F227" i="43"/>
  <c r="M387" i="43"/>
  <c r="T40" i="50" s="1"/>
  <c r="M390" i="43"/>
  <c r="T43" i="50" s="1"/>
  <c r="G307" i="41"/>
  <c r="G395" i="50" s="1"/>
  <c r="G2320" i="37"/>
  <c r="G211" i="37"/>
  <c r="G119" i="41"/>
  <c r="G264" i="50" s="1"/>
  <c r="H271" i="64"/>
  <c r="G1895" i="37"/>
  <c r="G522" i="42"/>
  <c r="H568" i="64"/>
  <c r="H352" i="64"/>
  <c r="G2605" i="37"/>
  <c r="G401" i="41"/>
  <c r="G347" i="41"/>
  <c r="G432" i="50" s="1"/>
  <c r="G2096" i="50"/>
  <c r="G616" i="50"/>
  <c r="G2300" i="50"/>
  <c r="H192" i="64"/>
  <c r="G2083" i="50"/>
  <c r="G326" i="41"/>
  <c r="G413" i="50" s="1"/>
  <c r="H640" i="64"/>
  <c r="H320" i="64"/>
  <c r="G1177" i="37"/>
  <c r="H294" i="64"/>
  <c r="H326" i="64"/>
  <c r="G228" i="41"/>
  <c r="G343" i="50" s="1"/>
  <c r="G514" i="42"/>
  <c r="G1422" i="37"/>
  <c r="N662" i="64"/>
  <c r="N1266" i="64"/>
  <c r="N483" i="64"/>
  <c r="N903" i="64"/>
  <c r="N1125" i="64"/>
  <c r="I388" i="43"/>
  <c r="R41" i="50" s="1"/>
  <c r="I391" i="43"/>
  <c r="F810" i="50"/>
  <c r="H1146" i="50"/>
  <c r="H1347" i="50"/>
  <c r="H1361" i="50"/>
  <c r="H1497" i="50"/>
  <c r="H1867" i="50"/>
  <c r="R45" i="50"/>
  <c r="R43" i="50"/>
  <c r="S390" i="43"/>
  <c r="N1265" i="64"/>
  <c r="N844" i="64"/>
  <c r="N482" i="64"/>
  <c r="N842" i="64"/>
  <c r="G246" i="41"/>
  <c r="Y75" i="43"/>
  <c r="Y362" i="43"/>
  <c r="E33" i="62"/>
  <c r="X33" i="62" s="1"/>
  <c r="Y138" i="43"/>
  <c r="G37" i="41"/>
  <c r="H256" i="64"/>
  <c r="H435" i="64"/>
  <c r="P105" i="50"/>
  <c r="U58" i="62"/>
  <c r="E142" i="62"/>
  <c r="E85" i="62"/>
  <c r="E401" i="41"/>
  <c r="E103" i="50"/>
  <c r="P2405" i="50"/>
  <c r="E120" i="62"/>
  <c r="E325" i="41"/>
  <c r="E37" i="41"/>
  <c r="E47" i="41" s="1"/>
  <c r="E215" i="50" s="1"/>
  <c r="E405" i="41"/>
  <c r="I2311" i="50"/>
  <c r="E87" i="62"/>
  <c r="E60" i="62"/>
  <c r="S60" i="62" s="1"/>
  <c r="I209" i="42"/>
  <c r="Q305" i="42" s="1"/>
  <c r="H31" i="42"/>
  <c r="G50" i="41"/>
  <c r="S105" i="50"/>
  <c r="G148" i="41"/>
  <c r="G281" i="50" s="1"/>
  <c r="H1256" i="64"/>
  <c r="H985" i="64"/>
  <c r="G624" i="50"/>
  <c r="H375" i="64"/>
  <c r="H1150" i="64"/>
  <c r="H366" i="64"/>
  <c r="H280" i="64"/>
  <c r="H516" i="64"/>
  <c r="G57" i="49"/>
  <c r="G136" i="50" s="1"/>
  <c r="H319" i="64"/>
  <c r="G113" i="41"/>
  <c r="G260" i="50" s="1"/>
  <c r="G573" i="37"/>
  <c r="H565" i="64"/>
  <c r="G506" i="42"/>
  <c r="G840" i="37"/>
  <c r="G611" i="50"/>
  <c r="G349" i="50"/>
  <c r="G2306" i="50"/>
  <c r="G1266" i="50"/>
  <c r="H312" i="64"/>
  <c r="H977" i="64"/>
  <c r="G687" i="37"/>
  <c r="H822" i="64"/>
  <c r="G152" i="41"/>
  <c r="G285" i="50" s="1"/>
  <c r="G1105" i="50"/>
  <c r="G1781" i="37"/>
  <c r="G213" i="50"/>
  <c r="G2928" i="37"/>
  <c r="H347" i="64"/>
  <c r="H1226" i="64"/>
  <c r="G385" i="37"/>
  <c r="G2022" i="37"/>
  <c r="H258" i="64"/>
  <c r="H797" i="64"/>
  <c r="G330" i="41"/>
  <c r="G417" i="50" s="1"/>
  <c r="H677" i="64"/>
  <c r="H691" i="64"/>
  <c r="G211" i="41"/>
  <c r="G330" i="50" s="1"/>
  <c r="G1093" i="64"/>
  <c r="H497" i="64"/>
  <c r="H405" i="64"/>
  <c r="H1054" i="64"/>
  <c r="G162" i="42"/>
  <c r="G2662" i="37"/>
  <c r="G518" i="42"/>
  <c r="G2358" i="50"/>
  <c r="H1037" i="64"/>
  <c r="H279" i="64"/>
  <c r="G1102" i="50"/>
  <c r="G270" i="41"/>
  <c r="G364" i="50" s="1"/>
  <c r="G177" i="41"/>
  <c r="G303" i="50" s="1"/>
  <c r="H569" i="64"/>
  <c r="H758" i="64"/>
  <c r="G313" i="41"/>
  <c r="G401" i="50" s="1"/>
  <c r="H1194" i="64"/>
  <c r="H988" i="64"/>
  <c r="G2622" i="37"/>
  <c r="G1922" i="50"/>
  <c r="G771" i="50"/>
  <c r="G1133" i="37"/>
  <c r="G327" i="41"/>
  <c r="G414" i="50" s="1"/>
  <c r="G2094" i="50"/>
  <c r="H245" i="64"/>
  <c r="G669" i="42"/>
  <c r="G946" i="50"/>
  <c r="H1152" i="64"/>
  <c r="G1152" i="37"/>
  <c r="G529" i="37"/>
  <c r="G1699" i="37"/>
  <c r="G610" i="50"/>
  <c r="G346" i="41"/>
  <c r="G431" i="50" s="1"/>
  <c r="G340" i="41"/>
  <c r="G425" i="50" s="1"/>
  <c r="G2929" i="37"/>
  <c r="H514" i="64"/>
  <c r="G618" i="50"/>
  <c r="G178" i="41"/>
  <c r="G304" i="50" s="1"/>
  <c r="G663" i="42"/>
  <c r="G525" i="42"/>
  <c r="H255" i="64"/>
  <c r="G266" i="41"/>
  <c r="G360" i="50" s="1"/>
  <c r="G268" i="41"/>
  <c r="G362" i="50" s="1"/>
  <c r="G155" i="41"/>
  <c r="G288" i="50" s="1"/>
  <c r="H330" i="64"/>
  <c r="H1249" i="64"/>
  <c r="G786" i="50"/>
  <c r="G2328" i="37"/>
  <c r="G538" i="37"/>
  <c r="G2593" i="37"/>
  <c r="H289" i="64"/>
  <c r="G182" i="41"/>
  <c r="G308" i="50" s="1"/>
  <c r="G1721" i="37"/>
  <c r="G2089" i="50"/>
  <c r="G1606" i="50"/>
  <c r="G297" i="41"/>
  <c r="G386" i="50" s="1"/>
  <c r="H869" i="64"/>
  <c r="H634" i="64"/>
  <c r="G324" i="41"/>
  <c r="G411" i="50" s="1"/>
  <c r="H417" i="64"/>
  <c r="H748" i="64"/>
  <c r="G141" i="41"/>
  <c r="G276" i="50" s="1"/>
  <c r="G316" i="41"/>
  <c r="G404" i="50" s="1"/>
  <c r="G1747" i="50"/>
  <c r="G269" i="41"/>
  <c r="G363" i="50" s="1"/>
  <c r="G944" i="50"/>
  <c r="G55" i="37"/>
  <c r="G2287" i="50"/>
  <c r="H1112" i="64"/>
  <c r="G458" i="37"/>
  <c r="H931" i="64"/>
  <c r="H382" i="64"/>
  <c r="G2572" i="37"/>
  <c r="G1255" i="50"/>
  <c r="H998" i="64"/>
  <c r="H361" i="64"/>
  <c r="G280" i="37"/>
  <c r="H1056" i="64"/>
  <c r="H805" i="64"/>
  <c r="H309" i="64"/>
  <c r="G181" i="41"/>
  <c r="G307" i="50" s="1"/>
  <c r="H520" i="64"/>
  <c r="H331" i="64"/>
  <c r="G359" i="42"/>
  <c r="G2161" i="50"/>
  <c r="H226" i="64"/>
  <c r="G1597" i="50"/>
  <c r="G1936" i="50"/>
  <c r="H582" i="64"/>
  <c r="G296" i="41"/>
  <c r="G385" i="50" s="1"/>
  <c r="H392" i="64"/>
  <c r="G793" i="37"/>
  <c r="G1932" i="50"/>
  <c r="G402" i="42"/>
  <c r="G782" i="50"/>
  <c r="G202" i="42"/>
  <c r="G2087" i="50"/>
  <c r="G264" i="41"/>
  <c r="G358" i="50" s="1"/>
  <c r="H223" i="64"/>
  <c r="G261" i="41"/>
  <c r="G355" i="50" s="1"/>
  <c r="G1770" i="50"/>
  <c r="G1116" i="37"/>
  <c r="G2100" i="50"/>
  <c r="H311" i="64"/>
  <c r="H762" i="64"/>
  <c r="G147" i="41"/>
  <c r="G280" i="50" s="1"/>
  <c r="G1120" i="37"/>
  <c r="G510" i="42"/>
  <c r="G1928" i="50"/>
  <c r="H403" i="64"/>
  <c r="G406" i="41"/>
  <c r="G1600" i="50"/>
  <c r="G218" i="41"/>
  <c r="G335" i="50" s="1"/>
  <c r="G2415" i="50"/>
  <c r="G227" i="37"/>
  <c r="G28" i="49"/>
  <c r="G71" i="50" s="1"/>
  <c r="H236" i="64"/>
  <c r="H228" i="64"/>
  <c r="G775" i="50"/>
  <c r="H436" i="64"/>
  <c r="G1112" i="37"/>
  <c r="G150" i="41"/>
  <c r="G283" i="50" s="1"/>
  <c r="G582" i="37"/>
  <c r="G1602" i="50"/>
  <c r="G1488" i="37"/>
  <c r="G1385" i="37"/>
  <c r="H307" i="64"/>
  <c r="G282" i="41"/>
  <c r="G374" i="50" s="1"/>
  <c r="G103" i="41"/>
  <c r="G254" i="50" s="1"/>
  <c r="H268" i="64"/>
  <c r="H335" i="64"/>
  <c r="G246" i="37"/>
  <c r="G106" i="49"/>
  <c r="G155" i="50" s="1"/>
  <c r="G228" i="50"/>
  <c r="G198" i="42"/>
  <c r="H225" i="64"/>
  <c r="G194" i="42"/>
  <c r="H940" i="64"/>
  <c r="G1278" i="50"/>
  <c r="G413" i="41"/>
  <c r="G774" i="50"/>
  <c r="H406" i="64"/>
  <c r="H1257" i="64"/>
  <c r="G508" i="37"/>
  <c r="G927" i="50"/>
  <c r="H1103" i="64"/>
  <c r="H1192" i="64"/>
  <c r="G2086" i="50"/>
  <c r="H557" i="64"/>
  <c r="G1591" i="50"/>
  <c r="G2247" i="50"/>
  <c r="G112" i="41"/>
  <c r="G259" i="50" s="1"/>
  <c r="H235" i="64"/>
  <c r="H737" i="64"/>
  <c r="H571" i="64"/>
  <c r="H369" i="64"/>
  <c r="G3050" i="37"/>
  <c r="G1364" i="37"/>
  <c r="G1114" i="50"/>
  <c r="H868" i="64"/>
  <c r="H384" i="64"/>
  <c r="H395" i="64"/>
  <c r="G1272" i="50"/>
  <c r="G322" i="41"/>
  <c r="G409" i="50" s="1"/>
  <c r="G1095" i="37"/>
  <c r="G2627" i="37"/>
  <c r="G2197" i="37"/>
  <c r="H290" i="64"/>
  <c r="G2001" i="37"/>
  <c r="G2243" i="50"/>
  <c r="H1190" i="64"/>
  <c r="G114" i="41"/>
  <c r="G261" i="50" s="1"/>
  <c r="H278" i="64"/>
  <c r="G2363" i="50"/>
  <c r="G2092" i="37"/>
  <c r="H754" i="64"/>
  <c r="G1274" i="50"/>
  <c r="H353" i="64"/>
  <c r="H383" i="64"/>
  <c r="G152" i="49"/>
  <c r="G181" i="50" s="1"/>
  <c r="G210" i="41"/>
  <c r="G329" i="50" s="1"/>
  <c r="G2298" i="50"/>
  <c r="H698" i="64"/>
  <c r="G400" i="41"/>
  <c r="G482" i="42"/>
  <c r="H174" i="64"/>
  <c r="G289" i="41"/>
  <c r="G379" i="50" s="1"/>
  <c r="H1227" i="64"/>
  <c r="G1755" i="50"/>
  <c r="H696" i="64"/>
  <c r="G236" i="37"/>
  <c r="G2643" i="37"/>
  <c r="G2421" i="50"/>
  <c r="G1594" i="50"/>
  <c r="G2245" i="50"/>
  <c r="G952" i="50"/>
  <c r="G1934" i="50"/>
  <c r="G2302" i="50"/>
  <c r="G1083" i="37"/>
  <c r="H625" i="64"/>
  <c r="G816" i="42"/>
  <c r="G1433" i="50"/>
  <c r="H191" i="64"/>
  <c r="G2964" i="37"/>
  <c r="H991" i="64"/>
  <c r="G278" i="41"/>
  <c r="G370" i="50" s="1"/>
  <c r="H1060" i="64"/>
  <c r="H360" i="64"/>
  <c r="H1048" i="64"/>
  <c r="H432" i="64"/>
  <c r="G194" i="41"/>
  <c r="G316" i="50" s="1"/>
  <c r="G230" i="50"/>
  <c r="G479" i="37"/>
  <c r="G214" i="50"/>
  <c r="G412" i="41"/>
  <c r="H636" i="64"/>
  <c r="H702" i="64"/>
  <c r="G68" i="49"/>
  <c r="G138" i="50" s="1"/>
  <c r="G781" i="37"/>
  <c r="H287" i="64"/>
  <c r="H745" i="64"/>
  <c r="H1219" i="64"/>
  <c r="H756" i="64"/>
  <c r="G1911" i="50"/>
  <c r="H431" i="64"/>
  <c r="G2048" i="37"/>
  <c r="G263" i="41"/>
  <c r="G357" i="50" s="1"/>
  <c r="H408" i="64"/>
  <c r="G1418" i="37"/>
  <c r="H874" i="64"/>
  <c r="H508" i="64"/>
  <c r="G810" i="42"/>
  <c r="G2291" i="50"/>
  <c r="G1454" i="37"/>
  <c r="G850" i="37"/>
  <c r="H227" i="64"/>
  <c r="G2350" i="37"/>
  <c r="H818" i="64"/>
  <c r="G1768" i="50"/>
  <c r="G2018" i="37"/>
  <c r="G2239" i="50"/>
  <c r="G948" i="50"/>
  <c r="H241" i="64"/>
  <c r="G2058" i="37"/>
  <c r="H865" i="64"/>
  <c r="G1116" i="50"/>
  <c r="H172" i="64"/>
  <c r="G336" i="41"/>
  <c r="G421" i="50" s="1"/>
  <c r="G1099" i="50"/>
  <c r="G1280" i="50"/>
  <c r="H237" i="64"/>
  <c r="G1724" i="37"/>
  <c r="G399" i="42"/>
  <c r="H809" i="64"/>
  <c r="H239" i="64"/>
  <c r="H882" i="64"/>
  <c r="H1058" i="64"/>
  <c r="G186" i="42"/>
  <c r="H925" i="64"/>
  <c r="G238" i="50"/>
  <c r="G111" i="41"/>
  <c r="G258" i="50" s="1"/>
  <c r="G423" i="41"/>
  <c r="G189" i="37"/>
  <c r="G2291" i="37"/>
  <c r="H638" i="64"/>
  <c r="H148" i="64"/>
  <c r="H426" i="64"/>
  <c r="H1062" i="64"/>
  <c r="H238" i="64"/>
  <c r="G1431" i="50"/>
  <c r="G149" i="41"/>
  <c r="G282" i="50" s="1"/>
  <c r="G122" i="41"/>
  <c r="G267" i="50" s="1"/>
  <c r="G193" i="41"/>
  <c r="G315" i="50" s="1"/>
  <c r="H1000" i="64"/>
  <c r="G1925" i="50"/>
  <c r="G157" i="41"/>
  <c r="G290" i="50" s="1"/>
  <c r="G298" i="41"/>
  <c r="G387" i="50" s="1"/>
  <c r="G1604" i="50"/>
  <c r="H1114" i="64"/>
  <c r="G347" i="50"/>
  <c r="H391" i="64"/>
  <c r="G2413" i="50"/>
  <c r="G1442" i="50"/>
  <c r="G2241" i="50"/>
  <c r="G16" i="41"/>
  <c r="G814" i="37"/>
  <c r="G1108" i="50"/>
  <c r="G2083" i="37"/>
  <c r="G613" i="50"/>
  <c r="H929" i="64"/>
  <c r="H928" i="64"/>
  <c r="H378" i="64"/>
  <c r="G1091" i="50"/>
  <c r="G2630" i="37"/>
  <c r="G119" i="49"/>
  <c r="G162" i="50" s="1"/>
  <c r="H288" i="64"/>
  <c r="G620" i="50"/>
  <c r="G156" i="37"/>
  <c r="G62" i="49"/>
  <c r="G137" i="50" s="1"/>
  <c r="G190" i="42"/>
  <c r="G485" i="42"/>
  <c r="G2165" i="50"/>
  <c r="G315" i="41"/>
  <c r="G403" i="50" s="1"/>
  <c r="H385" i="64"/>
  <c r="H399" i="64"/>
  <c r="G323" i="41"/>
  <c r="G410" i="50" s="1"/>
  <c r="H871" i="64"/>
  <c r="G165" i="42"/>
  <c r="H367" i="64"/>
  <c r="H224" i="64"/>
  <c r="G339" i="41"/>
  <c r="G424" i="50" s="1"/>
  <c r="G1419" i="37"/>
  <c r="H234" i="64"/>
  <c r="G492" i="42"/>
  <c r="H917" i="64"/>
  <c r="H751" i="64"/>
  <c r="G420" i="41"/>
  <c r="G2626" i="37"/>
  <c r="G2773" i="37"/>
  <c r="G217" i="50"/>
  <c r="G302" i="41"/>
  <c r="G391" i="50" s="1"/>
  <c r="G777" i="50"/>
  <c r="G1968" i="37"/>
  <c r="H617" i="64"/>
  <c r="G3055" i="37"/>
  <c r="G357" i="37"/>
  <c r="H1097" i="64"/>
  <c r="H642" i="64"/>
  <c r="G314" i="41"/>
  <c r="G402" i="50" s="1"/>
  <c r="G1790" i="37"/>
  <c r="H700" i="64"/>
  <c r="G810" i="37"/>
  <c r="G1756" i="37"/>
  <c r="G234" i="50"/>
  <c r="H511" i="64"/>
  <c r="G941" i="50"/>
  <c r="G2394" i="37"/>
  <c r="G2420" i="50"/>
  <c r="H265" i="64"/>
  <c r="H232" i="64"/>
  <c r="G1436" i="50"/>
  <c r="G516" i="37"/>
  <c r="G1593" i="37"/>
  <c r="H351" i="64"/>
  <c r="H1181" i="64"/>
  <c r="H1101" i="64"/>
  <c r="G265" i="41"/>
  <c r="G359" i="50" s="1"/>
  <c r="H685" i="64"/>
  <c r="G210" i="37"/>
  <c r="G1440" i="50"/>
  <c r="G1427" i="50"/>
  <c r="H166" i="64"/>
  <c r="G206" i="37"/>
  <c r="G231" i="50"/>
  <c r="G189" i="41"/>
  <c r="G313" i="50" s="1"/>
  <c r="G2364" i="50"/>
  <c r="H1143" i="64"/>
  <c r="G279" i="41"/>
  <c r="G371" i="50" s="1"/>
  <c r="G1716" i="37"/>
  <c r="H1110" i="64"/>
  <c r="H505" i="64"/>
  <c r="G2176" i="50"/>
  <c r="G267" i="41"/>
  <c r="G361" i="50" s="1"/>
  <c r="H333" i="64"/>
  <c r="H310" i="64"/>
  <c r="G815" i="37"/>
  <c r="H936" i="64"/>
  <c r="G2270" i="37"/>
  <c r="G348" i="50"/>
  <c r="H1251" i="64"/>
  <c r="G2341" i="37"/>
  <c r="G387" i="42"/>
  <c r="G208" i="41"/>
  <c r="G327" i="50" s="1"/>
  <c r="H760" i="64"/>
  <c r="G1565" i="37"/>
  <c r="H1137" i="64"/>
  <c r="G1666" i="37"/>
  <c r="G2167" i="50"/>
  <c r="G310" i="41"/>
  <c r="G398" i="50" s="1"/>
  <c r="H1108" i="64"/>
  <c r="G2989" i="37"/>
  <c r="G237" i="50"/>
  <c r="G102" i="41"/>
  <c r="G253" i="50" s="1"/>
  <c r="G222" i="41"/>
  <c r="G339" i="50" s="1"/>
  <c r="G1243" i="64"/>
  <c r="G961" i="37"/>
  <c r="G426" i="41"/>
  <c r="H297" i="64"/>
  <c r="G1720" i="37"/>
  <c r="G2874" i="37"/>
  <c r="G2232" i="50"/>
  <c r="G232" i="50"/>
  <c r="H415" i="64"/>
  <c r="G2924" i="37"/>
  <c r="G599" i="50"/>
  <c r="G607" i="50"/>
  <c r="G2696" i="37"/>
  <c r="H368" i="64"/>
  <c r="H244" i="64"/>
  <c r="G1746" i="37"/>
  <c r="G214" i="37"/>
  <c r="G2228" i="50"/>
  <c r="G308" i="41"/>
  <c r="G396" i="50" s="1"/>
  <c r="H425" i="64"/>
  <c r="G1276" i="50"/>
  <c r="G1133" i="64"/>
  <c r="H996" i="64"/>
  <c r="G383" i="42"/>
  <c r="P725" i="50"/>
  <c r="P1873" i="50"/>
  <c r="P889" i="50"/>
  <c r="P1381" i="50"/>
  <c r="P2037" i="50"/>
  <c r="P1545" i="50"/>
  <c r="P561" i="50"/>
  <c r="Q388" i="47"/>
  <c r="P1053" i="50"/>
  <c r="P1709" i="50"/>
  <c r="P1217" i="50"/>
  <c r="G45" i="41"/>
  <c r="K385" i="43"/>
  <c r="S38" i="50" s="1"/>
  <c r="E144" i="62"/>
  <c r="S144" i="62" s="1"/>
  <c r="T61" i="62"/>
  <c r="Y267" i="43"/>
  <c r="Y170" i="43"/>
  <c r="Y260" i="43"/>
  <c r="Y371" i="43"/>
  <c r="I86" i="62"/>
  <c r="Y359" i="43"/>
  <c r="Y63" i="43"/>
  <c r="E117" i="62"/>
  <c r="H117" i="62" s="1"/>
  <c r="Y134" i="43"/>
  <c r="Y221" i="43"/>
  <c r="Y372" i="43"/>
  <c r="Y356" i="43"/>
  <c r="Y87" i="43"/>
  <c r="K81" i="62"/>
  <c r="Y268" i="43"/>
  <c r="Y370" i="43"/>
  <c r="Y373" i="43"/>
  <c r="E29" i="62"/>
  <c r="N76" i="62"/>
  <c r="Y169" i="43"/>
  <c r="Y131" i="43"/>
  <c r="I75" i="62"/>
  <c r="Y103" i="43"/>
  <c r="Y137" i="43"/>
  <c r="I78" i="62"/>
  <c r="E34" i="62"/>
  <c r="Y64" i="43"/>
  <c r="I83" i="62"/>
  <c r="Y117" i="43"/>
  <c r="Y116" i="43"/>
  <c r="I74" i="62"/>
  <c r="Y111" i="43"/>
  <c r="Y52" i="43"/>
  <c r="I85" i="62"/>
  <c r="K74" i="62"/>
  <c r="N78" i="62"/>
  <c r="E115" i="62"/>
  <c r="H115" i="62" s="1"/>
  <c r="Y216" i="43"/>
  <c r="J74" i="62"/>
  <c r="I79" i="62"/>
  <c r="Y375" i="43"/>
  <c r="Y56" i="43"/>
  <c r="M78" i="62"/>
  <c r="Y223" i="43"/>
  <c r="Y215" i="43"/>
  <c r="G784" i="50"/>
  <c r="A283" i="34"/>
  <c r="A281" i="34"/>
  <c r="A284" i="34"/>
  <c r="A285" i="34"/>
  <c r="A280" i="34"/>
  <c r="E2428" i="50"/>
  <c r="P2435" i="50"/>
  <c r="F231" i="43"/>
  <c r="Q231" i="43" s="1"/>
  <c r="R26" i="50" s="1"/>
  <c r="A279" i="34"/>
  <c r="U27" i="62"/>
  <c r="E132" i="62" s="1"/>
  <c r="E255" i="41"/>
  <c r="G419" i="41"/>
  <c r="P2180" i="50"/>
  <c r="P2165" i="50"/>
  <c r="P2168" i="50"/>
  <c r="P2147" i="50"/>
  <c r="P2174" i="50"/>
  <c r="P2167" i="50"/>
  <c r="P2176" i="50"/>
  <c r="P2170" i="50"/>
  <c r="P2177" i="50"/>
  <c r="P2173" i="50"/>
  <c r="P2143" i="50"/>
  <c r="E104" i="50"/>
  <c r="S104" i="50" s="1"/>
  <c r="E324" i="41"/>
  <c r="E121" i="62"/>
  <c r="E59" i="62"/>
  <c r="U59" i="62" s="1"/>
  <c r="E402" i="41"/>
  <c r="A282" i="34"/>
  <c r="G39" i="41"/>
  <c r="G46" i="41"/>
  <c r="G35" i="41"/>
  <c r="G242" i="41"/>
  <c r="G38" i="41"/>
  <c r="G244" i="41"/>
  <c r="G241" i="41"/>
  <c r="G47" i="41"/>
  <c r="G48" i="41"/>
  <c r="Q398" i="47"/>
  <c r="Q387" i="47"/>
  <c r="J1093" i="64"/>
  <c r="N671" i="64"/>
  <c r="N1173" i="64"/>
  <c r="N911" i="64"/>
  <c r="N1213" i="64"/>
  <c r="L1273" i="64"/>
  <c r="J971" i="64"/>
  <c r="L1133" i="64"/>
  <c r="J1173" i="64"/>
  <c r="J1133" i="64"/>
  <c r="N1133" i="64"/>
  <c r="N1273" i="64"/>
  <c r="J1213" i="64"/>
  <c r="A277" i="34"/>
  <c r="A278" i="34"/>
  <c r="D2731" i="37"/>
  <c r="D2544" i="37"/>
  <c r="D641" i="50"/>
  <c r="D2429" i="37"/>
  <c r="D1638" i="37"/>
  <c r="D1825" i="37"/>
  <c r="D1034" i="37"/>
  <c r="D1221" i="37"/>
  <c r="D732" i="37"/>
  <c r="D1523" i="37"/>
  <c r="D1336" i="37"/>
  <c r="S107" i="50"/>
  <c r="E127" i="50"/>
  <c r="D1940" i="37"/>
  <c r="D477" i="50"/>
  <c r="D2846" i="37"/>
  <c r="D315" i="37"/>
  <c r="Q246" i="41"/>
  <c r="D617" i="37"/>
  <c r="D13" i="37"/>
  <c r="D919" i="37"/>
  <c r="K387" i="43"/>
  <c r="S40" i="50" s="1"/>
  <c r="H211" i="64"/>
  <c r="G96" i="50"/>
  <c r="H110" i="64"/>
  <c r="H675" i="64"/>
  <c r="H120" i="64"/>
  <c r="H78" i="64"/>
  <c r="G104" i="50"/>
  <c r="H117" i="64"/>
  <c r="H503" i="64"/>
  <c r="G2289" i="50"/>
  <c r="G2564" i="37"/>
  <c r="H735" i="64"/>
  <c r="G148" i="37"/>
  <c r="H1247" i="64"/>
  <c r="G472" i="42"/>
  <c r="H975" i="64"/>
  <c r="G450" i="37"/>
  <c r="H803" i="64"/>
  <c r="G1356" i="37"/>
  <c r="H1035" i="64"/>
  <c r="G499" i="37"/>
  <c r="H106" i="64"/>
  <c r="G2311" i="37"/>
  <c r="G108" i="50"/>
  <c r="C42" i="9"/>
  <c r="M4" i="47"/>
  <c r="D883" i="42"/>
  <c r="D2118" i="50"/>
  <c r="D135" i="42"/>
  <c r="D209" i="42"/>
  <c r="D676" i="42"/>
  <c r="D797" i="42"/>
  <c r="D455" i="42"/>
  <c r="B68" i="34"/>
  <c r="B30" i="34"/>
  <c r="B36" i="34"/>
  <c r="B62" i="34"/>
  <c r="B28" i="34"/>
  <c r="A267" i="34"/>
  <c r="A270" i="34"/>
  <c r="K389" i="43"/>
  <c r="S42" i="50" s="1"/>
  <c r="G637" i="50"/>
  <c r="F293" i="34"/>
  <c r="G1617" i="50"/>
  <c r="G910" i="37"/>
  <c r="G1782" i="50"/>
  <c r="F288" i="34"/>
  <c r="G958" i="50"/>
  <c r="G906" i="37"/>
  <c r="G3023" i="37"/>
  <c r="G1781" i="50"/>
  <c r="F250" i="34"/>
  <c r="F259" i="34"/>
  <c r="F299" i="34"/>
  <c r="G798" i="50"/>
  <c r="G1129" i="50"/>
  <c r="G604" i="37"/>
  <c r="G1126" i="50"/>
  <c r="F270" i="34"/>
  <c r="G1949" i="50"/>
  <c r="G1513" i="37"/>
  <c r="G1803" i="37"/>
  <c r="G1946" i="50"/>
  <c r="F294" i="34"/>
  <c r="F260" i="34"/>
  <c r="F269" i="34"/>
  <c r="G1456" i="50"/>
  <c r="G1211" i="37"/>
  <c r="G1457" i="50"/>
  <c r="F256" i="34"/>
  <c r="G1784" i="50"/>
  <c r="G905" i="37"/>
  <c r="G2420" i="37"/>
  <c r="G1621" i="50"/>
  <c r="G1292" i="50"/>
  <c r="G636" i="50"/>
  <c r="G1942" i="50"/>
  <c r="G607" i="37"/>
  <c r="G1286" i="50"/>
  <c r="G797" i="50"/>
  <c r="G1122" i="50"/>
  <c r="G1620" i="50"/>
  <c r="G897" i="37"/>
  <c r="G3019" i="37"/>
  <c r="G1128" i="50"/>
  <c r="G1293" i="50"/>
  <c r="F262" i="34"/>
  <c r="G964" i="50"/>
  <c r="F265" i="34"/>
  <c r="G2718" i="37"/>
  <c r="F264" i="34"/>
  <c r="G1618" i="50"/>
  <c r="G293" i="37"/>
  <c r="G603" i="37"/>
  <c r="G3024" i="37"/>
  <c r="G1125" i="50"/>
  <c r="G105" i="50"/>
  <c r="G1753" i="50"/>
  <c r="G103" i="50"/>
  <c r="G95" i="50"/>
  <c r="G2009" i="37"/>
  <c r="E326" i="41"/>
  <c r="K384" i="43"/>
  <c r="S37" i="50" s="1"/>
  <c r="K392" i="43"/>
  <c r="S45" i="50" s="1"/>
  <c r="K383" i="43"/>
  <c r="S36" i="50" s="1"/>
  <c r="H658" i="50"/>
  <c r="H707" i="50"/>
  <c r="H740" i="50"/>
  <c r="H818" i="50"/>
  <c r="H832" i="50"/>
  <c r="H845" i="50"/>
  <c r="H879" i="50"/>
  <c r="H1005" i="50"/>
  <c r="H1029" i="50"/>
  <c r="H1166" i="50"/>
  <c r="H1179" i="50"/>
  <c r="H1189" i="50"/>
  <c r="H1201" i="50"/>
  <c r="H1213" i="50"/>
  <c r="H1314" i="50"/>
  <c r="H1363" i="50"/>
  <c r="H1396" i="50"/>
  <c r="H1474" i="50"/>
  <c r="H1488" i="50"/>
  <c r="H1501" i="50"/>
  <c r="H1535" i="50"/>
  <c r="H1661" i="50"/>
  <c r="H1685" i="50"/>
  <c r="H1822" i="50"/>
  <c r="H1835" i="50"/>
  <c r="H1845" i="50"/>
  <c r="H1857" i="50"/>
  <c r="H1869" i="50"/>
  <c r="H1970" i="50"/>
  <c r="H2019" i="50"/>
  <c r="H2052" i="50"/>
  <c r="M383" i="43"/>
  <c r="T36" i="50" s="1"/>
  <c r="K388" i="43"/>
  <c r="S41" i="50" s="1"/>
  <c r="K391" i="43"/>
  <c r="S44" i="50" s="1"/>
  <c r="H673" i="50"/>
  <c r="H708" i="50"/>
  <c r="H730" i="50"/>
  <c r="H752" i="50"/>
  <c r="H820" i="50"/>
  <c r="H833" i="50"/>
  <c r="H857" i="50"/>
  <c r="H1007" i="50"/>
  <c r="H1040" i="50"/>
  <c r="H1077" i="50"/>
  <c r="H1155" i="50"/>
  <c r="H1190" i="50"/>
  <c r="H1214" i="50"/>
  <c r="H1225" i="50"/>
  <c r="H1236" i="50"/>
  <c r="H1248" i="50"/>
  <c r="H1329" i="50"/>
  <c r="H1364" i="50"/>
  <c r="H1386" i="50"/>
  <c r="H1408" i="50"/>
  <c r="H1476" i="50"/>
  <c r="H1489" i="50"/>
  <c r="H1513" i="50"/>
  <c r="H1663" i="50"/>
  <c r="H1696" i="50"/>
  <c r="H1733" i="50"/>
  <c r="H1811" i="50"/>
  <c r="H1846" i="50"/>
  <c r="H1870" i="50"/>
  <c r="H1881" i="50"/>
  <c r="H1892" i="50"/>
  <c r="H1904" i="50"/>
  <c r="H1985" i="50"/>
  <c r="H2020" i="50"/>
  <c r="H2042" i="50"/>
  <c r="H2064" i="50"/>
  <c r="M388" i="43"/>
  <c r="T41" i="50" s="1"/>
  <c r="M391" i="43"/>
  <c r="T44" i="50" s="1"/>
  <c r="F646" i="50"/>
  <c r="H661" i="50"/>
  <c r="H696" i="50"/>
  <c r="H719" i="50"/>
  <c r="H743" i="50"/>
  <c r="H753" i="50"/>
  <c r="H821" i="50"/>
  <c r="H834" i="50"/>
  <c r="H869" i="50"/>
  <c r="H880" i="50"/>
  <c r="H893" i="50"/>
  <c r="H915" i="50"/>
  <c r="H1008" i="50"/>
  <c r="H1019" i="50"/>
  <c r="H1030" i="50"/>
  <c r="H1180" i="50"/>
  <c r="H1215" i="50"/>
  <c r="H1227" i="50"/>
  <c r="F1302" i="50"/>
  <c r="H1317" i="50"/>
  <c r="H1352" i="50"/>
  <c r="H1375" i="50"/>
  <c r="H1399" i="50"/>
  <c r="H1409" i="50"/>
  <c r="H1477" i="50"/>
  <c r="H1490" i="50"/>
  <c r="H1525" i="50"/>
  <c r="H1536" i="50"/>
  <c r="H1549" i="50"/>
  <c r="H1571" i="50"/>
  <c r="H1664" i="50"/>
  <c r="H1675" i="50"/>
  <c r="H1686" i="50"/>
  <c r="H1836" i="50"/>
  <c r="H1871" i="50"/>
  <c r="H1883" i="50"/>
  <c r="F1958" i="50"/>
  <c r="H1973" i="50"/>
  <c r="H2008" i="50"/>
  <c r="H2031" i="50"/>
  <c r="H2055" i="50"/>
  <c r="H2065" i="50"/>
  <c r="E122" i="62"/>
  <c r="K386" i="43"/>
  <c r="S39" i="50" s="1"/>
  <c r="H674" i="50"/>
  <c r="H687" i="50"/>
  <c r="H697" i="50"/>
  <c r="H709" i="50"/>
  <c r="H721" i="50"/>
  <c r="H822" i="50"/>
  <c r="H871" i="50"/>
  <c r="H904" i="50"/>
  <c r="H982" i="50"/>
  <c r="H996" i="50"/>
  <c r="H1009" i="50"/>
  <c r="H1043" i="50"/>
  <c r="H1169" i="50"/>
  <c r="H1193" i="50"/>
  <c r="H1330" i="50"/>
  <c r="H1343" i="50"/>
  <c r="H1353" i="50"/>
  <c r="H1365" i="50"/>
  <c r="H1377" i="50"/>
  <c r="H1478" i="50"/>
  <c r="H1527" i="50"/>
  <c r="H1560" i="50"/>
  <c r="H1638" i="50"/>
  <c r="H1652" i="50"/>
  <c r="H1665" i="50"/>
  <c r="H1699" i="50"/>
  <c r="H1825" i="50"/>
  <c r="H1849" i="50"/>
  <c r="H1986" i="50"/>
  <c r="H1999" i="50"/>
  <c r="H2009" i="50"/>
  <c r="H2021" i="50"/>
  <c r="H2033" i="50"/>
  <c r="E224" i="49"/>
  <c r="H663" i="50"/>
  <c r="H698" i="50"/>
  <c r="H722" i="50"/>
  <c r="H733" i="50"/>
  <c r="H744" i="50"/>
  <c r="H756" i="50"/>
  <c r="H837" i="50"/>
  <c r="H872" i="50"/>
  <c r="H894" i="50"/>
  <c r="H916" i="50"/>
  <c r="H984" i="50"/>
  <c r="H997" i="50"/>
  <c r="H1021" i="50"/>
  <c r="H1171" i="50"/>
  <c r="H1204" i="50"/>
  <c r="H1241" i="50"/>
  <c r="H1319" i="50"/>
  <c r="H1354" i="50"/>
  <c r="H1378" i="50"/>
  <c r="H1389" i="50"/>
  <c r="H1400" i="50"/>
  <c r="H1412" i="50"/>
  <c r="H1493" i="50"/>
  <c r="H1528" i="50"/>
  <c r="H1550" i="50"/>
  <c r="H1572" i="50"/>
  <c r="H1640" i="50"/>
  <c r="H1653" i="50"/>
  <c r="H1677" i="50"/>
  <c r="H1827" i="50"/>
  <c r="H1860" i="50"/>
  <c r="H1897" i="50"/>
  <c r="H1975" i="50"/>
  <c r="H2010" i="50"/>
  <c r="H2034" i="50"/>
  <c r="H2056" i="50"/>
  <c r="L269" i="47"/>
  <c r="L207" i="47"/>
  <c r="L397" i="47"/>
  <c r="X397" i="47" s="1"/>
  <c r="L162" i="47"/>
  <c r="L225" i="47"/>
  <c r="L295" i="47"/>
  <c r="L354" i="47"/>
  <c r="AG354" i="47" s="1"/>
  <c r="M277" i="49"/>
  <c r="K3041" i="37"/>
  <c r="L31" i="47"/>
  <c r="AG31" i="47" s="1"/>
  <c r="L180" i="47"/>
  <c r="AG180" i="47" s="1"/>
  <c r="L219" i="47"/>
  <c r="X219" i="47" s="1"/>
  <c r="X228" i="47" s="1"/>
  <c r="L188" i="47"/>
  <c r="L128" i="47"/>
  <c r="L322" i="47"/>
  <c r="AG322" i="47" s="1"/>
  <c r="L254" i="47"/>
  <c r="AG254" i="47" s="1"/>
  <c r="K2595" i="50"/>
  <c r="L216" i="47"/>
  <c r="L112" i="47"/>
  <c r="AG112" i="47" s="1"/>
  <c r="L196" i="47"/>
  <c r="L403" i="47"/>
  <c r="X406" i="47" s="1"/>
  <c r="L121" i="47"/>
  <c r="L94" i="47"/>
  <c r="K392" i="41"/>
  <c r="P108" i="50"/>
  <c r="E128" i="50"/>
  <c r="S108" i="50"/>
  <c r="N254" i="50"/>
  <c r="N122" i="41"/>
  <c r="N128" i="41" s="1"/>
  <c r="N270" i="50" s="1"/>
  <c r="K430" i="41"/>
  <c r="K308" i="50"/>
  <c r="Y68" i="49"/>
  <c r="Y73" i="49" s="1"/>
  <c r="Y74" i="49" s="1"/>
  <c r="Y92" i="49" s="1"/>
  <c r="Y93" i="49" s="1"/>
  <c r="Y115" i="49" s="1"/>
  <c r="Y119" i="49" s="1"/>
  <c r="Y67" i="49"/>
  <c r="L136" i="49"/>
  <c r="L171" i="50" s="1"/>
  <c r="L168" i="50"/>
  <c r="L137" i="49"/>
  <c r="L172" i="50" s="1"/>
  <c r="K277" i="41"/>
  <c r="K369" i="50" s="1"/>
  <c r="N277" i="41"/>
  <c r="L277" i="41"/>
  <c r="I277" i="41"/>
  <c r="I369" i="50" s="1"/>
  <c r="J277" i="41"/>
  <c r="H277" i="41"/>
  <c r="H369" i="50" s="1"/>
  <c r="M277" i="41"/>
  <c r="M369" i="50" s="1"/>
  <c r="H278" i="41"/>
  <c r="H370" i="50" s="1"/>
  <c r="L278" i="41"/>
  <c r="L370" i="50" s="1"/>
  <c r="N278" i="41"/>
  <c r="N370" i="50" s="1"/>
  <c r="J278" i="41"/>
  <c r="J370" i="50" s="1"/>
  <c r="I278" i="41"/>
  <c r="I370" i="50" s="1"/>
  <c r="M278" i="41"/>
  <c r="M370" i="50" s="1"/>
  <c r="K278" i="41"/>
  <c r="H192" i="50"/>
  <c r="H219" i="49"/>
  <c r="H193" i="50" s="1"/>
  <c r="AK206" i="49"/>
  <c r="L192" i="50"/>
  <c r="L219" i="49"/>
  <c r="L193" i="50" s="1"/>
  <c r="I267" i="49"/>
  <c r="I205" i="50" s="1"/>
  <c r="I204" i="50"/>
  <c r="T757" i="42"/>
  <c r="Z757" i="42"/>
  <c r="V757" i="42"/>
  <c r="W757" i="42"/>
  <c r="U757" i="42"/>
  <c r="E757" i="42"/>
  <c r="X757" i="42"/>
  <c r="Y757" i="42"/>
  <c r="X889" i="42"/>
  <c r="AG889" i="42" s="1"/>
  <c r="H2348" i="50"/>
  <c r="H2333" i="50"/>
  <c r="H2326" i="50"/>
  <c r="H2330" i="50" s="1"/>
  <c r="N2314" i="50"/>
  <c r="N2371" i="50"/>
  <c r="H2383" i="50"/>
  <c r="H2387" i="50" s="1"/>
  <c r="H2390" i="50"/>
  <c r="H2405" i="50"/>
  <c r="T142" i="62"/>
  <c r="S142" i="62"/>
  <c r="Y27" i="62"/>
  <c r="S143" i="62"/>
  <c r="T143" i="62"/>
  <c r="F26" i="50"/>
  <c r="J47" i="41"/>
  <c r="J215" i="50" s="1"/>
  <c r="J48" i="41"/>
  <c r="J216" i="50" s="1"/>
  <c r="J46" i="41"/>
  <c r="J212" i="50" s="1"/>
  <c r="D969" i="50"/>
  <c r="N146" i="50"/>
  <c r="N100" i="49"/>
  <c r="F734" i="42"/>
  <c r="F735" i="42" s="1"/>
  <c r="F736" i="42" s="1"/>
  <c r="Q969" i="50"/>
  <c r="M45" i="41"/>
  <c r="M214" i="50" s="1"/>
  <c r="K47" i="41"/>
  <c r="K215" i="50" s="1"/>
  <c r="K46" i="41"/>
  <c r="K212" i="50" s="1"/>
  <c r="M48" i="41"/>
  <c r="M216" i="50" s="1"/>
  <c r="U60" i="62"/>
  <c r="L60" i="62"/>
  <c r="K415" i="43"/>
  <c r="K420" i="47"/>
  <c r="I212" i="50"/>
  <c r="L215" i="50"/>
  <c r="K216" i="50"/>
  <c r="X27" i="49"/>
  <c r="M68" i="50"/>
  <c r="Q2252" i="50"/>
  <c r="I2252" i="50"/>
  <c r="P2305" i="50" s="1"/>
  <c r="D2252" i="50"/>
  <c r="I2185" i="50"/>
  <c r="L2188" i="50"/>
  <c r="F2191" i="50" s="1"/>
  <c r="D2185" i="50"/>
  <c r="Q2185" i="50"/>
  <c r="C617" i="37"/>
  <c r="Q315" i="37"/>
  <c r="X754" i="42"/>
  <c r="V754" i="42"/>
  <c r="E754" i="42"/>
  <c r="Y754" i="42"/>
  <c r="T754" i="42"/>
  <c r="N172" i="50"/>
  <c r="K49" i="41"/>
  <c r="K213" i="50" s="1"/>
  <c r="Q48" i="41"/>
  <c r="M143" i="50"/>
  <c r="M83" i="49"/>
  <c r="I254" i="50"/>
  <c r="I122" i="41"/>
  <c r="H84" i="49"/>
  <c r="H147" i="50" s="1"/>
  <c r="H83" i="49"/>
  <c r="T287" i="42"/>
  <c r="W287" i="42"/>
  <c r="Y287" i="42"/>
  <c r="V291" i="42"/>
  <c r="W291" i="42"/>
  <c r="Y291" i="42"/>
  <c r="E610" i="42"/>
  <c r="U610" i="42"/>
  <c r="V610" i="42"/>
  <c r="X610" i="42"/>
  <c r="Z610" i="42"/>
  <c r="W25" i="49"/>
  <c r="L64" i="50"/>
  <c r="H1276" i="37"/>
  <c r="H1282" i="37"/>
  <c r="H2786" i="37"/>
  <c r="H2792" i="37"/>
  <c r="H2980" i="37"/>
  <c r="H2974" i="37"/>
  <c r="S59" i="62"/>
  <c r="L59" i="62"/>
  <c r="H213" i="50"/>
  <c r="Q38" i="41"/>
  <c r="H216" i="50"/>
  <c r="J213" i="50"/>
  <c r="M213" i="50"/>
  <c r="Q47" i="41"/>
  <c r="H212" i="50"/>
  <c r="Q37" i="41"/>
  <c r="K214" i="50"/>
  <c r="I216" i="50"/>
  <c r="H214" i="50"/>
  <c r="I214" i="50"/>
  <c r="J217" i="50"/>
  <c r="L63" i="62"/>
  <c r="S63" i="62"/>
  <c r="K331" i="50"/>
  <c r="K222" i="41"/>
  <c r="K339" i="50" s="1"/>
  <c r="L417" i="41"/>
  <c r="L420" i="41" s="1"/>
  <c r="L275" i="50"/>
  <c r="E90" i="42"/>
  <c r="V90" i="42"/>
  <c r="W90" i="42"/>
  <c r="X90" i="42"/>
  <c r="K2802" i="37"/>
  <c r="K1594" i="37"/>
  <c r="K386" i="37"/>
  <c r="K2198" i="37"/>
  <c r="K688" i="37"/>
  <c r="K84" i="37"/>
  <c r="K261" i="50"/>
  <c r="K2500" i="37"/>
  <c r="L430" i="41"/>
  <c r="L308" i="50"/>
  <c r="M254" i="50"/>
  <c r="M122" i="41"/>
  <c r="M423" i="41"/>
  <c r="M290" i="50"/>
  <c r="L138" i="50"/>
  <c r="L84" i="49"/>
  <c r="I430" i="41"/>
  <c r="I308" i="50"/>
  <c r="J415" i="43"/>
  <c r="J3041" i="37"/>
  <c r="J949" i="42"/>
  <c r="J277" i="49"/>
  <c r="I64" i="50"/>
  <c r="T25" i="49"/>
  <c r="Q226" i="42"/>
  <c r="L40" i="41"/>
  <c r="L50" i="41" s="1"/>
  <c r="L217" i="50" s="1"/>
  <c r="F67" i="42"/>
  <c r="F68" i="42" s="1"/>
  <c r="F69" i="42" s="1"/>
  <c r="F70" i="42" s="1"/>
  <c r="F71" i="42" s="1"/>
  <c r="F72" i="42" s="1"/>
  <c r="F73" i="42" s="1"/>
  <c r="F74" i="42" s="1"/>
  <c r="S400" i="42"/>
  <c r="S392" i="42"/>
  <c r="S384" i="42"/>
  <c r="Q306" i="42"/>
  <c r="AG513" i="42"/>
  <c r="L161" i="42"/>
  <c r="AG189" i="42"/>
  <c r="L897" i="42"/>
  <c r="X897" i="42" s="1"/>
  <c r="AG201" i="42"/>
  <c r="L2477" i="50"/>
  <c r="L2498" i="50"/>
  <c r="T2341" i="50"/>
  <c r="L585" i="50"/>
  <c r="T482" i="50"/>
  <c r="T1794" i="50"/>
  <c r="L482" i="50"/>
  <c r="AG197" i="42"/>
  <c r="L284" i="42"/>
  <c r="L171" i="42"/>
  <c r="L348" i="42"/>
  <c r="X348" i="42" s="1"/>
  <c r="L505" i="42"/>
  <c r="X505" i="42" s="1"/>
  <c r="L197" i="42"/>
  <c r="X197" i="42" s="1"/>
  <c r="L656" i="42"/>
  <c r="X656" i="42" s="1"/>
  <c r="L224" i="42"/>
  <c r="X224" i="42" s="1"/>
  <c r="L471" i="42"/>
  <c r="X471" i="42" s="1"/>
  <c r="AG517" i="42"/>
  <c r="L413" i="42"/>
  <c r="X413" i="42" s="1"/>
  <c r="L809" i="42"/>
  <c r="X810" i="42" s="1"/>
  <c r="L107" i="42"/>
  <c r="X107" i="42" s="1"/>
  <c r="L765" i="42"/>
  <c r="L631" i="42"/>
  <c r="AG161" i="42"/>
  <c r="L829" i="42"/>
  <c r="X829" i="42" s="1"/>
  <c r="AG829" i="42" s="1"/>
  <c r="L778" i="42"/>
  <c r="L398" i="42"/>
  <c r="X398" i="42" s="1"/>
  <c r="L201" i="42"/>
  <c r="X201" i="42" s="1"/>
  <c r="L19" i="42"/>
  <c r="X19" i="42" s="1"/>
  <c r="L390" i="42"/>
  <c r="X390" i="42" s="1"/>
  <c r="L509" i="42"/>
  <c r="X509" i="42" s="1"/>
  <c r="L662" i="42"/>
  <c r="X663" i="42" s="1"/>
  <c r="L116" i="42"/>
  <c r="AG193" i="42"/>
  <c r="L521" i="42"/>
  <c r="X521" i="42" s="1"/>
  <c r="L300" i="42"/>
  <c r="AG358" i="42"/>
  <c r="AG505" i="42"/>
  <c r="L421" i="42"/>
  <c r="X421" i="42" s="1"/>
  <c r="L536" i="42"/>
  <c r="X536" i="42" s="1"/>
  <c r="L602" i="42"/>
  <c r="X602" i="42" s="1"/>
  <c r="AG348" i="42"/>
  <c r="L579" i="42"/>
  <c r="AG579" i="42" s="1"/>
  <c r="AG171" i="42"/>
  <c r="L544" i="42"/>
  <c r="X544" i="42" s="1"/>
  <c r="L749" i="42"/>
  <c r="AG749" i="42" s="1"/>
  <c r="L929" i="42"/>
  <c r="L386" i="42"/>
  <c r="X386" i="42" s="1"/>
  <c r="L261" i="42"/>
  <c r="AG261" i="42" s="1"/>
  <c r="L618" i="42"/>
  <c r="L726" i="42"/>
  <c r="AG726" i="42" s="1"/>
  <c r="L491" i="42"/>
  <c r="AG151" i="42"/>
  <c r="L481" i="42"/>
  <c r="L103" i="42"/>
  <c r="L517" i="42"/>
  <c r="X517" i="42" s="1"/>
  <c r="AG662" i="42"/>
  <c r="L151" i="42"/>
  <c r="X151" i="42" s="1"/>
  <c r="L304" i="42"/>
  <c r="X304" i="42" s="1"/>
  <c r="L87" i="42"/>
  <c r="L64" i="42"/>
  <c r="AG64" i="42" s="1"/>
  <c r="AG398" i="42"/>
  <c r="L368" i="42"/>
  <c r="AG491" i="42"/>
  <c r="L691" i="42"/>
  <c r="X691" i="42" s="1"/>
  <c r="AG656" i="42"/>
  <c r="AG471" i="42"/>
  <c r="AG386" i="42"/>
  <c r="L837" i="42"/>
  <c r="X837" i="42" s="1"/>
  <c r="L394" i="42"/>
  <c r="X394" i="42" s="1"/>
  <c r="L112" i="42"/>
  <c r="X128" i="42" s="1"/>
  <c r="L216" i="42"/>
  <c r="X216" i="42" s="1"/>
  <c r="L382" i="42"/>
  <c r="X382" i="42" s="1"/>
  <c r="AG382" i="42"/>
  <c r="L358" i="42"/>
  <c r="AG368" i="42"/>
  <c r="L313" i="42"/>
  <c r="L843" i="42"/>
  <c r="X846" i="42" s="1"/>
  <c r="L193" i="42"/>
  <c r="X193" i="42" s="1"/>
  <c r="AG809" i="42"/>
  <c r="AG481" i="42"/>
  <c r="L769" i="42"/>
  <c r="X769" i="42" s="1"/>
  <c r="L622" i="42"/>
  <c r="X622" i="42" s="1"/>
  <c r="L683" i="42"/>
  <c r="X683" i="42" s="1"/>
  <c r="L774" i="42"/>
  <c r="X790" i="42" s="1"/>
  <c r="L27" i="42"/>
  <c r="X27" i="42" s="1"/>
  <c r="L189" i="42"/>
  <c r="X189" i="42" s="1"/>
  <c r="L803" i="42"/>
  <c r="X803" i="42" s="1"/>
  <c r="N3041" i="37"/>
  <c r="L278" i="49"/>
  <c r="L114" i="49" s="1"/>
  <c r="L3042" i="37"/>
  <c r="L2064" i="37" s="1"/>
  <c r="X2064" i="37" s="1"/>
  <c r="L3041" i="37"/>
  <c r="L392" i="41"/>
  <c r="L2595" i="50"/>
  <c r="E145" i="62"/>
  <c r="S145" i="62" s="1"/>
  <c r="D146" i="62"/>
  <c r="E146" i="62" s="1"/>
  <c r="T146" i="62" s="1"/>
  <c r="Q310" i="34"/>
  <c r="Q305" i="34"/>
  <c r="Q250" i="34"/>
  <c r="T1759" i="37"/>
  <c r="Q252" i="34"/>
  <c r="Q264" i="34"/>
  <c r="Q265" i="34"/>
  <c r="O252" i="34"/>
  <c r="R252" i="34" s="1"/>
  <c r="Q269" i="34"/>
  <c r="J193" i="41"/>
  <c r="J228" i="41" s="1"/>
  <c r="J343" i="50" s="1"/>
  <c r="J313" i="50"/>
  <c r="C1297" i="50"/>
  <c r="D1133" i="50"/>
  <c r="N152" i="50"/>
  <c r="N106" i="49"/>
  <c r="P2399" i="50"/>
  <c r="P2418" i="50"/>
  <c r="R2368" i="50"/>
  <c r="P2397" i="50"/>
  <c r="P2420" i="50"/>
  <c r="P2406" i="50"/>
  <c r="P2398" i="50"/>
  <c r="E2371" i="50"/>
  <c r="P2414" i="50"/>
  <c r="H2371" i="50"/>
  <c r="P2388" i="50"/>
  <c r="P2389" i="50" s="1"/>
  <c r="P2379" i="50"/>
  <c r="P2415" i="50"/>
  <c r="N2255" i="50"/>
  <c r="H2273" i="50"/>
  <c r="H2281" i="50"/>
  <c r="J152" i="50"/>
  <c r="J106" i="49"/>
  <c r="J101" i="49"/>
  <c r="J153" i="50" s="1"/>
  <c r="M35" i="49"/>
  <c r="M70" i="50"/>
  <c r="I46" i="41"/>
  <c r="I40" i="41"/>
  <c r="I50" i="41" s="1"/>
  <c r="I217" i="50" s="1"/>
  <c r="I47" i="41"/>
  <c r="I215" i="50" s="1"/>
  <c r="I49" i="41"/>
  <c r="I213" i="50" s="1"/>
  <c r="I45" i="41"/>
  <c r="Q307" i="34"/>
  <c r="Q294" i="34"/>
  <c r="N101" i="49"/>
  <c r="N153" i="50" s="1"/>
  <c r="R2425" i="50"/>
  <c r="P2444" i="50"/>
  <c r="P2445" i="50" s="1"/>
  <c r="P2431" i="50"/>
  <c r="P2421" i="50"/>
  <c r="P2400" i="50"/>
  <c r="P2390" i="50"/>
  <c r="A2390" i="50" s="1"/>
  <c r="H180" i="50"/>
  <c r="H152" i="49"/>
  <c r="H181" i="50" s="1"/>
  <c r="L2428" i="50"/>
  <c r="F2431" i="50" s="1"/>
  <c r="H2446" i="50" s="1"/>
  <c r="D2425" i="50"/>
  <c r="E88" i="62"/>
  <c r="D89" i="62"/>
  <c r="E89" i="62" s="1"/>
  <c r="E61" i="62"/>
  <c r="D62" i="62"/>
  <c r="E62" i="62" s="1"/>
  <c r="U62" i="62" s="1"/>
  <c r="Q274" i="34"/>
  <c r="Q261" i="34"/>
  <c r="P2449" i="50"/>
  <c r="P2393" i="50"/>
  <c r="P2375" i="50"/>
  <c r="P2387" i="50"/>
  <c r="P2416" i="50"/>
  <c r="X749" i="42"/>
  <c r="Q309" i="34"/>
  <c r="O250" i="34"/>
  <c r="R250" i="34" s="1"/>
  <c r="H2428" i="50"/>
  <c r="J218" i="41"/>
  <c r="P2374" i="50"/>
  <c r="P2396" i="50"/>
  <c r="M180" i="50"/>
  <c r="H35" i="49"/>
  <c r="H70" i="50"/>
  <c r="H2222" i="50"/>
  <c r="N2188" i="50"/>
  <c r="L1278" i="37"/>
  <c r="X1281" i="37" s="1"/>
  <c r="L1174" i="37"/>
  <c r="X1176" i="37" s="1"/>
  <c r="L247" i="49"/>
  <c r="I101" i="49"/>
  <c r="I153" i="50" s="1"/>
  <c r="I106" i="49"/>
  <c r="I152" i="50"/>
  <c r="L146" i="49"/>
  <c r="J420" i="41"/>
  <c r="G63" i="62"/>
  <c r="X63" i="62" s="1"/>
  <c r="E86" i="62"/>
  <c r="Y269" i="43"/>
  <c r="G60" i="62"/>
  <c r="T60" i="62" s="1"/>
  <c r="M2311" i="50" s="1"/>
  <c r="G57" i="62"/>
  <c r="T57" i="62" s="1"/>
  <c r="L419" i="41"/>
  <c r="L426" i="41" s="1"/>
  <c r="L433" i="41" s="1"/>
  <c r="E347" i="50"/>
  <c r="I279" i="41"/>
  <c r="I371" i="50" s="1"/>
  <c r="L2061" i="50"/>
  <c r="L2031" i="50"/>
  <c r="L2003" i="50"/>
  <c r="L1966" i="50"/>
  <c r="L1825" i="50"/>
  <c r="L1733" i="50"/>
  <c r="L1638" i="50"/>
  <c r="L2045" i="50"/>
  <c r="L1962" i="50"/>
  <c r="L1958" i="50"/>
  <c r="L1867" i="50"/>
  <c r="L1839" i="50"/>
  <c r="L1802" i="50"/>
  <c r="L1703" i="50"/>
  <c r="L1661" i="50"/>
  <c r="L1634" i="50"/>
  <c r="L1569" i="50"/>
  <c r="L2017" i="50"/>
  <c r="L1975" i="50"/>
  <c r="L1881" i="50"/>
  <c r="L1798" i="50"/>
  <c r="L1794" i="50"/>
  <c r="L1689" i="50"/>
  <c r="L1647" i="50"/>
  <c r="L1511" i="50"/>
  <c r="L1989" i="50"/>
  <c r="L1897" i="50"/>
  <c r="L1853" i="50"/>
  <c r="L1811" i="50"/>
  <c r="L1717" i="50"/>
  <c r="L1675" i="50"/>
  <c r="L1630" i="50"/>
  <c r="L1497" i="50"/>
  <c r="L1474" i="50"/>
  <c r="L1466" i="50"/>
  <c r="L1375" i="50"/>
  <c r="L1347" i="50"/>
  <c r="L1310" i="50"/>
  <c r="L1302" i="50"/>
  <c r="L1197" i="50"/>
  <c r="L1169" i="50"/>
  <c r="L1138" i="50"/>
  <c r="L1047" i="50"/>
  <c r="L1019" i="50"/>
  <c r="L1539" i="50"/>
  <c r="L1470" i="50"/>
  <c r="L1306" i="50"/>
  <c r="L1225" i="50"/>
  <c r="L1525" i="50"/>
  <c r="L1483" i="50"/>
  <c r="L1405" i="50"/>
  <c r="L1361" i="50"/>
  <c r="L1241" i="50"/>
  <c r="L1211" i="50"/>
  <c r="L1142" i="50"/>
  <c r="L1077" i="50"/>
  <c r="L1033" i="50"/>
  <c r="L1005" i="50"/>
  <c r="L982" i="50"/>
  <c r="L814" i="50"/>
  <c r="L663" i="50"/>
  <c r="L654" i="50"/>
  <c r="L1389" i="50"/>
  <c r="L1333" i="50"/>
  <c r="L1319" i="50"/>
  <c r="L1155" i="50"/>
  <c r="L1146" i="50"/>
  <c r="L1061" i="50"/>
  <c r="L978" i="50"/>
  <c r="L913" i="50"/>
  <c r="L897" i="50"/>
  <c r="L841" i="50"/>
  <c r="L749" i="50"/>
  <c r="L691" i="50"/>
  <c r="L677" i="50"/>
  <c r="L650" i="50"/>
  <c r="L1553" i="50"/>
  <c r="L991" i="50"/>
  <c r="L883" i="50"/>
  <c r="L855" i="50"/>
  <c r="L733" i="50"/>
  <c r="L719" i="50"/>
  <c r="L705" i="50"/>
  <c r="L974" i="50"/>
  <c r="L827" i="50"/>
  <c r="L646" i="50"/>
  <c r="L490" i="50"/>
  <c r="L2195" i="50"/>
  <c r="L176" i="50"/>
  <c r="L1416" i="50"/>
  <c r="T2469" i="50"/>
  <c r="L569" i="50"/>
  <c r="L2261" i="50"/>
  <c r="L2373" i="50"/>
  <c r="L513" i="50"/>
  <c r="L2438" i="50"/>
  <c r="L199" i="50"/>
  <c r="L221" i="50"/>
  <c r="L2154" i="50"/>
  <c r="L541" i="50"/>
  <c r="L2453" i="50"/>
  <c r="L1908" i="50"/>
  <c r="L2481" i="50"/>
  <c r="L2227" i="50"/>
  <c r="L2459" i="50"/>
  <c r="L499" i="50"/>
  <c r="L924" i="50"/>
  <c r="L2316" i="50"/>
  <c r="L2469" i="50"/>
  <c r="L111" i="50"/>
  <c r="L2554" i="50"/>
  <c r="L2353" i="50"/>
  <c r="L2492" i="50"/>
  <c r="L2136" i="50"/>
  <c r="L869" i="50"/>
  <c r="L2325" i="50"/>
  <c r="L2321" i="50"/>
  <c r="L140" i="50"/>
  <c r="L135" i="50"/>
  <c r="L2560" i="50"/>
  <c r="L2516" i="50"/>
  <c r="T2257" i="50"/>
  <c r="L2128" i="50"/>
  <c r="L2265" i="50"/>
  <c r="L2257" i="50"/>
  <c r="T1466" i="50"/>
  <c r="L2160" i="50"/>
  <c r="L1580" i="50"/>
  <c r="L2199" i="50"/>
  <c r="L165" i="50"/>
  <c r="T2373" i="50"/>
  <c r="L2280" i="50"/>
  <c r="L818" i="50"/>
  <c r="L810" i="50"/>
  <c r="T2398" i="50"/>
  <c r="L2442" i="50"/>
  <c r="L145" i="50"/>
  <c r="L2386" i="50"/>
  <c r="L91" i="50"/>
  <c r="L2329" i="50"/>
  <c r="L2212" i="50"/>
  <c r="L2404" i="50"/>
  <c r="L1088" i="50"/>
  <c r="T974" i="50"/>
  <c r="L2473" i="50"/>
  <c r="L486" i="50"/>
  <c r="T1138" i="50"/>
  <c r="L527" i="50"/>
  <c r="L596" i="50"/>
  <c r="T810" i="50"/>
  <c r="L2203" i="50"/>
  <c r="L2123" i="50"/>
  <c r="L211" i="50"/>
  <c r="L2378" i="50"/>
  <c r="T1630" i="50"/>
  <c r="L160" i="50"/>
  <c r="L63" i="50"/>
  <c r="L2145" i="50"/>
  <c r="T1302" i="50"/>
  <c r="L346" i="50"/>
  <c r="L2132" i="50"/>
  <c r="L1183" i="50"/>
  <c r="L2221" i="50"/>
  <c r="L760" i="50"/>
  <c r="L2382" i="50"/>
  <c r="L187" i="50"/>
  <c r="L555" i="50"/>
  <c r="L2523" i="50"/>
  <c r="L1744" i="50"/>
  <c r="L2338" i="50"/>
  <c r="T2215" i="50"/>
  <c r="L2546" i="50"/>
  <c r="L2547" i="50" s="1"/>
  <c r="L2072" i="50"/>
  <c r="T2148" i="50"/>
  <c r="L2410" i="50"/>
  <c r="L151" i="50"/>
  <c r="L1252" i="50"/>
  <c r="L2434" i="50"/>
  <c r="T2190" i="50"/>
  <c r="T2430" i="50"/>
  <c r="L2395" i="50"/>
  <c r="L2190" i="50"/>
  <c r="L2566" i="50"/>
  <c r="T646" i="50"/>
  <c r="L2430" i="50"/>
  <c r="L2286" i="50"/>
  <c r="T2123" i="50"/>
  <c r="L170" i="50"/>
  <c r="L2550" i="50"/>
  <c r="T2316" i="50"/>
  <c r="L2347" i="50"/>
  <c r="N369" i="50"/>
  <c r="N279" i="41"/>
  <c r="N371" i="50" s="1"/>
  <c r="L251" i="49"/>
  <c r="V251" i="49" s="1"/>
  <c r="L140" i="49"/>
  <c r="L105" i="49"/>
  <c r="L20" i="49"/>
  <c r="AF20" i="49" s="1"/>
  <c r="L122" i="49"/>
  <c r="L135" i="49"/>
  <c r="L242" i="49"/>
  <c r="L61" i="49"/>
  <c r="L184" i="49"/>
  <c r="L414" i="37"/>
  <c r="L1787" i="37"/>
  <c r="X1790" i="37" s="1"/>
  <c r="L693" i="37"/>
  <c r="X693" i="37" s="1"/>
  <c r="L2327" i="37"/>
  <c r="X2327" i="37" s="1"/>
  <c r="L366" i="37"/>
  <c r="X366" i="37" s="1"/>
  <c r="L1768" i="37"/>
  <c r="X1771" i="37" s="1"/>
  <c r="L511" i="37"/>
  <c r="L2154" i="37"/>
  <c r="X2157" i="37" s="1"/>
  <c r="L1076" i="37"/>
  <c r="X1080" i="37" s="1"/>
  <c r="L170" i="37"/>
  <c r="X174" i="37" s="1"/>
  <c r="L1272" i="37"/>
  <c r="X1272" i="37" s="1"/>
  <c r="L2391" i="37"/>
  <c r="X2394" i="37" s="1"/>
  <c r="L397" i="37"/>
  <c r="X400" i="37" s="1"/>
  <c r="L2080" i="37"/>
  <c r="X2082" i="37" s="1"/>
  <c r="L2900" i="37"/>
  <c r="X2904" i="37" s="1"/>
  <c r="L2738" i="37"/>
  <c r="X2738" i="37" s="1"/>
  <c r="L1183" i="37"/>
  <c r="X1186" i="37" s="1"/>
  <c r="L2017" i="37"/>
  <c r="X2017" i="37" s="1"/>
  <c r="L970" i="37"/>
  <c r="X970" i="37" s="1"/>
  <c r="L89" i="37"/>
  <c r="X89" i="37" s="1"/>
  <c r="L336" i="37"/>
  <c r="X336" i="37" s="1"/>
  <c r="L2418" i="37"/>
  <c r="L40" i="37"/>
  <c r="X43" i="37" s="1"/>
  <c r="L2927" i="37"/>
  <c r="L1111" i="37"/>
  <c r="X1111" i="37" s="1"/>
  <c r="L1485" i="37"/>
  <c r="X1488" i="37" s="1"/>
  <c r="L2456" i="37"/>
  <c r="X2459" i="37" s="1"/>
  <c r="L2961" i="37"/>
  <c r="F430" i="43"/>
  <c r="I414" i="43"/>
  <c r="T63" i="62"/>
  <c r="Y261" i="43"/>
  <c r="M51" i="50"/>
  <c r="Y256" i="43"/>
  <c r="I51" i="50"/>
  <c r="X57" i="62"/>
  <c r="Q57" i="62"/>
  <c r="Q60" i="62"/>
  <c r="X60" i="62"/>
  <c r="F428" i="43"/>
  <c r="K428" i="43" s="1"/>
  <c r="L38" i="50" s="1"/>
  <c r="F431" i="43"/>
  <c r="J431" i="43" s="1"/>
  <c r="I41" i="50" s="1"/>
  <c r="F427" i="43"/>
  <c r="G427" i="43" s="1"/>
  <c r="U33" i="62"/>
  <c r="U29" i="62"/>
  <c r="F426" i="43"/>
  <c r="J426" i="43" s="1"/>
  <c r="I36" i="50" s="1"/>
  <c r="F429" i="43"/>
  <c r="S389" i="43"/>
  <c r="R38" i="50"/>
  <c r="N1234" i="64"/>
  <c r="R37" i="50"/>
  <c r="N1286" i="64"/>
  <c r="N1264" i="64"/>
  <c r="T27" i="62"/>
  <c r="N902" i="64"/>
  <c r="J426" i="41"/>
  <c r="J433" i="41" s="1"/>
  <c r="P54" i="50"/>
  <c r="M52" i="50"/>
  <c r="J128" i="50"/>
  <c r="N128" i="50"/>
  <c r="N127" i="50"/>
  <c r="K70" i="50"/>
  <c r="K35" i="49"/>
  <c r="L313" i="50"/>
  <c r="L193" i="41"/>
  <c r="L228" i="41" s="1"/>
  <c r="L218" i="41"/>
  <c r="L194" i="41"/>
  <c r="L316" i="50" s="1"/>
  <c r="H418" i="43"/>
  <c r="K418" i="43"/>
  <c r="Q279" i="34"/>
  <c r="O306" i="34"/>
  <c r="R306" i="34" s="1"/>
  <c r="Q290" i="34"/>
  <c r="Q293" i="34"/>
  <c r="Q257" i="34"/>
  <c r="Q259" i="34"/>
  <c r="Q288" i="34"/>
  <c r="Q263" i="34"/>
  <c r="S309" i="34"/>
  <c r="O307" i="34"/>
  <c r="R307" i="34" s="1"/>
  <c r="Q289" i="34"/>
  <c r="Q249" i="34"/>
  <c r="Q280" i="34"/>
  <c r="Q276" i="34"/>
  <c r="Q296" i="34"/>
  <c r="T2061" i="37"/>
  <c r="Q295" i="34"/>
  <c r="Q291" i="34"/>
  <c r="Q268" i="34"/>
  <c r="T249" i="37"/>
  <c r="Q251" i="34"/>
  <c r="Q300" i="34"/>
  <c r="O253" i="34"/>
  <c r="R253" i="34" s="1"/>
  <c r="O304" i="34"/>
  <c r="R304" i="34" s="1"/>
  <c r="Q255" i="34"/>
  <c r="Q285" i="34"/>
  <c r="Q284" i="34"/>
  <c r="S310" i="34"/>
  <c r="O308" i="34"/>
  <c r="R308" i="34" s="1"/>
  <c r="Q299" i="34"/>
  <c r="V11" i="43"/>
  <c r="T1457" i="37"/>
  <c r="Q275" i="34"/>
  <c r="Q267" i="34"/>
  <c r="Q254" i="34"/>
  <c r="Q292" i="34"/>
  <c r="Q281" i="34"/>
  <c r="Q270" i="34"/>
  <c r="Q272" i="34"/>
  <c r="Q266" i="34"/>
  <c r="G62" i="9"/>
  <c r="Q297" i="34"/>
  <c r="T551" i="37"/>
  <c r="Q256" i="34"/>
  <c r="Q306" i="34"/>
  <c r="Q298" i="34"/>
  <c r="T853" i="37"/>
  <c r="Q286" i="34"/>
  <c r="T2363" i="37"/>
  <c r="Q262" i="34"/>
  <c r="O305" i="34"/>
  <c r="R305" i="34" s="1"/>
  <c r="Q273" i="34"/>
  <c r="Q282" i="34"/>
  <c r="T1155" i="37"/>
  <c r="R309" i="34"/>
  <c r="T2665" i="37"/>
  <c r="Q258" i="34"/>
  <c r="Q253" i="34"/>
  <c r="R310" i="34"/>
  <c r="Q277" i="34"/>
  <c r="Q283" i="34"/>
  <c r="Q271" i="34"/>
  <c r="G7" i="9"/>
  <c r="O249" i="34"/>
  <c r="R249" i="34" s="1"/>
  <c r="T2967" i="37"/>
  <c r="Q287" i="34"/>
  <c r="Q304" i="34"/>
  <c r="Q260" i="34"/>
  <c r="Q308" i="34"/>
  <c r="H2439" i="50"/>
  <c r="H2443" i="50" s="1"/>
  <c r="N2428" i="50"/>
  <c r="H2454" i="50"/>
  <c r="I418" i="43"/>
  <c r="N415" i="43"/>
  <c r="N2595" i="50"/>
  <c r="N277" i="49"/>
  <c r="N392" i="41"/>
  <c r="N949" i="42"/>
  <c r="P2443" i="50"/>
  <c r="P2454" i="50"/>
  <c r="Z61" i="62"/>
  <c r="AA61" i="62" s="1"/>
  <c r="M2368" i="50"/>
  <c r="L418" i="43"/>
  <c r="J147" i="49"/>
  <c r="J178" i="50" s="1"/>
  <c r="J177" i="50"/>
  <c r="J151" i="49"/>
  <c r="P2455" i="50"/>
  <c r="P2446" i="50"/>
  <c r="A2446" i="50" s="1"/>
  <c r="M415" i="43"/>
  <c r="M949" i="42"/>
  <c r="M3041" i="37"/>
  <c r="M392" i="41"/>
  <c r="D123" i="62"/>
  <c r="N177" i="50"/>
  <c r="N151" i="49"/>
  <c r="N147" i="49"/>
  <c r="N178" i="50" s="1"/>
  <c r="L369" i="50"/>
  <c r="L279" i="41"/>
  <c r="L371" i="50" s="1"/>
  <c r="F432" i="43"/>
  <c r="E433" i="43"/>
  <c r="Y60" i="62"/>
  <c r="Y123" i="49"/>
  <c r="Y124" i="49"/>
  <c r="Y128" i="49" s="1"/>
  <c r="Y129" i="49" s="1"/>
  <c r="Y141" i="49" s="1"/>
  <c r="Y142" i="49" s="1"/>
  <c r="C2464" i="50"/>
  <c r="K189" i="41"/>
  <c r="K413" i="41"/>
  <c r="K420" i="41" s="1"/>
  <c r="K412" i="41"/>
  <c r="K419" i="41" s="1"/>
  <c r="K426" i="41" s="1"/>
  <c r="K433" i="41" s="1"/>
  <c r="K128" i="41"/>
  <c r="K270" i="50" s="1"/>
  <c r="N2561" i="50"/>
  <c r="T42" i="50"/>
  <c r="M46" i="41"/>
  <c r="M212" i="50" s="1"/>
  <c r="M47" i="41"/>
  <c r="M215" i="50" s="1"/>
  <c r="M40" i="41"/>
  <c r="M50" i="41" s="1"/>
  <c r="M217" i="50" s="1"/>
  <c r="M49" i="41"/>
  <c r="N101" i="50"/>
  <c r="N121" i="50" s="1"/>
  <c r="N94" i="50"/>
  <c r="N114" i="50" s="1"/>
  <c r="N92" i="50"/>
  <c r="N112" i="50" s="1"/>
  <c r="N109" i="50"/>
  <c r="N129" i="50" s="1"/>
  <c r="N106" i="50"/>
  <c r="N126" i="50" s="1"/>
  <c r="N95" i="50"/>
  <c r="N115" i="50" s="1"/>
  <c r="N93" i="50"/>
  <c r="N113" i="50" s="1"/>
  <c r="N97" i="50"/>
  <c r="N117" i="50" s="1"/>
  <c r="N105" i="50"/>
  <c r="N125" i="50" s="1"/>
  <c r="D253" i="34"/>
  <c r="C254" i="34"/>
  <c r="G431" i="43"/>
  <c r="Q27" i="62"/>
  <c r="E75" i="62"/>
  <c r="L75" i="62" s="1"/>
  <c r="K171" i="50"/>
  <c r="K146" i="49"/>
  <c r="J99" i="50"/>
  <c r="J119" i="50" s="1"/>
  <c r="J105" i="50"/>
  <c r="J125" i="50" s="1"/>
  <c r="J98" i="50"/>
  <c r="J118" i="50" s="1"/>
  <c r="J92" i="50"/>
  <c r="J112" i="50" s="1"/>
  <c r="J96" i="50"/>
  <c r="J116" i="50" s="1"/>
  <c r="J106" i="50"/>
  <c r="J126" i="50" s="1"/>
  <c r="J107" i="50"/>
  <c r="J103" i="50"/>
  <c r="J123" i="50" s="1"/>
  <c r="J93" i="50"/>
  <c r="J113" i="50" s="1"/>
  <c r="C529" i="42"/>
  <c r="I406" i="42"/>
  <c r="M94" i="50"/>
  <c r="M114" i="50" s="1"/>
  <c r="M107" i="50"/>
  <c r="M105" i="50"/>
  <c r="M125" i="50" s="1"/>
  <c r="M95" i="50"/>
  <c r="M115" i="50" s="1"/>
  <c r="M97" i="50"/>
  <c r="M117" i="50" s="1"/>
  <c r="M102" i="50"/>
  <c r="M122" i="50" s="1"/>
  <c r="M96" i="50"/>
  <c r="M116" i="50" s="1"/>
  <c r="M99" i="50"/>
  <c r="M119" i="50" s="1"/>
  <c r="M108" i="50"/>
  <c r="H412" i="41"/>
  <c r="H419" i="41" s="1"/>
  <c r="H426" i="41" s="1"/>
  <c r="H433" i="41" s="1"/>
  <c r="H189" i="41"/>
  <c r="H413" i="41"/>
  <c r="H420" i="41" s="1"/>
  <c r="H267" i="50"/>
  <c r="Q617" i="37"/>
  <c r="C919" i="37"/>
  <c r="G36" i="41"/>
  <c r="G240" i="41"/>
  <c r="I151" i="49"/>
  <c r="I177" i="50"/>
  <c r="I147" i="49"/>
  <c r="I178" i="50" s="1"/>
  <c r="L100" i="49"/>
  <c r="L147" i="50"/>
  <c r="Y110" i="43"/>
  <c r="Y220" i="43"/>
  <c r="Y307" i="43"/>
  <c r="J79" i="62"/>
  <c r="M75" i="62"/>
  <c r="E28" i="62"/>
  <c r="U28" i="62" s="1"/>
  <c r="Y376" i="43"/>
  <c r="K78" i="62"/>
  <c r="X61" i="62"/>
  <c r="M83" i="62"/>
  <c r="Y42" i="43"/>
  <c r="Y355" i="43"/>
  <c r="E31" i="62"/>
  <c r="E109" i="62"/>
  <c r="H109" i="62" s="1"/>
  <c r="Y104" i="43"/>
  <c r="I87" i="62"/>
  <c r="M80" i="62"/>
  <c r="M82" i="62"/>
  <c r="Y218" i="43"/>
  <c r="J82" i="62"/>
  <c r="K76" i="62"/>
  <c r="Y224" i="43"/>
  <c r="Y255" i="43"/>
  <c r="Y107" i="43"/>
  <c r="Y133" i="43"/>
  <c r="Y378" i="43"/>
  <c r="I90" i="62"/>
  <c r="Y310" i="43"/>
  <c r="G62" i="62"/>
  <c r="T62" i="62" s="1"/>
  <c r="Y309" i="43"/>
  <c r="K77" i="62"/>
  <c r="E118" i="62"/>
  <c r="H118" i="62" s="1"/>
  <c r="Y114" i="43"/>
  <c r="Y358" i="43"/>
  <c r="E32" i="62"/>
  <c r="X32" i="62" s="1"/>
  <c r="I77" i="62"/>
  <c r="Y115" i="43"/>
  <c r="M81" i="62"/>
  <c r="N79" i="62"/>
  <c r="Y105" i="43"/>
  <c r="W26" i="62"/>
  <c r="W27" i="62" s="1"/>
  <c r="W28" i="62" s="1"/>
  <c r="W29" i="62" s="1"/>
  <c r="W30" i="62" s="1"/>
  <c r="W31" i="62" s="1"/>
  <c r="W32" i="62" s="1"/>
  <c r="W33" i="62" s="1"/>
  <c r="W34" i="62" s="1"/>
  <c r="W35" i="62" s="1"/>
  <c r="Y100" i="43"/>
  <c r="M77" i="62"/>
  <c r="Y172" i="43"/>
  <c r="Y219" i="43"/>
  <c r="S74" i="62"/>
  <c r="S75" i="62" s="1"/>
  <c r="S76" i="62" s="1"/>
  <c r="S77" i="62" s="1"/>
  <c r="S78" i="62" s="1"/>
  <c r="S79" i="62" s="1"/>
  <c r="S80" i="62" s="1"/>
  <c r="S81" i="62" s="1"/>
  <c r="S82" i="62" s="1"/>
  <c r="S83" i="62" s="1"/>
  <c r="S84" i="62" s="1"/>
  <c r="S85" i="62" s="1"/>
  <c r="S86" i="62" s="1"/>
  <c r="S87" i="62" s="1"/>
  <c r="S88" i="62" s="1"/>
  <c r="S89" i="62" s="1"/>
  <c r="S90" i="62" s="1"/>
  <c r="N77" i="62"/>
  <c r="K79" i="62"/>
  <c r="Y176" i="49"/>
  <c r="AK174" i="49"/>
  <c r="E113" i="62"/>
  <c r="H113" i="62" s="1"/>
  <c r="K80" i="62"/>
  <c r="X29" i="62"/>
  <c r="G58" i="62"/>
  <c r="T58" i="62" s="1"/>
  <c r="E116" i="62"/>
  <c r="H116" i="62" s="1"/>
  <c r="Y217" i="43"/>
  <c r="Y101" i="43"/>
  <c r="J78" i="62"/>
  <c r="I82" i="62"/>
  <c r="M76" i="62"/>
  <c r="K83" i="62"/>
  <c r="Y245" i="43"/>
  <c r="N81" i="62"/>
  <c r="Y132" i="43"/>
  <c r="Y361" i="43"/>
  <c r="Y306" i="43"/>
  <c r="J81" i="62"/>
  <c r="Y314" i="43"/>
  <c r="I88" i="62"/>
  <c r="Y326" i="43"/>
  <c r="N74" i="62"/>
  <c r="Y113" i="43"/>
  <c r="Y241" i="43"/>
  <c r="X34" i="62"/>
  <c r="E114" i="62"/>
  <c r="H114" i="62" s="1"/>
  <c r="Y369" i="43"/>
  <c r="K75" i="62"/>
  <c r="N75" i="62"/>
  <c r="Y167" i="43"/>
  <c r="E110" i="62"/>
  <c r="H110" i="62" s="1"/>
  <c r="W57" i="62"/>
  <c r="W58" i="62" s="1"/>
  <c r="W59" i="62" s="1"/>
  <c r="W60" i="62" s="1"/>
  <c r="W61" i="62" s="1"/>
  <c r="W62" i="62" s="1"/>
  <c r="W63" i="62" s="1"/>
  <c r="Y319" i="43"/>
  <c r="E35" i="62"/>
  <c r="X35" i="62" s="1"/>
  <c r="Y106" i="43"/>
  <c r="Y320" i="43"/>
  <c r="Y259" i="43"/>
  <c r="E30" i="62"/>
  <c r="U30" i="62" s="1"/>
  <c r="Y357" i="43"/>
  <c r="I81" i="62"/>
  <c r="Y51" i="43"/>
  <c r="Y102" i="43"/>
  <c r="Y173" i="43"/>
  <c r="Y315" i="43"/>
  <c r="Y374" i="43"/>
  <c r="J2602" i="50"/>
  <c r="Y244" i="43"/>
  <c r="Y313" i="43"/>
  <c r="Y325" i="43"/>
  <c r="E26" i="62"/>
  <c r="Y222" i="43"/>
  <c r="J83" i="62"/>
  <c r="M128" i="41"/>
  <c r="M270" i="50" s="1"/>
  <c r="M189" i="41"/>
  <c r="M412" i="41"/>
  <c r="M419" i="41" s="1"/>
  <c r="M100" i="49"/>
  <c r="M146" i="50"/>
  <c r="Q359" i="42"/>
  <c r="Q392" i="42"/>
  <c r="Q326" i="42"/>
  <c r="S395" i="42"/>
  <c r="Q314" i="42"/>
  <c r="F229" i="43"/>
  <c r="F24" i="50" s="1"/>
  <c r="F230" i="43"/>
  <c r="F228" i="43"/>
  <c r="G448" i="43" s="1"/>
  <c r="F232" i="43"/>
  <c r="Q232" i="43" s="1"/>
  <c r="R27" i="50" s="1"/>
  <c r="M263" i="43"/>
  <c r="I52" i="50" s="1"/>
  <c r="N664" i="64"/>
  <c r="S388" i="43"/>
  <c r="G428" i="43"/>
  <c r="X30" i="62"/>
  <c r="H14" i="50"/>
  <c r="G60" i="9"/>
  <c r="N962" i="64"/>
  <c r="N963" i="64"/>
  <c r="N964" i="64"/>
  <c r="N1085" i="64"/>
  <c r="N1086" i="64"/>
  <c r="Y61" i="62"/>
  <c r="I145" i="62"/>
  <c r="T38" i="41"/>
  <c r="Z33" i="62"/>
  <c r="AA33" i="62" s="1"/>
  <c r="Y34" i="62"/>
  <c r="Z34" i="62"/>
  <c r="AA34" i="62" s="1"/>
  <c r="Y62" i="62"/>
  <c r="Z62" i="62"/>
  <c r="AA62" i="62" s="1"/>
  <c r="Q59" i="62"/>
  <c r="X59" i="62"/>
  <c r="T59" i="62"/>
  <c r="K429" i="43"/>
  <c r="L39" i="50" s="1"/>
  <c r="G429" i="43"/>
  <c r="Y29" i="62"/>
  <c r="Z29" i="62"/>
  <c r="AA29" i="62" s="1"/>
  <c r="Y57" i="62"/>
  <c r="Z60" i="62"/>
  <c r="AA60" i="62" s="1"/>
  <c r="Z27" i="62"/>
  <c r="AA27" i="62" s="1"/>
  <c r="G445" i="43"/>
  <c r="F22" i="50"/>
  <c r="Q227" i="43"/>
  <c r="R22" i="50" s="1"/>
  <c r="S386" i="43"/>
  <c r="R39" i="50"/>
  <c r="N1166" i="64"/>
  <c r="N1165" i="64"/>
  <c r="R36" i="50"/>
  <c r="L2561" i="50"/>
  <c r="K2561" i="50"/>
  <c r="G446" i="43"/>
  <c r="R44" i="50" l="1"/>
  <c r="S391" i="43"/>
  <c r="P106" i="50"/>
  <c r="E126" i="50"/>
  <c r="E241" i="50" s="1"/>
  <c r="P241" i="50" s="1"/>
  <c r="S106" i="50"/>
  <c r="H13" i="50"/>
  <c r="F27" i="50"/>
  <c r="S146" i="62"/>
  <c r="E410" i="50"/>
  <c r="L62" i="62"/>
  <c r="S62" i="62"/>
  <c r="Q63" i="62"/>
  <c r="E124" i="50"/>
  <c r="E239" i="50" s="1"/>
  <c r="P239" i="50" s="1"/>
  <c r="M13" i="50"/>
  <c r="S58" i="62"/>
  <c r="Q33" i="62"/>
  <c r="S33" i="62" s="1"/>
  <c r="Q30" i="62"/>
  <c r="E81" i="62"/>
  <c r="L81" i="62" s="1"/>
  <c r="L132" i="62"/>
  <c r="T132" i="62"/>
  <c r="S132" i="62"/>
  <c r="V132" i="62"/>
  <c r="U132" i="62"/>
  <c r="M132" i="62"/>
  <c r="K132" i="62"/>
  <c r="Y132" i="62"/>
  <c r="W132" i="62"/>
  <c r="L2364" i="50"/>
  <c r="K2314" i="50"/>
  <c r="I2356" i="50"/>
  <c r="K2318" i="50"/>
  <c r="K2358" i="50"/>
  <c r="H2361" i="50"/>
  <c r="S2348" i="50"/>
  <c r="L2335" i="50"/>
  <c r="L2334" i="50"/>
  <c r="N2336" i="50"/>
  <c r="M2358" i="50"/>
  <c r="L2341" i="50"/>
  <c r="T2342" i="50" s="1"/>
  <c r="L2327" i="50"/>
  <c r="J2317" i="50"/>
  <c r="L2358" i="50"/>
  <c r="J2340" i="50"/>
  <c r="M2359" i="50"/>
  <c r="L2349" i="50"/>
  <c r="N2364" i="50"/>
  <c r="K2336" i="50"/>
  <c r="J2358" i="50"/>
  <c r="K2335" i="50"/>
  <c r="N2341" i="50"/>
  <c r="V2342" i="50" s="1"/>
  <c r="K2340" i="50"/>
  <c r="I2357" i="50"/>
  <c r="H2357" i="50"/>
  <c r="M2336" i="50"/>
  <c r="I2359" i="50"/>
  <c r="H2317" i="50"/>
  <c r="L2318" i="50"/>
  <c r="L2357" i="50"/>
  <c r="K2334" i="50"/>
  <c r="M2363" i="50"/>
  <c r="H2363" i="50"/>
  <c r="J2364" i="50"/>
  <c r="H2318" i="50"/>
  <c r="N2359" i="50"/>
  <c r="J2314" i="50"/>
  <c r="T2317" i="50" s="1"/>
  <c r="M2314" i="50"/>
  <c r="K2327" i="50"/>
  <c r="K2339" i="50"/>
  <c r="J2357" i="50"/>
  <c r="J2327" i="50"/>
  <c r="K2357" i="50"/>
  <c r="I2361" i="50"/>
  <c r="N2361" i="50"/>
  <c r="J2361" i="50"/>
  <c r="E411" i="50"/>
  <c r="Q324" i="41"/>
  <c r="Q325" i="41"/>
  <c r="E412" i="50"/>
  <c r="Q229" i="43"/>
  <c r="R24" i="50" s="1"/>
  <c r="Q58" i="62"/>
  <c r="Q363" i="42"/>
  <c r="E413" i="50"/>
  <c r="Q326" i="41"/>
  <c r="M27" i="62"/>
  <c r="H427" i="43"/>
  <c r="E37" i="50" s="1"/>
  <c r="X58" i="62"/>
  <c r="Q225" i="42"/>
  <c r="T144" i="62"/>
  <c r="G660" i="37"/>
  <c r="H448" i="64"/>
  <c r="H645" i="64"/>
  <c r="H826" i="64"/>
  <c r="G1776" i="50"/>
  <c r="G589" i="37"/>
  <c r="H886" i="64"/>
  <c r="H1066" i="64"/>
  <c r="G1448" i="50"/>
  <c r="G1797" i="37"/>
  <c r="H1005" i="64"/>
  <c r="G364" i="41"/>
  <c r="G443" i="50" s="1"/>
  <c r="H586" i="64"/>
  <c r="G2103" i="50"/>
  <c r="G2472" i="37"/>
  <c r="H1065" i="64"/>
  <c r="G791" i="50"/>
  <c r="B44" i="34"/>
  <c r="H705" i="64"/>
  <c r="H646" i="64"/>
  <c r="G365" i="41"/>
  <c r="G444" i="50" s="1"/>
  <c r="G1566" i="37"/>
  <c r="H945" i="64"/>
  <c r="G3005" i="37"/>
  <c r="G1611" i="50"/>
  <c r="H825" i="64"/>
  <c r="G56" i="37"/>
  <c r="G956" i="50"/>
  <c r="G955" i="50"/>
  <c r="G1264" i="37"/>
  <c r="G1284" i="50"/>
  <c r="H765" i="64"/>
  <c r="G1120" i="50"/>
  <c r="H1006" i="64"/>
  <c r="G123" i="49"/>
  <c r="H526" i="64"/>
  <c r="H525" i="64"/>
  <c r="G891" i="37"/>
  <c r="G1495" i="37"/>
  <c r="G1939" i="50"/>
  <c r="G962" i="37"/>
  <c r="G1612" i="50"/>
  <c r="G2170" i="37"/>
  <c r="H766" i="64"/>
  <c r="G1775" i="50"/>
  <c r="G628" i="50"/>
  <c r="H452" i="64"/>
  <c r="G792" i="50"/>
  <c r="H585" i="64"/>
  <c r="H885" i="64"/>
  <c r="H447" i="64"/>
  <c r="G1283" i="50"/>
  <c r="G627" i="50"/>
  <c r="G371" i="41"/>
  <c r="G446" i="50" s="1"/>
  <c r="H450" i="64"/>
  <c r="G374" i="41"/>
  <c r="G447" i="50" s="1"/>
  <c r="G2099" i="37"/>
  <c r="G1940" i="50"/>
  <c r="G380" i="41"/>
  <c r="H706" i="64"/>
  <c r="G358" i="37"/>
  <c r="G2104" i="50"/>
  <c r="G1193" i="37"/>
  <c r="H946" i="64"/>
  <c r="G377" i="41"/>
  <c r="G448" i="50" s="1"/>
  <c r="G368" i="41"/>
  <c r="G445" i="50" s="1"/>
  <c r="H451" i="64"/>
  <c r="G2401" i="37"/>
  <c r="G287" i="37"/>
  <c r="G1447" i="50"/>
  <c r="G1119" i="50"/>
  <c r="G1868" i="37"/>
  <c r="G67" i="49"/>
  <c r="G2774" i="37"/>
  <c r="H449" i="64"/>
  <c r="G2703" i="37"/>
  <c r="Q29" i="62"/>
  <c r="E77" i="62"/>
  <c r="L77" i="62" s="1"/>
  <c r="P2303" i="50"/>
  <c r="T145" i="62"/>
  <c r="G323" i="47"/>
  <c r="G290" i="47"/>
  <c r="C63" i="34"/>
  <c r="E78" i="62"/>
  <c r="L78" i="62" s="1"/>
  <c r="P2291" i="50"/>
  <c r="H921" i="64"/>
  <c r="G1564" i="37"/>
  <c r="G74" i="49"/>
  <c r="G142" i="50" s="1"/>
  <c r="G54" i="37"/>
  <c r="H153" i="64"/>
  <c r="H862" i="64"/>
  <c r="H801" i="64"/>
  <c r="H620" i="64"/>
  <c r="H203" i="64"/>
  <c r="G1988" i="37"/>
  <c r="G2078" i="50"/>
  <c r="G766" i="50"/>
  <c r="G2603" i="37"/>
  <c r="H982" i="64"/>
  <c r="G963" i="37"/>
  <c r="G960" i="37"/>
  <c r="G477" i="37"/>
  <c r="G2172" i="37"/>
  <c r="G22" i="49"/>
  <c r="G65" i="50" s="1"/>
  <c r="G360" i="37"/>
  <c r="G490" i="37"/>
  <c r="H561" i="64"/>
  <c r="G212" i="49"/>
  <c r="G192" i="50" s="1"/>
  <c r="G2775" i="37"/>
  <c r="G1423" i="50"/>
  <c r="G219" i="49"/>
  <c r="G193" i="50" s="1"/>
  <c r="G1096" i="50"/>
  <c r="G1751" i="50"/>
  <c r="G100" i="49"/>
  <c r="G152" i="50" s="1"/>
  <c r="G2171" i="37"/>
  <c r="G1258" i="50"/>
  <c r="H216" i="64"/>
  <c r="B45" i="34"/>
  <c r="G1866" i="37"/>
  <c r="H76" i="64"/>
  <c r="H179" i="64"/>
  <c r="G1384" i="37"/>
  <c r="H920" i="64"/>
  <c r="G73" i="49"/>
  <c r="G141" i="50" s="1"/>
  <c r="G175" i="37"/>
  <c r="G1914" i="50"/>
  <c r="G1422" i="50"/>
  <c r="G1260" i="50"/>
  <c r="G2296" i="50"/>
  <c r="H502" i="64"/>
  <c r="G187" i="37"/>
  <c r="H802" i="64"/>
  <c r="G792" i="37"/>
  <c r="H75" i="64"/>
  <c r="G1094" i="37"/>
  <c r="G1383" i="37"/>
  <c r="H1106" i="64"/>
  <c r="G2237" i="50"/>
  <c r="G603" i="50"/>
  <c r="G1752" i="50"/>
  <c r="H204" i="64"/>
  <c r="G780" i="37"/>
  <c r="H800" i="64"/>
  <c r="G478" i="37"/>
  <c r="G1586" i="50"/>
  <c r="G267" i="49"/>
  <c r="G205" i="50" s="1"/>
  <c r="G1265" i="37"/>
  <c r="G2418" i="50"/>
  <c r="G359" i="37"/>
  <c r="G75" i="49"/>
  <c r="G143" i="50" s="1"/>
  <c r="H740" i="64"/>
  <c r="G2474" i="37"/>
  <c r="G658" i="37"/>
  <c r="G930" i="50"/>
  <c r="G2893" i="37"/>
  <c r="G2905" i="37"/>
  <c r="G57" i="37"/>
  <c r="H1146" i="64"/>
  <c r="H742" i="64"/>
  <c r="G1266" i="37"/>
  <c r="G2776" i="37"/>
  <c r="H860" i="64"/>
  <c r="G2592" i="37"/>
  <c r="G2168" i="37"/>
  <c r="G2000" i="37"/>
  <c r="G1396" i="37"/>
  <c r="G1093" i="37"/>
  <c r="H1041" i="64"/>
  <c r="H1224" i="64"/>
  <c r="G1698" i="37"/>
  <c r="G2301" i="37"/>
  <c r="G1697" i="37"/>
  <c r="G661" i="37"/>
  <c r="H215" i="64"/>
  <c r="G2289" i="37"/>
  <c r="G1587" i="50"/>
  <c r="H1254" i="64"/>
  <c r="H1186" i="64"/>
  <c r="H500" i="64"/>
  <c r="G1395" i="37"/>
  <c r="G768" i="50"/>
  <c r="H980" i="64"/>
  <c r="H682" i="64"/>
  <c r="G2361" i="50"/>
  <c r="H680" i="64"/>
  <c r="G767" i="50"/>
  <c r="G1685" i="37"/>
  <c r="G2170" i="50"/>
  <c r="G964" i="37"/>
  <c r="G390" i="47"/>
  <c r="G1869" i="37"/>
  <c r="H681" i="64"/>
  <c r="H560" i="64"/>
  <c r="G21" i="49"/>
  <c r="G64" i="50" s="1"/>
  <c r="H163" i="64"/>
  <c r="G2894" i="37"/>
  <c r="H562" i="64"/>
  <c r="G129" i="49"/>
  <c r="G167" i="50" s="1"/>
  <c r="G2473" i="37"/>
  <c r="G146" i="49"/>
  <c r="G177" i="50" s="1"/>
  <c r="G1095" i="50"/>
  <c r="G1568" i="37"/>
  <c r="G1999" i="37"/>
  <c r="G2302" i="37"/>
  <c r="G1750" i="50"/>
  <c r="G1588" i="50"/>
  <c r="G130" i="49"/>
  <c r="G168" i="50" s="1"/>
  <c r="G1262" i="37"/>
  <c r="H981" i="64"/>
  <c r="H154" i="64"/>
  <c r="G2772" i="37"/>
  <c r="G489" i="37"/>
  <c r="G262" i="49"/>
  <c r="G204" i="50" s="1"/>
  <c r="G2906" i="37"/>
  <c r="G2290" i="37"/>
  <c r="H177" i="64"/>
  <c r="G58" i="37"/>
  <c r="H1042" i="64"/>
  <c r="G387" i="47"/>
  <c r="H621" i="64"/>
  <c r="G1094" i="50"/>
  <c r="H922" i="64"/>
  <c r="H152" i="64"/>
  <c r="G1915" i="50"/>
  <c r="G2079" i="50"/>
  <c r="H741" i="64"/>
  <c r="G1259" i="50"/>
  <c r="G1424" i="50"/>
  <c r="G1081" i="37"/>
  <c r="H188" i="64"/>
  <c r="G791" i="37"/>
  <c r="H178" i="64"/>
  <c r="G2080" i="50"/>
  <c r="G26" i="49"/>
  <c r="G69" i="50" s="1"/>
  <c r="G188" i="37"/>
  <c r="G932" i="50"/>
  <c r="H1040" i="64"/>
  <c r="G128" i="49"/>
  <c r="G166" i="50" s="1"/>
  <c r="G1082" i="37"/>
  <c r="H861" i="64"/>
  <c r="G1567" i="37"/>
  <c r="H80" i="64"/>
  <c r="G1987" i="37"/>
  <c r="G1916" i="50"/>
  <c r="G356" i="37"/>
  <c r="G779" i="37"/>
  <c r="G1870" i="37"/>
  <c r="G2591" i="37"/>
  <c r="H501" i="64"/>
  <c r="G931" i="50"/>
  <c r="G176" i="37"/>
  <c r="G391" i="47"/>
  <c r="H622" i="64"/>
  <c r="G602" i="50"/>
  <c r="G662" i="37"/>
  <c r="G1686" i="37"/>
  <c r="G2470" i="37"/>
  <c r="G604" i="50"/>
  <c r="G2604" i="37"/>
  <c r="E123" i="50"/>
  <c r="E238" i="50" s="1"/>
  <c r="P238" i="50" s="1"/>
  <c r="P103" i="50"/>
  <c r="S103" i="50"/>
  <c r="S396" i="42"/>
  <c r="Q360" i="42"/>
  <c r="Q399" i="42"/>
  <c r="Q349" i="42"/>
  <c r="S387" i="42"/>
  <c r="Q325" i="42"/>
  <c r="Q310" i="42"/>
  <c r="Q395" i="42"/>
  <c r="Q384" i="42"/>
  <c r="Q387" i="42"/>
  <c r="Q369" i="42"/>
  <c r="Q318" i="42"/>
  <c r="Q362" i="42"/>
  <c r="Q396" i="42"/>
  <c r="Q400" i="42"/>
  <c r="E349" i="42"/>
  <c r="E369" i="42" s="1"/>
  <c r="Q383" i="42"/>
  <c r="S391" i="42"/>
  <c r="Q388" i="42"/>
  <c r="S388" i="42"/>
  <c r="S349" i="42"/>
  <c r="S399" i="42"/>
  <c r="Q301" i="42"/>
  <c r="S383" i="42"/>
  <c r="E241" i="41"/>
  <c r="E245" i="41" s="1"/>
  <c r="E348" i="50"/>
  <c r="P2304" i="50"/>
  <c r="E217" i="42"/>
  <c r="G217" i="42" s="1"/>
  <c r="H225" i="42" s="1"/>
  <c r="E242" i="41"/>
  <c r="E246" i="41" s="1"/>
  <c r="E349" i="50"/>
  <c r="Q34" i="62"/>
  <c r="U34" i="62"/>
  <c r="E82" i="62"/>
  <c r="L82" i="62" s="1"/>
  <c r="G449" i="43"/>
  <c r="P2293" i="50"/>
  <c r="Q228" i="42"/>
  <c r="P104" i="50"/>
  <c r="G2587" i="37"/>
  <c r="G1983" i="37"/>
  <c r="G1077" i="37"/>
  <c r="G1681" i="37"/>
  <c r="G113" i="47"/>
  <c r="G2901" i="37"/>
  <c r="G129" i="47"/>
  <c r="G189" i="47"/>
  <c r="G197" i="47"/>
  <c r="G303" i="47"/>
  <c r="G147" i="47"/>
  <c r="G355" i="47"/>
  <c r="G1693" i="37"/>
  <c r="G190" i="47"/>
  <c r="G1089" i="37"/>
  <c r="G365" i="47"/>
  <c r="G358" i="47"/>
  <c r="G1391" i="37"/>
  <c r="G485" i="37"/>
  <c r="G2599" i="37"/>
  <c r="G359" i="47"/>
  <c r="G191" i="47"/>
  <c r="G210" i="47"/>
  <c r="G357" i="47"/>
  <c r="G2297" i="37"/>
  <c r="G2889" i="37"/>
  <c r="G473" i="37"/>
  <c r="G336" i="47"/>
  <c r="G171" i="37"/>
  <c r="G356" i="47"/>
  <c r="G163" i="47"/>
  <c r="G181" i="47"/>
  <c r="G2285" i="37"/>
  <c r="G775" i="37"/>
  <c r="G183" i="37"/>
  <c r="B63" i="34"/>
  <c r="G208" i="47"/>
  <c r="G1995" i="37"/>
  <c r="G1379" i="37"/>
  <c r="G787" i="37"/>
  <c r="G209" i="47"/>
  <c r="I332" i="42"/>
  <c r="Q391" i="42"/>
  <c r="R2311" i="50"/>
  <c r="P2357" i="50"/>
  <c r="P2358" i="50"/>
  <c r="P2317" i="50"/>
  <c r="P2341" i="50"/>
  <c r="P2336" i="50"/>
  <c r="P2322" i="50"/>
  <c r="P2364" i="50"/>
  <c r="P2330" i="50"/>
  <c r="H2314" i="50"/>
  <c r="P2340" i="50"/>
  <c r="P2331" i="50"/>
  <c r="P2332" i="50" s="1"/>
  <c r="P2363" i="50"/>
  <c r="P2349" i="50"/>
  <c r="P2348" i="50"/>
  <c r="P2343" i="50"/>
  <c r="P2359" i="50"/>
  <c r="P2318" i="50"/>
  <c r="P2356" i="50"/>
  <c r="P2333" i="50"/>
  <c r="A2333" i="50" s="1"/>
  <c r="P2361" i="50"/>
  <c r="E2314" i="50"/>
  <c r="P2342" i="50"/>
  <c r="P2339" i="50"/>
  <c r="M426" i="41"/>
  <c r="M433" i="41" s="1"/>
  <c r="L1680" i="37"/>
  <c r="X1684" i="37" s="1"/>
  <c r="L1544" i="37"/>
  <c r="X1544" i="37" s="1"/>
  <c r="L2112" i="37"/>
  <c r="L1574" i="37"/>
  <c r="X1574" i="37" s="1"/>
  <c r="L1088" i="37"/>
  <c r="X1092" i="37" s="1"/>
  <c r="L1242" i="37"/>
  <c r="X1242" i="37" s="1"/>
  <c r="L2914" i="37"/>
  <c r="X2914" i="37" s="1"/>
  <c r="L1762" i="37"/>
  <c r="X1762" i="37" s="1"/>
  <c r="L1743" i="37"/>
  <c r="L1413" i="37"/>
  <c r="X1413" i="37" s="1"/>
  <c r="L196" i="37"/>
  <c r="X196" i="37" s="1"/>
  <c r="L1297" i="37"/>
  <c r="X1297" i="37" s="1"/>
  <c r="L1657" i="37"/>
  <c r="X1657" i="37" s="1"/>
  <c r="L2338" i="37"/>
  <c r="L258" i="37"/>
  <c r="X261" i="37" s="1"/>
  <c r="L2625" i="37"/>
  <c r="L2261" i="37"/>
  <c r="X2261" i="37" s="1"/>
  <c r="J428" i="43"/>
  <c r="I38" i="50" s="1"/>
  <c r="G426" i="43"/>
  <c r="J246" i="41"/>
  <c r="L1753" i="37"/>
  <c r="L1053" i="37"/>
  <c r="X1053" i="37" s="1"/>
  <c r="L2586" i="37"/>
  <c r="X2590" i="37" s="1"/>
  <c r="L1967" i="37"/>
  <c r="L252" i="37"/>
  <c r="X252" i="37" s="1"/>
  <c r="L2674" i="37"/>
  <c r="X2677" i="37" s="1"/>
  <c r="L243" i="37"/>
  <c r="L1901" i="37"/>
  <c r="X1901" i="37" s="1"/>
  <c r="L1390" i="37"/>
  <c r="X1394" i="37" s="1"/>
  <c r="L1441" i="37"/>
  <c r="L2366" i="37"/>
  <c r="X2366" i="37" s="1"/>
  <c r="L1734" i="37"/>
  <c r="L1355" i="37"/>
  <c r="X1355" i="37" s="1"/>
  <c r="L1814" i="37"/>
  <c r="L644" i="37"/>
  <c r="X647" i="37" s="1"/>
  <c r="L1363" i="37"/>
  <c r="L1846" i="37"/>
  <c r="X1846" i="37" s="1"/>
  <c r="L606" i="37"/>
  <c r="L545" i="37"/>
  <c r="L1404" i="37"/>
  <c r="X1404" i="37" s="1"/>
  <c r="L2203" i="37"/>
  <c r="X2203" i="37" s="1"/>
  <c r="L2986" i="37"/>
  <c r="X2988" i="37" s="1"/>
  <c r="L1164" i="37"/>
  <c r="X1167" i="37" s="1"/>
  <c r="L2284" i="37"/>
  <c r="X2288" i="37" s="1"/>
  <c r="L699" i="37"/>
  <c r="X702" i="37" s="1"/>
  <c r="L3053" i="37"/>
  <c r="L304" i="37"/>
  <c r="L150" i="49"/>
  <c r="L118" i="49"/>
  <c r="L72" i="49"/>
  <c r="L34" i="49"/>
  <c r="L91" i="49"/>
  <c r="L946" i="37"/>
  <c r="X949" i="37" s="1"/>
  <c r="L1102" i="37"/>
  <c r="X1102" i="37" s="1"/>
  <c r="H428" i="43"/>
  <c r="E38" i="50" s="1"/>
  <c r="L2436" i="37"/>
  <c r="X2436" i="37" s="1"/>
  <c r="L95" i="37"/>
  <c r="X98" i="37" s="1"/>
  <c r="L300" i="37"/>
  <c r="L2976" i="37"/>
  <c r="X2979" i="37" s="1"/>
  <c r="L2296" i="37"/>
  <c r="X2300" i="37" s="1"/>
  <c r="L1417" i="37"/>
  <c r="L1778" i="37"/>
  <c r="X1780" i="37" s="1"/>
  <c r="L926" i="37"/>
  <c r="X926" i="37" s="1"/>
  <c r="L2178" i="37"/>
  <c r="X2178" i="37" s="1"/>
  <c r="L1158" i="37"/>
  <c r="X1158" i="37" s="1"/>
  <c r="L526" i="37"/>
  <c r="L668" i="37"/>
  <c r="X668" i="37" s="1"/>
  <c r="L1719" i="37"/>
  <c r="L233" i="37"/>
  <c r="L1982" i="37"/>
  <c r="X1986" i="37" s="1"/>
  <c r="L342" i="37"/>
  <c r="X345" i="37" s="1"/>
  <c r="L976" i="37"/>
  <c r="X979" i="37" s="1"/>
  <c r="L2782" i="37"/>
  <c r="X2782" i="37" s="1"/>
  <c r="L872" i="37"/>
  <c r="X874" i="37" s="1"/>
  <c r="L1451" i="37"/>
  <c r="L498" i="37"/>
  <c r="X498" i="37" s="1"/>
  <c r="L751" i="37"/>
  <c r="X751" i="37" s="1"/>
  <c r="L837" i="37"/>
  <c r="L2720" i="37"/>
  <c r="L1723" i="37"/>
  <c r="X1723" i="37" s="1"/>
  <c r="L372" i="37"/>
  <c r="X375" i="37" s="1"/>
  <c r="L570" i="37"/>
  <c r="X572" i="37" s="1"/>
  <c r="L2347" i="37"/>
  <c r="L2226" i="37"/>
  <c r="L2995" i="37"/>
  <c r="X2998" i="37" s="1"/>
  <c r="L1061" i="37"/>
  <c r="L1622" i="37"/>
  <c r="L588" i="37"/>
  <c r="X588" i="37" s="1"/>
  <c r="L2310" i="37"/>
  <c r="X2310" i="37" s="1"/>
  <c r="L862" i="37"/>
  <c r="X865" i="37" s="1"/>
  <c r="L1550" i="37"/>
  <c r="X1553" i="37" s="1"/>
  <c r="L1139" i="37"/>
  <c r="L20" i="37"/>
  <c r="L2865" i="37"/>
  <c r="X2865" i="37" s="1"/>
  <c r="L2813" i="37"/>
  <c r="X2816" i="37" s="1"/>
  <c r="L261" i="49"/>
  <c r="L211" i="49"/>
  <c r="L190" i="49"/>
  <c r="L202" i="49"/>
  <c r="V202" i="49" s="1"/>
  <c r="H279" i="41"/>
  <c r="H371" i="50" s="1"/>
  <c r="M279" i="41"/>
  <c r="M371" i="50" s="1"/>
  <c r="J244" i="41"/>
  <c r="Q217" i="42"/>
  <c r="J278" i="49"/>
  <c r="J3042" i="37"/>
  <c r="J393" i="41"/>
  <c r="J421" i="47"/>
  <c r="J2596" i="50"/>
  <c r="I415" i="43"/>
  <c r="J950" i="42"/>
  <c r="P2245" i="50"/>
  <c r="P2234" i="50"/>
  <c r="P2215" i="50"/>
  <c r="P2222" i="50"/>
  <c r="P2240" i="50"/>
  <c r="P2192" i="50"/>
  <c r="P2196" i="50"/>
  <c r="P2232" i="50"/>
  <c r="P2242" i="50"/>
  <c r="P2216" i="50"/>
  <c r="P2204" i="50"/>
  <c r="P2191" i="50"/>
  <c r="P2241" i="50"/>
  <c r="P2223" i="50"/>
  <c r="P2246" i="50"/>
  <c r="P2247" i="50"/>
  <c r="P2248" i="50"/>
  <c r="P2214" i="50"/>
  <c r="P2239" i="50"/>
  <c r="P2243" i="50"/>
  <c r="P2228" i="50"/>
  <c r="H2188" i="50"/>
  <c r="P2210" i="50"/>
  <c r="P2207" i="50"/>
  <c r="A2207" i="50" s="1"/>
  <c r="P2217" i="50"/>
  <c r="P2205" i="50"/>
  <c r="P2206" i="50" s="1"/>
  <c r="P2213" i="50"/>
  <c r="P2237" i="50"/>
  <c r="P2244" i="50"/>
  <c r="R2185" i="50"/>
  <c r="E2188" i="50"/>
  <c r="P2235" i="50"/>
  <c r="P2233" i="50"/>
  <c r="L68" i="50"/>
  <c r="W27" i="49"/>
  <c r="H146" i="50"/>
  <c r="H100" i="49"/>
  <c r="X132" i="62"/>
  <c r="J132" i="62"/>
  <c r="I132" i="62"/>
  <c r="N132" i="62"/>
  <c r="K279" i="41"/>
  <c r="K371" i="50" s="1"/>
  <c r="K370" i="50"/>
  <c r="P2296" i="50"/>
  <c r="P2287" i="50"/>
  <c r="P2301" i="50"/>
  <c r="P2258" i="50"/>
  <c r="P2300" i="50"/>
  <c r="P2282" i="50"/>
  <c r="P2298" i="50"/>
  <c r="P2273" i="50"/>
  <c r="A2273" i="50" s="1"/>
  <c r="P2292" i="50"/>
  <c r="P2271" i="50"/>
  <c r="P2272" i="50" s="1"/>
  <c r="E2255" i="50"/>
  <c r="H2255" i="50"/>
  <c r="P2270" i="50"/>
  <c r="P2306" i="50"/>
  <c r="P2262" i="50"/>
  <c r="P2276" i="50"/>
  <c r="R2252" i="50"/>
  <c r="P2281" i="50"/>
  <c r="P2294" i="50"/>
  <c r="P2307" i="50"/>
  <c r="P2299" i="50"/>
  <c r="P2302" i="50"/>
  <c r="K278" i="49"/>
  <c r="K2596" i="50"/>
  <c r="K421" i="47"/>
  <c r="K393" i="41"/>
  <c r="K3042" i="37"/>
  <c r="K950" i="42"/>
  <c r="J369" i="50"/>
  <c r="J279" i="41"/>
  <c r="J371" i="50" s="1"/>
  <c r="I68" i="50"/>
  <c r="T27" i="49"/>
  <c r="M413" i="41"/>
  <c r="M420" i="41" s="1"/>
  <c r="M267" i="50"/>
  <c r="I128" i="41"/>
  <c r="I270" i="50" s="1"/>
  <c r="I412" i="41"/>
  <c r="I419" i="41" s="1"/>
  <c r="I426" i="41" s="1"/>
  <c r="I433" i="41" s="1"/>
  <c r="I189" i="41"/>
  <c r="I267" i="50"/>
  <c r="I413" i="41"/>
  <c r="I420" i="41" s="1"/>
  <c r="H2207" i="50"/>
  <c r="H2200" i="50"/>
  <c r="H2204" i="50" s="1"/>
  <c r="N413" i="41"/>
  <c r="N420" i="41" s="1"/>
  <c r="N267" i="50"/>
  <c r="N412" i="41"/>
  <c r="N419" i="41" s="1"/>
  <c r="N426" i="41" s="1"/>
  <c r="N433" i="41" s="1"/>
  <c r="N189" i="41"/>
  <c r="G430" i="43"/>
  <c r="H430" i="43" s="1"/>
  <c r="E40" i="50" s="1"/>
  <c r="AG87" i="42"/>
  <c r="X87" i="42"/>
  <c r="K430" i="43"/>
  <c r="L40" i="50" s="1"/>
  <c r="X855" i="42"/>
  <c r="L182" i="37"/>
  <c r="X186" i="37" s="1"/>
  <c r="L1796" i="37"/>
  <c r="X1796" i="37" s="1"/>
  <c r="L2807" i="37"/>
  <c r="X2807" i="37" s="1"/>
  <c r="L64" i="37"/>
  <c r="X64" i="37" s="1"/>
  <c r="L1119" i="37"/>
  <c r="X1119" i="37" s="1"/>
  <c r="L1876" i="37"/>
  <c r="X1876" i="37" s="1"/>
  <c r="L2055" i="37"/>
  <c r="L1421" i="37"/>
  <c r="X1421" i="37" s="1"/>
  <c r="L1512" i="37"/>
  <c r="L940" i="37"/>
  <c r="X940" i="37" s="1"/>
  <c r="L2942" i="37"/>
  <c r="L2830" i="37"/>
  <c r="L2598" i="37"/>
  <c r="X2602" i="37" s="1"/>
  <c r="L322" i="37"/>
  <c r="X322" i="37" s="1"/>
  <c r="L3022" i="37"/>
  <c r="L2528" i="37"/>
  <c r="L205" i="37"/>
  <c r="X205" i="37" s="1"/>
  <c r="L2640" i="37"/>
  <c r="L2269" i="37"/>
  <c r="L2621" i="37"/>
  <c r="X2621" i="37" s="1"/>
  <c r="L2319" i="37"/>
  <c r="X2319" i="37" s="1"/>
  <c r="L2511" i="37"/>
  <c r="X2514" i="37" s="1"/>
  <c r="L2923" i="37"/>
  <c r="X2923" i="37" s="1"/>
  <c r="L70" i="37"/>
  <c r="X73" i="37" s="1"/>
  <c r="L286" i="37"/>
  <c r="X286" i="37" s="1"/>
  <c r="L602" i="37"/>
  <c r="L2684" i="37"/>
  <c r="X2686" i="37" s="1"/>
  <c r="L1924" i="37"/>
  <c r="L2184" i="37"/>
  <c r="X2187" i="37" s="1"/>
  <c r="L2025" i="37"/>
  <c r="X2025" i="37" s="1"/>
  <c r="L995" i="37"/>
  <c r="X995" i="37" s="1"/>
  <c r="L1130" i="37"/>
  <c r="L908" i="37"/>
  <c r="L1001" i="37"/>
  <c r="X1004" i="37" s="1"/>
  <c r="L554" i="37"/>
  <c r="X554" i="37" s="1"/>
  <c r="L2505" i="37"/>
  <c r="X2505" i="37" s="1"/>
  <c r="L1599" i="37"/>
  <c r="X1599" i="37" s="1"/>
  <c r="L34" i="37"/>
  <c r="X34" i="37" s="1"/>
  <c r="L759" i="37"/>
  <c r="L881" i="37"/>
  <c r="X884" i="37" s="1"/>
  <c r="L2450" i="37"/>
  <c r="X2450" i="37" s="1"/>
  <c r="L2021" i="37"/>
  <c r="L2148" i="37"/>
  <c r="X2148" i="37" s="1"/>
  <c r="L1665" i="37"/>
  <c r="L147" i="37"/>
  <c r="X147" i="37" s="1"/>
  <c r="L1303" i="37"/>
  <c r="X1306" i="37" s="1"/>
  <c r="L1959" i="37"/>
  <c r="X1959" i="37" s="1"/>
  <c r="L2486" i="37"/>
  <c r="X2489" i="37" s="1"/>
  <c r="L507" i="37"/>
  <c r="X507" i="37" s="1"/>
  <c r="L2649" i="37"/>
  <c r="L449" i="37"/>
  <c r="X449" i="37" s="1"/>
  <c r="L890" i="37"/>
  <c r="X890" i="37" s="1"/>
  <c r="L579" i="37"/>
  <c r="X582" i="37" s="1"/>
  <c r="L2612" i="37"/>
  <c r="X2612" i="37" s="1"/>
  <c r="L535" i="37"/>
  <c r="L1692" i="37"/>
  <c r="X1696" i="37" s="1"/>
  <c r="L1192" i="37"/>
  <c r="X1192" i="37" s="1"/>
  <c r="L2382" i="37"/>
  <c r="X2384" i="37" s="1"/>
  <c r="L1530" i="37"/>
  <c r="X1530" i="37" s="1"/>
  <c r="L2089" i="37"/>
  <c r="X2092" i="37" s="1"/>
  <c r="L3048" i="37"/>
  <c r="L1149" i="37"/>
  <c r="L457" i="37"/>
  <c r="L2758" i="37"/>
  <c r="X2761" i="37" s="1"/>
  <c r="L2873" i="37"/>
  <c r="L2571" i="37"/>
  <c r="L847" i="37"/>
  <c r="L560" i="37"/>
  <c r="X563" i="37" s="1"/>
  <c r="L1432" i="37"/>
  <c r="L2563" i="37"/>
  <c r="X2563" i="37" s="1"/>
  <c r="L817" i="37"/>
  <c r="X817" i="37" s="1"/>
  <c r="L674" i="37"/>
  <c r="X677" i="37" s="1"/>
  <c r="L774" i="37"/>
  <c r="X778" i="37" s="1"/>
  <c r="L391" i="37"/>
  <c r="X391" i="37" s="1"/>
  <c r="L2716" i="37"/>
  <c r="L1476" i="37"/>
  <c r="X1478" i="37" s="1"/>
  <c r="L624" i="37"/>
  <c r="X624" i="37" s="1"/>
  <c r="L2668" i="37"/>
  <c r="X2668" i="37" s="1"/>
  <c r="L786" i="37"/>
  <c r="X790" i="37" s="1"/>
  <c r="L1580" i="37"/>
  <c r="X1583" i="37" s="1"/>
  <c r="L2414" i="37"/>
  <c r="L2702" i="37"/>
  <c r="X2702" i="37" s="1"/>
  <c r="L155" i="37"/>
  <c r="L2931" i="37"/>
  <c r="X2931" i="37" s="1"/>
  <c r="L3004" i="37"/>
  <c r="X3004" i="37" s="1"/>
  <c r="L828" i="37"/>
  <c r="L213" i="37"/>
  <c r="X213" i="37" s="1"/>
  <c r="L277" i="37"/>
  <c r="X280" i="37" s="1"/>
  <c r="L2693" i="37"/>
  <c r="X2696" i="37" s="1"/>
  <c r="L472" i="37"/>
  <c r="X476" i="37" s="1"/>
  <c r="L484" i="37"/>
  <c r="X488" i="37" s="1"/>
  <c r="L2098" i="37"/>
  <c r="X2098" i="37" s="1"/>
  <c r="L1228" i="37"/>
  <c r="X1228" i="37" s="1"/>
  <c r="L2357" i="37"/>
  <c r="L1494" i="37"/>
  <c r="X1494" i="37" s="1"/>
  <c r="L1206" i="37"/>
  <c r="L1832" i="37"/>
  <c r="X1832" i="37" s="1"/>
  <c r="L2752" i="37"/>
  <c r="X2752" i="37" s="1"/>
  <c r="L2116" i="37"/>
  <c r="L809" i="37"/>
  <c r="X809" i="37" s="1"/>
  <c r="L1018" i="37"/>
  <c r="L3018" i="37"/>
  <c r="L1320" i="37"/>
  <c r="L2888" i="37"/>
  <c r="X2892" i="37" s="1"/>
  <c r="L1460" i="37"/>
  <c r="X1460" i="37" s="1"/>
  <c r="L2323" i="37"/>
  <c r="L2788" i="37"/>
  <c r="X2791" i="37" s="1"/>
  <c r="L2045" i="37"/>
  <c r="L224" i="37"/>
  <c r="L2480" i="37"/>
  <c r="X2480" i="37" s="1"/>
  <c r="L1210" i="37"/>
  <c r="L1852" i="37"/>
  <c r="X1855" i="37" s="1"/>
  <c r="L2036" i="37"/>
  <c r="L515" i="37"/>
  <c r="X515" i="37" s="1"/>
  <c r="L813" i="37"/>
  <c r="L2659" i="37"/>
  <c r="L2372" i="37"/>
  <c r="X2375" i="37" s="1"/>
  <c r="L1605" i="37"/>
  <c r="X1608" i="37" s="1"/>
  <c r="L2209" i="37"/>
  <c r="X2212" i="37" s="1"/>
  <c r="L1994" i="37"/>
  <c r="X1998" i="37" s="1"/>
  <c r="L2970" i="37"/>
  <c r="X2970" i="37" s="1"/>
  <c r="L112" i="37"/>
  <c r="L209" i="37"/>
  <c r="L1907" i="37"/>
  <c r="X1910" i="37" s="1"/>
  <c r="L2134" i="37"/>
  <c r="X2134" i="37" s="1"/>
  <c r="L904" i="37"/>
  <c r="L1715" i="37"/>
  <c r="X1715" i="37" s="1"/>
  <c r="L1248" i="37"/>
  <c r="X1251" i="37" s="1"/>
  <c r="L1115" i="37"/>
  <c r="L2070" i="37"/>
  <c r="X2073" i="37" s="1"/>
  <c r="L1378" i="37"/>
  <c r="X1382" i="37" s="1"/>
  <c r="L800" i="37"/>
  <c r="X800" i="37" s="1"/>
  <c r="L1508" i="37"/>
  <c r="L1810" i="37"/>
  <c r="L1706" i="37"/>
  <c r="X1706" i="37" s="1"/>
  <c r="L1466" i="37"/>
  <c r="X1469" i="37" s="1"/>
  <c r="L2400" i="37"/>
  <c r="X2400" i="37" s="1"/>
  <c r="L856" i="37"/>
  <c r="X856" i="37" s="1"/>
  <c r="L2629" i="37"/>
  <c r="X2629" i="37" s="1"/>
  <c r="L2951" i="37"/>
  <c r="L716" i="37"/>
  <c r="L1882" i="37"/>
  <c r="X1885" i="37" s="1"/>
  <c r="L2008" i="37"/>
  <c r="X2008" i="37" s="1"/>
  <c r="L638" i="37"/>
  <c r="X638" i="37" s="1"/>
  <c r="L268" i="37"/>
  <c r="X270" i="37" s="1"/>
  <c r="J430" i="43"/>
  <c r="I40" i="50" s="1"/>
  <c r="AG602" i="42"/>
  <c r="L99" i="49"/>
  <c r="W20" i="49"/>
  <c r="L237" i="49"/>
  <c r="L56" i="49"/>
  <c r="L66" i="49"/>
  <c r="L82" i="49"/>
  <c r="L266" i="49"/>
  <c r="L218" i="49"/>
  <c r="L127" i="49"/>
  <c r="L197" i="49"/>
  <c r="L145" i="49"/>
  <c r="AG284" i="42"/>
  <c r="X284" i="42"/>
  <c r="J245" i="41"/>
  <c r="J197" i="41"/>
  <c r="J319" i="50" s="1"/>
  <c r="J315" i="50"/>
  <c r="G442" i="43"/>
  <c r="G450" i="43" s="1"/>
  <c r="I107" i="49"/>
  <c r="I156" i="50" s="1"/>
  <c r="I155" i="50"/>
  <c r="J335" i="50"/>
  <c r="J219" i="41"/>
  <c r="J336" i="50" s="1"/>
  <c r="Q1297" i="50"/>
  <c r="C1461" i="50"/>
  <c r="D1297" i="50"/>
  <c r="M98" i="50"/>
  <c r="M118" i="50" s="1"/>
  <c r="M100" i="50"/>
  <c r="M120" i="50" s="1"/>
  <c r="M92" i="50"/>
  <c r="M112" i="50" s="1"/>
  <c r="M104" i="50"/>
  <c r="M124" i="50" s="1"/>
  <c r="M93" i="50"/>
  <c r="M113" i="50" s="1"/>
  <c r="M103" i="50"/>
  <c r="M123" i="50" s="1"/>
  <c r="M106" i="50"/>
  <c r="M126" i="50" s="1"/>
  <c r="M109" i="50"/>
  <c r="M129" i="50" s="1"/>
  <c r="M101" i="50"/>
  <c r="M121" i="50" s="1"/>
  <c r="N107" i="49"/>
  <c r="N156" i="50" s="1"/>
  <c r="N155" i="50"/>
  <c r="L151" i="49"/>
  <c r="L177" i="50"/>
  <c r="L147" i="49"/>
  <c r="L178" i="50" s="1"/>
  <c r="H107" i="50"/>
  <c r="H103" i="50"/>
  <c r="H123" i="50" s="1"/>
  <c r="H100" i="50"/>
  <c r="H120" i="50" s="1"/>
  <c r="H104" i="50"/>
  <c r="H124" i="50" s="1"/>
  <c r="H98" i="50"/>
  <c r="H118" i="50" s="1"/>
  <c r="H106" i="50"/>
  <c r="H126" i="50" s="1"/>
  <c r="H99" i="50"/>
  <c r="H119" i="50" s="1"/>
  <c r="H95" i="50"/>
  <c r="H115" i="50" s="1"/>
  <c r="H101" i="50"/>
  <c r="H121" i="50" s="1"/>
  <c r="H96" i="50"/>
  <c r="H116" i="50" s="1"/>
  <c r="H109" i="50"/>
  <c r="H129" i="50" s="1"/>
  <c r="H108" i="50"/>
  <c r="H97" i="50"/>
  <c r="H117" i="50" s="1"/>
  <c r="H94" i="50"/>
  <c r="H114" i="50" s="1"/>
  <c r="H92" i="50"/>
  <c r="H112" i="50" s="1"/>
  <c r="H105" i="50"/>
  <c r="H125" i="50" s="1"/>
  <c r="H93" i="50"/>
  <c r="H113" i="50" s="1"/>
  <c r="H102" i="50"/>
  <c r="H122" i="50" s="1"/>
  <c r="S61" i="62"/>
  <c r="L61" i="62"/>
  <c r="U61" i="62"/>
  <c r="J107" i="49"/>
  <c r="J156" i="50" s="1"/>
  <c r="J155" i="50"/>
  <c r="I392" i="41"/>
  <c r="I420" i="47"/>
  <c r="I277" i="49"/>
  <c r="H414" i="43"/>
  <c r="I3041" i="37"/>
  <c r="I2595" i="50"/>
  <c r="I949" i="42"/>
  <c r="L2518" i="50"/>
  <c r="L2517" i="50"/>
  <c r="AG2830" i="37"/>
  <c r="AG1680" i="37"/>
  <c r="AG2036" i="37"/>
  <c r="AG1149" i="37"/>
  <c r="AG2498" i="37"/>
  <c r="AG1432" i="37"/>
  <c r="AG1787" i="37"/>
  <c r="AG1500" i="37"/>
  <c r="AG2323" i="37"/>
  <c r="AG1476" i="37"/>
  <c r="AG1719" i="37"/>
  <c r="AG224" i="37"/>
  <c r="AG2089" i="37"/>
  <c r="AG904" i="37"/>
  <c r="AG1706" i="37"/>
  <c r="AG2025" i="37"/>
  <c r="AG2693" i="37"/>
  <c r="AG2931" i="37"/>
  <c r="AG1183" i="37"/>
  <c r="AG507" i="37"/>
  <c r="AG1715" i="37"/>
  <c r="AG786" i="37"/>
  <c r="AG1530" i="37"/>
  <c r="AG1865" i="37"/>
  <c r="AG1802" i="37"/>
  <c r="AG268" i="37"/>
  <c r="AG2167" i="37"/>
  <c r="AG2995" i="37"/>
  <c r="AG526" i="37"/>
  <c r="AG2357" i="37"/>
  <c r="AG515" i="37"/>
  <c r="AG205" i="37"/>
  <c r="AG813" i="37"/>
  <c r="AG1692" i="37"/>
  <c r="AG686" i="37"/>
  <c r="AG1451" i="37"/>
  <c r="AG716" i="37"/>
  <c r="AG384" i="37"/>
  <c r="AG1115" i="37"/>
  <c r="AG2771" i="37"/>
  <c r="AG2226" i="37"/>
  <c r="AG1967" i="37"/>
  <c r="AG1111" i="37"/>
  <c r="AG2586" i="37"/>
  <c r="AG2900" i="37"/>
  <c r="AG1810" i="37"/>
  <c r="AG1723" i="37"/>
  <c r="AG2927" i="37"/>
  <c r="AG2327" i="37"/>
  <c r="AG3022" i="37"/>
  <c r="AG2269" i="37"/>
  <c r="AG2865" i="37"/>
  <c r="AG53" i="37"/>
  <c r="AG2629" i="37"/>
  <c r="AG2418" i="37"/>
  <c r="AG2400" i="37"/>
  <c r="AG817" i="37"/>
  <c r="AG847" i="37"/>
  <c r="AG1404" i="37"/>
  <c r="AG828" i="37"/>
  <c r="AG322" i="37"/>
  <c r="AG1053" i="37"/>
  <c r="AG2310" i="37"/>
  <c r="AG1413" i="37"/>
  <c r="AG2563" i="37"/>
  <c r="AG2080" i="37"/>
  <c r="AG155" i="37"/>
  <c r="AG82" i="37"/>
  <c r="AG2659" i="37"/>
  <c r="AG606" i="37"/>
  <c r="AG1924" i="37"/>
  <c r="AG1512" i="37"/>
  <c r="AG1734" i="37"/>
  <c r="AG2598" i="37"/>
  <c r="AG2800" i="37"/>
  <c r="AG1139" i="37"/>
  <c r="AG243" i="37"/>
  <c r="AG545" i="37"/>
  <c r="X20" i="37"/>
  <c r="AG170" i="37"/>
  <c r="AG2319" i="37"/>
  <c r="AG1657" i="37"/>
  <c r="AG2649" i="37"/>
  <c r="AG2986" i="37"/>
  <c r="AG182" i="37"/>
  <c r="AG2716" i="37"/>
  <c r="AG484" i="37"/>
  <c r="AG1210" i="37"/>
  <c r="AG1421" i="37"/>
  <c r="AG457" i="37"/>
  <c r="AG872" i="37"/>
  <c r="AG2914" i="37"/>
  <c r="AG2621" i="37"/>
  <c r="AG472" i="37"/>
  <c r="AG1174" i="37"/>
  <c r="AG209" i="37"/>
  <c r="AG988" i="37"/>
  <c r="AG908" i="37"/>
  <c r="AG579" i="37"/>
  <c r="AG1102" i="37"/>
  <c r="AG535" i="37"/>
  <c r="AG1130" i="37"/>
  <c r="AG2528" i="37"/>
  <c r="AG1378" i="37"/>
  <c r="AG286" i="37"/>
  <c r="AG1192" i="37"/>
  <c r="AG1355" i="37"/>
  <c r="AG1665" i="37"/>
  <c r="AG2923" i="37"/>
  <c r="AG2347" i="37"/>
  <c r="AG2008" i="37"/>
  <c r="AG1796" i="37"/>
  <c r="AG2640" i="37"/>
  <c r="AG2961" i="37"/>
  <c r="AG449" i="37"/>
  <c r="AG1753" i="37"/>
  <c r="AG751" i="37"/>
  <c r="AG2382" i="37"/>
  <c r="AG1832" i="37"/>
  <c r="AG1959" i="37"/>
  <c r="AG2284" i="37"/>
  <c r="AG2942" i="37"/>
  <c r="AG809" i="37"/>
  <c r="AG570" i="37"/>
  <c r="AG1320" i="37"/>
  <c r="AG2708" i="37"/>
  <c r="AG2017" i="37"/>
  <c r="AG881" i="37"/>
  <c r="AG2951" i="37"/>
  <c r="AG1261" i="37"/>
  <c r="AG2134" i="37"/>
  <c r="AG2888" i="37"/>
  <c r="AG1778" i="37"/>
  <c r="AG588" i="37"/>
  <c r="AG594" i="37"/>
  <c r="AG2098" i="37"/>
  <c r="AG624" i="37"/>
  <c r="AG1982" i="37"/>
  <c r="AG1290" i="37"/>
  <c r="AG2296" i="37"/>
  <c r="AG304" i="37"/>
  <c r="AG2873" i="37"/>
  <c r="AG1994" i="37"/>
  <c r="AG800" i="37"/>
  <c r="AG1494" i="37"/>
  <c r="AG1417" i="37"/>
  <c r="AG837" i="37"/>
  <c r="AG498" i="37"/>
  <c r="AG926" i="37"/>
  <c r="AG1061" i="37"/>
  <c r="AG759" i="37"/>
  <c r="AG1390" i="37"/>
  <c r="AG2338" i="37"/>
  <c r="AG147" i="37"/>
  <c r="AG2391" i="37"/>
  <c r="AG2021" i="37"/>
  <c r="AG1814" i="37"/>
  <c r="AG3004" i="37"/>
  <c r="AG2469" i="37"/>
  <c r="AG414" i="37"/>
  <c r="AG3018" i="37"/>
  <c r="AG213" i="37"/>
  <c r="AG2414" i="37"/>
  <c r="AG2625" i="37"/>
  <c r="AG602" i="37"/>
  <c r="AG2112" i="37"/>
  <c r="AG2045" i="37"/>
  <c r="AG112" i="37"/>
  <c r="AG2116" i="37"/>
  <c r="AG2702" i="37"/>
  <c r="AG1206" i="37"/>
  <c r="AG511" i="37"/>
  <c r="AG1592" i="37"/>
  <c r="AG1198" i="37"/>
  <c r="AG277" i="37"/>
  <c r="AG233" i="37"/>
  <c r="AG355" i="37"/>
  <c r="AG1485" i="37"/>
  <c r="AG1743" i="37"/>
  <c r="AG2684" i="37"/>
  <c r="AG1563" i="37"/>
  <c r="AG896" i="37"/>
  <c r="AG2720" i="37"/>
  <c r="AG1228" i="37"/>
  <c r="AG2055" i="37"/>
  <c r="AG20" i="37"/>
  <c r="AG2738" i="37"/>
  <c r="AG1508" i="37"/>
  <c r="AG1018" i="37"/>
  <c r="AG1088" i="37"/>
  <c r="AG3010" i="37"/>
  <c r="AG2261" i="37"/>
  <c r="AG2104" i="37"/>
  <c r="AG2571" i="37"/>
  <c r="AG2196" i="37"/>
  <c r="AG959" i="37"/>
  <c r="AG1894" i="37"/>
  <c r="AG292" i="37"/>
  <c r="AG890" i="37"/>
  <c r="AG774" i="37"/>
  <c r="AG657" i="37"/>
  <c r="AG196" i="37"/>
  <c r="AG1119" i="37"/>
  <c r="AG1076" i="37"/>
  <c r="AG2436" i="37"/>
  <c r="AG1441" i="37"/>
  <c r="AG1363" i="37"/>
  <c r="AG2612" i="37"/>
  <c r="AG2406" i="37"/>
  <c r="AG300" i="37"/>
  <c r="AG1622" i="37"/>
  <c r="M2425" i="50"/>
  <c r="M2428" i="50" s="1"/>
  <c r="I146" i="62"/>
  <c r="Q21" i="49"/>
  <c r="M29" i="62"/>
  <c r="E134" i="62"/>
  <c r="T29" i="62"/>
  <c r="Y33" i="62"/>
  <c r="E138" i="62"/>
  <c r="M33" i="62"/>
  <c r="T33" i="62"/>
  <c r="K427" i="43"/>
  <c r="L37" i="50" s="1"/>
  <c r="J429" i="43"/>
  <c r="I39" i="50" s="1"/>
  <c r="H429" i="43"/>
  <c r="E39" i="50" s="1"/>
  <c r="H431" i="43"/>
  <c r="E41" i="50" s="1"/>
  <c r="K431" i="43"/>
  <c r="L41" i="50" s="1"/>
  <c r="T37" i="41"/>
  <c r="I144" i="62"/>
  <c r="J427" i="43"/>
  <c r="I37" i="50" s="1"/>
  <c r="H426" i="43"/>
  <c r="E36" i="50" s="1"/>
  <c r="K426" i="43"/>
  <c r="L36" i="50" s="1"/>
  <c r="Z57" i="62"/>
  <c r="AA57" i="62" s="1"/>
  <c r="M2118" i="50"/>
  <c r="T240" i="41"/>
  <c r="I141" i="62"/>
  <c r="M12" i="42"/>
  <c r="Y63" i="62"/>
  <c r="I147" i="62"/>
  <c r="L315" i="50"/>
  <c r="L197" i="41"/>
  <c r="L319" i="50" s="1"/>
  <c r="L27" i="62"/>
  <c r="S27" i="62"/>
  <c r="I152" i="49"/>
  <c r="I181" i="50" s="1"/>
  <c r="I180" i="50"/>
  <c r="M127" i="50"/>
  <c r="M284" i="49"/>
  <c r="H432" i="43"/>
  <c r="E42" i="50" s="1"/>
  <c r="K432" i="43"/>
  <c r="L42" i="50" s="1"/>
  <c r="J432" i="43"/>
  <c r="I42" i="50" s="1"/>
  <c r="G432" i="43"/>
  <c r="Q230" i="43"/>
  <c r="R25" i="50" s="1"/>
  <c r="F25" i="50"/>
  <c r="L152" i="50"/>
  <c r="L106" i="49"/>
  <c r="L101" i="49"/>
  <c r="L153" i="50" s="1"/>
  <c r="L2467" i="50"/>
  <c r="Q2464" i="50"/>
  <c r="D2464" i="50"/>
  <c r="I2464" i="50"/>
  <c r="M2464" i="50"/>
  <c r="J180" i="50"/>
  <c r="J152" i="49"/>
  <c r="J181" i="50" s="1"/>
  <c r="N418" i="43"/>
  <c r="N393" i="41"/>
  <c r="N278" i="49"/>
  <c r="N3042" i="37"/>
  <c r="N421" i="47"/>
  <c r="N950" i="42"/>
  <c r="N2596" i="50"/>
  <c r="K281" i="49"/>
  <c r="K424" i="47"/>
  <c r="K3045" i="37"/>
  <c r="L343" i="50"/>
  <c r="L246" i="41"/>
  <c r="L244" i="41"/>
  <c r="L245" i="41"/>
  <c r="M2349" i="50"/>
  <c r="K2342" i="50"/>
  <c r="L2356" i="50"/>
  <c r="N2318" i="50"/>
  <c r="N2357" i="50"/>
  <c r="N2356" i="50"/>
  <c r="J2334" i="50"/>
  <c r="M2334" i="50"/>
  <c r="K2359" i="50"/>
  <c r="J2363" i="50"/>
  <c r="I2363" i="50"/>
  <c r="K2361" i="50"/>
  <c r="L2363" i="50"/>
  <c r="N2317" i="50"/>
  <c r="K2363" i="50"/>
  <c r="N2339" i="50"/>
  <c r="N2334" i="50"/>
  <c r="J2335" i="50"/>
  <c r="J2349" i="50"/>
  <c r="J2336" i="50"/>
  <c r="M2341" i="50"/>
  <c r="U2342" i="50" s="1"/>
  <c r="M57" i="50"/>
  <c r="M2561" i="50"/>
  <c r="Q26" i="62"/>
  <c r="E74" i="62"/>
  <c r="L74" i="62" s="1"/>
  <c r="U26" i="62"/>
  <c r="E83" i="62"/>
  <c r="L83" i="62" s="1"/>
  <c r="U35" i="62"/>
  <c r="Q35" i="62"/>
  <c r="X26" i="62"/>
  <c r="X62" i="62"/>
  <c r="Q62" i="62"/>
  <c r="X31" i="62"/>
  <c r="U31" i="62"/>
  <c r="E79" i="62"/>
  <c r="L79" i="62" s="1"/>
  <c r="Q31" i="62"/>
  <c r="S507" i="42"/>
  <c r="Q511" i="42"/>
  <c r="Q514" i="42"/>
  <c r="Q428" i="42"/>
  <c r="Q430" i="42"/>
  <c r="Q523" i="42"/>
  <c r="E414" i="42"/>
  <c r="Q483" i="42"/>
  <c r="E472" i="42"/>
  <c r="E492" i="42" s="1"/>
  <c r="Q522" i="42"/>
  <c r="Q519" i="42"/>
  <c r="Q515" i="42"/>
  <c r="Q422" i="42"/>
  <c r="Q472" i="42"/>
  <c r="S472" i="42"/>
  <c r="S510" i="42"/>
  <c r="S511" i="42"/>
  <c r="S519" i="42"/>
  <c r="Q425" i="42"/>
  <c r="Q431" i="42"/>
  <c r="Q507" i="42"/>
  <c r="Q506" i="42"/>
  <c r="S518" i="42"/>
  <c r="I455" i="42"/>
  <c r="Q485" i="42"/>
  <c r="S515" i="42"/>
  <c r="Q518" i="42"/>
  <c r="Q423" i="42"/>
  <c r="S514" i="42"/>
  <c r="S523" i="42"/>
  <c r="S506" i="42"/>
  <c r="Q482" i="42"/>
  <c r="Q510" i="42"/>
  <c r="Q492" i="42"/>
  <c r="Q486" i="42"/>
  <c r="S522" i="42"/>
  <c r="J127" i="50"/>
  <c r="J284" i="49"/>
  <c r="D254" i="34"/>
  <c r="C255" i="34"/>
  <c r="O254" i="34"/>
  <c r="R254" i="34" s="1"/>
  <c r="J2561" i="50"/>
  <c r="E123" i="62"/>
  <c r="D124" i="62"/>
  <c r="E124" i="62" s="1"/>
  <c r="M418" i="43"/>
  <c r="M278" i="49"/>
  <c r="M421" i="47"/>
  <c r="M950" i="42"/>
  <c r="M2596" i="50"/>
  <c r="M393" i="41"/>
  <c r="M3042" i="37"/>
  <c r="L281" i="49"/>
  <c r="L3045" i="37"/>
  <c r="L424" i="47"/>
  <c r="I281" i="49"/>
  <c r="I424" i="47"/>
  <c r="I3045" i="37"/>
  <c r="H12" i="50"/>
  <c r="J418" i="43"/>
  <c r="Q228" i="43"/>
  <c r="R23" i="50" s="1"/>
  <c r="F23" i="50"/>
  <c r="K313" i="50"/>
  <c r="K218" i="41"/>
  <c r="K194" i="41"/>
  <c r="K316" i="50" s="1"/>
  <c r="K193" i="41"/>
  <c r="N152" i="49"/>
  <c r="N181" i="50" s="1"/>
  <c r="N180" i="50"/>
  <c r="L219" i="41"/>
  <c r="L336" i="50" s="1"/>
  <c r="L335" i="50"/>
  <c r="M218" i="41"/>
  <c r="M313" i="50"/>
  <c r="M194" i="41"/>
  <c r="M316" i="50" s="1"/>
  <c r="M193" i="41"/>
  <c r="Y179" i="49"/>
  <c r="Y180" i="49" s="1"/>
  <c r="Y185" i="49" s="1"/>
  <c r="Y191" i="49" s="1"/>
  <c r="Y198" i="49" s="1"/>
  <c r="Y203" i="49" s="1"/>
  <c r="Y226" i="49" s="1"/>
  <c r="Y228" i="49" s="1"/>
  <c r="Y230" i="49" s="1"/>
  <c r="Y232" i="49" s="1"/>
  <c r="Y233" i="49" s="1"/>
  <c r="Y238" i="49" s="1"/>
  <c r="Y243" i="49" s="1"/>
  <c r="Y248" i="49" s="1"/>
  <c r="Y252" i="49" s="1"/>
  <c r="AK176" i="49"/>
  <c r="E76" i="62"/>
  <c r="L76" i="62" s="1"/>
  <c r="Q28" i="62"/>
  <c r="M285" i="49"/>
  <c r="M128" i="50"/>
  <c r="K151" i="49"/>
  <c r="K147" i="49"/>
  <c r="K178" i="50" s="1"/>
  <c r="K177" i="50"/>
  <c r="I2348" i="50"/>
  <c r="G2317" i="50" s="1"/>
  <c r="N2340" i="50"/>
  <c r="I2364" i="50"/>
  <c r="F2318" i="50"/>
  <c r="J2318" i="50"/>
  <c r="N2342" i="50"/>
  <c r="N2363" i="50"/>
  <c r="M2361" i="50"/>
  <c r="H2358" i="50"/>
  <c r="N2327" i="50"/>
  <c r="K2364" i="50"/>
  <c r="I2318" i="50"/>
  <c r="J2342" i="50"/>
  <c r="L2317" i="50"/>
  <c r="M2318" i="50"/>
  <c r="M2342" i="50"/>
  <c r="M2340" i="50"/>
  <c r="M2356" i="50"/>
  <c r="H2359" i="50"/>
  <c r="N2335" i="50"/>
  <c r="M2357" i="50"/>
  <c r="J2359" i="50"/>
  <c r="L2339" i="50"/>
  <c r="M2364" i="50"/>
  <c r="K2317" i="50"/>
  <c r="L2342" i="50"/>
  <c r="J2339" i="50"/>
  <c r="H281" i="49"/>
  <c r="H424" i="47"/>
  <c r="H3045" i="37"/>
  <c r="X28" i="62"/>
  <c r="K2356" i="50"/>
  <c r="M2335" i="50"/>
  <c r="I2349" i="50"/>
  <c r="V2349" i="50" s="1"/>
  <c r="L2361" i="50"/>
  <c r="H2364" i="50"/>
  <c r="K2349" i="50"/>
  <c r="J2341" i="50"/>
  <c r="R2342" i="50" s="1"/>
  <c r="N2349" i="50"/>
  <c r="I2317" i="50"/>
  <c r="M2339" i="50"/>
  <c r="I2358" i="50"/>
  <c r="M2327" i="50"/>
  <c r="N2358" i="50"/>
  <c r="L2336" i="50"/>
  <c r="K2341" i="50"/>
  <c r="S2342" i="50" s="1"/>
  <c r="H2356" i="50"/>
  <c r="L2359" i="50"/>
  <c r="L2340" i="50"/>
  <c r="M2317" i="50"/>
  <c r="J2356" i="50"/>
  <c r="G2318" i="50"/>
  <c r="M106" i="49"/>
  <c r="M152" i="50"/>
  <c r="M101" i="49"/>
  <c r="M153" i="50" s="1"/>
  <c r="E80" i="62"/>
  <c r="L80" i="62" s="1"/>
  <c r="Q32" i="62"/>
  <c r="U32" i="62"/>
  <c r="C1221" i="37"/>
  <c r="Q919" i="37"/>
  <c r="H194" i="41"/>
  <c r="H316" i="50" s="1"/>
  <c r="H193" i="41"/>
  <c r="H218" i="41"/>
  <c r="H313" i="50"/>
  <c r="Q529" i="42"/>
  <c r="R530" i="42" s="1"/>
  <c r="C676" i="42"/>
  <c r="M529" i="42"/>
  <c r="I529" i="42"/>
  <c r="F433" i="43"/>
  <c r="E434" i="43"/>
  <c r="J2421" i="50"/>
  <c r="L2420" i="50"/>
  <c r="L2375" i="50"/>
  <c r="L2414" i="50"/>
  <c r="I2413" i="50"/>
  <c r="K2414" i="50"/>
  <c r="L2399" i="50"/>
  <c r="M2416" i="50"/>
  <c r="N2416" i="50"/>
  <c r="H2421" i="50"/>
  <c r="G2375" i="50"/>
  <c r="H2374" i="50"/>
  <c r="L2398" i="50"/>
  <c r="T2399" i="50" s="1"/>
  <c r="J2397" i="50"/>
  <c r="J2413" i="50"/>
  <c r="I2415" i="50"/>
  <c r="L2374" i="50"/>
  <c r="N2413" i="50"/>
  <c r="M2398" i="50"/>
  <c r="U2399" i="50" s="1"/>
  <c r="M2375" i="50"/>
  <c r="H2415" i="50"/>
  <c r="J2392" i="50"/>
  <c r="N2399" i="50"/>
  <c r="F2375" i="50"/>
  <c r="L2396" i="50"/>
  <c r="K2406" i="50"/>
  <c r="K2413" i="50"/>
  <c r="K2416" i="50"/>
  <c r="M2421" i="50"/>
  <c r="N2391" i="50"/>
  <c r="J2415" i="50"/>
  <c r="L2416" i="50"/>
  <c r="K2420" i="50"/>
  <c r="N2397" i="50"/>
  <c r="L2384" i="50"/>
  <c r="N2393" i="50"/>
  <c r="K2415" i="50"/>
  <c r="M2420" i="50"/>
  <c r="K2392" i="50"/>
  <c r="N2398" i="50"/>
  <c r="V2399" i="50" s="1"/>
  <c r="K2384" i="50"/>
  <c r="L2391" i="50"/>
  <c r="K2418" i="50"/>
  <c r="I2374" i="50"/>
  <c r="J2420" i="50"/>
  <c r="I2405" i="50"/>
  <c r="G2374" i="50" s="1"/>
  <c r="S2405" i="50"/>
  <c r="H2416" i="50"/>
  <c r="N2414" i="50"/>
  <c r="M2391" i="50"/>
  <c r="L2413" i="50"/>
  <c r="I2418" i="50"/>
  <c r="K2421" i="50"/>
  <c r="M2374" i="50"/>
  <c r="M2397" i="50"/>
  <c r="L2392" i="50"/>
  <c r="J2396" i="50"/>
  <c r="M2415" i="50"/>
  <c r="J2416" i="50"/>
  <c r="L2421" i="50"/>
  <c r="L2397" i="50"/>
  <c r="M2392" i="50"/>
  <c r="N2420" i="50"/>
  <c r="K2391" i="50"/>
  <c r="N2406" i="50"/>
  <c r="N2418" i="50"/>
  <c r="J2398" i="50"/>
  <c r="R2399" i="50" s="1"/>
  <c r="H2413" i="50"/>
  <c r="N2421" i="50"/>
  <c r="J2374" i="50"/>
  <c r="L2418" i="50"/>
  <c r="K2396" i="50"/>
  <c r="K2399" i="50"/>
  <c r="N2415" i="50"/>
  <c r="I2416" i="50"/>
  <c r="J2371" i="50"/>
  <c r="N2392" i="50"/>
  <c r="M2396" i="50"/>
  <c r="K2375" i="50"/>
  <c r="J2418" i="50"/>
  <c r="J2384" i="50"/>
  <c r="I2406" i="50"/>
  <c r="V2406" i="50" s="1"/>
  <c r="M2413" i="50"/>
  <c r="N2384" i="50"/>
  <c r="I2420" i="50"/>
  <c r="J2414" i="50"/>
  <c r="M2406" i="50"/>
  <c r="N2375" i="50"/>
  <c r="K2374" i="50"/>
  <c r="L2393" i="50"/>
  <c r="M2418" i="50"/>
  <c r="J2406" i="50"/>
  <c r="J2399" i="50"/>
  <c r="K2371" i="50"/>
  <c r="J2391" i="50"/>
  <c r="M2414" i="50"/>
  <c r="H2375" i="50"/>
  <c r="J2393" i="50"/>
  <c r="J2375" i="50"/>
  <c r="K2393" i="50"/>
  <c r="I2414" i="50"/>
  <c r="N2396" i="50"/>
  <c r="M2371" i="50"/>
  <c r="M2393" i="50"/>
  <c r="K2398" i="50"/>
  <c r="S2399" i="50" s="1"/>
  <c r="L2415" i="50"/>
  <c r="K2397" i="50"/>
  <c r="H2414" i="50"/>
  <c r="H2420" i="50"/>
  <c r="M2399" i="50"/>
  <c r="H2418" i="50"/>
  <c r="I2375" i="50"/>
  <c r="M2384" i="50"/>
  <c r="L2406" i="50"/>
  <c r="I2421" i="50"/>
  <c r="N2374" i="50"/>
  <c r="K92" i="50"/>
  <c r="K112" i="50" s="1"/>
  <c r="K93" i="50"/>
  <c r="K113" i="50" s="1"/>
  <c r="K96" i="50"/>
  <c r="K116" i="50" s="1"/>
  <c r="K100" i="50"/>
  <c r="K120" i="50" s="1"/>
  <c r="K97" i="50"/>
  <c r="K117" i="50" s="1"/>
  <c r="K99" i="50"/>
  <c r="K119" i="50" s="1"/>
  <c r="K102" i="50"/>
  <c r="K122" i="50" s="1"/>
  <c r="K103" i="50"/>
  <c r="K123" i="50" s="1"/>
  <c r="K109" i="50"/>
  <c r="K129" i="50" s="1"/>
  <c r="K101" i="50"/>
  <c r="K121" i="50" s="1"/>
  <c r="K108" i="50"/>
  <c r="K98" i="50"/>
  <c r="K118" i="50" s="1"/>
  <c r="K105" i="50"/>
  <c r="K125" i="50" s="1"/>
  <c r="K104" i="50"/>
  <c r="K124" i="50" s="1"/>
  <c r="K95" i="50"/>
  <c r="K115" i="50" s="1"/>
  <c r="K106" i="50"/>
  <c r="K126" i="50" s="1"/>
  <c r="K94" i="50"/>
  <c r="K114" i="50" s="1"/>
  <c r="K107" i="50"/>
  <c r="Y28" i="62"/>
  <c r="Z28" i="62"/>
  <c r="AA28" i="62" s="1"/>
  <c r="T28" i="62"/>
  <c r="E133" i="62"/>
  <c r="M28" i="62"/>
  <c r="Y58" i="62"/>
  <c r="T241" i="41"/>
  <c r="M209" i="42"/>
  <c r="M65" i="41"/>
  <c r="I142" i="62"/>
  <c r="M2185" i="50"/>
  <c r="Z58" i="62"/>
  <c r="AA58" i="62" s="1"/>
  <c r="Z59" i="62"/>
  <c r="AA59" i="62" s="1"/>
  <c r="M2252" i="50"/>
  <c r="Y59" i="62"/>
  <c r="T242" i="41"/>
  <c r="I143" i="62"/>
  <c r="M406" i="42"/>
  <c r="L30" i="62"/>
  <c r="S30" i="62"/>
  <c r="E64" i="62"/>
  <c r="Y30" i="62"/>
  <c r="Z30" i="62"/>
  <c r="AA30" i="62" s="1"/>
  <c r="T30" i="62"/>
  <c r="M30" i="62"/>
  <c r="E135" i="62"/>
  <c r="L33" i="62" l="1"/>
  <c r="R33" i="62"/>
  <c r="R30" i="62"/>
  <c r="L34" i="62"/>
  <c r="R34" i="62"/>
  <c r="S34" i="62"/>
  <c r="R27" i="62"/>
  <c r="S29" i="62"/>
  <c r="L29" i="62"/>
  <c r="R29" i="62"/>
  <c r="M34" i="62"/>
  <c r="T34" i="62"/>
  <c r="E139" i="62"/>
  <c r="G2057" i="37"/>
  <c r="G1151" i="37"/>
  <c r="G547" i="37"/>
  <c r="G1755" i="37"/>
  <c r="G2359" i="37"/>
  <c r="G2661" i="37"/>
  <c r="G849" i="37"/>
  <c r="G2963" i="37"/>
  <c r="G245" i="37"/>
  <c r="G1453" i="37"/>
  <c r="I70" i="50"/>
  <c r="I35" i="49"/>
  <c r="AF390" i="42"/>
  <c r="K216" i="42"/>
  <c r="W216" i="42" s="1"/>
  <c r="K161" i="42"/>
  <c r="AF505" i="42"/>
  <c r="AF513" i="42"/>
  <c r="K386" i="42"/>
  <c r="W386" i="42" s="1"/>
  <c r="K602" i="42"/>
  <c r="K313" i="42"/>
  <c r="K749" i="42"/>
  <c r="K348" i="42"/>
  <c r="W348" i="42" s="1"/>
  <c r="K536" i="42"/>
  <c r="W536" i="42" s="1"/>
  <c r="K103" i="42"/>
  <c r="K309" i="42"/>
  <c r="W325" i="42" s="1"/>
  <c r="K421" i="42"/>
  <c r="W421" i="42" s="1"/>
  <c r="K622" i="42"/>
  <c r="W622" i="42" s="1"/>
  <c r="AF382" i="42"/>
  <c r="K809" i="42"/>
  <c r="W810" i="42" s="1"/>
  <c r="AF189" i="42"/>
  <c r="K107" i="42"/>
  <c r="W107" i="42" s="1"/>
  <c r="K64" i="42"/>
  <c r="AF64" i="42" s="1"/>
  <c r="AF161" i="42"/>
  <c r="K197" i="42"/>
  <c r="W197" i="42" s="1"/>
  <c r="K427" i="42"/>
  <c r="W430" i="42" s="1"/>
  <c r="K116" i="42"/>
  <c r="K656" i="42"/>
  <c r="W656" i="42" s="1"/>
  <c r="K368" i="42"/>
  <c r="K803" i="42"/>
  <c r="W803" i="42" s="1"/>
  <c r="AF491" i="42"/>
  <c r="K829" i="42"/>
  <c r="K631" i="42"/>
  <c r="K471" i="42"/>
  <c r="W471" i="42" s="1"/>
  <c r="AF803" i="42"/>
  <c r="K691" i="42"/>
  <c r="W691" i="42" s="1"/>
  <c r="K618" i="42"/>
  <c r="AF471" i="42"/>
  <c r="K662" i="42"/>
  <c r="W663" i="42" s="1"/>
  <c r="K726" i="42"/>
  <c r="AF726" i="42" s="1"/>
  <c r="K189" i="42"/>
  <c r="W189" i="42" s="1"/>
  <c r="K87" i="42"/>
  <c r="K398" i="42"/>
  <c r="W398" i="42" s="1"/>
  <c r="K627" i="42"/>
  <c r="W643" i="42" s="1"/>
  <c r="AF185" i="42"/>
  <c r="K261" i="42"/>
  <c r="AF261" i="42" s="1"/>
  <c r="K201" i="42"/>
  <c r="W201" i="42" s="1"/>
  <c r="K774" i="42"/>
  <c r="W790" i="42" s="1"/>
  <c r="K903" i="42"/>
  <c r="W906" i="42" s="1"/>
  <c r="K897" i="42"/>
  <c r="W897" i="42" s="1"/>
  <c r="K889" i="42"/>
  <c r="AF517" i="42"/>
  <c r="K151" i="42"/>
  <c r="W151" i="42" s="1"/>
  <c r="K185" i="42"/>
  <c r="W185" i="42" s="1"/>
  <c r="K513" i="42"/>
  <c r="W513" i="42" s="1"/>
  <c r="K193" i="42"/>
  <c r="W193" i="42" s="1"/>
  <c r="K843" i="42"/>
  <c r="W846" i="42" s="1"/>
  <c r="AF394" i="42"/>
  <c r="K413" i="42"/>
  <c r="W413" i="42" s="1"/>
  <c r="AF509" i="42"/>
  <c r="K509" i="42"/>
  <c r="W509" i="42" s="1"/>
  <c r="K683" i="42"/>
  <c r="W683" i="42" s="1"/>
  <c r="K390" i="42"/>
  <c r="W390" i="42" s="1"/>
  <c r="K491" i="42"/>
  <c r="AF481" i="42"/>
  <c r="K769" i="42"/>
  <c r="W769" i="42" s="1"/>
  <c r="K579" i="42"/>
  <c r="AF579" i="42" s="1"/>
  <c r="K778" i="42"/>
  <c r="AF358" i="42"/>
  <c r="K517" i="42"/>
  <c r="W517" i="42" s="1"/>
  <c r="AF398" i="42"/>
  <c r="K505" i="42"/>
  <c r="W505" i="42" s="1"/>
  <c r="K544" i="42"/>
  <c r="W544" i="42" s="1"/>
  <c r="AF386" i="42"/>
  <c r="K358" i="42"/>
  <c r="K521" i="42"/>
  <c r="W521" i="42" s="1"/>
  <c r="K284" i="42"/>
  <c r="AF197" i="42"/>
  <c r="K869" i="42"/>
  <c r="K304" i="42"/>
  <c r="W304" i="42" s="1"/>
  <c r="K27" i="42"/>
  <c r="W27" i="42" s="1"/>
  <c r="K19" i="42"/>
  <c r="W19" i="42" s="1"/>
  <c r="AF151" i="42"/>
  <c r="AF809" i="42"/>
  <c r="AF201" i="42"/>
  <c r="K481" i="42"/>
  <c r="K224" i="42"/>
  <c r="W224" i="42" s="1"/>
  <c r="AF171" i="42"/>
  <c r="AF348" i="42"/>
  <c r="K112" i="42"/>
  <c r="W128" i="42" s="1"/>
  <c r="AF662" i="42"/>
  <c r="AF521" i="42"/>
  <c r="AF368" i="42"/>
  <c r="AF656" i="42"/>
  <c r="K837" i="42"/>
  <c r="W837" i="42" s="1"/>
  <c r="K300" i="42"/>
  <c r="K382" i="42"/>
  <c r="W382" i="42" s="1"/>
  <c r="K929" i="42"/>
  <c r="K394" i="42"/>
  <c r="W394" i="42" s="1"/>
  <c r="AF193" i="42"/>
  <c r="K171" i="42"/>
  <c r="K765" i="42"/>
  <c r="K991" i="50"/>
  <c r="S1302" i="50"/>
  <c r="S1138" i="50"/>
  <c r="K1252" i="50"/>
  <c r="S1794" i="50"/>
  <c r="K2145" i="50"/>
  <c r="K1088" i="50"/>
  <c r="K2453" i="50"/>
  <c r="K2404" i="50"/>
  <c r="K2442" i="50"/>
  <c r="K513" i="50"/>
  <c r="K91" i="50"/>
  <c r="S2257" i="50"/>
  <c r="K2438" i="50"/>
  <c r="K2280" i="50"/>
  <c r="K2395" i="50"/>
  <c r="K1908" i="50"/>
  <c r="K2338" i="50"/>
  <c r="K2481" i="50"/>
  <c r="K585" i="50"/>
  <c r="K160" i="50"/>
  <c r="K2221" i="50"/>
  <c r="K2132" i="50"/>
  <c r="K63" i="50"/>
  <c r="K2523" i="50"/>
  <c r="K2516" i="50"/>
  <c r="S1630" i="50"/>
  <c r="K211" i="50"/>
  <c r="K165" i="50"/>
  <c r="K2473" i="50"/>
  <c r="K1744" i="50"/>
  <c r="K2373" i="50"/>
  <c r="K2212" i="50"/>
  <c r="K2136" i="50"/>
  <c r="S810" i="50"/>
  <c r="K499" i="50"/>
  <c r="K2199" i="50"/>
  <c r="K2190" i="50"/>
  <c r="K2382" i="50"/>
  <c r="K2386" i="50"/>
  <c r="K2257" i="50"/>
  <c r="S2341" i="50"/>
  <c r="K2378" i="50"/>
  <c r="K2269" i="50"/>
  <c r="K2072" i="50"/>
  <c r="K140" i="50"/>
  <c r="K2286" i="50"/>
  <c r="K176" i="50"/>
  <c r="K569" i="50"/>
  <c r="S1466" i="50"/>
  <c r="S2398" i="50"/>
  <c r="K2477" i="50"/>
  <c r="K2498" i="50"/>
  <c r="K2566" i="50"/>
  <c r="K2195" i="50"/>
  <c r="S2373" i="50"/>
  <c r="S2374" i="50" s="1"/>
  <c r="K555" i="50"/>
  <c r="S2215" i="50"/>
  <c r="K2203" i="50"/>
  <c r="K2469" i="50"/>
  <c r="K2459" i="50"/>
  <c r="K2550" i="50"/>
  <c r="K2325" i="50"/>
  <c r="K541" i="50"/>
  <c r="K527" i="50"/>
  <c r="K2430" i="50"/>
  <c r="S1958" i="50"/>
  <c r="K2353" i="50"/>
  <c r="K221" i="50"/>
  <c r="K145" i="50"/>
  <c r="K2329" i="50"/>
  <c r="K482" i="50"/>
  <c r="K187" i="50"/>
  <c r="S482" i="50"/>
  <c r="K346" i="50"/>
  <c r="S974" i="50"/>
  <c r="K924" i="50"/>
  <c r="K151" i="50"/>
  <c r="K170" i="50"/>
  <c r="K2554" i="50"/>
  <c r="K135" i="50"/>
  <c r="K2160" i="50"/>
  <c r="K2154" i="50"/>
  <c r="S2430" i="50"/>
  <c r="S2469" i="50"/>
  <c r="K2261" i="50"/>
  <c r="K1580" i="50"/>
  <c r="S2148" i="50"/>
  <c r="S2316" i="50"/>
  <c r="S2317" i="50" s="1"/>
  <c r="K2123" i="50"/>
  <c r="K1416" i="50"/>
  <c r="K2265" i="50"/>
  <c r="K760" i="50"/>
  <c r="K111" i="50"/>
  <c r="K199" i="50"/>
  <c r="K2316" i="50"/>
  <c r="S646" i="50"/>
  <c r="K596" i="50"/>
  <c r="K490" i="50"/>
  <c r="K2560" i="50"/>
  <c r="K2434" i="50"/>
  <c r="K2347" i="50"/>
  <c r="K2227" i="50"/>
  <c r="K486" i="50"/>
  <c r="S2123" i="50"/>
  <c r="K2128" i="50"/>
  <c r="K2321" i="50"/>
  <c r="S2190" i="50"/>
  <c r="K2410" i="50"/>
  <c r="K2492" i="50"/>
  <c r="K2546" i="50"/>
  <c r="K2547" i="50" s="1"/>
  <c r="K1989" i="50"/>
  <c r="K1717" i="50"/>
  <c r="K2031" i="50"/>
  <c r="K1733" i="50"/>
  <c r="K1958" i="50"/>
  <c r="K1703" i="50"/>
  <c r="K1539" i="50"/>
  <c r="K1881" i="50"/>
  <c r="K1647" i="50"/>
  <c r="K1319" i="50"/>
  <c r="K1497" i="50"/>
  <c r="K1347" i="50"/>
  <c r="K1511" i="50"/>
  <c r="K1897" i="50"/>
  <c r="K1675" i="50"/>
  <c r="K2003" i="50"/>
  <c r="K1638" i="50"/>
  <c r="K1867" i="50"/>
  <c r="K1661" i="50"/>
  <c r="K1525" i="50"/>
  <c r="K1798" i="50"/>
  <c r="K1553" i="50"/>
  <c r="K1183" i="50"/>
  <c r="K1474" i="50"/>
  <c r="K1310" i="50"/>
  <c r="K1630" i="50"/>
  <c r="K2045" i="50"/>
  <c r="K1634" i="50"/>
  <c r="K1794" i="50"/>
  <c r="K1155" i="50"/>
  <c r="K1302" i="50"/>
  <c r="K1225" i="50"/>
  <c r="K1142" i="50"/>
  <c r="K869" i="50"/>
  <c r="K646" i="50"/>
  <c r="K1077" i="50"/>
  <c r="K663" i="50"/>
  <c r="K913" i="50"/>
  <c r="K691" i="50"/>
  <c r="K719" i="50"/>
  <c r="K883" i="50"/>
  <c r="K2061" i="50"/>
  <c r="K1962" i="50"/>
  <c r="K1569" i="50"/>
  <c r="K1689" i="50"/>
  <c r="K1061" i="50"/>
  <c r="K1197" i="50"/>
  <c r="K1146" i="50"/>
  <c r="K1047" i="50"/>
  <c r="K827" i="50"/>
  <c r="K1483" i="50"/>
  <c r="K1005" i="50"/>
  <c r="K654" i="50"/>
  <c r="K897" i="50"/>
  <c r="K677" i="50"/>
  <c r="K733" i="50"/>
  <c r="K1138" i="50"/>
  <c r="K1853" i="50"/>
  <c r="K1966" i="50"/>
  <c r="K1839" i="50"/>
  <c r="K2017" i="50"/>
  <c r="K1389" i="50"/>
  <c r="K1466" i="50"/>
  <c r="K1470" i="50"/>
  <c r="K1241" i="50"/>
  <c r="K1019" i="50"/>
  <c r="K818" i="50"/>
  <c r="K1405" i="50"/>
  <c r="K982" i="50"/>
  <c r="K1361" i="50"/>
  <c r="K841" i="50"/>
  <c r="K650" i="50"/>
  <c r="K1033" i="50"/>
  <c r="K1811" i="50"/>
  <c r="K1825" i="50"/>
  <c r="K1802" i="50"/>
  <c r="K1975" i="50"/>
  <c r="K1333" i="50"/>
  <c r="K1375" i="50"/>
  <c r="K1306" i="50"/>
  <c r="K1211" i="50"/>
  <c r="K974" i="50"/>
  <c r="K810" i="50"/>
  <c r="K1169" i="50"/>
  <c r="K814" i="50"/>
  <c r="K978" i="50"/>
  <c r="K749" i="50"/>
  <c r="K705" i="50"/>
  <c r="K855" i="50"/>
  <c r="L35" i="49"/>
  <c r="L70" i="50"/>
  <c r="I2596" i="50"/>
  <c r="V2348" i="50" s="1"/>
  <c r="H415" i="43"/>
  <c r="I278" i="49"/>
  <c r="I421" i="47"/>
  <c r="I3042" i="37"/>
  <c r="I393" i="41"/>
  <c r="I950" i="42"/>
  <c r="J847" i="37"/>
  <c r="J881" i="37"/>
  <c r="V884" i="37" s="1"/>
  <c r="J2486" i="37"/>
  <c r="V2489" i="37" s="1"/>
  <c r="J2064" i="37"/>
  <c r="V2064" i="37" s="1"/>
  <c r="J1192" i="37"/>
  <c r="V1192" i="37" s="1"/>
  <c r="J872" i="37"/>
  <c r="V874" i="37" s="1"/>
  <c r="J890" i="37"/>
  <c r="V890" i="37" s="1"/>
  <c r="J674" i="37"/>
  <c r="V677" i="37" s="1"/>
  <c r="J2807" i="37"/>
  <c r="V2807" i="37" s="1"/>
  <c r="J2319" i="37"/>
  <c r="V2319" i="37" s="1"/>
  <c r="J2738" i="37"/>
  <c r="V2738" i="37" s="1"/>
  <c r="J716" i="37"/>
  <c r="J1363" i="37"/>
  <c r="J2888" i="37"/>
  <c r="V2892" i="37" s="1"/>
  <c r="J2296" i="37"/>
  <c r="V2300" i="37" s="1"/>
  <c r="J2357" i="37"/>
  <c r="J2505" i="37"/>
  <c r="V2505" i="37" s="1"/>
  <c r="J1404" i="37"/>
  <c r="V1404" i="37" s="1"/>
  <c r="J1665" i="37"/>
  <c r="J2036" i="37"/>
  <c r="J1076" i="37"/>
  <c r="V1080" i="37" s="1"/>
  <c r="J2649" i="37"/>
  <c r="J182" i="37"/>
  <c r="V186" i="37" s="1"/>
  <c r="J759" i="37"/>
  <c r="J2865" i="37"/>
  <c r="V2865" i="37" s="1"/>
  <c r="J2456" i="37"/>
  <c r="V2459" i="37" s="1"/>
  <c r="J1088" i="37"/>
  <c r="V1092" i="37" s="1"/>
  <c r="J170" i="37"/>
  <c r="V174" i="37" s="1"/>
  <c r="J1018" i="37"/>
  <c r="J1901" i="37"/>
  <c r="V1901" i="37" s="1"/>
  <c r="J2986" i="37"/>
  <c r="V2988" i="37" s="1"/>
  <c r="J457" i="37"/>
  <c r="J2284" i="37"/>
  <c r="V2288" i="37" s="1"/>
  <c r="J2391" i="37"/>
  <c r="V2394" i="37" s="1"/>
  <c r="J535" i="37"/>
  <c r="J1115" i="37"/>
  <c r="J2310" i="37"/>
  <c r="V2310" i="37" s="1"/>
  <c r="J2942" i="37"/>
  <c r="J2659" i="37"/>
  <c r="J1130" i="37"/>
  <c r="J1061" i="37"/>
  <c r="J2436" i="37"/>
  <c r="V2436" i="37" s="1"/>
  <c r="J64" i="37"/>
  <c r="V64" i="37" s="1"/>
  <c r="J20" i="37"/>
  <c r="J2961" i="37"/>
  <c r="J1390" i="37"/>
  <c r="V1394" i="37" s="1"/>
  <c r="J2323" i="37"/>
  <c r="J1119" i="37"/>
  <c r="V1119" i="37" s="1"/>
  <c r="J1778" i="37"/>
  <c r="V1780" i="37" s="1"/>
  <c r="J624" i="37"/>
  <c r="V624" i="37" s="1"/>
  <c r="J2720" i="37"/>
  <c r="J2923" i="37"/>
  <c r="V2923" i="37" s="1"/>
  <c r="J2830" i="37"/>
  <c r="J1001" i="37"/>
  <c r="V1004" i="37" s="1"/>
  <c r="J1158" i="37"/>
  <c r="V1158" i="37" s="1"/>
  <c r="J1378" i="37"/>
  <c r="V1382" i="37" s="1"/>
  <c r="J570" i="37"/>
  <c r="V572" i="37" s="1"/>
  <c r="J3022" i="37"/>
  <c r="J2418" i="37"/>
  <c r="J2080" i="37"/>
  <c r="V2082" i="37" s="1"/>
  <c r="J1149" i="37"/>
  <c r="J2668" i="37"/>
  <c r="V2668" i="37" s="1"/>
  <c r="J2563" i="37"/>
  <c r="V2563" i="37" s="1"/>
  <c r="J1719" i="37"/>
  <c r="J2372" i="37"/>
  <c r="V2375" i="37" s="1"/>
  <c r="J2621" i="37"/>
  <c r="V2621" i="37" s="1"/>
  <c r="J1832" i="37"/>
  <c r="V1832" i="37" s="1"/>
  <c r="J2716" i="37"/>
  <c r="J268" i="37"/>
  <c r="V270" i="37" s="1"/>
  <c r="J2970" i="37"/>
  <c r="V2970" i="37" s="1"/>
  <c r="J472" i="37"/>
  <c r="V476" i="37" s="1"/>
  <c r="J970" i="37"/>
  <c r="V970" i="37" s="1"/>
  <c r="J1466" i="37"/>
  <c r="V1469" i="37" s="1"/>
  <c r="J2184" i="37"/>
  <c r="V2187" i="37" s="1"/>
  <c r="J908" i="37"/>
  <c r="J147" i="37"/>
  <c r="V147" i="37" s="1"/>
  <c r="J1485" i="37"/>
  <c r="V1488" i="37" s="1"/>
  <c r="J95" i="37"/>
  <c r="V98" i="37" s="1"/>
  <c r="J2782" i="37"/>
  <c r="V2782" i="37" s="1"/>
  <c r="J2674" i="37"/>
  <c r="V2677" i="37" s="1"/>
  <c r="J2702" i="37"/>
  <c r="V2702" i="37" s="1"/>
  <c r="J1787" i="37"/>
  <c r="V1790" i="37" s="1"/>
  <c r="J2045" i="37"/>
  <c r="J2752" i="37"/>
  <c r="V2752" i="37" s="1"/>
  <c r="J817" i="37"/>
  <c r="V817" i="37" s="1"/>
  <c r="J2209" i="37"/>
  <c r="V2212" i="37" s="1"/>
  <c r="J1580" i="37"/>
  <c r="V1583" i="37" s="1"/>
  <c r="J89" i="37"/>
  <c r="V89" i="37" s="1"/>
  <c r="J2089" i="37"/>
  <c r="V2092" i="37" s="1"/>
  <c r="J1657" i="37"/>
  <c r="V1657" i="37" s="1"/>
  <c r="J1762" i="37"/>
  <c r="V1762" i="37" s="1"/>
  <c r="J1210" i="37"/>
  <c r="J304" i="37"/>
  <c r="J809" i="37"/>
  <c r="V809" i="37" s="1"/>
  <c r="J1053" i="37"/>
  <c r="V1053" i="37" s="1"/>
  <c r="J507" i="37"/>
  <c r="V507" i="37" s="1"/>
  <c r="J243" i="37"/>
  <c r="J286" i="37"/>
  <c r="V286" i="37" s="1"/>
  <c r="J2528" i="37"/>
  <c r="J3004" i="37"/>
  <c r="V3004" i="37" s="1"/>
  <c r="J526" i="37"/>
  <c r="J372" i="37"/>
  <c r="V375" i="37" s="1"/>
  <c r="J2914" i="37"/>
  <c r="V2914" i="37" s="1"/>
  <c r="J2586" i="37"/>
  <c r="V2590" i="37" s="1"/>
  <c r="J2758" i="37"/>
  <c r="V2761" i="37" s="1"/>
  <c r="J1164" i="37"/>
  <c r="V1167" i="37" s="1"/>
  <c r="J1622" i="37"/>
  <c r="J2338" i="37"/>
  <c r="J837" i="37"/>
  <c r="J70" i="37"/>
  <c r="V73" i="37" s="1"/>
  <c r="J862" i="37"/>
  <c r="V865" i="37" s="1"/>
  <c r="J2269" i="37"/>
  <c r="J2995" i="37"/>
  <c r="V2998" i="37" s="1"/>
  <c r="J2927" i="37"/>
  <c r="J277" i="37"/>
  <c r="V280" i="37" s="1"/>
  <c r="J2931" i="37"/>
  <c r="V2931" i="37" s="1"/>
  <c r="J1183" i="37"/>
  <c r="V1186" i="37" s="1"/>
  <c r="J2112" i="37"/>
  <c r="J1530" i="37"/>
  <c r="V1530" i="37" s="1"/>
  <c r="J2450" i="37"/>
  <c r="V2450" i="37" s="1"/>
  <c r="J1924" i="37"/>
  <c r="J1242" i="37"/>
  <c r="V1242" i="37" s="1"/>
  <c r="J1297" i="37"/>
  <c r="V1297" i="37" s="1"/>
  <c r="J205" i="37"/>
  <c r="V205" i="37" s="1"/>
  <c r="J904" i="37"/>
  <c r="J2366" i="37"/>
  <c r="V2366" i="37" s="1"/>
  <c r="J2788" i="37"/>
  <c r="V2791" i="37" s="1"/>
  <c r="J2951" i="37"/>
  <c r="J602" i="37"/>
  <c r="J2021" i="37"/>
  <c r="J155" i="37"/>
  <c r="J258" i="37"/>
  <c r="V261" i="37" s="1"/>
  <c r="J2571" i="37"/>
  <c r="J668" i="37"/>
  <c r="V668" i="37" s="1"/>
  <c r="J449" i="37"/>
  <c r="V449" i="37" s="1"/>
  <c r="J1768" i="37"/>
  <c r="V1771" i="37" s="1"/>
  <c r="J1982" i="37"/>
  <c r="V1986" i="37" s="1"/>
  <c r="J800" i="37"/>
  <c r="V800" i="37" s="1"/>
  <c r="J1753" i="37"/>
  <c r="J1432" i="37"/>
  <c r="J1512" i="37"/>
  <c r="J699" i="37"/>
  <c r="V702" i="37" s="1"/>
  <c r="J1876" i="37"/>
  <c r="V1876" i="37" s="1"/>
  <c r="J1102" i="37"/>
  <c r="V1102" i="37" s="1"/>
  <c r="J2400" i="37"/>
  <c r="V2400" i="37" s="1"/>
  <c r="J2976" i="37"/>
  <c r="V2979" i="37" s="1"/>
  <c r="J209" i="37"/>
  <c r="J300" i="37"/>
  <c r="J560" i="37"/>
  <c r="V563" i="37" s="1"/>
  <c r="J1272" i="37"/>
  <c r="V1272" i="37" s="1"/>
  <c r="J2226" i="37"/>
  <c r="J2178" i="37"/>
  <c r="V2178" i="37" s="1"/>
  <c r="J2414" i="37"/>
  <c r="J2025" i="37"/>
  <c r="V2025" i="37" s="1"/>
  <c r="J1852" i="37"/>
  <c r="V1855" i="37" s="1"/>
  <c r="J856" i="37"/>
  <c r="V856" i="37" s="1"/>
  <c r="J2154" i="37"/>
  <c r="V2157" i="37" s="1"/>
  <c r="J976" i="37"/>
  <c r="V979" i="37" s="1"/>
  <c r="J644" i="37"/>
  <c r="V647" i="37" s="1"/>
  <c r="J774" i="37"/>
  <c r="V778" i="37" s="1"/>
  <c r="J2684" i="37"/>
  <c r="V2686" i="37" s="1"/>
  <c r="J322" i="37"/>
  <c r="V322" i="37" s="1"/>
  <c r="J1599" i="37"/>
  <c r="V1599" i="37" s="1"/>
  <c r="J3018" i="37"/>
  <c r="J693" i="37"/>
  <c r="V693" i="37" s="1"/>
  <c r="J511" i="37"/>
  <c r="J397" i="37"/>
  <c r="V400" i="37" s="1"/>
  <c r="J606" i="37"/>
  <c r="J2629" i="37"/>
  <c r="V2629" i="37" s="1"/>
  <c r="J588" i="37"/>
  <c r="V588" i="37" s="1"/>
  <c r="J252" i="37"/>
  <c r="V252" i="37" s="1"/>
  <c r="J1605" i="37"/>
  <c r="V1608" i="37" s="1"/>
  <c r="J2116" i="37"/>
  <c r="J2598" i="37"/>
  <c r="V2602" i="37" s="1"/>
  <c r="J2134" i="37"/>
  <c r="V2134" i="37" s="1"/>
  <c r="J1994" i="37"/>
  <c r="V1998" i="37" s="1"/>
  <c r="J515" i="37"/>
  <c r="V515" i="37" s="1"/>
  <c r="J112" i="37"/>
  <c r="J40" i="37"/>
  <c r="V43" i="37" s="1"/>
  <c r="J1320" i="37"/>
  <c r="J995" i="37"/>
  <c r="V995" i="37" s="1"/>
  <c r="J3048" i="37"/>
  <c r="J1206" i="37"/>
  <c r="J1734" i="37"/>
  <c r="J1796" i="37"/>
  <c r="V1796" i="37" s="1"/>
  <c r="J1111" i="37"/>
  <c r="V1111" i="37" s="1"/>
  <c r="J2480" i="37"/>
  <c r="V2480" i="37" s="1"/>
  <c r="J1508" i="37"/>
  <c r="J1692" i="37"/>
  <c r="V1696" i="37" s="1"/>
  <c r="J1846" i="37"/>
  <c r="V1846" i="37" s="1"/>
  <c r="J1882" i="37"/>
  <c r="V1885" i="37" s="1"/>
  <c r="J1228" i="37"/>
  <c r="V1228" i="37" s="1"/>
  <c r="J342" i="37"/>
  <c r="V345" i="37" s="1"/>
  <c r="J2625" i="37"/>
  <c r="J2055" i="37"/>
  <c r="J1413" i="37"/>
  <c r="V1413" i="37" s="1"/>
  <c r="J1706" i="37"/>
  <c r="V1706" i="37" s="1"/>
  <c r="J2017" i="37"/>
  <c r="V2017" i="37" s="1"/>
  <c r="J2693" i="37"/>
  <c r="V2696" i="37" s="1"/>
  <c r="J1278" i="37"/>
  <c r="V1281" i="37" s="1"/>
  <c r="J2900" i="37"/>
  <c r="V2904" i="37" s="1"/>
  <c r="J1544" i="37"/>
  <c r="V1544" i="37" s="1"/>
  <c r="J1550" i="37"/>
  <c r="V1553" i="37" s="1"/>
  <c r="J1417" i="37"/>
  <c r="J813" i="37"/>
  <c r="J2327" i="37"/>
  <c r="V2327" i="37" s="1"/>
  <c r="J213" i="37"/>
  <c r="V213" i="37" s="1"/>
  <c r="J579" i="37"/>
  <c r="V582" i="37" s="1"/>
  <c r="J2347" i="37"/>
  <c r="J2098" i="37"/>
  <c r="V2098" i="37" s="1"/>
  <c r="J638" i="37"/>
  <c r="V638" i="37" s="1"/>
  <c r="J2640" i="37"/>
  <c r="J2382" i="37"/>
  <c r="V2384" i="37" s="1"/>
  <c r="J940" i="37"/>
  <c r="V940" i="37" s="1"/>
  <c r="J224" i="37"/>
  <c r="J828" i="37"/>
  <c r="J233" i="37"/>
  <c r="J1441" i="37"/>
  <c r="J751" i="37"/>
  <c r="V751" i="37" s="1"/>
  <c r="J2813" i="37"/>
  <c r="V2816" i="37" s="1"/>
  <c r="J2261" i="37"/>
  <c r="V2261" i="37" s="1"/>
  <c r="J2612" i="37"/>
  <c r="V2612" i="37" s="1"/>
  <c r="J1303" i="37"/>
  <c r="V1306" i="37" s="1"/>
  <c r="J2203" i="37"/>
  <c r="V2203" i="37" s="1"/>
  <c r="J336" i="37"/>
  <c r="V336" i="37" s="1"/>
  <c r="J1959" i="37"/>
  <c r="V1959" i="37" s="1"/>
  <c r="J1715" i="37"/>
  <c r="V1715" i="37" s="1"/>
  <c r="J1460" i="37"/>
  <c r="V1460" i="37" s="1"/>
  <c r="J1421" i="37"/>
  <c r="V1421" i="37" s="1"/>
  <c r="J1967" i="37"/>
  <c r="J1139" i="37"/>
  <c r="J196" i="37"/>
  <c r="V196" i="37" s="1"/>
  <c r="J1355" i="37"/>
  <c r="V1355" i="37" s="1"/>
  <c r="J1810" i="37"/>
  <c r="J1723" i="37"/>
  <c r="V1723" i="37" s="1"/>
  <c r="J1907" i="37"/>
  <c r="V1910" i="37" s="1"/>
  <c r="J1743" i="37"/>
  <c r="J1494" i="37"/>
  <c r="V1494" i="37" s="1"/>
  <c r="J34" i="37"/>
  <c r="V34" i="37" s="1"/>
  <c r="J414" i="37"/>
  <c r="J926" i="37"/>
  <c r="V926" i="37" s="1"/>
  <c r="J498" i="37"/>
  <c r="V498" i="37" s="1"/>
  <c r="J946" i="37"/>
  <c r="V949" i="37" s="1"/>
  <c r="J2511" i="37"/>
  <c r="V2514" i="37" s="1"/>
  <c r="J2008" i="37"/>
  <c r="V2008" i="37" s="1"/>
  <c r="J1476" i="37"/>
  <c r="V1478" i="37" s="1"/>
  <c r="J3053" i="37"/>
  <c r="J1680" i="37"/>
  <c r="V1684" i="37" s="1"/>
  <c r="J2148" i="37"/>
  <c r="V2148" i="37" s="1"/>
  <c r="J1248" i="37"/>
  <c r="V1251" i="37" s="1"/>
  <c r="J484" i="37"/>
  <c r="V488" i="37" s="1"/>
  <c r="J1174" i="37"/>
  <c r="V1176" i="37" s="1"/>
  <c r="J2873" i="37"/>
  <c r="J2070" i="37"/>
  <c r="V2073" i="37" s="1"/>
  <c r="J786" i="37"/>
  <c r="V790" i="37" s="1"/>
  <c r="J1574" i="37"/>
  <c r="V1574" i="37" s="1"/>
  <c r="J554" i="37"/>
  <c r="V554" i="37" s="1"/>
  <c r="J1814" i="37"/>
  <c r="J366" i="37"/>
  <c r="V366" i="37" s="1"/>
  <c r="J1451" i="37"/>
  <c r="J545" i="37"/>
  <c r="J391" i="37"/>
  <c r="V391" i="37" s="1"/>
  <c r="K1599" i="37"/>
  <c r="W1599" i="37" s="1"/>
  <c r="K2021" i="37"/>
  <c r="K774" i="37"/>
  <c r="W778" i="37" s="1"/>
  <c r="K2456" i="37"/>
  <c r="W2459" i="37" s="1"/>
  <c r="K1115" i="37"/>
  <c r="K1832" i="37"/>
  <c r="W1832" i="37" s="1"/>
  <c r="K1743" i="37"/>
  <c r="K2807" i="37"/>
  <c r="W2807" i="37" s="1"/>
  <c r="K759" i="37"/>
  <c r="K2923" i="37"/>
  <c r="W2923" i="37" s="1"/>
  <c r="K372" i="37"/>
  <c r="W375" i="37" s="1"/>
  <c r="K2323" i="37"/>
  <c r="K606" i="37"/>
  <c r="K1882" i="37"/>
  <c r="W1885" i="37" s="1"/>
  <c r="K209" i="37"/>
  <c r="K828" i="37"/>
  <c r="K2414" i="37"/>
  <c r="K2693" i="37"/>
  <c r="W2696" i="37" s="1"/>
  <c r="K2025" i="37"/>
  <c r="W2025" i="37" s="1"/>
  <c r="K449" i="37"/>
  <c r="W449" i="37" s="1"/>
  <c r="K2976" i="37"/>
  <c r="W2979" i="37" s="1"/>
  <c r="K2668" i="37"/>
  <c r="W2668" i="37" s="1"/>
  <c r="K1692" i="37"/>
  <c r="W1696" i="37" s="1"/>
  <c r="K1248" i="37"/>
  <c r="W1251" i="37" s="1"/>
  <c r="K2148" i="37"/>
  <c r="W2148" i="37" s="1"/>
  <c r="K1762" i="37"/>
  <c r="W1762" i="37" s="1"/>
  <c r="K1421" i="37"/>
  <c r="W1421" i="37" s="1"/>
  <c r="K2702" i="37"/>
  <c r="W2702" i="37" s="1"/>
  <c r="K1778" i="37"/>
  <c r="W1780" i="37" s="1"/>
  <c r="K2720" i="37"/>
  <c r="K34" i="37"/>
  <c r="W34" i="37" s="1"/>
  <c r="K668" i="37"/>
  <c r="W668" i="37" s="1"/>
  <c r="K1665" i="37"/>
  <c r="K2629" i="37"/>
  <c r="W2629" i="37" s="1"/>
  <c r="K699" i="37"/>
  <c r="W702" i="37" s="1"/>
  <c r="K3018" i="37"/>
  <c r="K277" i="37"/>
  <c r="W280" i="37" s="1"/>
  <c r="K1846" i="37"/>
  <c r="W1846" i="37" s="1"/>
  <c r="K89" i="37"/>
  <c r="W89" i="37" s="1"/>
  <c r="K155" i="37"/>
  <c r="K2391" i="37"/>
  <c r="W2394" i="37" s="1"/>
  <c r="K2338" i="37"/>
  <c r="K1404" i="37"/>
  <c r="W1404" i="37" s="1"/>
  <c r="K1417" i="37"/>
  <c r="K2511" i="37"/>
  <c r="W2514" i="37" s="1"/>
  <c r="K2813" i="37"/>
  <c r="W2816" i="37" s="1"/>
  <c r="K716" i="37"/>
  <c r="K286" i="37"/>
  <c r="W286" i="37" s="1"/>
  <c r="K2612" i="37"/>
  <c r="W2612" i="37" s="1"/>
  <c r="K1605" i="37"/>
  <c r="W1608" i="37" s="1"/>
  <c r="K1111" i="37"/>
  <c r="W1111" i="37" s="1"/>
  <c r="K1119" i="37"/>
  <c r="W1119" i="37" s="1"/>
  <c r="K1018" i="37"/>
  <c r="K20" i="37"/>
  <c r="K1622" i="37"/>
  <c r="K112" i="37"/>
  <c r="K2080" i="37"/>
  <c r="W2082" i="37" s="1"/>
  <c r="K2045" i="37"/>
  <c r="K2931" i="37"/>
  <c r="W2931" i="37" s="1"/>
  <c r="K2684" i="37"/>
  <c r="W2686" i="37" s="1"/>
  <c r="K40" i="37"/>
  <c r="W43" i="37" s="1"/>
  <c r="K2418" i="37"/>
  <c r="K1320" i="37"/>
  <c r="K926" i="37"/>
  <c r="W926" i="37" s="1"/>
  <c r="K336" i="37"/>
  <c r="W336" i="37" s="1"/>
  <c r="K1715" i="37"/>
  <c r="W1715" i="37" s="1"/>
  <c r="K1076" i="37"/>
  <c r="W1080" i="37" s="1"/>
  <c r="K2372" i="37"/>
  <c r="W2375" i="37" s="1"/>
  <c r="K1924" i="37"/>
  <c r="K1088" i="37"/>
  <c r="W1092" i="37" s="1"/>
  <c r="K570" i="37"/>
  <c r="W572" i="37" s="1"/>
  <c r="K1814" i="37"/>
  <c r="K1432" i="37"/>
  <c r="K213" i="37"/>
  <c r="W213" i="37" s="1"/>
  <c r="K511" i="37"/>
  <c r="K170" i="37"/>
  <c r="W174" i="37" s="1"/>
  <c r="K1494" i="37"/>
  <c r="W1494" i="37" s="1"/>
  <c r="K526" i="37"/>
  <c r="K196" i="37"/>
  <c r="W196" i="37" s="1"/>
  <c r="K1680" i="37"/>
  <c r="W1684" i="37" s="1"/>
  <c r="K2116" i="37"/>
  <c r="K1460" i="37"/>
  <c r="W1460" i="37" s="1"/>
  <c r="K1192" i="37"/>
  <c r="W1192" i="37" s="1"/>
  <c r="K1158" i="37"/>
  <c r="W1158" i="37" s="1"/>
  <c r="K414" i="37"/>
  <c r="K813" i="37"/>
  <c r="K1657" i="37"/>
  <c r="W1657" i="37" s="1"/>
  <c r="K1139" i="37"/>
  <c r="K397" i="37"/>
  <c r="W400" i="37" s="1"/>
  <c r="K2327" i="37"/>
  <c r="W2327" i="37" s="1"/>
  <c r="K1451" i="37"/>
  <c r="K1753" i="37"/>
  <c r="K1508" i="37"/>
  <c r="K1907" i="37"/>
  <c r="W1910" i="37" s="1"/>
  <c r="K1530" i="37"/>
  <c r="W1530" i="37" s="1"/>
  <c r="K498" i="37"/>
  <c r="W498" i="37" s="1"/>
  <c r="K2226" i="37"/>
  <c r="K2089" i="37"/>
  <c r="W2092" i="37" s="1"/>
  <c r="K2382" i="37"/>
  <c r="W2384" i="37" s="1"/>
  <c r="K2357" i="37"/>
  <c r="K2296" i="37"/>
  <c r="W2300" i="37" s="1"/>
  <c r="K1164" i="37"/>
  <c r="W1167" i="37" s="1"/>
  <c r="K2480" i="37"/>
  <c r="W2480" i="37" s="1"/>
  <c r="K2347" i="37"/>
  <c r="K862" i="37"/>
  <c r="W865" i="37" s="1"/>
  <c r="K1390" i="37"/>
  <c r="W1394" i="37" s="1"/>
  <c r="K2621" i="37"/>
  <c r="W2621" i="37" s="1"/>
  <c r="K1278" i="37"/>
  <c r="W1281" i="37" s="1"/>
  <c r="K1183" i="37"/>
  <c r="W1186" i="37" s="1"/>
  <c r="K970" i="37"/>
  <c r="W970" i="37" s="1"/>
  <c r="K1852" i="37"/>
  <c r="W1855" i="37" s="1"/>
  <c r="K1210" i="37"/>
  <c r="K472" i="37"/>
  <c r="W476" i="37" s="1"/>
  <c r="K1303" i="37"/>
  <c r="W1306" i="37" s="1"/>
  <c r="K1967" i="37"/>
  <c r="K1982" i="37"/>
  <c r="W1986" i="37" s="1"/>
  <c r="K2970" i="37"/>
  <c r="W2970" i="37" s="1"/>
  <c r="K940" i="37"/>
  <c r="W940" i="37" s="1"/>
  <c r="K64" i="37"/>
  <c r="W64" i="37" s="1"/>
  <c r="K2752" i="37"/>
  <c r="W2752" i="37" s="1"/>
  <c r="K1228" i="37"/>
  <c r="W1228" i="37" s="1"/>
  <c r="K1001" i="37"/>
  <c r="W1004" i="37" s="1"/>
  <c r="K1102" i="37"/>
  <c r="W1102" i="37" s="1"/>
  <c r="K2995" i="37"/>
  <c r="W2998" i="37" s="1"/>
  <c r="K182" i="37"/>
  <c r="W186" i="37" s="1"/>
  <c r="K252" i="37"/>
  <c r="W252" i="37" s="1"/>
  <c r="K2366" i="37"/>
  <c r="W2366" i="37" s="1"/>
  <c r="K3022" i="37"/>
  <c r="K1272" i="37"/>
  <c r="W1272" i="37" s="1"/>
  <c r="K2649" i="37"/>
  <c r="K2598" i="37"/>
  <c r="W2602" i="37" s="1"/>
  <c r="K1206" i="37"/>
  <c r="K1174" i="37"/>
  <c r="W1176" i="37" s="1"/>
  <c r="K2900" i="37"/>
  <c r="W2904" i="37" s="1"/>
  <c r="K2738" i="37"/>
  <c r="W2738" i="37" s="1"/>
  <c r="K95" i="37"/>
  <c r="W98" i="37" s="1"/>
  <c r="K2008" i="37"/>
  <c r="W2008" i="37" s="1"/>
  <c r="K2486" i="37"/>
  <c r="W2489" i="37" s="1"/>
  <c r="K1796" i="37"/>
  <c r="W1796" i="37" s="1"/>
  <c r="K2927" i="37"/>
  <c r="K2184" i="37"/>
  <c r="W2187" i="37" s="1"/>
  <c r="K2961" i="37"/>
  <c r="K602" i="37"/>
  <c r="K2674" i="37"/>
  <c r="W2677" i="37" s="1"/>
  <c r="K1149" i="37"/>
  <c r="K2064" i="37"/>
  <c r="W2064" i="37" s="1"/>
  <c r="K1810" i="37"/>
  <c r="K2914" i="37"/>
  <c r="W2914" i="37" s="1"/>
  <c r="K2261" i="37"/>
  <c r="W2261" i="37" s="1"/>
  <c r="K995" i="37"/>
  <c r="W995" i="37" s="1"/>
  <c r="K1787" i="37"/>
  <c r="W1790" i="37" s="1"/>
  <c r="K391" i="37"/>
  <c r="W391" i="37" s="1"/>
  <c r="K1706" i="37"/>
  <c r="W1706" i="37" s="1"/>
  <c r="K2178" i="37"/>
  <c r="W2178" i="37" s="1"/>
  <c r="K1723" i="37"/>
  <c r="W1723" i="37" s="1"/>
  <c r="K908" i="37"/>
  <c r="K1580" i="37"/>
  <c r="W1583" i="37" s="1"/>
  <c r="K2112" i="37"/>
  <c r="K3048" i="37"/>
  <c r="K366" i="37"/>
  <c r="W366" i="37" s="1"/>
  <c r="K2873" i="37"/>
  <c r="K560" i="37"/>
  <c r="W563" i="37" s="1"/>
  <c r="K342" i="37"/>
  <c r="W345" i="37" s="1"/>
  <c r="K1355" i="37"/>
  <c r="W1355" i="37" s="1"/>
  <c r="K1053" i="37"/>
  <c r="W1053" i="37" s="1"/>
  <c r="K1574" i="37"/>
  <c r="W1574" i="37" s="1"/>
  <c r="K1719" i="37"/>
  <c r="K2036" i="37"/>
  <c r="K1363" i="37"/>
  <c r="K1242" i="37"/>
  <c r="W1242" i="37" s="1"/>
  <c r="K3053" i="37"/>
  <c r="K2310" i="37"/>
  <c r="W2310" i="37" s="1"/>
  <c r="K624" i="37"/>
  <c r="W624" i="37" s="1"/>
  <c r="K2758" i="37"/>
  <c r="W2761" i="37" s="1"/>
  <c r="K1734" i="37"/>
  <c r="K693" i="37"/>
  <c r="W693" i="37" s="1"/>
  <c r="K904" i="37"/>
  <c r="K2319" i="37"/>
  <c r="W2319" i="37" s="1"/>
  <c r="K2269" i="37"/>
  <c r="K1061" i="37"/>
  <c r="K1476" i="37"/>
  <c r="W1478" i="37" s="1"/>
  <c r="K2865" i="37"/>
  <c r="W2865" i="37" s="1"/>
  <c r="K847" i="37"/>
  <c r="K2888" i="37"/>
  <c r="W2892" i="37" s="1"/>
  <c r="K1512" i="37"/>
  <c r="K1378" i="37"/>
  <c r="W1382" i="37" s="1"/>
  <c r="K322" i="37"/>
  <c r="W322" i="37" s="1"/>
  <c r="K2098" i="37"/>
  <c r="W2098" i="37" s="1"/>
  <c r="K457" i="37"/>
  <c r="K1876" i="37"/>
  <c r="W1876" i="37" s="1"/>
  <c r="K545" i="37"/>
  <c r="K2716" i="37"/>
  <c r="K2505" i="37"/>
  <c r="W2505" i="37" s="1"/>
  <c r="K1901" i="37"/>
  <c r="W1901" i="37" s="1"/>
  <c r="K2070" i="37"/>
  <c r="W2073" i="37" s="1"/>
  <c r="K588" i="37"/>
  <c r="W588" i="37" s="1"/>
  <c r="K2986" i="37"/>
  <c r="W2988" i="37" s="1"/>
  <c r="K786" i="37"/>
  <c r="W790" i="37" s="1"/>
  <c r="K2450" i="37"/>
  <c r="W2450" i="37" s="1"/>
  <c r="K800" i="37"/>
  <c r="W800" i="37" s="1"/>
  <c r="K205" i="37"/>
  <c r="W205" i="37" s="1"/>
  <c r="K1768" i="37"/>
  <c r="W1771" i="37" s="1"/>
  <c r="K2134" i="37"/>
  <c r="W2134" i="37" s="1"/>
  <c r="K2782" i="37"/>
  <c r="W2782" i="37" s="1"/>
  <c r="K946" i="37"/>
  <c r="W949" i="37" s="1"/>
  <c r="K507" i="37"/>
  <c r="W507" i="37" s="1"/>
  <c r="K2586" i="37"/>
  <c r="W2590" i="37" s="1"/>
  <c r="K268" i="37"/>
  <c r="W270" i="37" s="1"/>
  <c r="K70" i="37"/>
  <c r="W73" i="37" s="1"/>
  <c r="K751" i="37"/>
  <c r="W751" i="37" s="1"/>
  <c r="K515" i="37"/>
  <c r="W515" i="37" s="1"/>
  <c r="K2830" i="37"/>
  <c r="K1297" i="37"/>
  <c r="W1297" i="37" s="1"/>
  <c r="K2659" i="37"/>
  <c r="K2203" i="37"/>
  <c r="W2203" i="37" s="1"/>
  <c r="K856" i="37"/>
  <c r="W856" i="37" s="1"/>
  <c r="K1485" i="37"/>
  <c r="W1488" i="37" s="1"/>
  <c r="K2788" i="37"/>
  <c r="W2791" i="37" s="1"/>
  <c r="K2017" i="37"/>
  <c r="W2017" i="37" s="1"/>
  <c r="K2640" i="37"/>
  <c r="K644" i="37"/>
  <c r="W647" i="37" s="1"/>
  <c r="K535" i="37"/>
  <c r="K809" i="37"/>
  <c r="W809" i="37" s="1"/>
  <c r="K2284" i="37"/>
  <c r="W2288" i="37" s="1"/>
  <c r="K890" i="37"/>
  <c r="W890" i="37" s="1"/>
  <c r="K1994" i="37"/>
  <c r="W1998" i="37" s="1"/>
  <c r="K233" i="37"/>
  <c r="K674" i="37"/>
  <c r="W677" i="37" s="1"/>
  <c r="K1130" i="37"/>
  <c r="K147" i="37"/>
  <c r="W147" i="37" s="1"/>
  <c r="K2942" i="37"/>
  <c r="K1959" i="37"/>
  <c r="W1959" i="37" s="1"/>
  <c r="K1413" i="37"/>
  <c r="W1413" i="37" s="1"/>
  <c r="K2436" i="37"/>
  <c r="W2436" i="37" s="1"/>
  <c r="K2400" i="37"/>
  <c r="W2400" i="37" s="1"/>
  <c r="K304" i="37"/>
  <c r="K300" i="37"/>
  <c r="K2528" i="37"/>
  <c r="K976" i="37"/>
  <c r="W979" i="37" s="1"/>
  <c r="K2571" i="37"/>
  <c r="K2209" i="37"/>
  <c r="W2212" i="37" s="1"/>
  <c r="K872" i="37"/>
  <c r="W874" i="37" s="1"/>
  <c r="K2154" i="37"/>
  <c r="W2157" i="37" s="1"/>
  <c r="K817" i="37"/>
  <c r="W817" i="37" s="1"/>
  <c r="K3004" i="37"/>
  <c r="W3004" i="37" s="1"/>
  <c r="K554" i="37"/>
  <c r="W554" i="37" s="1"/>
  <c r="K1550" i="37"/>
  <c r="W1553" i="37" s="1"/>
  <c r="K243" i="37"/>
  <c r="K1466" i="37"/>
  <c r="W1469" i="37" s="1"/>
  <c r="K579" i="37"/>
  <c r="W582" i="37" s="1"/>
  <c r="K2951" i="37"/>
  <c r="K1544" i="37"/>
  <c r="W1544" i="37" s="1"/>
  <c r="K1441" i="37"/>
  <c r="K258" i="37"/>
  <c r="W261" i="37" s="1"/>
  <c r="K638" i="37"/>
  <c r="W638" i="37" s="1"/>
  <c r="K2055" i="37"/>
  <c r="K881" i="37"/>
  <c r="W884" i="37" s="1"/>
  <c r="K484" i="37"/>
  <c r="W488" i="37" s="1"/>
  <c r="K2563" i="37"/>
  <c r="W2563" i="37" s="1"/>
  <c r="K837" i="37"/>
  <c r="K2625" i="37"/>
  <c r="K224" i="37"/>
  <c r="V20" i="49"/>
  <c r="K145" i="49"/>
  <c r="K211" i="49"/>
  <c r="K242" i="49"/>
  <c r="K20" i="49"/>
  <c r="AE20" i="49" s="1"/>
  <c r="K72" i="49"/>
  <c r="K82" i="49"/>
  <c r="K135" i="49"/>
  <c r="K184" i="49"/>
  <c r="K127" i="49"/>
  <c r="K105" i="49"/>
  <c r="K61" i="49"/>
  <c r="K237" i="49"/>
  <c r="K261" i="49"/>
  <c r="K247" i="49"/>
  <c r="K122" i="49"/>
  <c r="K66" i="49"/>
  <c r="K56" i="49"/>
  <c r="K218" i="49"/>
  <c r="K99" i="49"/>
  <c r="K150" i="49"/>
  <c r="K266" i="49"/>
  <c r="K140" i="49"/>
  <c r="K34" i="49"/>
  <c r="K118" i="49"/>
  <c r="K251" i="49"/>
  <c r="U251" i="49" s="1"/>
  <c r="K190" i="49"/>
  <c r="K114" i="49"/>
  <c r="K91" i="49"/>
  <c r="K202" i="49"/>
  <c r="U202" i="49" s="1"/>
  <c r="K197" i="49"/>
  <c r="J2453" i="50"/>
  <c r="J1744" i="50"/>
  <c r="R810" i="50"/>
  <c r="J2434" i="50"/>
  <c r="J2469" i="50"/>
  <c r="J1580" i="50"/>
  <c r="J170" i="50"/>
  <c r="J187" i="50"/>
  <c r="R1138" i="50"/>
  <c r="J2325" i="50"/>
  <c r="J140" i="50"/>
  <c r="J2546" i="50"/>
  <c r="J2547" i="50" s="1"/>
  <c r="J1881" i="50"/>
  <c r="J1647" i="50"/>
  <c r="J1811" i="50"/>
  <c r="J2061" i="50"/>
  <c r="J1825" i="50"/>
  <c r="J2045" i="50"/>
  <c r="J1839" i="50"/>
  <c r="J1634" i="50"/>
  <c r="J1483" i="50"/>
  <c r="J1211" i="50"/>
  <c r="J1389" i="50"/>
  <c r="J1474" i="50"/>
  <c r="J1310" i="50"/>
  <c r="J1138" i="50"/>
  <c r="J1306" i="50"/>
  <c r="J883" i="50"/>
  <c r="J705" i="50"/>
  <c r="J827" i="50"/>
  <c r="J1155" i="50"/>
  <c r="J982" i="50"/>
  <c r="J749" i="50"/>
  <c r="R2398" i="50"/>
  <c r="J760" i="50"/>
  <c r="R974" i="50"/>
  <c r="J541" i="50"/>
  <c r="J677" i="50"/>
  <c r="J691" i="50"/>
  <c r="J2373" i="50"/>
  <c r="J151" i="50"/>
  <c r="J2321" i="50"/>
  <c r="J2227" i="50"/>
  <c r="R2148" i="50"/>
  <c r="J2353" i="50"/>
  <c r="J2221" i="50"/>
  <c r="J2280" i="50"/>
  <c r="J924" i="50"/>
  <c r="J490" i="50"/>
  <c r="J2257" i="50"/>
  <c r="R2469" i="50"/>
  <c r="R2257" i="50"/>
  <c r="J555" i="50"/>
  <c r="J145" i="50"/>
  <c r="J2190" i="50"/>
  <c r="J1416" i="50"/>
  <c r="J2442" i="50"/>
  <c r="J1088" i="50"/>
  <c r="R2123" i="50"/>
  <c r="J1798" i="50"/>
  <c r="J1989" i="50"/>
  <c r="J1717" i="50"/>
  <c r="J2031" i="50"/>
  <c r="J1733" i="50"/>
  <c r="J1962" i="50"/>
  <c r="J1802" i="50"/>
  <c r="J1569" i="50"/>
  <c r="J1405" i="50"/>
  <c r="J1142" i="50"/>
  <c r="J1333" i="50"/>
  <c r="J1466" i="50"/>
  <c r="J1302" i="50"/>
  <c r="J1047" i="50"/>
  <c r="J1225" i="50"/>
  <c r="J855" i="50"/>
  <c r="J1470" i="50"/>
  <c r="J818" i="50"/>
  <c r="J1146" i="50"/>
  <c r="J814" i="50"/>
  <c r="J2145" i="50"/>
  <c r="J2430" i="50"/>
  <c r="J2316" i="50"/>
  <c r="J2195" i="50"/>
  <c r="J2386" i="50"/>
  <c r="J978" i="50"/>
  <c r="J650" i="50"/>
  <c r="R2373" i="50"/>
  <c r="R2374" i="50" s="1"/>
  <c r="R1958" i="50"/>
  <c r="J486" i="50"/>
  <c r="R482" i="50"/>
  <c r="J482" i="50"/>
  <c r="J2072" i="50"/>
  <c r="J2123" i="50"/>
  <c r="J2128" i="50"/>
  <c r="J346" i="50"/>
  <c r="R646" i="50"/>
  <c r="J2438" i="50"/>
  <c r="R1630" i="50"/>
  <c r="J2338" i="50"/>
  <c r="J2459" i="50"/>
  <c r="J2560" i="50"/>
  <c r="J2286" i="50"/>
  <c r="J2404" i="50"/>
  <c r="J2160" i="50"/>
  <c r="J176" i="50"/>
  <c r="R2190" i="50"/>
  <c r="J2017" i="50"/>
  <c r="J1794" i="50"/>
  <c r="J1897" i="50"/>
  <c r="J1675" i="50"/>
  <c r="J2003" i="50"/>
  <c r="J1638" i="50"/>
  <c r="J1958" i="50"/>
  <c r="J1703" i="50"/>
  <c r="J1539" i="50"/>
  <c r="J1361" i="50"/>
  <c r="J1077" i="50"/>
  <c r="J1319" i="50"/>
  <c r="J1375" i="50"/>
  <c r="J1197" i="50"/>
  <c r="J1019" i="50"/>
  <c r="J1183" i="50"/>
  <c r="J733" i="50"/>
  <c r="J974" i="50"/>
  <c r="J810" i="50"/>
  <c r="J1061" i="50"/>
  <c r="J663" i="50"/>
  <c r="J527" i="50"/>
  <c r="J2378" i="50"/>
  <c r="R2316" i="50"/>
  <c r="R2317" i="50" s="1"/>
  <c r="J2322" i="50" s="1"/>
  <c r="R1794" i="50"/>
  <c r="J2554" i="50"/>
  <c r="J913" i="50"/>
  <c r="J2473" i="50"/>
  <c r="J499" i="50"/>
  <c r="J2154" i="50"/>
  <c r="J63" i="50"/>
  <c r="J2481" i="50"/>
  <c r="R2430" i="50"/>
  <c r="J2498" i="50"/>
  <c r="J2395" i="50"/>
  <c r="R1466" i="50"/>
  <c r="R2215" i="50"/>
  <c r="J2203" i="50"/>
  <c r="J569" i="50"/>
  <c r="J2329" i="50"/>
  <c r="J135" i="50"/>
  <c r="R1302" i="50"/>
  <c r="J596" i="50"/>
  <c r="J2477" i="50"/>
  <c r="J2136" i="50"/>
  <c r="J2212" i="50"/>
  <c r="J2132" i="50"/>
  <c r="J2523" i="50"/>
  <c r="J1975" i="50"/>
  <c r="J1689" i="50"/>
  <c r="J1853" i="50"/>
  <c r="J1630" i="50"/>
  <c r="J1966" i="50"/>
  <c r="J1553" i="50"/>
  <c r="J1867" i="50"/>
  <c r="J1661" i="50"/>
  <c r="J1525" i="50"/>
  <c r="J1241" i="50"/>
  <c r="J1033" i="50"/>
  <c r="J1497" i="50"/>
  <c r="J1347" i="50"/>
  <c r="J1169" i="50"/>
  <c r="J1511" i="50"/>
  <c r="J991" i="50"/>
  <c r="J719" i="50"/>
  <c r="J869" i="50"/>
  <c r="J646" i="50"/>
  <c r="J1005" i="50"/>
  <c r="J654" i="50"/>
  <c r="J2382" i="50"/>
  <c r="J513" i="50"/>
  <c r="J1252" i="50"/>
  <c r="J2410" i="50"/>
  <c r="J160" i="50"/>
  <c r="J841" i="50"/>
  <c r="J199" i="50"/>
  <c r="J2199" i="50"/>
  <c r="J211" i="50"/>
  <c r="J2550" i="50"/>
  <c r="R2341" i="50"/>
  <c r="J111" i="50"/>
  <c r="J2269" i="50"/>
  <c r="J2566" i="50"/>
  <c r="J221" i="50"/>
  <c r="J897" i="50"/>
  <c r="J91" i="50"/>
  <c r="J2516" i="50"/>
  <c r="J1908" i="50"/>
  <c r="J165" i="50"/>
  <c r="J2265" i="50"/>
  <c r="J2347" i="50"/>
  <c r="J585" i="50"/>
  <c r="J2492" i="50"/>
  <c r="J2261" i="50"/>
  <c r="J247" i="49"/>
  <c r="J34" i="49"/>
  <c r="J266" i="49"/>
  <c r="J127" i="49"/>
  <c r="J202" i="49"/>
  <c r="T202" i="49" s="1"/>
  <c r="J145" i="49"/>
  <c r="J237" i="49"/>
  <c r="J99" i="49"/>
  <c r="J190" i="49"/>
  <c r="J135" i="49"/>
  <c r="J66" i="49"/>
  <c r="J197" i="49"/>
  <c r="J251" i="49"/>
  <c r="T251" i="49" s="1"/>
  <c r="J122" i="49"/>
  <c r="J114" i="49"/>
  <c r="J140" i="49"/>
  <c r="J211" i="49"/>
  <c r="J218" i="49"/>
  <c r="J82" i="49"/>
  <c r="J105" i="49"/>
  <c r="J72" i="49"/>
  <c r="U20" i="49"/>
  <c r="J242" i="49"/>
  <c r="J56" i="49"/>
  <c r="J91" i="49"/>
  <c r="J61" i="49"/>
  <c r="J20" i="49"/>
  <c r="AD20" i="49" s="1"/>
  <c r="J118" i="49"/>
  <c r="J150" i="49"/>
  <c r="J261" i="49"/>
  <c r="J184" i="49"/>
  <c r="K260" i="41"/>
  <c r="K354" i="50" s="1"/>
  <c r="K239" i="41"/>
  <c r="K110" i="41"/>
  <c r="K257" i="50" s="1"/>
  <c r="K276" i="41"/>
  <c r="K368" i="50" s="1"/>
  <c r="K99" i="41"/>
  <c r="K250" i="50" s="1"/>
  <c r="K363" i="41"/>
  <c r="K442" i="50" s="1"/>
  <c r="K34" i="41"/>
  <c r="K146" i="41"/>
  <c r="K279" i="50" s="1"/>
  <c r="K287" i="41"/>
  <c r="K377" i="50" s="1"/>
  <c r="K227" i="41"/>
  <c r="K342" i="50" s="1"/>
  <c r="K217" i="41"/>
  <c r="K334" i="50" s="1"/>
  <c r="K335" i="41"/>
  <c r="K420" i="50" s="1"/>
  <c r="K306" i="41"/>
  <c r="K394" i="50" s="1"/>
  <c r="K44" i="41"/>
  <c r="K206" i="41"/>
  <c r="K325" i="50" s="1"/>
  <c r="K295" i="41"/>
  <c r="K384" i="50" s="1"/>
  <c r="K56" i="41"/>
  <c r="K176" i="41"/>
  <c r="K302" i="50" s="1"/>
  <c r="K15" i="41"/>
  <c r="Y15" i="41" s="1"/>
  <c r="K138" i="41"/>
  <c r="K273" i="50" s="1"/>
  <c r="K321" i="41"/>
  <c r="K408" i="50" s="1"/>
  <c r="K411" i="41"/>
  <c r="K118" i="41"/>
  <c r="K93" i="41"/>
  <c r="K246" i="50" s="1"/>
  <c r="K188" i="41"/>
  <c r="K312" i="50" s="1"/>
  <c r="H101" i="49"/>
  <c r="H153" i="50" s="1"/>
  <c r="H152" i="50"/>
  <c r="H106" i="49"/>
  <c r="J94" i="47"/>
  <c r="J328" i="47"/>
  <c r="J364" i="47"/>
  <c r="J196" i="47"/>
  <c r="J207" i="47"/>
  <c r="J219" i="47"/>
  <c r="V219" i="47" s="1"/>
  <c r="V228" i="47" s="1"/>
  <c r="J302" i="47"/>
  <c r="J269" i="47"/>
  <c r="J397" i="47"/>
  <c r="V397" i="47" s="1"/>
  <c r="J289" i="47"/>
  <c r="AE289" i="47" s="1"/>
  <c r="J216" i="47"/>
  <c r="J112" i="47"/>
  <c r="AE112" i="47" s="1"/>
  <c r="J180" i="47"/>
  <c r="AE180" i="47" s="1"/>
  <c r="J225" i="47"/>
  <c r="J146" i="47"/>
  <c r="AE146" i="47" s="1"/>
  <c r="J322" i="47"/>
  <c r="AE322" i="47" s="1"/>
  <c r="J354" i="47"/>
  <c r="AE354" i="47" s="1"/>
  <c r="J121" i="47"/>
  <c r="J188" i="47"/>
  <c r="J335" i="47"/>
  <c r="J155" i="47"/>
  <c r="J162" i="47"/>
  <c r="J295" i="47"/>
  <c r="J128" i="47"/>
  <c r="J386" i="47"/>
  <c r="AE386" i="47" s="1"/>
  <c r="J403" i="47"/>
  <c r="V406" i="47" s="1"/>
  <c r="J31" i="47"/>
  <c r="AE31" i="47" s="1"/>
  <c r="J254" i="47"/>
  <c r="AE254" i="47" s="1"/>
  <c r="N313" i="50"/>
  <c r="N218" i="41"/>
  <c r="N194" i="41"/>
  <c r="N316" i="50" s="1"/>
  <c r="N193" i="41"/>
  <c r="I194" i="41"/>
  <c r="I316" i="50" s="1"/>
  <c r="I218" i="41"/>
  <c r="I313" i="50"/>
  <c r="I193" i="41"/>
  <c r="K289" i="47"/>
  <c r="AF289" i="47" s="1"/>
  <c r="K216" i="47"/>
  <c r="K335" i="47"/>
  <c r="K155" i="47"/>
  <c r="K397" i="47"/>
  <c r="W397" i="47" s="1"/>
  <c r="K207" i="47"/>
  <c r="K121" i="47"/>
  <c r="K128" i="47"/>
  <c r="K219" i="47"/>
  <c r="W219" i="47" s="1"/>
  <c r="W228" i="47" s="1"/>
  <c r="K180" i="47"/>
  <c r="AF180" i="47" s="1"/>
  <c r="K254" i="47"/>
  <c r="AF254" i="47" s="1"/>
  <c r="K31" i="47"/>
  <c r="AF31" i="47" s="1"/>
  <c r="K322" i="47"/>
  <c r="AF322" i="47" s="1"/>
  <c r="K112" i="47"/>
  <c r="AF112" i="47" s="1"/>
  <c r="K364" i="47"/>
  <c r="K225" i="47"/>
  <c r="K302" i="47"/>
  <c r="K328" i="47"/>
  <c r="K146" i="47"/>
  <c r="AF146" i="47" s="1"/>
  <c r="K188" i="47"/>
  <c r="K386" i="47"/>
  <c r="AF386" i="47" s="1"/>
  <c r="K269" i="47"/>
  <c r="K354" i="47"/>
  <c r="AF354" i="47" s="1"/>
  <c r="K94" i="47"/>
  <c r="K196" i="47"/>
  <c r="K403" i="47"/>
  <c r="W406" i="47" s="1"/>
  <c r="K295" i="47"/>
  <c r="K162" i="47"/>
  <c r="J778" i="42"/>
  <c r="J481" i="42"/>
  <c r="J517" i="42"/>
  <c r="V517" i="42" s="1"/>
  <c r="J627" i="42"/>
  <c r="V643" i="42" s="1"/>
  <c r="AE471" i="42"/>
  <c r="J809" i="42"/>
  <c r="V810" i="42" s="1"/>
  <c r="J929" i="42"/>
  <c r="J171" i="42"/>
  <c r="J27" i="42"/>
  <c r="V27" i="42" s="1"/>
  <c r="J386" i="42"/>
  <c r="V386" i="42" s="1"/>
  <c r="J64" i="42"/>
  <c r="AE64" i="42" s="1"/>
  <c r="J427" i="42"/>
  <c r="V430" i="42" s="1"/>
  <c r="J521" i="42"/>
  <c r="V521" i="42" s="1"/>
  <c r="J161" i="42"/>
  <c r="J284" i="42"/>
  <c r="AE358" i="42"/>
  <c r="J513" i="42"/>
  <c r="V513" i="42" s="1"/>
  <c r="AE809" i="42"/>
  <c r="AE390" i="42"/>
  <c r="J382" i="42"/>
  <c r="V382" i="42" s="1"/>
  <c r="J216" i="42"/>
  <c r="V216" i="42" s="1"/>
  <c r="J889" i="42"/>
  <c r="J749" i="42"/>
  <c r="J774" i="42"/>
  <c r="V790" i="42" s="1"/>
  <c r="J224" i="42"/>
  <c r="V224" i="42" s="1"/>
  <c r="J491" i="42"/>
  <c r="J413" i="42"/>
  <c r="V413" i="42" s="1"/>
  <c r="AE382" i="42"/>
  <c r="J398" i="42"/>
  <c r="V398" i="42" s="1"/>
  <c r="J869" i="42"/>
  <c r="J189" i="42"/>
  <c r="V189" i="42" s="1"/>
  <c r="AE394" i="42"/>
  <c r="J903" i="42"/>
  <c r="V906" i="42" s="1"/>
  <c r="J368" i="42"/>
  <c r="J843" i="42"/>
  <c r="V846" i="42" s="1"/>
  <c r="J662" i="42"/>
  <c r="V663" i="42" s="1"/>
  <c r="J309" i="42"/>
  <c r="V325" i="42" s="1"/>
  <c r="J726" i="42"/>
  <c r="AE726" i="42" s="1"/>
  <c r="J193" i="42"/>
  <c r="V193" i="42" s="1"/>
  <c r="J390" i="42"/>
  <c r="V390" i="42" s="1"/>
  <c r="AE521" i="42"/>
  <c r="J765" i="42"/>
  <c r="AE161" i="42"/>
  <c r="J837" i="42"/>
  <c r="V837" i="42" s="1"/>
  <c r="J471" i="42"/>
  <c r="V471" i="42" s="1"/>
  <c r="J304" i="42"/>
  <c r="V304" i="42" s="1"/>
  <c r="J509" i="42"/>
  <c r="V509" i="42" s="1"/>
  <c r="AE348" i="42"/>
  <c r="J151" i="42"/>
  <c r="V151" i="42" s="1"/>
  <c r="AE513" i="42"/>
  <c r="AE368" i="42"/>
  <c r="J313" i="42"/>
  <c r="AE509" i="42"/>
  <c r="AE193" i="42"/>
  <c r="J769" i="42"/>
  <c r="V769" i="42" s="1"/>
  <c r="J579" i="42"/>
  <c r="AE579" i="42" s="1"/>
  <c r="AE803" i="42"/>
  <c r="AE201" i="42"/>
  <c r="AE481" i="42"/>
  <c r="AE171" i="42"/>
  <c r="AE656" i="42"/>
  <c r="J394" i="42"/>
  <c r="V394" i="42" s="1"/>
  <c r="J691" i="42"/>
  <c r="V691" i="42" s="1"/>
  <c r="J348" i="42"/>
  <c r="V348" i="42" s="1"/>
  <c r="AE386" i="42"/>
  <c r="J536" i="42"/>
  <c r="V536" i="42" s="1"/>
  <c r="J421" i="42"/>
  <c r="V421" i="42" s="1"/>
  <c r="J116" i="42"/>
  <c r="AE505" i="42"/>
  <c r="J602" i="42"/>
  <c r="J631" i="42"/>
  <c r="J683" i="42"/>
  <c r="V683" i="42" s="1"/>
  <c r="J103" i="42"/>
  <c r="J19" i="42"/>
  <c r="V19" i="42" s="1"/>
  <c r="AE398" i="42"/>
  <c r="J829" i="42"/>
  <c r="AE151" i="42"/>
  <c r="J197" i="42"/>
  <c r="V197" i="42" s="1"/>
  <c r="J87" i="42"/>
  <c r="J201" i="42"/>
  <c r="V201" i="42" s="1"/>
  <c r="J618" i="42"/>
  <c r="AE185" i="42"/>
  <c r="J544" i="42"/>
  <c r="V544" i="42" s="1"/>
  <c r="J622" i="42"/>
  <c r="V622" i="42" s="1"/>
  <c r="J803" i="42"/>
  <c r="V803" i="42" s="1"/>
  <c r="AE189" i="42"/>
  <c r="J107" i="42"/>
  <c r="V107" i="42" s="1"/>
  <c r="J505" i="42"/>
  <c r="V505" i="42" s="1"/>
  <c r="J185" i="42"/>
  <c r="V185" i="42" s="1"/>
  <c r="AE517" i="42"/>
  <c r="AE662" i="42"/>
  <c r="AE197" i="42"/>
  <c r="J656" i="42"/>
  <c r="V656" i="42" s="1"/>
  <c r="J358" i="42"/>
  <c r="J897" i="42"/>
  <c r="V897" i="42" s="1"/>
  <c r="J300" i="42"/>
  <c r="J261" i="42"/>
  <c r="AE261" i="42" s="1"/>
  <c r="J112" i="42"/>
  <c r="V128" i="42" s="1"/>
  <c r="AE491" i="42"/>
  <c r="J363" i="41"/>
  <c r="J442" i="50" s="1"/>
  <c r="J188" i="41"/>
  <c r="J312" i="50" s="1"/>
  <c r="J260" i="41"/>
  <c r="J354" i="50" s="1"/>
  <c r="J227" i="41"/>
  <c r="J342" i="50" s="1"/>
  <c r="J321" i="41"/>
  <c r="J408" i="50" s="1"/>
  <c r="J118" i="41"/>
  <c r="J15" i="41"/>
  <c r="X15" i="41" s="1"/>
  <c r="J411" i="41"/>
  <c r="J287" i="41"/>
  <c r="J377" i="50" s="1"/>
  <c r="J110" i="41"/>
  <c r="J257" i="50" s="1"/>
  <c r="J206" i="41"/>
  <c r="J325" i="50" s="1"/>
  <c r="J239" i="41"/>
  <c r="J138" i="41"/>
  <c r="J273" i="50" s="1"/>
  <c r="J146" i="41"/>
  <c r="J279" i="50" s="1"/>
  <c r="J34" i="41"/>
  <c r="J335" i="41"/>
  <c r="J420" i="50" s="1"/>
  <c r="J217" i="41"/>
  <c r="J334" i="50" s="1"/>
  <c r="J295" i="41"/>
  <c r="J384" i="50" s="1"/>
  <c r="J176" i="41"/>
  <c r="J302" i="50" s="1"/>
  <c r="J44" i="41"/>
  <c r="J93" i="41"/>
  <c r="J246" i="50" s="1"/>
  <c r="J306" i="41"/>
  <c r="J394" i="50" s="1"/>
  <c r="J276" i="41"/>
  <c r="J368" i="50" s="1"/>
  <c r="J99" i="41"/>
  <c r="J250" i="50" s="1"/>
  <c r="J56" i="41"/>
  <c r="H228" i="42"/>
  <c r="H326" i="42"/>
  <c r="L2498" i="37"/>
  <c r="X2498" i="37" s="1"/>
  <c r="L1865" i="37"/>
  <c r="X1867" i="37" s="1"/>
  <c r="L686" i="37"/>
  <c r="X686" i="37" s="1"/>
  <c r="L2771" i="37"/>
  <c r="X2773" i="37" s="1"/>
  <c r="L1592" i="37"/>
  <c r="X1592" i="37" s="1"/>
  <c r="L2167" i="37"/>
  <c r="X2169" i="37" s="1"/>
  <c r="L1261" i="37"/>
  <c r="X1263" i="37" s="1"/>
  <c r="L657" i="37"/>
  <c r="X659" i="37" s="1"/>
  <c r="L2469" i="37"/>
  <c r="X2471" i="37" s="1"/>
  <c r="L355" i="37"/>
  <c r="X357" i="37" s="1"/>
  <c r="L1290" i="37"/>
  <c r="X1290" i="37" s="1"/>
  <c r="L82" i="37"/>
  <c r="X82" i="37" s="1"/>
  <c r="L988" i="37"/>
  <c r="X988" i="37" s="1"/>
  <c r="L2196" i="37"/>
  <c r="X2196" i="37" s="1"/>
  <c r="L1563" i="37"/>
  <c r="X1565" i="37" s="1"/>
  <c r="L1894" i="37"/>
  <c r="X1894" i="37" s="1"/>
  <c r="L384" i="37"/>
  <c r="X384" i="37" s="1"/>
  <c r="L959" i="37"/>
  <c r="X961" i="37" s="1"/>
  <c r="L2800" i="37"/>
  <c r="X2800" i="37" s="1"/>
  <c r="L53" i="37"/>
  <c r="X55" i="37" s="1"/>
  <c r="L180" i="50"/>
  <c r="L152" i="49"/>
  <c r="L181" i="50" s="1"/>
  <c r="H127" i="50"/>
  <c r="H284" i="49"/>
  <c r="C1625" i="50"/>
  <c r="D1461" i="50"/>
  <c r="Q1461" i="50"/>
  <c r="H128" i="50"/>
  <c r="H285" i="49"/>
  <c r="H3041" i="37"/>
  <c r="H277" i="49"/>
  <c r="H420" i="47"/>
  <c r="H392" i="41"/>
  <c r="H949" i="42"/>
  <c r="H2595" i="50"/>
  <c r="N2017" i="50"/>
  <c r="N1975" i="50"/>
  <c r="N1881" i="50"/>
  <c r="N1798" i="50"/>
  <c r="N1794" i="50"/>
  <c r="N1689" i="50"/>
  <c r="N1647" i="50"/>
  <c r="N1989" i="50"/>
  <c r="N1897" i="50"/>
  <c r="N1853" i="50"/>
  <c r="N1811" i="50"/>
  <c r="N1717" i="50"/>
  <c r="N1675" i="50"/>
  <c r="N1630" i="50"/>
  <c r="N2061" i="50"/>
  <c r="N2031" i="50"/>
  <c r="N2003" i="50"/>
  <c r="N1966" i="50"/>
  <c r="N1825" i="50"/>
  <c r="N1733" i="50"/>
  <c r="N1638" i="50"/>
  <c r="N1553" i="50"/>
  <c r="N2045" i="50"/>
  <c r="N1962" i="50"/>
  <c r="N1958" i="50"/>
  <c r="N1867" i="50"/>
  <c r="N1839" i="50"/>
  <c r="N1802" i="50"/>
  <c r="N1703" i="50"/>
  <c r="N1661" i="50"/>
  <c r="N1634" i="50"/>
  <c r="N1569" i="50"/>
  <c r="N1539" i="50"/>
  <c r="N1525" i="50"/>
  <c r="N1511" i="50"/>
  <c r="N1483" i="50"/>
  <c r="N1405" i="50"/>
  <c r="N1361" i="50"/>
  <c r="N1241" i="50"/>
  <c r="N1211" i="50"/>
  <c r="N1142" i="50"/>
  <c r="N1077" i="50"/>
  <c r="N1033" i="50"/>
  <c r="N1389" i="50"/>
  <c r="N1333" i="50"/>
  <c r="N1319" i="50"/>
  <c r="N1497" i="50"/>
  <c r="N1474" i="50"/>
  <c r="N1466" i="50"/>
  <c r="N1375" i="50"/>
  <c r="N1347" i="50"/>
  <c r="N1310" i="50"/>
  <c r="N1302" i="50"/>
  <c r="N1197" i="50"/>
  <c r="N1169" i="50"/>
  <c r="N1138" i="50"/>
  <c r="N1047" i="50"/>
  <c r="N1019" i="50"/>
  <c r="N1470" i="50"/>
  <c r="N1155" i="50"/>
  <c r="N1146" i="50"/>
  <c r="N1061" i="50"/>
  <c r="N991" i="50"/>
  <c r="N883" i="50"/>
  <c r="N855" i="50"/>
  <c r="N733" i="50"/>
  <c r="N719" i="50"/>
  <c r="N705" i="50"/>
  <c r="N974" i="50"/>
  <c r="N869" i="50"/>
  <c r="N827" i="50"/>
  <c r="N818" i="50"/>
  <c r="N810" i="50"/>
  <c r="N646" i="50"/>
  <c r="N1183" i="50"/>
  <c r="N1005" i="50"/>
  <c r="N982" i="50"/>
  <c r="N814" i="50"/>
  <c r="N663" i="50"/>
  <c r="N654" i="50"/>
  <c r="N677" i="50"/>
  <c r="N1225" i="50"/>
  <c r="N978" i="50"/>
  <c r="N913" i="50"/>
  <c r="N841" i="50"/>
  <c r="N691" i="50"/>
  <c r="N650" i="50"/>
  <c r="N897" i="50"/>
  <c r="N1306" i="50"/>
  <c r="N749" i="50"/>
  <c r="M2045" i="50"/>
  <c r="M1962" i="50"/>
  <c r="M1958" i="50"/>
  <c r="M1867" i="50"/>
  <c r="M1839" i="50"/>
  <c r="M1802" i="50"/>
  <c r="M1703" i="50"/>
  <c r="M1661" i="50"/>
  <c r="M1634" i="50"/>
  <c r="M1569" i="50"/>
  <c r="M2017" i="50"/>
  <c r="M1975" i="50"/>
  <c r="M1881" i="50"/>
  <c r="M1798" i="50"/>
  <c r="M1794" i="50"/>
  <c r="M1689" i="50"/>
  <c r="M1647" i="50"/>
  <c r="M1989" i="50"/>
  <c r="M1897" i="50"/>
  <c r="M1853" i="50"/>
  <c r="M1811" i="50"/>
  <c r="M1717" i="50"/>
  <c r="M1675" i="50"/>
  <c r="M1630" i="50"/>
  <c r="M2061" i="50"/>
  <c r="M2031" i="50"/>
  <c r="M2003" i="50"/>
  <c r="M1966" i="50"/>
  <c r="M1825" i="50"/>
  <c r="M1733" i="50"/>
  <c r="M1638" i="50"/>
  <c r="M1553" i="50"/>
  <c r="M1539" i="50"/>
  <c r="M1470" i="50"/>
  <c r="M1306" i="50"/>
  <c r="M1225" i="50"/>
  <c r="M1146" i="50"/>
  <c r="M1525" i="50"/>
  <c r="M1511" i="50"/>
  <c r="M1483" i="50"/>
  <c r="M1405" i="50"/>
  <c r="M1361" i="50"/>
  <c r="M1241" i="50"/>
  <c r="M1211" i="50"/>
  <c r="M1389" i="50"/>
  <c r="M1333" i="50"/>
  <c r="M1319" i="50"/>
  <c r="M1183" i="50"/>
  <c r="M1155" i="50"/>
  <c r="M1061" i="50"/>
  <c r="M1466" i="50"/>
  <c r="M1169" i="50"/>
  <c r="M1077" i="50"/>
  <c r="M978" i="50"/>
  <c r="M913" i="50"/>
  <c r="M897" i="50"/>
  <c r="M841" i="50"/>
  <c r="M749" i="50"/>
  <c r="M691" i="50"/>
  <c r="M677" i="50"/>
  <c r="M650" i="50"/>
  <c r="M991" i="50"/>
  <c r="M883" i="50"/>
  <c r="M855" i="50"/>
  <c r="M733" i="50"/>
  <c r="M719" i="50"/>
  <c r="M705" i="50"/>
  <c r="M1347" i="50"/>
  <c r="M1310" i="50"/>
  <c r="M1197" i="50"/>
  <c r="M1138" i="50"/>
  <c r="M1033" i="50"/>
  <c r="M974" i="50"/>
  <c r="M869" i="50"/>
  <c r="M827" i="50"/>
  <c r="M818" i="50"/>
  <c r="M810" i="50"/>
  <c r="M646" i="50"/>
  <c r="M1375" i="50"/>
  <c r="M1005" i="50"/>
  <c r="M982" i="50"/>
  <c r="M663" i="50"/>
  <c r="M654" i="50"/>
  <c r="M1474" i="50"/>
  <c r="M1302" i="50"/>
  <c r="M1142" i="50"/>
  <c r="M814" i="50"/>
  <c r="M1047" i="50"/>
  <c r="M1497" i="50"/>
  <c r="M1019" i="50"/>
  <c r="J138" i="62"/>
  <c r="N138" i="62"/>
  <c r="X138" i="62"/>
  <c r="V138" i="62"/>
  <c r="T138" i="62"/>
  <c r="W138" i="62"/>
  <c r="S138" i="62"/>
  <c r="L138" i="62"/>
  <c r="U138" i="62"/>
  <c r="M138" i="62"/>
  <c r="Y138" i="62"/>
  <c r="K138" i="62"/>
  <c r="I138" i="62"/>
  <c r="H2173" i="50"/>
  <c r="N2175" i="50"/>
  <c r="K2134" i="50"/>
  <c r="L2180" i="50"/>
  <c r="L2143" i="50"/>
  <c r="J2121" i="50"/>
  <c r="G2125" i="50"/>
  <c r="M2174" i="50"/>
  <c r="I2181" i="50"/>
  <c r="J2166" i="50"/>
  <c r="L2125" i="50"/>
  <c r="N2174" i="50"/>
  <c r="M2156" i="50"/>
  <c r="M2134" i="50"/>
  <c r="M2141" i="50"/>
  <c r="K2181" i="50"/>
  <c r="H2167" i="50"/>
  <c r="M2179" i="50"/>
  <c r="H2177" i="50"/>
  <c r="L2178" i="50"/>
  <c r="L2179" i="50"/>
  <c r="N2167" i="50"/>
  <c r="K2125" i="50"/>
  <c r="J2173" i="50"/>
  <c r="K2180" i="50"/>
  <c r="I2174" i="50"/>
  <c r="M2173" i="50"/>
  <c r="L2177" i="50"/>
  <c r="L2146" i="50"/>
  <c r="I2168" i="50"/>
  <c r="K2165" i="50"/>
  <c r="J2125" i="50"/>
  <c r="K2175" i="50"/>
  <c r="H2161" i="50"/>
  <c r="L2147" i="50"/>
  <c r="M2172" i="50"/>
  <c r="I2170" i="50"/>
  <c r="M2146" i="50"/>
  <c r="M2121" i="50"/>
  <c r="M2143" i="50"/>
  <c r="L2172" i="50"/>
  <c r="K2170" i="50"/>
  <c r="I2124" i="50"/>
  <c r="I2161" i="50"/>
  <c r="I2166" i="50"/>
  <c r="J2142" i="50"/>
  <c r="I2177" i="50"/>
  <c r="M2147" i="50"/>
  <c r="I2178" i="50"/>
  <c r="M2125" i="50"/>
  <c r="I2167" i="50"/>
  <c r="H2168" i="50"/>
  <c r="I2180" i="50"/>
  <c r="I2179" i="50"/>
  <c r="N2156" i="50"/>
  <c r="L2165" i="50"/>
  <c r="J2156" i="50"/>
  <c r="J2147" i="50"/>
  <c r="N2142" i="50"/>
  <c r="L2149" i="50"/>
  <c r="M2181" i="50"/>
  <c r="N2173" i="50"/>
  <c r="N2141" i="50"/>
  <c r="F2125" i="50"/>
  <c r="J2149" i="50"/>
  <c r="H2178" i="50"/>
  <c r="M2166" i="50"/>
  <c r="M2161" i="50"/>
  <c r="K2142" i="50"/>
  <c r="J2176" i="50"/>
  <c r="K2167" i="50"/>
  <c r="K2149" i="50"/>
  <c r="L2166" i="50"/>
  <c r="M2180" i="50"/>
  <c r="M2175" i="50"/>
  <c r="I2125" i="50"/>
  <c r="K2174" i="50"/>
  <c r="M2176" i="50"/>
  <c r="S2155" i="50"/>
  <c r="K2179" i="50"/>
  <c r="N2146" i="50"/>
  <c r="H2125" i="50"/>
  <c r="K2173" i="50"/>
  <c r="K2146" i="50"/>
  <c r="K2124" i="50"/>
  <c r="N2161" i="50"/>
  <c r="K2143" i="50"/>
  <c r="K2156" i="50"/>
  <c r="J2134" i="50"/>
  <c r="M2167" i="50"/>
  <c r="N2165" i="50"/>
  <c r="M2168" i="50"/>
  <c r="J2178" i="50"/>
  <c r="L2141" i="50"/>
  <c r="J2181" i="50"/>
  <c r="H2170" i="50"/>
  <c r="J2148" i="50"/>
  <c r="R2149" i="50" s="1"/>
  <c r="J2179" i="50"/>
  <c r="K2166" i="50"/>
  <c r="J2146" i="50"/>
  <c r="N2177" i="50"/>
  <c r="K2177" i="50"/>
  <c r="J2167" i="50"/>
  <c r="L2176" i="50"/>
  <c r="L2142" i="50"/>
  <c r="N2166" i="50"/>
  <c r="M2142" i="50"/>
  <c r="L2124" i="50"/>
  <c r="N2181" i="50"/>
  <c r="K2168" i="50"/>
  <c r="L2175" i="50"/>
  <c r="L2167" i="50"/>
  <c r="M2170" i="50"/>
  <c r="H2175" i="50"/>
  <c r="K2176" i="50"/>
  <c r="M2178" i="50"/>
  <c r="L2181" i="50"/>
  <c r="J2168" i="50"/>
  <c r="M2165" i="50"/>
  <c r="N2178" i="50"/>
  <c r="J2170" i="50"/>
  <c r="M2149" i="50"/>
  <c r="N2170" i="50"/>
  <c r="N2134" i="50"/>
  <c r="K2147" i="50"/>
  <c r="I2165" i="50"/>
  <c r="L2168" i="50"/>
  <c r="K2141" i="50"/>
  <c r="N2125" i="50"/>
  <c r="N2148" i="50"/>
  <c r="V2149" i="50" s="1"/>
  <c r="M2124" i="50"/>
  <c r="K2121" i="50"/>
  <c r="J2141" i="50"/>
  <c r="I2176" i="50"/>
  <c r="N2179" i="50"/>
  <c r="M2148" i="50"/>
  <c r="U2149" i="50" s="1"/>
  <c r="J2143" i="50"/>
  <c r="N2176" i="50"/>
  <c r="J2175" i="50"/>
  <c r="H2165" i="50"/>
  <c r="I2172" i="50"/>
  <c r="K2178" i="50"/>
  <c r="J2174" i="50"/>
  <c r="J2177" i="50"/>
  <c r="L2134" i="50"/>
  <c r="H2124" i="50"/>
  <c r="J2172" i="50"/>
  <c r="L2174" i="50"/>
  <c r="K2148" i="50"/>
  <c r="S2149" i="50" s="1"/>
  <c r="L2170" i="50"/>
  <c r="N2143" i="50"/>
  <c r="N2168" i="50"/>
  <c r="H2181" i="50"/>
  <c r="L2156" i="50"/>
  <c r="H2166" i="50"/>
  <c r="I2156" i="50"/>
  <c r="V2156" i="50" s="1"/>
  <c r="H2180" i="50"/>
  <c r="N2147" i="50"/>
  <c r="L2148" i="50"/>
  <c r="T2149" i="50" s="1"/>
  <c r="L2161" i="50"/>
  <c r="N2124" i="50"/>
  <c r="I2173" i="50"/>
  <c r="K2172" i="50"/>
  <c r="H2179" i="50"/>
  <c r="N2172" i="50"/>
  <c r="J2124" i="50"/>
  <c r="H2174" i="50"/>
  <c r="J2165" i="50"/>
  <c r="N2149" i="50"/>
  <c r="I2155" i="50"/>
  <c r="G2124" i="50" s="1"/>
  <c r="J2161" i="50"/>
  <c r="N2180" i="50"/>
  <c r="J2180" i="50"/>
  <c r="K2161" i="50"/>
  <c r="H2176" i="50"/>
  <c r="L2173" i="50"/>
  <c r="H2172" i="50"/>
  <c r="M2177" i="50"/>
  <c r="I2175" i="50"/>
  <c r="W28" i="42"/>
  <c r="J113" i="42"/>
  <c r="L113" i="42"/>
  <c r="L128" i="42" s="1"/>
  <c r="L2150" i="50" s="1"/>
  <c r="Y28" i="42"/>
  <c r="Y108" i="42" s="1"/>
  <c r="M108" i="42" s="1"/>
  <c r="N117" i="42"/>
  <c r="AI121" i="42" s="1"/>
  <c r="S91" i="42"/>
  <c r="I108" i="42"/>
  <c r="AL48" i="42"/>
  <c r="M31" i="42"/>
  <c r="M2140" i="50" s="1"/>
  <c r="V28" i="42"/>
  <c r="L31" i="42"/>
  <c r="L2140" i="50" s="1"/>
  <c r="H20" i="42"/>
  <c r="H99" i="42" s="1"/>
  <c r="S90" i="42"/>
  <c r="K129" i="42"/>
  <c r="K2155" i="50" s="1"/>
  <c r="L2133" i="50" s="1"/>
  <c r="L129" i="42"/>
  <c r="L2155" i="50" s="1"/>
  <c r="M2133" i="50" s="1"/>
  <c r="S89" i="42"/>
  <c r="M113" i="42"/>
  <c r="M128" i="42" s="1"/>
  <c r="M2150" i="50" s="1"/>
  <c r="I20" i="42"/>
  <c r="I99" i="42" s="1"/>
  <c r="M129" i="42"/>
  <c r="M2155" i="50" s="1"/>
  <c r="N2133" i="50" s="1"/>
  <c r="T12" i="42"/>
  <c r="V12" i="42" s="1"/>
  <c r="K20" i="42"/>
  <c r="K99" i="42" s="1"/>
  <c r="I31" i="42"/>
  <c r="I129" i="42" s="1"/>
  <c r="N31" i="42"/>
  <c r="N2140" i="50" s="1"/>
  <c r="K117" i="42"/>
  <c r="AF121" i="42" s="1"/>
  <c r="J31" i="42"/>
  <c r="J2140" i="50" s="1"/>
  <c r="M117" i="42"/>
  <c r="AH121" i="42" s="1"/>
  <c r="S88" i="42"/>
  <c r="N20" i="42"/>
  <c r="N99" i="42" s="1"/>
  <c r="M20" i="42"/>
  <c r="M99" i="42" s="1"/>
  <c r="J20" i="42"/>
  <c r="J99" i="42" s="1"/>
  <c r="S97" i="42"/>
  <c r="N113" i="42"/>
  <c r="N128" i="42" s="1"/>
  <c r="N2150" i="50" s="1"/>
  <c r="S94" i="42"/>
  <c r="K31" i="42"/>
  <c r="K2140" i="50" s="1"/>
  <c r="N129" i="42"/>
  <c r="N2155" i="50" s="1"/>
  <c r="L20" i="42"/>
  <c r="L99" i="42" s="1"/>
  <c r="T77" i="42"/>
  <c r="S96" i="42"/>
  <c r="Z28" i="42"/>
  <c r="Z108" i="42" s="1"/>
  <c r="N108" i="42" s="1"/>
  <c r="S93" i="42"/>
  <c r="S95" i="42"/>
  <c r="S92" i="42"/>
  <c r="X12" i="42"/>
  <c r="Z12" i="42" s="1"/>
  <c r="L117" i="42"/>
  <c r="AG121" i="42" s="1"/>
  <c r="I13" i="42"/>
  <c r="J117" i="42"/>
  <c r="AE121" i="42" s="1"/>
  <c r="X28" i="42"/>
  <c r="J129" i="42"/>
  <c r="K113" i="42"/>
  <c r="K128" i="42" s="1"/>
  <c r="K2150" i="50" s="1"/>
  <c r="S134" i="62"/>
  <c r="X134" i="62"/>
  <c r="T134" i="62"/>
  <c r="U134" i="62"/>
  <c r="Y134" i="62"/>
  <c r="I134" i="62"/>
  <c r="L134" i="62"/>
  <c r="J134" i="62"/>
  <c r="K134" i="62"/>
  <c r="M134" i="62"/>
  <c r="N134" i="62"/>
  <c r="W134" i="62"/>
  <c r="V134" i="62"/>
  <c r="V2405" i="50"/>
  <c r="K180" i="50"/>
  <c r="K152" i="49"/>
  <c r="K181" i="50" s="1"/>
  <c r="M228" i="41"/>
  <c r="M315" i="50"/>
  <c r="K228" i="41"/>
  <c r="K315" i="50"/>
  <c r="F434" i="43"/>
  <c r="E435" i="43"/>
  <c r="F435" i="43" s="1"/>
  <c r="K537" i="42"/>
  <c r="T529" i="42"/>
  <c r="S609" i="42"/>
  <c r="M628" i="42"/>
  <c r="L548" i="42"/>
  <c r="S612" i="42"/>
  <c r="S603" i="42"/>
  <c r="L644" i="42"/>
  <c r="S606" i="42"/>
  <c r="N628" i="42"/>
  <c r="N643" i="42" s="1"/>
  <c r="X545" i="42"/>
  <c r="N537" i="42"/>
  <c r="N548" i="42"/>
  <c r="I623" i="42"/>
  <c r="K548" i="42"/>
  <c r="N632" i="42"/>
  <c r="AI636" i="42" s="1"/>
  <c r="S607" i="42"/>
  <c r="W545" i="42"/>
  <c r="T592" i="42"/>
  <c r="I537" i="42"/>
  <c r="K628" i="42"/>
  <c r="K643" i="42" s="1"/>
  <c r="Y545" i="42"/>
  <c r="J628" i="42"/>
  <c r="M537" i="42"/>
  <c r="L632" i="42"/>
  <c r="AG636" i="42" s="1"/>
  <c r="M548" i="42"/>
  <c r="J632" i="42"/>
  <c r="AE636" i="42" s="1"/>
  <c r="N644" i="42"/>
  <c r="V545" i="42"/>
  <c r="M644" i="42"/>
  <c r="S605" i="42"/>
  <c r="K644" i="42"/>
  <c r="X529" i="42"/>
  <c r="Z529" i="42" s="1"/>
  <c r="J548" i="42"/>
  <c r="L628" i="42"/>
  <c r="L643" i="42" s="1"/>
  <c r="M632" i="42"/>
  <c r="AH636" i="42" s="1"/>
  <c r="J644" i="42"/>
  <c r="I548" i="42"/>
  <c r="I644" i="42" s="1"/>
  <c r="J537" i="42"/>
  <c r="I530" i="42"/>
  <c r="S610" i="42"/>
  <c r="H537" i="42"/>
  <c r="K632" i="42"/>
  <c r="AF636" i="42" s="1"/>
  <c r="Z545" i="42"/>
  <c r="AL563" i="42"/>
  <c r="S611" i="42"/>
  <c r="S608" i="42"/>
  <c r="S604" i="42"/>
  <c r="L537" i="42"/>
  <c r="J3045" i="37"/>
  <c r="J424" i="47"/>
  <c r="J281" i="49"/>
  <c r="AH662" i="42"/>
  <c r="AH382" i="42"/>
  <c r="M778" i="42"/>
  <c r="M627" i="42"/>
  <c r="Y643" i="42" s="1"/>
  <c r="M261" i="42"/>
  <c r="AH261" i="42" s="1"/>
  <c r="M536" i="42"/>
  <c r="Y536" i="42" s="1"/>
  <c r="M151" i="42"/>
  <c r="Y151" i="42" s="1"/>
  <c r="M300" i="42"/>
  <c r="AH348" i="42"/>
  <c r="M103" i="42"/>
  <c r="AH197" i="42"/>
  <c r="M656" i="42"/>
  <c r="Y656" i="42" s="1"/>
  <c r="M27" i="42"/>
  <c r="M368" i="42"/>
  <c r="AH201" i="42"/>
  <c r="AH809" i="42"/>
  <c r="M112" i="42"/>
  <c r="Y128" i="42" s="1"/>
  <c r="M843" i="42"/>
  <c r="Y846" i="42" s="1"/>
  <c r="M829" i="42"/>
  <c r="M87" i="42"/>
  <c r="AH656" i="42"/>
  <c r="M579" i="42"/>
  <c r="AH579" i="42" s="1"/>
  <c r="AH513" i="42"/>
  <c r="M765" i="42"/>
  <c r="M809" i="42"/>
  <c r="Y810" i="42" s="1"/>
  <c r="M491" i="42"/>
  <c r="M348" i="42"/>
  <c r="Y348" i="42" s="1"/>
  <c r="M216" i="42"/>
  <c r="Y216" i="42" s="1"/>
  <c r="AH481" i="42"/>
  <c r="M837" i="42"/>
  <c r="Y837" i="42" s="1"/>
  <c r="AH521" i="42"/>
  <c r="M382" i="42"/>
  <c r="Y382" i="42" s="1"/>
  <c r="M481" i="42"/>
  <c r="M197" i="42"/>
  <c r="Y197" i="42" s="1"/>
  <c r="M394" i="42"/>
  <c r="Y394" i="42" s="1"/>
  <c r="M313" i="42"/>
  <c r="AH491" i="42"/>
  <c r="M726" i="42"/>
  <c r="AH726" i="42" s="1"/>
  <c r="AH193" i="42"/>
  <c r="M64" i="42"/>
  <c r="AH64" i="42" s="1"/>
  <c r="M171" i="42"/>
  <c r="M116" i="42"/>
  <c r="M509" i="42"/>
  <c r="Y509" i="42" s="1"/>
  <c r="M185" i="42"/>
  <c r="Y185" i="42" s="1"/>
  <c r="M427" i="42"/>
  <c r="Y430" i="42" s="1"/>
  <c r="M683" i="42"/>
  <c r="Y683" i="42" s="1"/>
  <c r="M622" i="42"/>
  <c r="Y622" i="42" s="1"/>
  <c r="M618" i="42"/>
  <c r="M889" i="42"/>
  <c r="M505" i="42"/>
  <c r="Y505" i="42" s="1"/>
  <c r="M224" i="42"/>
  <c r="Y224" i="42" s="1"/>
  <c r="M421" i="42"/>
  <c r="Y421" i="42" s="1"/>
  <c r="AH471" i="42"/>
  <c r="M304" i="42"/>
  <c r="Y304" i="42" s="1"/>
  <c r="AH517" i="42"/>
  <c r="M19" i="42"/>
  <c r="AH398" i="42"/>
  <c r="M193" i="42"/>
  <c r="Y193" i="42" s="1"/>
  <c r="M358" i="42"/>
  <c r="AH151" i="42"/>
  <c r="M471" i="42"/>
  <c r="Y471" i="42" s="1"/>
  <c r="M869" i="42"/>
  <c r="M309" i="42"/>
  <c r="Y325" i="42" s="1"/>
  <c r="M513" i="42"/>
  <c r="Y513" i="42" s="1"/>
  <c r="AH394" i="42"/>
  <c r="AH509" i="42"/>
  <c r="M769" i="42"/>
  <c r="Y769" i="42" s="1"/>
  <c r="AH161" i="42"/>
  <c r="M107" i="42"/>
  <c r="Y107" i="42" s="1"/>
  <c r="M602" i="42"/>
  <c r="M413" i="42"/>
  <c r="Y413" i="42" s="1"/>
  <c r="AH505" i="42"/>
  <c r="AH185" i="42"/>
  <c r="AH390" i="42"/>
  <c r="M521" i="42"/>
  <c r="Y521" i="42" s="1"/>
  <c r="M903" i="42"/>
  <c r="Y906" i="42" s="1"/>
  <c r="M749" i="42"/>
  <c r="M544" i="42"/>
  <c r="Y544" i="42" s="1"/>
  <c r="AH358" i="42"/>
  <c r="AH386" i="42"/>
  <c r="AH171" i="42"/>
  <c r="M691" i="42"/>
  <c r="Y691" i="42" s="1"/>
  <c r="M662" i="42"/>
  <c r="Y663" i="42" s="1"/>
  <c r="M631" i="42"/>
  <c r="M284" i="42"/>
  <c r="M386" i="42"/>
  <c r="Y386" i="42" s="1"/>
  <c r="M161" i="42"/>
  <c r="M398" i="42"/>
  <c r="Y398" i="42" s="1"/>
  <c r="M517" i="42"/>
  <c r="Y517" i="42" s="1"/>
  <c r="M189" i="42"/>
  <c r="Y189" i="42" s="1"/>
  <c r="M390" i="42"/>
  <c r="Y390" i="42" s="1"/>
  <c r="AH189" i="42"/>
  <c r="M803" i="42"/>
  <c r="Y803" i="42" s="1"/>
  <c r="M929" i="42"/>
  <c r="AH803" i="42"/>
  <c r="M897" i="42"/>
  <c r="Y897" i="42" s="1"/>
  <c r="AH368" i="42"/>
  <c r="M201" i="42"/>
  <c r="Y201" i="42" s="1"/>
  <c r="M774" i="42"/>
  <c r="Y790" i="42" s="1"/>
  <c r="C256" i="34"/>
  <c r="D255" i="34"/>
  <c r="O255" i="34"/>
  <c r="R255" i="34" s="1"/>
  <c r="S31" i="62"/>
  <c r="R31" i="62"/>
  <c r="L31" i="62"/>
  <c r="M35" i="62"/>
  <c r="E140" i="62"/>
  <c r="T35" i="62"/>
  <c r="Z35" i="62"/>
  <c r="AA35" i="62" s="1"/>
  <c r="Y35" i="62"/>
  <c r="S26" i="62"/>
  <c r="L26" i="62"/>
  <c r="R26" i="62"/>
  <c r="V2341" i="50"/>
  <c r="N2550" i="50"/>
  <c r="N211" i="50"/>
  <c r="V2190" i="50"/>
  <c r="N2160" i="50"/>
  <c r="N199" i="50"/>
  <c r="N2257" i="50"/>
  <c r="N2338" i="50"/>
  <c r="N2353" i="50"/>
  <c r="N2492" i="50"/>
  <c r="V482" i="50"/>
  <c r="N2546" i="50"/>
  <c r="N2547" i="50" s="1"/>
  <c r="N91" i="50"/>
  <c r="N2261" i="50"/>
  <c r="V1630" i="50"/>
  <c r="N2438" i="50"/>
  <c r="N2453" i="50"/>
  <c r="N2410" i="50"/>
  <c r="N2469" i="50"/>
  <c r="N2395" i="50"/>
  <c r="N2199" i="50"/>
  <c r="N482" i="50"/>
  <c r="V1138" i="50"/>
  <c r="N2498" i="50"/>
  <c r="N111" i="50"/>
  <c r="N596" i="50"/>
  <c r="N2195" i="50"/>
  <c r="N2132" i="50"/>
  <c r="N2481" i="50"/>
  <c r="N176" i="50"/>
  <c r="N2221" i="50"/>
  <c r="N140" i="50"/>
  <c r="N2321" i="50"/>
  <c r="V810" i="50"/>
  <c r="N135" i="50"/>
  <c r="N2203" i="50"/>
  <c r="N346" i="50"/>
  <c r="N527" i="50"/>
  <c r="V2123" i="50"/>
  <c r="N2145" i="50"/>
  <c r="N170" i="50"/>
  <c r="N585" i="50"/>
  <c r="N513" i="50"/>
  <c r="N2212" i="50"/>
  <c r="N2136" i="50"/>
  <c r="N2316" i="50"/>
  <c r="N2269" i="50"/>
  <c r="N499" i="50"/>
  <c r="N2128" i="50"/>
  <c r="N1908" i="50"/>
  <c r="N760" i="50"/>
  <c r="N2280" i="50"/>
  <c r="N2347" i="50"/>
  <c r="N1088" i="50"/>
  <c r="N2523" i="50"/>
  <c r="V2469" i="50"/>
  <c r="N2434" i="50"/>
  <c r="N2560" i="50"/>
  <c r="N2430" i="50"/>
  <c r="V2148" i="50"/>
  <c r="N165" i="50"/>
  <c r="N2123" i="50"/>
  <c r="N1580" i="50"/>
  <c r="N160" i="50"/>
  <c r="N2373" i="50"/>
  <c r="N2404" i="50"/>
  <c r="V2316" i="50"/>
  <c r="V2317" i="50" s="1"/>
  <c r="N2323" i="50" s="1"/>
  <c r="N2227" i="50"/>
  <c r="N221" i="50"/>
  <c r="N2378" i="50"/>
  <c r="N2459" i="50"/>
  <c r="V1958" i="50"/>
  <c r="N2554" i="50"/>
  <c r="V2215" i="50"/>
  <c r="V2398" i="50"/>
  <c r="N2190" i="50"/>
  <c r="N2286" i="50"/>
  <c r="N2442" i="50"/>
  <c r="N2325" i="50"/>
  <c r="N1416" i="50"/>
  <c r="N1252" i="50"/>
  <c r="N490" i="50"/>
  <c r="V2430" i="50"/>
  <c r="N2265" i="50"/>
  <c r="N569" i="50"/>
  <c r="N2473" i="50"/>
  <c r="N2072" i="50"/>
  <c r="N486" i="50"/>
  <c r="N555" i="50"/>
  <c r="V2373" i="50"/>
  <c r="V2374" i="50" s="1"/>
  <c r="N541" i="50"/>
  <c r="N2516" i="50"/>
  <c r="V1466" i="50"/>
  <c r="N151" i="50"/>
  <c r="V2257" i="50"/>
  <c r="N187" i="50"/>
  <c r="V974" i="50"/>
  <c r="N2477" i="50"/>
  <c r="N2329" i="50"/>
  <c r="V1794" i="50"/>
  <c r="N2386" i="50"/>
  <c r="N63" i="50"/>
  <c r="N2382" i="50"/>
  <c r="N924" i="50"/>
  <c r="N145" i="50"/>
  <c r="N1744" i="50"/>
  <c r="V646" i="50"/>
  <c r="N2566" i="50"/>
  <c r="N2154" i="50"/>
  <c r="V1302" i="50"/>
  <c r="N91" i="49"/>
  <c r="N61" i="49"/>
  <c r="N118" i="49"/>
  <c r="N105" i="49"/>
  <c r="N266" i="49"/>
  <c r="N82" i="49"/>
  <c r="N127" i="49"/>
  <c r="Y20" i="49"/>
  <c r="N184" i="49"/>
  <c r="N197" i="49"/>
  <c r="N247" i="49"/>
  <c r="N150" i="49"/>
  <c r="N261" i="49"/>
  <c r="N66" i="49"/>
  <c r="N34" i="49"/>
  <c r="N242" i="49"/>
  <c r="N114" i="49"/>
  <c r="N218" i="49"/>
  <c r="N202" i="49"/>
  <c r="X202" i="49" s="1"/>
  <c r="N56" i="49"/>
  <c r="N211" i="49"/>
  <c r="N20" i="49"/>
  <c r="AH20" i="49" s="1"/>
  <c r="N145" i="49"/>
  <c r="N99" i="49"/>
  <c r="N72" i="49"/>
  <c r="N140" i="49"/>
  <c r="N251" i="49"/>
  <c r="X251" i="49" s="1"/>
  <c r="N122" i="49"/>
  <c r="N190" i="49"/>
  <c r="N237" i="49"/>
  <c r="N135" i="49"/>
  <c r="Y32" i="62"/>
  <c r="T32" i="62"/>
  <c r="M32" i="62"/>
  <c r="E137" i="62"/>
  <c r="Z32" i="62"/>
  <c r="AA32" i="62" s="1"/>
  <c r="M176" i="41"/>
  <c r="M302" i="50" s="1"/>
  <c r="M99" i="41"/>
  <c r="M250" i="50" s="1"/>
  <c r="M217" i="41"/>
  <c r="M334" i="50" s="1"/>
  <c r="M411" i="41"/>
  <c r="M44" i="41"/>
  <c r="M206" i="41"/>
  <c r="M325" i="50" s="1"/>
  <c r="M15" i="41"/>
  <c r="AA15" i="41" s="1"/>
  <c r="M321" i="41"/>
  <c r="M408" i="50" s="1"/>
  <c r="M335" i="41"/>
  <c r="M420" i="50" s="1"/>
  <c r="M34" i="41"/>
  <c r="M287" i="41"/>
  <c r="M377" i="50" s="1"/>
  <c r="M110" i="41"/>
  <c r="M257" i="50" s="1"/>
  <c r="M56" i="41"/>
  <c r="M260" i="41"/>
  <c r="M354" i="50" s="1"/>
  <c r="M146" i="41"/>
  <c r="M279" i="50" s="1"/>
  <c r="M227" i="41"/>
  <c r="M342" i="50" s="1"/>
  <c r="M276" i="41"/>
  <c r="M368" i="50" s="1"/>
  <c r="M363" i="41"/>
  <c r="M442" i="50" s="1"/>
  <c r="M306" i="41"/>
  <c r="M394" i="50" s="1"/>
  <c r="M188" i="41"/>
  <c r="M312" i="50" s="1"/>
  <c r="M295" i="41"/>
  <c r="M384" i="50" s="1"/>
  <c r="M239" i="41"/>
  <c r="M118" i="41"/>
  <c r="M138" i="41"/>
  <c r="M273" i="50" s="1"/>
  <c r="M93" i="41"/>
  <c r="M246" i="50" s="1"/>
  <c r="M66" i="49"/>
  <c r="M34" i="49"/>
  <c r="M202" i="49"/>
  <c r="W202" i="49" s="1"/>
  <c r="M190" i="49"/>
  <c r="M20" i="49"/>
  <c r="AG20" i="49" s="1"/>
  <c r="M135" i="49"/>
  <c r="M91" i="49"/>
  <c r="M105" i="49"/>
  <c r="M251" i="49"/>
  <c r="W251" i="49" s="1"/>
  <c r="M127" i="49"/>
  <c r="M242" i="49"/>
  <c r="M114" i="49"/>
  <c r="M184" i="49"/>
  <c r="M211" i="49"/>
  <c r="M218" i="49"/>
  <c r="M150" i="49"/>
  <c r="M145" i="49"/>
  <c r="M72" i="49"/>
  <c r="M197" i="49"/>
  <c r="M140" i="49"/>
  <c r="M56" i="49"/>
  <c r="M247" i="49"/>
  <c r="M237" i="49"/>
  <c r="X20" i="49"/>
  <c r="M266" i="49"/>
  <c r="M61" i="49"/>
  <c r="M122" i="49"/>
  <c r="M82" i="49"/>
  <c r="M261" i="49"/>
  <c r="M118" i="49"/>
  <c r="M99" i="49"/>
  <c r="M31" i="62"/>
  <c r="E136" i="62"/>
  <c r="T31" i="62"/>
  <c r="Y31" i="62"/>
  <c r="Z31" i="62"/>
  <c r="AA31" i="62" s="1"/>
  <c r="Z26" i="62"/>
  <c r="AA26" i="62" s="1"/>
  <c r="E131" i="62"/>
  <c r="M26" i="62"/>
  <c r="T26" i="62"/>
  <c r="Y26" i="62"/>
  <c r="K127" i="50"/>
  <c r="K284" i="49"/>
  <c r="T2374" i="50"/>
  <c r="K433" i="43"/>
  <c r="L43" i="50" s="1"/>
  <c r="G433" i="43"/>
  <c r="H433" i="43" s="1"/>
  <c r="E43" i="50" s="1"/>
  <c r="J433" i="43"/>
  <c r="I43" i="50" s="1"/>
  <c r="I676" i="42"/>
  <c r="C823" i="42"/>
  <c r="Q676" i="42"/>
  <c r="R677" i="42" s="1"/>
  <c r="M676" i="42"/>
  <c r="H335" i="50"/>
  <c r="H219" i="41"/>
  <c r="H336" i="50" s="1"/>
  <c r="C1523" i="37"/>
  <c r="Q1221" i="37"/>
  <c r="M155" i="50"/>
  <c r="M107" i="49"/>
  <c r="M156" i="50" s="1"/>
  <c r="S28" i="62"/>
  <c r="L28" i="62"/>
  <c r="R28" i="62"/>
  <c r="M197" i="41"/>
  <c r="M319" i="50" s="1"/>
  <c r="M219" i="41"/>
  <c r="M336" i="50" s="1"/>
  <c r="M335" i="50"/>
  <c r="K219" i="41"/>
  <c r="K336" i="50" s="1"/>
  <c r="K335" i="50"/>
  <c r="M243" i="37"/>
  <c r="M2134" i="37"/>
  <c r="Y2134" i="37" s="1"/>
  <c r="M2116" i="37"/>
  <c r="M3053" i="37"/>
  <c r="M1723" i="37"/>
  <c r="Y1723" i="37" s="1"/>
  <c r="M1907" i="37"/>
  <c r="Y1910" i="37" s="1"/>
  <c r="M2684" i="37"/>
  <c r="Y2686" i="37" s="1"/>
  <c r="M1210" i="37"/>
  <c r="M1665" i="37"/>
  <c r="M2450" i="37"/>
  <c r="Y2450" i="37" s="1"/>
  <c r="M64" i="37"/>
  <c r="Y64" i="37" s="1"/>
  <c r="M2269" i="37"/>
  <c r="M2008" i="37"/>
  <c r="Y2008" i="37" s="1"/>
  <c r="M2900" i="37"/>
  <c r="Y2904" i="37" s="1"/>
  <c r="M2382" i="37"/>
  <c r="Y2384" i="37" s="1"/>
  <c r="M940" i="37"/>
  <c r="Y940" i="37" s="1"/>
  <c r="M2025" i="37"/>
  <c r="Y2025" i="37" s="1"/>
  <c r="M2888" i="37"/>
  <c r="Y2892" i="37" s="1"/>
  <c r="M908" i="37"/>
  <c r="M1355" i="37"/>
  <c r="Y1355" i="37" s="1"/>
  <c r="M2148" i="37"/>
  <c r="Y2148" i="37" s="1"/>
  <c r="M2995" i="37"/>
  <c r="Y2998" i="37" s="1"/>
  <c r="M813" i="37"/>
  <c r="M1272" i="37"/>
  <c r="Y1272" i="37" s="1"/>
  <c r="M2738" i="37"/>
  <c r="Y2738" i="37" s="1"/>
  <c r="M2486" i="37"/>
  <c r="Y2489" i="37" s="1"/>
  <c r="M2914" i="37"/>
  <c r="Y2914" i="37" s="1"/>
  <c r="M2951" i="37"/>
  <c r="M1512" i="37"/>
  <c r="M2347" i="37"/>
  <c r="M40" i="37"/>
  <c r="Y43" i="37" s="1"/>
  <c r="M1743" i="37"/>
  <c r="M2927" i="37"/>
  <c r="M1967" i="37"/>
  <c r="M170" i="37"/>
  <c r="Y174" i="37" s="1"/>
  <c r="M2080" i="37"/>
  <c r="Y2082" i="37" s="1"/>
  <c r="M2436" i="37"/>
  <c r="Y2436" i="37" s="1"/>
  <c r="M2505" i="37"/>
  <c r="Y2505" i="37" s="1"/>
  <c r="M995" i="37"/>
  <c r="Y995" i="37" s="1"/>
  <c r="M2976" i="37"/>
  <c r="Y2979" i="37" s="1"/>
  <c r="M2112" i="37"/>
  <c r="M2674" i="37"/>
  <c r="Y2677" i="37" s="1"/>
  <c r="M1139" i="37"/>
  <c r="M2098" i="37"/>
  <c r="Y2098" i="37" s="1"/>
  <c r="M2070" i="37"/>
  <c r="Y2073" i="37" s="1"/>
  <c r="M2400" i="37"/>
  <c r="Y2400" i="37" s="1"/>
  <c r="M2986" i="37"/>
  <c r="Y2988" i="37" s="1"/>
  <c r="M1787" i="37"/>
  <c r="Y1790" i="37" s="1"/>
  <c r="M2716" i="37"/>
  <c r="M2598" i="37"/>
  <c r="Y2602" i="37" s="1"/>
  <c r="M2586" i="37"/>
  <c r="Y2590" i="37" s="1"/>
  <c r="M862" i="37"/>
  <c r="Y865" i="37" s="1"/>
  <c r="M1119" i="37"/>
  <c r="Y1119" i="37" s="1"/>
  <c r="M1174" i="37"/>
  <c r="Y1176" i="37" s="1"/>
  <c r="M890" i="37"/>
  <c r="Y890" i="37" s="1"/>
  <c r="M2702" i="37"/>
  <c r="Y2702" i="37" s="1"/>
  <c r="M1994" i="37"/>
  <c r="Y1998" i="37" s="1"/>
  <c r="M1378" i="37"/>
  <c r="Y1382" i="37" s="1"/>
  <c r="M3004" i="37"/>
  <c r="Y3004" i="37" s="1"/>
  <c r="M809" i="37"/>
  <c r="Y809" i="37" s="1"/>
  <c r="M1580" i="37"/>
  <c r="Y1583" i="37" s="1"/>
  <c r="M2089" i="37"/>
  <c r="Y2092" i="37" s="1"/>
  <c r="M1413" i="37"/>
  <c r="Y1413" i="37" s="1"/>
  <c r="M196" i="37"/>
  <c r="Y196" i="37" s="1"/>
  <c r="M2323" i="37"/>
  <c r="M2625" i="37"/>
  <c r="M1451" i="37"/>
  <c r="M2758" i="37"/>
  <c r="Y2761" i="37" s="1"/>
  <c r="M2456" i="37"/>
  <c r="Y2459" i="37" s="1"/>
  <c r="M800" i="37"/>
  <c r="Y800" i="37" s="1"/>
  <c r="M847" i="37"/>
  <c r="M2629" i="37"/>
  <c r="Y2629" i="37" s="1"/>
  <c r="M1494" i="37"/>
  <c r="Y1494" i="37" s="1"/>
  <c r="M545" i="37"/>
  <c r="M2961" i="37"/>
  <c r="M182" i="37"/>
  <c r="Y186" i="37" s="1"/>
  <c r="M286" i="37"/>
  <c r="Y286" i="37" s="1"/>
  <c r="M2366" i="37"/>
  <c r="Y2366" i="37" s="1"/>
  <c r="M70" i="37"/>
  <c r="Y73" i="37" s="1"/>
  <c r="M1959" i="37"/>
  <c r="Y1959" i="37" s="1"/>
  <c r="M1018" i="37"/>
  <c r="M1228" i="37"/>
  <c r="Y1228" i="37" s="1"/>
  <c r="M579" i="37"/>
  <c r="Y582" i="37" s="1"/>
  <c r="M2017" i="37"/>
  <c r="Y2017" i="37" s="1"/>
  <c r="M693" i="37"/>
  <c r="Y693" i="37" s="1"/>
  <c r="M1076" i="37"/>
  <c r="Y1080" i="37" s="1"/>
  <c r="M1363" i="37"/>
  <c r="M1460" i="37"/>
  <c r="Y1460" i="37" s="1"/>
  <c r="M484" i="37"/>
  <c r="Y488" i="37" s="1"/>
  <c r="M2418" i="37"/>
  <c r="M2873" i="37"/>
  <c r="M1530" i="37"/>
  <c r="Y1530" i="37" s="1"/>
  <c r="M2296" i="37"/>
  <c r="Y2300" i="37" s="1"/>
  <c r="M560" i="37"/>
  <c r="Y563" i="37" s="1"/>
  <c r="M2788" i="37"/>
  <c r="Y2791" i="37" s="1"/>
  <c r="M213" i="37"/>
  <c r="Y213" i="37" s="1"/>
  <c r="M2752" i="37"/>
  <c r="Y2752" i="37" s="1"/>
  <c r="M1550" i="37"/>
  <c r="Y1553" i="37" s="1"/>
  <c r="M2178" i="37"/>
  <c r="Y2178" i="37" s="1"/>
  <c r="M1544" i="37"/>
  <c r="Y1544" i="37" s="1"/>
  <c r="M588" i="37"/>
  <c r="Y588" i="37" s="1"/>
  <c r="M2659" i="37"/>
  <c r="M1061" i="37"/>
  <c r="M3022" i="37"/>
  <c r="M1657" i="37"/>
  <c r="Y1657" i="37" s="1"/>
  <c r="M1115" i="37"/>
  <c r="M2261" i="37"/>
  <c r="Y2261" i="37" s="1"/>
  <c r="M1183" i="37"/>
  <c r="Y1186" i="37" s="1"/>
  <c r="M1192" i="37"/>
  <c r="Y1192" i="37" s="1"/>
  <c r="M3018" i="37"/>
  <c r="M34" i="37"/>
  <c r="Y34" i="37" s="1"/>
  <c r="M372" i="37"/>
  <c r="Y375" i="37" s="1"/>
  <c r="M1466" i="37"/>
  <c r="Y1469" i="37" s="1"/>
  <c r="M751" i="37"/>
  <c r="Y751" i="37" s="1"/>
  <c r="M205" i="37"/>
  <c r="Y205" i="37" s="1"/>
  <c r="M2357" i="37"/>
  <c r="M397" i="37"/>
  <c r="Y400" i="37" s="1"/>
  <c r="M2511" i="37"/>
  <c r="Y2514" i="37" s="1"/>
  <c r="M2226" i="37"/>
  <c r="M507" i="37"/>
  <c r="Y507" i="37" s="1"/>
  <c r="M1734" i="37"/>
  <c r="M674" i="37"/>
  <c r="Y677" i="37" s="1"/>
  <c r="M1715" i="37"/>
  <c r="Y1715" i="37" s="1"/>
  <c r="M1206" i="37"/>
  <c r="M1476" i="37"/>
  <c r="Y1478" i="37" s="1"/>
  <c r="M1982" i="37"/>
  <c r="Y1986" i="37" s="1"/>
  <c r="M2649" i="37"/>
  <c r="M535" i="37"/>
  <c r="M1605" i="37"/>
  <c r="Y1608" i="37" s="1"/>
  <c r="M2571" i="37"/>
  <c r="M1692" i="37"/>
  <c r="Y1696" i="37" s="1"/>
  <c r="M856" i="37"/>
  <c r="Y856" i="37" s="1"/>
  <c r="M699" i="37"/>
  <c r="Y702" i="37" s="1"/>
  <c r="M252" i="37"/>
  <c r="Y252" i="37" s="1"/>
  <c r="M624" i="37"/>
  <c r="Y624" i="37" s="1"/>
  <c r="M644" i="37"/>
  <c r="Y647" i="37" s="1"/>
  <c r="M20" i="37"/>
  <c r="M2338" i="37"/>
  <c r="M2668" i="37"/>
  <c r="Y2668" i="37" s="1"/>
  <c r="M1814" i="37"/>
  <c r="M1088" i="37"/>
  <c r="Y1092" i="37" s="1"/>
  <c r="M1796" i="37"/>
  <c r="Y1796" i="37" s="1"/>
  <c r="M817" i="37"/>
  <c r="Y817" i="37" s="1"/>
  <c r="M277" i="37"/>
  <c r="Y280" i="37" s="1"/>
  <c r="M1278" i="37"/>
  <c r="Y1281" i="37" s="1"/>
  <c r="M2480" i="37"/>
  <c r="Y2480" i="37" s="1"/>
  <c r="M2813" i="37"/>
  <c r="Y2816" i="37" s="1"/>
  <c r="M1485" i="37"/>
  <c r="Y1488" i="37" s="1"/>
  <c r="M2612" i="37"/>
  <c r="Y2612" i="37" s="1"/>
  <c r="M1390" i="37"/>
  <c r="Y1394" i="37" s="1"/>
  <c r="M511" i="37"/>
  <c r="M668" i="37"/>
  <c r="Y668" i="37" s="1"/>
  <c r="M300" i="37"/>
  <c r="M774" i="37"/>
  <c r="Y778" i="37" s="1"/>
  <c r="M1508" i="37"/>
  <c r="M1421" i="37"/>
  <c r="Y1421" i="37" s="1"/>
  <c r="M1102" i="37"/>
  <c r="Y1102" i="37" s="1"/>
  <c r="M2528" i="37"/>
  <c r="M2640" i="37"/>
  <c r="M1149" i="37"/>
  <c r="M638" i="37"/>
  <c r="Y638" i="37" s="1"/>
  <c r="M2064" i="37"/>
  <c r="Y2064" i="37" s="1"/>
  <c r="M2931" i="37"/>
  <c r="Y2931" i="37" s="1"/>
  <c r="M268" i="37"/>
  <c r="Y270" i="37" s="1"/>
  <c r="M1164" i="37"/>
  <c r="Y1167" i="37" s="1"/>
  <c r="M1768" i="37"/>
  <c r="Y1771" i="37" s="1"/>
  <c r="M2209" i="37"/>
  <c r="Y2212" i="37" s="1"/>
  <c r="M1706" i="37"/>
  <c r="Y1706" i="37" s="1"/>
  <c r="M2693" i="37"/>
  <c r="Y2696" i="37" s="1"/>
  <c r="M1882" i="37"/>
  <c r="Y1885" i="37" s="1"/>
  <c r="M716" i="37"/>
  <c r="M1248" i="37"/>
  <c r="Y1251" i="37" s="1"/>
  <c r="M1852" i="37"/>
  <c r="Y1855" i="37" s="1"/>
  <c r="M2184" i="37"/>
  <c r="Y2187" i="37" s="1"/>
  <c r="M1001" i="37"/>
  <c r="Y1004" i="37" s="1"/>
  <c r="M2021" i="37"/>
  <c r="M828" i="37"/>
  <c r="M1441" i="37"/>
  <c r="M414" i="37"/>
  <c r="M1901" i="37"/>
  <c r="Y1901" i="37" s="1"/>
  <c r="M224" i="37"/>
  <c r="M2830" i="37"/>
  <c r="M147" i="37"/>
  <c r="Y147" i="37" s="1"/>
  <c r="M1404" i="37"/>
  <c r="Y1404" i="37" s="1"/>
  <c r="M1297" i="37"/>
  <c r="Y1297" i="37" s="1"/>
  <c r="M366" i="37"/>
  <c r="Y366" i="37" s="1"/>
  <c r="M515" i="37"/>
  <c r="Y515" i="37" s="1"/>
  <c r="M606" i="37"/>
  <c r="M554" i="37"/>
  <c r="Y554" i="37" s="1"/>
  <c r="M1130" i="37"/>
  <c r="M1719" i="37"/>
  <c r="M526" i="37"/>
  <c r="M926" i="37"/>
  <c r="Y926" i="37" s="1"/>
  <c r="M570" i="37"/>
  <c r="Y572" i="37" s="1"/>
  <c r="M95" i="37"/>
  <c r="Y98" i="37" s="1"/>
  <c r="M602" i="37"/>
  <c r="M1432" i="37"/>
  <c r="M2942" i="37"/>
  <c r="M1753" i="37"/>
  <c r="M449" i="37"/>
  <c r="Y449" i="37" s="1"/>
  <c r="M2036" i="37"/>
  <c r="M2319" i="37"/>
  <c r="Y2319" i="37" s="1"/>
  <c r="M342" i="37"/>
  <c r="Y345" i="37" s="1"/>
  <c r="M1053" i="37"/>
  <c r="Y1053" i="37" s="1"/>
  <c r="M1320" i="37"/>
  <c r="M209" i="37"/>
  <c r="M391" i="37"/>
  <c r="Y391" i="37" s="1"/>
  <c r="M1599" i="37"/>
  <c r="Y1599" i="37" s="1"/>
  <c r="M457" i="37"/>
  <c r="M2391" i="37"/>
  <c r="Y2394" i="37" s="1"/>
  <c r="M1242" i="37"/>
  <c r="Y1242" i="37" s="1"/>
  <c r="M2327" i="37"/>
  <c r="Y2327" i="37" s="1"/>
  <c r="M1876" i="37"/>
  <c r="Y1876" i="37" s="1"/>
  <c r="M2154" i="37"/>
  <c r="Y2157" i="37" s="1"/>
  <c r="M89" i="37"/>
  <c r="Y89" i="37" s="1"/>
  <c r="M786" i="37"/>
  <c r="Y790" i="37" s="1"/>
  <c r="M1846" i="37"/>
  <c r="Y1846" i="37" s="1"/>
  <c r="M258" i="37"/>
  <c r="Y261" i="37" s="1"/>
  <c r="M1762" i="37"/>
  <c r="Y1762" i="37" s="1"/>
  <c r="M2055" i="37"/>
  <c r="M2807" i="37"/>
  <c r="Y2807" i="37" s="1"/>
  <c r="M2372" i="37"/>
  <c r="Y2375" i="37" s="1"/>
  <c r="M1303" i="37"/>
  <c r="Y1306" i="37" s="1"/>
  <c r="M970" i="37"/>
  <c r="Y970" i="37" s="1"/>
  <c r="M1111" i="37"/>
  <c r="Y1111" i="37" s="1"/>
  <c r="M336" i="37"/>
  <c r="Y336" i="37" s="1"/>
  <c r="M2203" i="37"/>
  <c r="Y2203" i="37" s="1"/>
  <c r="M2970" i="37"/>
  <c r="Y2970" i="37" s="1"/>
  <c r="M1417" i="37"/>
  <c r="M2284" i="37"/>
  <c r="Y2288" i="37" s="1"/>
  <c r="M233" i="37"/>
  <c r="M2045" i="37"/>
  <c r="M1574" i="37"/>
  <c r="Y1574" i="37" s="1"/>
  <c r="M322" i="37"/>
  <c r="Y322" i="37" s="1"/>
  <c r="M2563" i="37"/>
  <c r="Y2563" i="37" s="1"/>
  <c r="M155" i="37"/>
  <c r="M2865" i="37"/>
  <c r="Y2865" i="37" s="1"/>
  <c r="M2621" i="37"/>
  <c r="Y2621" i="37" s="1"/>
  <c r="M904" i="37"/>
  <c r="M1680" i="37"/>
  <c r="Y1684" i="37" s="1"/>
  <c r="M304" i="37"/>
  <c r="M112" i="37"/>
  <c r="M1810" i="37"/>
  <c r="M946" i="37"/>
  <c r="Y949" i="37" s="1"/>
  <c r="M498" i="37"/>
  <c r="Y498" i="37" s="1"/>
  <c r="M472" i="37"/>
  <c r="Y476" i="37" s="1"/>
  <c r="M2310" i="37"/>
  <c r="Y2310" i="37" s="1"/>
  <c r="M3048" i="37"/>
  <c r="M2414" i="37"/>
  <c r="M1924" i="37"/>
  <c r="M837" i="37"/>
  <c r="M2923" i="37"/>
  <c r="Y2923" i="37" s="1"/>
  <c r="M976" i="37"/>
  <c r="Y979" i="37" s="1"/>
  <c r="M1778" i="37"/>
  <c r="Y1780" i="37" s="1"/>
  <c r="M1832" i="37"/>
  <c r="Y1832" i="37" s="1"/>
  <c r="M2782" i="37"/>
  <c r="Y2782" i="37" s="1"/>
  <c r="M2720" i="37"/>
  <c r="M881" i="37"/>
  <c r="Y884" i="37" s="1"/>
  <c r="M1622" i="37"/>
  <c r="M759" i="37"/>
  <c r="M1158" i="37"/>
  <c r="Y1158" i="37" s="1"/>
  <c r="M872" i="37"/>
  <c r="Y874" i="37" s="1"/>
  <c r="M397" i="47"/>
  <c r="Y397" i="47" s="1"/>
  <c r="M162" i="47"/>
  <c r="M302" i="47"/>
  <c r="M219" i="47"/>
  <c r="Y219" i="47" s="1"/>
  <c r="Y228" i="47" s="1"/>
  <c r="M31" i="47"/>
  <c r="AH31" i="47" s="1"/>
  <c r="M289" i="47"/>
  <c r="AH289" i="47" s="1"/>
  <c r="M364" i="47"/>
  <c r="M269" i="47"/>
  <c r="M216" i="47"/>
  <c r="M128" i="47"/>
  <c r="M322" i="47"/>
  <c r="AH322" i="47" s="1"/>
  <c r="M196" i="47"/>
  <c r="M155" i="47"/>
  <c r="M328" i="47"/>
  <c r="M94" i="47"/>
  <c r="M225" i="47"/>
  <c r="M386" i="47"/>
  <c r="AH386" i="47" s="1"/>
  <c r="M354" i="47"/>
  <c r="AH354" i="47" s="1"/>
  <c r="M403" i="47"/>
  <c r="Y406" i="47" s="1"/>
  <c r="M335" i="47"/>
  <c r="M112" i="47"/>
  <c r="AH112" i="47" s="1"/>
  <c r="M121" i="47"/>
  <c r="M295" i="47"/>
  <c r="M180" i="47"/>
  <c r="AH180" i="47" s="1"/>
  <c r="M146" i="47"/>
  <c r="AH146" i="47" s="1"/>
  <c r="M254" i="47"/>
  <c r="AH254" i="47" s="1"/>
  <c r="M188" i="47"/>
  <c r="M207" i="47"/>
  <c r="Q414" i="42"/>
  <c r="G414" i="42"/>
  <c r="H422" i="42" s="1"/>
  <c r="N618" i="42"/>
  <c r="N662" i="42"/>
  <c r="Z663" i="42" s="1"/>
  <c r="N27" i="42"/>
  <c r="N151" i="42"/>
  <c r="Z151" i="42" s="1"/>
  <c r="AI386" i="42"/>
  <c r="AI368" i="42"/>
  <c r="N348" i="42"/>
  <c r="Z348" i="42" s="1"/>
  <c r="AI803" i="42"/>
  <c r="N536" i="42"/>
  <c r="Z536" i="42" s="1"/>
  <c r="AI505" i="42"/>
  <c r="N631" i="42"/>
  <c r="N809" i="42"/>
  <c r="Z810" i="42" s="1"/>
  <c r="N161" i="42"/>
  <c r="N309" i="42"/>
  <c r="Z325" i="42" s="1"/>
  <c r="N691" i="42"/>
  <c r="Z691" i="42" s="1"/>
  <c r="N726" i="42"/>
  <c r="AI726" i="42" s="1"/>
  <c r="AI193" i="42"/>
  <c r="AI471" i="42"/>
  <c r="N778" i="42"/>
  <c r="AI161" i="42"/>
  <c r="N368" i="42"/>
  <c r="N112" i="42"/>
  <c r="Z128" i="42" s="1"/>
  <c r="N171" i="42"/>
  <c r="N837" i="42"/>
  <c r="Z837" i="42" s="1"/>
  <c r="AI481" i="42"/>
  <c r="N602" i="42"/>
  <c r="N421" i="42"/>
  <c r="Z421" i="42" s="1"/>
  <c r="AI521" i="42"/>
  <c r="AI189" i="42"/>
  <c r="N471" i="42"/>
  <c r="Z471" i="42" s="1"/>
  <c r="N216" i="42"/>
  <c r="Z216" i="42" s="1"/>
  <c r="AI394" i="42"/>
  <c r="AI197" i="42"/>
  <c r="N683" i="42"/>
  <c r="Z683" i="42" s="1"/>
  <c r="N261" i="42"/>
  <c r="AI261" i="42" s="1"/>
  <c r="N19" i="42"/>
  <c r="Z19" i="42" s="1"/>
  <c r="N300" i="42"/>
  <c r="N386" i="42"/>
  <c r="Z386" i="42" s="1"/>
  <c r="N481" i="42"/>
  <c r="N394" i="42"/>
  <c r="Z394" i="42" s="1"/>
  <c r="N193" i="42"/>
  <c r="Z193" i="42" s="1"/>
  <c r="N284" i="42"/>
  <c r="N513" i="42"/>
  <c r="Z513" i="42" s="1"/>
  <c r="N829" i="42"/>
  <c r="N390" i="42"/>
  <c r="Z390" i="42" s="1"/>
  <c r="N505" i="42"/>
  <c r="Z505" i="42" s="1"/>
  <c r="N185" i="42"/>
  <c r="Z185" i="42" s="1"/>
  <c r="N116" i="42"/>
  <c r="N427" i="42"/>
  <c r="Z430" i="42" s="1"/>
  <c r="AI348" i="42"/>
  <c r="N765" i="42"/>
  <c r="N103" i="42"/>
  <c r="N869" i="42"/>
  <c r="N749" i="42"/>
  <c r="N656" i="42"/>
  <c r="Z656" i="42" s="1"/>
  <c r="N224" i="42"/>
  <c r="Z224" i="42" s="1"/>
  <c r="AI491" i="42"/>
  <c r="AI809" i="42"/>
  <c r="N413" i="42"/>
  <c r="Z413" i="42" s="1"/>
  <c r="N107" i="42"/>
  <c r="Z107" i="42" s="1"/>
  <c r="N521" i="42"/>
  <c r="Z521" i="42" s="1"/>
  <c r="N903" i="42"/>
  <c r="Z906" i="42" s="1"/>
  <c r="N769" i="42"/>
  <c r="Z769" i="42" s="1"/>
  <c r="N897" i="42"/>
  <c r="Z897" i="42" s="1"/>
  <c r="AI662" i="42"/>
  <c r="AI513" i="42"/>
  <c r="N843" i="42"/>
  <c r="Z846" i="42" s="1"/>
  <c r="AI656" i="42"/>
  <c r="N304" i="42"/>
  <c r="Z304" i="42" s="1"/>
  <c r="AI358" i="42"/>
  <c r="AI517" i="42"/>
  <c r="N579" i="42"/>
  <c r="AI579" i="42" s="1"/>
  <c r="AI151" i="42"/>
  <c r="AI398" i="42"/>
  <c r="N201" i="42"/>
  <c r="Z201" i="42" s="1"/>
  <c r="N803" i="42"/>
  <c r="Z803" i="42" s="1"/>
  <c r="AI171" i="42"/>
  <c r="N774" i="42"/>
  <c r="Z790" i="42" s="1"/>
  <c r="AI390" i="42"/>
  <c r="N64" i="42"/>
  <c r="AI64" i="42" s="1"/>
  <c r="N517" i="42"/>
  <c r="Z517" i="42" s="1"/>
  <c r="AI509" i="42"/>
  <c r="N313" i="42"/>
  <c r="N398" i="42"/>
  <c r="Z398" i="42" s="1"/>
  <c r="AI201" i="42"/>
  <c r="AI185" i="42"/>
  <c r="N889" i="42"/>
  <c r="N87" i="42"/>
  <c r="N491" i="42"/>
  <c r="N544" i="42"/>
  <c r="Z544" i="42" s="1"/>
  <c r="N929" i="42"/>
  <c r="N382" i="42"/>
  <c r="Z382" i="42" s="1"/>
  <c r="N189" i="42"/>
  <c r="Z189" i="42" s="1"/>
  <c r="N358" i="42"/>
  <c r="AI382" i="42"/>
  <c r="N627" i="42"/>
  <c r="Z643" i="42" s="1"/>
  <c r="N197" i="42"/>
  <c r="Z197" i="42" s="1"/>
  <c r="N622" i="42"/>
  <c r="Z622" i="42" s="1"/>
  <c r="N509" i="42"/>
  <c r="Z509" i="42" s="1"/>
  <c r="N176" i="41"/>
  <c r="N302" i="50" s="1"/>
  <c r="N411" i="41"/>
  <c r="N217" i="41"/>
  <c r="N334" i="50" s="1"/>
  <c r="N306" i="41"/>
  <c r="N394" i="50" s="1"/>
  <c r="N146" i="41"/>
  <c r="N279" i="50" s="1"/>
  <c r="N118" i="41"/>
  <c r="N227" i="41"/>
  <c r="N342" i="50" s="1"/>
  <c r="N287" i="41"/>
  <c r="N377" i="50" s="1"/>
  <c r="N15" i="41"/>
  <c r="AB15" i="41" s="1"/>
  <c r="N363" i="41"/>
  <c r="N442" i="50" s="1"/>
  <c r="N335" i="41"/>
  <c r="N420" i="50" s="1"/>
  <c r="N239" i="41"/>
  <c r="N138" i="41"/>
  <c r="N273" i="50" s="1"/>
  <c r="N110" i="41"/>
  <c r="N257" i="50" s="1"/>
  <c r="N321" i="41"/>
  <c r="N408" i="50" s="1"/>
  <c r="N295" i="41"/>
  <c r="N384" i="50" s="1"/>
  <c r="N44" i="41"/>
  <c r="N188" i="41"/>
  <c r="N312" i="50" s="1"/>
  <c r="N93" i="41"/>
  <c r="N246" i="50" s="1"/>
  <c r="N56" i="41"/>
  <c r="N99" i="41"/>
  <c r="N250" i="50" s="1"/>
  <c r="N206" i="41"/>
  <c r="N325" i="50" s="1"/>
  <c r="N34" i="41"/>
  <c r="N260" i="41"/>
  <c r="N354" i="50" s="1"/>
  <c r="N276" i="41"/>
  <c r="N368" i="50" s="1"/>
  <c r="I2494" i="50"/>
  <c r="V2494" i="50" s="1"/>
  <c r="M2487" i="50"/>
  <c r="N2488" i="50"/>
  <c r="L2488" i="50"/>
  <c r="I2470" i="50"/>
  <c r="M2467" i="50"/>
  <c r="J2494" i="50"/>
  <c r="L2470" i="50"/>
  <c r="K2488" i="50"/>
  <c r="L2487" i="50"/>
  <c r="J2467" i="50"/>
  <c r="V2470" i="50" s="1"/>
  <c r="N2479" i="50"/>
  <c r="J2479" i="50"/>
  <c r="J2487" i="50"/>
  <c r="N2470" i="50"/>
  <c r="N2486" i="50"/>
  <c r="K2487" i="50"/>
  <c r="J2486" i="50"/>
  <c r="L2486" i="50"/>
  <c r="L2479" i="50"/>
  <c r="M2470" i="50"/>
  <c r="N2487" i="50"/>
  <c r="J2470" i="50"/>
  <c r="L2494" i="50"/>
  <c r="S2493" i="50"/>
  <c r="K2467" i="50"/>
  <c r="M2488" i="50"/>
  <c r="H2470" i="50"/>
  <c r="M2479" i="50"/>
  <c r="M2494" i="50"/>
  <c r="N2494" i="50"/>
  <c r="K2486" i="50"/>
  <c r="K2479" i="50"/>
  <c r="K2470" i="50"/>
  <c r="I2493" i="50"/>
  <c r="G2470" i="50" s="1"/>
  <c r="M2486" i="50"/>
  <c r="J2488" i="50"/>
  <c r="K2494" i="50"/>
  <c r="F2470" i="50"/>
  <c r="N302" i="47"/>
  <c r="N397" i="47"/>
  <c r="Z397" i="47" s="1"/>
  <c r="N31" i="47"/>
  <c r="AI31" i="47" s="1"/>
  <c r="N121" i="47"/>
  <c r="N403" i="47"/>
  <c r="Z406" i="47" s="1"/>
  <c r="N364" i="47"/>
  <c r="N128" i="47"/>
  <c r="N196" i="47"/>
  <c r="N335" i="47"/>
  <c r="N146" i="47"/>
  <c r="AI146" i="47" s="1"/>
  <c r="N289" i="47"/>
  <c r="AI289" i="47" s="1"/>
  <c r="N94" i="47"/>
  <c r="N155" i="47"/>
  <c r="N225" i="47"/>
  <c r="N180" i="47"/>
  <c r="AI180" i="47" s="1"/>
  <c r="N328" i="47"/>
  <c r="N162" i="47"/>
  <c r="N269" i="47"/>
  <c r="N219" i="47"/>
  <c r="Z219" i="47" s="1"/>
  <c r="Z228" i="47" s="1"/>
  <c r="N295" i="47"/>
  <c r="N386" i="47"/>
  <c r="AI386" i="47" s="1"/>
  <c r="N216" i="47"/>
  <c r="N112" i="47"/>
  <c r="AI112" i="47" s="1"/>
  <c r="N322" i="47"/>
  <c r="AI322" i="47" s="1"/>
  <c r="N188" i="47"/>
  <c r="N254" i="47"/>
  <c r="AI254" i="47" s="1"/>
  <c r="N207" i="47"/>
  <c r="N354" i="47"/>
  <c r="AI354" i="47" s="1"/>
  <c r="N3045" i="37"/>
  <c r="N424" i="47"/>
  <c r="N281" i="49"/>
  <c r="E2467" i="50"/>
  <c r="R2464" i="50"/>
  <c r="P2493" i="50"/>
  <c r="P2488" i="50"/>
  <c r="P2474" i="50"/>
  <c r="P2470" i="50"/>
  <c r="P2482" i="50"/>
  <c r="H2467" i="50"/>
  <c r="P2483" i="50"/>
  <c r="P2485" i="50"/>
  <c r="P2494" i="50"/>
  <c r="H315" i="50"/>
  <c r="H228" i="41"/>
  <c r="K285" i="49"/>
  <c r="K128" i="50"/>
  <c r="Q632" i="42"/>
  <c r="Q644" i="42"/>
  <c r="Q545" i="42"/>
  <c r="Q628" i="42"/>
  <c r="Q548" i="42"/>
  <c r="Q636" i="42"/>
  <c r="E537" i="42"/>
  <c r="I650" i="42"/>
  <c r="Q624" i="42"/>
  <c r="Q643" i="42"/>
  <c r="Q546" i="42"/>
  <c r="Q623" i="42"/>
  <c r="Q619" i="42"/>
  <c r="H197" i="41"/>
  <c r="H319" i="50" s="1"/>
  <c r="R32" i="62"/>
  <c r="S32" i="62"/>
  <c r="L32" i="62"/>
  <c r="K197" i="41"/>
  <c r="K319" i="50" s="1"/>
  <c r="M2269" i="50"/>
  <c r="M2442" i="50"/>
  <c r="M2459" i="50"/>
  <c r="M760" i="50"/>
  <c r="M2430" i="50"/>
  <c r="M2546" i="50"/>
  <c r="M2547" i="50" s="1"/>
  <c r="M2373" i="50"/>
  <c r="M2566" i="50"/>
  <c r="M596" i="50"/>
  <c r="M513" i="50"/>
  <c r="M1580" i="50"/>
  <c r="M2154" i="50"/>
  <c r="M211" i="50"/>
  <c r="M2261" i="50"/>
  <c r="M585" i="50"/>
  <c r="M2316" i="50"/>
  <c r="M2212" i="50"/>
  <c r="M2516" i="50"/>
  <c r="U1138" i="50"/>
  <c r="U1958" i="50"/>
  <c r="M63" i="50"/>
  <c r="M187" i="50"/>
  <c r="M2195" i="50"/>
  <c r="M2378" i="50"/>
  <c r="M140" i="50"/>
  <c r="M165" i="50"/>
  <c r="M2347" i="50"/>
  <c r="M2410" i="50"/>
  <c r="M2199" i="50"/>
  <c r="U1302" i="50"/>
  <c r="U2148" i="50"/>
  <c r="M2265" i="50"/>
  <c r="M2453" i="50"/>
  <c r="M2560" i="50"/>
  <c r="M490" i="50"/>
  <c r="U646" i="50"/>
  <c r="M2136" i="50"/>
  <c r="M1252" i="50"/>
  <c r="M199" i="50"/>
  <c r="M2404" i="50"/>
  <c r="U2257" i="50"/>
  <c r="M170" i="50"/>
  <c r="M2190" i="50"/>
  <c r="M1908" i="50"/>
  <c r="M151" i="50"/>
  <c r="M924" i="50"/>
  <c r="M2473" i="50"/>
  <c r="U2469" i="50"/>
  <c r="M221" i="50"/>
  <c r="M2386" i="50"/>
  <c r="M541" i="50"/>
  <c r="M2438" i="50"/>
  <c r="M2160" i="50"/>
  <c r="M499" i="50"/>
  <c r="M2353" i="50"/>
  <c r="M2286" i="50"/>
  <c r="U2190" i="50"/>
  <c r="M1744" i="50"/>
  <c r="U2316" i="50"/>
  <c r="U2317" i="50" s="1"/>
  <c r="M2322" i="50" s="1"/>
  <c r="M2492" i="50"/>
  <c r="M2257" i="50"/>
  <c r="M2498" i="50"/>
  <c r="M2434" i="50"/>
  <c r="M2280" i="50"/>
  <c r="M2128" i="50"/>
  <c r="M2132" i="50"/>
  <c r="U2215" i="50"/>
  <c r="M2072" i="50"/>
  <c r="U2373" i="50"/>
  <c r="U2374" i="50" s="1"/>
  <c r="M2382" i="50"/>
  <c r="M2395" i="50"/>
  <c r="U2398" i="50"/>
  <c r="M1088" i="50"/>
  <c r="U1794" i="50"/>
  <c r="M160" i="50"/>
  <c r="M482" i="50"/>
  <c r="U2341" i="50"/>
  <c r="M569" i="50"/>
  <c r="U482" i="50"/>
  <c r="M145" i="50"/>
  <c r="M346" i="50"/>
  <c r="U1466" i="50"/>
  <c r="M2523" i="50"/>
  <c r="M2221" i="50"/>
  <c r="M2227" i="50"/>
  <c r="M2550" i="50"/>
  <c r="M527" i="50"/>
  <c r="M2338" i="50"/>
  <c r="M2321" i="50"/>
  <c r="M1416" i="50"/>
  <c r="M2123" i="50"/>
  <c r="U2430" i="50"/>
  <c r="M91" i="50"/>
  <c r="M176" i="50"/>
  <c r="M2554" i="50"/>
  <c r="U974" i="50"/>
  <c r="M2145" i="50"/>
  <c r="U2123" i="50"/>
  <c r="U810" i="50"/>
  <c r="M2203" i="50"/>
  <c r="M2477" i="50"/>
  <c r="U1630" i="50"/>
  <c r="M111" i="50"/>
  <c r="M2481" i="50"/>
  <c r="M135" i="50"/>
  <c r="M2325" i="50"/>
  <c r="M2329" i="50"/>
  <c r="M486" i="50"/>
  <c r="M2469" i="50"/>
  <c r="M555" i="50"/>
  <c r="M424" i="47"/>
  <c r="M281" i="49"/>
  <c r="M3045" i="37"/>
  <c r="L35" i="62"/>
  <c r="S35" i="62"/>
  <c r="R35" i="62"/>
  <c r="N2418" i="37"/>
  <c r="N1753" i="37"/>
  <c r="N545" i="37"/>
  <c r="N182" i="37"/>
  <c r="Z186" i="37" s="1"/>
  <c r="N300" i="37"/>
  <c r="N2720" i="37"/>
  <c r="N1303" i="37"/>
  <c r="Z1306" i="37" s="1"/>
  <c r="N2807" i="37"/>
  <c r="Z2807" i="37" s="1"/>
  <c r="N1001" i="37"/>
  <c r="Z1004" i="37" s="1"/>
  <c r="N1692" i="37"/>
  <c r="Z1696" i="37" s="1"/>
  <c r="N2900" i="37"/>
  <c r="Z2904" i="37" s="1"/>
  <c r="N1355" i="37"/>
  <c r="Z1355" i="37" s="1"/>
  <c r="N1982" i="37"/>
  <c r="Z1986" i="37" s="1"/>
  <c r="N2702" i="37"/>
  <c r="Z2702" i="37" s="1"/>
  <c r="N1320" i="37"/>
  <c r="N1466" i="37"/>
  <c r="Z1469" i="37" s="1"/>
  <c r="N20" i="37"/>
  <c r="N507" i="37"/>
  <c r="Z507" i="37" s="1"/>
  <c r="N606" i="37"/>
  <c r="N2261" i="37"/>
  <c r="Z2261" i="37" s="1"/>
  <c r="N644" i="37"/>
  <c r="Z647" i="37" s="1"/>
  <c r="N1053" i="37"/>
  <c r="Z1053" i="37" s="1"/>
  <c r="N1413" i="37"/>
  <c r="Z1413" i="37" s="1"/>
  <c r="N1959" i="37"/>
  <c r="Z1959" i="37" s="1"/>
  <c r="N2970" i="37"/>
  <c r="Z2970" i="37" s="1"/>
  <c r="N1451" i="37"/>
  <c r="N414" i="37"/>
  <c r="N1460" i="37"/>
  <c r="Z1460" i="37" s="1"/>
  <c r="N89" i="37"/>
  <c r="Z89" i="37" s="1"/>
  <c r="N2782" i="37"/>
  <c r="Z2782" i="37" s="1"/>
  <c r="N205" i="37"/>
  <c r="Z205" i="37" s="1"/>
  <c r="N2813" i="37"/>
  <c r="Z2816" i="37" s="1"/>
  <c r="N2319" i="37"/>
  <c r="Z2319" i="37" s="1"/>
  <c r="N277" i="37"/>
  <c r="Z280" i="37" s="1"/>
  <c r="N1778" i="37"/>
  <c r="Z1780" i="37" s="1"/>
  <c r="N847" i="37"/>
  <c r="N70" i="37"/>
  <c r="Z73" i="37" s="1"/>
  <c r="N2036" i="37"/>
  <c r="N372" i="37"/>
  <c r="Z375" i="37" s="1"/>
  <c r="N155" i="37"/>
  <c r="N1810" i="37"/>
  <c r="N2008" i="37"/>
  <c r="Z2008" i="37" s="1"/>
  <c r="N3022" i="37"/>
  <c r="N2391" i="37"/>
  <c r="Z2394" i="37" s="1"/>
  <c r="N2612" i="37"/>
  <c r="Z2612" i="37" s="1"/>
  <c r="N2865" i="37"/>
  <c r="Z2865" i="37" s="1"/>
  <c r="N872" i="37"/>
  <c r="Z874" i="37" s="1"/>
  <c r="N526" i="37"/>
  <c r="N2571" i="37"/>
  <c r="N1882" i="37"/>
  <c r="Z1885" i="37" s="1"/>
  <c r="N2486" i="37"/>
  <c r="Z2489" i="37" s="1"/>
  <c r="N1706" i="37"/>
  <c r="Z1706" i="37" s="1"/>
  <c r="N1901" i="37"/>
  <c r="Z1901" i="37" s="1"/>
  <c r="N2357" i="37"/>
  <c r="N2693" i="37"/>
  <c r="Z2696" i="37" s="1"/>
  <c r="N1715" i="37"/>
  <c r="Z1715" i="37" s="1"/>
  <c r="N2134" i="37"/>
  <c r="Z2134" i="37" s="1"/>
  <c r="N224" i="37"/>
  <c r="N2788" i="37"/>
  <c r="Z2791" i="37" s="1"/>
  <c r="N940" i="37"/>
  <c r="Z940" i="37" s="1"/>
  <c r="N484" i="37"/>
  <c r="Z488" i="37" s="1"/>
  <c r="N1743" i="37"/>
  <c r="N2017" i="37"/>
  <c r="Z2017" i="37" s="1"/>
  <c r="N2372" i="37"/>
  <c r="Z2375" i="37" s="1"/>
  <c r="N1164" i="37"/>
  <c r="Z1167" i="37" s="1"/>
  <c r="N1206" i="37"/>
  <c r="N170" i="37"/>
  <c r="Z174" i="37" s="1"/>
  <c r="N2154" i="37"/>
  <c r="Z2157" i="37" s="1"/>
  <c r="N2178" i="37"/>
  <c r="Z2178" i="37" s="1"/>
  <c r="N1723" i="37"/>
  <c r="Z1723" i="37" s="1"/>
  <c r="N890" i="37"/>
  <c r="Z890" i="37" s="1"/>
  <c r="N2995" i="37"/>
  <c r="Z2998" i="37" s="1"/>
  <c r="N1768" i="37"/>
  <c r="Z1771" i="37" s="1"/>
  <c r="N668" i="37"/>
  <c r="Z668" i="37" s="1"/>
  <c r="N817" i="37"/>
  <c r="Z817" i="37" s="1"/>
  <c r="N1119" i="37"/>
  <c r="Z1119" i="37" s="1"/>
  <c r="N1390" i="37"/>
  <c r="Z1394" i="37" s="1"/>
  <c r="N1657" i="37"/>
  <c r="Z1657" i="37" s="1"/>
  <c r="N2830" i="37"/>
  <c r="N1102" i="37"/>
  <c r="Z1102" i="37" s="1"/>
  <c r="N209" i="37"/>
  <c r="N3048" i="37"/>
  <c r="N1242" i="37"/>
  <c r="Z1242" i="37" s="1"/>
  <c r="N2668" i="37"/>
  <c r="Z2668" i="37" s="1"/>
  <c r="N1846" i="37"/>
  <c r="Z1846" i="37" s="1"/>
  <c r="N2684" i="37"/>
  <c r="Z2686" i="37" s="1"/>
  <c r="N2942" i="37"/>
  <c r="N2951" i="37"/>
  <c r="N602" i="37"/>
  <c r="N64" i="37"/>
  <c r="Z64" i="37" s="1"/>
  <c r="N588" i="37"/>
  <c r="Z588" i="37" s="1"/>
  <c r="N2649" i="37"/>
  <c r="N1550" i="37"/>
  <c r="Z1553" i="37" s="1"/>
  <c r="N1272" i="37"/>
  <c r="Z1272" i="37" s="1"/>
  <c r="N40" i="37"/>
  <c r="Z43" i="37" s="1"/>
  <c r="N2450" i="37"/>
  <c r="Z2450" i="37" s="1"/>
  <c r="N1248" i="37"/>
  <c r="Z1251" i="37" s="1"/>
  <c r="N342" i="37"/>
  <c r="Z345" i="37" s="1"/>
  <c r="N828" i="37"/>
  <c r="N1599" i="37"/>
  <c r="Z1599" i="37" s="1"/>
  <c r="N2148" i="37"/>
  <c r="Z2148" i="37" s="1"/>
  <c r="N2528" i="37"/>
  <c r="N674" i="37"/>
  <c r="Z677" i="37" s="1"/>
  <c r="N624" i="37"/>
  <c r="Z624" i="37" s="1"/>
  <c r="N2269" i="37"/>
  <c r="N457" i="37"/>
  <c r="N2961" i="37"/>
  <c r="N472" i="37"/>
  <c r="Z476" i="37" s="1"/>
  <c r="N2116" i="37"/>
  <c r="N2366" i="37"/>
  <c r="Z2366" i="37" s="1"/>
  <c r="N3053" i="37"/>
  <c r="N1432" i="37"/>
  <c r="N397" i="37"/>
  <c r="Z400" i="37" s="1"/>
  <c r="N2716" i="37"/>
  <c r="N1417" i="37"/>
  <c r="N1544" i="37"/>
  <c r="Z1544" i="37" s="1"/>
  <c r="N2080" i="37"/>
  <c r="Z2082" i="37" s="1"/>
  <c r="N751" i="37"/>
  <c r="Z751" i="37" s="1"/>
  <c r="N1111" i="37"/>
  <c r="Z1111" i="37" s="1"/>
  <c r="N112" i="37"/>
  <c r="N336" i="37"/>
  <c r="Z336" i="37" s="1"/>
  <c r="N2738" i="37"/>
  <c r="Z2738" i="37" s="1"/>
  <c r="N908" i="37"/>
  <c r="N1485" i="37"/>
  <c r="Z1488" i="37" s="1"/>
  <c r="N904" i="37"/>
  <c r="N1665" i="37"/>
  <c r="N2436" i="37"/>
  <c r="Z2436" i="37" s="1"/>
  <c r="N579" i="37"/>
  <c r="Z582" i="37" s="1"/>
  <c r="N1796" i="37"/>
  <c r="Z1796" i="37" s="1"/>
  <c r="N1139" i="37"/>
  <c r="N322" i="37"/>
  <c r="Z322" i="37" s="1"/>
  <c r="N926" i="37"/>
  <c r="Z926" i="37" s="1"/>
  <c r="N813" i="37"/>
  <c r="N1967" i="37"/>
  <c r="N2640" i="37"/>
  <c r="N2347" i="37"/>
  <c r="N2021" i="37"/>
  <c r="N1018" i="37"/>
  <c r="N1210" i="37"/>
  <c r="N1174" i="37"/>
  <c r="Z1176" i="37" s="1"/>
  <c r="N2112" i="37"/>
  <c r="N2310" i="37"/>
  <c r="Z2310" i="37" s="1"/>
  <c r="N560" i="37"/>
  <c r="Z563" i="37" s="1"/>
  <c r="N515" i="37"/>
  <c r="Z515" i="37" s="1"/>
  <c r="N716" i="37"/>
  <c r="N196" i="37"/>
  <c r="Z196" i="37" s="1"/>
  <c r="N2055" i="37"/>
  <c r="N1130" i="37"/>
  <c r="N837" i="37"/>
  <c r="N286" i="37"/>
  <c r="Z286" i="37" s="1"/>
  <c r="N95" i="37"/>
  <c r="Z98" i="37" s="1"/>
  <c r="N535" i="37"/>
  <c r="N800" i="37"/>
  <c r="Z800" i="37" s="1"/>
  <c r="N1719" i="37"/>
  <c r="N1907" i="37"/>
  <c r="Z1910" i="37" s="1"/>
  <c r="N258" i="37"/>
  <c r="Z261" i="37" s="1"/>
  <c r="N1115" i="37"/>
  <c r="N449" i="37"/>
  <c r="Z449" i="37" s="1"/>
  <c r="N570" i="37"/>
  <c r="Z572" i="37" s="1"/>
  <c r="N2323" i="37"/>
  <c r="N1476" i="37"/>
  <c r="Z1478" i="37" s="1"/>
  <c r="N976" i="37"/>
  <c r="Z979" i="37" s="1"/>
  <c r="N1421" i="37"/>
  <c r="Z1421" i="37" s="1"/>
  <c r="N2598" i="37"/>
  <c r="Z2602" i="37" s="1"/>
  <c r="N862" i="37"/>
  <c r="Z865" i="37" s="1"/>
  <c r="N2927" i="37"/>
  <c r="N2184" i="37"/>
  <c r="Z2187" i="37" s="1"/>
  <c r="N2625" i="37"/>
  <c r="N786" i="37"/>
  <c r="Z790" i="37" s="1"/>
  <c r="N1787" i="37"/>
  <c r="Z1790" i="37" s="1"/>
  <c r="N2284" i="37"/>
  <c r="Z2288" i="37" s="1"/>
  <c r="N2456" i="37"/>
  <c r="Z2459" i="37" s="1"/>
  <c r="N2986" i="37"/>
  <c r="Z2988" i="37" s="1"/>
  <c r="N2089" i="37"/>
  <c r="Z2092" i="37" s="1"/>
  <c r="N233" i="37"/>
  <c r="N1378" i="37"/>
  <c r="Z1382" i="37" s="1"/>
  <c r="N511" i="37"/>
  <c r="N1076" i="37"/>
  <c r="Z1080" i="37" s="1"/>
  <c r="N2629" i="37"/>
  <c r="Z2629" i="37" s="1"/>
  <c r="N946" i="37"/>
  <c r="Z949" i="37" s="1"/>
  <c r="N2976" i="37"/>
  <c r="Z2979" i="37" s="1"/>
  <c r="N1508" i="37"/>
  <c r="N1088" i="37"/>
  <c r="Z1092" i="37" s="1"/>
  <c r="N1183" i="37"/>
  <c r="Z1186" i="37" s="1"/>
  <c r="N1924" i="37"/>
  <c r="N2203" i="37"/>
  <c r="Z2203" i="37" s="1"/>
  <c r="N2621" i="37"/>
  <c r="Z2621" i="37" s="1"/>
  <c r="N1622" i="37"/>
  <c r="N1734" i="37"/>
  <c r="N1762" i="37"/>
  <c r="Z1762" i="37" s="1"/>
  <c r="N213" i="37"/>
  <c r="Z213" i="37" s="1"/>
  <c r="N1228" i="37"/>
  <c r="Z1228" i="37" s="1"/>
  <c r="N2563" i="37"/>
  <c r="Z2563" i="37" s="1"/>
  <c r="N2338" i="37"/>
  <c r="N970" i="37"/>
  <c r="Z970" i="37" s="1"/>
  <c r="N693" i="37"/>
  <c r="Z693" i="37" s="1"/>
  <c r="N995" i="37"/>
  <c r="Z995" i="37" s="1"/>
  <c r="N3004" i="37"/>
  <c r="Z3004" i="37" s="1"/>
  <c r="N1512" i="37"/>
  <c r="N1994" i="37"/>
  <c r="Z1998" i="37" s="1"/>
  <c r="N2758" i="37"/>
  <c r="Z2761" i="37" s="1"/>
  <c r="N856" i="37"/>
  <c r="Z856" i="37" s="1"/>
  <c r="N1404" i="37"/>
  <c r="Z1404" i="37" s="1"/>
  <c r="N2931" i="37"/>
  <c r="Z2931" i="37" s="1"/>
  <c r="N554" i="37"/>
  <c r="Z554" i="37" s="1"/>
  <c r="N2480" i="37"/>
  <c r="Z2480" i="37" s="1"/>
  <c r="N2914" i="37"/>
  <c r="Z2914" i="37" s="1"/>
  <c r="N2296" i="37"/>
  <c r="Z2300" i="37" s="1"/>
  <c r="N2064" i="37"/>
  <c r="Z2064" i="37" s="1"/>
  <c r="N774" i="37"/>
  <c r="Z778" i="37" s="1"/>
  <c r="N498" i="37"/>
  <c r="Z498" i="37" s="1"/>
  <c r="N2586" i="37"/>
  <c r="Z2590" i="37" s="1"/>
  <c r="N759" i="37"/>
  <c r="N2923" i="37"/>
  <c r="Z2923" i="37" s="1"/>
  <c r="N2209" i="37"/>
  <c r="Z2212" i="37" s="1"/>
  <c r="N1192" i="37"/>
  <c r="Z1192" i="37" s="1"/>
  <c r="N2400" i="37"/>
  <c r="Z2400" i="37" s="1"/>
  <c r="N304" i="37"/>
  <c r="N2414" i="37"/>
  <c r="N699" i="37"/>
  <c r="Z702" i="37" s="1"/>
  <c r="N638" i="37"/>
  <c r="Z638" i="37" s="1"/>
  <c r="N268" i="37"/>
  <c r="Z270" i="37" s="1"/>
  <c r="N1876" i="37"/>
  <c r="Z1876" i="37" s="1"/>
  <c r="N3018" i="37"/>
  <c r="N147" i="37"/>
  <c r="Z147" i="37" s="1"/>
  <c r="N2511" i="37"/>
  <c r="Z2514" i="37" s="1"/>
  <c r="N1852" i="37"/>
  <c r="Z1855" i="37" s="1"/>
  <c r="N2025" i="37"/>
  <c r="Z2025" i="37" s="1"/>
  <c r="N1832" i="37"/>
  <c r="Z1832" i="37" s="1"/>
  <c r="N2045" i="37"/>
  <c r="N1494" i="37"/>
  <c r="Z1494" i="37" s="1"/>
  <c r="N1278" i="37"/>
  <c r="Z1281" i="37" s="1"/>
  <c r="N2888" i="37"/>
  <c r="Z2892" i="37" s="1"/>
  <c r="N809" i="37"/>
  <c r="Z809" i="37" s="1"/>
  <c r="N391" i="37"/>
  <c r="Z391" i="37" s="1"/>
  <c r="N1814" i="37"/>
  <c r="N34" i="37"/>
  <c r="Z34" i="37" s="1"/>
  <c r="N1158" i="37"/>
  <c r="Z1158" i="37" s="1"/>
  <c r="N881" i="37"/>
  <c r="Z884" i="37" s="1"/>
  <c r="N1061" i="37"/>
  <c r="N1149" i="37"/>
  <c r="N2752" i="37"/>
  <c r="Z2752" i="37" s="1"/>
  <c r="N1363" i="37"/>
  <c r="N2098" i="37"/>
  <c r="Z2098" i="37" s="1"/>
  <c r="N2070" i="37"/>
  <c r="Z2073" i="37" s="1"/>
  <c r="N366" i="37"/>
  <c r="Z366" i="37" s="1"/>
  <c r="N1574" i="37"/>
  <c r="Z1574" i="37" s="1"/>
  <c r="N1680" i="37"/>
  <c r="Z1684" i="37" s="1"/>
  <c r="N2226" i="37"/>
  <c r="N243" i="37"/>
  <c r="N2659" i="37"/>
  <c r="N1580" i="37"/>
  <c r="Z1583" i="37" s="1"/>
  <c r="N1441" i="37"/>
  <c r="N252" i="37"/>
  <c r="Z252" i="37" s="1"/>
  <c r="N1297" i="37"/>
  <c r="Z1297" i="37" s="1"/>
  <c r="N2674" i="37"/>
  <c r="Z2677" i="37" s="1"/>
  <c r="N2382" i="37"/>
  <c r="Z2384" i="37" s="1"/>
  <c r="N2327" i="37"/>
  <c r="Z2327" i="37" s="1"/>
  <c r="N2505" i="37"/>
  <c r="Z2505" i="37" s="1"/>
  <c r="N1605" i="37"/>
  <c r="Z1608" i="37" s="1"/>
  <c r="N2873" i="37"/>
  <c r="N1530" i="37"/>
  <c r="Z1530" i="37" s="1"/>
  <c r="L155" i="50"/>
  <c r="L107" i="49"/>
  <c r="L156" i="50" s="1"/>
  <c r="U135" i="62"/>
  <c r="N135" i="62"/>
  <c r="I135" i="62"/>
  <c r="W135" i="62"/>
  <c r="Y135" i="62"/>
  <c r="S135" i="62"/>
  <c r="V135" i="62"/>
  <c r="L135" i="62"/>
  <c r="J135" i="62"/>
  <c r="M135" i="62"/>
  <c r="X135" i="62"/>
  <c r="K135" i="62"/>
  <c r="T135" i="62"/>
  <c r="K2323" i="50"/>
  <c r="K2322" i="50"/>
  <c r="N2240" i="50"/>
  <c r="H2246" i="50"/>
  <c r="I2246" i="50"/>
  <c r="L2245" i="50"/>
  <c r="L2239" i="50"/>
  <c r="L2235" i="50"/>
  <c r="H2242" i="50"/>
  <c r="M2241" i="50"/>
  <c r="N2201" i="50"/>
  <c r="I2245" i="50"/>
  <c r="M2248" i="50"/>
  <c r="L2191" i="50"/>
  <c r="L2243" i="50"/>
  <c r="K2209" i="50"/>
  <c r="M2246" i="50"/>
  <c r="J2235" i="50"/>
  <c r="H2192" i="50"/>
  <c r="M2188" i="50"/>
  <c r="J2248" i="50"/>
  <c r="J2237" i="50"/>
  <c r="N2209" i="50"/>
  <c r="M2245" i="50"/>
  <c r="H2228" i="50"/>
  <c r="I2233" i="50"/>
  <c r="J2213" i="50"/>
  <c r="N2248" i="50"/>
  <c r="H2233" i="50"/>
  <c r="K2241" i="50"/>
  <c r="L2214" i="50"/>
  <c r="K2233" i="50"/>
  <c r="N2242" i="50"/>
  <c r="J2192" i="50"/>
  <c r="I2240" i="50"/>
  <c r="L2216" i="50"/>
  <c r="K2248" i="50"/>
  <c r="K2215" i="50"/>
  <c r="S2216" i="50" s="1"/>
  <c r="M2237" i="50"/>
  <c r="H2235" i="50"/>
  <c r="L2210" i="50"/>
  <c r="M2233" i="50"/>
  <c r="L2201" i="50"/>
  <c r="K2213" i="50"/>
  <c r="L2248" i="50"/>
  <c r="H2232" i="50"/>
  <c r="I2243" i="50"/>
  <c r="M2239" i="50"/>
  <c r="K2201" i="50"/>
  <c r="H2239" i="50"/>
  <c r="K2223" i="50"/>
  <c r="K2244" i="50"/>
  <c r="L2223" i="50"/>
  <c r="J2240" i="50"/>
  <c r="J2223" i="50"/>
  <c r="K2210" i="50"/>
  <c r="S2222" i="50"/>
  <c r="L2234" i="50"/>
  <c r="M2210" i="50"/>
  <c r="J2244" i="50"/>
  <c r="K2246" i="50"/>
  <c r="N2208" i="50"/>
  <c r="L2192" i="50"/>
  <c r="L2208" i="50"/>
  <c r="K2232" i="50"/>
  <c r="K2188" i="50"/>
  <c r="I2241" i="50"/>
  <c r="J2208" i="50"/>
  <c r="L2233" i="50"/>
  <c r="J2214" i="50"/>
  <c r="K2234" i="50"/>
  <c r="L2232" i="50"/>
  <c r="H2234" i="50"/>
  <c r="M2232" i="50"/>
  <c r="J2191" i="50"/>
  <c r="J2247" i="50"/>
  <c r="K2214" i="50"/>
  <c r="L2241" i="50"/>
  <c r="K2247" i="50"/>
  <c r="I2222" i="50"/>
  <c r="G2191" i="50" s="1"/>
  <c r="I2239" i="50"/>
  <c r="K2240" i="50"/>
  <c r="J2245" i="50"/>
  <c r="K2216" i="50"/>
  <c r="M2213" i="50"/>
  <c r="N2232" i="50"/>
  <c r="M2216" i="50"/>
  <c r="I2191" i="50"/>
  <c r="N2243" i="50"/>
  <c r="I2223" i="50"/>
  <c r="V2223" i="50" s="1"/>
  <c r="J2232" i="50"/>
  <c r="N2245" i="50"/>
  <c r="L2242" i="50"/>
  <c r="J2246" i="50"/>
  <c r="L2246" i="50"/>
  <c r="M2243" i="50"/>
  <c r="M2240" i="50"/>
  <c r="J2242" i="50"/>
  <c r="M2191" i="50"/>
  <c r="N2215" i="50"/>
  <c r="V2216" i="50" s="1"/>
  <c r="I2237" i="50"/>
  <c r="N2223" i="50"/>
  <c r="N2247" i="50"/>
  <c r="F2192" i="50"/>
  <c r="I2232" i="50"/>
  <c r="H2240" i="50"/>
  <c r="K2191" i="50"/>
  <c r="M2209" i="50"/>
  <c r="M2208" i="50"/>
  <c r="N2228" i="50"/>
  <c r="K2237" i="50"/>
  <c r="K2235" i="50"/>
  <c r="L2213" i="50"/>
  <c r="L2240" i="50"/>
  <c r="H2243" i="50"/>
  <c r="H2237" i="50"/>
  <c r="N2241" i="50"/>
  <c r="L2237" i="50"/>
  <c r="I2244" i="50"/>
  <c r="I2192" i="50"/>
  <c r="H2241" i="50"/>
  <c r="M2223" i="50"/>
  <c r="H2247" i="50"/>
  <c r="N2192" i="50"/>
  <c r="K2245" i="50"/>
  <c r="M2234" i="50"/>
  <c r="N2244" i="50"/>
  <c r="M2214" i="50"/>
  <c r="N2216" i="50"/>
  <c r="K2243" i="50"/>
  <c r="G2192" i="50"/>
  <c r="J2215" i="50"/>
  <c r="R2216" i="50" s="1"/>
  <c r="J2234" i="50"/>
  <c r="M2244" i="50"/>
  <c r="M2192" i="50"/>
  <c r="J2241" i="50"/>
  <c r="N2213" i="50"/>
  <c r="J2201" i="50"/>
  <c r="J2209" i="50"/>
  <c r="K2208" i="50"/>
  <c r="M2228" i="50"/>
  <c r="M2201" i="50"/>
  <c r="K2228" i="50"/>
  <c r="H2248" i="50"/>
  <c r="I2242" i="50"/>
  <c r="K2239" i="50"/>
  <c r="L2247" i="50"/>
  <c r="H2191" i="50"/>
  <c r="J2216" i="50"/>
  <c r="J2239" i="50"/>
  <c r="N2246" i="50"/>
  <c r="N2237" i="50"/>
  <c r="H2244" i="50"/>
  <c r="J2210" i="50"/>
  <c r="I2228" i="50"/>
  <c r="N2210" i="50"/>
  <c r="L2244" i="50"/>
  <c r="M2215" i="50"/>
  <c r="U2216" i="50" s="1"/>
  <c r="N2214" i="50"/>
  <c r="M2247" i="50"/>
  <c r="L2209" i="50"/>
  <c r="J2233" i="50"/>
  <c r="N2233" i="50"/>
  <c r="K2242" i="50"/>
  <c r="N2239" i="50"/>
  <c r="I2248" i="50"/>
  <c r="M2242" i="50"/>
  <c r="N2235" i="50"/>
  <c r="H2245" i="50"/>
  <c r="K2192" i="50"/>
  <c r="L2215" i="50"/>
  <c r="T2216" i="50" s="1"/>
  <c r="M2235" i="50"/>
  <c r="J2188" i="50"/>
  <c r="S2191" i="50" s="1"/>
  <c r="I2235" i="50"/>
  <c r="L2228" i="50"/>
  <c r="I2247" i="50"/>
  <c r="N2234" i="50"/>
  <c r="N2191" i="50"/>
  <c r="J2243" i="50"/>
  <c r="I2234" i="50"/>
  <c r="J2228" i="50"/>
  <c r="T230" i="41"/>
  <c r="S133" i="62"/>
  <c r="J133" i="62"/>
  <c r="M133" i="62"/>
  <c r="K133" i="62"/>
  <c r="X133" i="62"/>
  <c r="Y133" i="62"/>
  <c r="L133" i="62"/>
  <c r="V133" i="62"/>
  <c r="W133" i="62"/>
  <c r="I133" i="62"/>
  <c r="T133" i="62"/>
  <c r="U133" i="62"/>
  <c r="N133" i="62"/>
  <c r="K428" i="42"/>
  <c r="K430" i="42" s="1"/>
  <c r="K431" i="42"/>
  <c r="L428" i="42"/>
  <c r="L430" i="42" s="1"/>
  <c r="Z422" i="42"/>
  <c r="N422" i="42" s="1"/>
  <c r="W422" i="42"/>
  <c r="K422" i="42" s="1"/>
  <c r="N414" i="42"/>
  <c r="K414" i="42"/>
  <c r="H414" i="42"/>
  <c r="I414" i="42"/>
  <c r="X406" i="42"/>
  <c r="Z406" i="42" s="1"/>
  <c r="N428" i="42"/>
  <c r="N430" i="42" s="1"/>
  <c r="L431" i="42"/>
  <c r="L2281" i="50" s="1"/>
  <c r="M2266" i="50" s="1"/>
  <c r="K425" i="42"/>
  <c r="M431" i="42"/>
  <c r="J414" i="42"/>
  <c r="J425" i="42"/>
  <c r="I407" i="42"/>
  <c r="J431" i="42"/>
  <c r="I425" i="42"/>
  <c r="I431" i="42" s="1"/>
  <c r="L414" i="42"/>
  <c r="N431" i="42"/>
  <c r="V422" i="42"/>
  <c r="J422" i="42" s="1"/>
  <c r="M414" i="42"/>
  <c r="Y422" i="42"/>
  <c r="T406" i="42"/>
  <c r="X422" i="42"/>
  <c r="L422" i="42" s="1"/>
  <c r="N425" i="42"/>
  <c r="M425" i="42"/>
  <c r="J428" i="42"/>
  <c r="J430" i="42" s="1"/>
  <c r="M428" i="42"/>
  <c r="M430" i="42" s="1"/>
  <c r="L425" i="42"/>
  <c r="I2299" i="50"/>
  <c r="J2298" i="50"/>
  <c r="K2293" i="50"/>
  <c r="L2303" i="50"/>
  <c r="L2306" i="50"/>
  <c r="H2301" i="50"/>
  <c r="K2303" i="50"/>
  <c r="J2276" i="50"/>
  <c r="J2267" i="50"/>
  <c r="L2300" i="50"/>
  <c r="L2293" i="50"/>
  <c r="K2307" i="50"/>
  <c r="L2287" i="50"/>
  <c r="N2307" i="50"/>
  <c r="M2293" i="50"/>
  <c r="S2281" i="50"/>
  <c r="I2281" i="50"/>
  <c r="G2258" i="50" s="1"/>
  <c r="K2275" i="50"/>
  <c r="J2275" i="50"/>
  <c r="H2293" i="50"/>
  <c r="H2299" i="50"/>
  <c r="K2298" i="50"/>
  <c r="I2282" i="50"/>
  <c r="V2282" i="50" s="1"/>
  <c r="L2282" i="50"/>
  <c r="I2305" i="50"/>
  <c r="M2306" i="50"/>
  <c r="J2291" i="50"/>
  <c r="I2287" i="50"/>
  <c r="N2274" i="50"/>
  <c r="N2303" i="50"/>
  <c r="K2287" i="50"/>
  <c r="J2255" i="50"/>
  <c r="J2282" i="50"/>
  <c r="M2287" i="50"/>
  <c r="K2276" i="50"/>
  <c r="K2301" i="50"/>
  <c r="M2292" i="50"/>
  <c r="K2294" i="50"/>
  <c r="J2287" i="50"/>
  <c r="H2300" i="50"/>
  <c r="H2305" i="50"/>
  <c r="J2299" i="50"/>
  <c r="L2304" i="50"/>
  <c r="N2304" i="50"/>
  <c r="K2258" i="50"/>
  <c r="K2282" i="50"/>
  <c r="L2274" i="50"/>
  <c r="H2294" i="50"/>
  <c r="M2258" i="50"/>
  <c r="J2304" i="50"/>
  <c r="N2306" i="50"/>
  <c r="I2298" i="50"/>
  <c r="I2291" i="50"/>
  <c r="L2276" i="50"/>
  <c r="M2267" i="50"/>
  <c r="L2275" i="50"/>
  <c r="M2294" i="50"/>
  <c r="M2296" i="50"/>
  <c r="H2304" i="50"/>
  <c r="N2301" i="50"/>
  <c r="I2294" i="50"/>
  <c r="J2306" i="50"/>
  <c r="N2298" i="50"/>
  <c r="J2274" i="50"/>
  <c r="N2305" i="50"/>
  <c r="K2306" i="50"/>
  <c r="I2296" i="50"/>
  <c r="M2255" i="50"/>
  <c r="N2292" i="50"/>
  <c r="M2307" i="50"/>
  <c r="I2303" i="50"/>
  <c r="L2301" i="50"/>
  <c r="I2258" i="50"/>
  <c r="L2291" i="50"/>
  <c r="H2302" i="50"/>
  <c r="M2301" i="50"/>
  <c r="H2287" i="50"/>
  <c r="N2296" i="50"/>
  <c r="N2282" i="50"/>
  <c r="N2287" i="50"/>
  <c r="K2296" i="50"/>
  <c r="L2298" i="50"/>
  <c r="N2294" i="50"/>
  <c r="N2275" i="50"/>
  <c r="I2306" i="50"/>
  <c r="J2258" i="50"/>
  <c r="N2293" i="50"/>
  <c r="J2302" i="50"/>
  <c r="M2303" i="50"/>
  <c r="I2292" i="50"/>
  <c r="M2274" i="50"/>
  <c r="L2267" i="50"/>
  <c r="M2282" i="50"/>
  <c r="M2304" i="50"/>
  <c r="H2292" i="50"/>
  <c r="J2307" i="50"/>
  <c r="K2274" i="50"/>
  <c r="K2302" i="50"/>
  <c r="L2305" i="50"/>
  <c r="M2305" i="50"/>
  <c r="L2307" i="50"/>
  <c r="H2296" i="50"/>
  <c r="K2292" i="50"/>
  <c r="J2301" i="50"/>
  <c r="K2305" i="50"/>
  <c r="M2276" i="50"/>
  <c r="I2301" i="50"/>
  <c r="N2276" i="50"/>
  <c r="J2292" i="50"/>
  <c r="K2255" i="50"/>
  <c r="M2291" i="50"/>
  <c r="I2307" i="50"/>
  <c r="J2303" i="50"/>
  <c r="L2299" i="50"/>
  <c r="L2302" i="50"/>
  <c r="J2294" i="50"/>
  <c r="M2300" i="50"/>
  <c r="K2291" i="50"/>
  <c r="L2258" i="50"/>
  <c r="J2305" i="50"/>
  <c r="N2291" i="50"/>
  <c r="H2307" i="50"/>
  <c r="K2300" i="50"/>
  <c r="H2298" i="50"/>
  <c r="K2299" i="50"/>
  <c r="N2300" i="50"/>
  <c r="H2258" i="50"/>
  <c r="J2300" i="50"/>
  <c r="M2298" i="50"/>
  <c r="N2299" i="50"/>
  <c r="I2304" i="50"/>
  <c r="J2293" i="50"/>
  <c r="I2300" i="50"/>
  <c r="H2306" i="50"/>
  <c r="L2294" i="50"/>
  <c r="N2258" i="50"/>
  <c r="L2296" i="50"/>
  <c r="H2303" i="50"/>
  <c r="J2296" i="50"/>
  <c r="L2292" i="50"/>
  <c r="I2302" i="50"/>
  <c r="K2267" i="50"/>
  <c r="I2293" i="50"/>
  <c r="M2299" i="50"/>
  <c r="M2275" i="50"/>
  <c r="N2267" i="50"/>
  <c r="M2302" i="50"/>
  <c r="K2304" i="50"/>
  <c r="N2302" i="50"/>
  <c r="H2291" i="50"/>
  <c r="I210" i="42"/>
  <c r="N228" i="42"/>
  <c r="N2207" i="50" s="1"/>
  <c r="S293" i="42"/>
  <c r="J326" i="42"/>
  <c r="AL245" i="42"/>
  <c r="S290" i="42"/>
  <c r="J228" i="42"/>
  <c r="J2207" i="50" s="1"/>
  <c r="J310" i="42"/>
  <c r="S289" i="42"/>
  <c r="S287" i="42"/>
  <c r="V225" i="42"/>
  <c r="M326" i="42"/>
  <c r="S292" i="42"/>
  <c r="N326" i="42"/>
  <c r="N2222" i="50" s="1"/>
  <c r="S286" i="42"/>
  <c r="I305" i="42"/>
  <c r="K217" i="42"/>
  <c r="K296" i="42" s="1"/>
  <c r="J217" i="42"/>
  <c r="J296" i="42" s="1"/>
  <c r="L326" i="42"/>
  <c r="L2222" i="50" s="1"/>
  <c r="M2200" i="50" s="1"/>
  <c r="L314" i="42"/>
  <c r="AG318" i="42" s="1"/>
  <c r="I217" i="42"/>
  <c r="I296" i="42" s="1"/>
  <c r="M314" i="42"/>
  <c r="AH318" i="42" s="1"/>
  <c r="S291" i="42"/>
  <c r="X209" i="42"/>
  <c r="Z209" i="42" s="1"/>
  <c r="Z225" i="42"/>
  <c r="L310" i="42"/>
  <c r="S294" i="42"/>
  <c r="T274" i="42"/>
  <c r="N314" i="42"/>
  <c r="AI318" i="42" s="1"/>
  <c r="Y225" i="42"/>
  <c r="L217" i="42"/>
  <c r="L296" i="42" s="1"/>
  <c r="N217" i="42"/>
  <c r="N296" i="42" s="1"/>
  <c r="M217" i="42"/>
  <c r="M296" i="42" s="1"/>
  <c r="K314" i="42"/>
  <c r="AF318" i="42" s="1"/>
  <c r="K310" i="42"/>
  <c r="K228" i="42"/>
  <c r="S288" i="42"/>
  <c r="L228" i="42"/>
  <c r="L2207" i="50" s="1"/>
  <c r="I228" i="42"/>
  <c r="I326" i="42" s="1"/>
  <c r="H217" i="42"/>
  <c r="H296" i="42" s="1"/>
  <c r="N310" i="42"/>
  <c r="M310" i="42"/>
  <c r="T209" i="42"/>
  <c r="W225" i="42"/>
  <c r="K326" i="42"/>
  <c r="K2222" i="50" s="1"/>
  <c r="L2200" i="50" s="1"/>
  <c r="S285" i="42"/>
  <c r="X225" i="42"/>
  <c r="M228" i="42"/>
  <c r="J314" i="42"/>
  <c r="AE318" i="42" s="1"/>
  <c r="L2322" i="50"/>
  <c r="L2323" i="50"/>
  <c r="J2281" i="50" l="1"/>
  <c r="K2266" i="50" s="1"/>
  <c r="J2273" i="50"/>
  <c r="N2281" i="50"/>
  <c r="J2323" i="50"/>
  <c r="L2273" i="50"/>
  <c r="N2273" i="50"/>
  <c r="K2281" i="50"/>
  <c r="L2266" i="50" s="1"/>
  <c r="E36" i="62"/>
  <c r="M2273" i="50"/>
  <c r="G174" i="62"/>
  <c r="AD406" i="42" s="1"/>
  <c r="R61" i="62"/>
  <c r="K170" i="62" s="1"/>
  <c r="R63" i="62"/>
  <c r="R59" i="62"/>
  <c r="R60" i="62"/>
  <c r="R57" i="62"/>
  <c r="M2281" i="50"/>
  <c r="N2266" i="50" s="1"/>
  <c r="K139" i="62"/>
  <c r="N139" i="62"/>
  <c r="V139" i="62"/>
  <c r="L139" i="62"/>
  <c r="U139" i="62"/>
  <c r="X139" i="62"/>
  <c r="J139" i="62"/>
  <c r="Y139" i="62"/>
  <c r="T139" i="62"/>
  <c r="I139" i="62"/>
  <c r="W139" i="62"/>
  <c r="M139" i="62"/>
  <c r="S139" i="62"/>
  <c r="R58" i="62"/>
  <c r="M2207" i="50"/>
  <c r="K2207" i="50"/>
  <c r="M2222" i="50"/>
  <c r="N2200" i="50" s="1"/>
  <c r="K2273" i="50"/>
  <c r="I197" i="41"/>
  <c r="I319" i="50" s="1"/>
  <c r="M422" i="42"/>
  <c r="M2270" i="50" s="1"/>
  <c r="N2322" i="50"/>
  <c r="K2379" i="50"/>
  <c r="K2380" i="50"/>
  <c r="V602" i="42"/>
  <c r="AE602" i="42"/>
  <c r="V915" i="42"/>
  <c r="V889" i="42"/>
  <c r="AE889" i="42" s="1"/>
  <c r="I207" i="47"/>
  <c r="I162" i="47"/>
  <c r="I180" i="47"/>
  <c r="AD180" i="47" s="1"/>
  <c r="I121" i="47"/>
  <c r="I328" i="47"/>
  <c r="I295" i="47"/>
  <c r="I335" i="47"/>
  <c r="I196" i="47"/>
  <c r="I128" i="47"/>
  <c r="I216" i="47"/>
  <c r="I386" i="47"/>
  <c r="AD386" i="47" s="1"/>
  <c r="I31" i="47"/>
  <c r="AD31" i="47" s="1"/>
  <c r="I254" i="47"/>
  <c r="AD254" i="47" s="1"/>
  <c r="I112" i="47"/>
  <c r="AD112" i="47" s="1"/>
  <c r="I289" i="47"/>
  <c r="AD289" i="47" s="1"/>
  <c r="I188" i="47"/>
  <c r="I269" i="47"/>
  <c r="I94" i="47"/>
  <c r="I322" i="47"/>
  <c r="AD322" i="47" s="1"/>
  <c r="I302" i="47"/>
  <c r="I354" i="47"/>
  <c r="AD354" i="47" s="1"/>
  <c r="I155" i="47"/>
  <c r="I146" i="47"/>
  <c r="AD146" i="47" s="1"/>
  <c r="I364" i="47"/>
  <c r="K2517" i="50"/>
  <c r="K2518" i="50"/>
  <c r="W829" i="42"/>
  <c r="AF829" i="42" s="1"/>
  <c r="W855" i="42"/>
  <c r="AF749" i="42"/>
  <c r="W749" i="42"/>
  <c r="I219" i="41"/>
  <c r="I336" i="50" s="1"/>
  <c r="I335" i="50"/>
  <c r="N219" i="41"/>
  <c r="N336" i="50" s="1"/>
  <c r="N335" i="50"/>
  <c r="J2518" i="50"/>
  <c r="J2517" i="50"/>
  <c r="AF2310" i="37"/>
  <c r="AF2571" i="37"/>
  <c r="AF2116" i="37"/>
  <c r="AF1228" i="37"/>
  <c r="AF2942" i="37"/>
  <c r="AF1802" i="37"/>
  <c r="AF881" i="37"/>
  <c r="AF2923" i="37"/>
  <c r="AF2347" i="37"/>
  <c r="AF1485" i="37"/>
  <c r="AF322" i="37"/>
  <c r="AF2391" i="37"/>
  <c r="AF155" i="37"/>
  <c r="AF545" i="37"/>
  <c r="AF624" i="37"/>
  <c r="AF1363" i="37"/>
  <c r="AF1320" i="37"/>
  <c r="W20" i="37"/>
  <c r="AF1924" i="37"/>
  <c r="AF657" i="37"/>
  <c r="AF147" i="37"/>
  <c r="AF1198" i="37"/>
  <c r="AF786" i="37"/>
  <c r="AF2269" i="37"/>
  <c r="AF2900" i="37"/>
  <c r="AF449" i="37"/>
  <c r="AF1814" i="37"/>
  <c r="AF472" i="37"/>
  <c r="AF2436" i="37"/>
  <c r="AF2418" i="37"/>
  <c r="AF1967" i="37"/>
  <c r="AF686" i="37"/>
  <c r="AF507" i="37"/>
  <c r="AF1494" i="37"/>
  <c r="AF498" i="37"/>
  <c r="AF511" i="37"/>
  <c r="AF3022" i="37"/>
  <c r="AF1715" i="37"/>
  <c r="AF2528" i="37"/>
  <c r="AF1378" i="37"/>
  <c r="AF1290" i="37"/>
  <c r="AF2684" i="37"/>
  <c r="AF2284" i="37"/>
  <c r="AF579" i="37"/>
  <c r="AF484" i="37"/>
  <c r="AF1192" i="37"/>
  <c r="AF606" i="37"/>
  <c r="AF2296" i="37"/>
  <c r="AF759" i="37"/>
  <c r="AF1441" i="37"/>
  <c r="AF292" i="37"/>
  <c r="AF224" i="37"/>
  <c r="AF1508" i="37"/>
  <c r="AF1810" i="37"/>
  <c r="AF828" i="37"/>
  <c r="AF1512" i="37"/>
  <c r="AF817" i="37"/>
  <c r="AF1183" i="37"/>
  <c r="AF1390" i="37"/>
  <c r="AF20" i="37"/>
  <c r="AF2830" i="37"/>
  <c r="AF1894" i="37"/>
  <c r="AF112" i="37"/>
  <c r="AF205" i="37"/>
  <c r="AF526" i="37"/>
  <c r="AF988" i="37"/>
  <c r="AF2089" i="37"/>
  <c r="AF1622" i="37"/>
  <c r="AF1500" i="37"/>
  <c r="AF1451" i="37"/>
  <c r="AF594" i="37"/>
  <c r="AF1982" i="37"/>
  <c r="AF1723" i="37"/>
  <c r="AF847" i="37"/>
  <c r="AF2008" i="37"/>
  <c r="AF2720" i="37"/>
  <c r="AF2196" i="37"/>
  <c r="AF414" i="37"/>
  <c r="AF1432" i="37"/>
  <c r="AF588" i="37"/>
  <c r="AF1139" i="37"/>
  <c r="AF233" i="37"/>
  <c r="AF1787" i="37"/>
  <c r="AF800" i="37"/>
  <c r="AF82" i="37"/>
  <c r="AF1076" i="37"/>
  <c r="AF1088" i="37"/>
  <c r="AF2134" i="37"/>
  <c r="AF2261" i="37"/>
  <c r="AF243" i="37"/>
  <c r="AF570" i="37"/>
  <c r="AF904" i="37"/>
  <c r="AF896" i="37"/>
  <c r="AF2357" i="37"/>
  <c r="AF2017" i="37"/>
  <c r="AF2323" i="37"/>
  <c r="AF2080" i="37"/>
  <c r="AF2659" i="37"/>
  <c r="AF213" i="37"/>
  <c r="AF2112" i="37"/>
  <c r="AF2327" i="37"/>
  <c r="AF1174" i="37"/>
  <c r="AF2104" i="37"/>
  <c r="AF1592" i="37"/>
  <c r="AF1421" i="37"/>
  <c r="AF2469" i="37"/>
  <c r="AF2226" i="37"/>
  <c r="AF53" i="37"/>
  <c r="AF2498" i="37"/>
  <c r="AF457" i="37"/>
  <c r="AF2888" i="37"/>
  <c r="AF2640" i="37"/>
  <c r="AF2771" i="37"/>
  <c r="AF1796" i="37"/>
  <c r="AF2586" i="37"/>
  <c r="AF1680" i="37"/>
  <c r="AF2338" i="37"/>
  <c r="AF1753" i="37"/>
  <c r="AF1102" i="37"/>
  <c r="AF1719" i="37"/>
  <c r="AF1994" i="37"/>
  <c r="AF926" i="37"/>
  <c r="AF2055" i="37"/>
  <c r="AF1413" i="37"/>
  <c r="AF515" i="37"/>
  <c r="AF1692" i="37"/>
  <c r="AF2400" i="37"/>
  <c r="AF1018" i="37"/>
  <c r="AF2927" i="37"/>
  <c r="AF2025" i="37"/>
  <c r="AF2621" i="37"/>
  <c r="AF2865" i="37"/>
  <c r="AF170" i="37"/>
  <c r="AF300" i="37"/>
  <c r="AF1743" i="37"/>
  <c r="AF1149" i="37"/>
  <c r="AF2873" i="37"/>
  <c r="AF1404" i="37"/>
  <c r="AF2961" i="37"/>
  <c r="AF2708" i="37"/>
  <c r="AF1832" i="37"/>
  <c r="AF1210" i="37"/>
  <c r="AF602" i="37"/>
  <c r="AF872" i="37"/>
  <c r="AF1657" i="37"/>
  <c r="AF837" i="37"/>
  <c r="AF2382" i="37"/>
  <c r="AF2693" i="37"/>
  <c r="AF277" i="37"/>
  <c r="AF2914" i="37"/>
  <c r="AF1734" i="37"/>
  <c r="AF268" i="37"/>
  <c r="AF809" i="37"/>
  <c r="AF890" i="37"/>
  <c r="AF2738" i="37"/>
  <c r="AF1665" i="37"/>
  <c r="AF774" i="37"/>
  <c r="AF2612" i="37"/>
  <c r="AF2167" i="37"/>
  <c r="AF2951" i="37"/>
  <c r="AF1130" i="37"/>
  <c r="AF1206" i="37"/>
  <c r="AF182" i="37"/>
  <c r="AF2036" i="37"/>
  <c r="AF2800" i="37"/>
  <c r="AF1476" i="37"/>
  <c r="AF751" i="37"/>
  <c r="AF2406" i="37"/>
  <c r="AF3010" i="37"/>
  <c r="AF2045" i="37"/>
  <c r="AF2716" i="37"/>
  <c r="AF1778" i="37"/>
  <c r="AF355" i="37"/>
  <c r="AF209" i="37"/>
  <c r="AF286" i="37"/>
  <c r="AF2649" i="37"/>
  <c r="AF2995" i="37"/>
  <c r="AF1865" i="37"/>
  <c r="AF3004" i="37"/>
  <c r="AF1111" i="37"/>
  <c r="AF2702" i="37"/>
  <c r="AF1115" i="37"/>
  <c r="AF1417" i="37"/>
  <c r="AF304" i="37"/>
  <c r="AF2098" i="37"/>
  <c r="AF2625" i="37"/>
  <c r="AF959" i="37"/>
  <c r="AF1053" i="37"/>
  <c r="AF535" i="37"/>
  <c r="AF1355" i="37"/>
  <c r="AF2986" i="37"/>
  <c r="AF2598" i="37"/>
  <c r="AF1261" i="37"/>
  <c r="AF2021" i="37"/>
  <c r="AF2629" i="37"/>
  <c r="AF2319" i="37"/>
  <c r="AF1061" i="37"/>
  <c r="AF196" i="37"/>
  <c r="AF1530" i="37"/>
  <c r="AF1959" i="37"/>
  <c r="AF2931" i="37"/>
  <c r="AF1119" i="37"/>
  <c r="AF1706" i="37"/>
  <c r="AF813" i="37"/>
  <c r="AF1563" i="37"/>
  <c r="AF384" i="37"/>
  <c r="AF908" i="37"/>
  <c r="AF2414" i="37"/>
  <c r="AF716" i="37"/>
  <c r="AF2563" i="37"/>
  <c r="AF3018" i="37"/>
  <c r="AE716" i="37"/>
  <c r="AE809" i="37"/>
  <c r="AE1119" i="37"/>
  <c r="AE2873" i="37"/>
  <c r="AE2418" i="37"/>
  <c r="AE1476" i="37"/>
  <c r="AE209" i="37"/>
  <c r="AE2659" i="37"/>
  <c r="AE53" i="37"/>
  <c r="AE1261" i="37"/>
  <c r="AE1530" i="37"/>
  <c r="AE847" i="37"/>
  <c r="AE2598" i="37"/>
  <c r="AE1832" i="37"/>
  <c r="AE2720" i="37"/>
  <c r="AE1390" i="37"/>
  <c r="AE2693" i="37"/>
  <c r="AE1734" i="37"/>
  <c r="AE2327" i="37"/>
  <c r="AE1592" i="37"/>
  <c r="AE1894" i="37"/>
  <c r="AE837" i="37"/>
  <c r="AE686" i="37"/>
  <c r="AE1622" i="37"/>
  <c r="AE1102" i="37"/>
  <c r="AE322" i="37"/>
  <c r="AE2021" i="37"/>
  <c r="AE2112" i="37"/>
  <c r="AE2134" i="37"/>
  <c r="AE3022" i="37"/>
  <c r="AE1115" i="37"/>
  <c r="AE82" i="37"/>
  <c r="AE1665" i="37"/>
  <c r="AE1814" i="37"/>
  <c r="AE1451" i="37"/>
  <c r="AE2586" i="37"/>
  <c r="AE988" i="37"/>
  <c r="AE155" i="37"/>
  <c r="AE2391" i="37"/>
  <c r="AE2055" i="37"/>
  <c r="AE2338" i="37"/>
  <c r="AE414" i="37"/>
  <c r="AE1320" i="37"/>
  <c r="AE515" i="37"/>
  <c r="AE2563" i="37"/>
  <c r="AE1743" i="37"/>
  <c r="AE817" i="37"/>
  <c r="AE908" i="37"/>
  <c r="AE2986" i="37"/>
  <c r="AE2923" i="37"/>
  <c r="AE602" i="37"/>
  <c r="AE1149" i="37"/>
  <c r="AE594" i="37"/>
  <c r="AE2323" i="37"/>
  <c r="AE2995" i="37"/>
  <c r="AE2830" i="37"/>
  <c r="AE959" i="37"/>
  <c r="AE570" i="37"/>
  <c r="AE1715" i="37"/>
  <c r="AE449" i="37"/>
  <c r="AE1441" i="37"/>
  <c r="AE2571" i="37"/>
  <c r="AE2800" i="37"/>
  <c r="AE579" i="37"/>
  <c r="AE1802" i="37"/>
  <c r="AE890" i="37"/>
  <c r="AE1723" i="37"/>
  <c r="AE2017" i="37"/>
  <c r="AE1753" i="37"/>
  <c r="AE1512" i="37"/>
  <c r="AE896" i="37"/>
  <c r="AE2269" i="37"/>
  <c r="AE2116" i="37"/>
  <c r="AE774" i="37"/>
  <c r="AE2640" i="37"/>
  <c r="AE2951" i="37"/>
  <c r="AE233" i="37"/>
  <c r="AE1413" i="37"/>
  <c r="AE2612" i="37"/>
  <c r="AE588" i="37"/>
  <c r="AE355" i="37"/>
  <c r="AE2865" i="37"/>
  <c r="AE1206" i="37"/>
  <c r="AE2629" i="37"/>
  <c r="AE213" i="37"/>
  <c r="AE2942" i="37"/>
  <c r="AE1088" i="37"/>
  <c r="AE1865" i="37"/>
  <c r="AE1183" i="37"/>
  <c r="AE3004" i="37"/>
  <c r="V20" i="37"/>
  <c r="AE1508" i="37"/>
  <c r="AE384" i="37"/>
  <c r="AE243" i="37"/>
  <c r="AE2621" i="37"/>
  <c r="AE1378" i="37"/>
  <c r="AE759" i="37"/>
  <c r="AE2080" i="37"/>
  <c r="AE1778" i="37"/>
  <c r="AE1228" i="37"/>
  <c r="AE112" i="37"/>
  <c r="AE1174" i="37"/>
  <c r="AE300" i="37"/>
  <c r="AE535" i="37"/>
  <c r="AE2469" i="37"/>
  <c r="AE1810" i="37"/>
  <c r="AE926" i="37"/>
  <c r="AE786" i="37"/>
  <c r="AE2226" i="37"/>
  <c r="AE2104" i="37"/>
  <c r="AE2400" i="37"/>
  <c r="AE2310" i="37"/>
  <c r="AE1053" i="37"/>
  <c r="AE2296" i="37"/>
  <c r="AE1680" i="37"/>
  <c r="AE1500" i="37"/>
  <c r="AE1719" i="37"/>
  <c r="AE800" i="37"/>
  <c r="AE170" i="37"/>
  <c r="AE1076" i="37"/>
  <c r="AE1111" i="37"/>
  <c r="AE292" i="37"/>
  <c r="AE224" i="37"/>
  <c r="AE2089" i="37"/>
  <c r="AE2008" i="37"/>
  <c r="AE2771" i="37"/>
  <c r="AE2436" i="37"/>
  <c r="AE526" i="37"/>
  <c r="AE2914" i="37"/>
  <c r="AE2196" i="37"/>
  <c r="AE1432" i="37"/>
  <c r="AE1421" i="37"/>
  <c r="AE545" i="37"/>
  <c r="AE182" i="37"/>
  <c r="AE268" i="37"/>
  <c r="AE2284" i="37"/>
  <c r="AE3010" i="37"/>
  <c r="AE1796" i="37"/>
  <c r="AE196" i="37"/>
  <c r="AE1485" i="37"/>
  <c r="AE2045" i="37"/>
  <c r="AE657" i="37"/>
  <c r="AE147" i="37"/>
  <c r="AE751" i="37"/>
  <c r="AE1494" i="37"/>
  <c r="AE2649" i="37"/>
  <c r="AE872" i="37"/>
  <c r="AE2414" i="37"/>
  <c r="AE2382" i="37"/>
  <c r="AE606" i="37"/>
  <c r="AE1404" i="37"/>
  <c r="AE1198" i="37"/>
  <c r="AE2347" i="37"/>
  <c r="AE1363" i="37"/>
  <c r="AE2098" i="37"/>
  <c r="AE1657" i="37"/>
  <c r="AE511" i="37"/>
  <c r="AE2498" i="37"/>
  <c r="AE2888" i="37"/>
  <c r="AE2319" i="37"/>
  <c r="AE2528" i="37"/>
  <c r="AE2625" i="37"/>
  <c r="AE2900" i="37"/>
  <c r="AE205" i="37"/>
  <c r="AE1787" i="37"/>
  <c r="AE507" i="37"/>
  <c r="AE3018" i="37"/>
  <c r="AE2708" i="37"/>
  <c r="AE2167" i="37"/>
  <c r="AE2025" i="37"/>
  <c r="AE2738" i="37"/>
  <c r="AE20" i="37"/>
  <c r="AE457" i="37"/>
  <c r="AE2357" i="37"/>
  <c r="AE277" i="37"/>
  <c r="AE1417" i="37"/>
  <c r="AE1924" i="37"/>
  <c r="AE484" i="37"/>
  <c r="AE1959" i="37"/>
  <c r="AE2931" i="37"/>
  <c r="AE2036" i="37"/>
  <c r="AE1563" i="37"/>
  <c r="AE1139" i="37"/>
  <c r="AE286" i="37"/>
  <c r="AE904" i="37"/>
  <c r="AE2702" i="37"/>
  <c r="AE498" i="37"/>
  <c r="AE1192" i="37"/>
  <c r="AE1130" i="37"/>
  <c r="AE2927" i="37"/>
  <c r="AE1994" i="37"/>
  <c r="AE2684" i="37"/>
  <c r="AE828" i="37"/>
  <c r="AE472" i="37"/>
  <c r="AE1355" i="37"/>
  <c r="AE1290" i="37"/>
  <c r="AE1210" i="37"/>
  <c r="AE1061" i="37"/>
  <c r="AE1982" i="37"/>
  <c r="AE1967" i="37"/>
  <c r="AE881" i="37"/>
  <c r="AE1018" i="37"/>
  <c r="AE1692" i="37"/>
  <c r="AE813" i="37"/>
  <c r="AE1706" i="37"/>
  <c r="AE624" i="37"/>
  <c r="AE304" i="37"/>
  <c r="AE2716" i="37"/>
  <c r="AE2261" i="37"/>
  <c r="AE2406" i="37"/>
  <c r="AE2961" i="37"/>
  <c r="AD382" i="42"/>
  <c r="AD197" i="42"/>
  <c r="I513" i="42"/>
  <c r="U513" i="42" s="1"/>
  <c r="I869" i="42"/>
  <c r="I348" i="42"/>
  <c r="U348" i="42" s="1"/>
  <c r="AD803" i="42"/>
  <c r="I201" i="42"/>
  <c r="U201" i="42" s="1"/>
  <c r="I87" i="42"/>
  <c r="AD481" i="42"/>
  <c r="I889" i="42"/>
  <c r="AD656" i="42"/>
  <c r="I216" i="42"/>
  <c r="U216" i="42" s="1"/>
  <c r="AD509" i="42"/>
  <c r="AD358" i="42"/>
  <c r="I284" i="42"/>
  <c r="I656" i="42"/>
  <c r="U656" i="42" s="1"/>
  <c r="I382" i="42"/>
  <c r="U382" i="42" s="1"/>
  <c r="I803" i="42"/>
  <c r="U803" i="42" s="1"/>
  <c r="I189" i="42"/>
  <c r="U189" i="42" s="1"/>
  <c r="I103" i="42"/>
  <c r="I471" i="42"/>
  <c r="U471" i="42" s="1"/>
  <c r="I726" i="42"/>
  <c r="AD726" i="42" s="1"/>
  <c r="AD386" i="42"/>
  <c r="AD662" i="42"/>
  <c r="I368" i="42"/>
  <c r="AD185" i="42"/>
  <c r="I521" i="42"/>
  <c r="U521" i="42" s="1"/>
  <c r="I394" i="42"/>
  <c r="U394" i="42" s="1"/>
  <c r="I390" i="42"/>
  <c r="U390" i="42" s="1"/>
  <c r="I358" i="42"/>
  <c r="I413" i="42"/>
  <c r="U413" i="42" s="1"/>
  <c r="AD521" i="42"/>
  <c r="I386" i="42"/>
  <c r="U386" i="42" s="1"/>
  <c r="I193" i="42"/>
  <c r="U193" i="42" s="1"/>
  <c r="I683" i="42"/>
  <c r="U683" i="42" s="1"/>
  <c r="I765" i="42"/>
  <c r="AD517" i="42"/>
  <c r="AD513" i="42"/>
  <c r="I261" i="42"/>
  <c r="AD261" i="42" s="1"/>
  <c r="I185" i="42"/>
  <c r="U185" i="42" s="1"/>
  <c r="AD471" i="42"/>
  <c r="I64" i="42"/>
  <c r="AD64" i="42" s="1"/>
  <c r="AD390" i="42"/>
  <c r="AD171" i="42"/>
  <c r="AD201" i="42"/>
  <c r="I505" i="42"/>
  <c r="U505" i="42" s="1"/>
  <c r="I398" i="42"/>
  <c r="U398" i="42" s="1"/>
  <c r="AD505" i="42"/>
  <c r="AD394" i="42"/>
  <c r="I579" i="42"/>
  <c r="AD579" i="42" s="1"/>
  <c r="I300" i="42"/>
  <c r="I662" i="42"/>
  <c r="U663" i="42" s="1"/>
  <c r="I151" i="42"/>
  <c r="U151" i="42" s="1"/>
  <c r="AD193" i="42"/>
  <c r="AD809" i="42"/>
  <c r="I536" i="42"/>
  <c r="U536" i="42" s="1"/>
  <c r="AD491" i="42"/>
  <c r="I517" i="42"/>
  <c r="U517" i="42" s="1"/>
  <c r="I509" i="42"/>
  <c r="U509" i="42" s="1"/>
  <c r="I481" i="42"/>
  <c r="I809" i="42"/>
  <c r="U810" i="42" s="1"/>
  <c r="I749" i="42"/>
  <c r="AD368" i="42"/>
  <c r="I602" i="42"/>
  <c r="AD398" i="42"/>
  <c r="I161" i="42"/>
  <c r="I171" i="42"/>
  <c r="AD348" i="42"/>
  <c r="I929" i="42"/>
  <c r="I19" i="42"/>
  <c r="U19" i="42" s="1"/>
  <c r="U20" i="42" s="1"/>
  <c r="I618" i="42"/>
  <c r="I829" i="42"/>
  <c r="I491" i="42"/>
  <c r="I197" i="42"/>
  <c r="U197" i="42" s="1"/>
  <c r="AD161" i="42"/>
  <c r="AD189" i="42"/>
  <c r="AD151" i="42"/>
  <c r="I135" i="49"/>
  <c r="I247" i="49"/>
  <c r="I237" i="49"/>
  <c r="I82" i="49"/>
  <c r="I34" i="49"/>
  <c r="I266" i="49"/>
  <c r="T20" i="49"/>
  <c r="I251" i="49"/>
  <c r="S251" i="49" s="1"/>
  <c r="I145" i="49"/>
  <c r="I140" i="49"/>
  <c r="I114" i="49"/>
  <c r="I197" i="49"/>
  <c r="I190" i="49"/>
  <c r="I56" i="49"/>
  <c r="I118" i="49"/>
  <c r="I72" i="49"/>
  <c r="I218" i="49"/>
  <c r="I242" i="49"/>
  <c r="I127" i="49"/>
  <c r="I99" i="49"/>
  <c r="I261" i="49"/>
  <c r="I122" i="49"/>
  <c r="I202" i="49"/>
  <c r="S202" i="49" s="1"/>
  <c r="I211" i="49"/>
  <c r="I105" i="49"/>
  <c r="I184" i="49"/>
  <c r="I61" i="49"/>
  <c r="I91" i="49"/>
  <c r="I66" i="49"/>
  <c r="I150" i="49"/>
  <c r="I20" i="49"/>
  <c r="AC20" i="49" s="1"/>
  <c r="L94" i="50"/>
  <c r="L114" i="50" s="1"/>
  <c r="L102" i="50"/>
  <c r="L122" i="50" s="1"/>
  <c r="L106" i="50"/>
  <c r="L126" i="50" s="1"/>
  <c r="L101" i="50"/>
  <c r="L121" i="50" s="1"/>
  <c r="L99" i="50"/>
  <c r="L119" i="50" s="1"/>
  <c r="L104" i="50"/>
  <c r="L124" i="50" s="1"/>
  <c r="L93" i="50"/>
  <c r="L113" i="50" s="1"/>
  <c r="L103" i="50"/>
  <c r="L123" i="50" s="1"/>
  <c r="L105" i="50"/>
  <c r="L125" i="50" s="1"/>
  <c r="L109" i="50"/>
  <c r="L129" i="50" s="1"/>
  <c r="L98" i="50"/>
  <c r="L118" i="50" s="1"/>
  <c r="L92" i="50"/>
  <c r="L112" i="50" s="1"/>
  <c r="L100" i="50"/>
  <c r="L120" i="50" s="1"/>
  <c r="L95" i="50"/>
  <c r="L115" i="50" s="1"/>
  <c r="L96" i="50"/>
  <c r="L116" i="50" s="1"/>
  <c r="L97" i="50"/>
  <c r="L117" i="50" s="1"/>
  <c r="L107" i="50"/>
  <c r="L108" i="50"/>
  <c r="W889" i="42"/>
  <c r="AF889" i="42" s="1"/>
  <c r="W915" i="42"/>
  <c r="I103" i="50"/>
  <c r="I123" i="50" s="1"/>
  <c r="I109" i="50"/>
  <c r="I129" i="50" s="1"/>
  <c r="I108" i="50"/>
  <c r="I100" i="50"/>
  <c r="I120" i="50" s="1"/>
  <c r="I102" i="50"/>
  <c r="I122" i="50" s="1"/>
  <c r="I93" i="50"/>
  <c r="I113" i="50" s="1"/>
  <c r="I98" i="50"/>
  <c r="I118" i="50" s="1"/>
  <c r="I107" i="50"/>
  <c r="I106" i="50"/>
  <c r="I126" i="50" s="1"/>
  <c r="I104" i="50"/>
  <c r="I124" i="50" s="1"/>
  <c r="I94" i="50"/>
  <c r="I114" i="50" s="1"/>
  <c r="I97" i="50"/>
  <c r="I117" i="50" s="1"/>
  <c r="I99" i="50"/>
  <c r="I119" i="50" s="1"/>
  <c r="I105" i="50"/>
  <c r="I125" i="50" s="1"/>
  <c r="I96" i="50"/>
  <c r="I116" i="50" s="1"/>
  <c r="I95" i="50"/>
  <c r="I115" i="50" s="1"/>
  <c r="I92" i="50"/>
  <c r="I112" i="50" s="1"/>
  <c r="I101" i="50"/>
  <c r="I121" i="50" s="1"/>
  <c r="H168" i="62"/>
  <c r="I168" i="62" s="1"/>
  <c r="V855" i="42"/>
  <c r="V829" i="42"/>
  <c r="AE829" i="42" s="1"/>
  <c r="I306" i="41"/>
  <c r="I394" i="50" s="1"/>
  <c r="I99" i="41"/>
  <c r="I250" i="50" s="1"/>
  <c r="I56" i="41"/>
  <c r="I276" i="41"/>
  <c r="I368" i="50" s="1"/>
  <c r="I321" i="41"/>
  <c r="I408" i="50" s="1"/>
  <c r="I188" i="41"/>
  <c r="I312" i="50" s="1"/>
  <c r="I363" i="41"/>
  <c r="I442" i="50" s="1"/>
  <c r="I15" i="41"/>
  <c r="W15" i="41" s="1"/>
  <c r="I146" i="41"/>
  <c r="I279" i="50" s="1"/>
  <c r="I176" i="41"/>
  <c r="I302" i="50" s="1"/>
  <c r="I118" i="41"/>
  <c r="I217" i="41"/>
  <c r="I334" i="50" s="1"/>
  <c r="I335" i="41"/>
  <c r="I420" i="50" s="1"/>
  <c r="I227" i="41"/>
  <c r="I342" i="50" s="1"/>
  <c r="I260" i="41"/>
  <c r="I354" i="50" s="1"/>
  <c r="I411" i="41"/>
  <c r="I110" i="41"/>
  <c r="I257" i="50" s="1"/>
  <c r="I138" i="41"/>
  <c r="I273" i="50" s="1"/>
  <c r="I93" i="41"/>
  <c r="I246" i="50" s="1"/>
  <c r="I295" i="41"/>
  <c r="I384" i="50" s="1"/>
  <c r="I34" i="41"/>
  <c r="I239" i="41"/>
  <c r="I206" i="41"/>
  <c r="I325" i="50" s="1"/>
  <c r="I44" i="41"/>
  <c r="I287" i="41"/>
  <c r="I377" i="50" s="1"/>
  <c r="H950" i="42"/>
  <c r="H3042" i="37"/>
  <c r="H278" i="49"/>
  <c r="H421" i="47"/>
  <c r="H2596" i="50"/>
  <c r="H393" i="41"/>
  <c r="W87" i="42"/>
  <c r="AF87" i="42"/>
  <c r="AF602" i="42"/>
  <c r="W602" i="42"/>
  <c r="AE87" i="42"/>
  <c r="V87" i="42"/>
  <c r="AE749" i="42"/>
  <c r="V749" i="42"/>
  <c r="AE284" i="42"/>
  <c r="V284" i="42"/>
  <c r="I315" i="50"/>
  <c r="I228" i="41"/>
  <c r="N197" i="41"/>
  <c r="N319" i="50" s="1"/>
  <c r="N228" i="41"/>
  <c r="N315" i="50"/>
  <c r="H155" i="50"/>
  <c r="H107" i="49"/>
  <c r="H156" i="50" s="1"/>
  <c r="K988" i="37"/>
  <c r="W988" i="37" s="1"/>
  <c r="K2498" i="37"/>
  <c r="W2498" i="37" s="1"/>
  <c r="K1894" i="37"/>
  <c r="W1894" i="37" s="1"/>
  <c r="K657" i="37"/>
  <c r="W659" i="37" s="1"/>
  <c r="K2800" i="37"/>
  <c r="W2800" i="37" s="1"/>
  <c r="K2167" i="37"/>
  <c r="W2169" i="37" s="1"/>
  <c r="K1592" i="37"/>
  <c r="W1592" i="37" s="1"/>
  <c r="K384" i="37"/>
  <c r="W384" i="37" s="1"/>
  <c r="K1865" i="37"/>
  <c r="W1867" i="37" s="1"/>
  <c r="K1563" i="37"/>
  <c r="W1565" i="37" s="1"/>
  <c r="K959" i="37"/>
  <c r="W961" i="37" s="1"/>
  <c r="K1261" i="37"/>
  <c r="W1263" i="37" s="1"/>
  <c r="K2196" i="37"/>
  <c r="W2196" i="37" s="1"/>
  <c r="K2469" i="37"/>
  <c r="W2471" i="37" s="1"/>
  <c r="K82" i="37"/>
  <c r="W82" i="37" s="1"/>
  <c r="K1290" i="37"/>
  <c r="W1290" i="37" s="1"/>
  <c r="K686" i="37"/>
  <c r="W686" i="37" s="1"/>
  <c r="K53" i="37"/>
  <c r="W55" i="37" s="1"/>
  <c r="K2771" i="37"/>
  <c r="W2773" i="37" s="1"/>
  <c r="K355" i="37"/>
  <c r="W357" i="37" s="1"/>
  <c r="J1592" i="37"/>
  <c r="V1592" i="37" s="1"/>
  <c r="J384" i="37"/>
  <c r="V384" i="37" s="1"/>
  <c r="J1563" i="37"/>
  <c r="V1565" i="37" s="1"/>
  <c r="J1290" i="37"/>
  <c r="V1290" i="37" s="1"/>
  <c r="J1865" i="37"/>
  <c r="V1867" i="37" s="1"/>
  <c r="J2771" i="37"/>
  <c r="V2773" i="37" s="1"/>
  <c r="J988" i="37"/>
  <c r="V988" i="37" s="1"/>
  <c r="J82" i="37"/>
  <c r="V82" i="37" s="1"/>
  <c r="J53" i="37"/>
  <c r="V55" i="37" s="1"/>
  <c r="J2196" i="37"/>
  <c r="V2196" i="37" s="1"/>
  <c r="J2498" i="37"/>
  <c r="V2498" i="37" s="1"/>
  <c r="J355" i="37"/>
  <c r="V357" i="37" s="1"/>
  <c r="J2800" i="37"/>
  <c r="V2800" i="37" s="1"/>
  <c r="J2469" i="37"/>
  <c r="V2471" i="37" s="1"/>
  <c r="J686" i="37"/>
  <c r="V686" i="37" s="1"/>
  <c r="J657" i="37"/>
  <c r="V659" i="37" s="1"/>
  <c r="J959" i="37"/>
  <c r="V961" i="37" s="1"/>
  <c r="J1261" i="37"/>
  <c r="V1263" i="37" s="1"/>
  <c r="J2167" i="37"/>
  <c r="V2169" i="37" s="1"/>
  <c r="J1894" i="37"/>
  <c r="V1894" i="37" s="1"/>
  <c r="I1563" i="37"/>
  <c r="U1565" i="37" s="1"/>
  <c r="I1451" i="37"/>
  <c r="I498" i="37"/>
  <c r="U498" i="37" s="1"/>
  <c r="I837" i="37"/>
  <c r="I233" i="37"/>
  <c r="I2830" i="37"/>
  <c r="I774" i="37"/>
  <c r="U778" i="37" s="1"/>
  <c r="I2116" i="37"/>
  <c r="I2196" i="37"/>
  <c r="U2196" i="37" s="1"/>
  <c r="I904" i="37"/>
  <c r="I2598" i="37"/>
  <c r="U2602" i="37" s="1"/>
  <c r="I2612" i="37"/>
  <c r="U2612" i="37" s="1"/>
  <c r="I1512" i="37"/>
  <c r="I2469" i="37"/>
  <c r="U2471" i="37" s="1"/>
  <c r="I2226" i="37"/>
  <c r="I304" i="37"/>
  <c r="I2927" i="37"/>
  <c r="I170" i="37"/>
  <c r="U174" i="37" s="1"/>
  <c r="I1018" i="37"/>
  <c r="I2771" i="37"/>
  <c r="U2773" i="37" s="1"/>
  <c r="I1119" i="37"/>
  <c r="U1119" i="37" s="1"/>
  <c r="I579" i="37"/>
  <c r="U582" i="37" s="1"/>
  <c r="I570" i="37"/>
  <c r="U572" i="37" s="1"/>
  <c r="I1076" i="37"/>
  <c r="U1080" i="37" s="1"/>
  <c r="I1734" i="37"/>
  <c r="I908" i="37"/>
  <c r="I3018" i="37"/>
  <c r="I322" i="37"/>
  <c r="U322" i="37" s="1"/>
  <c r="I2017" i="37"/>
  <c r="U2017" i="37" s="1"/>
  <c r="I1832" i="37"/>
  <c r="U1832" i="37" s="1"/>
  <c r="I1485" i="37"/>
  <c r="U1488" i="37" s="1"/>
  <c r="I2625" i="37"/>
  <c r="I2327" i="37"/>
  <c r="U2327" i="37" s="1"/>
  <c r="I147" i="37"/>
  <c r="U147" i="37" s="1"/>
  <c r="I3053" i="37"/>
  <c r="I1994" i="37"/>
  <c r="U1998" i="37" s="1"/>
  <c r="I1088" i="37"/>
  <c r="U1092" i="37" s="1"/>
  <c r="I2414" i="37"/>
  <c r="I224" i="37"/>
  <c r="I1290" i="37"/>
  <c r="U1290" i="37" s="1"/>
  <c r="I2873" i="37"/>
  <c r="I1139" i="37"/>
  <c r="I2269" i="37"/>
  <c r="I2951" i="37"/>
  <c r="I1865" i="37"/>
  <c r="U1867" i="37" s="1"/>
  <c r="I3004" i="37"/>
  <c r="U3004" i="37" s="1"/>
  <c r="I2055" i="37"/>
  <c r="I2323" i="37"/>
  <c r="I1753" i="37"/>
  <c r="I1665" i="37"/>
  <c r="I545" i="37"/>
  <c r="I1706" i="37"/>
  <c r="U1706" i="37" s="1"/>
  <c r="I2649" i="37"/>
  <c r="I1417" i="37"/>
  <c r="I286" i="37"/>
  <c r="U286" i="37" s="1"/>
  <c r="I1476" i="37"/>
  <c r="U1478" i="37" s="1"/>
  <c r="I1130" i="37"/>
  <c r="I1115" i="37"/>
  <c r="I196" i="37"/>
  <c r="U196" i="37" s="1"/>
  <c r="I53" i="37"/>
  <c r="U55" i="37" s="1"/>
  <c r="I1174" i="37"/>
  <c r="U1176" i="37" s="1"/>
  <c r="I2045" i="37"/>
  <c r="I182" i="37"/>
  <c r="U186" i="37" s="1"/>
  <c r="I1810" i="37"/>
  <c r="I1967" i="37"/>
  <c r="I2621" i="37"/>
  <c r="U2621" i="37" s="1"/>
  <c r="I1206" i="37"/>
  <c r="I2319" i="37"/>
  <c r="U2319" i="37" s="1"/>
  <c r="I2571" i="37"/>
  <c r="I959" i="37"/>
  <c r="U961" i="37" s="1"/>
  <c r="I847" i="37"/>
  <c r="I1432" i="37"/>
  <c r="I2400" i="37"/>
  <c r="U2400" i="37" s="1"/>
  <c r="I515" i="37"/>
  <c r="U515" i="37" s="1"/>
  <c r="I1657" i="37"/>
  <c r="U1657" i="37" s="1"/>
  <c r="I2995" i="37"/>
  <c r="U2998" i="37" s="1"/>
  <c r="I2008" i="37"/>
  <c r="U2008" i="37" s="1"/>
  <c r="I1355" i="37"/>
  <c r="U1355" i="37" s="1"/>
  <c r="I1320" i="37"/>
  <c r="I809" i="37"/>
  <c r="U809" i="37" s="1"/>
  <c r="I2563" i="37"/>
  <c r="U2563" i="37" s="1"/>
  <c r="I2098" i="37"/>
  <c r="U2098" i="37" s="1"/>
  <c r="I1378" i="37"/>
  <c r="U1382" i="37" s="1"/>
  <c r="I1210" i="37"/>
  <c r="I1192" i="37"/>
  <c r="U1192" i="37" s="1"/>
  <c r="I1363" i="37"/>
  <c r="I1692" i="37"/>
  <c r="U1696" i="37" s="1"/>
  <c r="I2382" i="37"/>
  <c r="U2384" i="37" s="1"/>
  <c r="I2702" i="37"/>
  <c r="U2702" i="37" s="1"/>
  <c r="I2720" i="37"/>
  <c r="I526" i="37"/>
  <c r="I2338" i="37"/>
  <c r="I3048" i="37"/>
  <c r="I2021" i="37"/>
  <c r="I988" i="37"/>
  <c r="U988" i="37" s="1"/>
  <c r="I2357" i="37"/>
  <c r="I2036" i="37"/>
  <c r="I2986" i="37"/>
  <c r="U2988" i="37" s="1"/>
  <c r="I606" i="37"/>
  <c r="I2528" i="37"/>
  <c r="I2436" i="37"/>
  <c r="U2436" i="37" s="1"/>
  <c r="I1530" i="37"/>
  <c r="U1530" i="37" s="1"/>
  <c r="I535" i="37"/>
  <c r="I2080" i="37"/>
  <c r="U2082" i="37" s="1"/>
  <c r="I20" i="37"/>
  <c r="I2942" i="37"/>
  <c r="I2261" i="37"/>
  <c r="U2261" i="37" s="1"/>
  <c r="I2629" i="37"/>
  <c r="U2629" i="37" s="1"/>
  <c r="I1680" i="37"/>
  <c r="U1684" i="37" s="1"/>
  <c r="I1592" i="37"/>
  <c r="U1592" i="37" s="1"/>
  <c r="I872" i="37"/>
  <c r="U874" i="37" s="1"/>
  <c r="I1508" i="37"/>
  <c r="I1959" i="37"/>
  <c r="U1959" i="37" s="1"/>
  <c r="I2716" i="37"/>
  <c r="I2684" i="37"/>
  <c r="U2686" i="37" s="1"/>
  <c r="I2900" i="37"/>
  <c r="U2904" i="37" s="1"/>
  <c r="I457" i="37"/>
  <c r="I1778" i="37"/>
  <c r="U1780" i="37" s="1"/>
  <c r="I1723" i="37"/>
  <c r="U1723" i="37" s="1"/>
  <c r="I205" i="37"/>
  <c r="U205" i="37" s="1"/>
  <c r="I355" i="37"/>
  <c r="U357" i="37" s="1"/>
  <c r="I1183" i="37"/>
  <c r="U1186" i="37" s="1"/>
  <c r="I800" i="37"/>
  <c r="U800" i="37" s="1"/>
  <c r="I588" i="37"/>
  <c r="U588" i="37" s="1"/>
  <c r="I759" i="37"/>
  <c r="I1924" i="37"/>
  <c r="I1715" i="37"/>
  <c r="U1715" i="37" s="1"/>
  <c r="I751" i="37"/>
  <c r="U751" i="37" s="1"/>
  <c r="I1413" i="37"/>
  <c r="U1413" i="37" s="1"/>
  <c r="I2888" i="37"/>
  <c r="U2892" i="37" s="1"/>
  <c r="I2284" i="37"/>
  <c r="U2288" i="37" s="1"/>
  <c r="I1390" i="37"/>
  <c r="U1394" i="37" s="1"/>
  <c r="I1494" i="37"/>
  <c r="U1494" i="37" s="1"/>
  <c r="I1061" i="37"/>
  <c r="I657" i="37"/>
  <c r="U659" i="37" s="1"/>
  <c r="I1441" i="37"/>
  <c r="I2640" i="37"/>
  <c r="I2112" i="37"/>
  <c r="I1053" i="37"/>
  <c r="U1053" i="37" s="1"/>
  <c r="I243" i="37"/>
  <c r="I209" i="37"/>
  <c r="I602" i="37"/>
  <c r="I2961" i="37"/>
  <c r="I1261" i="37"/>
  <c r="U1263" i="37" s="1"/>
  <c r="I2659" i="37"/>
  <c r="I3022" i="37"/>
  <c r="I2418" i="37"/>
  <c r="I1719" i="37"/>
  <c r="I1787" i="37"/>
  <c r="U1790" i="37" s="1"/>
  <c r="I1149" i="37"/>
  <c r="I2025" i="37"/>
  <c r="U2025" i="37" s="1"/>
  <c r="I686" i="37"/>
  <c r="U686" i="37" s="1"/>
  <c r="I2931" i="37"/>
  <c r="U2931" i="37" s="1"/>
  <c r="I1982" i="37"/>
  <c r="U1986" i="37" s="1"/>
  <c r="I2800" i="37"/>
  <c r="U2800" i="37" s="1"/>
  <c r="I1421" i="37"/>
  <c r="U1421" i="37" s="1"/>
  <c r="I2134" i="37"/>
  <c r="U2134" i="37" s="1"/>
  <c r="I484" i="37"/>
  <c r="U488" i="37" s="1"/>
  <c r="I511" i="37"/>
  <c r="I414" i="37"/>
  <c r="I2347" i="37"/>
  <c r="I1102" i="37"/>
  <c r="U1102" i="37" s="1"/>
  <c r="I2738" i="37"/>
  <c r="U2738" i="37" s="1"/>
  <c r="I1228" i="37"/>
  <c r="U1228" i="37" s="1"/>
  <c r="I277" i="37"/>
  <c r="U280" i="37" s="1"/>
  <c r="I1894" i="37"/>
  <c r="U1894" i="37" s="1"/>
  <c r="I624" i="37"/>
  <c r="U624" i="37" s="1"/>
  <c r="I268" i="37"/>
  <c r="U270" i="37" s="1"/>
  <c r="I813" i="37"/>
  <c r="I2089" i="37"/>
  <c r="U2092" i="37" s="1"/>
  <c r="I817" i="37"/>
  <c r="U817" i="37" s="1"/>
  <c r="I2586" i="37"/>
  <c r="U2590" i="37" s="1"/>
  <c r="I2391" i="37"/>
  <c r="U2394" i="37" s="1"/>
  <c r="I507" i="37"/>
  <c r="U507" i="37" s="1"/>
  <c r="I1111" i="37"/>
  <c r="U1111" i="37" s="1"/>
  <c r="I155" i="37"/>
  <c r="I449" i="37"/>
  <c r="U449" i="37" s="1"/>
  <c r="I1404" i="37"/>
  <c r="U1404" i="37" s="1"/>
  <c r="I472" i="37"/>
  <c r="U476" i="37" s="1"/>
  <c r="I1814" i="37"/>
  <c r="I2865" i="37"/>
  <c r="U2865" i="37" s="1"/>
  <c r="I786" i="37"/>
  <c r="U790" i="37" s="1"/>
  <c r="I926" i="37"/>
  <c r="U926" i="37" s="1"/>
  <c r="I82" i="37"/>
  <c r="U82" i="37" s="1"/>
  <c r="I2914" i="37"/>
  <c r="U2914" i="37" s="1"/>
  <c r="I2923" i="37"/>
  <c r="U2923" i="37" s="1"/>
  <c r="I213" i="37"/>
  <c r="U213" i="37" s="1"/>
  <c r="I2693" i="37"/>
  <c r="U2696" i="37" s="1"/>
  <c r="I1743" i="37"/>
  <c r="I716" i="37"/>
  <c r="I881" i="37"/>
  <c r="U884" i="37" s="1"/>
  <c r="I1622" i="37"/>
  <c r="I384" i="37"/>
  <c r="U384" i="37" s="1"/>
  <c r="I1796" i="37"/>
  <c r="U1796" i="37" s="1"/>
  <c r="I112" i="37"/>
  <c r="I2296" i="37"/>
  <c r="U2300" i="37" s="1"/>
  <c r="I300" i="37"/>
  <c r="I2498" i="37"/>
  <c r="U2498" i="37" s="1"/>
  <c r="I828" i="37"/>
  <c r="I890" i="37"/>
  <c r="U890" i="37" s="1"/>
  <c r="I2167" i="37"/>
  <c r="U2169" i="37" s="1"/>
  <c r="I2310" i="37"/>
  <c r="U2310" i="37" s="1"/>
  <c r="I2459" i="50"/>
  <c r="I2430" i="50"/>
  <c r="I140" i="50"/>
  <c r="I924" i="50"/>
  <c r="I211" i="50"/>
  <c r="I2257" i="50"/>
  <c r="I1252" i="50"/>
  <c r="I145" i="50"/>
  <c r="I2160" i="50"/>
  <c r="I596" i="50"/>
  <c r="I1088" i="50"/>
  <c r="I1580" i="50"/>
  <c r="I2316" i="50"/>
  <c r="I2410" i="50"/>
  <c r="I1744" i="50"/>
  <c r="I199" i="50"/>
  <c r="I1908" i="50"/>
  <c r="I151" i="50"/>
  <c r="I482" i="50"/>
  <c r="I1416" i="50"/>
  <c r="I176" i="50"/>
  <c r="I221" i="50"/>
  <c r="I760" i="50"/>
  <c r="I2498" i="50"/>
  <c r="I2227" i="50"/>
  <c r="I170" i="50"/>
  <c r="I160" i="50"/>
  <c r="I2373" i="50"/>
  <c r="I2190" i="50"/>
  <c r="I111" i="50"/>
  <c r="I2469" i="50"/>
  <c r="I187" i="50"/>
  <c r="I2072" i="50"/>
  <c r="I2353" i="50"/>
  <c r="I135" i="50"/>
  <c r="I165" i="50"/>
  <c r="I346" i="50"/>
  <c r="I2123" i="50"/>
  <c r="I2286" i="50"/>
  <c r="I91" i="50"/>
  <c r="I63" i="50"/>
  <c r="I1302" i="50"/>
  <c r="I810" i="50"/>
  <c r="I1958" i="50"/>
  <c r="I1138" i="50"/>
  <c r="I646" i="50"/>
  <c r="I1794" i="50"/>
  <c r="I1466" i="50"/>
  <c r="I1630" i="50"/>
  <c r="I974" i="50"/>
  <c r="W284" i="42"/>
  <c r="AF284" i="42"/>
  <c r="U2470" i="50"/>
  <c r="M2475" i="50" s="1"/>
  <c r="S2470" i="50"/>
  <c r="K2474" i="50" s="1"/>
  <c r="U2258" i="50"/>
  <c r="M2262" i="50" s="1"/>
  <c r="H170" i="62"/>
  <c r="I170" i="62" s="1"/>
  <c r="C1789" i="50"/>
  <c r="Q1625" i="50"/>
  <c r="D1625" i="50"/>
  <c r="J2155" i="50"/>
  <c r="K2133" i="50" s="1"/>
  <c r="AL129" i="42"/>
  <c r="G104" i="42"/>
  <c r="S98" i="42" s="1"/>
  <c r="AB12" i="42"/>
  <c r="T2156" i="50"/>
  <c r="V20" i="42"/>
  <c r="W20" i="42"/>
  <c r="Y109" i="42"/>
  <c r="M109" i="42"/>
  <c r="X20" i="42"/>
  <c r="X108" i="42"/>
  <c r="L108" i="42" s="1"/>
  <c r="L28" i="42"/>
  <c r="L2270" i="50" s="1"/>
  <c r="Z109" i="42"/>
  <c r="N109" i="42"/>
  <c r="S2124" i="50"/>
  <c r="R2124" i="50"/>
  <c r="T2124" i="50"/>
  <c r="H161" i="62"/>
  <c r="U2124" i="50"/>
  <c r="M2129" i="50" s="1"/>
  <c r="Z20" i="42"/>
  <c r="Z195" i="42" s="1"/>
  <c r="V108" i="42"/>
  <c r="J108" i="42" s="1"/>
  <c r="J28" i="42"/>
  <c r="J128" i="42"/>
  <c r="J2150" i="50" s="1"/>
  <c r="V129" i="42"/>
  <c r="W129" i="42" s="1"/>
  <c r="X129" i="42" s="1"/>
  <c r="Y129" i="42" s="1"/>
  <c r="Z129" i="42" s="1"/>
  <c r="V2155" i="50"/>
  <c r="H158" i="62"/>
  <c r="V2124" i="50"/>
  <c r="N2129" i="50" s="1"/>
  <c r="W108" i="42"/>
  <c r="K108" i="42" s="1"/>
  <c r="K28" i="42"/>
  <c r="K2270" i="50" s="1"/>
  <c r="H166" i="62"/>
  <c r="I166" i="62" s="1"/>
  <c r="H156" i="62"/>
  <c r="H164" i="62"/>
  <c r="H157" i="62"/>
  <c r="H162" i="62"/>
  <c r="H160" i="62"/>
  <c r="H167" i="62"/>
  <c r="I167" i="62" s="1"/>
  <c r="H155" i="62"/>
  <c r="T35" i="41" s="1"/>
  <c r="H171" i="62"/>
  <c r="I171" i="62" s="1"/>
  <c r="H165" i="62"/>
  <c r="I165" i="62" s="1"/>
  <c r="H159" i="62"/>
  <c r="H163" i="62"/>
  <c r="T2470" i="50"/>
  <c r="L2475" i="50" s="1"/>
  <c r="M2323" i="50"/>
  <c r="R2470" i="50"/>
  <c r="J2474" i="50" s="1"/>
  <c r="S2258" i="50"/>
  <c r="K2262" i="50" s="1"/>
  <c r="V2258" i="50"/>
  <c r="N2262" i="50" s="1"/>
  <c r="V2222" i="50"/>
  <c r="M2379" i="50"/>
  <c r="M2380" i="50"/>
  <c r="Q537" i="42"/>
  <c r="N2333" i="50" s="1"/>
  <c r="G537" i="42"/>
  <c r="H545" i="42" s="1"/>
  <c r="H343" i="50"/>
  <c r="H246" i="41"/>
  <c r="H245" i="41"/>
  <c r="H244" i="41"/>
  <c r="P2484" i="50"/>
  <c r="Z749" i="42"/>
  <c r="AI749" i="42"/>
  <c r="Z284" i="42"/>
  <c r="AI284" i="42"/>
  <c r="Z602" i="42"/>
  <c r="AI602" i="42"/>
  <c r="M1563" i="37"/>
  <c r="Y1565" i="37" s="1"/>
  <c r="M1865" i="37"/>
  <c r="Y1867" i="37" s="1"/>
  <c r="M2196" i="37"/>
  <c r="Y2196" i="37" s="1"/>
  <c r="M2469" i="37"/>
  <c r="Y2471" i="37" s="1"/>
  <c r="M1894" i="37"/>
  <c r="Y1894" i="37" s="1"/>
  <c r="M384" i="37"/>
  <c r="Y384" i="37" s="1"/>
  <c r="M82" i="37"/>
  <c r="Y82" i="37" s="1"/>
  <c r="M2771" i="37"/>
  <c r="Y2773" i="37" s="1"/>
  <c r="M2498" i="37"/>
  <c r="Y2498" i="37" s="1"/>
  <c r="M686" i="37"/>
  <c r="Y686" i="37" s="1"/>
  <c r="M2167" i="37"/>
  <c r="Y2169" i="37" s="1"/>
  <c r="M959" i="37"/>
  <c r="Y961" i="37" s="1"/>
  <c r="M1261" i="37"/>
  <c r="Y1263" i="37" s="1"/>
  <c r="M657" i="37"/>
  <c r="Y659" i="37" s="1"/>
  <c r="M53" i="37"/>
  <c r="Y55" i="37" s="1"/>
  <c r="M1592" i="37"/>
  <c r="Y1592" i="37" s="1"/>
  <c r="M988" i="37"/>
  <c r="Y988" i="37" s="1"/>
  <c r="M2800" i="37"/>
  <c r="Y2800" i="37" s="1"/>
  <c r="M355" i="37"/>
  <c r="Y357" i="37" s="1"/>
  <c r="M1290" i="37"/>
  <c r="Y1290" i="37" s="1"/>
  <c r="I823" i="42"/>
  <c r="C883" i="42"/>
  <c r="M823" i="42"/>
  <c r="Q823" i="42"/>
  <c r="R824" i="42" s="1"/>
  <c r="N131" i="62"/>
  <c r="X131" i="62"/>
  <c r="U131" i="62"/>
  <c r="Y131" i="62"/>
  <c r="S131" i="62"/>
  <c r="W131" i="62"/>
  <c r="K131" i="62"/>
  <c r="T131" i="62"/>
  <c r="V131" i="62"/>
  <c r="I131" i="62"/>
  <c r="M131" i="62"/>
  <c r="L131" i="62"/>
  <c r="J131" i="62"/>
  <c r="Y140" i="62"/>
  <c r="N140" i="62"/>
  <c r="J140" i="62"/>
  <c r="S140" i="62"/>
  <c r="X140" i="62"/>
  <c r="K140" i="62"/>
  <c r="M140" i="62"/>
  <c r="L140" i="62"/>
  <c r="W140" i="62"/>
  <c r="T140" i="62"/>
  <c r="V140" i="62"/>
  <c r="U140" i="62"/>
  <c r="I140" i="62"/>
  <c r="Y855" i="42"/>
  <c r="Y829" i="42"/>
  <c r="AH829" i="42" s="1"/>
  <c r="Y623" i="42"/>
  <c r="M623" i="42" s="1"/>
  <c r="M545" i="42"/>
  <c r="W623" i="42"/>
  <c r="K623" i="42" s="1"/>
  <c r="K545" i="42"/>
  <c r="V529" i="42"/>
  <c r="AI1802" i="37"/>
  <c r="AI2995" i="37"/>
  <c r="AI355" i="37"/>
  <c r="AI809" i="37"/>
  <c r="AI2693" i="37"/>
  <c r="AI2226" i="37"/>
  <c r="AI2649" i="37"/>
  <c r="AI1192" i="37"/>
  <c r="AI1706" i="37"/>
  <c r="AI1451" i="37"/>
  <c r="AI2323" i="37"/>
  <c r="AI2888" i="37"/>
  <c r="AI1018" i="37"/>
  <c r="AI1210" i="37"/>
  <c r="AI1290" i="37"/>
  <c r="AI2931" i="37"/>
  <c r="AI2800" i="37"/>
  <c r="AI1053" i="37"/>
  <c r="AI511" i="37"/>
  <c r="AI384" i="37"/>
  <c r="AI1832" i="37"/>
  <c r="AI2436" i="37"/>
  <c r="AI1810" i="37"/>
  <c r="AI2391" i="37"/>
  <c r="AI1530" i="37"/>
  <c r="AI147" i="37"/>
  <c r="AI1363" i="37"/>
  <c r="AI837" i="37"/>
  <c r="AI2951" i="37"/>
  <c r="AI786" i="37"/>
  <c r="AI2347" i="37"/>
  <c r="AI1592" i="37"/>
  <c r="AI813" i="37"/>
  <c r="AI2080" i="37"/>
  <c r="AI2008" i="37"/>
  <c r="AI2112" i="37"/>
  <c r="AI828" i="37"/>
  <c r="AI112" i="37"/>
  <c r="AI1115" i="37"/>
  <c r="AI588" i="37"/>
  <c r="AI3004" i="37"/>
  <c r="AI2586" i="37"/>
  <c r="AI2414" i="37"/>
  <c r="AI1657" i="37"/>
  <c r="AI535" i="37"/>
  <c r="AI1814" i="37"/>
  <c r="AI2469" i="37"/>
  <c r="AI205" i="37"/>
  <c r="AI1088" i="37"/>
  <c r="AI2036" i="37"/>
  <c r="AI2418" i="37"/>
  <c r="AI2498" i="37"/>
  <c r="AI1734" i="37"/>
  <c r="AI1796" i="37"/>
  <c r="AI2961" i="37"/>
  <c r="AI1102" i="37"/>
  <c r="AI2104" i="37"/>
  <c r="AI2327" i="37"/>
  <c r="AI304" i="37"/>
  <c r="AI1417" i="37"/>
  <c r="AI1723" i="37"/>
  <c r="AI322" i="37"/>
  <c r="AI1865" i="37"/>
  <c r="AI213" i="37"/>
  <c r="AI1174" i="37"/>
  <c r="AI224" i="37"/>
  <c r="AI1563" i="37"/>
  <c r="AI2914" i="37"/>
  <c r="AI1404" i="37"/>
  <c r="AI602" i="37"/>
  <c r="AI2900" i="37"/>
  <c r="AI498" i="37"/>
  <c r="AI1076" i="37"/>
  <c r="AI2621" i="37"/>
  <c r="AI1787" i="37"/>
  <c r="AI1967" i="37"/>
  <c r="AI2640" i="37"/>
  <c r="AI2055" i="37"/>
  <c r="AI872" i="37"/>
  <c r="AI2406" i="37"/>
  <c r="AI2927" i="37"/>
  <c r="AI507" i="37"/>
  <c r="AI570" i="37"/>
  <c r="AI890" i="37"/>
  <c r="AI2598" i="37"/>
  <c r="AI2625" i="37"/>
  <c r="AI1719" i="37"/>
  <c r="AI1149" i="37"/>
  <c r="AI908" i="37"/>
  <c r="AI2702" i="37"/>
  <c r="AI881" i="37"/>
  <c r="AI959" i="37"/>
  <c r="AI277" i="37"/>
  <c r="AI1139" i="37"/>
  <c r="AI1508" i="37"/>
  <c r="AI1778" i="37"/>
  <c r="AI82" i="37"/>
  <c r="AI2571" i="37"/>
  <c r="AI1924" i="37"/>
  <c r="AI1261" i="37"/>
  <c r="AI1061" i="37"/>
  <c r="AI2382" i="37"/>
  <c r="AI2708" i="37"/>
  <c r="AI2296" i="37"/>
  <c r="AI1476" i="37"/>
  <c r="AI286" i="37"/>
  <c r="AI2563" i="37"/>
  <c r="AI1753" i="37"/>
  <c r="AI2629" i="37"/>
  <c r="AI1512" i="37"/>
  <c r="AI196" i="37"/>
  <c r="AI896" i="37"/>
  <c r="AI2738" i="37"/>
  <c r="AI182" i="37"/>
  <c r="AI484" i="37"/>
  <c r="AI2338" i="37"/>
  <c r="AI2942" i="37"/>
  <c r="AI2196" i="37"/>
  <c r="AI800" i="37"/>
  <c r="AI2771" i="37"/>
  <c r="AI1111" i="37"/>
  <c r="AI526" i="37"/>
  <c r="AI2021" i="37"/>
  <c r="AI1119" i="37"/>
  <c r="AI1500" i="37"/>
  <c r="AI1228" i="37"/>
  <c r="AI2116" i="37"/>
  <c r="AI53" i="37"/>
  <c r="AI3022" i="37"/>
  <c r="AI904" i="37"/>
  <c r="AI292" i="37"/>
  <c r="AI2261" i="37"/>
  <c r="AI1320" i="37"/>
  <c r="AI1413" i="37"/>
  <c r="AI449" i="37"/>
  <c r="AI2319" i="37"/>
  <c r="AI155" i="37"/>
  <c r="AI926" i="37"/>
  <c r="AI414" i="37"/>
  <c r="AI2986" i="37"/>
  <c r="AI1130" i="37"/>
  <c r="AI2528" i="37"/>
  <c r="AI2612" i="37"/>
  <c r="AI2716" i="37"/>
  <c r="AI1982" i="37"/>
  <c r="AI2400" i="37"/>
  <c r="AI545" i="37"/>
  <c r="AI243" i="37"/>
  <c r="AI686" i="37"/>
  <c r="AI2830" i="37"/>
  <c r="AI1378" i="37"/>
  <c r="AI657" i="37"/>
  <c r="AI2873" i="37"/>
  <c r="AI2865" i="37"/>
  <c r="AI300" i="37"/>
  <c r="AI988" i="37"/>
  <c r="AI1622" i="37"/>
  <c r="AI716" i="37"/>
  <c r="AI2089" i="37"/>
  <c r="AI606" i="37"/>
  <c r="AI1959" i="37"/>
  <c r="AI209" i="37"/>
  <c r="AI1390" i="37"/>
  <c r="AI1743" i="37"/>
  <c r="AI268" i="37"/>
  <c r="AI2017" i="37"/>
  <c r="AI2720" i="37"/>
  <c r="AI3010" i="37"/>
  <c r="Z20" i="37"/>
  <c r="AI20" i="37"/>
  <c r="AI1183" i="37"/>
  <c r="AI2134" i="37"/>
  <c r="AI2659" i="37"/>
  <c r="AI1692" i="37"/>
  <c r="AI817" i="37"/>
  <c r="AI751" i="37"/>
  <c r="AI579" i="37"/>
  <c r="AI1485" i="37"/>
  <c r="AI170" i="37"/>
  <c r="AI3018" i="37"/>
  <c r="AI759" i="37"/>
  <c r="AI2269" i="37"/>
  <c r="AI1994" i="37"/>
  <c r="AI2310" i="37"/>
  <c r="AI2098" i="37"/>
  <c r="AI624" i="37"/>
  <c r="AI515" i="37"/>
  <c r="AI233" i="37"/>
  <c r="AI1441" i="37"/>
  <c r="AI2025" i="37"/>
  <c r="AI847" i="37"/>
  <c r="AI2684" i="37"/>
  <c r="AI1680" i="37"/>
  <c r="AI472" i="37"/>
  <c r="AI2923" i="37"/>
  <c r="AI2284" i="37"/>
  <c r="AI457" i="37"/>
  <c r="AI1494" i="37"/>
  <c r="AI2357" i="37"/>
  <c r="AI1421" i="37"/>
  <c r="AI1894" i="37"/>
  <c r="AI774" i="37"/>
  <c r="AI1432" i="37"/>
  <c r="AI1665" i="37"/>
  <c r="AI1198" i="37"/>
  <c r="AI1355" i="37"/>
  <c r="AI1206" i="37"/>
  <c r="AI1715" i="37"/>
  <c r="AI594" i="37"/>
  <c r="AI2167" i="37"/>
  <c r="AI2045" i="37"/>
  <c r="AH2598" i="37"/>
  <c r="AH20" i="37"/>
  <c r="AH3022" i="37"/>
  <c r="AH322" i="37"/>
  <c r="AH213" i="37"/>
  <c r="AH2888" i="37"/>
  <c r="AH2927" i="37"/>
  <c r="AH2391" i="37"/>
  <c r="AH1149" i="37"/>
  <c r="AH1719" i="37"/>
  <c r="AH277" i="37"/>
  <c r="AH2357" i="37"/>
  <c r="AH2045" i="37"/>
  <c r="AH2008" i="37"/>
  <c r="AH602" i="37"/>
  <c r="AH2414" i="37"/>
  <c r="AH2469" i="37"/>
  <c r="AH2098" i="37"/>
  <c r="AH1508" i="37"/>
  <c r="AH2310" i="37"/>
  <c r="AH2382" i="37"/>
  <c r="AH2800" i="37"/>
  <c r="AH2621" i="37"/>
  <c r="AH170" i="37"/>
  <c r="AH926" i="37"/>
  <c r="AH657" i="37"/>
  <c r="AH2261" i="37"/>
  <c r="AH147" i="37"/>
  <c r="AH2629" i="37"/>
  <c r="AH896" i="37"/>
  <c r="AH2418" i="37"/>
  <c r="AH2406" i="37"/>
  <c r="AH1814" i="37"/>
  <c r="AH1894" i="37"/>
  <c r="AH1228" i="37"/>
  <c r="AH1743" i="37"/>
  <c r="AH2327" i="37"/>
  <c r="AH511" i="37"/>
  <c r="AH1018" i="37"/>
  <c r="AH904" i="37"/>
  <c r="AH2684" i="37"/>
  <c r="AH2025" i="37"/>
  <c r="AH759" i="37"/>
  <c r="AH1657" i="37"/>
  <c r="AH774" i="37"/>
  <c r="AH2284" i="37"/>
  <c r="AH2586" i="37"/>
  <c r="AH2986" i="37"/>
  <c r="AH988" i="37"/>
  <c r="AH1053" i="37"/>
  <c r="AH2830" i="37"/>
  <c r="AH588" i="37"/>
  <c r="AH1692" i="37"/>
  <c r="AH2931" i="37"/>
  <c r="AH872" i="37"/>
  <c r="AH209" i="37"/>
  <c r="AH1994" i="37"/>
  <c r="AH624" i="37"/>
  <c r="AH1500" i="37"/>
  <c r="AH1494" i="37"/>
  <c r="AH3018" i="37"/>
  <c r="AH809" i="37"/>
  <c r="AH594" i="37"/>
  <c r="AH2942" i="37"/>
  <c r="AH2865" i="37"/>
  <c r="AH1530" i="37"/>
  <c r="AH2134" i="37"/>
  <c r="AH2104" i="37"/>
  <c r="AH2914" i="37"/>
  <c r="AH1924" i="37"/>
  <c r="AH1111" i="37"/>
  <c r="AH196" i="37"/>
  <c r="AH2021" i="37"/>
  <c r="AH1865" i="37"/>
  <c r="AH286" i="37"/>
  <c r="AH1320" i="37"/>
  <c r="AH1210" i="37"/>
  <c r="AH1802" i="37"/>
  <c r="AH1753" i="37"/>
  <c r="AH828" i="37"/>
  <c r="AH1810" i="37"/>
  <c r="AH1715" i="37"/>
  <c r="AH2563" i="37"/>
  <c r="AH2226" i="37"/>
  <c r="AH1115" i="37"/>
  <c r="AH2269" i="37"/>
  <c r="AH1441" i="37"/>
  <c r="AH355" i="37"/>
  <c r="AH606" i="37"/>
  <c r="AH182" i="37"/>
  <c r="AH2080" i="37"/>
  <c r="AH1592" i="37"/>
  <c r="AH1485" i="37"/>
  <c r="AH2036" i="37"/>
  <c r="AH1476" i="37"/>
  <c r="AH224" i="37"/>
  <c r="AH2528" i="37"/>
  <c r="AH817" i="37"/>
  <c r="AH686" i="37"/>
  <c r="AH2625" i="37"/>
  <c r="AH1622" i="37"/>
  <c r="AH1183" i="37"/>
  <c r="AH2716" i="37"/>
  <c r="AH2400" i="37"/>
  <c r="AH82" i="37"/>
  <c r="AH112" i="37"/>
  <c r="AH2649" i="37"/>
  <c r="AH1355" i="37"/>
  <c r="AH1706" i="37"/>
  <c r="AH2961" i="37"/>
  <c r="AH1967" i="37"/>
  <c r="AH1390" i="37"/>
  <c r="AH2771" i="37"/>
  <c r="AH2319" i="37"/>
  <c r="AH2347" i="37"/>
  <c r="AH2873" i="37"/>
  <c r="AH1076" i="37"/>
  <c r="AH837" i="37"/>
  <c r="AH2923" i="37"/>
  <c r="AH1734" i="37"/>
  <c r="AH2498" i="37"/>
  <c r="AH1723" i="37"/>
  <c r="AH1061" i="37"/>
  <c r="AH2055" i="37"/>
  <c r="AH384" i="37"/>
  <c r="AH1982" i="37"/>
  <c r="AH2323" i="37"/>
  <c r="AH484" i="37"/>
  <c r="AH1959" i="37"/>
  <c r="AH1088" i="37"/>
  <c r="AH268" i="37"/>
  <c r="AH2167" i="37"/>
  <c r="AH1130" i="37"/>
  <c r="AH1378" i="37"/>
  <c r="AH53" i="37"/>
  <c r="AH526" i="37"/>
  <c r="AH2720" i="37"/>
  <c r="AH2693" i="37"/>
  <c r="AH1261" i="37"/>
  <c r="AH2951" i="37"/>
  <c r="AH1139" i="37"/>
  <c r="AH1174" i="37"/>
  <c r="AH2017" i="37"/>
  <c r="AH205" i="37"/>
  <c r="AH570" i="37"/>
  <c r="AH2900" i="37"/>
  <c r="AH1198" i="37"/>
  <c r="AH751" i="37"/>
  <c r="AH1404" i="37"/>
  <c r="AH2640" i="37"/>
  <c r="AH1680" i="37"/>
  <c r="AH498" i="37"/>
  <c r="AH1778" i="37"/>
  <c r="AH1512" i="37"/>
  <c r="AH813" i="37"/>
  <c r="AH1290" i="37"/>
  <c r="AH2612" i="37"/>
  <c r="AH1413" i="37"/>
  <c r="AH243" i="37"/>
  <c r="AH1417" i="37"/>
  <c r="AH3004" i="37"/>
  <c r="AH1206" i="37"/>
  <c r="AH2708" i="37"/>
  <c r="AH1563" i="37"/>
  <c r="AH800" i="37"/>
  <c r="AH2702" i="37"/>
  <c r="AH2296" i="37"/>
  <c r="AH786" i="37"/>
  <c r="AH2738" i="37"/>
  <c r="AH472" i="37"/>
  <c r="AH1665" i="37"/>
  <c r="AH292" i="37"/>
  <c r="AH1363" i="37"/>
  <c r="AH579" i="37"/>
  <c r="AH847" i="37"/>
  <c r="AH908" i="37"/>
  <c r="AH1432" i="37"/>
  <c r="AH233" i="37"/>
  <c r="AH535" i="37"/>
  <c r="AH1451" i="37"/>
  <c r="AH1421" i="37"/>
  <c r="AH959" i="37"/>
  <c r="AH2338" i="37"/>
  <c r="AH545" i="37"/>
  <c r="AH3010" i="37"/>
  <c r="AH1102" i="37"/>
  <c r="AH1192" i="37"/>
  <c r="AH507" i="37"/>
  <c r="AH2995" i="37"/>
  <c r="AH2436" i="37"/>
  <c r="AH457" i="37"/>
  <c r="AH2112" i="37"/>
  <c r="AH890" i="37"/>
  <c r="AH716" i="37"/>
  <c r="AH1796" i="37"/>
  <c r="AH2089" i="37"/>
  <c r="AH2571" i="37"/>
  <c r="AH414" i="37"/>
  <c r="AH449" i="37"/>
  <c r="AH2659" i="37"/>
  <c r="AH1832" i="37"/>
  <c r="AH155" i="37"/>
  <c r="AH304" i="37"/>
  <c r="AH1119" i="37"/>
  <c r="AH2116" i="37"/>
  <c r="AH300" i="37"/>
  <c r="Y20" i="37"/>
  <c r="AH2196" i="37"/>
  <c r="AH515" i="37"/>
  <c r="AH881" i="37"/>
  <c r="AH1787" i="37"/>
  <c r="Q775" i="42"/>
  <c r="Q692" i="42"/>
  <c r="E684" i="42"/>
  <c r="I797" i="42"/>
  <c r="Q693" i="42"/>
  <c r="Q771" i="42"/>
  <c r="Q783" i="42"/>
  <c r="Q791" i="42"/>
  <c r="Q766" i="42"/>
  <c r="Q695" i="42"/>
  <c r="Q779" i="42"/>
  <c r="Q770" i="42"/>
  <c r="Q790" i="42"/>
  <c r="S136" i="62"/>
  <c r="M136" i="62"/>
  <c r="K136" i="62"/>
  <c r="W136" i="62"/>
  <c r="I136" i="62"/>
  <c r="V136" i="62"/>
  <c r="N136" i="62"/>
  <c r="Y136" i="62"/>
  <c r="X136" i="62"/>
  <c r="T136" i="62"/>
  <c r="J136" i="62"/>
  <c r="U136" i="62"/>
  <c r="L136" i="62"/>
  <c r="AH602" i="42"/>
  <c r="Y602" i="42"/>
  <c r="J663" i="42"/>
  <c r="J664" i="42" s="1"/>
  <c r="J614" i="42"/>
  <c r="V623" i="42"/>
  <c r="J623" i="42" s="1"/>
  <c r="J545" i="42"/>
  <c r="K614" i="42"/>
  <c r="K663" i="42"/>
  <c r="K664" i="42" s="1"/>
  <c r="K245" i="41"/>
  <c r="K343" i="50"/>
  <c r="K244" i="41"/>
  <c r="K246" i="41"/>
  <c r="N82" i="37"/>
  <c r="Z82" i="37" s="1"/>
  <c r="N1592" i="37"/>
  <c r="Z1592" i="37" s="1"/>
  <c r="N686" i="37"/>
  <c r="Z686" i="37" s="1"/>
  <c r="N959" i="37"/>
  <c r="Z961" i="37" s="1"/>
  <c r="N657" i="37"/>
  <c r="Z659" i="37" s="1"/>
  <c r="N1563" i="37"/>
  <c r="Z1565" i="37" s="1"/>
  <c r="N1261" i="37"/>
  <c r="Z1263" i="37" s="1"/>
  <c r="N384" i="37"/>
  <c r="Z384" i="37" s="1"/>
  <c r="N1865" i="37"/>
  <c r="Z1867" i="37" s="1"/>
  <c r="N2469" i="37"/>
  <c r="Z2471" i="37" s="1"/>
  <c r="N53" i="37"/>
  <c r="Z55" i="37" s="1"/>
  <c r="N1894" i="37"/>
  <c r="Z1894" i="37" s="1"/>
  <c r="N2800" i="37"/>
  <c r="Z2800" i="37" s="1"/>
  <c r="N2167" i="37"/>
  <c r="Z2169" i="37" s="1"/>
  <c r="N2498" i="37"/>
  <c r="Z2498" i="37" s="1"/>
  <c r="N2771" i="37"/>
  <c r="Z2773" i="37" s="1"/>
  <c r="N1290" i="37"/>
  <c r="Z1290" i="37" s="1"/>
  <c r="N988" i="37"/>
  <c r="Z988" i="37" s="1"/>
  <c r="N355" i="37"/>
  <c r="Z357" i="37" s="1"/>
  <c r="N2196" i="37"/>
  <c r="Z2196" i="37" s="1"/>
  <c r="M2517" i="50"/>
  <c r="M2518" i="50"/>
  <c r="N2467" i="50"/>
  <c r="H2493" i="50"/>
  <c r="H2478" i="50"/>
  <c r="H2482" i="50" s="1"/>
  <c r="H2485" i="50"/>
  <c r="N2475" i="50"/>
  <c r="N2474" i="50"/>
  <c r="Z87" i="42"/>
  <c r="AI87" i="42"/>
  <c r="Z855" i="42"/>
  <c r="Z829" i="42"/>
  <c r="AI829" i="42" s="1"/>
  <c r="H431" i="42"/>
  <c r="H425" i="42"/>
  <c r="I684" i="42"/>
  <c r="N791" i="42"/>
  <c r="Y692" i="42"/>
  <c r="K779" i="42"/>
  <c r="AF783" i="42" s="1"/>
  <c r="S758" i="42"/>
  <c r="S753" i="42"/>
  <c r="M684" i="42"/>
  <c r="J779" i="42"/>
  <c r="AE783" i="42" s="1"/>
  <c r="X676" i="42"/>
  <c r="Z676" i="42" s="1"/>
  <c r="J684" i="42"/>
  <c r="M779" i="42"/>
  <c r="AH783" i="42" s="1"/>
  <c r="W692" i="42"/>
  <c r="K684" i="42"/>
  <c r="S759" i="42"/>
  <c r="M775" i="42"/>
  <c r="M790" i="42" s="1"/>
  <c r="L779" i="42"/>
  <c r="AG783" i="42" s="1"/>
  <c r="I770" i="42"/>
  <c r="K775" i="42"/>
  <c r="K790" i="42" s="1"/>
  <c r="N695" i="42"/>
  <c r="M791" i="42"/>
  <c r="L791" i="42"/>
  <c r="J775" i="42"/>
  <c r="N684" i="42"/>
  <c r="H684" i="42"/>
  <c r="S757" i="42"/>
  <c r="S754" i="42"/>
  <c r="S756" i="42"/>
  <c r="T676" i="42"/>
  <c r="N779" i="42"/>
  <c r="AI783" i="42" s="1"/>
  <c r="L684" i="42"/>
  <c r="L775" i="42"/>
  <c r="L790" i="42" s="1"/>
  <c r="M695" i="42"/>
  <c r="T739" i="42"/>
  <c r="I677" i="42"/>
  <c r="V692" i="42"/>
  <c r="N775" i="42"/>
  <c r="N790" i="42" s="1"/>
  <c r="S752" i="42"/>
  <c r="S751" i="42"/>
  <c r="K791" i="42"/>
  <c r="S750" i="42"/>
  <c r="S755" i="42"/>
  <c r="K695" i="42"/>
  <c r="I695" i="42"/>
  <c r="I791" i="42" s="1"/>
  <c r="Z692" i="42"/>
  <c r="L695" i="42"/>
  <c r="X692" i="42"/>
  <c r="AL710" i="42"/>
  <c r="J791" i="42"/>
  <c r="J695" i="42"/>
  <c r="L2379" i="50"/>
  <c r="L2380" i="50"/>
  <c r="U137" i="62"/>
  <c r="L137" i="62"/>
  <c r="M137" i="62"/>
  <c r="K137" i="62"/>
  <c r="V137" i="62"/>
  <c r="X137" i="62"/>
  <c r="Y137" i="62"/>
  <c r="S137" i="62"/>
  <c r="W137" i="62"/>
  <c r="T137" i="62"/>
  <c r="N137" i="62"/>
  <c r="J137" i="62"/>
  <c r="I137" i="62"/>
  <c r="R62" i="62"/>
  <c r="AH284" i="42"/>
  <c r="Y284" i="42"/>
  <c r="AH749" i="42"/>
  <c r="Y749" i="42"/>
  <c r="Y889" i="42"/>
  <c r="AH889" i="42" s="1"/>
  <c r="Y915" i="42"/>
  <c r="Y27" i="42"/>
  <c r="M28" i="42"/>
  <c r="L614" i="42"/>
  <c r="L663" i="42"/>
  <c r="L664" i="42" s="1"/>
  <c r="H614" i="42"/>
  <c r="H663" i="42"/>
  <c r="H664" i="42" s="1"/>
  <c r="M663" i="42"/>
  <c r="M664" i="42" s="1"/>
  <c r="M614" i="42"/>
  <c r="I614" i="42"/>
  <c r="I663" i="42"/>
  <c r="I664" i="42" s="1"/>
  <c r="N663" i="42"/>
  <c r="N664" i="42" s="1"/>
  <c r="N614" i="42"/>
  <c r="M643" i="42"/>
  <c r="J435" i="43"/>
  <c r="I45" i="50" s="1"/>
  <c r="K435" i="43"/>
  <c r="L45" i="50" s="1"/>
  <c r="G435" i="43"/>
  <c r="H435" i="43" s="1"/>
  <c r="E45" i="50" s="1"/>
  <c r="V2191" i="50"/>
  <c r="N2197" i="50" s="1"/>
  <c r="H169" i="62"/>
  <c r="I169" i="62" s="1"/>
  <c r="Q666" i="42"/>
  <c r="Q670" i="42"/>
  <c r="Q657" i="42"/>
  <c r="E657" i="42"/>
  <c r="S664" i="42"/>
  <c r="Q664" i="42"/>
  <c r="Q663" i="42"/>
  <c r="Q667" i="42"/>
  <c r="S657" i="42"/>
  <c r="Q669" i="42"/>
  <c r="S669" i="42"/>
  <c r="S667" i="42"/>
  <c r="J2380" i="50"/>
  <c r="J2379" i="50"/>
  <c r="A2485" i="50"/>
  <c r="Z915" i="42"/>
  <c r="Z889" i="42"/>
  <c r="AI889" i="42" s="1"/>
  <c r="Z27" i="42"/>
  <c r="N28" i="42"/>
  <c r="L2343" i="50"/>
  <c r="Q1523" i="37"/>
  <c r="C1825" i="37"/>
  <c r="N2517" i="50"/>
  <c r="N2518" i="50"/>
  <c r="N2380" i="50"/>
  <c r="N2379" i="50"/>
  <c r="O256" i="34"/>
  <c r="R256" i="34" s="1"/>
  <c r="D256" i="34"/>
  <c r="C257" i="34"/>
  <c r="Y19" i="42"/>
  <c r="Y20" i="42" s="1"/>
  <c r="AH87" i="42"/>
  <c r="Y87" i="42"/>
  <c r="Z623" i="42"/>
  <c r="N623" i="42" s="1"/>
  <c r="N545" i="42"/>
  <c r="J2348" i="50"/>
  <c r="K2326" i="50" s="1"/>
  <c r="AB644" i="42"/>
  <c r="J643" i="42"/>
  <c r="V644" i="42"/>
  <c r="W644" i="42" s="1"/>
  <c r="X644" i="42" s="1"/>
  <c r="Y644" i="42" s="1"/>
  <c r="Z644" i="42" s="1"/>
  <c r="X623" i="42"/>
  <c r="L623" i="42" s="1"/>
  <c r="L545" i="42"/>
  <c r="G434" i="43"/>
  <c r="H434" i="43" s="1"/>
  <c r="E44" i="50" s="1"/>
  <c r="J434" i="43"/>
  <c r="I44" i="50" s="1"/>
  <c r="K434" i="43"/>
  <c r="L44" i="50" s="1"/>
  <c r="M343" i="50"/>
  <c r="M246" i="41"/>
  <c r="M244" i="41"/>
  <c r="M245" i="41"/>
  <c r="K2197" i="50"/>
  <c r="K2196" i="50"/>
  <c r="N325" i="42"/>
  <c r="N2217" i="50" s="1"/>
  <c r="Z305" i="42"/>
  <c r="N305" i="42" s="1"/>
  <c r="N225" i="42"/>
  <c r="L423" i="42"/>
  <c r="X423" i="42"/>
  <c r="L424" i="42"/>
  <c r="X425" i="42"/>
  <c r="X424" i="42"/>
  <c r="T2191" i="50"/>
  <c r="W305" i="42"/>
  <c r="K305" i="42" s="1"/>
  <c r="K225" i="42"/>
  <c r="K325" i="42"/>
  <c r="K2217" i="50" s="1"/>
  <c r="N2270" i="50"/>
  <c r="N424" i="42"/>
  <c r="N423" i="42"/>
  <c r="Z424" i="42"/>
  <c r="Z423" i="42"/>
  <c r="Z425" i="42"/>
  <c r="X305" i="42"/>
  <c r="L305" i="42" s="1"/>
  <c r="L225" i="42"/>
  <c r="J325" i="42"/>
  <c r="J2217" i="50" s="1"/>
  <c r="V326" i="42"/>
  <c r="W326" i="42" s="1"/>
  <c r="X326" i="42" s="1"/>
  <c r="Y326" i="42" s="1"/>
  <c r="Z326" i="42" s="1"/>
  <c r="AG152" i="42"/>
  <c r="AB588" i="42"/>
  <c r="AC589" i="42"/>
  <c r="AC71" i="42"/>
  <c r="AG65" i="42"/>
  <c r="AB65" i="42"/>
  <c r="AE90" i="42"/>
  <c r="AB589" i="42"/>
  <c r="AF73" i="42"/>
  <c r="AI68" i="42"/>
  <c r="AH67" i="42"/>
  <c r="AI65" i="42"/>
  <c r="AC95" i="42"/>
  <c r="AB95" i="42" s="1"/>
  <c r="T112" i="62"/>
  <c r="Y112" i="62" s="1"/>
  <c r="M3" i="42"/>
  <c r="AH92" i="42"/>
  <c r="AI69" i="42"/>
  <c r="AF152" i="42"/>
  <c r="AD93" i="42"/>
  <c r="AH588" i="42"/>
  <c r="AH583" i="42"/>
  <c r="T118" i="62"/>
  <c r="X118" i="62" s="1"/>
  <c r="T115" i="62"/>
  <c r="X115" i="62" s="1"/>
  <c r="I4" i="42"/>
  <c r="AB73" i="42"/>
  <c r="AB71" i="42"/>
  <c r="AB69" i="42"/>
  <c r="AE608" i="42"/>
  <c r="AE581" i="42"/>
  <c r="AH604" i="42"/>
  <c r="AD73" i="42"/>
  <c r="AG68" i="42"/>
  <c r="AF65" i="42"/>
  <c r="AE582" i="42"/>
  <c r="AE607" i="42"/>
  <c r="AE94" i="42"/>
  <c r="AF89" i="42"/>
  <c r="AD96" i="42"/>
  <c r="AD66" i="42"/>
  <c r="AC89" i="42"/>
  <c r="AB89" i="42" s="1"/>
  <c r="AF68" i="42"/>
  <c r="AC65" i="42"/>
  <c r="AH88" i="42"/>
  <c r="AE74" i="42"/>
  <c r="AD611" i="42"/>
  <c r="AH68" i="42"/>
  <c r="AH71" i="42"/>
  <c r="AC67" i="42"/>
  <c r="AF66" i="42"/>
  <c r="AH603" i="42"/>
  <c r="AC580" i="42"/>
  <c r="AF608" i="42"/>
  <c r="AG609" i="42"/>
  <c r="AE580" i="42"/>
  <c r="AH585" i="42"/>
  <c r="AI72" i="42"/>
  <c r="AE66" i="42"/>
  <c r="AG587" i="42"/>
  <c r="AD88" i="42"/>
  <c r="AB66" i="42"/>
  <c r="V209" i="42"/>
  <c r="Y305" i="42"/>
  <c r="M305" i="42" s="1"/>
  <c r="M225" i="42"/>
  <c r="L325" i="42"/>
  <c r="L2217" i="50" s="1"/>
  <c r="V305" i="42"/>
  <c r="J305" i="42" s="1"/>
  <c r="J225" i="42"/>
  <c r="J2222" i="50"/>
  <c r="K2200" i="50" s="1"/>
  <c r="AL326" i="42"/>
  <c r="R2258" i="50"/>
  <c r="T2258" i="50"/>
  <c r="V406" i="42"/>
  <c r="U2191" i="50"/>
  <c r="V423" i="42"/>
  <c r="V425" i="42"/>
  <c r="V424" i="42"/>
  <c r="J423" i="42"/>
  <c r="J424" i="42"/>
  <c r="J2270" i="50"/>
  <c r="M325" i="42"/>
  <c r="M2217" i="50" s="1"/>
  <c r="M423" i="42"/>
  <c r="W424" i="42"/>
  <c r="W425" i="42"/>
  <c r="W423" i="42"/>
  <c r="K423" i="42"/>
  <c r="K424" i="42"/>
  <c r="R2191" i="50"/>
  <c r="AD69" i="42" l="1"/>
  <c r="AC610" i="42"/>
  <c r="AB610" i="42" s="1"/>
  <c r="AH66" i="42"/>
  <c r="L2348" i="50"/>
  <c r="M2326" i="50" s="1"/>
  <c r="N2348" i="50"/>
  <c r="J2330" i="50"/>
  <c r="M2474" i="50"/>
  <c r="AF581" i="42"/>
  <c r="AI96" i="42"/>
  <c r="AH65" i="42"/>
  <c r="AL65" i="42" s="1"/>
  <c r="AD92" i="42"/>
  <c r="AF93" i="42"/>
  <c r="AF91" i="42"/>
  <c r="AF94" i="42"/>
  <c r="AH89" i="42"/>
  <c r="K2343" i="50"/>
  <c r="AD607" i="42"/>
  <c r="AH74" i="42"/>
  <c r="AE152" i="42"/>
  <c r="AE172" i="42" s="1"/>
  <c r="AG581" i="42"/>
  <c r="AF582" i="42"/>
  <c r="AG74" i="42"/>
  <c r="AC581" i="42"/>
  <c r="AD610" i="42"/>
  <c r="AI67" i="42"/>
  <c r="T113" i="62"/>
  <c r="W113" i="62" s="1"/>
  <c r="AE68" i="42"/>
  <c r="AH91" i="42"/>
  <c r="AG70" i="42"/>
  <c r="AE91" i="42"/>
  <c r="AB67" i="42"/>
  <c r="AL67" i="42" s="1"/>
  <c r="AE65" i="42"/>
  <c r="AD94" i="42"/>
  <c r="T123" i="62"/>
  <c r="AA123" i="62" s="1"/>
  <c r="AC90" i="42"/>
  <c r="AB90" i="42" s="1"/>
  <c r="AL90" i="42" s="1"/>
  <c r="T120" i="62"/>
  <c r="AA120" i="62" s="1"/>
  <c r="AF92" i="42"/>
  <c r="AH90" i="42"/>
  <c r="AE92" i="42"/>
  <c r="AC66" i="42"/>
  <c r="AL66" i="42" s="1"/>
  <c r="AI92" i="42"/>
  <c r="AF70" i="42"/>
  <c r="AG94" i="42"/>
  <c r="AF588" i="42"/>
  <c r="T110" i="62"/>
  <c r="W110" i="62" s="1"/>
  <c r="AE95" i="42"/>
  <c r="AD587" i="42"/>
  <c r="L2333" i="50"/>
  <c r="AB582" i="42"/>
  <c r="T109" i="62"/>
  <c r="AF95" i="42"/>
  <c r="AF69" i="42"/>
  <c r="AC96" i="42"/>
  <c r="AB96" i="42" s="1"/>
  <c r="AC74" i="42"/>
  <c r="AG71" i="42"/>
  <c r="AI608" i="42"/>
  <c r="AH587" i="42"/>
  <c r="AC587" i="42"/>
  <c r="AF604" i="42"/>
  <c r="AD71" i="42"/>
  <c r="AL71" i="42" s="1"/>
  <c r="Y423" i="42"/>
  <c r="AD589" i="42"/>
  <c r="AD605" i="42"/>
  <c r="AB587" i="42"/>
  <c r="T119" i="62"/>
  <c r="AA119" i="62" s="1"/>
  <c r="AC88" i="42"/>
  <c r="AB88" i="42" s="1"/>
  <c r="M2348" i="50"/>
  <c r="N2326" i="50" s="1"/>
  <c r="M424" i="42"/>
  <c r="AD676" i="42"/>
  <c r="AB586" i="42"/>
  <c r="T116" i="62"/>
  <c r="Y116" i="62" s="1"/>
  <c r="AD74" i="42"/>
  <c r="AA74" i="42" s="1"/>
  <c r="AD67" i="42"/>
  <c r="AD91" i="42"/>
  <c r="AF90" i="42"/>
  <c r="AC73" i="42"/>
  <c r="AC69" i="42"/>
  <c r="AE89" i="42"/>
  <c r="AC91" i="42"/>
  <c r="AB91" i="42" s="1"/>
  <c r="AF74" i="42"/>
  <c r="AG96" i="42"/>
  <c r="K2333" i="50"/>
  <c r="I3" i="42"/>
  <c r="AG92" i="42"/>
  <c r="AC586" i="42"/>
  <c r="AD152" i="42"/>
  <c r="AF71" i="42"/>
  <c r="AI611" i="42"/>
  <c r="J2343" i="50"/>
  <c r="M2333" i="50"/>
  <c r="AD209" i="42"/>
  <c r="AD90" i="42"/>
  <c r="AB74" i="42"/>
  <c r="AL74" i="42" s="1"/>
  <c r="AI66" i="42"/>
  <c r="AA66" i="42" s="1"/>
  <c r="AD72" i="42"/>
  <c r="AA72" i="42" s="1"/>
  <c r="AC97" i="42"/>
  <c r="AB97" i="42" s="1"/>
  <c r="AI94" i="42"/>
  <c r="AE93" i="42"/>
  <c r="AC92" i="42"/>
  <c r="AB92" i="42" s="1"/>
  <c r="AF603" i="42"/>
  <c r="AH69" i="42"/>
  <c r="AE587" i="42"/>
  <c r="AI73" i="42"/>
  <c r="AE72" i="42"/>
  <c r="AI604" i="42"/>
  <c r="AI95" i="42"/>
  <c r="AI152" i="42"/>
  <c r="AI162" i="42" s="1"/>
  <c r="J2333" i="50"/>
  <c r="AH581" i="42"/>
  <c r="AD823" i="42"/>
  <c r="K4" i="42"/>
  <c r="AG89" i="42"/>
  <c r="AE71" i="42"/>
  <c r="AC152" i="42"/>
  <c r="AI70" i="42"/>
  <c r="AC70" i="42"/>
  <c r="AL70" i="42" s="1"/>
  <c r="AH94" i="42"/>
  <c r="AI89" i="42"/>
  <c r="AL89" i="42" s="1"/>
  <c r="AG582" i="42"/>
  <c r="AG611" i="42"/>
  <c r="AG88" i="42"/>
  <c r="AG91" i="42"/>
  <c r="N2343" i="50"/>
  <c r="AD97" i="42"/>
  <c r="AI266" i="42"/>
  <c r="AE70" i="42"/>
  <c r="AH73" i="42"/>
  <c r="AG72" i="42"/>
  <c r="T117" i="62"/>
  <c r="X117" i="62" s="1"/>
  <c r="G4" i="42"/>
  <c r="AI97" i="42"/>
  <c r="AI91" i="42"/>
  <c r="AL91" i="42" s="1"/>
  <c r="AG67" i="42"/>
  <c r="AG93" i="42"/>
  <c r="AI71" i="42"/>
  <c r="AI88" i="42"/>
  <c r="AE96" i="42"/>
  <c r="AD68" i="42"/>
  <c r="K2348" i="50"/>
  <c r="L2326" i="50" s="1"/>
  <c r="AF88" i="42"/>
  <c r="AL88" i="42" s="1"/>
  <c r="AG612" i="42"/>
  <c r="AH611" i="42"/>
  <c r="AH70" i="42"/>
  <c r="AG97" i="42"/>
  <c r="AF585" i="42"/>
  <c r="AD70" i="42"/>
  <c r="AG73" i="42"/>
  <c r="M2330" i="50"/>
  <c r="Y425" i="42"/>
  <c r="K3" i="42"/>
  <c r="AF72" i="42"/>
  <c r="AH95" i="42"/>
  <c r="AE603" i="42"/>
  <c r="G3" i="42"/>
  <c r="AG610" i="42"/>
  <c r="AC93" i="42"/>
  <c r="AB93" i="42" s="1"/>
  <c r="AD606" i="42"/>
  <c r="T125" i="62"/>
  <c r="AA125" i="62" s="1"/>
  <c r="AG95" i="42"/>
  <c r="T114" i="62"/>
  <c r="X114" i="62" s="1"/>
  <c r="AH72" i="42"/>
  <c r="AG90" i="42"/>
  <c r="AD585" i="42"/>
  <c r="AE586" i="42"/>
  <c r="AB68" i="42"/>
  <c r="AL68" i="42" s="1"/>
  <c r="AF96" i="42"/>
  <c r="AE69" i="42"/>
  <c r="AL69" i="42" s="1"/>
  <c r="AE97" i="42"/>
  <c r="AG69" i="42"/>
  <c r="AG66" i="42"/>
  <c r="Y424" i="42"/>
  <c r="T111" i="62"/>
  <c r="AI610" i="42"/>
  <c r="X113" i="62"/>
  <c r="AH152" i="42"/>
  <c r="AH172" i="42" s="1"/>
  <c r="AD604" i="42"/>
  <c r="AD65" i="42"/>
  <c r="AC604" i="42"/>
  <c r="AB604" i="42" s="1"/>
  <c r="AI74" i="42"/>
  <c r="AD95" i="42"/>
  <c r="AL95" i="42" s="1"/>
  <c r="AB70" i="42"/>
  <c r="AB72" i="42"/>
  <c r="AF589" i="42"/>
  <c r="AC94" i="42"/>
  <c r="AB94" i="42" s="1"/>
  <c r="AL94" i="42" s="1"/>
  <c r="AE88" i="42"/>
  <c r="AD529" i="42"/>
  <c r="AC68" i="42"/>
  <c r="AA68" i="42" s="1"/>
  <c r="AH609" i="42"/>
  <c r="AI93" i="42"/>
  <c r="AB581" i="42"/>
  <c r="AE612" i="42"/>
  <c r="AH608" i="42"/>
  <c r="AF605" i="42"/>
  <c r="AI90" i="42"/>
  <c r="W112" i="62"/>
  <c r="AE67" i="42"/>
  <c r="T122" i="62"/>
  <c r="AA122" i="62" s="1"/>
  <c r="AC72" i="42"/>
  <c r="AD89" i="42"/>
  <c r="AG588" i="42"/>
  <c r="AE73" i="42"/>
  <c r="AL73" i="42" s="1"/>
  <c r="AF97" i="42"/>
  <c r="T121" i="62"/>
  <c r="AA121" i="62" s="1"/>
  <c r="AD588" i="42"/>
  <c r="AF67" i="42"/>
  <c r="T124" i="62"/>
  <c r="AA124" i="62" s="1"/>
  <c r="AD12" i="42"/>
  <c r="M2343" i="50"/>
  <c r="N158" i="62"/>
  <c r="K2330" i="50"/>
  <c r="F169" i="62"/>
  <c r="L2271" i="50"/>
  <c r="I161" i="62"/>
  <c r="K2475" i="50"/>
  <c r="Z152" i="42"/>
  <c r="J2475" i="50"/>
  <c r="M2263" i="50"/>
  <c r="I244" i="41"/>
  <c r="I246" i="41"/>
  <c r="I343" i="50"/>
  <c r="I245" i="41"/>
  <c r="H15" i="41"/>
  <c r="V15" i="41" s="1"/>
  <c r="H411" i="41"/>
  <c r="H335" i="41"/>
  <c r="H420" i="50" s="1"/>
  <c r="H188" i="41"/>
  <c r="H312" i="50" s="1"/>
  <c r="H321" i="41"/>
  <c r="H408" i="50" s="1"/>
  <c r="H138" i="41"/>
  <c r="H273" i="50" s="1"/>
  <c r="H176" i="41"/>
  <c r="H302" i="50" s="1"/>
  <c r="H217" i="41"/>
  <c r="H334" i="50" s="1"/>
  <c r="H93" i="41"/>
  <c r="H246" i="50" s="1"/>
  <c r="H276" i="41"/>
  <c r="H368" i="50" s="1"/>
  <c r="H56" i="41"/>
  <c r="H146" i="41"/>
  <c r="H279" i="50" s="1"/>
  <c r="H110" i="41"/>
  <c r="H257" i="50" s="1"/>
  <c r="H260" i="41"/>
  <c r="H354" i="50" s="1"/>
  <c r="H295" i="41"/>
  <c r="H384" i="50" s="1"/>
  <c r="H227" i="41"/>
  <c r="H342" i="50" s="1"/>
  <c r="H99" i="41"/>
  <c r="H250" i="50" s="1"/>
  <c r="H206" i="41"/>
  <c r="H325" i="50" s="1"/>
  <c r="H44" i="41"/>
  <c r="H239" i="41"/>
  <c r="H306" i="41"/>
  <c r="H394" i="50" s="1"/>
  <c r="H118" i="41"/>
  <c r="H287" i="41"/>
  <c r="H377" i="50" s="1"/>
  <c r="H363" i="41"/>
  <c r="H442" i="50" s="1"/>
  <c r="H34" i="41"/>
  <c r="H1076" i="37"/>
  <c r="T1080" i="37" s="1"/>
  <c r="H1485" i="37"/>
  <c r="T1488" i="37" s="1"/>
  <c r="H224" i="37"/>
  <c r="H988" i="37"/>
  <c r="T988" i="37" s="1"/>
  <c r="H2873" i="37"/>
  <c r="H1206" i="37"/>
  <c r="H926" i="37"/>
  <c r="T926" i="37" s="1"/>
  <c r="H209" i="37"/>
  <c r="H2045" i="37"/>
  <c r="H170" i="37"/>
  <c r="T174" i="37" s="1"/>
  <c r="H813" i="37"/>
  <c r="H1053" i="37"/>
  <c r="T1053" i="37" s="1"/>
  <c r="H1512" i="37"/>
  <c r="H205" i="37"/>
  <c r="T205" i="37" s="1"/>
  <c r="H268" i="37"/>
  <c r="T270" i="37" s="1"/>
  <c r="H1417" i="37"/>
  <c r="H2693" i="37"/>
  <c r="T2696" i="37" s="1"/>
  <c r="H908" i="37"/>
  <c r="H1355" i="37"/>
  <c r="T1355" i="37" s="1"/>
  <c r="H1088" i="37"/>
  <c r="T1092" i="37" s="1"/>
  <c r="H1665" i="37"/>
  <c r="H1149" i="37"/>
  <c r="H1174" i="37"/>
  <c r="T1176" i="37" s="1"/>
  <c r="H2800" i="37"/>
  <c r="T2800" i="37" s="1"/>
  <c r="H304" i="37"/>
  <c r="H1734" i="37"/>
  <c r="H2357" i="37"/>
  <c r="H1865" i="37"/>
  <c r="T1867" i="37" s="1"/>
  <c r="H3004" i="37"/>
  <c r="T3004" i="37" s="1"/>
  <c r="H1378" i="37"/>
  <c r="T1382" i="37" s="1"/>
  <c r="H2771" i="37"/>
  <c r="T2773" i="37" s="1"/>
  <c r="H2629" i="37"/>
  <c r="T2629" i="37" s="1"/>
  <c r="H2382" i="37"/>
  <c r="T2384" i="37" s="1"/>
  <c r="H588" i="37"/>
  <c r="T588" i="37" s="1"/>
  <c r="H2563" i="37"/>
  <c r="T2563" i="37" s="1"/>
  <c r="H2261" i="37"/>
  <c r="T2261" i="37" s="1"/>
  <c r="H1494" i="37"/>
  <c r="T1494" i="37" s="1"/>
  <c r="H277" i="37"/>
  <c r="T280" i="37" s="1"/>
  <c r="H243" i="37"/>
  <c r="H1441" i="37"/>
  <c r="H511" i="37"/>
  <c r="H1706" i="37"/>
  <c r="T1706" i="37" s="1"/>
  <c r="H1061" i="37"/>
  <c r="H1810" i="37"/>
  <c r="H2951" i="37"/>
  <c r="H1115" i="37"/>
  <c r="H82" i="37"/>
  <c r="T82" i="37" s="1"/>
  <c r="H2008" i="37"/>
  <c r="T2008" i="37" s="1"/>
  <c r="H1982" i="37"/>
  <c r="T1986" i="37" s="1"/>
  <c r="H2900" i="37"/>
  <c r="T2904" i="37" s="1"/>
  <c r="H1994" i="37"/>
  <c r="T1998" i="37" s="1"/>
  <c r="H286" i="37"/>
  <c r="T286" i="37" s="1"/>
  <c r="H2923" i="37"/>
  <c r="T2923" i="37" s="1"/>
  <c r="H890" i="37"/>
  <c r="T890" i="37" s="1"/>
  <c r="H2927" i="37"/>
  <c r="H449" i="37"/>
  <c r="T449" i="37" s="1"/>
  <c r="H2830" i="37"/>
  <c r="H751" i="37"/>
  <c r="T751" i="37" s="1"/>
  <c r="H1924" i="37"/>
  <c r="H2323" i="37"/>
  <c r="H1210" i="37"/>
  <c r="H2196" i="37"/>
  <c r="T2196" i="37" s="1"/>
  <c r="H1563" i="37"/>
  <c r="T1565" i="37" s="1"/>
  <c r="H2528" i="37"/>
  <c r="H800" i="37"/>
  <c r="T800" i="37" s="1"/>
  <c r="H1787" i="37"/>
  <c r="T1790" i="37" s="1"/>
  <c r="H2347" i="37"/>
  <c r="H1753" i="37"/>
  <c r="H2598" i="37"/>
  <c r="T2602" i="37" s="1"/>
  <c r="H847" i="37"/>
  <c r="H2961" i="37"/>
  <c r="H1390" i="37"/>
  <c r="T1394" i="37" s="1"/>
  <c r="H2319" i="37"/>
  <c r="T2319" i="37" s="1"/>
  <c r="H2942" i="37"/>
  <c r="H1102" i="37"/>
  <c r="T1102" i="37" s="1"/>
  <c r="H1363" i="37"/>
  <c r="H904" i="37"/>
  <c r="H837" i="37"/>
  <c r="H2995" i="37"/>
  <c r="T2998" i="37" s="1"/>
  <c r="H2571" i="37"/>
  <c r="H2865" i="37"/>
  <c r="T2865" i="37" s="1"/>
  <c r="H1719" i="37"/>
  <c r="H1192" i="37"/>
  <c r="T1192" i="37" s="1"/>
  <c r="H759" i="37"/>
  <c r="H1743" i="37"/>
  <c r="H53" i="37"/>
  <c r="T55" i="37" s="1"/>
  <c r="H457" i="37"/>
  <c r="H1692" i="37"/>
  <c r="T1696" i="37" s="1"/>
  <c r="H1592" i="37"/>
  <c r="T1592" i="37" s="1"/>
  <c r="H498" i="37"/>
  <c r="T498" i="37" s="1"/>
  <c r="H2612" i="37"/>
  <c r="T2612" i="37" s="1"/>
  <c r="H1715" i="37"/>
  <c r="T1715" i="37" s="1"/>
  <c r="H322" i="37"/>
  <c r="T322" i="37" s="1"/>
  <c r="H872" i="37"/>
  <c r="T874" i="37" s="1"/>
  <c r="H602" i="37"/>
  <c r="H2888" i="37"/>
  <c r="T2892" i="37" s="1"/>
  <c r="H809" i="37"/>
  <c r="T809" i="37" s="1"/>
  <c r="H1622" i="37"/>
  <c r="H2327" i="37"/>
  <c r="T2327" i="37" s="1"/>
  <c r="H2716" i="37"/>
  <c r="H1451" i="37"/>
  <c r="H828" i="37"/>
  <c r="H182" i="37"/>
  <c r="T186" i="37" s="1"/>
  <c r="H2284" i="37"/>
  <c r="T2288" i="37" s="1"/>
  <c r="H147" i="37"/>
  <c r="T147" i="37" s="1"/>
  <c r="H2089" i="37"/>
  <c r="T2092" i="37" s="1"/>
  <c r="H774" i="37"/>
  <c r="T778" i="37" s="1"/>
  <c r="H384" i="37"/>
  <c r="T384" i="37" s="1"/>
  <c r="H1657" i="37"/>
  <c r="T1657" i="37" s="1"/>
  <c r="H515" i="37"/>
  <c r="T515" i="37" s="1"/>
  <c r="H2167" i="37"/>
  <c r="T2169" i="37" s="1"/>
  <c r="H2400" i="37"/>
  <c r="T2400" i="37" s="1"/>
  <c r="H1778" i="37"/>
  <c r="T1780" i="37" s="1"/>
  <c r="H2269" i="37"/>
  <c r="H1320" i="37"/>
  <c r="H2310" i="37"/>
  <c r="T2310" i="37" s="1"/>
  <c r="H1413" i="37"/>
  <c r="T1413" i="37" s="1"/>
  <c r="H484" i="37"/>
  <c r="T488" i="37" s="1"/>
  <c r="H2720" i="37"/>
  <c r="H1680" i="37"/>
  <c r="T1684" i="37" s="1"/>
  <c r="H196" i="37"/>
  <c r="T196" i="37" s="1"/>
  <c r="H1290" i="37"/>
  <c r="T1290" i="37" s="1"/>
  <c r="H1894" i="37"/>
  <c r="T1894" i="37" s="1"/>
  <c r="H2414" i="37"/>
  <c r="H545" i="37"/>
  <c r="H1832" i="37"/>
  <c r="T1832" i="37" s="1"/>
  <c r="H1723" i="37"/>
  <c r="T1723" i="37" s="1"/>
  <c r="H414" i="37"/>
  <c r="H2112" i="37"/>
  <c r="H2338" i="37"/>
  <c r="H2036" i="37"/>
  <c r="H355" i="37"/>
  <c r="T357" i="37" s="1"/>
  <c r="H507" i="37"/>
  <c r="T507" i="37" s="1"/>
  <c r="H1508" i="37"/>
  <c r="H2116" i="37"/>
  <c r="H112" i="37"/>
  <c r="H1421" i="37"/>
  <c r="T1421" i="37" s="1"/>
  <c r="H3053" i="37"/>
  <c r="H1814" i="37"/>
  <c r="H606" i="37"/>
  <c r="H2021" i="37"/>
  <c r="H881" i="37"/>
  <c r="T884" i="37" s="1"/>
  <c r="H1183" i="37"/>
  <c r="T1186" i="37" s="1"/>
  <c r="H2625" i="37"/>
  <c r="H657" i="37"/>
  <c r="T659" i="37" s="1"/>
  <c r="H3018" i="37"/>
  <c r="H2586" i="37"/>
  <c r="T2590" i="37" s="1"/>
  <c r="H570" i="37"/>
  <c r="T572" i="37" s="1"/>
  <c r="H1476" i="37"/>
  <c r="T1478" i="37" s="1"/>
  <c r="H2391" i="37"/>
  <c r="T2394" i="37" s="1"/>
  <c r="H2080" i="37"/>
  <c r="T2082" i="37" s="1"/>
  <c r="H213" i="37"/>
  <c r="T213" i="37" s="1"/>
  <c r="H1796" i="37"/>
  <c r="T1796" i="37" s="1"/>
  <c r="H2986" i="37"/>
  <c r="T2988" i="37" s="1"/>
  <c r="H2498" i="37"/>
  <c r="T2498" i="37" s="1"/>
  <c r="H1261" i="37"/>
  <c r="T1263" i="37" s="1"/>
  <c r="H817" i="37"/>
  <c r="T817" i="37" s="1"/>
  <c r="H2738" i="37"/>
  <c r="T2738" i="37" s="1"/>
  <c r="H1967" i="37"/>
  <c r="H2017" i="37"/>
  <c r="T2017" i="37" s="1"/>
  <c r="H472" i="37"/>
  <c r="T476" i="37" s="1"/>
  <c r="H3022" i="37"/>
  <c r="H2025" i="37"/>
  <c r="T2025" i="37" s="1"/>
  <c r="H2226" i="37"/>
  <c r="H786" i="37"/>
  <c r="T790" i="37" s="1"/>
  <c r="H1130" i="37"/>
  <c r="H535" i="37"/>
  <c r="H1111" i="37"/>
  <c r="T1111" i="37" s="1"/>
  <c r="H2931" i="37"/>
  <c r="T2931" i="37" s="1"/>
  <c r="H300" i="37"/>
  <c r="H716" i="37"/>
  <c r="H959" i="37"/>
  <c r="T961" i="37" s="1"/>
  <c r="H1139" i="37"/>
  <c r="H624" i="37"/>
  <c r="T624" i="37" s="1"/>
  <c r="H2621" i="37"/>
  <c r="T2621" i="37" s="1"/>
  <c r="H2640" i="37"/>
  <c r="H579" i="37"/>
  <c r="T582" i="37" s="1"/>
  <c r="H155" i="37"/>
  <c r="H1228" i="37"/>
  <c r="T1228" i="37" s="1"/>
  <c r="H2914" i="37"/>
  <c r="T2914" i="37" s="1"/>
  <c r="H2469" i="37"/>
  <c r="T2471" i="37" s="1"/>
  <c r="H2134" i="37"/>
  <c r="T2134" i="37" s="1"/>
  <c r="H1404" i="37"/>
  <c r="T1404" i="37" s="1"/>
  <c r="H2436" i="37"/>
  <c r="T2436" i="37" s="1"/>
  <c r="H233" i="37"/>
  <c r="H2098" i="37"/>
  <c r="T2098" i="37" s="1"/>
  <c r="H2702" i="37"/>
  <c r="T2702" i="37" s="1"/>
  <c r="H1959" i="37"/>
  <c r="T1959" i="37" s="1"/>
  <c r="H20" i="37"/>
  <c r="H3048" i="37"/>
  <c r="H2418" i="37"/>
  <c r="H1530" i="37"/>
  <c r="T1530" i="37" s="1"/>
  <c r="H2055" i="37"/>
  <c r="H1018" i="37"/>
  <c r="H2296" i="37"/>
  <c r="T2300" i="37" s="1"/>
  <c r="H526" i="37"/>
  <c r="H2649" i="37"/>
  <c r="H1119" i="37"/>
  <c r="T1119" i="37" s="1"/>
  <c r="H1432" i="37"/>
  <c r="H2684" i="37"/>
  <c r="T2686" i="37" s="1"/>
  <c r="H2659" i="37"/>
  <c r="H686" i="37"/>
  <c r="T686" i="37" s="1"/>
  <c r="I127" i="50"/>
  <c r="I284" i="49"/>
  <c r="U855" i="42"/>
  <c r="U829" i="42"/>
  <c r="AD829" i="42" s="1"/>
  <c r="AD602" i="42"/>
  <c r="U602" i="42"/>
  <c r="AD87" i="42"/>
  <c r="U87" i="42"/>
  <c r="H2430" i="50"/>
  <c r="H135" i="50"/>
  <c r="H346" i="50"/>
  <c r="H1252" i="50"/>
  <c r="H176" i="50"/>
  <c r="H170" i="50"/>
  <c r="H2373" i="50"/>
  <c r="H2257" i="50"/>
  <c r="H160" i="50"/>
  <c r="H760" i="50"/>
  <c r="H2286" i="50"/>
  <c r="H2469" i="50"/>
  <c r="H140" i="50"/>
  <c r="H91" i="50"/>
  <c r="H221" i="50"/>
  <c r="H2190" i="50"/>
  <c r="H63" i="50"/>
  <c r="H2459" i="50"/>
  <c r="H165" i="50"/>
  <c r="H211" i="50"/>
  <c r="H111" i="50"/>
  <c r="H2316" i="50"/>
  <c r="H2227" i="50"/>
  <c r="H596" i="50"/>
  <c r="H145" i="50"/>
  <c r="H2123" i="50"/>
  <c r="H2498" i="50"/>
  <c r="H1908" i="50"/>
  <c r="H2160" i="50"/>
  <c r="H151" i="50"/>
  <c r="H1088" i="50"/>
  <c r="H482" i="50"/>
  <c r="H2072" i="50"/>
  <c r="H187" i="50"/>
  <c r="H1580" i="50"/>
  <c r="H2353" i="50"/>
  <c r="H924" i="50"/>
  <c r="H199" i="50"/>
  <c r="H1744" i="50"/>
  <c r="H2410" i="50"/>
  <c r="H1416" i="50"/>
  <c r="H1958" i="50"/>
  <c r="H1302" i="50"/>
  <c r="H810" i="50"/>
  <c r="H1794" i="50"/>
  <c r="H1138" i="50"/>
  <c r="H1630" i="50"/>
  <c r="H974" i="50"/>
  <c r="H1466" i="50"/>
  <c r="H646" i="50"/>
  <c r="AC161" i="42"/>
  <c r="H19" i="42"/>
  <c r="AC517" i="42"/>
  <c r="AC390" i="42"/>
  <c r="AC151" i="42"/>
  <c r="H193" i="42"/>
  <c r="T193" i="42" s="1"/>
  <c r="H618" i="42"/>
  <c r="H151" i="42"/>
  <c r="T151" i="42" s="1"/>
  <c r="H185" i="42"/>
  <c r="T185" i="42" s="1"/>
  <c r="H382" i="42"/>
  <c r="T382" i="42" s="1"/>
  <c r="H521" i="42"/>
  <c r="T521" i="42" s="1"/>
  <c r="AC382" i="42"/>
  <c r="H386" i="42"/>
  <c r="T386" i="42" s="1"/>
  <c r="AC197" i="42"/>
  <c r="AC505" i="42"/>
  <c r="H481" i="42"/>
  <c r="H171" i="42"/>
  <c r="H517" i="42"/>
  <c r="T517" i="42" s="1"/>
  <c r="H197" i="42"/>
  <c r="T197" i="42" s="1"/>
  <c r="H513" i="42"/>
  <c r="T513" i="42" s="1"/>
  <c r="H189" i="42"/>
  <c r="T189" i="42" s="1"/>
  <c r="H809" i="42"/>
  <c r="T810" i="42" s="1"/>
  <c r="H829" i="42"/>
  <c r="AC398" i="42"/>
  <c r="H398" i="42"/>
  <c r="T398" i="42" s="1"/>
  <c r="H368" i="42"/>
  <c r="H869" i="42"/>
  <c r="H216" i="42"/>
  <c r="AC348" i="42"/>
  <c r="AC521" i="42"/>
  <c r="H749" i="42"/>
  <c r="H889" i="42"/>
  <c r="H803" i="42"/>
  <c r="T803" i="42" s="1"/>
  <c r="AC201" i="42"/>
  <c r="AC189" i="42"/>
  <c r="AC358" i="42"/>
  <c r="H300" i="42"/>
  <c r="AC481" i="42"/>
  <c r="H471" i="42"/>
  <c r="T471" i="42" s="1"/>
  <c r="H87" i="42"/>
  <c r="H261" i="42"/>
  <c r="AC261" i="42" s="1"/>
  <c r="H201" i="42"/>
  <c r="T201" i="42" s="1"/>
  <c r="H390" i="42"/>
  <c r="T390" i="42" s="1"/>
  <c r="AC656" i="42"/>
  <c r="H491" i="42"/>
  <c r="AC386" i="42"/>
  <c r="AC394" i="42"/>
  <c r="AC171" i="42"/>
  <c r="AC185" i="42"/>
  <c r="H726" i="42"/>
  <c r="AC726" i="42" s="1"/>
  <c r="H284" i="42"/>
  <c r="AC662" i="42"/>
  <c r="H656" i="42"/>
  <c r="T656" i="42" s="1"/>
  <c r="H161" i="42"/>
  <c r="H662" i="42"/>
  <c r="T663" i="42" s="1"/>
  <c r="H103" i="42"/>
  <c r="H64" i="42"/>
  <c r="AC64" i="42" s="1"/>
  <c r="H394" i="42"/>
  <c r="T394" i="42" s="1"/>
  <c r="H358" i="42"/>
  <c r="AC193" i="42"/>
  <c r="H536" i="42"/>
  <c r="AC491" i="42"/>
  <c r="H602" i="42"/>
  <c r="AC513" i="42"/>
  <c r="H765" i="42"/>
  <c r="H348" i="42"/>
  <c r="T348" i="42" s="1"/>
  <c r="H579" i="42"/>
  <c r="AC579" i="42" s="1"/>
  <c r="AC803" i="42"/>
  <c r="H683" i="42"/>
  <c r="T683" i="42" s="1"/>
  <c r="H505" i="42"/>
  <c r="T505" i="42" s="1"/>
  <c r="AC809" i="42"/>
  <c r="AC368" i="42"/>
  <c r="AC509" i="42"/>
  <c r="H509" i="42"/>
  <c r="T509" i="42" s="1"/>
  <c r="H413" i="42"/>
  <c r="H929" i="42"/>
  <c r="AC471" i="42"/>
  <c r="I285" i="49"/>
  <c r="I128" i="50"/>
  <c r="U284" i="42"/>
  <c r="AD284" i="42"/>
  <c r="AD1261" i="37"/>
  <c r="AD2914" i="37"/>
  <c r="AD1994" i="37"/>
  <c r="AD1290" i="37"/>
  <c r="AD182" i="37"/>
  <c r="AD2830" i="37"/>
  <c r="AD813" i="37"/>
  <c r="AD526" i="37"/>
  <c r="AD959" i="37"/>
  <c r="AD1832" i="37"/>
  <c r="AD1778" i="37"/>
  <c r="AD1432" i="37"/>
  <c r="AD2025" i="37"/>
  <c r="AD2720" i="37"/>
  <c r="AD2089" i="37"/>
  <c r="AD594" i="37"/>
  <c r="AD355" i="37"/>
  <c r="AD2923" i="37"/>
  <c r="AD414" i="37"/>
  <c r="AD1088" i="37"/>
  <c r="AD890" i="37"/>
  <c r="AD828" i="37"/>
  <c r="AD2927" i="37"/>
  <c r="AD2196" i="37"/>
  <c r="AD686" i="37"/>
  <c r="AD1563" i="37"/>
  <c r="AD3022" i="37"/>
  <c r="AD2586" i="37"/>
  <c r="AD1665" i="37"/>
  <c r="AD786" i="37"/>
  <c r="AD2391" i="37"/>
  <c r="AD1390" i="37"/>
  <c r="AD1053" i="37"/>
  <c r="AD224" i="37"/>
  <c r="AD2382" i="37"/>
  <c r="AD1130" i="37"/>
  <c r="AD2327" i="37"/>
  <c r="AD2621" i="37"/>
  <c r="AD2800" i="37"/>
  <c r="AD2347" i="37"/>
  <c r="AD2338" i="37"/>
  <c r="AD2598" i="37"/>
  <c r="AD2261" i="37"/>
  <c r="AD800" i="37"/>
  <c r="U20" i="37"/>
  <c r="AD2738" i="37"/>
  <c r="AD1592" i="37"/>
  <c r="AD292" i="37"/>
  <c r="AD774" i="37"/>
  <c r="AD472" i="37"/>
  <c r="AD881" i="37"/>
  <c r="AD2961" i="37"/>
  <c r="AD2017" i="37"/>
  <c r="AD2716" i="37"/>
  <c r="AD579" i="37"/>
  <c r="AD2693" i="37"/>
  <c r="AD535" i="37"/>
  <c r="AD268" i="37"/>
  <c r="AD1680" i="37"/>
  <c r="AD1723" i="37"/>
  <c r="AD1959" i="37"/>
  <c r="AD1061" i="37"/>
  <c r="AD624" i="37"/>
  <c r="AD602" i="37"/>
  <c r="AD2951" i="37"/>
  <c r="AD1500" i="37"/>
  <c r="AD545" i="37"/>
  <c r="AD2310" i="37"/>
  <c r="AD1796" i="37"/>
  <c r="AD1115" i="37"/>
  <c r="AD498" i="37"/>
  <c r="AD2708" i="37"/>
  <c r="AD657" i="37"/>
  <c r="AD1119" i="37"/>
  <c r="AD2528" i="37"/>
  <c r="AD1198" i="37"/>
  <c r="AD896" i="37"/>
  <c r="AD243" i="37"/>
  <c r="AD2112" i="37"/>
  <c r="AD511" i="37"/>
  <c r="AD1355" i="37"/>
  <c r="AD2008" i="37"/>
  <c r="AD2269" i="37"/>
  <c r="AD908" i="37"/>
  <c r="AD809" i="37"/>
  <c r="AD2319" i="37"/>
  <c r="AD170" i="37"/>
  <c r="AD2116" i="37"/>
  <c r="AD1530" i="37"/>
  <c r="AD384" i="37"/>
  <c r="AD2226" i="37"/>
  <c r="AD2406" i="37"/>
  <c r="AD2931" i="37"/>
  <c r="AD304" i="37"/>
  <c r="AD1076" i="37"/>
  <c r="AD53" i="37"/>
  <c r="AD2986" i="37"/>
  <c r="AD205" i="37"/>
  <c r="AD484" i="37"/>
  <c r="AD2659" i="37"/>
  <c r="AD1494" i="37"/>
  <c r="AD1508" i="37"/>
  <c r="AD2098" i="37"/>
  <c r="AD847" i="37"/>
  <c r="AD1174" i="37"/>
  <c r="AD2400" i="37"/>
  <c r="AD2942" i="37"/>
  <c r="AD286" i="37"/>
  <c r="AD716" i="37"/>
  <c r="AD817" i="37"/>
  <c r="AD1378" i="37"/>
  <c r="AD2414" i="37"/>
  <c r="AD926" i="37"/>
  <c r="AD1982" i="37"/>
  <c r="AD1404" i="37"/>
  <c r="AD1192" i="37"/>
  <c r="AD2418" i="37"/>
  <c r="AD1183" i="37"/>
  <c r="AD147" i="37"/>
  <c r="AD20" i="37"/>
  <c r="AD1228" i="37"/>
  <c r="AD2436" i="37"/>
  <c r="AD2055" i="37"/>
  <c r="AD213" i="37"/>
  <c r="AD2995" i="37"/>
  <c r="AD1210" i="37"/>
  <c r="AD233" i="37"/>
  <c r="AD1476" i="37"/>
  <c r="AD1451" i="37"/>
  <c r="AD3018" i="37"/>
  <c r="AD2284" i="37"/>
  <c r="AD2167" i="37"/>
  <c r="AD1719" i="37"/>
  <c r="AD2357" i="37"/>
  <c r="AD1206" i="37"/>
  <c r="AD1810" i="37"/>
  <c r="AD1753" i="37"/>
  <c r="AD277" i="37"/>
  <c r="AD2865" i="37"/>
  <c r="AD1421" i="37"/>
  <c r="AD1417" i="37"/>
  <c r="AD1320" i="37"/>
  <c r="AD322" i="37"/>
  <c r="AD1715" i="37"/>
  <c r="AD209" i="37"/>
  <c r="AD1692" i="37"/>
  <c r="AD1102" i="37"/>
  <c r="AD1894" i="37"/>
  <c r="AD196" i="37"/>
  <c r="AD1802" i="37"/>
  <c r="AD1441" i="37"/>
  <c r="AD1865" i="37"/>
  <c r="AD2469" i="37"/>
  <c r="AD837" i="37"/>
  <c r="AD570" i="37"/>
  <c r="AD904" i="37"/>
  <c r="AD300" i="37"/>
  <c r="AD457" i="37"/>
  <c r="AD2629" i="37"/>
  <c r="AD2104" i="37"/>
  <c r="AD2900" i="37"/>
  <c r="AD515" i="37"/>
  <c r="AD507" i="37"/>
  <c r="AD2323" i="37"/>
  <c r="AD2296" i="37"/>
  <c r="AD2612" i="37"/>
  <c r="AD1814" i="37"/>
  <c r="AD449" i="37"/>
  <c r="AD1139" i="37"/>
  <c r="AD2498" i="37"/>
  <c r="AD1149" i="37"/>
  <c r="AD2036" i="37"/>
  <c r="AD1734" i="37"/>
  <c r="AD2649" i="37"/>
  <c r="AD155" i="37"/>
  <c r="AD2702" i="37"/>
  <c r="AD2873" i="37"/>
  <c r="AD988" i="37"/>
  <c r="AD2563" i="37"/>
  <c r="AD2771" i="37"/>
  <c r="AD2888" i="37"/>
  <c r="AD2571" i="37"/>
  <c r="AD112" i="37"/>
  <c r="AD2080" i="37"/>
  <c r="AD1967" i="37"/>
  <c r="AD759" i="37"/>
  <c r="AD751" i="37"/>
  <c r="AD1485" i="37"/>
  <c r="AD3010" i="37"/>
  <c r="AD3004" i="37"/>
  <c r="AD1706" i="37"/>
  <c r="AD1743" i="37"/>
  <c r="AD1363" i="37"/>
  <c r="AD2021" i="37"/>
  <c r="AD1018" i="37"/>
  <c r="AD2684" i="37"/>
  <c r="AD1413" i="37"/>
  <c r="AD1787" i="37"/>
  <c r="AD1512" i="37"/>
  <c r="AD82" i="37"/>
  <c r="AD2134" i="37"/>
  <c r="AD1657" i="37"/>
  <c r="AD2640" i="37"/>
  <c r="AD1622" i="37"/>
  <c r="AD1924" i="37"/>
  <c r="AD872" i="37"/>
  <c r="AD2045" i="37"/>
  <c r="AD588" i="37"/>
  <c r="AD1111" i="37"/>
  <c r="AD606" i="37"/>
  <c r="AD2625" i="37"/>
  <c r="N246" i="41"/>
  <c r="N244" i="41"/>
  <c r="N343" i="50"/>
  <c r="N245" i="41"/>
  <c r="H196" i="47"/>
  <c r="H254" i="47"/>
  <c r="AC254" i="47" s="1"/>
  <c r="H188" i="47"/>
  <c r="H289" i="47"/>
  <c r="AC289" i="47" s="1"/>
  <c r="H386" i="47"/>
  <c r="AC386" i="47" s="1"/>
  <c r="H302" i="47"/>
  <c r="H269" i="47"/>
  <c r="H328" i="47"/>
  <c r="H364" i="47"/>
  <c r="H207" i="47"/>
  <c r="H155" i="47"/>
  <c r="H128" i="47"/>
  <c r="H94" i="47"/>
  <c r="H322" i="47"/>
  <c r="AC322" i="47" s="1"/>
  <c r="H354" i="47"/>
  <c r="AC354" i="47" s="1"/>
  <c r="H162" i="47"/>
  <c r="H335" i="47"/>
  <c r="H180" i="47"/>
  <c r="AC180" i="47" s="1"/>
  <c r="H121" i="47"/>
  <c r="H112" i="47"/>
  <c r="AC112" i="47" s="1"/>
  <c r="H146" i="47"/>
  <c r="AC146" i="47" s="1"/>
  <c r="H31" i="47"/>
  <c r="AC31" i="47" s="1"/>
  <c r="H295" i="47"/>
  <c r="H216" i="47"/>
  <c r="L285" i="49"/>
  <c r="L128" i="50"/>
  <c r="U749" i="42"/>
  <c r="AD749" i="42"/>
  <c r="U889" i="42"/>
  <c r="AD889" i="42" s="1"/>
  <c r="U915" i="42"/>
  <c r="H34" i="49"/>
  <c r="H56" i="49"/>
  <c r="H197" i="49"/>
  <c r="H118" i="49"/>
  <c r="H20" i="49"/>
  <c r="AB20" i="49" s="1"/>
  <c r="H202" i="49"/>
  <c r="R202" i="49" s="1"/>
  <c r="H242" i="49"/>
  <c r="H145" i="49"/>
  <c r="H105" i="49"/>
  <c r="H218" i="49"/>
  <c r="H251" i="49"/>
  <c r="R251" i="49" s="1"/>
  <c r="H72" i="49"/>
  <c r="H114" i="49"/>
  <c r="H66" i="49"/>
  <c r="S20" i="49"/>
  <c r="H150" i="49"/>
  <c r="H140" i="49"/>
  <c r="H122" i="49"/>
  <c r="H61" i="49"/>
  <c r="H91" i="49"/>
  <c r="H190" i="49"/>
  <c r="H127" i="49"/>
  <c r="H82" i="49"/>
  <c r="H135" i="49"/>
  <c r="H99" i="49"/>
  <c r="H247" i="49"/>
  <c r="H184" i="49"/>
  <c r="H237" i="49"/>
  <c r="H211" i="49"/>
  <c r="H266" i="49"/>
  <c r="H261" i="49"/>
  <c r="L284" i="49"/>
  <c r="L127" i="50"/>
  <c r="N2130" i="50"/>
  <c r="Z191" i="42"/>
  <c r="Z203" i="42"/>
  <c r="Z199" i="42"/>
  <c r="Z187" i="42"/>
  <c r="C1953" i="50"/>
  <c r="Q1789" i="50"/>
  <c r="D1789" i="50"/>
  <c r="J174" i="62"/>
  <c r="G927" i="37"/>
  <c r="G928" i="37" s="1"/>
  <c r="G929" i="37" s="1"/>
  <c r="X109" i="42"/>
  <c r="L109" i="42"/>
  <c r="H941" i="37"/>
  <c r="H950" i="37" s="1"/>
  <c r="W31" i="42"/>
  <c r="K29" i="42"/>
  <c r="K2138" i="50" s="1"/>
  <c r="W29" i="42"/>
  <c r="K30" i="42"/>
  <c r="W30" i="42"/>
  <c r="K2137" i="50"/>
  <c r="V109" i="42"/>
  <c r="J109" i="42"/>
  <c r="L2474" i="50"/>
  <c r="M2130" i="50"/>
  <c r="K109" i="42"/>
  <c r="W109" i="42"/>
  <c r="U191" i="42"/>
  <c r="U203" i="42"/>
  <c r="U152" i="42"/>
  <c r="U195" i="42"/>
  <c r="U199" i="42"/>
  <c r="U187" i="42"/>
  <c r="L2130" i="50"/>
  <c r="L2129" i="50"/>
  <c r="V203" i="42"/>
  <c r="V152" i="42"/>
  <c r="V187" i="42"/>
  <c r="V195" i="42"/>
  <c r="V199" i="42"/>
  <c r="V191" i="42"/>
  <c r="J29" i="42"/>
  <c r="V29" i="42"/>
  <c r="V30" i="42"/>
  <c r="J2139" i="50" s="1"/>
  <c r="J2137" i="50"/>
  <c r="V31" i="42"/>
  <c r="J30" i="42"/>
  <c r="K2130" i="50"/>
  <c r="K2129" i="50"/>
  <c r="X152" i="42"/>
  <c r="X199" i="42"/>
  <c r="X203" i="42"/>
  <c r="X195" i="42"/>
  <c r="X191" i="42"/>
  <c r="X187" i="42"/>
  <c r="W152" i="42"/>
  <c r="W191" i="42"/>
  <c r="W203" i="42"/>
  <c r="W199" i="42"/>
  <c r="W195" i="42"/>
  <c r="W187" i="42"/>
  <c r="F163" i="62"/>
  <c r="I163" i="62" s="1"/>
  <c r="J164" i="62"/>
  <c r="J2130" i="50"/>
  <c r="J2129" i="50"/>
  <c r="L29" i="42"/>
  <c r="L2138" i="50" s="1"/>
  <c r="L2137" i="50"/>
  <c r="X31" i="42"/>
  <c r="X29" i="42"/>
  <c r="X30" i="42"/>
  <c r="L30" i="42"/>
  <c r="J2133" i="50"/>
  <c r="U2156" i="50"/>
  <c r="N2196" i="50"/>
  <c r="K166" i="62"/>
  <c r="F166" i="62"/>
  <c r="X112" i="62"/>
  <c r="AD583" i="42"/>
  <c r="AG657" i="42"/>
  <c r="AG663" i="42" s="1"/>
  <c r="AG664" i="42" s="1"/>
  <c r="AG667" i="42" s="1"/>
  <c r="AG670" i="42" s="1"/>
  <c r="AH607" i="42"/>
  <c r="AF580" i="42"/>
  <c r="AI587" i="42"/>
  <c r="AC612" i="42"/>
  <c r="AB612" i="42" s="1"/>
  <c r="AG607" i="42"/>
  <c r="AI609" i="42"/>
  <c r="AF612" i="42"/>
  <c r="AG605" i="42"/>
  <c r="AD657" i="42"/>
  <c r="AD663" i="42" s="1"/>
  <c r="AD666" i="42" s="1"/>
  <c r="AD669" i="42" s="1"/>
  <c r="AF609" i="42"/>
  <c r="AE588" i="42"/>
  <c r="AH605" i="42"/>
  <c r="AG608" i="42"/>
  <c r="AE611" i="42"/>
  <c r="AH1564" i="37"/>
  <c r="AH1566" i="37" s="1"/>
  <c r="K2263" i="50"/>
  <c r="W117" i="62"/>
  <c r="I1789" i="50"/>
  <c r="S1901" i="50" s="1"/>
  <c r="AC609" i="42"/>
  <c r="AB609" i="42" s="1"/>
  <c r="AI606" i="42"/>
  <c r="AD580" i="42"/>
  <c r="AI589" i="42"/>
  <c r="AF610" i="42"/>
  <c r="AC583" i="42"/>
  <c r="AI607" i="42"/>
  <c r="AC582" i="42"/>
  <c r="AE605" i="42"/>
  <c r="AH582" i="42"/>
  <c r="AH584" i="42"/>
  <c r="AB584" i="42"/>
  <c r="AI581" i="42"/>
  <c r="AE606" i="42"/>
  <c r="AE657" i="42"/>
  <c r="AE663" i="42" s="1"/>
  <c r="AI612" i="42"/>
  <c r="AH610" i="42"/>
  <c r="AC585" i="42"/>
  <c r="AH580" i="42"/>
  <c r="AC606" i="42"/>
  <c r="AB606" i="42" s="1"/>
  <c r="AB580" i="42"/>
  <c r="AE585" i="42"/>
  <c r="AG606" i="42"/>
  <c r="AI586" i="42"/>
  <c r="AG604" i="42"/>
  <c r="AD581" i="42"/>
  <c r="AF657" i="42"/>
  <c r="AF663" i="42" s="1"/>
  <c r="AF666" i="42" s="1"/>
  <c r="AF669" i="42" s="1"/>
  <c r="AI582" i="42"/>
  <c r="AD609" i="42"/>
  <c r="AE584" i="42"/>
  <c r="AB585" i="42"/>
  <c r="AC588" i="42"/>
  <c r="AD582" i="42"/>
  <c r="AF606" i="42"/>
  <c r="AC611" i="42"/>
  <c r="AB611" i="42" s="1"/>
  <c r="AH589" i="42"/>
  <c r="AE610" i="42"/>
  <c r="AG586" i="42"/>
  <c r="AD612" i="42"/>
  <c r="AH657" i="42"/>
  <c r="AH663" i="42" s="1"/>
  <c r="AH664" i="42" s="1"/>
  <c r="AH667" i="42" s="1"/>
  <c r="AH670" i="42" s="1"/>
  <c r="N2263" i="50"/>
  <c r="AG603" i="42"/>
  <c r="AG589" i="42"/>
  <c r="AI657" i="42"/>
  <c r="AI663" i="42" s="1"/>
  <c r="AI666" i="42" s="1"/>
  <c r="AI669" i="42" s="1"/>
  <c r="AE589" i="42"/>
  <c r="AI583" i="42"/>
  <c r="AC584" i="42"/>
  <c r="AG583" i="42"/>
  <c r="AI584" i="42"/>
  <c r="AC603" i="42"/>
  <c r="AB603" i="42" s="1"/>
  <c r="AI605" i="42"/>
  <c r="AE583" i="42"/>
  <c r="AE609" i="42"/>
  <c r="AF607" i="42"/>
  <c r="AF583" i="42"/>
  <c r="AF586" i="42"/>
  <c r="AD584" i="42"/>
  <c r="AF611" i="42"/>
  <c r="AE604" i="42"/>
  <c r="AI603" i="42"/>
  <c r="AC657" i="42"/>
  <c r="AC663" i="42" s="1"/>
  <c r="AG585" i="42"/>
  <c r="AC605" i="42"/>
  <c r="AB605" i="42" s="1"/>
  <c r="AC608" i="42"/>
  <c r="AB608" i="42" s="1"/>
  <c r="AB583" i="42"/>
  <c r="AH606" i="42"/>
  <c r="AC607" i="42"/>
  <c r="AB607" i="42" s="1"/>
  <c r="AH586" i="42"/>
  <c r="AF584" i="42"/>
  <c r="AI588" i="42"/>
  <c r="AG580" i="42"/>
  <c r="AI580" i="42"/>
  <c r="AH612" i="42"/>
  <c r="AD608" i="42"/>
  <c r="AF587" i="42"/>
  <c r="AD603" i="42"/>
  <c r="AD586" i="42"/>
  <c r="AG584" i="42"/>
  <c r="AI585" i="42"/>
  <c r="J166" i="62"/>
  <c r="J165" i="62"/>
  <c r="M161" i="62"/>
  <c r="AE1564" i="37"/>
  <c r="AE1566" i="37" s="1"/>
  <c r="AH658" i="37"/>
  <c r="AH660" i="37" s="1"/>
  <c r="AI1564" i="37"/>
  <c r="AI1566" i="37" s="1"/>
  <c r="AD1564" i="37"/>
  <c r="AD1566" i="37" s="1"/>
  <c r="J163" i="62"/>
  <c r="J157" i="62"/>
  <c r="AH356" i="37"/>
  <c r="AH358" i="37" s="1"/>
  <c r="AE658" i="37"/>
  <c r="AE660" i="37" s="1"/>
  <c r="AI658" i="37"/>
  <c r="AI660" i="37" s="1"/>
  <c r="AG1564" i="37"/>
  <c r="AG1566" i="37" s="1"/>
  <c r="Y114" i="62"/>
  <c r="AG658" i="37"/>
  <c r="AG660" i="37" s="1"/>
  <c r="W115" i="62"/>
  <c r="AD658" i="37"/>
  <c r="AD660" i="37" s="1"/>
  <c r="AF1564" i="37"/>
  <c r="AF1566" i="37" s="1"/>
  <c r="N170" i="62"/>
  <c r="M156" i="62"/>
  <c r="J155" i="62"/>
  <c r="AB791" i="42"/>
  <c r="X110" i="62"/>
  <c r="Y199" i="42"/>
  <c r="Y187" i="42"/>
  <c r="Y191" i="42"/>
  <c r="Y195" i="42"/>
  <c r="Y203" i="42"/>
  <c r="Y152" i="42"/>
  <c r="L547" i="42"/>
  <c r="X546" i="42"/>
  <c r="X548" i="42"/>
  <c r="L546" i="42"/>
  <c r="L2331" i="50" s="1"/>
  <c r="X547" i="42"/>
  <c r="C258" i="34"/>
  <c r="D257" i="34"/>
  <c r="O257" i="34"/>
  <c r="R257" i="34" s="1"/>
  <c r="N29" i="42"/>
  <c r="N2138" i="50" s="1"/>
  <c r="N30" i="42"/>
  <c r="Z30" i="42"/>
  <c r="Z31" i="42"/>
  <c r="Z29" i="42"/>
  <c r="N2137" i="50"/>
  <c r="M29" i="42"/>
  <c r="M2137" i="50"/>
  <c r="Y30" i="42"/>
  <c r="M30" i="42"/>
  <c r="Y31" i="42"/>
  <c r="Y29" i="42"/>
  <c r="K171" i="62"/>
  <c r="N160" i="62"/>
  <c r="H1545" i="37" s="1"/>
  <c r="H1548" i="37" s="1"/>
  <c r="F167" i="62"/>
  <c r="M160" i="62"/>
  <c r="J171" i="62"/>
  <c r="D38" i="62"/>
  <c r="F170" i="62"/>
  <c r="K155" i="62"/>
  <c r="M157" i="62"/>
  <c r="M167" i="62"/>
  <c r="K165" i="62"/>
  <c r="N164" i="62"/>
  <c r="F155" i="62"/>
  <c r="J167" i="62"/>
  <c r="K161" i="62"/>
  <c r="J169" i="62"/>
  <c r="F165" i="62"/>
  <c r="J159" i="62"/>
  <c r="N166" i="62"/>
  <c r="F168" i="62"/>
  <c r="N165" i="62"/>
  <c r="M164" i="62"/>
  <c r="F157" i="62"/>
  <c r="I805" i="50" s="1"/>
  <c r="H955" i="50" s="1"/>
  <c r="F162" i="62"/>
  <c r="F158" i="62"/>
  <c r="I158" i="62" s="1"/>
  <c r="N167" i="62"/>
  <c r="K168" i="62"/>
  <c r="M162" i="62"/>
  <c r="J170" i="62"/>
  <c r="K160" i="62"/>
  <c r="K164" i="62"/>
  <c r="N168" i="62"/>
  <c r="F160" i="62"/>
  <c r="M171" i="62"/>
  <c r="F156" i="62"/>
  <c r="M163" i="62"/>
  <c r="K162" i="62"/>
  <c r="N159" i="62"/>
  <c r="G1229" i="37" s="1"/>
  <c r="G1230" i="37" s="1"/>
  <c r="G1231" i="37" s="1"/>
  <c r="K157" i="62"/>
  <c r="F164" i="62"/>
  <c r="J161" i="62"/>
  <c r="J168" i="62"/>
  <c r="J162" i="62"/>
  <c r="K167" i="62"/>
  <c r="M155" i="62"/>
  <c r="N171" i="62"/>
  <c r="N156" i="62"/>
  <c r="K158" i="62"/>
  <c r="J158" i="62"/>
  <c r="K169" i="62"/>
  <c r="N162" i="62"/>
  <c r="K156" i="62"/>
  <c r="N161" i="62"/>
  <c r="G1833" i="37" s="1"/>
  <c r="G1834" i="37" s="1"/>
  <c r="G1835" i="37" s="1"/>
  <c r="N157" i="62"/>
  <c r="F171" i="62"/>
  <c r="M169" i="62"/>
  <c r="N169" i="62"/>
  <c r="F161" i="62"/>
  <c r="K4" i="37" s="1"/>
  <c r="M166" i="62"/>
  <c r="M168" i="62"/>
  <c r="N163" i="62"/>
  <c r="K159" i="62"/>
  <c r="K163" i="62"/>
  <c r="J160" i="62"/>
  <c r="M158" i="62"/>
  <c r="J156" i="62"/>
  <c r="F159" i="62"/>
  <c r="N155" i="62"/>
  <c r="X770" i="42"/>
  <c r="L770" i="42" s="1"/>
  <c r="L692" i="42"/>
  <c r="L761" i="42"/>
  <c r="L810" i="42"/>
  <c r="L811" i="42" s="1"/>
  <c r="V791" i="42"/>
  <c r="W791" i="42" s="1"/>
  <c r="X791" i="42" s="1"/>
  <c r="Y791" i="42" s="1"/>
  <c r="Z791" i="42" s="1"/>
  <c r="J790" i="42"/>
  <c r="J810" i="42"/>
  <c r="J811" i="42" s="1"/>
  <c r="J761" i="42"/>
  <c r="M810" i="42"/>
  <c r="M811" i="42" s="1"/>
  <c r="M761" i="42"/>
  <c r="Y770" i="42"/>
  <c r="M770" i="42" s="1"/>
  <c r="M692" i="42"/>
  <c r="V546" i="42"/>
  <c r="J546" i="42"/>
  <c r="V547" i="42"/>
  <c r="J547" i="42"/>
  <c r="V548" i="42"/>
  <c r="W624" i="42"/>
  <c r="K624" i="42"/>
  <c r="AL856" i="42"/>
  <c r="I824" i="42"/>
  <c r="W118" i="62"/>
  <c r="Y115" i="62"/>
  <c r="L624" i="42"/>
  <c r="X624" i="42"/>
  <c r="Q1825" i="37"/>
  <c r="C2127" i="37"/>
  <c r="M165" i="62"/>
  <c r="M159" i="62"/>
  <c r="M170" i="62"/>
  <c r="K761" i="42"/>
  <c r="K810" i="42"/>
  <c r="K811" i="42" s="1"/>
  <c r="V624" i="42"/>
  <c r="J624" i="42"/>
  <c r="G619" i="42"/>
  <c r="S613" i="42" s="1"/>
  <c r="AB529" i="42"/>
  <c r="T2349" i="50"/>
  <c r="X537" i="42"/>
  <c r="Y537" i="42"/>
  <c r="V537" i="42"/>
  <c r="U537" i="42"/>
  <c r="W537" i="42"/>
  <c r="Y548" i="42"/>
  <c r="M546" i="42"/>
  <c r="M547" i="42"/>
  <c r="Y547" i="42"/>
  <c r="Y546" i="42"/>
  <c r="I883" i="42"/>
  <c r="Q883" i="42"/>
  <c r="R884" i="42" s="1"/>
  <c r="M883" i="42"/>
  <c r="N624" i="42"/>
  <c r="Z624" i="42"/>
  <c r="AG1262" i="37"/>
  <c r="AG1264" i="37" s="1"/>
  <c r="AA65" i="42"/>
  <c r="I1825" i="37"/>
  <c r="Q2049" i="37" s="1"/>
  <c r="H1847" i="37"/>
  <c r="H1856" i="37" s="1"/>
  <c r="AH97" i="42"/>
  <c r="AD960" i="37"/>
  <c r="AD962" i="37" s="1"/>
  <c r="AH93" i="42"/>
  <c r="AH1262" i="37"/>
  <c r="AH1264" i="37" s="1"/>
  <c r="AA67" i="42"/>
  <c r="AH96" i="42"/>
  <c r="AC658" i="37"/>
  <c r="AC660" i="37" s="1"/>
  <c r="Z546" i="42"/>
  <c r="Z548" i="42"/>
  <c r="N547" i="42"/>
  <c r="N546" i="42"/>
  <c r="N2331" i="50" s="1"/>
  <c r="Z547" i="42"/>
  <c r="N2332" i="50" s="1"/>
  <c r="L2330" i="50"/>
  <c r="N2330" i="50"/>
  <c r="N692" i="42"/>
  <c r="Z770" i="42"/>
  <c r="N770" i="42" s="1"/>
  <c r="V676" i="42"/>
  <c r="AL684" i="42"/>
  <c r="H810" i="42"/>
  <c r="H811" i="42" s="1"/>
  <c r="H761" i="42"/>
  <c r="W770" i="42"/>
  <c r="K770" i="42" s="1"/>
  <c r="K692" i="42"/>
  <c r="S814" i="42"/>
  <c r="Q814" i="42"/>
  <c r="E804" i="42"/>
  <c r="Q817" i="42"/>
  <c r="Q816" i="42"/>
  <c r="S811" i="42"/>
  <c r="S804" i="42"/>
  <c r="Q813" i="42"/>
  <c r="Q811" i="42"/>
  <c r="Q804" i="42"/>
  <c r="Q810" i="42"/>
  <c r="S816" i="42"/>
  <c r="Y624" i="42"/>
  <c r="M624" i="42"/>
  <c r="E830" i="42"/>
  <c r="Q844" i="42"/>
  <c r="S856" i="42"/>
  <c r="Q838" i="42"/>
  <c r="Q839" i="42"/>
  <c r="Q841" i="42"/>
  <c r="Q846" i="42"/>
  <c r="Q847" i="42"/>
  <c r="H548" i="42"/>
  <c r="H644" i="42"/>
  <c r="AE960" i="37"/>
  <c r="AE962" i="37" s="1"/>
  <c r="J692" i="42"/>
  <c r="V770" i="42"/>
  <c r="J770" i="42" s="1"/>
  <c r="N810" i="42"/>
  <c r="N811" i="42" s="1"/>
  <c r="N761" i="42"/>
  <c r="I810" i="42"/>
  <c r="I811" i="42" s="1"/>
  <c r="I761" i="42"/>
  <c r="Q684" i="42"/>
  <c r="M2390" i="50" s="1"/>
  <c r="G684" i="42"/>
  <c r="H692" i="42" s="1"/>
  <c r="W547" i="42"/>
  <c r="K546" i="42"/>
  <c r="K2331" i="50" s="1"/>
  <c r="K547" i="42"/>
  <c r="W546" i="42"/>
  <c r="W548" i="42"/>
  <c r="Z537" i="42"/>
  <c r="AB406" i="42"/>
  <c r="T2282" i="50"/>
  <c r="Y414" i="42"/>
  <c r="X414" i="42"/>
  <c r="Z414" i="42"/>
  <c r="W414" i="42"/>
  <c r="V414" i="42"/>
  <c r="U414" i="42"/>
  <c r="AF285" i="42"/>
  <c r="AB270" i="42"/>
  <c r="U109" i="62"/>
  <c r="V109" i="62" s="1"/>
  <c r="AD285" i="42"/>
  <c r="AI290" i="42"/>
  <c r="Y109" i="62"/>
  <c r="AB262" i="42"/>
  <c r="AH293" i="42"/>
  <c r="AF287" i="42"/>
  <c r="AC285" i="42"/>
  <c r="AB285" i="42" s="1"/>
  <c r="AH269" i="42"/>
  <c r="AC267" i="42"/>
  <c r="W116" i="62"/>
  <c r="AI291" i="42"/>
  <c r="AC289" i="42"/>
  <c r="AB289" i="42" s="1"/>
  <c r="AC291" i="42"/>
  <c r="AB291" i="42" s="1"/>
  <c r="AG286" i="42"/>
  <c r="AG269" i="42"/>
  <c r="AE294" i="42"/>
  <c r="AD264" i="42"/>
  <c r="AE286" i="42"/>
  <c r="AD262" i="42"/>
  <c r="AI287" i="42"/>
  <c r="AD292" i="42"/>
  <c r="AG292" i="42"/>
  <c r="AF263" i="42"/>
  <c r="I955" i="50"/>
  <c r="L949" i="50"/>
  <c r="M947" i="50"/>
  <c r="P942" i="50"/>
  <c r="J932" i="50"/>
  <c r="L936" i="50"/>
  <c r="H942" i="50"/>
  <c r="P849" i="50"/>
  <c r="P949" i="50"/>
  <c r="I951" i="50"/>
  <c r="L938" i="50"/>
  <c r="J935" i="50"/>
  <c r="P903" i="50"/>
  <c r="M941" i="50"/>
  <c r="I946" i="50"/>
  <c r="P900" i="50"/>
  <c r="K306" i="42"/>
  <c r="W306" i="42"/>
  <c r="N2204" i="50"/>
  <c r="Z228" i="42"/>
  <c r="Z226" i="42"/>
  <c r="N227" i="42"/>
  <c r="N226" i="42"/>
  <c r="N2205" i="50" s="1"/>
  <c r="Z227" i="42"/>
  <c r="N2206" i="50" s="1"/>
  <c r="L2262" i="50"/>
  <c r="L2263" i="50"/>
  <c r="V227" i="42"/>
  <c r="J2204" i="50"/>
  <c r="V228" i="42"/>
  <c r="J227" i="42"/>
  <c r="J226" i="42"/>
  <c r="J2205" i="50" s="1"/>
  <c r="V226" i="42"/>
  <c r="M226" i="42"/>
  <c r="M2205" i="50" s="1"/>
  <c r="Y226" i="42"/>
  <c r="Y227" i="42"/>
  <c r="M227" i="42"/>
  <c r="Y228" i="42"/>
  <c r="M2204" i="50"/>
  <c r="AE288" i="42"/>
  <c r="AD1262" i="37"/>
  <c r="AD1264" i="37" s="1"/>
  <c r="AH266" i="42"/>
  <c r="AC349" i="42"/>
  <c r="AI285" i="42"/>
  <c r="AH270" i="42"/>
  <c r="AE349" i="42"/>
  <c r="AI289" i="42"/>
  <c r="AF356" i="37"/>
  <c r="AF358" i="37" s="1"/>
  <c r="AB264" i="42"/>
  <c r="AC293" i="42"/>
  <c r="AB293" i="42" s="1"/>
  <c r="AI292" i="42"/>
  <c r="AC287" i="42"/>
  <c r="AB287" i="42" s="1"/>
  <c r="AE263" i="42"/>
  <c r="U117" i="62"/>
  <c r="V117" i="62" s="1"/>
  <c r="AI267" i="42"/>
  <c r="AI286" i="42"/>
  <c r="AD291" i="42"/>
  <c r="AE271" i="42"/>
  <c r="AC264" i="42"/>
  <c r="AC1262" i="37"/>
  <c r="AI270" i="42"/>
  <c r="U114" i="62"/>
  <c r="V114" i="62" s="1"/>
  <c r="AF1866" i="37"/>
  <c r="AF1868" i="37" s="1"/>
  <c r="AH262" i="42"/>
  <c r="AG289" i="42"/>
  <c r="AG285" i="42"/>
  <c r="AE269" i="42"/>
  <c r="AE291" i="42"/>
  <c r="X116" i="62"/>
  <c r="U115" i="62"/>
  <c r="V115" i="62" s="1"/>
  <c r="AC292" i="42"/>
  <c r="AB292" i="42" s="1"/>
  <c r="AG262" i="42"/>
  <c r="AH289" i="42"/>
  <c r="AE285" i="42"/>
  <c r="AC263" i="42"/>
  <c r="AG263" i="42"/>
  <c r="Y113" i="62"/>
  <c r="AG291" i="42"/>
  <c r="AG264" i="42"/>
  <c r="AH263" i="42"/>
  <c r="U112" i="62"/>
  <c r="V112" i="62" s="1"/>
  <c r="Y117" i="62"/>
  <c r="AB266" i="42"/>
  <c r="AC294" i="42"/>
  <c r="AB294" i="42" s="1"/>
  <c r="AG294" i="42"/>
  <c r="AE267" i="42"/>
  <c r="AI356" i="37"/>
  <c r="AI358" i="37" s="1"/>
  <c r="AC356" i="37"/>
  <c r="AG270" i="42"/>
  <c r="AE356" i="37"/>
  <c r="AE358" i="37" s="1"/>
  <c r="AE290" i="42"/>
  <c r="AG266" i="42"/>
  <c r="AF269" i="42"/>
  <c r="AC266" i="42"/>
  <c r="AF271" i="42"/>
  <c r="AD356" i="37"/>
  <c r="AD358" i="37" s="1"/>
  <c r="Y110" i="62"/>
  <c r="AH267" i="42"/>
  <c r="AC265" i="42"/>
  <c r="AF286" i="42"/>
  <c r="AF291" i="42"/>
  <c r="AG268" i="42"/>
  <c r="AI262" i="42"/>
  <c r="AD293" i="42"/>
  <c r="AB263" i="42"/>
  <c r="AC288" i="42"/>
  <c r="AB288" i="42" s="1"/>
  <c r="AB265" i="42"/>
  <c r="X226" i="42"/>
  <c r="X227" i="42"/>
  <c r="L227" i="42"/>
  <c r="L226" i="42"/>
  <c r="L2205" i="50" s="1"/>
  <c r="L2204" i="50"/>
  <c r="X228" i="42"/>
  <c r="L2196" i="50"/>
  <c r="L2197" i="50"/>
  <c r="N306" i="42"/>
  <c r="Z306" i="42"/>
  <c r="AF290" i="42"/>
  <c r="AD269" i="42"/>
  <c r="AI294" i="42"/>
  <c r="AE287" i="42"/>
  <c r="AE472" i="42"/>
  <c r="AD263" i="42"/>
  <c r="AC271" i="42"/>
  <c r="M1834" i="37"/>
  <c r="J2263" i="50"/>
  <c r="J2262" i="50"/>
  <c r="M306" i="42"/>
  <c r="Y306" i="42"/>
  <c r="U111" i="62"/>
  <c r="V111" i="62" s="1"/>
  <c r="AH472" i="42"/>
  <c r="AG290" i="42"/>
  <c r="AD1866" i="37"/>
  <c r="AD1868" i="37" s="1"/>
  <c r="Y111" i="62"/>
  <c r="AC290" i="42"/>
  <c r="AB290" i="42" s="1"/>
  <c r="W111" i="62"/>
  <c r="AI268" i="42"/>
  <c r="AG349" i="42"/>
  <c r="AC286" i="42"/>
  <c r="AB286" i="42" s="1"/>
  <c r="AF268" i="42"/>
  <c r="AH286" i="42"/>
  <c r="T151" i="41"/>
  <c r="AD172" i="42"/>
  <c r="AD162" i="42"/>
  <c r="AL92" i="42"/>
  <c r="AF270" i="42"/>
  <c r="AB271" i="42"/>
  <c r="AC1866" i="37"/>
  <c r="AF294" i="42"/>
  <c r="U118" i="62"/>
  <c r="V118" i="62" s="1"/>
  <c r="AB269" i="42"/>
  <c r="AI288" i="42"/>
  <c r="AI293" i="42"/>
  <c r="AF264" i="42"/>
  <c r="AI472" i="42"/>
  <c r="AG271" i="42"/>
  <c r="X109" i="62"/>
  <c r="Y118" i="62"/>
  <c r="AF172" i="42"/>
  <c r="AF162" i="42"/>
  <c r="AF289" i="42"/>
  <c r="T153" i="41"/>
  <c r="AA69" i="42"/>
  <c r="AF960" i="37"/>
  <c r="AF962" i="37" s="1"/>
  <c r="AB268" i="42"/>
  <c r="AD290" i="42"/>
  <c r="AE293" i="42"/>
  <c r="AF292" i="42"/>
  <c r="AC270" i="42"/>
  <c r="W114" i="62"/>
  <c r="AH292" i="42"/>
  <c r="AD286" i="42"/>
  <c r="AE266" i="42"/>
  <c r="AG288" i="42"/>
  <c r="AH349" i="42"/>
  <c r="X306" i="42"/>
  <c r="L306" i="42"/>
  <c r="AB209" i="42"/>
  <c r="G301" i="42"/>
  <c r="S295" i="42" s="1"/>
  <c r="T2223" i="50"/>
  <c r="V217" i="42"/>
  <c r="Z217" i="42"/>
  <c r="U217" i="42"/>
  <c r="Y217" i="42"/>
  <c r="W217" i="42"/>
  <c r="X217" i="42"/>
  <c r="AG472" i="42"/>
  <c r="AD287" i="42"/>
  <c r="AF349" i="42"/>
  <c r="AF288" i="42"/>
  <c r="AI271" i="42"/>
  <c r="AG267" i="42"/>
  <c r="AE292" i="42"/>
  <c r="AH271" i="42"/>
  <c r="AD268" i="42"/>
  <c r="AD266" i="42"/>
  <c r="AD270" i="42"/>
  <c r="AE262" i="42"/>
  <c r="AI269" i="42"/>
  <c r="AI349" i="42"/>
  <c r="P1926" i="50"/>
  <c r="H1850" i="37"/>
  <c r="M2196" i="50"/>
  <c r="M2197" i="50"/>
  <c r="J306" i="42"/>
  <c r="V306" i="42"/>
  <c r="AD472" i="42"/>
  <c r="J2196" i="50"/>
  <c r="J2197" i="50"/>
  <c r="AH288" i="42"/>
  <c r="AE1866" i="37"/>
  <c r="AE1868" i="37" s="1"/>
  <c r="AI264" i="42"/>
  <c r="AI960" i="37"/>
  <c r="AI962" i="37" s="1"/>
  <c r="X111" i="62"/>
  <c r="AE264" i="42"/>
  <c r="AE265" i="42"/>
  <c r="AF267" i="42"/>
  <c r="AH294" i="42"/>
  <c r="AD294" i="42"/>
  <c r="AC172" i="42"/>
  <c r="AC162" i="42"/>
  <c r="AH265" i="42"/>
  <c r="AI1262" i="37"/>
  <c r="AI1264" i="37" s="1"/>
  <c r="AD271" i="42"/>
  <c r="AF262" i="42"/>
  <c r="AI1866" i="37"/>
  <c r="AI1868" i="37" s="1"/>
  <c r="AF266" i="42"/>
  <c r="AG265" i="42"/>
  <c r="T155" i="41"/>
  <c r="AE289" i="42"/>
  <c r="AD265" i="42"/>
  <c r="AI263" i="42"/>
  <c r="AG1866" i="37"/>
  <c r="AG1868" i="37" s="1"/>
  <c r="AF472" i="42"/>
  <c r="U113" i="62"/>
  <c r="AF293" i="42"/>
  <c r="AC268" i="42"/>
  <c r="AH264" i="42"/>
  <c r="AD349" i="42"/>
  <c r="AB267" i="42"/>
  <c r="AD288" i="42"/>
  <c r="AH268" i="42"/>
  <c r="AI265" i="42"/>
  <c r="AA73" i="42"/>
  <c r="W109" i="62"/>
  <c r="AC472" i="42"/>
  <c r="AE270" i="42"/>
  <c r="AF1262" i="37"/>
  <c r="AF1264" i="37" s="1"/>
  <c r="AE268" i="42"/>
  <c r="AC262" i="42"/>
  <c r="AH960" i="37"/>
  <c r="AH962" i="37" s="1"/>
  <c r="AH285" i="42"/>
  <c r="T150" i="41"/>
  <c r="AH291" i="42"/>
  <c r="AD267" i="42"/>
  <c r="AH287" i="42"/>
  <c r="AG293" i="42"/>
  <c r="AG287" i="42"/>
  <c r="AF265" i="42"/>
  <c r="AG162" i="42"/>
  <c r="AG172" i="42"/>
  <c r="AC269" i="42"/>
  <c r="AD289" i="42"/>
  <c r="AH290" i="42"/>
  <c r="AG960" i="37"/>
  <c r="AG962" i="37" s="1"/>
  <c r="K227" i="42"/>
  <c r="W228" i="42"/>
  <c r="W227" i="42"/>
  <c r="K226" i="42"/>
  <c r="K2205" i="50" s="1"/>
  <c r="K2204" i="50"/>
  <c r="W226" i="42"/>
  <c r="L1905" i="37" l="1"/>
  <c r="L956" i="50"/>
  <c r="I962" i="50"/>
  <c r="AL93" i="42"/>
  <c r="J1908" i="37"/>
  <c r="J1910" i="37" s="1"/>
  <c r="AL72" i="42"/>
  <c r="P1916" i="50"/>
  <c r="L1929" i="50"/>
  <c r="U116" i="62"/>
  <c r="V116" i="62" s="1"/>
  <c r="I692" i="42"/>
  <c r="G761" i="42" s="1"/>
  <c r="I2068" i="37"/>
  <c r="I2074" i="37" s="1"/>
  <c r="U110" i="62"/>
  <c r="V110" i="62" s="1"/>
  <c r="J947" i="50"/>
  <c r="H928" i="50"/>
  <c r="AL97" i="42"/>
  <c r="AE162" i="42"/>
  <c r="P1934" i="50"/>
  <c r="AH162" i="42"/>
  <c r="AH165" i="42" s="1"/>
  <c r="H1867" i="37"/>
  <c r="I965" i="50"/>
  <c r="N955" i="50"/>
  <c r="N1939" i="50"/>
  <c r="AA71" i="42"/>
  <c r="H1934" i="50"/>
  <c r="V1847" i="37"/>
  <c r="Q2105" i="37"/>
  <c r="I422" i="42"/>
  <c r="AL96" i="42"/>
  <c r="P1902" i="50"/>
  <c r="N1931" i="50"/>
  <c r="I28" i="42"/>
  <c r="G99" i="42" s="1"/>
  <c r="AL152" i="42"/>
  <c r="P1865" i="50"/>
  <c r="I225" i="42"/>
  <c r="G296" i="42" s="1"/>
  <c r="AI172" i="42"/>
  <c r="AL172" i="42" s="1"/>
  <c r="I1905" i="37"/>
  <c r="I1911" i="37" s="1"/>
  <c r="I545" i="42"/>
  <c r="G614" i="42" s="1"/>
  <c r="M1939" i="50"/>
  <c r="Q1902" i="37"/>
  <c r="I938" i="50"/>
  <c r="M935" i="50"/>
  <c r="K1919" i="50"/>
  <c r="Q2114" i="37"/>
  <c r="AA70" i="42"/>
  <c r="I936" i="50"/>
  <c r="P939" i="50"/>
  <c r="J2405" i="50"/>
  <c r="K2383" i="50" s="1"/>
  <c r="K1934" i="50"/>
  <c r="P1893" i="50"/>
  <c r="J1861" i="37"/>
  <c r="H965" i="50"/>
  <c r="I1911" i="50"/>
  <c r="P1912" i="50"/>
  <c r="P1945" i="50"/>
  <c r="M1936" i="50"/>
  <c r="M1908" i="37"/>
  <c r="M1910" i="37" s="1"/>
  <c r="K2068" i="37"/>
  <c r="L1834" i="37"/>
  <c r="M3" i="37"/>
  <c r="G1531" i="37"/>
  <c r="G1532" i="37" s="1"/>
  <c r="G1533" i="37" s="1"/>
  <c r="N2271" i="50"/>
  <c r="P1812" i="50"/>
  <c r="N1923" i="50"/>
  <c r="H1935" i="50"/>
  <c r="L1923" i="50"/>
  <c r="N1867" i="37"/>
  <c r="J1911" i="37"/>
  <c r="Q2040" i="37"/>
  <c r="E100" i="50"/>
  <c r="S100" i="50" s="1"/>
  <c r="E153" i="41"/>
  <c r="E286" i="50" s="1"/>
  <c r="K1935" i="50"/>
  <c r="K1928" i="50"/>
  <c r="I1940" i="50"/>
  <c r="M1923" i="50"/>
  <c r="Q2048" i="37"/>
  <c r="AG1978" i="37"/>
  <c r="AD1980" i="37" s="1"/>
  <c r="AD1992" i="37" s="1"/>
  <c r="K1853" i="37"/>
  <c r="K1855" i="37" s="1"/>
  <c r="J2206" i="50"/>
  <c r="G5" i="37"/>
  <c r="I919" i="37"/>
  <c r="X941" i="37" s="1"/>
  <c r="X996" i="37" s="1"/>
  <c r="L996" i="37" s="1"/>
  <c r="H1915" i="50"/>
  <c r="H1912" i="50"/>
  <c r="J1948" i="50"/>
  <c r="I1920" i="50"/>
  <c r="K1834" i="37"/>
  <c r="J1905" i="37"/>
  <c r="Q2093" i="37"/>
  <c r="J2272" i="50"/>
  <c r="K1929" i="50"/>
  <c r="H1925" i="50"/>
  <c r="K1922" i="50"/>
  <c r="L1930" i="50"/>
  <c r="Q1847" i="37"/>
  <c r="Z1847" i="37"/>
  <c r="Z1877" i="37" s="1"/>
  <c r="L1853" i="37"/>
  <c r="L1855" i="37" s="1"/>
  <c r="J2332" i="50"/>
  <c r="H1243" i="37"/>
  <c r="L1932" i="50"/>
  <c r="M1948" i="50"/>
  <c r="E1945" i="50"/>
  <c r="S1960" i="37"/>
  <c r="S2099" i="37"/>
  <c r="J1914" i="50"/>
  <c r="L1912" i="50"/>
  <c r="N1922" i="50"/>
  <c r="S2093" i="37"/>
  <c r="K1911" i="37"/>
  <c r="E95" i="50"/>
  <c r="P95" i="50" s="1"/>
  <c r="K2271" i="50"/>
  <c r="J1935" i="50"/>
  <c r="P1911" i="50"/>
  <c r="P1923" i="50"/>
  <c r="K1850" i="37"/>
  <c r="S2027" i="37"/>
  <c r="L948" i="50"/>
  <c r="P853" i="50"/>
  <c r="K938" i="50"/>
  <c r="K952" i="50"/>
  <c r="P932" i="50"/>
  <c r="M942" i="50"/>
  <c r="H941" i="50"/>
  <c r="M952" i="50"/>
  <c r="P961" i="50"/>
  <c r="P955" i="50"/>
  <c r="P952" i="50"/>
  <c r="I948" i="50"/>
  <c r="K961" i="50"/>
  <c r="K930" i="50"/>
  <c r="R805" i="50"/>
  <c r="D2526" i="50" s="1"/>
  <c r="D2569" i="50" s="1"/>
  <c r="P950" i="50"/>
  <c r="L930" i="50"/>
  <c r="L961" i="50"/>
  <c r="P916" i="50"/>
  <c r="J952" i="50"/>
  <c r="I953" i="50"/>
  <c r="P953" i="50"/>
  <c r="P815" i="50"/>
  <c r="K939" i="50"/>
  <c r="L950" i="50"/>
  <c r="P933" i="50"/>
  <c r="N950" i="50"/>
  <c r="H927" i="50"/>
  <c r="M961" i="50"/>
  <c r="N962" i="50"/>
  <c r="S916" i="50"/>
  <c r="J948" i="50"/>
  <c r="P956" i="50"/>
  <c r="N951" i="50"/>
  <c r="I942" i="50"/>
  <c r="K953" i="50"/>
  <c r="I945" i="50"/>
  <c r="H932" i="50"/>
  <c r="J950" i="50"/>
  <c r="M933" i="50"/>
  <c r="M953" i="50"/>
  <c r="I931" i="50"/>
  <c r="L964" i="50"/>
  <c r="M965" i="50"/>
  <c r="K933" i="50"/>
  <c r="I947" i="50"/>
  <c r="I949" i="50"/>
  <c r="N958" i="50"/>
  <c r="P958" i="50"/>
  <c r="P962" i="50"/>
  <c r="N965" i="50"/>
  <c r="P839" i="50"/>
  <c r="P914" i="50"/>
  <c r="M956" i="50"/>
  <c r="S915" i="50"/>
  <c r="N931" i="50"/>
  <c r="M932" i="50"/>
  <c r="P951" i="50"/>
  <c r="P945" i="50"/>
  <c r="J951" i="50"/>
  <c r="N927" i="50"/>
  <c r="P931" i="50"/>
  <c r="J944" i="50"/>
  <c r="J933" i="50"/>
  <c r="K964" i="50"/>
  <c r="L928" i="50"/>
  <c r="K965" i="50"/>
  <c r="I927" i="50"/>
  <c r="P846" i="50"/>
  <c r="M962" i="50"/>
  <c r="I932" i="50"/>
  <c r="E961" i="50"/>
  <c r="M938" i="50"/>
  <c r="N942" i="50"/>
  <c r="J958" i="50"/>
  <c r="E962" i="50"/>
  <c r="H951" i="50"/>
  <c r="M958" i="50"/>
  <c r="S914" i="50"/>
  <c r="J927" i="50"/>
  <c r="H930" i="50"/>
  <c r="L952" i="50"/>
  <c r="L951" i="50"/>
  <c r="P920" i="50"/>
  <c r="S920" i="50"/>
  <c r="P941" i="50"/>
  <c r="K948" i="50"/>
  <c r="N938" i="50"/>
  <c r="P944" i="50"/>
  <c r="K935" i="50"/>
  <c r="P930" i="50"/>
  <c r="L942" i="50"/>
  <c r="K945" i="50"/>
  <c r="K936" i="50"/>
  <c r="P831" i="50"/>
  <c r="A831" i="50" s="1"/>
  <c r="N949" i="50"/>
  <c r="H961" i="50"/>
  <c r="K944" i="50"/>
  <c r="J956" i="50"/>
  <c r="N933" i="50"/>
  <c r="K2139" i="50"/>
  <c r="K2272" i="50"/>
  <c r="K3" i="37"/>
  <c r="J2138" i="50"/>
  <c r="J2271" i="50"/>
  <c r="E154" i="41"/>
  <c r="E99" i="50"/>
  <c r="M4" i="37"/>
  <c r="I1625" i="50"/>
  <c r="M1736" i="50" s="1"/>
  <c r="I162" i="62"/>
  <c r="G323" i="37"/>
  <c r="G324" i="37" s="1"/>
  <c r="G325" i="37" s="1"/>
  <c r="H337" i="37"/>
  <c r="H346" i="37" s="1"/>
  <c r="I641" i="50"/>
  <c r="I3" i="37"/>
  <c r="I156" i="62"/>
  <c r="E93" i="50"/>
  <c r="I315" i="37"/>
  <c r="N398" i="37" s="1"/>
  <c r="N400" i="37" s="1"/>
  <c r="E148" i="41"/>
  <c r="I617" i="37"/>
  <c r="E94" i="50"/>
  <c r="E149" i="41"/>
  <c r="E282" i="50" s="1"/>
  <c r="I157" i="62"/>
  <c r="L2139" i="50"/>
  <c r="L2272" i="50"/>
  <c r="I4" i="37"/>
  <c r="E97" i="50"/>
  <c r="I1523" i="37"/>
  <c r="I160" i="62"/>
  <c r="E152" i="41"/>
  <c r="I1297" i="50"/>
  <c r="J1450" i="50" s="1"/>
  <c r="M2139" i="50"/>
  <c r="M2272" i="50"/>
  <c r="L2332" i="50"/>
  <c r="K2206" i="50"/>
  <c r="L2206" i="50"/>
  <c r="G4" i="37"/>
  <c r="I1133" i="50"/>
  <c r="I159" i="62"/>
  <c r="E96" i="50"/>
  <c r="S96" i="50" s="1"/>
  <c r="E151" i="41"/>
  <c r="I1221" i="37"/>
  <c r="H1230" i="37" s="1"/>
  <c r="M2138" i="50"/>
  <c r="M2271" i="50"/>
  <c r="AA587" i="42"/>
  <c r="AC960" i="37"/>
  <c r="AC962" i="37" s="1"/>
  <c r="AK962" i="37" s="1"/>
  <c r="K999" i="37"/>
  <c r="Q1134" i="37"/>
  <c r="Q980" i="37"/>
  <c r="I1162" i="37"/>
  <c r="I1168" i="37" s="1"/>
  <c r="J999" i="37"/>
  <c r="M2332" i="50"/>
  <c r="G625" i="37"/>
  <c r="G626" i="37" s="1"/>
  <c r="G627" i="37" s="1"/>
  <c r="H639" i="37"/>
  <c r="P1930" i="50"/>
  <c r="P1833" i="50"/>
  <c r="P1831" i="50" s="1"/>
  <c r="J2071" i="37"/>
  <c r="J2073" i="37" s="1"/>
  <c r="L2071" i="37"/>
  <c r="L2073" i="37" s="1"/>
  <c r="AL610" i="42"/>
  <c r="AH1866" i="37"/>
  <c r="AH1868" i="37" s="1"/>
  <c r="N1905" i="37"/>
  <c r="K2071" i="37"/>
  <c r="K2073" i="37" s="1"/>
  <c r="J1856" i="37"/>
  <c r="M2331" i="50"/>
  <c r="E156" i="41"/>
  <c r="E101" i="50"/>
  <c r="I5" i="37"/>
  <c r="I164" i="62"/>
  <c r="K2332" i="50"/>
  <c r="N2139" i="50"/>
  <c r="N2272" i="50"/>
  <c r="M1915" i="50"/>
  <c r="K1930" i="50"/>
  <c r="N1933" i="50"/>
  <c r="H1923" i="50"/>
  <c r="K1945" i="50"/>
  <c r="M2206" i="50"/>
  <c r="E155" i="41"/>
  <c r="E150" i="41"/>
  <c r="I969" i="50"/>
  <c r="J1095" i="50" s="1"/>
  <c r="J2331" i="50"/>
  <c r="E98" i="50"/>
  <c r="I1461" i="50"/>
  <c r="S2084" i="37"/>
  <c r="AL1825" i="37"/>
  <c r="Y1847" i="37"/>
  <c r="Y2065" i="37" s="1"/>
  <c r="M2065" i="37" s="1"/>
  <c r="N2071" i="37"/>
  <c r="N2073" i="37" s="1"/>
  <c r="N2074" i="37"/>
  <c r="Q1872" i="37"/>
  <c r="N2068" i="37"/>
  <c r="S2018" i="37"/>
  <c r="Q2061" i="37"/>
  <c r="Q2027" i="37"/>
  <c r="K1908" i="37"/>
  <c r="K1910" i="37" s="1"/>
  <c r="Q2009" i="37"/>
  <c r="Q1877" i="37"/>
  <c r="Q1960" i="37"/>
  <c r="S2026" i="37"/>
  <c r="M1850" i="37"/>
  <c r="L2074" i="37"/>
  <c r="L1850" i="37"/>
  <c r="J1835" i="37"/>
  <c r="Q2083" i="37"/>
  <c r="Q1987" i="37"/>
  <c r="E1833" i="37"/>
  <c r="N1911" i="37"/>
  <c r="N1834" i="37"/>
  <c r="Q1880" i="37"/>
  <c r="Q1878" i="37" s="1"/>
  <c r="M1835" i="37"/>
  <c r="N1856" i="37"/>
  <c r="M2074" i="37"/>
  <c r="Q2023" i="37"/>
  <c r="AG2110" i="37"/>
  <c r="M1905" i="37"/>
  <c r="J1889" i="37"/>
  <c r="I1850" i="37"/>
  <c r="I1856" i="37" s="1"/>
  <c r="X1825" i="37"/>
  <c r="Z1825" i="37" s="1"/>
  <c r="M1856" i="37"/>
  <c r="Q1911" i="37"/>
  <c r="Q1855" i="37"/>
  <c r="K1856" i="37"/>
  <c r="E116" i="50"/>
  <c r="E231" i="50" s="1"/>
  <c r="K231" i="50" s="1"/>
  <c r="L1867" i="37"/>
  <c r="H1834" i="37"/>
  <c r="I1867" i="37"/>
  <c r="J1850" i="37"/>
  <c r="J1867" i="37"/>
  <c r="Q2074" i="37"/>
  <c r="K1905" i="37"/>
  <c r="Q1999" i="37"/>
  <c r="Q2019" i="37"/>
  <c r="L1835" i="37"/>
  <c r="I1940" i="37"/>
  <c r="Q2059" i="37"/>
  <c r="Q1896" i="37"/>
  <c r="T1825" i="37"/>
  <c r="V1825" i="37" s="1"/>
  <c r="X1847" i="37"/>
  <c r="X2065" i="37" s="1"/>
  <c r="L2065" i="37" s="1"/>
  <c r="Q1883" i="37"/>
  <c r="S1987" i="37"/>
  <c r="Q2058" i="37"/>
  <c r="E2105" i="37"/>
  <c r="S2009" i="37"/>
  <c r="J1853" i="37"/>
  <c r="J1855" i="37" s="1"/>
  <c r="T1861" i="37"/>
  <c r="N1883" i="37" s="1"/>
  <c r="N1885" i="37" s="1"/>
  <c r="Q2039" i="37"/>
  <c r="K2074" i="37"/>
  <c r="Q1905" i="37"/>
  <c r="Q1903" i="37" s="1"/>
  <c r="Q2084" i="37"/>
  <c r="Q2099" i="37"/>
  <c r="W1847" i="37"/>
  <c r="W1877" i="37" s="1"/>
  <c r="AG2031" i="37"/>
  <c r="AD2033" i="37" s="1"/>
  <c r="AD2042" i="37" s="1"/>
  <c r="AD2051" i="37" s="1"/>
  <c r="AD2077" i="37" s="1"/>
  <c r="AD2086" i="37" s="1"/>
  <c r="Q1908" i="37"/>
  <c r="N1835" i="37"/>
  <c r="Q2018" i="37"/>
  <c r="Q1834" i="37"/>
  <c r="E1960" i="37"/>
  <c r="S1868" i="37"/>
  <c r="Q1968" i="37"/>
  <c r="L1911" i="37"/>
  <c r="N1853" i="37"/>
  <c r="N1855" i="37" s="1"/>
  <c r="P1097" i="50"/>
  <c r="H1554" i="37"/>
  <c r="K1867" i="37"/>
  <c r="I1834" i="37"/>
  <c r="M1867" i="37"/>
  <c r="Q2068" i="37"/>
  <c r="Q2066" i="37" s="1"/>
  <c r="I1835" i="37"/>
  <c r="Q2118" i="37"/>
  <c r="L1856" i="37"/>
  <c r="K1835" i="37"/>
  <c r="M2068" i="37"/>
  <c r="L2068" i="37"/>
  <c r="Q1853" i="37"/>
  <c r="Q2026" i="37"/>
  <c r="Q2117" i="37"/>
  <c r="M2071" i="37"/>
  <c r="M2073" i="37" s="1"/>
  <c r="L1908" i="37"/>
  <c r="L1910" i="37" s="1"/>
  <c r="Q1835" i="37"/>
  <c r="R1868" i="37"/>
  <c r="S1999" i="37"/>
  <c r="Q2113" i="37"/>
  <c r="Q1886" i="37"/>
  <c r="M1853" i="37"/>
  <c r="M1855" i="37" s="1"/>
  <c r="M1911" i="37"/>
  <c r="Q2065" i="37"/>
  <c r="J2068" i="37"/>
  <c r="Q1856" i="37"/>
  <c r="N1908" i="37"/>
  <c r="N1910" i="37" s="1"/>
  <c r="H1837" i="37"/>
  <c r="S2019" i="37"/>
  <c r="S2083" i="37"/>
  <c r="Q1850" i="37"/>
  <c r="Q1848" i="37" s="1"/>
  <c r="N1850" i="37"/>
  <c r="Q1969" i="37"/>
  <c r="R1837" i="37"/>
  <c r="AG1834" i="37" s="1"/>
  <c r="J2074" i="37"/>
  <c r="Q2022" i="37"/>
  <c r="J1834" i="37"/>
  <c r="Q2092" i="37"/>
  <c r="Q2071" i="37"/>
  <c r="H1835" i="37"/>
  <c r="AL587" i="42"/>
  <c r="N1926" i="50"/>
  <c r="S1898" i="50"/>
  <c r="H1929" i="50"/>
  <c r="J1933" i="50"/>
  <c r="M1932" i="50"/>
  <c r="L1934" i="50"/>
  <c r="S1904" i="50"/>
  <c r="E1948" i="50"/>
  <c r="P1937" i="50"/>
  <c r="H1914" i="50"/>
  <c r="P1940" i="50"/>
  <c r="K1915" i="50"/>
  <c r="J1930" i="50"/>
  <c r="L1935" i="50"/>
  <c r="N1916" i="50"/>
  <c r="L1926" i="50"/>
  <c r="J1922" i="50"/>
  <c r="J1917" i="50"/>
  <c r="M1916" i="50"/>
  <c r="H1928" i="50"/>
  <c r="I1939" i="50"/>
  <c r="H1945" i="50"/>
  <c r="I1917" i="50"/>
  <c r="H1926" i="50"/>
  <c r="K1912" i="50"/>
  <c r="M1937" i="50"/>
  <c r="K1911" i="50"/>
  <c r="L1933" i="50"/>
  <c r="M1912" i="50"/>
  <c r="P1915" i="50"/>
  <c r="P1823" i="50"/>
  <c r="L1917" i="50"/>
  <c r="I1929" i="50"/>
  <c r="N1920" i="50"/>
  <c r="P1904" i="50"/>
  <c r="P1935" i="50"/>
  <c r="H1939" i="50"/>
  <c r="J1939" i="50"/>
  <c r="M1914" i="50"/>
  <c r="M1940" i="50"/>
  <c r="I1949" i="50"/>
  <c r="L1925" i="50"/>
  <c r="H1946" i="50"/>
  <c r="M1929" i="50"/>
  <c r="P1922" i="50"/>
  <c r="K1932" i="50"/>
  <c r="K1939" i="50"/>
  <c r="N1928" i="50"/>
  <c r="N1935" i="50"/>
  <c r="N1942" i="50"/>
  <c r="T413" i="42"/>
  <c r="T414" i="42" s="1"/>
  <c r="T523" i="42" s="1"/>
  <c r="AL414" i="42"/>
  <c r="T602" i="42"/>
  <c r="AC602" i="42"/>
  <c r="T284" i="42"/>
  <c r="AC284" i="42"/>
  <c r="T749" i="42"/>
  <c r="AC749" i="42"/>
  <c r="T829" i="42"/>
  <c r="AC829" i="42" s="1"/>
  <c r="T855" i="42"/>
  <c r="AF664" i="42"/>
  <c r="AF667" i="42" s="1"/>
  <c r="AF670" i="42" s="1"/>
  <c r="J1928" i="50"/>
  <c r="J1916" i="50"/>
  <c r="H1932" i="50"/>
  <c r="K1946" i="50"/>
  <c r="N1940" i="50"/>
  <c r="S1903" i="50"/>
  <c r="P1925" i="50"/>
  <c r="J1945" i="50"/>
  <c r="P1898" i="50"/>
  <c r="K1917" i="50"/>
  <c r="J1929" i="50"/>
  <c r="P1844" i="50"/>
  <c r="A1844" i="50" s="1"/>
  <c r="N1932" i="50"/>
  <c r="P1899" i="50"/>
  <c r="I1930" i="50"/>
  <c r="P1884" i="50"/>
  <c r="M1935" i="50"/>
  <c r="P1914" i="50"/>
  <c r="K1925" i="50"/>
  <c r="H1933" i="50"/>
  <c r="J1949" i="50"/>
  <c r="L1946" i="50"/>
  <c r="H1920" i="50"/>
  <c r="M1922" i="50"/>
  <c r="H1949" i="50"/>
  <c r="K1920" i="50"/>
  <c r="P1928" i="50"/>
  <c r="N1948" i="50"/>
  <c r="M1930" i="50"/>
  <c r="R1789" i="50"/>
  <c r="D2532" i="50" s="1"/>
  <c r="D2575" i="50" s="1"/>
  <c r="I1942" i="50"/>
  <c r="M1928" i="50"/>
  <c r="N1930" i="50"/>
  <c r="P1949" i="50"/>
  <c r="I1928" i="50"/>
  <c r="J1912" i="50"/>
  <c r="M1949" i="50"/>
  <c r="K1942" i="50"/>
  <c r="N1929" i="50"/>
  <c r="J1919" i="50"/>
  <c r="I1923" i="50"/>
  <c r="L1915" i="50"/>
  <c r="J1946" i="50"/>
  <c r="I1912" i="50"/>
  <c r="M1917" i="50"/>
  <c r="H1922" i="50"/>
  <c r="I1931" i="50"/>
  <c r="N1912" i="50"/>
  <c r="J1931" i="50"/>
  <c r="M1911" i="50"/>
  <c r="T19" i="42"/>
  <c r="T20" i="42" s="1"/>
  <c r="AL20" i="42"/>
  <c r="M1933" i="50"/>
  <c r="M1920" i="50"/>
  <c r="P1929" i="50"/>
  <c r="L1916" i="50"/>
  <c r="J1923" i="50"/>
  <c r="J1934" i="50"/>
  <c r="P1837" i="50"/>
  <c r="P1830" i="50"/>
  <c r="M1925" i="50"/>
  <c r="L1914" i="50"/>
  <c r="N1949" i="50"/>
  <c r="P1919" i="50"/>
  <c r="P1815" i="50"/>
  <c r="A1815" i="50" s="1"/>
  <c r="N1934" i="50"/>
  <c r="H1930" i="50"/>
  <c r="P1942" i="50"/>
  <c r="K1933" i="50"/>
  <c r="N1919" i="50"/>
  <c r="L1936" i="50"/>
  <c r="I1936" i="50"/>
  <c r="L1920" i="50"/>
  <c r="N1946" i="50"/>
  <c r="M1919" i="50"/>
  <c r="M1926" i="50"/>
  <c r="E1946" i="50"/>
  <c r="H1942" i="50"/>
  <c r="M1945" i="50"/>
  <c r="N1914" i="50"/>
  <c r="I1922" i="50"/>
  <c r="K1914" i="50"/>
  <c r="I1948" i="50"/>
  <c r="I1916" i="50"/>
  <c r="H1931" i="50"/>
  <c r="S1899" i="50"/>
  <c r="J1926" i="50"/>
  <c r="P1920" i="50"/>
  <c r="P1946" i="50"/>
  <c r="K1937" i="50"/>
  <c r="N1917" i="50"/>
  <c r="H1916" i="50"/>
  <c r="K1916" i="50"/>
  <c r="I1932" i="50"/>
  <c r="J1911" i="50"/>
  <c r="M1946" i="50"/>
  <c r="P1932" i="50"/>
  <c r="L1945" i="50"/>
  <c r="P1851" i="50"/>
  <c r="P1887" i="50"/>
  <c r="P1885" i="50" s="1"/>
  <c r="T536" i="42"/>
  <c r="T537" i="42" s="1"/>
  <c r="T667" i="42" s="1"/>
  <c r="AL537" i="42"/>
  <c r="AC1723" i="37"/>
  <c r="AC205" i="37"/>
  <c r="AC2738" i="37"/>
  <c r="AC1363" i="37"/>
  <c r="AC1088" i="37"/>
  <c r="AC2414" i="37"/>
  <c r="AC53" i="37"/>
  <c r="AC2649" i="37"/>
  <c r="AC2598" i="37"/>
  <c r="AC1192" i="37"/>
  <c r="AC3010" i="37"/>
  <c r="AC624" i="37"/>
  <c r="AC1753" i="37"/>
  <c r="AC1320" i="37"/>
  <c r="AC1894" i="37"/>
  <c r="AC1508" i="37"/>
  <c r="AC1657" i="37"/>
  <c r="AC545" i="37"/>
  <c r="AC1563" i="37"/>
  <c r="AC2327" i="37"/>
  <c r="AC606" i="37"/>
  <c r="AC1592" i="37"/>
  <c r="AC2923" i="37"/>
  <c r="AC1378" i="37"/>
  <c r="AC1139" i="37"/>
  <c r="AC277" i="37"/>
  <c r="AC1115" i="37"/>
  <c r="AC872" i="37"/>
  <c r="AC2702" i="37"/>
  <c r="AC2134" i="37"/>
  <c r="AC1994" i="37"/>
  <c r="AC881" i="37"/>
  <c r="AC1210" i="37"/>
  <c r="AC1441" i="37"/>
  <c r="AC1500" i="37"/>
  <c r="AC896" i="37"/>
  <c r="AC2708" i="37"/>
  <c r="AC2025" i="37"/>
  <c r="T20" i="37"/>
  <c r="AC2269" i="37"/>
  <c r="AC2045" i="37"/>
  <c r="AC1053" i="37"/>
  <c r="AC1130" i="37"/>
  <c r="AC1494" i="37"/>
  <c r="AC498" i="37"/>
  <c r="AC2914" i="37"/>
  <c r="AC484" i="37"/>
  <c r="AC182" i="37"/>
  <c r="AC243" i="37"/>
  <c r="AC2900" i="37"/>
  <c r="AC1413" i="37"/>
  <c r="AC2684" i="37"/>
  <c r="AC535" i="37"/>
  <c r="AC2008" i="37"/>
  <c r="AC2089" i="37"/>
  <c r="AC2942" i="37"/>
  <c r="AC515" i="37"/>
  <c r="AC2418" i="37"/>
  <c r="AC2927" i="37"/>
  <c r="AC2659" i="37"/>
  <c r="AC774" i="37"/>
  <c r="AC414" i="37"/>
  <c r="AC1665" i="37"/>
  <c r="AC2771" i="37"/>
  <c r="AC268" i="37"/>
  <c r="AC20" i="37"/>
  <c r="AC2391" i="37"/>
  <c r="AC2319" i="37"/>
  <c r="AC1734" i="37"/>
  <c r="AC2357" i="37"/>
  <c r="AC1102" i="37"/>
  <c r="AC2469" i="37"/>
  <c r="AC526" i="37"/>
  <c r="AC1476" i="37"/>
  <c r="AC837" i="37"/>
  <c r="AC2498" i="37"/>
  <c r="AC2528" i="37"/>
  <c r="AC304" i="37"/>
  <c r="AC1692" i="37"/>
  <c r="AC1018" i="37"/>
  <c r="AC1174" i="37"/>
  <c r="AC209" i="37"/>
  <c r="AC1719" i="37"/>
  <c r="AC2021" i="37"/>
  <c r="AC2931" i="37"/>
  <c r="AC800" i="37"/>
  <c r="AC657" i="37"/>
  <c r="AC2951" i="37"/>
  <c r="AC2261" i="37"/>
  <c r="AC1814" i="37"/>
  <c r="AC2716" i="37"/>
  <c r="AC2830" i="37"/>
  <c r="AC170" i="37"/>
  <c r="AC1149" i="37"/>
  <c r="AC828" i="37"/>
  <c r="AC2226" i="37"/>
  <c r="AC716" i="37"/>
  <c r="AC570" i="37"/>
  <c r="AC2338" i="37"/>
  <c r="AC2995" i="37"/>
  <c r="AC2586" i="37"/>
  <c r="AC2986" i="37"/>
  <c r="AC213" i="37"/>
  <c r="AC2563" i="37"/>
  <c r="AC155" i="37"/>
  <c r="AC2865" i="37"/>
  <c r="AC2873" i="37"/>
  <c r="AC786" i="37"/>
  <c r="AC1183" i="37"/>
  <c r="AC1198" i="37"/>
  <c r="AC1206" i="37"/>
  <c r="AC2621" i="37"/>
  <c r="AC300" i="37"/>
  <c r="AC817" i="37"/>
  <c r="AC686" i="37"/>
  <c r="AC1865" i="37"/>
  <c r="AC1706" i="37"/>
  <c r="AC2406" i="37"/>
  <c r="AC1680" i="37"/>
  <c r="AC813" i="37"/>
  <c r="AC1061" i="37"/>
  <c r="AC355" i="37"/>
  <c r="AC1417" i="37"/>
  <c r="AC292" i="37"/>
  <c r="AC1967" i="37"/>
  <c r="AC2888" i="37"/>
  <c r="AC908" i="37"/>
  <c r="AC809" i="37"/>
  <c r="AC1421" i="37"/>
  <c r="AC112" i="37"/>
  <c r="AC1512" i="37"/>
  <c r="AC1530" i="37"/>
  <c r="AC2961" i="37"/>
  <c r="AC1796" i="37"/>
  <c r="AC1076" i="37"/>
  <c r="AC1778" i="37"/>
  <c r="AC2112" i="37"/>
  <c r="AC1355" i="37"/>
  <c r="AC233" i="37"/>
  <c r="AC602" i="37"/>
  <c r="AC1622" i="37"/>
  <c r="AC1787" i="37"/>
  <c r="AC2382" i="37"/>
  <c r="AC1810" i="37"/>
  <c r="AC1451" i="37"/>
  <c r="AC926" i="37"/>
  <c r="AC1485" i="37"/>
  <c r="AC1119" i="37"/>
  <c r="AC1228" i="37"/>
  <c r="AC751" i="37"/>
  <c r="AC2625" i="37"/>
  <c r="AC1802" i="37"/>
  <c r="AC2640" i="37"/>
  <c r="AC472" i="37"/>
  <c r="AC2055" i="37"/>
  <c r="AC959" i="37"/>
  <c r="AC594" i="37"/>
  <c r="AC3018" i="37"/>
  <c r="AC2436" i="37"/>
  <c r="AC2800" i="37"/>
  <c r="AC1111" i="37"/>
  <c r="AC1261" i="37"/>
  <c r="AC2629" i="37"/>
  <c r="AC2571" i="37"/>
  <c r="AC3022" i="37"/>
  <c r="AC2310" i="37"/>
  <c r="AC2017" i="37"/>
  <c r="AC2104" i="37"/>
  <c r="AC1959" i="37"/>
  <c r="AC1924" i="37"/>
  <c r="AC2720" i="37"/>
  <c r="AC196" i="37"/>
  <c r="AC507" i="37"/>
  <c r="AC904" i="37"/>
  <c r="AC2196" i="37"/>
  <c r="AC82" i="37"/>
  <c r="AC2167" i="37"/>
  <c r="AC988" i="37"/>
  <c r="AC2098" i="37"/>
  <c r="AC2080" i="37"/>
  <c r="AC1404" i="37"/>
  <c r="AC3004" i="37"/>
  <c r="AC449" i="37"/>
  <c r="AC759" i="37"/>
  <c r="AC2347" i="37"/>
  <c r="AC1290" i="37"/>
  <c r="AC511" i="37"/>
  <c r="AC1832" i="37"/>
  <c r="AC1390" i="37"/>
  <c r="AC2400" i="37"/>
  <c r="AC2612" i="37"/>
  <c r="AC2693" i="37"/>
  <c r="AC2323" i="37"/>
  <c r="AC890" i="37"/>
  <c r="AC1432" i="37"/>
  <c r="AC384" i="37"/>
  <c r="AC2284" i="37"/>
  <c r="AC286" i="37"/>
  <c r="AC588" i="37"/>
  <c r="AC2036" i="37"/>
  <c r="AC2116" i="37"/>
  <c r="AC147" i="37"/>
  <c r="AC847" i="37"/>
  <c r="AC2296" i="37"/>
  <c r="AC579" i="37"/>
  <c r="AC322" i="37"/>
  <c r="AC1715" i="37"/>
  <c r="AC224" i="37"/>
  <c r="AC457" i="37"/>
  <c r="AC1743" i="37"/>
  <c r="AC1982" i="37"/>
  <c r="T87" i="42"/>
  <c r="AC87" i="42"/>
  <c r="T915" i="42"/>
  <c r="T889" i="42"/>
  <c r="AC889" i="42" s="1"/>
  <c r="T216" i="42"/>
  <c r="T217" i="42" s="1"/>
  <c r="T396" i="42" s="1"/>
  <c r="AL217" i="42"/>
  <c r="J1419" i="50"/>
  <c r="J1434" i="50"/>
  <c r="P1442" i="50"/>
  <c r="K1425" i="50"/>
  <c r="J1442" i="50"/>
  <c r="L1443" i="50"/>
  <c r="K1442" i="50"/>
  <c r="M1437" i="50"/>
  <c r="K1424" i="50"/>
  <c r="K1358" i="50"/>
  <c r="M1330" i="50"/>
  <c r="K1303" i="50"/>
  <c r="N1357" i="50"/>
  <c r="J1357" i="50"/>
  <c r="S1412" i="50"/>
  <c r="H1445" i="50"/>
  <c r="M1439" i="50"/>
  <c r="E1454" i="50"/>
  <c r="I1445" i="50"/>
  <c r="K1422" i="50"/>
  <c r="P1454" i="50"/>
  <c r="H1425" i="50"/>
  <c r="H1439" i="50"/>
  <c r="L1442" i="50"/>
  <c r="N1456" i="50"/>
  <c r="J1425" i="50"/>
  <c r="M1357" i="50"/>
  <c r="N1330" i="50"/>
  <c r="J1412" i="50"/>
  <c r="I1411" i="50"/>
  <c r="M1352" i="50"/>
  <c r="I1300" i="50"/>
  <c r="L1345" i="50" s="1"/>
  <c r="H1430" i="50"/>
  <c r="L1437" i="50"/>
  <c r="K1457" i="50"/>
  <c r="P1392" i="50"/>
  <c r="M1436" i="50"/>
  <c r="H1442" i="50"/>
  <c r="L1450" i="50"/>
  <c r="S1406" i="50"/>
  <c r="J1457" i="50"/>
  <c r="J1317" i="50"/>
  <c r="L1408" i="50"/>
  <c r="M1325" i="50" s="1"/>
  <c r="L1330" i="50"/>
  <c r="Q477" i="37"/>
  <c r="I1442" i="50"/>
  <c r="P1436" i="50"/>
  <c r="L1422" i="50"/>
  <c r="N1450" i="50"/>
  <c r="P1425" i="50"/>
  <c r="N1448" i="50"/>
  <c r="P1423" i="50"/>
  <c r="AE666" i="42"/>
  <c r="AE669" i="42" s="1"/>
  <c r="AE664" i="42"/>
  <c r="AE667" i="42" s="1"/>
  <c r="AE670" i="42" s="1"/>
  <c r="P1799" i="50"/>
  <c r="I1935" i="50"/>
  <c r="J1920" i="50"/>
  <c r="K1948" i="50"/>
  <c r="P1841" i="50"/>
  <c r="L1911" i="50"/>
  <c r="I1946" i="50"/>
  <c r="H1919" i="50"/>
  <c r="M1931" i="50"/>
  <c r="P1795" i="50"/>
  <c r="I1933" i="50"/>
  <c r="M1942" i="50"/>
  <c r="K1931" i="50"/>
  <c r="H1911" i="50"/>
  <c r="L1931" i="50"/>
  <c r="P1948" i="50"/>
  <c r="H1937" i="50"/>
  <c r="H1917" i="50"/>
  <c r="J1925" i="50"/>
  <c r="P1936" i="50"/>
  <c r="N1911" i="50"/>
  <c r="I1937" i="50"/>
  <c r="H1936" i="50"/>
  <c r="K1949" i="50"/>
  <c r="K1923" i="50"/>
  <c r="N1915" i="50"/>
  <c r="I1934" i="50"/>
  <c r="S1900" i="50"/>
  <c r="J1937" i="50"/>
  <c r="P1933" i="50"/>
  <c r="J1915" i="50"/>
  <c r="K1940" i="50"/>
  <c r="I1945" i="50"/>
  <c r="H1940" i="50"/>
  <c r="K1936" i="50"/>
  <c r="N1936" i="50"/>
  <c r="L1940" i="50"/>
  <c r="P1917" i="50"/>
  <c r="M1934" i="50"/>
  <c r="P1900" i="50"/>
  <c r="P1931" i="50"/>
  <c r="I1926" i="50"/>
  <c r="I1915" i="50"/>
  <c r="N1925" i="50"/>
  <c r="L1937" i="50"/>
  <c r="L1928" i="50"/>
  <c r="I1925" i="50"/>
  <c r="I1914" i="50"/>
  <c r="N1937" i="50"/>
  <c r="J1932" i="50"/>
  <c r="J1940" i="50"/>
  <c r="P1939" i="50"/>
  <c r="J1942" i="50"/>
  <c r="L1948" i="50"/>
  <c r="L1942" i="50"/>
  <c r="L1922" i="50"/>
  <c r="K1926" i="50"/>
  <c r="L1939" i="50"/>
  <c r="N1945" i="50"/>
  <c r="L1919" i="50"/>
  <c r="E1949" i="50"/>
  <c r="I1919" i="50"/>
  <c r="H1948" i="50"/>
  <c r="J1936" i="50"/>
  <c r="L1949" i="50"/>
  <c r="AG356" i="37"/>
  <c r="AG358" i="37" s="1"/>
  <c r="Q373" i="37"/>
  <c r="X315" i="37"/>
  <c r="Z315" i="37" s="1"/>
  <c r="J1423" i="50"/>
  <c r="P1352" i="50"/>
  <c r="P1350" i="50" s="1"/>
  <c r="P1359" i="50"/>
  <c r="J1444" i="50"/>
  <c r="N1443" i="50"/>
  <c r="H1431" i="50"/>
  <c r="T149" i="41"/>
  <c r="E263" i="41"/>
  <c r="E357" i="50" s="1"/>
  <c r="M2400" i="50"/>
  <c r="L2400" i="50"/>
  <c r="N2400" i="50"/>
  <c r="N2390" i="50"/>
  <c r="D1953" i="50"/>
  <c r="Q1953" i="50"/>
  <c r="I1953" i="50"/>
  <c r="AL607" i="42"/>
  <c r="M1126" i="50"/>
  <c r="P1084" i="50"/>
  <c r="L1904" i="50"/>
  <c r="L1903" i="50"/>
  <c r="L1901" i="50"/>
  <c r="K1900" i="50"/>
  <c r="K1899" i="50"/>
  <c r="K1898" i="50"/>
  <c r="M1887" i="50"/>
  <c r="M1891" i="50" s="1"/>
  <c r="M1892" i="50" s="1"/>
  <c r="M1893" i="50" s="1"/>
  <c r="L1851" i="50"/>
  <c r="N1850" i="50"/>
  <c r="J1850" i="50"/>
  <c r="M1849" i="50"/>
  <c r="K1844" i="50"/>
  <c r="K1904" i="50"/>
  <c r="K1903" i="50"/>
  <c r="K1901" i="50"/>
  <c r="N1900" i="50"/>
  <c r="J1900" i="50"/>
  <c r="N1899" i="50"/>
  <c r="J1899" i="50"/>
  <c r="N1898" i="50"/>
  <c r="J1898" i="50"/>
  <c r="L1887" i="50"/>
  <c r="L1891" i="50" s="1"/>
  <c r="L1892" i="50" s="1"/>
  <c r="L1893" i="50" s="1"/>
  <c r="K1851" i="50"/>
  <c r="M1850" i="50"/>
  <c r="L1849" i="50"/>
  <c r="N1844" i="50"/>
  <c r="N1904" i="50"/>
  <c r="J1904" i="50"/>
  <c r="N1903" i="50"/>
  <c r="J1903" i="50"/>
  <c r="N1901" i="50"/>
  <c r="J1901" i="50"/>
  <c r="M1900" i="50"/>
  <c r="I1900" i="50"/>
  <c r="M1899" i="50"/>
  <c r="I1899" i="50"/>
  <c r="M1898" i="50"/>
  <c r="I1898" i="50"/>
  <c r="G1795" i="50" s="1"/>
  <c r="K1887" i="50"/>
  <c r="K1891" i="50" s="1"/>
  <c r="K1892" i="50" s="1"/>
  <c r="K1893" i="50" s="1"/>
  <c r="N1851" i="50"/>
  <c r="J1851" i="50"/>
  <c r="L1850" i="50"/>
  <c r="K1849" i="50"/>
  <c r="M1904" i="50"/>
  <c r="M1903" i="50"/>
  <c r="L1899" i="50"/>
  <c r="N1849" i="50"/>
  <c r="J1844" i="50"/>
  <c r="M1823" i="50"/>
  <c r="K1822" i="50"/>
  <c r="N1821" i="50"/>
  <c r="J1821" i="50"/>
  <c r="K1809" i="50"/>
  <c r="K1795" i="50"/>
  <c r="J1792" i="50"/>
  <c r="U1795" i="50" s="1"/>
  <c r="M1799" i="50" s="1"/>
  <c r="I1904" i="50"/>
  <c r="V1904" i="50" s="1"/>
  <c r="I1903" i="50"/>
  <c r="L1900" i="50"/>
  <c r="K1850" i="50"/>
  <c r="J1849" i="50"/>
  <c r="L1823" i="50"/>
  <c r="N1822" i="50"/>
  <c r="J1822" i="50"/>
  <c r="M1821" i="50"/>
  <c r="N1809" i="50"/>
  <c r="J1809" i="50"/>
  <c r="N1795" i="50"/>
  <c r="J1795" i="50"/>
  <c r="M1792" i="50"/>
  <c r="I1792" i="50"/>
  <c r="J1902" i="50" s="1"/>
  <c r="M1901" i="50"/>
  <c r="N1887" i="50"/>
  <c r="N1891" i="50" s="1"/>
  <c r="N1892" i="50" s="1"/>
  <c r="N1893" i="50" s="1"/>
  <c r="M1844" i="50"/>
  <c r="K1823" i="50"/>
  <c r="M1822" i="50"/>
  <c r="L1821" i="50"/>
  <c r="M1809" i="50"/>
  <c r="M1795" i="50"/>
  <c r="I1795" i="50"/>
  <c r="L1792" i="50"/>
  <c r="I1901" i="50"/>
  <c r="M1851" i="50"/>
  <c r="K1821" i="50"/>
  <c r="L1809" i="50"/>
  <c r="J1887" i="50"/>
  <c r="J1891" i="50" s="1"/>
  <c r="J1892" i="50" s="1"/>
  <c r="J1893" i="50" s="1"/>
  <c r="L1844" i="50"/>
  <c r="L1822" i="50"/>
  <c r="L1795" i="50"/>
  <c r="L1898" i="50"/>
  <c r="N1823" i="50"/>
  <c r="H1795" i="50"/>
  <c r="K1792" i="50"/>
  <c r="J1823" i="50"/>
  <c r="E1792" i="50"/>
  <c r="K1078" i="50"/>
  <c r="K1001" i="50"/>
  <c r="P1064" i="50"/>
  <c r="I1113" i="50"/>
  <c r="N1126" i="50"/>
  <c r="K1108" i="50"/>
  <c r="M920" i="50"/>
  <c r="I920" i="50"/>
  <c r="V920" i="50" s="1"/>
  <c r="M919" i="50"/>
  <c r="I919" i="50"/>
  <c r="M917" i="50"/>
  <c r="I917" i="50"/>
  <c r="L916" i="50"/>
  <c r="L915" i="50"/>
  <c r="L914" i="50"/>
  <c r="L903" i="50"/>
  <c r="L907" i="50" s="1"/>
  <c r="L908" i="50" s="1"/>
  <c r="L909" i="50" s="1"/>
  <c r="M867" i="50"/>
  <c r="K866" i="50"/>
  <c r="N865" i="50"/>
  <c r="J865" i="50"/>
  <c r="L860" i="50"/>
  <c r="L839" i="50"/>
  <c r="N838" i="50"/>
  <c r="J838" i="50"/>
  <c r="M837" i="50"/>
  <c r="M825" i="50"/>
  <c r="M811" i="50"/>
  <c r="I811" i="50"/>
  <c r="K808" i="50"/>
  <c r="E808" i="50"/>
  <c r="L920" i="50"/>
  <c r="L919" i="50"/>
  <c r="L917" i="50"/>
  <c r="K916" i="50"/>
  <c r="K915" i="50"/>
  <c r="K914" i="50"/>
  <c r="K903" i="50"/>
  <c r="K907" i="50" s="1"/>
  <c r="K908" i="50" s="1"/>
  <c r="K909" i="50" s="1"/>
  <c r="L867" i="50"/>
  <c r="N866" i="50"/>
  <c r="J866" i="50"/>
  <c r="M865" i="50"/>
  <c r="K860" i="50"/>
  <c r="K839" i="50"/>
  <c r="M838" i="50"/>
  <c r="L837" i="50"/>
  <c r="L825" i="50"/>
  <c r="L811" i="50"/>
  <c r="H811" i="50"/>
  <c r="J808" i="50"/>
  <c r="R811" i="50" s="1"/>
  <c r="J816" i="50" s="1"/>
  <c r="K920" i="50"/>
  <c r="K919" i="50"/>
  <c r="K917" i="50"/>
  <c r="N916" i="50"/>
  <c r="J916" i="50"/>
  <c r="N915" i="50"/>
  <c r="J915" i="50"/>
  <c r="N914" i="50"/>
  <c r="J914" i="50"/>
  <c r="N903" i="50"/>
  <c r="N907" i="50" s="1"/>
  <c r="N908" i="50" s="1"/>
  <c r="N909" i="50" s="1"/>
  <c r="J903" i="50"/>
  <c r="J907" i="50" s="1"/>
  <c r="J908" i="50" s="1"/>
  <c r="J909" i="50" s="1"/>
  <c r="K867" i="50"/>
  <c r="M866" i="50"/>
  <c r="L865" i="50"/>
  <c r="N860" i="50"/>
  <c r="J860" i="50"/>
  <c r="N839" i="50"/>
  <c r="J839" i="50"/>
  <c r="L838" i="50"/>
  <c r="K837" i="50"/>
  <c r="K825" i="50"/>
  <c r="K811" i="50"/>
  <c r="M808" i="50"/>
  <c r="I808" i="50"/>
  <c r="N918" i="50" s="1"/>
  <c r="N920" i="50"/>
  <c r="J920" i="50"/>
  <c r="N919" i="50"/>
  <c r="J919" i="50"/>
  <c r="N917" i="50"/>
  <c r="J917" i="50"/>
  <c r="M916" i="50"/>
  <c r="I916" i="50"/>
  <c r="M915" i="50"/>
  <c r="I915" i="50"/>
  <c r="M914" i="50"/>
  <c r="I914" i="50"/>
  <c r="G811" i="50" s="1"/>
  <c r="M903" i="50"/>
  <c r="M907" i="50" s="1"/>
  <c r="M908" i="50" s="1"/>
  <c r="M909" i="50" s="1"/>
  <c r="N867" i="50"/>
  <c r="J867" i="50"/>
  <c r="L866" i="50"/>
  <c r="K865" i="50"/>
  <c r="M860" i="50"/>
  <c r="M839" i="50"/>
  <c r="K838" i="50"/>
  <c r="N837" i="50"/>
  <c r="J837" i="50"/>
  <c r="N825" i="50"/>
  <c r="J825" i="50"/>
  <c r="N811" i="50"/>
  <c r="J811" i="50"/>
  <c r="L808" i="50"/>
  <c r="J918" i="50"/>
  <c r="N1740" i="50"/>
  <c r="J1740" i="50"/>
  <c r="N1739" i="50"/>
  <c r="J1739" i="50"/>
  <c r="N1737" i="50"/>
  <c r="J1737" i="50"/>
  <c r="M1723" i="50"/>
  <c r="M1727" i="50" s="1"/>
  <c r="M1728" i="50" s="1"/>
  <c r="M1729" i="50" s="1"/>
  <c r="N1687" i="50"/>
  <c r="J1687" i="50"/>
  <c r="L1686" i="50"/>
  <c r="K1685" i="50"/>
  <c r="M1680" i="50"/>
  <c r="I1739" i="50"/>
  <c r="M1737" i="50"/>
  <c r="I1737" i="50"/>
  <c r="L1736" i="50"/>
  <c r="L1735" i="50"/>
  <c r="L1734" i="50"/>
  <c r="M1659" i="50"/>
  <c r="K1658" i="50"/>
  <c r="N1657" i="50"/>
  <c r="J1657" i="50"/>
  <c r="L1740" i="50"/>
  <c r="L1739" i="50"/>
  <c r="N1686" i="50"/>
  <c r="J1686" i="50"/>
  <c r="M1685" i="50"/>
  <c r="K1680" i="50"/>
  <c r="K1740" i="50"/>
  <c r="J1736" i="50"/>
  <c r="L1657" i="50"/>
  <c r="M1645" i="50"/>
  <c r="M1631" i="50"/>
  <c r="I1631" i="50"/>
  <c r="J1628" i="50"/>
  <c r="T1631" i="50" s="1"/>
  <c r="L1677" i="50" s="1"/>
  <c r="K1737" i="50"/>
  <c r="I1628" i="50"/>
  <c r="K1738" i="50" s="1"/>
  <c r="K1687" i="50"/>
  <c r="J1680" i="50"/>
  <c r="N1658" i="50"/>
  <c r="K1645" i="50"/>
  <c r="K1631" i="50"/>
  <c r="K1628" i="50"/>
  <c r="N1723" i="50"/>
  <c r="N1727" i="50" s="1"/>
  <c r="N1728" i="50" s="1"/>
  <c r="N1729" i="50" s="1"/>
  <c r="M1657" i="50"/>
  <c r="J1645" i="50"/>
  <c r="E1628" i="50"/>
  <c r="K1739" i="50"/>
  <c r="AA584" i="42"/>
  <c r="AD664" i="42"/>
  <c r="AD667" i="42" s="1"/>
  <c r="AD670" i="42" s="1"/>
  <c r="AL585" i="42"/>
  <c r="AL611" i="42"/>
  <c r="H944" i="37"/>
  <c r="AA581" i="42"/>
  <c r="AA588" i="42"/>
  <c r="AL604" i="42"/>
  <c r="P915" i="50"/>
  <c r="I941" i="50"/>
  <c r="I928" i="50"/>
  <c r="E965" i="50"/>
  <c r="J936" i="50"/>
  <c r="M928" i="50"/>
  <c r="M950" i="50"/>
  <c r="H948" i="50"/>
  <c r="H947" i="50"/>
  <c r="I933" i="50"/>
  <c r="N932" i="50"/>
  <c r="N953" i="50"/>
  <c r="I961" i="50"/>
  <c r="K949" i="50"/>
  <c r="L947" i="50"/>
  <c r="N946" i="50"/>
  <c r="M936" i="50"/>
  <c r="K962" i="50"/>
  <c r="K951" i="50"/>
  <c r="M964" i="50"/>
  <c r="K941" i="50"/>
  <c r="P867" i="50"/>
  <c r="N961" i="50"/>
  <c r="N930" i="50"/>
  <c r="J949" i="50"/>
  <c r="L935" i="50"/>
  <c r="P860" i="50"/>
  <c r="P858" i="50" s="1"/>
  <c r="H950" i="50"/>
  <c r="N948" i="50"/>
  <c r="H949" i="50"/>
  <c r="J930" i="50"/>
  <c r="P881" i="50"/>
  <c r="K931" i="50"/>
  <c r="H962" i="50"/>
  <c r="M944" i="50"/>
  <c r="H938" i="50"/>
  <c r="P828" i="50"/>
  <c r="N941" i="50"/>
  <c r="P927" i="50"/>
  <c r="L931" i="50"/>
  <c r="K947" i="50"/>
  <c r="S919" i="50"/>
  <c r="K958" i="50"/>
  <c r="K927" i="50"/>
  <c r="I950" i="50"/>
  <c r="N952" i="50"/>
  <c r="L944" i="50"/>
  <c r="J953" i="50"/>
  <c r="N956" i="50"/>
  <c r="N935" i="50"/>
  <c r="P928" i="50"/>
  <c r="P947" i="50"/>
  <c r="H946" i="50"/>
  <c r="L941" i="50"/>
  <c r="J962" i="50"/>
  <c r="P909" i="50"/>
  <c r="L953" i="50"/>
  <c r="H933" i="50"/>
  <c r="P964" i="50"/>
  <c r="M951" i="50"/>
  <c r="I930" i="50"/>
  <c r="I939" i="50"/>
  <c r="J941" i="50"/>
  <c r="H931" i="50"/>
  <c r="P946" i="50"/>
  <c r="P935" i="50"/>
  <c r="L932" i="50"/>
  <c r="H939" i="50"/>
  <c r="I935" i="50"/>
  <c r="H953" i="50"/>
  <c r="K946" i="50"/>
  <c r="M939" i="50"/>
  <c r="L927" i="50"/>
  <c r="J942" i="50"/>
  <c r="L965" i="50"/>
  <c r="I964" i="50"/>
  <c r="P936" i="50"/>
  <c r="N928" i="50"/>
  <c r="L939" i="50"/>
  <c r="J928" i="50"/>
  <c r="E964" i="50"/>
  <c r="N947" i="50"/>
  <c r="I958" i="50"/>
  <c r="H936" i="50"/>
  <c r="P965" i="50"/>
  <c r="H964" i="50"/>
  <c r="J965" i="50"/>
  <c r="M931" i="50"/>
  <c r="AL580" i="42"/>
  <c r="AL583" i="42"/>
  <c r="AA589" i="42"/>
  <c r="AL584" i="42"/>
  <c r="AL605" i="42"/>
  <c r="AL581" i="42"/>
  <c r="L955" i="50"/>
  <c r="J961" i="50"/>
  <c r="M945" i="50"/>
  <c r="K950" i="50"/>
  <c r="J955" i="50"/>
  <c r="P918" i="50"/>
  <c r="N939" i="50"/>
  <c r="I956" i="50"/>
  <c r="L945" i="50"/>
  <c r="L933" i="50"/>
  <c r="H945" i="50"/>
  <c r="K955" i="50"/>
  <c r="J938" i="50"/>
  <c r="K956" i="50"/>
  <c r="H952" i="50"/>
  <c r="L946" i="50"/>
  <c r="P857" i="50"/>
  <c r="M955" i="50"/>
  <c r="K942" i="50"/>
  <c r="I952" i="50"/>
  <c r="H944" i="50"/>
  <c r="L962" i="50"/>
  <c r="J939" i="50"/>
  <c r="J964" i="50"/>
  <c r="N936" i="50"/>
  <c r="J931" i="50"/>
  <c r="K928" i="50"/>
  <c r="L958" i="50"/>
  <c r="S917" i="50"/>
  <c r="P811" i="50"/>
  <c r="J945" i="50"/>
  <c r="K932" i="50"/>
  <c r="M927" i="50"/>
  <c r="M946" i="50"/>
  <c r="P948" i="50"/>
  <c r="N945" i="50"/>
  <c r="M948" i="50"/>
  <c r="P938" i="50"/>
  <c r="N964" i="50"/>
  <c r="H935" i="50"/>
  <c r="I944" i="50"/>
  <c r="M949" i="50"/>
  <c r="N944" i="50"/>
  <c r="J946" i="50"/>
  <c r="H958" i="50"/>
  <c r="H956" i="50"/>
  <c r="M930" i="50"/>
  <c r="AG666" i="42"/>
  <c r="AG669" i="42" s="1"/>
  <c r="AA585" i="42"/>
  <c r="K1880" i="37"/>
  <c r="L1886" i="37"/>
  <c r="AL609" i="42"/>
  <c r="AL603" i="42"/>
  <c r="AH666" i="42"/>
  <c r="AH669" i="42" s="1"/>
  <c r="AL588" i="42"/>
  <c r="AA109" i="62"/>
  <c r="AL608" i="42"/>
  <c r="AL606" i="42"/>
  <c r="AL612" i="42"/>
  <c r="AL589" i="42"/>
  <c r="AA580" i="42"/>
  <c r="AA586" i="42"/>
  <c r="AA582" i="42"/>
  <c r="AA269" i="42"/>
  <c r="AL586" i="42"/>
  <c r="AL582" i="42"/>
  <c r="AL657" i="42"/>
  <c r="AI664" i="42"/>
  <c r="AI667" i="42" s="1"/>
  <c r="AI670" i="42" s="1"/>
  <c r="AA583" i="42"/>
  <c r="S1795" i="50"/>
  <c r="AA117" i="62"/>
  <c r="V113" i="62"/>
  <c r="AA113" i="62" s="1"/>
  <c r="I477" i="50"/>
  <c r="I155" i="62"/>
  <c r="E147" i="41"/>
  <c r="G3" i="37"/>
  <c r="E92" i="50"/>
  <c r="I13" i="37"/>
  <c r="H35" i="37"/>
  <c r="G21" i="37"/>
  <c r="G22" i="37" s="1"/>
  <c r="G23" i="37" s="1"/>
  <c r="J771" i="42"/>
  <c r="V771" i="42"/>
  <c r="V669" i="42"/>
  <c r="V657" i="42"/>
  <c r="V667" i="42"/>
  <c r="M771" i="42"/>
  <c r="Y771" i="42"/>
  <c r="X771" i="42"/>
  <c r="L771" i="42"/>
  <c r="X823" i="42"/>
  <c r="Z823" i="42" s="1"/>
  <c r="L347" i="47"/>
  <c r="L242" i="47"/>
  <c r="L315" i="47"/>
  <c r="J2428" i="50"/>
  <c r="L174" i="47"/>
  <c r="L17" i="47"/>
  <c r="L106" i="47"/>
  <c r="L140" i="47"/>
  <c r="K2428" i="50"/>
  <c r="L282" i="47"/>
  <c r="L380" i="47"/>
  <c r="T823" i="42"/>
  <c r="D258" i="34"/>
  <c r="O258" i="34"/>
  <c r="R258" i="34" s="1"/>
  <c r="C259" i="34"/>
  <c r="Z667" i="42"/>
  <c r="Z657" i="42"/>
  <c r="Z669" i="42"/>
  <c r="H791" i="42"/>
  <c r="H695" i="42"/>
  <c r="V695" i="42"/>
  <c r="V694" i="42"/>
  <c r="J2389" i="50" s="1"/>
  <c r="V693" i="42"/>
  <c r="J694" i="42"/>
  <c r="J693" i="42"/>
  <c r="J2388" i="50" s="1"/>
  <c r="W694" i="42"/>
  <c r="K2389" i="50" s="1"/>
  <c r="K693" i="42"/>
  <c r="K2388" i="50" s="1"/>
  <c r="W693" i="42"/>
  <c r="W695" i="42"/>
  <c r="K694" i="42"/>
  <c r="E890" i="42"/>
  <c r="Q899" i="42"/>
  <c r="Q904" i="42"/>
  <c r="S916" i="42"/>
  <c r="Q901" i="42"/>
  <c r="Q906" i="42"/>
  <c r="Q907" i="42"/>
  <c r="Q898" i="42"/>
  <c r="Y667" i="42"/>
  <c r="Y669" i="42"/>
  <c r="Y657" i="42"/>
  <c r="L2405" i="50"/>
  <c r="M2383" i="50" s="1"/>
  <c r="K2400" i="50"/>
  <c r="J2387" i="50"/>
  <c r="N2387" i="50"/>
  <c r="M2387" i="50"/>
  <c r="K2387" i="50"/>
  <c r="L2387" i="50"/>
  <c r="K2405" i="50"/>
  <c r="L2383" i="50" s="1"/>
  <c r="G830" i="42"/>
  <c r="H838" i="42" s="1"/>
  <c r="Q830" i="42"/>
  <c r="W771" i="42"/>
  <c r="K771" i="42"/>
  <c r="Z771" i="42"/>
  <c r="N771" i="42"/>
  <c r="W667" i="42"/>
  <c r="W657" i="42"/>
  <c r="W669" i="42"/>
  <c r="X667" i="42"/>
  <c r="X669" i="42"/>
  <c r="X657" i="42"/>
  <c r="N2405" i="50"/>
  <c r="L2390" i="50"/>
  <c r="C2429" i="37"/>
  <c r="Q2127" i="37"/>
  <c r="I2127" i="37"/>
  <c r="H2149" i="37"/>
  <c r="G2135" i="37"/>
  <c r="G2136" i="37" s="1"/>
  <c r="G2137" i="37" s="1"/>
  <c r="J2400" i="50"/>
  <c r="K2390" i="50"/>
  <c r="M2405" i="50"/>
  <c r="N2383" i="50" s="1"/>
  <c r="AG729" i="42"/>
  <c r="AG752" i="42"/>
  <c r="AI728" i="42"/>
  <c r="AG755" i="42"/>
  <c r="AD751" i="42"/>
  <c r="AB736" i="42"/>
  <c r="AH736" i="42"/>
  <c r="AC757" i="42"/>
  <c r="AB757" i="42" s="1"/>
  <c r="AE734" i="42"/>
  <c r="AE735" i="42"/>
  <c r="AE804" i="42"/>
  <c r="AE810" i="42" s="1"/>
  <c r="AH758" i="42"/>
  <c r="AE731" i="42"/>
  <c r="AG734" i="42"/>
  <c r="AG756" i="42"/>
  <c r="AF751" i="42"/>
  <c r="AG731" i="42"/>
  <c r="AF757" i="42"/>
  <c r="AE757" i="42"/>
  <c r="AE733" i="42"/>
  <c r="AF758" i="42"/>
  <c r="AG750" i="42"/>
  <c r="AC751" i="42"/>
  <c r="AB751" i="42" s="1"/>
  <c r="AD759" i="42"/>
  <c r="AI759" i="42"/>
  <c r="AC754" i="42"/>
  <c r="AB754" i="42" s="1"/>
  <c r="AE750" i="42"/>
  <c r="AH750" i="42"/>
  <c r="AG753" i="42"/>
  <c r="AE727" i="42"/>
  <c r="AF732" i="42"/>
  <c r="AE755" i="42"/>
  <c r="AB727" i="42"/>
  <c r="G766" i="42"/>
  <c r="S760" i="42" s="1"/>
  <c r="Z684" i="42"/>
  <c r="AD757" i="42"/>
  <c r="AC731" i="42"/>
  <c r="AD755" i="42"/>
  <c r="AG759" i="42"/>
  <c r="AG730" i="42"/>
  <c r="AC733" i="42"/>
  <c r="AF728" i="42"/>
  <c r="AD728" i="42"/>
  <c r="AC752" i="42"/>
  <c r="AB752" i="42" s="1"/>
  <c r="AC728" i="42"/>
  <c r="AE756" i="42"/>
  <c r="AD736" i="42"/>
  <c r="AC758" i="42"/>
  <c r="AB758" i="42" s="1"/>
  <c r="AD752" i="42"/>
  <c r="AE754" i="42"/>
  <c r="AG757" i="42"/>
  <c r="AH757" i="42"/>
  <c r="AF752" i="42"/>
  <c r="AE730" i="42"/>
  <c r="AB732" i="42"/>
  <c r="AI755" i="42"/>
  <c r="AC734" i="42"/>
  <c r="AF754" i="42"/>
  <c r="AD732" i="42"/>
  <c r="W684" i="42"/>
  <c r="AF734" i="42"/>
  <c r="AC729" i="42"/>
  <c r="AE759" i="42"/>
  <c r="AC727" i="42"/>
  <c r="V684" i="42"/>
  <c r="AD733" i="42"/>
  <c r="AG736" i="42"/>
  <c r="AF729" i="42"/>
  <c r="AI731" i="42"/>
  <c r="AE728" i="42"/>
  <c r="AC730" i="42"/>
  <c r="AH728" i="42"/>
  <c r="AC735" i="42"/>
  <c r="AG732" i="42"/>
  <c r="AH804" i="42"/>
  <c r="AH810" i="42" s="1"/>
  <c r="AE732" i="42"/>
  <c r="AH731" i="42"/>
  <c r="AH733" i="42"/>
  <c r="AG733" i="42"/>
  <c r="AH756" i="42"/>
  <c r="AD730" i="42"/>
  <c r="AD758" i="42"/>
  <c r="AG735" i="42"/>
  <c r="AG728" i="42"/>
  <c r="AH759" i="42"/>
  <c r="AC759" i="42"/>
  <c r="AB759" i="42" s="1"/>
  <c r="AD735" i="42"/>
  <c r="AE758" i="42"/>
  <c r="AC756" i="42"/>
  <c r="AB756" i="42" s="1"/>
  <c r="AD804" i="42"/>
  <c r="AD810" i="42" s="1"/>
  <c r="AD754" i="42"/>
  <c r="T684" i="42"/>
  <c r="AB730" i="42"/>
  <c r="AI733" i="42"/>
  <c r="AF759" i="42"/>
  <c r="AD729" i="42"/>
  <c r="AI756" i="42"/>
  <c r="AD753" i="42"/>
  <c r="T2406" i="50"/>
  <c r="AC753" i="42"/>
  <c r="AB753" i="42" s="1"/>
  <c r="AH751" i="42"/>
  <c r="AH734" i="42"/>
  <c r="AI754" i="42"/>
  <c r="AE752" i="42"/>
  <c r="AD750" i="42"/>
  <c r="AB733" i="42"/>
  <c r="AF755" i="42"/>
  <c r="AH754" i="42"/>
  <c r="AC804" i="42"/>
  <c r="AI732" i="42"/>
  <c r="U684" i="42"/>
  <c r="AI752" i="42"/>
  <c r="AI751" i="42"/>
  <c r="AB731" i="42"/>
  <c r="AE729" i="42"/>
  <c r="AH735" i="42"/>
  <c r="AI730" i="42"/>
  <c r="AG804" i="42"/>
  <c r="AG810" i="42" s="1"/>
  <c r="AH753" i="42"/>
  <c r="AC755" i="42"/>
  <c r="AB755" i="42" s="1"/>
  <c r="AF756" i="42"/>
  <c r="AG727" i="42"/>
  <c r="AB734" i="42"/>
  <c r="AH755" i="42"/>
  <c r="AH732" i="42"/>
  <c r="AH727" i="42"/>
  <c r="AF733" i="42"/>
  <c r="AF730" i="42"/>
  <c r="AI729" i="42"/>
  <c r="AI753" i="42"/>
  <c r="AF731" i="42"/>
  <c r="AI804" i="42"/>
  <c r="AI810" i="42" s="1"/>
  <c r="AB729" i="42"/>
  <c r="AD731" i="42"/>
  <c r="AG758" i="42"/>
  <c r="AI735" i="42"/>
  <c r="AB728" i="42"/>
  <c r="AC732" i="42"/>
  <c r="AH752" i="42"/>
  <c r="AH730" i="42"/>
  <c r="AI734" i="42"/>
  <c r="AC750" i="42"/>
  <c r="AB750" i="42" s="1"/>
  <c r="AG754" i="42"/>
  <c r="AI736" i="42"/>
  <c r="AG751" i="42"/>
  <c r="AF735" i="42"/>
  <c r="AB735" i="42"/>
  <c r="AE736" i="42"/>
  <c r="Y684" i="42"/>
  <c r="AD727" i="42"/>
  <c r="AI757" i="42"/>
  <c r="AF736" i="42"/>
  <c r="AH729" i="42"/>
  <c r="AD734" i="42"/>
  <c r="AC736" i="42"/>
  <c r="AI750" i="42"/>
  <c r="AF753" i="42"/>
  <c r="AE753" i="42"/>
  <c r="AF727" i="42"/>
  <c r="AI727" i="42"/>
  <c r="AD756" i="42"/>
  <c r="AE751" i="42"/>
  <c r="AF804" i="42"/>
  <c r="AF810" i="42" s="1"/>
  <c r="AF750" i="42"/>
  <c r="AI758" i="42"/>
  <c r="AB676" i="42"/>
  <c r="X684" i="42"/>
  <c r="Z694" i="42"/>
  <c r="N2389" i="50" s="1"/>
  <c r="Z693" i="42"/>
  <c r="Z695" i="42"/>
  <c r="N694" i="42"/>
  <c r="N693" i="42"/>
  <c r="N2388" i="50" s="1"/>
  <c r="M901" i="42"/>
  <c r="J907" i="42"/>
  <c r="V898" i="42"/>
  <c r="J898" i="42" s="1"/>
  <c r="J904" i="42"/>
  <c r="J906" i="42" s="1"/>
  <c r="M907" i="42"/>
  <c r="T883" i="42"/>
  <c r="X883" i="42"/>
  <c r="Z883" i="42" s="1"/>
  <c r="AL916" i="42"/>
  <c r="L904" i="42"/>
  <c r="L906" i="42" s="1"/>
  <c r="K907" i="42"/>
  <c r="N901" i="42"/>
  <c r="J901" i="42"/>
  <c r="W898" i="42"/>
  <c r="K898" i="42" s="1"/>
  <c r="N907" i="42"/>
  <c r="I901" i="42"/>
  <c r="I907" i="42" s="1"/>
  <c r="Y898" i="42"/>
  <c r="M898" i="42" s="1"/>
  <c r="K904" i="42"/>
  <c r="K906" i="42" s="1"/>
  <c r="I884" i="42"/>
  <c r="L901" i="42"/>
  <c r="M904" i="42"/>
  <c r="M906" i="42" s="1"/>
  <c r="L907" i="42"/>
  <c r="X898" i="42"/>
  <c r="L898" i="42" s="1"/>
  <c r="N904" i="42"/>
  <c r="N906" i="42" s="1"/>
  <c r="Z898" i="42"/>
  <c r="N898" i="42" s="1"/>
  <c r="K901" i="42"/>
  <c r="AD883" i="42"/>
  <c r="U657" i="42"/>
  <c r="U667" i="42"/>
  <c r="U669" i="42"/>
  <c r="J2326" i="50"/>
  <c r="U2349" i="50"/>
  <c r="J2390" i="50"/>
  <c r="Y695" i="42"/>
  <c r="M693" i="42"/>
  <c r="M2388" i="50" s="1"/>
  <c r="Y694" i="42"/>
  <c r="M2389" i="50" s="1"/>
  <c r="Y693" i="42"/>
  <c r="M694" i="42"/>
  <c r="X694" i="42"/>
  <c r="L2389" i="50" s="1"/>
  <c r="L693" i="42"/>
  <c r="L2388" i="50" s="1"/>
  <c r="L694" i="42"/>
  <c r="X693" i="42"/>
  <c r="X695" i="42"/>
  <c r="AC21" i="49"/>
  <c r="AH21" i="49"/>
  <c r="W16" i="41"/>
  <c r="AF21" i="49"/>
  <c r="X16" i="41"/>
  <c r="V16" i="41"/>
  <c r="AA16" i="41"/>
  <c r="AB16" i="41"/>
  <c r="AD21" i="49"/>
  <c r="AB21" i="49"/>
  <c r="Y16" i="41"/>
  <c r="Z16" i="41"/>
  <c r="AE21" i="49"/>
  <c r="AG21" i="49"/>
  <c r="D66" i="62"/>
  <c r="G177" i="62" s="1"/>
  <c r="AF369" i="42"/>
  <c r="AF359" i="42"/>
  <c r="T400" i="42"/>
  <c r="U384" i="42"/>
  <c r="U349" i="42"/>
  <c r="U396" i="42"/>
  <c r="U400" i="42"/>
  <c r="U388" i="42"/>
  <c r="U392" i="42"/>
  <c r="AH369" i="42"/>
  <c r="AH359" i="42"/>
  <c r="AL268" i="42"/>
  <c r="AI165" i="42"/>
  <c r="AI163" i="42"/>
  <c r="AI186" i="42"/>
  <c r="AI190" i="42" s="1"/>
  <c r="AI194" i="42" s="1"/>
  <c r="AI198" i="42" s="1"/>
  <c r="AI202" i="42" s="1"/>
  <c r="AL271" i="42"/>
  <c r="AD165" i="42"/>
  <c r="AD186" i="42"/>
  <c r="AD190" i="42" s="1"/>
  <c r="AD194" i="42" s="1"/>
  <c r="AD198" i="42" s="1"/>
  <c r="AD202" i="42" s="1"/>
  <c r="AD163" i="42"/>
  <c r="AL290" i="42"/>
  <c r="AA111" i="62"/>
  <c r="V1877" i="37"/>
  <c r="V1902" i="37"/>
  <c r="J1902" i="37" s="1"/>
  <c r="V2065" i="37"/>
  <c r="J2065" i="37" s="1"/>
  <c r="J1847" i="37"/>
  <c r="AA271" i="42"/>
  <c r="AA112" i="62"/>
  <c r="AA115" i="62"/>
  <c r="AA114" i="62"/>
  <c r="AC664" i="42"/>
  <c r="AL663" i="42"/>
  <c r="AC666" i="42"/>
  <c r="AL287" i="42"/>
  <c r="AL264" i="42"/>
  <c r="AL289" i="42"/>
  <c r="I398" i="47"/>
  <c r="U515" i="42"/>
  <c r="U472" i="42"/>
  <c r="U523" i="42"/>
  <c r="U519" i="42"/>
  <c r="U507" i="42"/>
  <c r="U511" i="42"/>
  <c r="Z515" i="42"/>
  <c r="Z507" i="42"/>
  <c r="Z511" i="42"/>
  <c r="Z472" i="42"/>
  <c r="Z519" i="42"/>
  <c r="Z523" i="42"/>
  <c r="Z431" i="42"/>
  <c r="J2266" i="50"/>
  <c r="U2282" i="50"/>
  <c r="AG163" i="42"/>
  <c r="AG165" i="42"/>
  <c r="AG186" i="42"/>
  <c r="AG190" i="42" s="1"/>
  <c r="AG194" i="42" s="1"/>
  <c r="AG198" i="42" s="1"/>
  <c r="AG202" i="42" s="1"/>
  <c r="AA268" i="42"/>
  <c r="AF492" i="42"/>
  <c r="AF482" i="42"/>
  <c r="AC163" i="42"/>
  <c r="AL162" i="42"/>
  <c r="AC186" i="42"/>
  <c r="AC165" i="42"/>
  <c r="X396" i="42"/>
  <c r="X392" i="42"/>
  <c r="X400" i="42"/>
  <c r="X388" i="42"/>
  <c r="X384" i="42"/>
  <c r="X349" i="42"/>
  <c r="Z392" i="42"/>
  <c r="Z396" i="42"/>
  <c r="Z349" i="42"/>
  <c r="Z388" i="42"/>
  <c r="Z384" i="42"/>
  <c r="Z400" i="42"/>
  <c r="AF165" i="42"/>
  <c r="AF186" i="42"/>
  <c r="AF190" i="42" s="1"/>
  <c r="AF194" i="42" s="1"/>
  <c r="AF198" i="42" s="1"/>
  <c r="AF202" i="42" s="1"/>
  <c r="AF163" i="42"/>
  <c r="I220" i="47"/>
  <c r="AL265" i="42"/>
  <c r="AL266" i="42"/>
  <c r="AL292" i="42"/>
  <c r="AC1264" i="37"/>
  <c r="AL293" i="42"/>
  <c r="AC359" i="42"/>
  <c r="AL349" i="42"/>
  <c r="AC369" i="42"/>
  <c r="AA267" i="42"/>
  <c r="AL270" i="42"/>
  <c r="V523" i="42"/>
  <c r="V515" i="42"/>
  <c r="V511" i="42"/>
  <c r="V431" i="42"/>
  <c r="V519" i="42"/>
  <c r="V507" i="42"/>
  <c r="V472" i="42"/>
  <c r="X472" i="42"/>
  <c r="X511" i="42"/>
  <c r="X519" i="42"/>
  <c r="X507" i="42"/>
  <c r="X431" i="42"/>
  <c r="X515" i="42"/>
  <c r="X523" i="42"/>
  <c r="AL472" i="42"/>
  <c r="AC492" i="42"/>
  <c r="AC482" i="42"/>
  <c r="AD359" i="42"/>
  <c r="AD369" i="42"/>
  <c r="AA262" i="42"/>
  <c r="AL267" i="42"/>
  <c r="R1631" i="50"/>
  <c r="U1631" i="50"/>
  <c r="AD482" i="42"/>
  <c r="AD492" i="42"/>
  <c r="AI359" i="42"/>
  <c r="AI369" i="42"/>
  <c r="AG482" i="42"/>
  <c r="AG492" i="42"/>
  <c r="W392" i="42"/>
  <c r="W396" i="42"/>
  <c r="W384" i="42"/>
  <c r="W349" i="42"/>
  <c r="W400" i="42"/>
  <c r="W388" i="42"/>
  <c r="V400" i="42"/>
  <c r="V349" i="42"/>
  <c r="V388" i="42"/>
  <c r="V384" i="42"/>
  <c r="V392" i="42"/>
  <c r="V396" i="42"/>
  <c r="AI482" i="42"/>
  <c r="AI492" i="42"/>
  <c r="AC1868" i="37"/>
  <c r="AK1868" i="37" s="1"/>
  <c r="AL286" i="42"/>
  <c r="AH163" i="42"/>
  <c r="AH186" i="42"/>
  <c r="AH190" i="42" s="1"/>
  <c r="AH194" i="42" s="1"/>
  <c r="AH198" i="42" s="1"/>
  <c r="AH202" i="42" s="1"/>
  <c r="H1872" i="37"/>
  <c r="N1877" i="37"/>
  <c r="AL288" i="42"/>
  <c r="AC358" i="37"/>
  <c r="AA263" i="42"/>
  <c r="AA264" i="42"/>
  <c r="AL262" i="42"/>
  <c r="W519" i="42"/>
  <c r="W523" i="42"/>
  <c r="W507" i="42"/>
  <c r="W431" i="42"/>
  <c r="W515" i="42"/>
  <c r="W511" i="42"/>
  <c r="W472" i="42"/>
  <c r="Y515" i="42"/>
  <c r="Y507" i="42"/>
  <c r="Y519" i="42"/>
  <c r="Y523" i="42"/>
  <c r="Y511" i="42"/>
  <c r="Y472" i="42"/>
  <c r="Y431" i="42"/>
  <c r="AE165" i="42"/>
  <c r="AE163" i="42"/>
  <c r="AE186" i="42"/>
  <c r="AE190" i="42" s="1"/>
  <c r="AE194" i="42" s="1"/>
  <c r="AE198" i="42" s="1"/>
  <c r="AE202" i="42" s="1"/>
  <c r="Y392" i="42"/>
  <c r="Y384" i="42"/>
  <c r="Y388" i="42"/>
  <c r="Y396" i="42"/>
  <c r="Y400" i="42"/>
  <c r="Y349" i="42"/>
  <c r="J2200" i="50"/>
  <c r="U2223" i="50"/>
  <c r="AA270" i="42"/>
  <c r="AL269" i="42"/>
  <c r="AA118" i="62"/>
  <c r="AG359" i="42"/>
  <c r="AG369" i="42"/>
  <c r="AH482" i="42"/>
  <c r="AH492" i="42"/>
  <c r="I2065" i="37"/>
  <c r="AE482" i="42"/>
  <c r="AE492" i="42"/>
  <c r="AL263" i="42"/>
  <c r="AA265" i="42"/>
  <c r="AA266" i="42"/>
  <c r="AL294" i="42"/>
  <c r="AE359" i="42"/>
  <c r="AE369" i="42"/>
  <c r="P901" i="50"/>
  <c r="A903" i="50"/>
  <c r="A849" i="50"/>
  <c r="P847" i="50"/>
  <c r="AL291" i="42"/>
  <c r="AL285" i="42"/>
  <c r="T519" i="42"/>
  <c r="T507" i="42"/>
  <c r="AA110" i="62" l="1"/>
  <c r="H1120" i="50"/>
  <c r="J1113" i="50"/>
  <c r="K1079" i="50"/>
  <c r="L1007" i="50" s="1"/>
  <c r="P992" i="50"/>
  <c r="H1091" i="50"/>
  <c r="M1119" i="50"/>
  <c r="N1095" i="50"/>
  <c r="K1128" i="50"/>
  <c r="N1024" i="50"/>
  <c r="K1080" i="50"/>
  <c r="L1050" i="50" s="1"/>
  <c r="M1120" i="50"/>
  <c r="P1112" i="50"/>
  <c r="K1102" i="50"/>
  <c r="J1120" i="50"/>
  <c r="L989" i="50"/>
  <c r="L1094" i="50"/>
  <c r="P1110" i="50"/>
  <c r="H340" i="37"/>
  <c r="L1092" i="50"/>
  <c r="J1031" i="50"/>
  <c r="K1116" i="50"/>
  <c r="L1111" i="50"/>
  <c r="S1079" i="50"/>
  <c r="N1631" i="50"/>
  <c r="L1631" i="50"/>
  <c r="N1685" i="50"/>
  <c r="I1735" i="50"/>
  <c r="L1120" i="50"/>
  <c r="M1096" i="50"/>
  <c r="J1097" i="50"/>
  <c r="K1081" i="50"/>
  <c r="L1051" i="50" s="1"/>
  <c r="I1117" i="50"/>
  <c r="K1129" i="50"/>
  <c r="K1115" i="50"/>
  <c r="H928" i="37"/>
  <c r="Q990" i="37"/>
  <c r="T472" i="42"/>
  <c r="AI1834" i="37"/>
  <c r="AK1835" i="37"/>
  <c r="P1842" i="50"/>
  <c r="T657" i="42"/>
  <c r="V1631" i="50"/>
  <c r="N1635" i="50" s="1"/>
  <c r="N1735" i="50"/>
  <c r="L1685" i="50"/>
  <c r="L1645" i="50"/>
  <c r="J1723" i="50"/>
  <c r="J1727" i="50" s="1"/>
  <c r="J1728" i="50" s="1"/>
  <c r="J1729" i="50" s="1"/>
  <c r="K1735" i="50"/>
  <c r="K1686" i="50"/>
  <c r="L1658" i="50"/>
  <c r="M1735" i="50"/>
  <c r="N1652" i="50" s="1"/>
  <c r="I1096" i="50"/>
  <c r="K1106" i="50"/>
  <c r="M1103" i="50"/>
  <c r="N1100" i="50"/>
  <c r="J1001" i="50"/>
  <c r="K1083" i="50"/>
  <c r="L1000" i="50" s="1"/>
  <c r="P1126" i="50"/>
  <c r="J1112" i="50"/>
  <c r="P1424" i="50"/>
  <c r="H1422" i="50"/>
  <c r="M1422" i="50"/>
  <c r="N1411" i="50"/>
  <c r="P1401" i="50"/>
  <c r="M1408" i="50"/>
  <c r="N1325" i="50" s="1"/>
  <c r="P1419" i="50"/>
  <c r="P1010" i="50"/>
  <c r="L1168" i="37"/>
  <c r="L1109" i="50"/>
  <c r="M1100" i="50"/>
  <c r="L1030" i="50"/>
  <c r="L1119" i="50"/>
  <c r="N1031" i="50"/>
  <c r="AC1834" i="37"/>
  <c r="N1847" i="37"/>
  <c r="N1849" i="37" s="1"/>
  <c r="J1345" i="50"/>
  <c r="L1687" i="50"/>
  <c r="H1111" i="50"/>
  <c r="K1003" i="50"/>
  <c r="E120" i="50"/>
  <c r="E235" i="50" s="1"/>
  <c r="I235" i="50" s="1"/>
  <c r="J1099" i="50"/>
  <c r="AD1834" i="37"/>
  <c r="N1645" i="50"/>
  <c r="I1740" i="50"/>
  <c r="V1740" i="50" s="1"/>
  <c r="J1092" i="50"/>
  <c r="J1084" i="50"/>
  <c r="H1094" i="50"/>
  <c r="J1168" i="37"/>
  <c r="AA116" i="62"/>
  <c r="M1658" i="50"/>
  <c r="N1736" i="50"/>
  <c r="K1657" i="50"/>
  <c r="J1734" i="50"/>
  <c r="K1662" i="50" s="1"/>
  <c r="K1736" i="50"/>
  <c r="L1681" i="50" s="1"/>
  <c r="M1687" i="50"/>
  <c r="J1659" i="50"/>
  <c r="I1736" i="50"/>
  <c r="M1094" i="50"/>
  <c r="P1109" i="50"/>
  <c r="P1120" i="50"/>
  <c r="P1102" i="50"/>
  <c r="M1024" i="50"/>
  <c r="K1084" i="50"/>
  <c r="J1106" i="50"/>
  <c r="J1094" i="50"/>
  <c r="N1447" i="50"/>
  <c r="P1349" i="50"/>
  <c r="M1445" i="50"/>
  <c r="I1303" i="50"/>
  <c r="N1440" i="50"/>
  <c r="L1406" i="50"/>
  <c r="L1110" i="50"/>
  <c r="Q1193" i="37"/>
  <c r="P1017" i="50"/>
  <c r="H1108" i="50"/>
  <c r="J1003" i="50"/>
  <c r="H1103" i="50"/>
  <c r="J972" i="50"/>
  <c r="V975" i="50" s="1"/>
  <c r="N980" i="50" s="1"/>
  <c r="I1902" i="37"/>
  <c r="M1030" i="50"/>
  <c r="P1105" i="50"/>
  <c r="E267" i="41"/>
  <c r="E313" i="41" s="1"/>
  <c r="Z2065" i="37"/>
  <c r="N2065" i="37" s="1"/>
  <c r="L1128" i="50"/>
  <c r="J1115" i="50"/>
  <c r="L1031" i="50"/>
  <c r="L1001" i="50"/>
  <c r="P1106" i="50"/>
  <c r="W1902" i="37"/>
  <c r="K1902" i="37" s="1"/>
  <c r="W1905" i="37" s="1"/>
  <c r="Z1902" i="37"/>
  <c r="N1902" i="37" s="1"/>
  <c r="Z1905" i="37" s="1"/>
  <c r="P1073" i="50"/>
  <c r="L1116" i="50"/>
  <c r="H1095" i="50"/>
  <c r="M1067" i="50"/>
  <c r="M1071" i="50" s="1"/>
  <c r="M1072" i="50" s="1"/>
  <c r="M1073" i="50" s="1"/>
  <c r="L1002" i="50"/>
  <c r="M1110" i="50"/>
  <c r="P100" i="50"/>
  <c r="I1110" i="50"/>
  <c r="AL919" i="37"/>
  <c r="J1631" i="50"/>
  <c r="M1628" i="50"/>
  <c r="J1658" i="50"/>
  <c r="L1680" i="50"/>
  <c r="M1739" i="50"/>
  <c r="I1734" i="50"/>
  <c r="G1631" i="50" s="1"/>
  <c r="P1045" i="50"/>
  <c r="L1122" i="50"/>
  <c r="K1110" i="50"/>
  <c r="I1078" i="50"/>
  <c r="G975" i="50" s="1"/>
  <c r="L1067" i="50"/>
  <c r="L1071" i="50" s="1"/>
  <c r="L1072" i="50" s="1"/>
  <c r="L1073" i="50" s="1"/>
  <c r="I1106" i="50"/>
  <c r="L1117" i="50"/>
  <c r="J929" i="37"/>
  <c r="AK960" i="37"/>
  <c r="H1631" i="50"/>
  <c r="K1659" i="50"/>
  <c r="K1723" i="50"/>
  <c r="K1727" i="50" s="1"/>
  <c r="K1728" i="50" s="1"/>
  <c r="K1729" i="50" s="1"/>
  <c r="J1685" i="50"/>
  <c r="M1734" i="50"/>
  <c r="E1126" i="50"/>
  <c r="P1111" i="50"/>
  <c r="N1128" i="50"/>
  <c r="J989" i="50"/>
  <c r="M1084" i="50"/>
  <c r="M1125" i="50"/>
  <c r="L1108" i="50"/>
  <c r="H929" i="37"/>
  <c r="AH1834" i="37"/>
  <c r="X1877" i="37"/>
  <c r="L1659" i="50"/>
  <c r="M1686" i="50"/>
  <c r="K1734" i="50"/>
  <c r="M1740" i="50"/>
  <c r="H1117" i="50"/>
  <c r="N989" i="50"/>
  <c r="T511" i="42"/>
  <c r="AE1834" i="37"/>
  <c r="Q263" i="41"/>
  <c r="T515" i="42"/>
  <c r="AF1834" i="37"/>
  <c r="A860" i="50"/>
  <c r="N1734" i="50"/>
  <c r="L1628" i="50"/>
  <c r="N1680" i="50"/>
  <c r="J1735" i="50"/>
  <c r="K1719" i="50" s="1"/>
  <c r="L1737" i="50"/>
  <c r="M1682" i="50" s="1"/>
  <c r="L1723" i="50"/>
  <c r="L1727" i="50" s="1"/>
  <c r="L1728" i="50" s="1"/>
  <c r="L1729" i="50" s="1"/>
  <c r="N1659" i="50"/>
  <c r="S1084" i="50"/>
  <c r="P1079" i="50"/>
  <c r="L1095" i="50"/>
  <c r="J1119" i="50"/>
  <c r="K989" i="50"/>
  <c r="K1067" i="50"/>
  <c r="K1071" i="50" s="1"/>
  <c r="K1072" i="50" s="1"/>
  <c r="K1073" i="50" s="1"/>
  <c r="I1109" i="50"/>
  <c r="I1097" i="50"/>
  <c r="M1423" i="50"/>
  <c r="J1448" i="50"/>
  <c r="L1424" i="50"/>
  <c r="L1329" i="50"/>
  <c r="K1430" i="50"/>
  <c r="H1126" i="50"/>
  <c r="J1126" i="50"/>
  <c r="M561" i="37"/>
  <c r="M563" i="37" s="1"/>
  <c r="S450" i="37"/>
  <c r="I1108" i="50"/>
  <c r="J1738" i="50"/>
  <c r="N1106" i="50"/>
  <c r="H1116" i="50"/>
  <c r="I1114" i="50"/>
  <c r="I1100" i="50"/>
  <c r="K1117" i="50"/>
  <c r="J1091" i="50"/>
  <c r="L1112" i="50"/>
  <c r="N1113" i="50"/>
  <c r="K1097" i="50"/>
  <c r="L1100" i="50"/>
  <c r="P1114" i="50"/>
  <c r="I975" i="50"/>
  <c r="M1079" i="50"/>
  <c r="N996" i="50" s="1"/>
  <c r="N1030" i="50"/>
  <c r="M1078" i="50"/>
  <c r="N1006" i="50" s="1"/>
  <c r="L1029" i="50"/>
  <c r="J1002" i="50"/>
  <c r="L1081" i="50"/>
  <c r="L1078" i="50"/>
  <c r="J1125" i="50"/>
  <c r="H1128" i="50"/>
  <c r="N1111" i="50"/>
  <c r="I1116" i="50"/>
  <c r="L1113" i="50"/>
  <c r="Q324" i="37"/>
  <c r="T351" i="37"/>
  <c r="K376" i="37" s="1"/>
  <c r="Q367" i="37"/>
  <c r="I1119" i="50"/>
  <c r="N1117" i="50"/>
  <c r="I1103" i="50"/>
  <c r="R969" i="50"/>
  <c r="D2527" i="50" s="1"/>
  <c r="D2570" i="50" s="1"/>
  <c r="Q551" i="37"/>
  <c r="S1738" i="50"/>
  <c r="A1833" i="50"/>
  <c r="I1111" i="50"/>
  <c r="J1122" i="50"/>
  <c r="I1094" i="50"/>
  <c r="J1103" i="50"/>
  <c r="H1110" i="50"/>
  <c r="N1122" i="50"/>
  <c r="H1102" i="50"/>
  <c r="P1103" i="50"/>
  <c r="H1099" i="50"/>
  <c r="H1115" i="50"/>
  <c r="K1100" i="50"/>
  <c r="M975" i="50"/>
  <c r="I1080" i="50"/>
  <c r="N1067" i="50"/>
  <c r="N1071" i="50" s="1"/>
  <c r="N1072" i="50" s="1"/>
  <c r="N1073" i="50" s="1"/>
  <c r="I1079" i="50"/>
  <c r="J1030" i="50"/>
  <c r="N1002" i="50"/>
  <c r="L1083" i="50"/>
  <c r="M1042" i="50" s="1"/>
  <c r="L1079" i="50"/>
  <c r="S1080" i="50"/>
  <c r="H1129" i="50"/>
  <c r="N1110" i="50"/>
  <c r="K1094" i="50"/>
  <c r="K1122" i="50"/>
  <c r="Q337" i="37"/>
  <c r="S583" i="37"/>
  <c r="Q499" i="37"/>
  <c r="I340" i="37"/>
  <c r="I346" i="37" s="1"/>
  <c r="P1003" i="50"/>
  <c r="N1115" i="50"/>
  <c r="N1099" i="50"/>
  <c r="M1102" i="50"/>
  <c r="P1125" i="50"/>
  <c r="T315" i="37"/>
  <c r="M340" i="37"/>
  <c r="L1106" i="50"/>
  <c r="P1129" i="50"/>
  <c r="P1024" i="50"/>
  <c r="A1024" i="50" s="1"/>
  <c r="M1091" i="50"/>
  <c r="P975" i="50"/>
  <c r="N1097" i="50"/>
  <c r="P1100" i="50"/>
  <c r="N1119" i="50"/>
  <c r="J1102" i="50"/>
  <c r="P1116" i="50"/>
  <c r="P1094" i="50"/>
  <c r="M989" i="50"/>
  <c r="N1083" i="50"/>
  <c r="J1078" i="50"/>
  <c r="K1020" i="50" s="1"/>
  <c r="M1080" i="50"/>
  <c r="N1008" i="50" s="1"/>
  <c r="K1031" i="50"/>
  <c r="L1003" i="50"/>
  <c r="L1084" i="50"/>
  <c r="L1080" i="50"/>
  <c r="N1125" i="50"/>
  <c r="N1109" i="50"/>
  <c r="P1115" i="50"/>
  <c r="H1106" i="50"/>
  <c r="K1092" i="50"/>
  <c r="Q607" i="37"/>
  <c r="J558" i="37"/>
  <c r="K325" i="37"/>
  <c r="J351" i="37"/>
  <c r="K1125" i="50"/>
  <c r="M1105" i="50"/>
  <c r="K1112" i="50"/>
  <c r="N1120" i="50"/>
  <c r="L1105" i="50"/>
  <c r="Y1877" i="37"/>
  <c r="N1102" i="50"/>
  <c r="P1095" i="50"/>
  <c r="L1115" i="50"/>
  <c r="H1113" i="50"/>
  <c r="L1125" i="50"/>
  <c r="J1110" i="50"/>
  <c r="P1113" i="50"/>
  <c r="I1126" i="50"/>
  <c r="M1129" i="50"/>
  <c r="I1129" i="50"/>
  <c r="H1105" i="50"/>
  <c r="M1001" i="50"/>
  <c r="N1084" i="50"/>
  <c r="N1079" i="50"/>
  <c r="N1081" i="50"/>
  <c r="J1067" i="50"/>
  <c r="J1071" i="50" s="1"/>
  <c r="J1072" i="50" s="1"/>
  <c r="J1073" i="50" s="1"/>
  <c r="K1024" i="50"/>
  <c r="N1001" i="50"/>
  <c r="I1081" i="50"/>
  <c r="J1114" i="50"/>
  <c r="P1082" i="50"/>
  <c r="H1097" i="50"/>
  <c r="M1115" i="50"/>
  <c r="P1067" i="50"/>
  <c r="A1067" i="50" s="1"/>
  <c r="Q325" i="37"/>
  <c r="N325" i="37"/>
  <c r="W337" i="37"/>
  <c r="K337" i="37" s="1"/>
  <c r="W339" i="37" s="1"/>
  <c r="J395" i="37"/>
  <c r="K1099" i="50"/>
  <c r="P1096" i="50"/>
  <c r="I1105" i="50"/>
  <c r="P979" i="50"/>
  <c r="Q1143" i="37"/>
  <c r="Q1133" i="37"/>
  <c r="J944" i="37"/>
  <c r="Q1165" i="37"/>
  <c r="K947" i="37"/>
  <c r="K949" i="37" s="1"/>
  <c r="Q1062" i="37"/>
  <c r="E927" i="37"/>
  <c r="Q1155" i="37"/>
  <c r="AG1125" i="37"/>
  <c r="AD1127" i="37" s="1"/>
  <c r="AD1136" i="37" s="1"/>
  <c r="AD1145" i="37" s="1"/>
  <c r="AD1171" i="37" s="1"/>
  <c r="AD1180" i="37" s="1"/>
  <c r="Q928" i="37"/>
  <c r="J928" i="37"/>
  <c r="S1054" i="37"/>
  <c r="L929" i="37"/>
  <c r="K1002" i="37"/>
  <c r="K1004" i="37" s="1"/>
  <c r="S1103" i="37"/>
  <c r="Q1081" i="37"/>
  <c r="Z941" i="37"/>
  <c r="J955" i="37"/>
  <c r="N928" i="37"/>
  <c r="L1002" i="37"/>
  <c r="L1004" i="37" s="1"/>
  <c r="M944" i="37"/>
  <c r="K928" i="37"/>
  <c r="S1177" i="37"/>
  <c r="AG1204" i="37"/>
  <c r="Q1113" i="37"/>
  <c r="Q1211" i="37"/>
  <c r="M929" i="37"/>
  <c r="Y941" i="37"/>
  <c r="E1199" i="37"/>
  <c r="L950" i="37"/>
  <c r="Q1212" i="37"/>
  <c r="E1054" i="37"/>
  <c r="S1093" i="37"/>
  <c r="N1002" i="37"/>
  <c r="N1004" i="37" s="1"/>
  <c r="S1120" i="37"/>
  <c r="S1121" i="37"/>
  <c r="R962" i="37"/>
  <c r="Q1112" i="37"/>
  <c r="K1165" i="37"/>
  <c r="K1167" i="37" s="1"/>
  <c r="I961" i="37"/>
  <c r="N944" i="37"/>
  <c r="N1005" i="37"/>
  <c r="M1168" i="37"/>
  <c r="Q1178" i="37"/>
  <c r="I999" i="37"/>
  <c r="I1005" i="37" s="1"/>
  <c r="M1005" i="37"/>
  <c r="J983" i="37"/>
  <c r="K1005" i="37"/>
  <c r="Q1153" i="37"/>
  <c r="N929" i="37"/>
  <c r="N947" i="37"/>
  <c r="N949" i="37" s="1"/>
  <c r="R931" i="37"/>
  <c r="L999" i="37"/>
  <c r="Q1093" i="37"/>
  <c r="Q947" i="37"/>
  <c r="Q977" i="37"/>
  <c r="I929" i="37"/>
  <c r="I944" i="37"/>
  <c r="I950" i="37" s="1"/>
  <c r="N1168" i="37"/>
  <c r="K961" i="37"/>
  <c r="Q996" i="37"/>
  <c r="I996" i="37" s="1"/>
  <c r="N999" i="37"/>
  <c r="W941" i="37"/>
  <c r="Q1152" i="37"/>
  <c r="L1162" i="37"/>
  <c r="Q1121" i="37"/>
  <c r="Q1117" i="37"/>
  <c r="I1034" i="37"/>
  <c r="M1165" i="37"/>
  <c r="M1167" i="37" s="1"/>
  <c r="Q1120" i="37"/>
  <c r="N1165" i="37"/>
  <c r="N1167" i="37" s="1"/>
  <c r="L928" i="37"/>
  <c r="J1165" i="37"/>
  <c r="J1167" i="37" s="1"/>
  <c r="I928" i="37"/>
  <c r="K944" i="37"/>
  <c r="Q1187" i="37"/>
  <c r="Q944" i="37"/>
  <c r="Q942" i="37" s="1"/>
  <c r="Q1186" i="37"/>
  <c r="M1162" i="37"/>
  <c r="T955" i="37"/>
  <c r="M1002" i="37"/>
  <c r="M1004" i="37" s="1"/>
  <c r="K950" i="37"/>
  <c r="Q1054" i="37"/>
  <c r="Q966" i="37"/>
  <c r="Q1142" i="37"/>
  <c r="S962" i="37"/>
  <c r="AG1072" i="37"/>
  <c r="AD1074" i="37" s="1"/>
  <c r="AD1086" i="37" s="1"/>
  <c r="S1113" i="37"/>
  <c r="M999" i="37"/>
  <c r="Q1199" i="37"/>
  <c r="Q999" i="37"/>
  <c r="Q997" i="37" s="1"/>
  <c r="M950" i="37"/>
  <c r="Q949" i="37"/>
  <c r="Q941" i="37"/>
  <c r="Q1162" i="37"/>
  <c r="Q1160" i="37" s="1"/>
  <c r="L944" i="37"/>
  <c r="S1112" i="37"/>
  <c r="J1162" i="37"/>
  <c r="K929" i="37"/>
  <c r="Q1208" i="37"/>
  <c r="Q1005" i="37"/>
  <c r="Q1177" i="37"/>
  <c r="Q1168" i="37"/>
  <c r="Q1159" i="37"/>
  <c r="I1159" i="37" s="1"/>
  <c r="S1187" i="37"/>
  <c r="Q1116" i="37"/>
  <c r="Q1063" i="37"/>
  <c r="H961" i="37"/>
  <c r="S1193" i="37"/>
  <c r="X919" i="37"/>
  <c r="Z919" i="37" s="1"/>
  <c r="N950" i="37"/>
  <c r="J950" i="37"/>
  <c r="V941" i="37"/>
  <c r="S1081" i="37"/>
  <c r="H931" i="37"/>
  <c r="L1005" i="37"/>
  <c r="S1178" i="37"/>
  <c r="M947" i="37"/>
  <c r="M949" i="37" s="1"/>
  <c r="M961" i="37"/>
  <c r="N1162" i="37"/>
  <c r="J961" i="37"/>
  <c r="J1002" i="37"/>
  <c r="J1004" i="37" s="1"/>
  <c r="L961" i="37"/>
  <c r="J1005" i="37"/>
  <c r="Q1002" i="37"/>
  <c r="J947" i="37"/>
  <c r="J949" i="37" s="1"/>
  <c r="K1168" i="37"/>
  <c r="L1165" i="37"/>
  <c r="L1167" i="37" s="1"/>
  <c r="K1162" i="37"/>
  <c r="N961" i="37"/>
  <c r="L947" i="37"/>
  <c r="L949" i="37" s="1"/>
  <c r="Q950" i="37"/>
  <c r="Q971" i="37"/>
  <c r="M928" i="37"/>
  <c r="Q1207" i="37"/>
  <c r="Q1103" i="37"/>
  <c r="Q974" i="37"/>
  <c r="Q972" i="37" s="1"/>
  <c r="T919" i="37"/>
  <c r="Q929" i="37"/>
  <c r="I395" i="37"/>
  <c r="I401" i="37" s="1"/>
  <c r="M346" i="37"/>
  <c r="AG600" i="37"/>
  <c r="L941" i="37"/>
  <c r="X942" i="37" s="1"/>
  <c r="L1097" i="50"/>
  <c r="P1128" i="50"/>
  <c r="L1129" i="50"/>
  <c r="J1109" i="50"/>
  <c r="J1111" i="50"/>
  <c r="H1100" i="50"/>
  <c r="L1102" i="50"/>
  <c r="K1111" i="50"/>
  <c r="I1099" i="50"/>
  <c r="N1103" i="50"/>
  <c r="I1095" i="50"/>
  <c r="M1002" i="50"/>
  <c r="E972" i="50"/>
  <c r="J1080" i="50"/>
  <c r="I972" i="50"/>
  <c r="M1082" i="50" s="1"/>
  <c r="N1069" i="50" s="1"/>
  <c r="N1078" i="50"/>
  <c r="J1029" i="50"/>
  <c r="K1002" i="50"/>
  <c r="M1081" i="50"/>
  <c r="N986" i="50" s="1"/>
  <c r="S1081" i="50"/>
  <c r="K1096" i="50"/>
  <c r="N1114" i="50"/>
  <c r="H1109" i="50"/>
  <c r="H1092" i="50"/>
  <c r="S516" i="37"/>
  <c r="Q558" i="37"/>
  <c r="Q556" i="37" s="1"/>
  <c r="L346" i="37"/>
  <c r="N1116" i="50"/>
  <c r="I1128" i="50"/>
  <c r="J1105" i="50"/>
  <c r="K1091" i="50"/>
  <c r="J340" i="37"/>
  <c r="H231" i="50"/>
  <c r="I1120" i="50"/>
  <c r="L1091" i="50"/>
  <c r="H1114" i="50"/>
  <c r="P995" i="50"/>
  <c r="A995" i="50" s="1"/>
  <c r="P1031" i="50"/>
  <c r="E1129" i="50"/>
  <c r="P1091" i="50"/>
  <c r="I1122" i="50"/>
  <c r="P1099" i="50"/>
  <c r="I1125" i="50"/>
  <c r="P1013" i="50"/>
  <c r="P1011" i="50" s="1"/>
  <c r="P1012" i="50" s="1"/>
  <c r="N1003" i="50"/>
  <c r="K972" i="50"/>
  <c r="J1081" i="50"/>
  <c r="M972" i="50"/>
  <c r="J1079" i="50"/>
  <c r="N1029" i="50"/>
  <c r="M1003" i="50"/>
  <c r="I1083" i="50"/>
  <c r="K1114" i="50"/>
  <c r="J1128" i="50"/>
  <c r="M1111" i="50"/>
  <c r="K1113" i="50"/>
  <c r="K1109" i="50"/>
  <c r="I325" i="37"/>
  <c r="L558" i="37"/>
  <c r="E115" i="50"/>
  <c r="E230" i="50" s="1"/>
  <c r="K230" i="50" s="1"/>
  <c r="Q395" i="37"/>
  <c r="Q393" i="37" s="1"/>
  <c r="N1094" i="50"/>
  <c r="J1108" i="50"/>
  <c r="N1105" i="50"/>
  <c r="P1080" i="50"/>
  <c r="H1246" i="37"/>
  <c r="H1252" i="37"/>
  <c r="X971" i="37"/>
  <c r="T669" i="42"/>
  <c r="M1108" i="50"/>
  <c r="K1119" i="50"/>
  <c r="M1092" i="50"/>
  <c r="M1112" i="50"/>
  <c r="L1103" i="50"/>
  <c r="K1105" i="50"/>
  <c r="J1116" i="50"/>
  <c r="P1092" i="50"/>
  <c r="P1122" i="50"/>
  <c r="E1128" i="50"/>
  <c r="J1100" i="50"/>
  <c r="J1024" i="50"/>
  <c r="J975" i="50"/>
  <c r="L972" i="50"/>
  <c r="H975" i="50"/>
  <c r="N1080" i="50"/>
  <c r="K1030" i="50"/>
  <c r="L1024" i="50"/>
  <c r="M1083" i="50"/>
  <c r="M1114" i="50"/>
  <c r="P1078" i="50"/>
  <c r="L1114" i="50"/>
  <c r="I1112" i="50"/>
  <c r="J1117" i="50"/>
  <c r="S95" i="50"/>
  <c r="H325" i="37"/>
  <c r="Q608" i="37"/>
  <c r="J346" i="37"/>
  <c r="M343" i="37"/>
  <c r="M345" i="37" s="1"/>
  <c r="L1096" i="50"/>
  <c r="M1109" i="50"/>
  <c r="J1096" i="50"/>
  <c r="H1112" i="50"/>
  <c r="S589" i="37"/>
  <c r="X1159" i="37"/>
  <c r="L1159" i="37" s="1"/>
  <c r="X1162" i="37" s="1"/>
  <c r="N373" i="37"/>
  <c r="N375" i="37" s="1"/>
  <c r="K1120" i="50"/>
  <c r="L1126" i="50"/>
  <c r="N1096" i="50"/>
  <c r="I1091" i="50"/>
  <c r="K1103" i="50"/>
  <c r="M1099" i="50"/>
  <c r="H1119" i="50"/>
  <c r="P1021" i="50"/>
  <c r="N1129" i="50"/>
  <c r="I1115" i="50"/>
  <c r="S1078" i="50"/>
  <c r="M1029" i="50"/>
  <c r="N975" i="50"/>
  <c r="K975" i="50"/>
  <c r="L975" i="50"/>
  <c r="J1083" i="50"/>
  <c r="M1031" i="50"/>
  <c r="K1029" i="50"/>
  <c r="I1084" i="50"/>
  <c r="V1084" i="50" s="1"/>
  <c r="M1095" i="50"/>
  <c r="K1126" i="50"/>
  <c r="L1099" i="50"/>
  <c r="H1096" i="50"/>
  <c r="N1091" i="50"/>
  <c r="M1117" i="50"/>
  <c r="M325" i="37"/>
  <c r="Z337" i="37"/>
  <c r="Z367" i="37" s="1"/>
  <c r="S509" i="37"/>
  <c r="X337" i="37"/>
  <c r="X555" i="37" s="1"/>
  <c r="L555" i="37" s="1"/>
  <c r="M1122" i="50"/>
  <c r="N1108" i="50"/>
  <c r="S1083" i="50"/>
  <c r="S94" i="50"/>
  <c r="E114" i="50"/>
  <c r="E229" i="50" s="1"/>
  <c r="P94" i="50"/>
  <c r="M1390" i="50"/>
  <c r="M1334" i="50"/>
  <c r="M1410" i="50"/>
  <c r="N1327" i="50" s="1"/>
  <c r="M1343" i="50"/>
  <c r="K1343" i="50"/>
  <c r="J1341" i="50"/>
  <c r="AF658" i="37"/>
  <c r="S891" i="37"/>
  <c r="L648" i="37"/>
  <c r="Q645" i="37"/>
  <c r="Q678" i="37"/>
  <c r="I732" i="37"/>
  <c r="J681" i="37"/>
  <c r="I642" i="37"/>
  <c r="I648" i="37" s="1"/>
  <c r="Q703" i="37"/>
  <c r="Q910" i="37"/>
  <c r="L697" i="37"/>
  <c r="N866" i="37"/>
  <c r="K626" i="37"/>
  <c r="J659" i="37"/>
  <c r="L700" i="37"/>
  <c r="L702" i="37" s="1"/>
  <c r="Q885" i="37"/>
  <c r="Q760" i="37"/>
  <c r="Q672" i="37"/>
  <c r="Q670" i="37" s="1"/>
  <c r="Q840" i="37"/>
  <c r="S819" i="37"/>
  <c r="Q642" i="37"/>
  <c r="Q640" i="37" s="1"/>
  <c r="J860" i="37"/>
  <c r="Z639" i="37"/>
  <c r="S818" i="37"/>
  <c r="N626" i="37"/>
  <c r="H659" i="37"/>
  <c r="N697" i="37"/>
  <c r="T653" i="37"/>
  <c r="M672" i="37" s="1"/>
  <c r="J703" i="37"/>
  <c r="L863" i="37"/>
  <c r="L865" i="37" s="1"/>
  <c r="Q752" i="37"/>
  <c r="Q810" i="37"/>
  <c r="L627" i="37"/>
  <c r="L645" i="37"/>
  <c r="L647" i="37" s="1"/>
  <c r="N627" i="37"/>
  <c r="I626" i="37"/>
  <c r="S801" i="37"/>
  <c r="Q779" i="37"/>
  <c r="S885" i="37"/>
  <c r="Q884" i="37"/>
  <c r="J648" i="37"/>
  <c r="M866" i="37"/>
  <c r="S810" i="37"/>
  <c r="K697" i="37"/>
  <c r="N642" i="37"/>
  <c r="M626" i="37"/>
  <c r="Q851" i="37"/>
  <c r="Q669" i="37"/>
  <c r="Q832" i="37"/>
  <c r="J697" i="37"/>
  <c r="Q688" i="37"/>
  <c r="Q675" i="37"/>
  <c r="Q891" i="37"/>
  <c r="L626" i="37"/>
  <c r="Q909" i="37"/>
  <c r="K642" i="37"/>
  <c r="N648" i="37"/>
  <c r="K648" i="37"/>
  <c r="J653" i="37"/>
  <c r="Q811" i="37"/>
  <c r="M659" i="37"/>
  <c r="J866" i="37"/>
  <c r="E625" i="37"/>
  <c r="Q697" i="37"/>
  <c r="Q695" i="37" s="1"/>
  <c r="M645" i="37"/>
  <c r="M647" i="37" s="1"/>
  <c r="K645" i="37"/>
  <c r="K647" i="37" s="1"/>
  <c r="I697" i="37"/>
  <c r="I703" i="37" s="1"/>
  <c r="Q648" i="37"/>
  <c r="M863" i="37"/>
  <c r="M865" i="37" s="1"/>
  <c r="Q818" i="37"/>
  <c r="E897" i="37"/>
  <c r="K860" i="37"/>
  <c r="Q814" i="37"/>
  <c r="Q639" i="37"/>
  <c r="N703" i="37"/>
  <c r="Q664" i="37"/>
  <c r="J642" i="37"/>
  <c r="Q791" i="37"/>
  <c r="M648" i="37"/>
  <c r="E752" i="37"/>
  <c r="I659" i="37"/>
  <c r="N700" i="37"/>
  <c r="N702" i="37" s="1"/>
  <c r="Q906" i="37"/>
  <c r="K703" i="37"/>
  <c r="M697" i="37"/>
  <c r="Q876" i="37"/>
  <c r="Y639" i="37"/>
  <c r="I627" i="37"/>
  <c r="Q627" i="37"/>
  <c r="K863" i="37"/>
  <c r="K865" i="37" s="1"/>
  <c r="S811" i="37"/>
  <c r="K700" i="37"/>
  <c r="K702" i="37" s="1"/>
  <c r="M703" i="37"/>
  <c r="Q897" i="37"/>
  <c r="S875" i="37"/>
  <c r="K627" i="37"/>
  <c r="N860" i="37"/>
  <c r="X639" i="37"/>
  <c r="K866" i="37"/>
  <c r="S876" i="37"/>
  <c r="J645" i="37"/>
  <c r="J647" i="37" s="1"/>
  <c r="S752" i="37"/>
  <c r="X617" i="37"/>
  <c r="Z617" i="37" s="1"/>
  <c r="S791" i="37"/>
  <c r="Q801" i="37"/>
  <c r="Q905" i="37"/>
  <c r="S779" i="37"/>
  <c r="Q863" i="37"/>
  <c r="Q857" i="37"/>
  <c r="I857" i="37" s="1"/>
  <c r="Q626" i="37"/>
  <c r="S660" i="37"/>
  <c r="V639" i="37"/>
  <c r="AG770" i="37"/>
  <c r="AD772" i="37" s="1"/>
  <c r="AD784" i="37" s="1"/>
  <c r="AG823" i="37"/>
  <c r="AD825" i="37" s="1"/>
  <c r="AD834" i="37" s="1"/>
  <c r="AD843" i="37" s="1"/>
  <c r="AD869" i="37" s="1"/>
  <c r="AD878" i="37" s="1"/>
  <c r="J626" i="37"/>
  <c r="L659" i="37"/>
  <c r="T617" i="37"/>
  <c r="M860" i="37"/>
  <c r="I860" i="37"/>
  <c r="I866" i="37" s="1"/>
  <c r="J700" i="37"/>
  <c r="J702" i="37" s="1"/>
  <c r="Q647" i="37"/>
  <c r="M642" i="37"/>
  <c r="Q831" i="37"/>
  <c r="Q860" i="37"/>
  <c r="Q858" i="37" s="1"/>
  <c r="J627" i="37"/>
  <c r="N659" i="37"/>
  <c r="K659" i="37"/>
  <c r="Q694" i="37"/>
  <c r="I694" i="37" s="1"/>
  <c r="Q841" i="37"/>
  <c r="Q853" i="37"/>
  <c r="AG902" i="37"/>
  <c r="R629" i="37"/>
  <c r="W639" i="37"/>
  <c r="Q761" i="37"/>
  <c r="Q700" i="37"/>
  <c r="Q815" i="37"/>
  <c r="Q866" i="37"/>
  <c r="Q850" i="37"/>
  <c r="N863" i="37"/>
  <c r="N865" i="37" s="1"/>
  <c r="L642" i="37"/>
  <c r="Q819" i="37"/>
  <c r="L703" i="37"/>
  <c r="AL617" i="37"/>
  <c r="M627" i="37"/>
  <c r="M700" i="37"/>
  <c r="M702" i="37" s="1"/>
  <c r="L860" i="37"/>
  <c r="Q875" i="37"/>
  <c r="R660" i="37"/>
  <c r="J863" i="37"/>
  <c r="J865" i="37" s="1"/>
  <c r="N645" i="37"/>
  <c r="N647" i="37" s="1"/>
  <c r="H629" i="37"/>
  <c r="L866" i="37"/>
  <c r="L1872" i="37"/>
  <c r="J1407" i="50"/>
  <c r="L1358" i="50"/>
  <c r="L1425" i="50"/>
  <c r="M1448" i="50"/>
  <c r="K1454" i="50"/>
  <c r="M1438" i="50"/>
  <c r="I1433" i="50"/>
  <c r="N1406" i="50"/>
  <c r="N1359" i="50"/>
  <c r="H1443" i="50"/>
  <c r="I1444" i="50"/>
  <c r="P1428" i="50"/>
  <c r="P1445" i="50"/>
  <c r="N1454" i="50"/>
  <c r="P1412" i="50"/>
  <c r="M1430" i="50"/>
  <c r="L1457" i="50"/>
  <c r="N1434" i="50"/>
  <c r="P1431" i="50"/>
  <c r="L1444" i="50"/>
  <c r="K1331" i="50"/>
  <c r="I1430" i="50"/>
  <c r="M1456" i="50"/>
  <c r="N1352" i="50"/>
  <c r="I1456" i="50"/>
  <c r="H1427" i="50"/>
  <c r="N1433" i="50"/>
  <c r="I1422" i="50"/>
  <c r="K1431" i="50"/>
  <c r="N1444" i="50"/>
  <c r="J1438" i="50"/>
  <c r="I1454" i="50"/>
  <c r="K1438" i="50"/>
  <c r="N1420" i="50"/>
  <c r="E1456" i="50"/>
  <c r="P1395" i="50"/>
  <c r="S1411" i="50"/>
  <c r="M1450" i="50"/>
  <c r="P1453" i="50"/>
  <c r="J1453" i="50"/>
  <c r="J1439" i="50"/>
  <c r="I1453" i="50"/>
  <c r="M1442" i="50"/>
  <c r="N1441" i="50"/>
  <c r="T154" i="41"/>
  <c r="E268" i="41"/>
  <c r="E287" i="50"/>
  <c r="I1880" i="37"/>
  <c r="I1886" i="37" s="1"/>
  <c r="T349" i="42"/>
  <c r="J1880" i="37"/>
  <c r="M1443" i="50"/>
  <c r="I1570" i="50"/>
  <c r="G1467" i="50" s="1"/>
  <c r="M1576" i="50"/>
  <c r="N1522" i="50"/>
  <c r="L1464" i="50"/>
  <c r="J1516" i="50"/>
  <c r="K1467" i="50"/>
  <c r="J1570" i="50"/>
  <c r="N1576" i="50"/>
  <c r="K1559" i="50"/>
  <c r="K1563" i="50" s="1"/>
  <c r="K1564" i="50" s="1"/>
  <c r="K1565" i="50" s="1"/>
  <c r="I1576" i="50"/>
  <c r="V1576" i="50" s="1"/>
  <c r="J1522" i="50"/>
  <c r="L1576" i="50"/>
  <c r="L1495" i="50"/>
  <c r="I1464" i="50"/>
  <c r="L1574" i="50" s="1"/>
  <c r="L1559" i="50"/>
  <c r="L1563" i="50" s="1"/>
  <c r="L1564" i="50" s="1"/>
  <c r="L1565" i="50" s="1"/>
  <c r="J1576" i="50"/>
  <c r="M1523" i="50"/>
  <c r="M1575" i="50"/>
  <c r="M1521" i="50"/>
  <c r="L1575" i="50"/>
  <c r="N1494" i="50"/>
  <c r="K1575" i="50"/>
  <c r="J1523" i="50"/>
  <c r="N1575" i="50"/>
  <c r="K1522" i="50"/>
  <c r="I1575" i="50"/>
  <c r="K1516" i="50"/>
  <c r="L1573" i="50"/>
  <c r="J1494" i="50"/>
  <c r="N1572" i="50"/>
  <c r="M1516" i="50"/>
  <c r="J1575" i="50"/>
  <c r="N1521" i="50"/>
  <c r="M1573" i="50"/>
  <c r="M1495" i="50"/>
  <c r="K1572" i="50"/>
  <c r="M1493" i="50"/>
  <c r="N1571" i="50"/>
  <c r="L1481" i="50"/>
  <c r="I1572" i="50"/>
  <c r="L1572" i="50"/>
  <c r="J1467" i="50"/>
  <c r="E1464" i="50"/>
  <c r="L1467" i="50"/>
  <c r="M1571" i="50"/>
  <c r="L1571" i="50"/>
  <c r="K1571" i="50"/>
  <c r="L1522" i="50"/>
  <c r="J1464" i="50"/>
  <c r="S1467" i="50" s="1"/>
  <c r="I1571" i="50"/>
  <c r="L1570" i="50"/>
  <c r="K1570" i="50"/>
  <c r="L1493" i="50"/>
  <c r="K1573" i="50"/>
  <c r="M1570" i="50"/>
  <c r="N1559" i="50"/>
  <c r="N1563" i="50" s="1"/>
  <c r="N1564" i="50" s="1"/>
  <c r="N1565" i="50" s="1"/>
  <c r="M1559" i="50"/>
  <c r="M1563" i="50" s="1"/>
  <c r="M1564" i="50" s="1"/>
  <c r="M1565" i="50" s="1"/>
  <c r="N1570" i="50"/>
  <c r="K1495" i="50"/>
  <c r="J1521" i="50"/>
  <c r="J1559" i="50"/>
  <c r="J1563" i="50" s="1"/>
  <c r="J1564" i="50" s="1"/>
  <c r="J1565" i="50" s="1"/>
  <c r="K1523" i="50"/>
  <c r="N1523" i="50"/>
  <c r="L1607" i="50"/>
  <c r="P1618" i="50"/>
  <c r="I1598" i="50"/>
  <c r="N1611" i="50"/>
  <c r="N1592" i="50"/>
  <c r="K1583" i="50"/>
  <c r="N1609" i="50"/>
  <c r="J1595" i="50"/>
  <c r="K1591" i="50"/>
  <c r="I1601" i="50"/>
  <c r="P1617" i="50"/>
  <c r="P1574" i="50"/>
  <c r="K1584" i="50"/>
  <c r="M1588" i="50"/>
  <c r="L1589" i="50"/>
  <c r="I1606" i="50"/>
  <c r="R1461" i="50"/>
  <c r="D2530" i="50" s="1"/>
  <c r="D2573" i="50" s="1"/>
  <c r="M1603" i="50"/>
  <c r="N1583" i="50"/>
  <c r="I1586" i="50"/>
  <c r="L1584" i="50"/>
  <c r="L1601" i="50"/>
  <c r="L1516" i="50"/>
  <c r="L1523" i="50"/>
  <c r="M1522" i="50"/>
  <c r="M1494" i="50"/>
  <c r="J1493" i="50"/>
  <c r="J1572" i="50"/>
  <c r="N1573" i="50"/>
  <c r="N1481" i="50"/>
  <c r="J1571" i="50"/>
  <c r="J1573" i="50"/>
  <c r="J1481" i="50"/>
  <c r="M1464" i="50"/>
  <c r="M1572" i="50"/>
  <c r="N1467" i="50"/>
  <c r="K1521" i="50"/>
  <c r="N1495" i="50"/>
  <c r="L1521" i="50"/>
  <c r="J1495" i="50"/>
  <c r="N1516" i="50"/>
  <c r="K1605" i="50"/>
  <c r="M1609" i="50"/>
  <c r="P1576" i="50"/>
  <c r="M1600" i="50"/>
  <c r="H1598" i="50"/>
  <c r="J1604" i="50"/>
  <c r="I1591" i="50"/>
  <c r="K1586" i="50"/>
  <c r="N1595" i="50"/>
  <c r="N1604" i="50"/>
  <c r="K1598" i="50"/>
  <c r="P1484" i="50"/>
  <c r="L1605" i="50"/>
  <c r="L1620" i="50"/>
  <c r="N1617" i="50"/>
  <c r="P1509" i="50"/>
  <c r="M1589" i="50"/>
  <c r="L1621" i="50"/>
  <c r="H1589" i="50"/>
  <c r="I1600" i="50"/>
  <c r="L1494" i="50"/>
  <c r="M1481" i="50"/>
  <c r="K1576" i="50"/>
  <c r="J1589" i="50"/>
  <c r="L1591" i="50"/>
  <c r="I1621" i="50"/>
  <c r="J1614" i="50"/>
  <c r="L1588" i="50"/>
  <c r="P1584" i="50"/>
  <c r="L1594" i="50"/>
  <c r="J1607" i="50"/>
  <c r="H1603" i="50"/>
  <c r="P1572" i="50"/>
  <c r="I1605" i="50"/>
  <c r="P1592" i="50"/>
  <c r="I1592" i="50"/>
  <c r="E1621" i="50"/>
  <c r="M1594" i="50"/>
  <c r="H1601" i="50"/>
  <c r="H1612" i="50"/>
  <c r="J1608" i="50"/>
  <c r="M1591" i="50"/>
  <c r="K1493" i="50"/>
  <c r="K1481" i="50"/>
  <c r="I1573" i="50"/>
  <c r="J1586" i="50"/>
  <c r="M1618" i="50"/>
  <c r="P1603" i="50"/>
  <c r="H1586" i="50"/>
  <c r="N1589" i="50"/>
  <c r="P1487" i="50"/>
  <c r="P1620" i="50"/>
  <c r="P1602" i="50"/>
  <c r="J1611" i="50"/>
  <c r="K1618" i="50"/>
  <c r="P1587" i="50"/>
  <c r="M1583" i="50"/>
  <c r="L1618" i="50"/>
  <c r="N1605" i="50"/>
  <c r="H1609" i="50"/>
  <c r="K1617" i="50"/>
  <c r="M1601" i="50"/>
  <c r="H1584" i="50"/>
  <c r="P1597" i="50"/>
  <c r="K1494" i="50"/>
  <c r="N1493" i="50"/>
  <c r="J1583" i="50"/>
  <c r="P1505" i="50"/>
  <c r="I1589" i="50"/>
  <c r="I1587" i="50"/>
  <c r="J1618" i="50"/>
  <c r="N1618" i="50"/>
  <c r="M1617" i="50"/>
  <c r="P1606" i="50"/>
  <c r="H1621" i="50"/>
  <c r="P1604" i="50"/>
  <c r="H1607" i="50"/>
  <c r="J1606" i="50"/>
  <c r="N1601" i="50"/>
  <c r="L1614" i="50"/>
  <c r="P1621" i="50"/>
  <c r="N1608" i="50"/>
  <c r="I1604" i="50"/>
  <c r="J1620" i="50"/>
  <c r="I1594" i="50"/>
  <c r="P1523" i="50"/>
  <c r="P1570" i="50"/>
  <c r="M1467" i="50"/>
  <c r="L1609" i="50"/>
  <c r="P1614" i="50"/>
  <c r="K1602" i="50"/>
  <c r="L1600" i="50"/>
  <c r="M1592" i="50"/>
  <c r="K1603" i="50"/>
  <c r="M1586" i="50"/>
  <c r="I1608" i="50"/>
  <c r="J1601" i="50"/>
  <c r="P1586" i="50"/>
  <c r="H1600" i="50"/>
  <c r="J1609" i="50"/>
  <c r="N1586" i="50"/>
  <c r="S1570" i="50"/>
  <c r="J1612" i="50"/>
  <c r="M1611" i="50"/>
  <c r="P1537" i="50"/>
  <c r="H1597" i="50"/>
  <c r="I1467" i="50"/>
  <c r="J1605" i="50"/>
  <c r="M1605" i="50"/>
  <c r="P1502" i="50"/>
  <c r="L1612" i="50"/>
  <c r="L1606" i="50"/>
  <c r="I1602" i="50"/>
  <c r="K1588" i="50"/>
  <c r="P1495" i="50"/>
  <c r="S1572" i="50"/>
  <c r="P1591" i="50"/>
  <c r="I1620" i="50"/>
  <c r="P1612" i="50"/>
  <c r="J1600" i="50"/>
  <c r="H1583" i="50"/>
  <c r="K1587" i="50"/>
  <c r="P1594" i="50"/>
  <c r="P1513" i="50"/>
  <c r="K1464" i="50"/>
  <c r="K1620" i="50"/>
  <c r="P1601" i="50"/>
  <c r="K1600" i="50"/>
  <c r="P1583" i="50"/>
  <c r="L1611" i="50"/>
  <c r="J1598" i="50"/>
  <c r="M1598" i="50"/>
  <c r="J1621" i="50"/>
  <c r="K1621" i="50"/>
  <c r="K1612" i="50"/>
  <c r="E1617" i="50"/>
  <c r="N1600" i="50"/>
  <c r="H1608" i="50"/>
  <c r="E1618" i="50"/>
  <c r="M1620" i="50"/>
  <c r="H1602" i="50"/>
  <c r="I1618" i="50"/>
  <c r="K1601" i="50"/>
  <c r="P1467" i="50"/>
  <c r="H1467" i="50"/>
  <c r="P1598" i="50"/>
  <c r="L1592" i="50"/>
  <c r="K1606" i="50"/>
  <c r="M1621" i="50"/>
  <c r="N1588" i="50"/>
  <c r="M1614" i="50"/>
  <c r="S1571" i="50"/>
  <c r="J1602" i="50"/>
  <c r="H1591" i="50"/>
  <c r="M1607" i="50"/>
  <c r="J1594" i="50"/>
  <c r="M1597" i="50"/>
  <c r="N1587" i="50"/>
  <c r="P1571" i="50"/>
  <c r="I1583" i="50"/>
  <c r="H1594" i="50"/>
  <c r="K1595" i="50"/>
  <c r="H1606" i="50"/>
  <c r="L1604" i="50"/>
  <c r="P1608" i="50"/>
  <c r="E1620" i="50"/>
  <c r="K1592" i="50"/>
  <c r="N1598" i="50"/>
  <c r="H1617" i="50"/>
  <c r="N1602" i="50"/>
  <c r="K1614" i="50"/>
  <c r="K1611" i="50"/>
  <c r="L1598" i="50"/>
  <c r="I1611" i="50"/>
  <c r="P1565" i="50"/>
  <c r="J1617" i="50"/>
  <c r="K1594" i="50"/>
  <c r="J1584" i="50"/>
  <c r="S1575" i="50"/>
  <c r="P1588" i="50"/>
  <c r="K1604" i="50"/>
  <c r="L1597" i="50"/>
  <c r="L1595" i="50"/>
  <c r="N1603" i="50"/>
  <c r="H1614" i="50"/>
  <c r="M1606" i="50"/>
  <c r="H1595" i="50"/>
  <c r="L1587" i="50"/>
  <c r="L1602" i="50"/>
  <c r="P1471" i="50"/>
  <c r="H1620" i="50"/>
  <c r="P1595" i="50"/>
  <c r="I1609" i="50"/>
  <c r="J1588" i="50"/>
  <c r="M1595" i="50"/>
  <c r="K1589" i="50"/>
  <c r="I1584" i="50"/>
  <c r="P1556" i="50"/>
  <c r="L1583" i="50"/>
  <c r="J1587" i="50"/>
  <c r="I1588" i="50"/>
  <c r="N1606" i="50"/>
  <c r="I1614" i="50"/>
  <c r="P1600" i="50"/>
  <c r="I1607" i="50"/>
  <c r="M1587" i="50"/>
  <c r="K1609" i="50"/>
  <c r="P1559" i="50"/>
  <c r="H1618" i="50"/>
  <c r="N1584" i="50"/>
  <c r="P1516" i="50"/>
  <c r="I1603" i="50"/>
  <c r="I1612" i="50"/>
  <c r="N1591" i="50"/>
  <c r="L1608" i="50"/>
  <c r="H1605" i="50"/>
  <c r="I1617" i="50"/>
  <c r="M1612" i="50"/>
  <c r="J1591" i="50"/>
  <c r="S1573" i="50"/>
  <c r="M1602" i="50"/>
  <c r="N1614" i="50"/>
  <c r="N1621" i="50"/>
  <c r="H1587" i="50"/>
  <c r="J1603" i="50"/>
  <c r="S1576" i="50"/>
  <c r="P1605" i="50"/>
  <c r="K1607" i="50"/>
  <c r="N1620" i="50"/>
  <c r="L1586" i="50"/>
  <c r="H1588" i="50"/>
  <c r="K1597" i="50"/>
  <c r="J1592" i="50"/>
  <c r="H1611" i="50"/>
  <c r="P1611" i="50"/>
  <c r="K1608" i="50"/>
  <c r="P1609" i="50"/>
  <c r="L1603" i="50"/>
  <c r="P1589" i="50"/>
  <c r="M1608" i="50"/>
  <c r="N1597" i="50"/>
  <c r="P1607" i="50"/>
  <c r="I1597" i="50"/>
  <c r="L1617" i="50"/>
  <c r="J1597" i="50"/>
  <c r="N1607" i="50"/>
  <c r="N1612" i="50"/>
  <c r="I1595" i="50"/>
  <c r="H1604" i="50"/>
  <c r="N1594" i="50"/>
  <c r="H1592" i="50"/>
  <c r="M1584" i="50"/>
  <c r="M1604" i="50"/>
  <c r="T152" i="41"/>
  <c r="AE152" i="41" s="1"/>
  <c r="E285" i="50"/>
  <c r="E266" i="41"/>
  <c r="L564" i="37"/>
  <c r="Q595" i="37"/>
  <c r="N1419" i="50"/>
  <c r="Q603" i="37"/>
  <c r="I1450" i="50"/>
  <c r="M1428" i="50"/>
  <c r="N1329" i="50"/>
  <c r="H1448" i="50"/>
  <c r="P1439" i="50"/>
  <c r="M1358" i="50"/>
  <c r="J1406" i="50"/>
  <c r="K1390" i="50" s="1"/>
  <c r="M1431" i="50"/>
  <c r="H1434" i="50"/>
  <c r="Q549" i="37"/>
  <c r="J324" i="37"/>
  <c r="E118" i="50"/>
  <c r="E233" i="50" s="1"/>
  <c r="S98" i="50"/>
  <c r="P98" i="50"/>
  <c r="E265" i="41"/>
  <c r="E284" i="50"/>
  <c r="S93" i="50"/>
  <c r="P93" i="50"/>
  <c r="E113" i="50"/>
  <c r="E228" i="50" s="1"/>
  <c r="S1410" i="50"/>
  <c r="K1883" i="37"/>
  <c r="K1885" i="37" s="1"/>
  <c r="J1410" i="50"/>
  <c r="K1315" i="50" s="1"/>
  <c r="K1300" i="50"/>
  <c r="M1424" i="50"/>
  <c r="N1445" i="50"/>
  <c r="M1433" i="50"/>
  <c r="Q564" i="37"/>
  <c r="J561" i="37"/>
  <c r="J563" i="37" s="1"/>
  <c r="M324" i="37"/>
  <c r="Q508" i="37"/>
  <c r="H327" i="37"/>
  <c r="M1434" i="50"/>
  <c r="J1456" i="50"/>
  <c r="P1303" i="50"/>
  <c r="J564" i="37"/>
  <c r="Q555" i="37"/>
  <c r="I555" i="37" s="1"/>
  <c r="AG521" i="37"/>
  <c r="AD523" i="37" s="1"/>
  <c r="AD532" i="37" s="1"/>
  <c r="AD541" i="37" s="1"/>
  <c r="AD567" i="37" s="1"/>
  <c r="AD576" i="37" s="1"/>
  <c r="N1408" i="50"/>
  <c r="N1442" i="50"/>
  <c r="P1450" i="50"/>
  <c r="K1447" i="50"/>
  <c r="J1445" i="50"/>
  <c r="N1317" i="50"/>
  <c r="K1357" i="50"/>
  <c r="K1395" i="50"/>
  <c r="K1399" i="50" s="1"/>
  <c r="K1400" i="50" s="1"/>
  <c r="K1401" i="50" s="1"/>
  <c r="N1423" i="50"/>
  <c r="J1447" i="50"/>
  <c r="N1457" i="50"/>
  <c r="K1434" i="50"/>
  <c r="J1422" i="50"/>
  <c r="I1408" i="50"/>
  <c r="J1408" i="50"/>
  <c r="K1378" i="50" s="1"/>
  <c r="L1419" i="50"/>
  <c r="M1427" i="50"/>
  <c r="P1420" i="50"/>
  <c r="Q530" i="37"/>
  <c r="K346" i="37"/>
  <c r="K357" i="37"/>
  <c r="AC1564" i="37"/>
  <c r="J1769" i="37"/>
  <c r="J1771" i="37" s="1"/>
  <c r="Q1797" i="37"/>
  <c r="S1797" i="37"/>
  <c r="Q1747" i="37"/>
  <c r="Q1570" i="37"/>
  <c r="Q1667" i="37"/>
  <c r="T1523" i="37"/>
  <c r="K1606" i="37"/>
  <c r="K1608" i="37" s="1"/>
  <c r="L1766" i="37"/>
  <c r="Q1594" i="37"/>
  <c r="K1551" i="37"/>
  <c r="K1553" i="37" s="1"/>
  <c r="K1766" i="37"/>
  <c r="E1803" i="37"/>
  <c r="Q1548" i="37"/>
  <c r="Q1546" i="37" s="1"/>
  <c r="J1772" i="37"/>
  <c r="L1533" i="37"/>
  <c r="Q1551" i="37"/>
  <c r="L1565" i="37"/>
  <c r="Q1533" i="37"/>
  <c r="S1717" i="37"/>
  <c r="K1548" i="37"/>
  <c r="Q1721" i="37"/>
  <c r="J1606" i="37"/>
  <c r="J1608" i="37" s="1"/>
  <c r="L1554" i="37"/>
  <c r="T1559" i="37"/>
  <c r="M1584" i="37" s="1"/>
  <c r="Q1578" i="37"/>
  <c r="Q1576" i="37" s="1"/>
  <c r="Q1757" i="37"/>
  <c r="J1554" i="37"/>
  <c r="I1532" i="37"/>
  <c r="Q1685" i="37"/>
  <c r="M1769" i="37"/>
  <c r="M1771" i="37" s="1"/>
  <c r="Q1716" i="37"/>
  <c r="L1606" i="37"/>
  <c r="L1608" i="37" s="1"/>
  <c r="AL1523" i="37"/>
  <c r="Q1584" i="37"/>
  <c r="R1535" i="37"/>
  <c r="Q1756" i="37"/>
  <c r="Q1658" i="37"/>
  <c r="S1707" i="37"/>
  <c r="M1565" i="37"/>
  <c r="Q1746" i="37"/>
  <c r="K1609" i="37"/>
  <c r="Q1815" i="37"/>
  <c r="Q1554" i="37"/>
  <c r="L1609" i="37"/>
  <c r="I1533" i="37"/>
  <c r="Q1772" i="37"/>
  <c r="N1609" i="37"/>
  <c r="Q1790" i="37"/>
  <c r="Q1782" i="37"/>
  <c r="Q1600" i="37"/>
  <c r="I1600" i="37" s="1"/>
  <c r="L1548" i="37"/>
  <c r="I1638" i="37"/>
  <c r="AG1729" i="37"/>
  <c r="AD1731" i="37" s="1"/>
  <c r="AD1740" i="37" s="1"/>
  <c r="AD1749" i="37" s="1"/>
  <c r="AD1775" i="37" s="1"/>
  <c r="AD1784" i="37" s="1"/>
  <c r="J1532" i="37"/>
  <c r="L1551" i="37"/>
  <c r="L1553" i="37" s="1"/>
  <c r="I1565" i="37"/>
  <c r="Q1769" i="37"/>
  <c r="S1716" i="37"/>
  <c r="Q1697" i="37"/>
  <c r="J1766" i="37"/>
  <c r="H1532" i="37"/>
  <c r="J1559" i="37"/>
  <c r="K1554" i="37"/>
  <c r="N1551" i="37"/>
  <c r="N1553" i="37" s="1"/>
  <c r="Q1811" i="37"/>
  <c r="K1769" i="37"/>
  <c r="K1771" i="37" s="1"/>
  <c r="L1603" i="37"/>
  <c r="E1658" i="37"/>
  <c r="S1781" i="37"/>
  <c r="N1603" i="37"/>
  <c r="Q1606" i="37"/>
  <c r="Q1609" i="37"/>
  <c r="Q1738" i="37"/>
  <c r="M1603" i="37"/>
  <c r="Q1725" i="37"/>
  <c r="H1535" i="37"/>
  <c r="S1697" i="37"/>
  <c r="X1523" i="37"/>
  <c r="Z1523" i="37" s="1"/>
  <c r="M1772" i="37"/>
  <c r="Q1737" i="37"/>
  <c r="N1565" i="37"/>
  <c r="L1772" i="37"/>
  <c r="I1766" i="37"/>
  <c r="I1772" i="37" s="1"/>
  <c r="J1609" i="37"/>
  <c r="Q1759" i="37"/>
  <c r="M1606" i="37"/>
  <c r="M1608" i="37" s="1"/>
  <c r="Q1816" i="37"/>
  <c r="M1533" i="37"/>
  <c r="AG1808" i="37"/>
  <c r="S1724" i="37"/>
  <c r="R1566" i="37"/>
  <c r="J1587" i="37"/>
  <c r="N1532" i="37"/>
  <c r="J1603" i="37"/>
  <c r="S1791" i="37"/>
  <c r="N1772" i="37"/>
  <c r="Q1781" i="37"/>
  <c r="Q1545" i="37"/>
  <c r="N1606" i="37"/>
  <c r="N1608" i="37" s="1"/>
  <c r="W1545" i="37"/>
  <c r="N1766" i="37"/>
  <c r="Q1717" i="37"/>
  <c r="Q1720" i="37"/>
  <c r="Q1766" i="37"/>
  <c r="Q1764" i="37" s="1"/>
  <c r="X1545" i="37"/>
  <c r="Q1532" i="37"/>
  <c r="L1532" i="37"/>
  <c r="J1533" i="37"/>
  <c r="K1565" i="37"/>
  <c r="M1554" i="37"/>
  <c r="S1725" i="37"/>
  <c r="M1548" i="37"/>
  <c r="S1658" i="37"/>
  <c r="M1766" i="37"/>
  <c r="Q1803" i="37"/>
  <c r="Q1812" i="37"/>
  <c r="Z1545" i="37"/>
  <c r="K1532" i="37"/>
  <c r="J1565" i="37"/>
  <c r="M1609" i="37"/>
  <c r="Q1791" i="37"/>
  <c r="I1603" i="37"/>
  <c r="I1609" i="37" s="1"/>
  <c r="Q1763" i="37"/>
  <c r="I1763" i="37" s="1"/>
  <c r="H1565" i="37"/>
  <c r="K1603" i="37"/>
  <c r="Q1553" i="37"/>
  <c r="E1531" i="37"/>
  <c r="Q1707" i="37"/>
  <c r="H1533" i="37"/>
  <c r="Y1545" i="37"/>
  <c r="N1554" i="37"/>
  <c r="J1551" i="37"/>
  <c r="J1553" i="37" s="1"/>
  <c r="N1769" i="37"/>
  <c r="N1771" i="37" s="1"/>
  <c r="K1772" i="37"/>
  <c r="Q1581" i="37"/>
  <c r="Q1724" i="37"/>
  <c r="Q1603" i="37"/>
  <c r="Q1601" i="37" s="1"/>
  <c r="S1782" i="37"/>
  <c r="AG1676" i="37"/>
  <c r="AD1678" i="37" s="1"/>
  <c r="AD1690" i="37" s="1"/>
  <c r="K1533" i="37"/>
  <c r="L1769" i="37"/>
  <c r="L1771" i="37" s="1"/>
  <c r="Q1666" i="37"/>
  <c r="Q1575" i="37"/>
  <c r="N1548" i="37"/>
  <c r="S1685" i="37"/>
  <c r="M1551" i="37"/>
  <c r="M1553" i="37" s="1"/>
  <c r="N1533" i="37"/>
  <c r="J1548" i="37"/>
  <c r="V1545" i="37"/>
  <c r="S1566" i="37"/>
  <c r="M1532" i="37"/>
  <c r="I1548" i="37"/>
  <c r="I1554" i="37" s="1"/>
  <c r="K1872" i="37"/>
  <c r="L370" i="37"/>
  <c r="T384" i="42"/>
  <c r="L1883" i="37"/>
  <c r="L1885" i="37" s="1"/>
  <c r="I1574" i="50"/>
  <c r="L1303" i="50"/>
  <c r="I1457" i="50"/>
  <c r="H1457" i="50"/>
  <c r="H1419" i="50"/>
  <c r="N564" i="37"/>
  <c r="E323" i="37"/>
  <c r="I324" i="37"/>
  <c r="L325" i="37"/>
  <c r="L340" i="37"/>
  <c r="M1359" i="50"/>
  <c r="E1453" i="50"/>
  <c r="P1441" i="50"/>
  <c r="I1438" i="50"/>
  <c r="Q450" i="37"/>
  <c r="K324" i="37"/>
  <c r="H324" i="37"/>
  <c r="K1408" i="50"/>
  <c r="L1438" i="50"/>
  <c r="P1320" i="50"/>
  <c r="H1433" i="50"/>
  <c r="I1434" i="50"/>
  <c r="M1395" i="50"/>
  <c r="M1399" i="50" s="1"/>
  <c r="M1400" i="50" s="1"/>
  <c r="M1401" i="50" s="1"/>
  <c r="L1407" i="50"/>
  <c r="M1324" i="50" s="1"/>
  <c r="N1407" i="50"/>
  <c r="K1456" i="50"/>
  <c r="P1422" i="50"/>
  <c r="P1456" i="50"/>
  <c r="H1447" i="50"/>
  <c r="J1431" i="50"/>
  <c r="J1300" i="50"/>
  <c r="T1303" i="50" s="1"/>
  <c r="K1412" i="50"/>
  <c r="P1437" i="50"/>
  <c r="I1447" i="50"/>
  <c r="R1297" i="50"/>
  <c r="D2529" i="50" s="1"/>
  <c r="D2572" i="50" s="1"/>
  <c r="Q386" i="37"/>
  <c r="J401" i="37"/>
  <c r="Q398" i="37"/>
  <c r="M1886" i="37"/>
  <c r="M1097" i="50"/>
  <c r="N1092" i="50"/>
  <c r="P1119" i="50"/>
  <c r="M1116" i="50"/>
  <c r="M1113" i="50"/>
  <c r="M1128" i="50"/>
  <c r="I1092" i="50"/>
  <c r="J1129" i="50"/>
  <c r="H1125" i="50"/>
  <c r="I1102" i="50"/>
  <c r="K1095" i="50"/>
  <c r="N1112" i="50"/>
  <c r="E1125" i="50"/>
  <c r="P1108" i="50"/>
  <c r="H1122" i="50"/>
  <c r="P1117" i="50"/>
  <c r="M1106" i="50"/>
  <c r="S97" i="50"/>
  <c r="P97" i="50"/>
  <c r="E117" i="50"/>
  <c r="E232" i="50" s="1"/>
  <c r="M1300" i="50"/>
  <c r="L1453" i="50"/>
  <c r="S1408" i="50"/>
  <c r="K1886" i="37"/>
  <c r="AL315" i="37"/>
  <c r="N346" i="37"/>
  <c r="J1428" i="50"/>
  <c r="M1877" i="37"/>
  <c r="L1880" i="37"/>
  <c r="J1329" i="50"/>
  <c r="J1424" i="50"/>
  <c r="H1438" i="50"/>
  <c r="L1440" i="50"/>
  <c r="S358" i="37"/>
  <c r="AG468" i="37"/>
  <c r="AD470" i="37" s="1"/>
  <c r="AD482" i="37" s="1"/>
  <c r="R358" i="37"/>
  <c r="K398" i="37"/>
  <c r="K400" i="37" s="1"/>
  <c r="N561" i="37"/>
  <c r="N563" i="37" s="1"/>
  <c r="M1409" i="50"/>
  <c r="N1354" i="50" s="1"/>
  <c r="P1427" i="50"/>
  <c r="J1436" i="50"/>
  <c r="H1453" i="50"/>
  <c r="Q548" i="37"/>
  <c r="Q512" i="37"/>
  <c r="L1300" i="50"/>
  <c r="L1427" i="50"/>
  <c r="J1433" i="50"/>
  <c r="K1440" i="50"/>
  <c r="E1457" i="50"/>
  <c r="M1447" i="50"/>
  <c r="L1359" i="50"/>
  <c r="M1412" i="50"/>
  <c r="K1411" i="50"/>
  <c r="P1323" i="50"/>
  <c r="P1407" i="50"/>
  <c r="H1437" i="50"/>
  <c r="P1457" i="50"/>
  <c r="I1437" i="50"/>
  <c r="K1329" i="50"/>
  <c r="K1407" i="50"/>
  <c r="J1420" i="50"/>
  <c r="H1441" i="50"/>
  <c r="N1428" i="50"/>
  <c r="Q582" i="37"/>
  <c r="Q370" i="37"/>
  <c r="Q368" i="37" s="1"/>
  <c r="N357" i="37"/>
  <c r="E283" i="50"/>
  <c r="E264" i="41"/>
  <c r="J1244" i="50"/>
  <c r="N1167" i="50"/>
  <c r="J1247" i="50"/>
  <c r="J1194" i="50"/>
  <c r="M1247" i="50"/>
  <c r="J1188" i="50"/>
  <c r="M1153" i="50"/>
  <c r="N1243" i="50"/>
  <c r="J1167" i="50"/>
  <c r="N1245" i="50"/>
  <c r="M1193" i="50"/>
  <c r="I1247" i="50"/>
  <c r="L1167" i="50"/>
  <c r="K1231" i="50"/>
  <c r="K1235" i="50" s="1"/>
  <c r="K1236" i="50" s="1"/>
  <c r="K1237" i="50" s="1"/>
  <c r="I1139" i="50"/>
  <c r="J1243" i="50"/>
  <c r="L1166" i="50"/>
  <c r="J1245" i="50"/>
  <c r="K1188" i="50"/>
  <c r="M1245" i="50"/>
  <c r="N1166" i="50"/>
  <c r="K1193" i="50"/>
  <c r="J1136" i="50"/>
  <c r="N1242" i="50"/>
  <c r="K1165" i="50"/>
  <c r="M1244" i="50"/>
  <c r="M1167" i="50"/>
  <c r="I1245" i="50"/>
  <c r="J1166" i="50"/>
  <c r="L1245" i="50"/>
  <c r="L1247" i="50"/>
  <c r="J1242" i="50"/>
  <c r="L1153" i="50"/>
  <c r="I1244" i="50"/>
  <c r="K1166" i="50"/>
  <c r="L1244" i="50"/>
  <c r="M1165" i="50"/>
  <c r="K1242" i="50"/>
  <c r="K1244" i="50"/>
  <c r="K1276" i="50"/>
  <c r="M1264" i="50"/>
  <c r="L1289" i="50"/>
  <c r="N1259" i="50"/>
  <c r="L1263" i="50"/>
  <c r="P1275" i="50"/>
  <c r="H1267" i="50"/>
  <c r="M1289" i="50"/>
  <c r="J1276" i="50"/>
  <c r="P1278" i="50"/>
  <c r="M1255" i="50"/>
  <c r="H1274" i="50"/>
  <c r="S1243" i="50"/>
  <c r="L1286" i="50"/>
  <c r="N1263" i="50"/>
  <c r="J1277" i="50"/>
  <c r="K1264" i="50"/>
  <c r="P1269" i="50"/>
  <c r="L1267" i="50"/>
  <c r="J1261" i="50"/>
  <c r="P1156" i="50"/>
  <c r="I1256" i="50"/>
  <c r="N1244" i="50"/>
  <c r="N1248" i="50"/>
  <c r="K1153" i="50"/>
  <c r="N1153" i="50"/>
  <c r="N1195" i="50"/>
  <c r="N1231" i="50"/>
  <c r="N1235" i="50" s="1"/>
  <c r="N1236" i="50" s="1"/>
  <c r="N1237" i="50" s="1"/>
  <c r="J1248" i="50"/>
  <c r="K1139" i="50"/>
  <c r="J1153" i="50"/>
  <c r="L1165" i="50"/>
  <c r="K1281" i="50"/>
  <c r="J1283" i="50"/>
  <c r="E1290" i="50"/>
  <c r="L1293" i="50"/>
  <c r="J1266" i="50"/>
  <c r="L1283" i="50"/>
  <c r="M1269" i="50"/>
  <c r="J1278" i="50"/>
  <c r="M1256" i="50"/>
  <c r="M1274" i="50"/>
  <c r="H1255" i="50"/>
  <c r="N1277" i="50"/>
  <c r="J1284" i="50"/>
  <c r="I1263" i="50"/>
  <c r="K1286" i="50"/>
  <c r="K1259" i="50"/>
  <c r="N1261" i="50"/>
  <c r="I1280" i="50"/>
  <c r="J1267" i="50"/>
  <c r="K1290" i="50"/>
  <c r="J1231" i="50"/>
  <c r="J1235" i="50" s="1"/>
  <c r="J1236" i="50" s="1"/>
  <c r="J1237" i="50" s="1"/>
  <c r="N1247" i="50"/>
  <c r="L1136" i="50"/>
  <c r="N1139" i="50"/>
  <c r="J1195" i="50"/>
  <c r="M1195" i="50"/>
  <c r="M1243" i="50"/>
  <c r="M1248" i="50"/>
  <c r="J1139" i="50"/>
  <c r="M1166" i="50"/>
  <c r="K1194" i="50"/>
  <c r="I1243" i="50"/>
  <c r="I1248" i="50"/>
  <c r="V1248" i="50" s="1"/>
  <c r="K1136" i="50"/>
  <c r="K1246" i="50"/>
  <c r="J1281" i="50"/>
  <c r="P1273" i="50"/>
  <c r="M1278" i="50"/>
  <c r="M1276" i="50"/>
  <c r="K1261" i="50"/>
  <c r="K1272" i="50"/>
  <c r="I1277" i="50"/>
  <c r="P1255" i="50"/>
  <c r="M1272" i="50"/>
  <c r="K1273" i="50"/>
  <c r="J1270" i="50"/>
  <c r="I1255" i="50"/>
  <c r="N1256" i="50"/>
  <c r="P1139" i="50"/>
  <c r="M1283" i="50"/>
  <c r="S1242" i="50"/>
  <c r="K1266" i="50"/>
  <c r="M1277" i="50"/>
  <c r="P1260" i="50"/>
  <c r="J1258" i="50"/>
  <c r="N1193" i="50"/>
  <c r="M1242" i="50"/>
  <c r="L1243" i="50"/>
  <c r="E1136" i="50"/>
  <c r="L1139" i="50"/>
  <c r="K1195" i="50"/>
  <c r="N1258" i="50"/>
  <c r="H1260" i="50"/>
  <c r="J1280" i="50"/>
  <c r="P1263" i="50"/>
  <c r="I1283" i="50"/>
  <c r="J1289" i="50"/>
  <c r="H1286" i="50"/>
  <c r="L1276" i="50"/>
  <c r="H1259" i="50"/>
  <c r="J1260" i="50"/>
  <c r="P1264" i="50"/>
  <c r="K1263" i="50"/>
  <c r="L1279" i="50"/>
  <c r="H1263" i="50"/>
  <c r="P1209" i="50"/>
  <c r="H1280" i="50"/>
  <c r="J1255" i="50"/>
  <c r="H1139" i="50"/>
  <c r="M1194" i="50"/>
  <c r="M1261" i="50"/>
  <c r="J1279" i="50"/>
  <c r="K1280" i="50"/>
  <c r="H1270" i="50"/>
  <c r="I1276" i="50"/>
  <c r="P1143" i="50"/>
  <c r="N1293" i="50"/>
  <c r="I1267" i="50"/>
  <c r="M1290" i="50"/>
  <c r="H1283" i="50"/>
  <c r="E1293" i="50"/>
  <c r="M1263" i="50"/>
  <c r="H1258" i="50"/>
  <c r="J1273" i="50"/>
  <c r="M1292" i="50"/>
  <c r="L1266" i="50"/>
  <c r="M1279" i="50"/>
  <c r="M1136" i="50"/>
  <c r="L1193" i="50"/>
  <c r="J1292" i="50"/>
  <c r="N1278" i="50"/>
  <c r="P1274" i="50"/>
  <c r="L1272" i="50"/>
  <c r="K1267" i="50"/>
  <c r="H1293" i="50"/>
  <c r="L1255" i="50"/>
  <c r="J1272" i="50"/>
  <c r="J1263" i="50"/>
  <c r="J1275" i="50"/>
  <c r="N1273" i="50"/>
  <c r="H1284" i="50"/>
  <c r="H1261" i="50"/>
  <c r="P1256" i="50"/>
  <c r="L1273" i="50"/>
  <c r="K1255" i="50"/>
  <c r="P1280" i="50"/>
  <c r="I1136" i="50"/>
  <c r="N1188" i="50"/>
  <c r="P1266" i="50"/>
  <c r="L1260" i="50"/>
  <c r="I1290" i="50"/>
  <c r="K1279" i="50"/>
  <c r="K1283" i="50"/>
  <c r="P1283" i="50"/>
  <c r="K1284" i="50"/>
  <c r="H1264" i="50"/>
  <c r="I1272" i="50"/>
  <c r="L1277" i="50"/>
  <c r="P1286" i="50"/>
  <c r="J1269" i="50"/>
  <c r="M1259" i="50"/>
  <c r="P1259" i="50"/>
  <c r="N1283" i="50"/>
  <c r="I1266" i="50"/>
  <c r="L1284" i="50"/>
  <c r="I1242" i="50"/>
  <c r="G1139" i="50" s="1"/>
  <c r="L1248" i="50"/>
  <c r="M1231" i="50"/>
  <c r="M1235" i="50" s="1"/>
  <c r="M1236" i="50" s="1"/>
  <c r="M1237" i="50" s="1"/>
  <c r="L1194" i="50"/>
  <c r="J1264" i="50"/>
  <c r="L1280" i="50"/>
  <c r="N1272" i="50"/>
  <c r="P1293" i="50"/>
  <c r="P1272" i="50"/>
  <c r="K1258" i="50"/>
  <c r="M1280" i="50"/>
  <c r="K1256" i="50"/>
  <c r="P1181" i="50"/>
  <c r="H1292" i="50"/>
  <c r="I1286" i="50"/>
  <c r="I1273" i="50"/>
  <c r="I1275" i="50"/>
  <c r="M1273" i="50"/>
  <c r="I1278" i="50"/>
  <c r="H1277" i="50"/>
  <c r="J1274" i="50"/>
  <c r="L1195" i="50"/>
  <c r="M1188" i="50"/>
  <c r="K1248" i="50"/>
  <c r="K1243" i="50"/>
  <c r="K1293" i="50"/>
  <c r="M1267" i="50"/>
  <c r="L1259" i="50"/>
  <c r="P1237" i="50"/>
  <c r="L1281" i="50"/>
  <c r="P1267" i="50"/>
  <c r="P1159" i="50"/>
  <c r="P1185" i="50"/>
  <c r="I1261" i="50"/>
  <c r="L1270" i="50"/>
  <c r="K1247" i="50"/>
  <c r="R1133" i="50"/>
  <c r="D2528" i="50" s="1"/>
  <c r="D2571" i="50" s="1"/>
  <c r="I1293" i="50"/>
  <c r="I1281" i="50"/>
  <c r="P1270" i="50"/>
  <c r="N1280" i="50"/>
  <c r="S1248" i="50"/>
  <c r="P1281" i="50"/>
  <c r="P1279" i="50"/>
  <c r="P1284" i="50"/>
  <c r="H1273" i="50"/>
  <c r="K1245" i="50"/>
  <c r="N1274" i="50"/>
  <c r="J1259" i="50"/>
  <c r="N1284" i="50"/>
  <c r="M1275" i="50"/>
  <c r="J1293" i="50"/>
  <c r="M1270" i="50"/>
  <c r="L1274" i="50"/>
  <c r="I1258" i="50"/>
  <c r="N1275" i="50"/>
  <c r="N1279" i="50"/>
  <c r="J1193" i="50"/>
  <c r="E1292" i="50"/>
  <c r="P1177" i="50"/>
  <c r="I1274" i="50"/>
  <c r="K1278" i="50"/>
  <c r="H1272" i="50"/>
  <c r="P1248" i="50"/>
  <c r="M1284" i="50"/>
  <c r="M1258" i="50"/>
  <c r="H1289" i="50"/>
  <c r="L1290" i="50"/>
  <c r="L1188" i="50"/>
  <c r="N1194" i="50"/>
  <c r="N1270" i="50"/>
  <c r="N1267" i="50"/>
  <c r="L1269" i="50"/>
  <c r="K1274" i="50"/>
  <c r="J1290" i="50"/>
  <c r="I1284" i="50"/>
  <c r="N1260" i="50"/>
  <c r="H1290" i="50"/>
  <c r="I1270" i="50"/>
  <c r="L1261" i="50"/>
  <c r="N1165" i="50"/>
  <c r="J1256" i="50"/>
  <c r="P1167" i="50"/>
  <c r="H1278" i="50"/>
  <c r="N1276" i="50"/>
  <c r="P1231" i="50"/>
  <c r="J1286" i="50"/>
  <c r="P1174" i="50"/>
  <c r="H1279" i="50"/>
  <c r="P1243" i="50"/>
  <c r="N1269" i="50"/>
  <c r="P1244" i="50"/>
  <c r="M1260" i="50"/>
  <c r="P1188" i="50"/>
  <c r="H1276" i="50"/>
  <c r="N1264" i="50"/>
  <c r="L1231" i="50"/>
  <c r="L1235" i="50" s="1"/>
  <c r="L1236" i="50" s="1"/>
  <c r="L1237" i="50" s="1"/>
  <c r="P1289" i="50"/>
  <c r="N1286" i="50"/>
  <c r="P1277" i="50"/>
  <c r="K1289" i="50"/>
  <c r="E1289" i="50"/>
  <c r="S1245" i="50"/>
  <c r="P1258" i="50"/>
  <c r="L1256" i="50"/>
  <c r="H1269" i="50"/>
  <c r="I1269" i="50"/>
  <c r="M1281" i="50"/>
  <c r="L1292" i="50"/>
  <c r="P1246" i="50"/>
  <c r="I1292" i="50"/>
  <c r="K1260" i="50"/>
  <c r="H1266" i="50"/>
  <c r="M1286" i="50"/>
  <c r="N1289" i="50"/>
  <c r="P1290" i="50"/>
  <c r="K1292" i="50"/>
  <c r="M1293" i="50"/>
  <c r="S1244" i="50"/>
  <c r="K1270" i="50"/>
  <c r="I1260" i="50"/>
  <c r="L1278" i="50"/>
  <c r="H1281" i="50"/>
  <c r="S1247" i="50"/>
  <c r="P1276" i="50"/>
  <c r="H1256" i="50"/>
  <c r="I1264" i="50"/>
  <c r="N1281" i="50"/>
  <c r="N1266" i="50"/>
  <c r="L1264" i="50"/>
  <c r="P1292" i="50"/>
  <c r="J1165" i="50"/>
  <c r="N1255" i="50"/>
  <c r="K1277" i="50"/>
  <c r="M1266" i="50"/>
  <c r="I1289" i="50"/>
  <c r="N1292" i="50"/>
  <c r="L1242" i="50"/>
  <c r="P1261" i="50"/>
  <c r="P1228" i="50"/>
  <c r="I1259" i="50"/>
  <c r="K1275" i="50"/>
  <c r="L1275" i="50"/>
  <c r="I1279" i="50"/>
  <c r="P1242" i="50"/>
  <c r="K1167" i="50"/>
  <c r="M1139" i="50"/>
  <c r="N1290" i="50"/>
  <c r="P1195" i="50"/>
  <c r="L1258" i="50"/>
  <c r="H1275" i="50"/>
  <c r="K1269" i="50"/>
  <c r="N752" i="50"/>
  <c r="M696" i="50"/>
  <c r="N755" i="50"/>
  <c r="K702" i="50"/>
  <c r="M756" i="50"/>
  <c r="J702" i="50"/>
  <c r="I644" i="50"/>
  <c r="J696" i="50"/>
  <c r="J752" i="50"/>
  <c r="N675" i="50"/>
  <c r="J755" i="50"/>
  <c r="N701" i="50"/>
  <c r="I756" i="50"/>
  <c r="V756" i="50" s="1"/>
  <c r="M701" i="50"/>
  <c r="L756" i="50"/>
  <c r="K675" i="50"/>
  <c r="N751" i="50"/>
  <c r="J675" i="50"/>
  <c r="N753" i="50"/>
  <c r="J701" i="50"/>
  <c r="M755" i="50"/>
  <c r="K696" i="50"/>
  <c r="L755" i="50"/>
  <c r="M674" i="50"/>
  <c r="J751" i="50"/>
  <c r="L674" i="50"/>
  <c r="J753" i="50"/>
  <c r="L696" i="50"/>
  <c r="I755" i="50"/>
  <c r="L675" i="50"/>
  <c r="L753" i="50"/>
  <c r="L673" i="50"/>
  <c r="N750" i="50"/>
  <c r="K673" i="50"/>
  <c r="M752" i="50"/>
  <c r="M675" i="50"/>
  <c r="M753" i="50"/>
  <c r="N674" i="50"/>
  <c r="K752" i="50"/>
  <c r="M661" i="50"/>
  <c r="L661" i="50"/>
  <c r="M739" i="50"/>
  <c r="M743" i="50" s="1"/>
  <c r="M744" i="50" s="1"/>
  <c r="M745" i="50" s="1"/>
  <c r="L750" i="50"/>
  <c r="K750" i="50"/>
  <c r="N647" i="50"/>
  <c r="M703" i="50"/>
  <c r="L739" i="50"/>
  <c r="L743" i="50" s="1"/>
  <c r="L744" i="50" s="1"/>
  <c r="L745" i="50" s="1"/>
  <c r="K739" i="50"/>
  <c r="K743" i="50" s="1"/>
  <c r="K744" i="50" s="1"/>
  <c r="K745" i="50" s="1"/>
  <c r="K756" i="50"/>
  <c r="J647" i="50"/>
  <c r="K674" i="50"/>
  <c r="L703" i="50"/>
  <c r="K703" i="50"/>
  <c r="K755" i="50"/>
  <c r="K644" i="50"/>
  <c r="N673" i="50"/>
  <c r="N702" i="50"/>
  <c r="M702" i="50"/>
  <c r="K753" i="50"/>
  <c r="E644" i="50"/>
  <c r="J673" i="50"/>
  <c r="J674" i="50"/>
  <c r="L701" i="50"/>
  <c r="P789" i="50"/>
  <c r="J768" i="50"/>
  <c r="I791" i="50"/>
  <c r="P764" i="50"/>
  <c r="H788" i="50"/>
  <c r="P667" i="50"/>
  <c r="L763" i="50"/>
  <c r="P766" i="50"/>
  <c r="L774" i="50"/>
  <c r="P788" i="50"/>
  <c r="H794" i="50"/>
  <c r="I767" i="50"/>
  <c r="N789" i="50"/>
  <c r="K768" i="50"/>
  <c r="P778" i="50"/>
  <c r="J786" i="50"/>
  <c r="S756" i="50"/>
  <c r="M783" i="50"/>
  <c r="H786" i="50"/>
  <c r="P756" i="50"/>
  <c r="J763" i="50"/>
  <c r="I771" i="50"/>
  <c r="J750" i="50"/>
  <c r="N756" i="50"/>
  <c r="K661" i="50"/>
  <c r="M673" i="50"/>
  <c r="N696" i="50"/>
  <c r="M751" i="50"/>
  <c r="L647" i="50"/>
  <c r="I751" i="50"/>
  <c r="H647" i="50"/>
  <c r="M750" i="50"/>
  <c r="M644" i="50"/>
  <c r="J788" i="50"/>
  <c r="N801" i="50"/>
  <c r="N782" i="50"/>
  <c r="I786" i="50"/>
  <c r="M775" i="50"/>
  <c r="L771" i="50"/>
  <c r="S752" i="50"/>
  <c r="I764" i="50"/>
  <c r="I778" i="50"/>
  <c r="P682" i="50"/>
  <c r="K777" i="50"/>
  <c r="I785" i="50"/>
  <c r="M798" i="50"/>
  <c r="N797" i="50"/>
  <c r="P693" i="50"/>
  <c r="L764" i="50"/>
  <c r="K766" i="50"/>
  <c r="M768" i="50"/>
  <c r="P771" i="50"/>
  <c r="I780" i="50"/>
  <c r="K792" i="50"/>
  <c r="I750" i="50"/>
  <c r="G647" i="50" s="1"/>
  <c r="K751" i="50"/>
  <c r="N739" i="50"/>
  <c r="N743" i="50" s="1"/>
  <c r="N744" i="50" s="1"/>
  <c r="N745" i="50" s="1"/>
  <c r="M647" i="50"/>
  <c r="K647" i="50"/>
  <c r="J739" i="50"/>
  <c r="J743" i="50" s="1"/>
  <c r="J744" i="50" s="1"/>
  <c r="J745" i="50" s="1"/>
  <c r="I647" i="50"/>
  <c r="L644" i="50"/>
  <c r="J784" i="50"/>
  <c r="N764" i="50"/>
  <c r="K794" i="50"/>
  <c r="P785" i="50"/>
  <c r="I766" i="50"/>
  <c r="M778" i="50"/>
  <c r="N763" i="50"/>
  <c r="P800" i="50"/>
  <c r="S755" i="50"/>
  <c r="L792" i="50"/>
  <c r="I774" i="50"/>
  <c r="P791" i="50"/>
  <c r="M786" i="50"/>
  <c r="N792" i="50"/>
  <c r="I797" i="50"/>
  <c r="K781" i="50"/>
  <c r="P751" i="50"/>
  <c r="M784" i="50"/>
  <c r="J780" i="50"/>
  <c r="E801" i="50"/>
  <c r="N703" i="50"/>
  <c r="J644" i="50"/>
  <c r="U647" i="50" s="1"/>
  <c r="J771" i="50"/>
  <c r="H778" i="50"/>
  <c r="I798" i="50"/>
  <c r="P696" i="50"/>
  <c r="P664" i="50"/>
  <c r="H783" i="50"/>
  <c r="K782" i="50"/>
  <c r="H766" i="50"/>
  <c r="M785" i="50"/>
  <c r="N783" i="50"/>
  <c r="P750" i="50"/>
  <c r="E798" i="50"/>
  <c r="K767" i="50"/>
  <c r="N769" i="50"/>
  <c r="N768" i="50"/>
  <c r="M800" i="50"/>
  <c r="M781" i="50"/>
  <c r="I763" i="50"/>
  <c r="K783" i="50"/>
  <c r="J764" i="50"/>
  <c r="H801" i="50"/>
  <c r="I792" i="50"/>
  <c r="P647" i="50"/>
  <c r="P792" i="50"/>
  <c r="J789" i="50"/>
  <c r="P786" i="50"/>
  <c r="L791" i="50"/>
  <c r="P717" i="50"/>
  <c r="M788" i="50"/>
  <c r="L798" i="50"/>
  <c r="I769" i="50"/>
  <c r="P651" i="50"/>
  <c r="N772" i="50"/>
  <c r="H782" i="50"/>
  <c r="J703" i="50"/>
  <c r="L702" i="50"/>
  <c r="K701" i="50"/>
  <c r="J756" i="50"/>
  <c r="I777" i="50"/>
  <c r="K772" i="50"/>
  <c r="H792" i="50"/>
  <c r="M771" i="50"/>
  <c r="I801" i="50"/>
  <c r="N781" i="50"/>
  <c r="N786" i="50"/>
  <c r="J783" i="50"/>
  <c r="P675" i="50"/>
  <c r="I784" i="50"/>
  <c r="L782" i="50"/>
  <c r="N777" i="50"/>
  <c r="P780" i="50"/>
  <c r="L775" i="50"/>
  <c r="K775" i="50"/>
  <c r="P768" i="50"/>
  <c r="I752" i="50"/>
  <c r="K786" i="50"/>
  <c r="L785" i="50"/>
  <c r="M791" i="50"/>
  <c r="P736" i="50"/>
  <c r="J791" i="50"/>
  <c r="J766" i="50"/>
  <c r="N800" i="50"/>
  <c r="J782" i="50"/>
  <c r="H777" i="50"/>
  <c r="L766" i="50"/>
  <c r="P772" i="50"/>
  <c r="L781" i="50"/>
  <c r="I772" i="50"/>
  <c r="H769" i="50"/>
  <c r="K785" i="50"/>
  <c r="M777" i="50"/>
  <c r="P752" i="50"/>
  <c r="L767" i="50"/>
  <c r="H768" i="50"/>
  <c r="L788" i="50"/>
  <c r="N788" i="50"/>
  <c r="H791" i="50"/>
  <c r="N784" i="50"/>
  <c r="H763" i="50"/>
  <c r="P763" i="50"/>
  <c r="J794" i="50"/>
  <c r="L783" i="50"/>
  <c r="J801" i="50"/>
  <c r="L768" i="50"/>
  <c r="I789" i="50"/>
  <c r="K797" i="50"/>
  <c r="J769" i="50"/>
  <c r="H772" i="50"/>
  <c r="H780" i="50"/>
  <c r="M782" i="50"/>
  <c r="L789" i="50"/>
  <c r="J798" i="50"/>
  <c r="N766" i="50"/>
  <c r="K798" i="50"/>
  <c r="P782" i="50"/>
  <c r="H800" i="50"/>
  <c r="P784" i="50"/>
  <c r="J792" i="50"/>
  <c r="S750" i="50"/>
  <c r="H798" i="50"/>
  <c r="M801" i="50"/>
  <c r="P801" i="50"/>
  <c r="I753" i="50"/>
  <c r="N798" i="50"/>
  <c r="P775" i="50"/>
  <c r="M792" i="50"/>
  <c r="N785" i="50"/>
  <c r="P754" i="50"/>
  <c r="P745" i="50"/>
  <c r="H787" i="50"/>
  <c r="M764" i="50"/>
  <c r="P769" i="50"/>
  <c r="M780" i="50"/>
  <c r="I794" i="50"/>
  <c r="K788" i="50"/>
  <c r="I800" i="50"/>
  <c r="L752" i="50"/>
  <c r="P739" i="50"/>
  <c r="E797" i="50"/>
  <c r="H775" i="50"/>
  <c r="K774" i="50"/>
  <c r="M763" i="50"/>
  <c r="K763" i="50"/>
  <c r="P781" i="50"/>
  <c r="P794" i="50"/>
  <c r="P787" i="50"/>
  <c r="M772" i="50"/>
  <c r="R641" i="50"/>
  <c r="D2525" i="50" s="1"/>
  <c r="D2568" i="50" s="1"/>
  <c r="N778" i="50"/>
  <c r="L751" i="50"/>
  <c r="J781" i="50"/>
  <c r="P689" i="50"/>
  <c r="J775" i="50"/>
  <c r="K787" i="50"/>
  <c r="H789" i="50"/>
  <c r="N775" i="50"/>
  <c r="L797" i="50"/>
  <c r="N767" i="50"/>
  <c r="K801" i="50"/>
  <c r="I782" i="50"/>
  <c r="L801" i="50"/>
  <c r="M787" i="50"/>
  <c r="M774" i="50"/>
  <c r="N661" i="50"/>
  <c r="L787" i="50"/>
  <c r="P783" i="50"/>
  <c r="M769" i="50"/>
  <c r="K764" i="50"/>
  <c r="M794" i="50"/>
  <c r="N771" i="50"/>
  <c r="I768" i="50"/>
  <c r="H764" i="50"/>
  <c r="L769" i="50"/>
  <c r="N780" i="50"/>
  <c r="J661" i="50"/>
  <c r="S751" i="50"/>
  <c r="N787" i="50"/>
  <c r="J778" i="50"/>
  <c r="E800" i="50"/>
  <c r="P798" i="50"/>
  <c r="P777" i="50"/>
  <c r="J785" i="50"/>
  <c r="H771" i="50"/>
  <c r="P685" i="50"/>
  <c r="K771" i="50"/>
  <c r="I781" i="50"/>
  <c r="M767" i="50"/>
  <c r="J797" i="50"/>
  <c r="L800" i="50"/>
  <c r="M766" i="50"/>
  <c r="J777" i="50"/>
  <c r="H774" i="50"/>
  <c r="I775" i="50"/>
  <c r="S753" i="50"/>
  <c r="K789" i="50"/>
  <c r="L784" i="50"/>
  <c r="K778" i="50"/>
  <c r="J772" i="50"/>
  <c r="L778" i="50"/>
  <c r="H784" i="50"/>
  <c r="N774" i="50"/>
  <c r="P703" i="50"/>
  <c r="H785" i="50"/>
  <c r="M797" i="50"/>
  <c r="H797" i="50"/>
  <c r="L772" i="50"/>
  <c r="I787" i="50"/>
  <c r="M789" i="50"/>
  <c r="I788" i="50"/>
  <c r="J774" i="50"/>
  <c r="J767" i="50"/>
  <c r="K800" i="50"/>
  <c r="K780" i="50"/>
  <c r="P797" i="50"/>
  <c r="L777" i="50"/>
  <c r="K784" i="50"/>
  <c r="J800" i="50"/>
  <c r="K791" i="50"/>
  <c r="L786" i="50"/>
  <c r="H767" i="50"/>
  <c r="P767" i="50"/>
  <c r="K769" i="50"/>
  <c r="N791" i="50"/>
  <c r="I783" i="50"/>
  <c r="H781" i="50"/>
  <c r="N794" i="50"/>
  <c r="P774" i="50"/>
  <c r="J787" i="50"/>
  <c r="L794" i="50"/>
  <c r="L780" i="50"/>
  <c r="L1434" i="50"/>
  <c r="I1441" i="50"/>
  <c r="P1448" i="50"/>
  <c r="I1406" i="50"/>
  <c r="G1303" i="50" s="1"/>
  <c r="S1409" i="50"/>
  <c r="P1410" i="50"/>
  <c r="K1444" i="50"/>
  <c r="P1408" i="50"/>
  <c r="K1877" i="37"/>
  <c r="W1880" i="37" s="1"/>
  <c r="N1880" i="37"/>
  <c r="N1353" i="50"/>
  <c r="I1410" i="50"/>
  <c r="N1409" i="50"/>
  <c r="P1440" i="50"/>
  <c r="N1422" i="50"/>
  <c r="P1434" i="50"/>
  <c r="Q392" i="37"/>
  <c r="I392" i="37" s="1"/>
  <c r="S508" i="37"/>
  <c r="S517" i="37"/>
  <c r="Q516" i="37"/>
  <c r="N340" i="37"/>
  <c r="E1300" i="50"/>
  <c r="H1450" i="50"/>
  <c r="L1428" i="50"/>
  <c r="L1441" i="50"/>
  <c r="Q401" i="37"/>
  <c r="Q517" i="37"/>
  <c r="K1317" i="50"/>
  <c r="J1427" i="50"/>
  <c r="L1420" i="50"/>
  <c r="P1430" i="50"/>
  <c r="H1424" i="50"/>
  <c r="P1447" i="50"/>
  <c r="K1409" i="50"/>
  <c r="L1379" i="50" s="1"/>
  <c r="M1317" i="50"/>
  <c r="K1406" i="50"/>
  <c r="L1311" i="50" s="1"/>
  <c r="H1456" i="50"/>
  <c r="J1454" i="50"/>
  <c r="N1431" i="50"/>
  <c r="P1345" i="50"/>
  <c r="I1440" i="50"/>
  <c r="J1352" i="50"/>
  <c r="L1412" i="50"/>
  <c r="L1423" i="50"/>
  <c r="J1440" i="50"/>
  <c r="I1439" i="50"/>
  <c r="Q529" i="37"/>
  <c r="M401" i="37"/>
  <c r="M357" i="37"/>
  <c r="P96" i="50"/>
  <c r="E269" i="41"/>
  <c r="E288" i="50"/>
  <c r="S101" i="50"/>
  <c r="E121" i="50"/>
  <c r="E236" i="50" s="1"/>
  <c r="P101" i="50"/>
  <c r="H642" i="37"/>
  <c r="H648" i="37"/>
  <c r="T388" i="42"/>
  <c r="N1886" i="37"/>
  <c r="L1454" i="50"/>
  <c r="P1406" i="50"/>
  <c r="N1437" i="50"/>
  <c r="R1303" i="50"/>
  <c r="J1349" i="50" s="1"/>
  <c r="M1454" i="50"/>
  <c r="K1441" i="50"/>
  <c r="A1887" i="50"/>
  <c r="J1886" i="37"/>
  <c r="N1336" i="50"/>
  <c r="N1453" i="50"/>
  <c r="H1454" i="50"/>
  <c r="K1423" i="50"/>
  <c r="M1440" i="50"/>
  <c r="S499" i="37"/>
  <c r="N324" i="37"/>
  <c r="Q604" i="37"/>
  <c r="Y337" i="37"/>
  <c r="M337" i="37" s="1"/>
  <c r="M338" i="37" s="1"/>
  <c r="I558" i="37"/>
  <c r="I564" i="37" s="1"/>
  <c r="H1303" i="50"/>
  <c r="L1433" i="50"/>
  <c r="P1373" i="50"/>
  <c r="M1444" i="50"/>
  <c r="M564" i="37"/>
  <c r="E450" i="37"/>
  <c r="N1395" i="50"/>
  <c r="N1399" i="50" s="1"/>
  <c r="N1400" i="50" s="1"/>
  <c r="N1401" i="50" s="1"/>
  <c r="L1439" i="50"/>
  <c r="M1419" i="50"/>
  <c r="M1453" i="50"/>
  <c r="K1450" i="50"/>
  <c r="L1445" i="50"/>
  <c r="L1409" i="50"/>
  <c r="M1379" i="50" s="1"/>
  <c r="N1331" i="50"/>
  <c r="L1411" i="50"/>
  <c r="M1398" i="50" s="1"/>
  <c r="I1431" i="50"/>
  <c r="L1436" i="50"/>
  <c r="L1430" i="50"/>
  <c r="K1436" i="50"/>
  <c r="K1359" i="50"/>
  <c r="M1407" i="50"/>
  <c r="N1312" i="50" s="1"/>
  <c r="K1352" i="50"/>
  <c r="H1428" i="50"/>
  <c r="M1425" i="50"/>
  <c r="K1419" i="50"/>
  <c r="Q583" i="37"/>
  <c r="Q340" i="37"/>
  <c r="Q338" i="37" s="1"/>
  <c r="K1574" i="50"/>
  <c r="T156" i="41"/>
  <c r="AE156" i="41" s="1"/>
  <c r="E289" i="50"/>
  <c r="E270" i="41"/>
  <c r="M1872" i="37"/>
  <c r="L1877" i="37"/>
  <c r="L1879" i="37" s="1"/>
  <c r="P1331" i="50"/>
  <c r="N343" i="37"/>
  <c r="N345" i="37" s="1"/>
  <c r="I1448" i="50"/>
  <c r="J1872" i="37"/>
  <c r="P1813" i="50"/>
  <c r="J1883" i="37"/>
  <c r="J1885" i="37" s="1"/>
  <c r="M1883" i="37"/>
  <c r="M1885" i="37" s="1"/>
  <c r="K1439" i="50"/>
  <c r="K1445" i="50"/>
  <c r="M1441" i="50"/>
  <c r="J1437" i="50"/>
  <c r="S574" i="37"/>
  <c r="J379" i="37"/>
  <c r="L398" i="37"/>
  <c r="L400" i="37" s="1"/>
  <c r="Q345" i="37"/>
  <c r="J398" i="37"/>
  <c r="J400" i="37" s="1"/>
  <c r="L1317" i="50"/>
  <c r="H1423" i="50"/>
  <c r="S1407" i="50"/>
  <c r="J1443" i="50"/>
  <c r="K558" i="37"/>
  <c r="K561" i="37"/>
  <c r="K563" i="37" s="1"/>
  <c r="M1331" i="50"/>
  <c r="I1428" i="50"/>
  <c r="M1420" i="50"/>
  <c r="K1420" i="50"/>
  <c r="L1456" i="50"/>
  <c r="J1303" i="50"/>
  <c r="L1331" i="50"/>
  <c r="J1395" i="50"/>
  <c r="J1399" i="50" s="1"/>
  <c r="J1400" i="50" s="1"/>
  <c r="J1401" i="50" s="1"/>
  <c r="L1431" i="50"/>
  <c r="K1448" i="50"/>
  <c r="K1433" i="50"/>
  <c r="L1448" i="50"/>
  <c r="H1420" i="50"/>
  <c r="L1352" i="50"/>
  <c r="N1412" i="50"/>
  <c r="L1357" i="50"/>
  <c r="I1443" i="50"/>
  <c r="I1423" i="50"/>
  <c r="J1430" i="50"/>
  <c r="L395" i="37"/>
  <c r="N1574" i="50"/>
  <c r="H627" i="37"/>
  <c r="E119" i="50"/>
  <c r="E234" i="50" s="1"/>
  <c r="S99" i="50"/>
  <c r="T148" i="41"/>
  <c r="AE148" i="41" s="1"/>
  <c r="E281" i="50"/>
  <c r="E262" i="41"/>
  <c r="P99" i="50"/>
  <c r="L1395" i="50"/>
  <c r="L1399" i="50" s="1"/>
  <c r="L1400" i="50" s="1"/>
  <c r="L1401" i="50" s="1"/>
  <c r="H1436" i="50"/>
  <c r="P1433" i="50"/>
  <c r="P1338" i="50"/>
  <c r="J1359" i="50"/>
  <c r="N1439" i="50"/>
  <c r="I1424" i="50"/>
  <c r="J1331" i="50"/>
  <c r="I1419" i="50"/>
  <c r="K1330" i="50"/>
  <c r="J1358" i="50"/>
  <c r="M1457" i="50"/>
  <c r="AE1262" i="37"/>
  <c r="J1257" i="37"/>
  <c r="S1495" i="37"/>
  <c r="J1252" i="37"/>
  <c r="Q1454" i="37"/>
  <c r="E1356" i="37"/>
  <c r="N1470" i="37"/>
  <c r="K1246" i="37"/>
  <c r="N1252" i="37"/>
  <c r="L1467" i="37"/>
  <c r="L1469" i="37" s="1"/>
  <c r="Q1301" i="37"/>
  <c r="Q1299" i="37" s="1"/>
  <c r="N1231" i="37"/>
  <c r="I1230" i="37"/>
  <c r="Q1304" i="37"/>
  <c r="Q1383" i="37"/>
  <c r="Q1418" i="37"/>
  <c r="Q1405" i="37"/>
  <c r="S1423" i="37"/>
  <c r="K1230" i="37"/>
  <c r="M1467" i="37"/>
  <c r="M1469" i="37" s="1"/>
  <c r="L1464" i="37"/>
  <c r="N1467" i="37"/>
  <c r="N1469" i="37" s="1"/>
  <c r="Q1414" i="37"/>
  <c r="Q1436" i="37"/>
  <c r="N1230" i="37"/>
  <c r="Q1489" i="37"/>
  <c r="Q1268" i="37"/>
  <c r="Q1230" i="37"/>
  <c r="N1301" i="37"/>
  <c r="I1336" i="37"/>
  <c r="Q1457" i="37"/>
  <c r="V1243" i="37"/>
  <c r="AG1506" i="37"/>
  <c r="J1467" i="37"/>
  <c r="J1469" i="37" s="1"/>
  <c r="Q1251" i="37"/>
  <c r="K1263" i="37"/>
  <c r="Q1464" i="37"/>
  <c r="Q1462" i="37" s="1"/>
  <c r="Q1276" i="37"/>
  <c r="Q1274" i="37" s="1"/>
  <c r="J1230" i="37"/>
  <c r="K1252" i="37"/>
  <c r="M1246" i="37"/>
  <c r="J1470" i="37"/>
  <c r="J1285" i="37"/>
  <c r="J1464" i="37"/>
  <c r="Q1249" i="37"/>
  <c r="M1263" i="37"/>
  <c r="Q1419" i="37"/>
  <c r="Q1480" i="37"/>
  <c r="Q1513" i="37"/>
  <c r="S1356" i="37"/>
  <c r="S1383" i="37"/>
  <c r="Q1495" i="37"/>
  <c r="J1231" i="37"/>
  <c r="Y1243" i="37"/>
  <c r="M1307" i="37"/>
  <c r="X1243" i="37"/>
  <c r="S1422" i="37"/>
  <c r="S1414" i="37"/>
  <c r="S1395" i="37"/>
  <c r="L1252" i="37"/>
  <c r="Q1292" i="37"/>
  <c r="T1221" i="37"/>
  <c r="Q1488" i="37"/>
  <c r="Q1243" i="37"/>
  <c r="L1301" i="37"/>
  <c r="Q1514" i="37"/>
  <c r="R1264" i="37"/>
  <c r="N1307" i="37"/>
  <c r="AG1374" i="37"/>
  <c r="AD1376" i="37" s="1"/>
  <c r="AD1388" i="37" s="1"/>
  <c r="Q1273" i="37"/>
  <c r="Q1479" i="37"/>
  <c r="J1307" i="37"/>
  <c r="L1230" i="37"/>
  <c r="H1231" i="37"/>
  <c r="I1464" i="37"/>
  <c r="I1470" i="37" s="1"/>
  <c r="Q1423" i="37"/>
  <c r="L1304" i="37"/>
  <c r="L1306" i="37" s="1"/>
  <c r="L1307" i="37"/>
  <c r="AL1221" i="37"/>
  <c r="M1464" i="37"/>
  <c r="N1246" i="37"/>
  <c r="H1263" i="37"/>
  <c r="H1233" i="37"/>
  <c r="Q1445" i="37"/>
  <c r="Q1282" i="37"/>
  <c r="Q1461" i="37"/>
  <c r="I1461" i="37" s="1"/>
  <c r="E1229" i="37"/>
  <c r="N1263" i="37"/>
  <c r="M1304" i="37"/>
  <c r="M1306" i="37" s="1"/>
  <c r="Q1252" i="37"/>
  <c r="T1257" i="37"/>
  <c r="L1276" i="37" s="1"/>
  <c r="Q1279" i="37"/>
  <c r="K1301" i="37"/>
  <c r="Q1246" i="37"/>
  <c r="Q1244" i="37" s="1"/>
  <c r="K1467" i="37"/>
  <c r="K1469" i="37" s="1"/>
  <c r="J1304" i="37"/>
  <c r="J1306" i="37" s="1"/>
  <c r="K1307" i="37"/>
  <c r="Q1422" i="37"/>
  <c r="Q1231" i="37"/>
  <c r="M1231" i="37"/>
  <c r="M1301" i="37"/>
  <c r="Z1243" i="37"/>
  <c r="I1231" i="37"/>
  <c r="Q1470" i="37"/>
  <c r="J1246" i="37"/>
  <c r="M1252" i="37"/>
  <c r="N1249" i="37"/>
  <c r="N1251" i="37" s="1"/>
  <c r="M1230" i="37"/>
  <c r="L1470" i="37"/>
  <c r="J1263" i="37"/>
  <c r="M1470" i="37"/>
  <c r="S1264" i="37"/>
  <c r="N1464" i="37"/>
  <c r="Q1467" i="37"/>
  <c r="S1415" i="37"/>
  <c r="I1301" i="37"/>
  <c r="I1307" i="37" s="1"/>
  <c r="L1263" i="37"/>
  <c r="N1304" i="37"/>
  <c r="N1306" i="37" s="1"/>
  <c r="W1243" i="37"/>
  <c r="Q1444" i="37"/>
  <c r="AG1427" i="37"/>
  <c r="AD1429" i="37" s="1"/>
  <c r="AD1438" i="37" s="1"/>
  <c r="AD1447" i="37" s="1"/>
  <c r="AD1473" i="37" s="1"/>
  <c r="AD1482" i="37" s="1"/>
  <c r="K1464" i="37"/>
  <c r="S1479" i="37"/>
  <c r="M1249" i="37"/>
  <c r="M1251" i="37" s="1"/>
  <c r="L1246" i="37"/>
  <c r="Q1510" i="37"/>
  <c r="K1249" i="37"/>
  <c r="K1251" i="37" s="1"/>
  <c r="K1304" i="37"/>
  <c r="K1306" i="37" s="1"/>
  <c r="Q1415" i="37"/>
  <c r="Q1364" i="37"/>
  <c r="J1301" i="37"/>
  <c r="E1501" i="37"/>
  <c r="Q1395" i="37"/>
  <c r="Q1501" i="37"/>
  <c r="Q1509" i="37"/>
  <c r="L1249" i="37"/>
  <c r="L1251" i="37" s="1"/>
  <c r="Q1455" i="37"/>
  <c r="R1233" i="37"/>
  <c r="Q1298" i="37"/>
  <c r="I1298" i="37" s="1"/>
  <c r="S1489" i="37"/>
  <c r="Q1356" i="37"/>
  <c r="Q1435" i="37"/>
  <c r="S1405" i="37"/>
  <c r="L1231" i="37"/>
  <c r="K1470" i="37"/>
  <c r="Q1307" i="37"/>
  <c r="X1221" i="37"/>
  <c r="Z1221" i="37" s="1"/>
  <c r="I1246" i="37"/>
  <c r="I1252" i="37" s="1"/>
  <c r="I1263" i="37"/>
  <c r="S1480" i="37"/>
  <c r="J1249" i="37"/>
  <c r="J1251" i="37" s="1"/>
  <c r="Q1365" i="37"/>
  <c r="K1231" i="37"/>
  <c r="N558" i="37"/>
  <c r="S477" i="37"/>
  <c r="K343" i="37"/>
  <c r="K345" i="37" s="1"/>
  <c r="Q458" i="37"/>
  <c r="E595" i="37"/>
  <c r="K340" i="37"/>
  <c r="S489" i="37"/>
  <c r="K395" i="37"/>
  <c r="Q509" i="37"/>
  <c r="Q539" i="37"/>
  <c r="L324" i="37"/>
  <c r="L561" i="37"/>
  <c r="L563" i="37" s="1"/>
  <c r="V337" i="37"/>
  <c r="Q574" i="37"/>
  <c r="L357" i="37"/>
  <c r="Q376" i="37"/>
  <c r="M558" i="37"/>
  <c r="S573" i="37"/>
  <c r="N401" i="37"/>
  <c r="L343" i="37"/>
  <c r="L345" i="37" s="1"/>
  <c r="Q561" i="37"/>
  <c r="L401" i="37"/>
  <c r="Q538" i="37"/>
  <c r="I357" i="37"/>
  <c r="M398" i="37"/>
  <c r="M400" i="37" s="1"/>
  <c r="J357" i="37"/>
  <c r="Q343" i="37"/>
  <c r="Q513" i="37"/>
  <c r="J343" i="37"/>
  <c r="J345" i="37" s="1"/>
  <c r="Q489" i="37"/>
  <c r="L230" i="50"/>
  <c r="I1872" i="37"/>
  <c r="T392" i="42"/>
  <c r="S1631" i="50"/>
  <c r="K1636" i="50" s="1"/>
  <c r="M1411" i="50"/>
  <c r="N1328" i="50" s="1"/>
  <c r="J1441" i="50"/>
  <c r="H357" i="37"/>
  <c r="R327" i="37"/>
  <c r="AD324" i="37" s="1"/>
  <c r="P1443" i="50"/>
  <c r="K1437" i="50"/>
  <c r="J325" i="37"/>
  <c r="N1358" i="50"/>
  <c r="L1447" i="50"/>
  <c r="J1409" i="50"/>
  <c r="K1354" i="50" s="1"/>
  <c r="I1412" i="50"/>
  <c r="V1412" i="50" s="1"/>
  <c r="K1453" i="50"/>
  <c r="Q589" i="37"/>
  <c r="P829" i="50"/>
  <c r="J1877" i="37"/>
  <c r="I1877" i="37"/>
  <c r="J675" i="37"/>
  <c r="J677" i="37" s="1"/>
  <c r="P231" i="50"/>
  <c r="N1872" i="37"/>
  <c r="AK1866" i="37"/>
  <c r="J678" i="37"/>
  <c r="P993" i="50"/>
  <c r="P994" i="50" s="1"/>
  <c r="M1880" i="37"/>
  <c r="M1800" i="50"/>
  <c r="H1440" i="50"/>
  <c r="I1425" i="50"/>
  <c r="P1444" i="50"/>
  <c r="Q459" i="37"/>
  <c r="Q573" i="37"/>
  <c r="I430" i="37"/>
  <c r="N395" i="37"/>
  <c r="Q346" i="37"/>
  <c r="I1407" i="50"/>
  <c r="P1341" i="50"/>
  <c r="N1424" i="50"/>
  <c r="N1438" i="50"/>
  <c r="N1436" i="50"/>
  <c r="K401" i="37"/>
  <c r="M395" i="37"/>
  <c r="I1409" i="50"/>
  <c r="K1428" i="50"/>
  <c r="I1427" i="50"/>
  <c r="K1443" i="50"/>
  <c r="I1420" i="50"/>
  <c r="M1329" i="50"/>
  <c r="J1330" i="50"/>
  <c r="J1411" i="50"/>
  <c r="K1342" i="50" s="1"/>
  <c r="P1307" i="50"/>
  <c r="K1427" i="50"/>
  <c r="N1430" i="50"/>
  <c r="I1436" i="50"/>
  <c r="P1438" i="50"/>
  <c r="N1303" i="50"/>
  <c r="M1303" i="50"/>
  <c r="M1406" i="50"/>
  <c r="N1348" i="50" s="1"/>
  <c r="N1427" i="50"/>
  <c r="N1425" i="50"/>
  <c r="H1444" i="50"/>
  <c r="K564" i="37"/>
  <c r="Q362" i="37"/>
  <c r="M1574" i="50"/>
  <c r="H626" i="37"/>
  <c r="M1755" i="50"/>
  <c r="K1785" i="50"/>
  <c r="P1740" i="50"/>
  <c r="I1764" i="50"/>
  <c r="J1778" i="50"/>
  <c r="P1759" i="50"/>
  <c r="I1781" i="50"/>
  <c r="K1748" i="50"/>
  <c r="H1761" i="50"/>
  <c r="K1784" i="50"/>
  <c r="P1753" i="50"/>
  <c r="H1750" i="50"/>
  <c r="P1770" i="50"/>
  <c r="L1769" i="50"/>
  <c r="I1759" i="50"/>
  <c r="J1764" i="50"/>
  <c r="N1748" i="50"/>
  <c r="P1687" i="50"/>
  <c r="L1761" i="50"/>
  <c r="P1673" i="50"/>
  <c r="J1773" i="50"/>
  <c r="P1635" i="50"/>
  <c r="K1762" i="50"/>
  <c r="H1756" i="50"/>
  <c r="N1759" i="50"/>
  <c r="P1631" i="50"/>
  <c r="N1781" i="50"/>
  <c r="P1748" i="50"/>
  <c r="L1768" i="50"/>
  <c r="H1758" i="50"/>
  <c r="J1771" i="50"/>
  <c r="P1784" i="50"/>
  <c r="E1781" i="50"/>
  <c r="I1767" i="50"/>
  <c r="H1755" i="50"/>
  <c r="J1755" i="50"/>
  <c r="P1659" i="50"/>
  <c r="H1768" i="50"/>
  <c r="I1751" i="50"/>
  <c r="H1784" i="50"/>
  <c r="M1761" i="50"/>
  <c r="J1769" i="50"/>
  <c r="J1759" i="50"/>
  <c r="H1764" i="50"/>
  <c r="S1737" i="50"/>
  <c r="I1769" i="50"/>
  <c r="H1778" i="50"/>
  <c r="P1778" i="50"/>
  <c r="N1766" i="50"/>
  <c r="H1770" i="50"/>
  <c r="J1765" i="50"/>
  <c r="I1765" i="50"/>
  <c r="M1776" i="50"/>
  <c r="H1769" i="50"/>
  <c r="L1784" i="50"/>
  <c r="J1767" i="50"/>
  <c r="H1767" i="50"/>
  <c r="M1785" i="50"/>
  <c r="L1748" i="50"/>
  <c r="J1762" i="50"/>
  <c r="M1758" i="50"/>
  <c r="L1766" i="50"/>
  <c r="E1782" i="50"/>
  <c r="I1785" i="50"/>
  <c r="P1766" i="50"/>
  <c r="M1766" i="50"/>
  <c r="P1680" i="50"/>
  <c r="M1762" i="50"/>
  <c r="N1761" i="50"/>
  <c r="P1758" i="50"/>
  <c r="M1751" i="50"/>
  <c r="M1784" i="50"/>
  <c r="S1735" i="50"/>
  <c r="J1758" i="50"/>
  <c r="J1784" i="50"/>
  <c r="I1768" i="50"/>
  <c r="M1781" i="50"/>
  <c r="N1771" i="50"/>
  <c r="J1756" i="50"/>
  <c r="I1776" i="50"/>
  <c r="M1764" i="50"/>
  <c r="L1758" i="50"/>
  <c r="J1747" i="50"/>
  <c r="J1766" i="50"/>
  <c r="L1785" i="50"/>
  <c r="M1767" i="50"/>
  <c r="J1776" i="50"/>
  <c r="K1782" i="50"/>
  <c r="P1764" i="50"/>
  <c r="H1753" i="50"/>
  <c r="M1765" i="50"/>
  <c r="P1775" i="50"/>
  <c r="L1759" i="50"/>
  <c r="N1765" i="50"/>
  <c r="H1747" i="50"/>
  <c r="P1771" i="50"/>
  <c r="K1756" i="50"/>
  <c r="L1767" i="50"/>
  <c r="P1734" i="50"/>
  <c r="L1782" i="50"/>
  <c r="N1756" i="50"/>
  <c r="L1778" i="50"/>
  <c r="K1764" i="50"/>
  <c r="H1781" i="50"/>
  <c r="P1751" i="50"/>
  <c r="S1734" i="50"/>
  <c r="P1738" i="50"/>
  <c r="H1752" i="50"/>
  <c r="N1758" i="50"/>
  <c r="J1761" i="50"/>
  <c r="H1776" i="50"/>
  <c r="M1753" i="50"/>
  <c r="M1773" i="50"/>
  <c r="L1751" i="50"/>
  <c r="I1772" i="50"/>
  <c r="P1782" i="50"/>
  <c r="I1747" i="50"/>
  <c r="H1751" i="50"/>
  <c r="P1747" i="50"/>
  <c r="J1781" i="50"/>
  <c r="K1781" i="50"/>
  <c r="I1766" i="50"/>
  <c r="J1775" i="50"/>
  <c r="J1768" i="50"/>
  <c r="S1739" i="50"/>
  <c r="P1666" i="50"/>
  <c r="P1785" i="50"/>
  <c r="P1765" i="50"/>
  <c r="L1773" i="50"/>
  <c r="K1773" i="50"/>
  <c r="N1772" i="50"/>
  <c r="K1767" i="50"/>
  <c r="L1750" i="50"/>
  <c r="L1764" i="50"/>
  <c r="M1747" i="50"/>
  <c r="N1747" i="50"/>
  <c r="K1751" i="50"/>
  <c r="M1775" i="50"/>
  <c r="H1782" i="50"/>
  <c r="J1770" i="50"/>
  <c r="P1773" i="50"/>
  <c r="N1762" i="50"/>
  <c r="N1770" i="50"/>
  <c r="R1625" i="50"/>
  <c r="D2531" i="50" s="1"/>
  <c r="D2574" i="50" s="1"/>
  <c r="M1782" i="50"/>
  <c r="P1651" i="50"/>
  <c r="H1785" i="50"/>
  <c r="I1782" i="50"/>
  <c r="H1759" i="50"/>
  <c r="P1752" i="50"/>
  <c r="J1753" i="50"/>
  <c r="I1770" i="50"/>
  <c r="I1762" i="50"/>
  <c r="P1781" i="50"/>
  <c r="P1720" i="50"/>
  <c r="H1771" i="50"/>
  <c r="I1778" i="50"/>
  <c r="P1677" i="50"/>
  <c r="L1781" i="50"/>
  <c r="K1753" i="50"/>
  <c r="I1775" i="50"/>
  <c r="L1765" i="50"/>
  <c r="I1756" i="50"/>
  <c r="K1776" i="50"/>
  <c r="K1775" i="50"/>
  <c r="P1756" i="50"/>
  <c r="P1701" i="50"/>
  <c r="N1773" i="50"/>
  <c r="M1750" i="50"/>
  <c r="L1771" i="50"/>
  <c r="M1768" i="50"/>
  <c r="L1775" i="50"/>
  <c r="N1767" i="50"/>
  <c r="K1771" i="50"/>
  <c r="K1759" i="50"/>
  <c r="L1762" i="50"/>
  <c r="H1765" i="50"/>
  <c r="M1770" i="50"/>
  <c r="P1669" i="50"/>
  <c r="N1750" i="50"/>
  <c r="M1752" i="50"/>
  <c r="E1785" i="50"/>
  <c r="M1771" i="50"/>
  <c r="L1756" i="50"/>
  <c r="N1782" i="50"/>
  <c r="P1729" i="50"/>
  <c r="L1755" i="50"/>
  <c r="L1772" i="50"/>
  <c r="N1764" i="50"/>
  <c r="J1782" i="50"/>
  <c r="K1750" i="50"/>
  <c r="N1775" i="50"/>
  <c r="L1752" i="50"/>
  <c r="H1766" i="50"/>
  <c r="L1753" i="50"/>
  <c r="H1775" i="50"/>
  <c r="I1755" i="50"/>
  <c r="N1769" i="50"/>
  <c r="S1740" i="50"/>
  <c r="P1736" i="50"/>
  <c r="N1778" i="50"/>
  <c r="I1773" i="50"/>
  <c r="K1778" i="50"/>
  <c r="P1648" i="50"/>
  <c r="J1750" i="50"/>
  <c r="K1769" i="50"/>
  <c r="P1772" i="50"/>
  <c r="P1769" i="50"/>
  <c r="H1762" i="50"/>
  <c r="N1768" i="50"/>
  <c r="J1751" i="50"/>
  <c r="M1778" i="50"/>
  <c r="K1752" i="50"/>
  <c r="H1773" i="50"/>
  <c r="I1752" i="50"/>
  <c r="N1785" i="50"/>
  <c r="P1750" i="50"/>
  <c r="J1785" i="50"/>
  <c r="K1770" i="50"/>
  <c r="K1765" i="50"/>
  <c r="K1761" i="50"/>
  <c r="I1758" i="50"/>
  <c r="I1761" i="50"/>
  <c r="K1758" i="50"/>
  <c r="N1755" i="50"/>
  <c r="I1784" i="50"/>
  <c r="H1748" i="50"/>
  <c r="N1752" i="50"/>
  <c r="I1771" i="50"/>
  <c r="L1776" i="50"/>
  <c r="P1723" i="50"/>
  <c r="M1748" i="50"/>
  <c r="K1755" i="50"/>
  <c r="P1735" i="50"/>
  <c r="M1756" i="50"/>
  <c r="L1747" i="50"/>
  <c r="K1747" i="50"/>
  <c r="N1751" i="50"/>
  <c r="P1755" i="50"/>
  <c r="H1772" i="50"/>
  <c r="K1772" i="50"/>
  <c r="P1768" i="50"/>
  <c r="J1748" i="50"/>
  <c r="L1770" i="50"/>
  <c r="M1772" i="50"/>
  <c r="J1752" i="50"/>
  <c r="N1784" i="50"/>
  <c r="M1759" i="50"/>
  <c r="N1776" i="50"/>
  <c r="M1769" i="50"/>
  <c r="K1766" i="50"/>
  <c r="I1753" i="50"/>
  <c r="I1748" i="50"/>
  <c r="J1772" i="50"/>
  <c r="P1761" i="50"/>
  <c r="K1768" i="50"/>
  <c r="N1753" i="50"/>
  <c r="P1767" i="50"/>
  <c r="I1750" i="50"/>
  <c r="P1776" i="50"/>
  <c r="E1784" i="50"/>
  <c r="P1762" i="50"/>
  <c r="S1736" i="50"/>
  <c r="N1379" i="50"/>
  <c r="L1363" i="50"/>
  <c r="K1316" i="50"/>
  <c r="L1342" i="50"/>
  <c r="K1356" i="50"/>
  <c r="L1377" i="50"/>
  <c r="N1479" i="50"/>
  <c r="W2065" i="37"/>
  <c r="K2065" i="37" s="1"/>
  <c r="K2067" i="37" s="1"/>
  <c r="K1370" i="50"/>
  <c r="K1328" i="50"/>
  <c r="N1314" i="50"/>
  <c r="N1326" i="50"/>
  <c r="N1519" i="50"/>
  <c r="N1491" i="50"/>
  <c r="L1370" i="50"/>
  <c r="K1847" i="37"/>
  <c r="W1850" i="37" s="1"/>
  <c r="L1335" i="50"/>
  <c r="N1337" i="50"/>
  <c r="N1533" i="50"/>
  <c r="N337" i="37"/>
  <c r="Z338" i="37" s="1"/>
  <c r="M1348" i="50"/>
  <c r="N1396" i="50"/>
  <c r="L1328" i="50"/>
  <c r="AK2074" i="37"/>
  <c r="AK1911" i="37"/>
  <c r="AK1856" i="37"/>
  <c r="M1344" i="50"/>
  <c r="N1344" i="50"/>
  <c r="M1341" i="50"/>
  <c r="N1343" i="50"/>
  <c r="J1343" i="50"/>
  <c r="M1376" i="50"/>
  <c r="M1362" i="50"/>
  <c r="K1311" i="50"/>
  <c r="M231" i="50"/>
  <c r="I231" i="50"/>
  <c r="X1902" i="37"/>
  <c r="L1902" i="37" s="1"/>
  <c r="Z392" i="37"/>
  <c r="N392" i="37" s="1"/>
  <c r="N394" i="37" s="1"/>
  <c r="M1847" i="37"/>
  <c r="Y1848" i="37" s="1"/>
  <c r="S918" i="50"/>
  <c r="J231" i="50"/>
  <c r="L231" i="50"/>
  <c r="L1847" i="37"/>
  <c r="L1849" i="37" s="1"/>
  <c r="Z555" i="37"/>
  <c r="N555" i="37" s="1"/>
  <c r="N557" i="37" s="1"/>
  <c r="V1795" i="50"/>
  <c r="N1799" i="50" s="1"/>
  <c r="M1841" i="50"/>
  <c r="N1345" i="50"/>
  <c r="L1341" i="50"/>
  <c r="J1344" i="50"/>
  <c r="N1341" i="50"/>
  <c r="K1344" i="50"/>
  <c r="M1311" i="50"/>
  <c r="Y1902" i="37"/>
  <c r="M1902" i="37" s="1"/>
  <c r="R1795" i="50"/>
  <c r="J1800" i="50" s="1"/>
  <c r="N231" i="50"/>
  <c r="T1795" i="50"/>
  <c r="L1800" i="50" s="1"/>
  <c r="L1314" i="50"/>
  <c r="K1379" i="50"/>
  <c r="K1341" i="50"/>
  <c r="L1343" i="50"/>
  <c r="L1344" i="50"/>
  <c r="K1345" i="50"/>
  <c r="M1345" i="50"/>
  <c r="L1410" i="50"/>
  <c r="M1369" i="50" s="1"/>
  <c r="K1348" i="50"/>
  <c r="K1410" i="50"/>
  <c r="L1380" i="50" s="1"/>
  <c r="L1635" i="50"/>
  <c r="K1334" i="50"/>
  <c r="K1362" i="50"/>
  <c r="N1370" i="50"/>
  <c r="N1316" i="50"/>
  <c r="N1410" i="50"/>
  <c r="T195" i="42"/>
  <c r="T191" i="42"/>
  <c r="T152" i="42"/>
  <c r="T199" i="42"/>
  <c r="T203" i="42"/>
  <c r="T187" i="42"/>
  <c r="N1378" i="50"/>
  <c r="N1313" i="50"/>
  <c r="N1364" i="50"/>
  <c r="AK356" i="37"/>
  <c r="Y555" i="37"/>
  <c r="M555" i="37" s="1"/>
  <c r="M556" i="37" s="1"/>
  <c r="M1370" i="50"/>
  <c r="M1353" i="50"/>
  <c r="K1353" i="50"/>
  <c r="M1342" i="50"/>
  <c r="J373" i="37"/>
  <c r="J375" i="37" s="1"/>
  <c r="K370" i="37"/>
  <c r="V811" i="50"/>
  <c r="N857" i="50" s="1"/>
  <c r="J857" i="50"/>
  <c r="M1328" i="50"/>
  <c r="M1313" i="50"/>
  <c r="M1378" i="50"/>
  <c r="K1325" i="50"/>
  <c r="K1313" i="50"/>
  <c r="H230" i="50"/>
  <c r="P230" i="50"/>
  <c r="P1022" i="50"/>
  <c r="P1023" i="50" s="1"/>
  <c r="Y367" i="37"/>
  <c r="AK358" i="37"/>
  <c r="E309" i="41"/>
  <c r="E338" i="41" s="1"/>
  <c r="A1352" i="50"/>
  <c r="M367" i="37"/>
  <c r="M369" i="37" s="1"/>
  <c r="J367" i="37"/>
  <c r="V370" i="37" s="1"/>
  <c r="N370" i="37"/>
  <c r="M370" i="37"/>
  <c r="L1636" i="50"/>
  <c r="M1316" i="50"/>
  <c r="M1336" i="50"/>
  <c r="M1364" i="50"/>
  <c r="K1336" i="50"/>
  <c r="K1364" i="50"/>
  <c r="J362" i="37"/>
  <c r="I230" i="50"/>
  <c r="J230" i="50"/>
  <c r="N230" i="50"/>
  <c r="S1082" i="50"/>
  <c r="K373" i="37"/>
  <c r="K375" i="37" s="1"/>
  <c r="M1356" i="50"/>
  <c r="K1082" i="50"/>
  <c r="L1027" i="50" s="1"/>
  <c r="M2068" i="50"/>
  <c r="M2065" i="50"/>
  <c r="L2062" i="50"/>
  <c r="K2014" i="50"/>
  <c r="K1987" i="50"/>
  <c r="M1959" i="50"/>
  <c r="L2067" i="50"/>
  <c r="K2063" i="50"/>
  <c r="N2014" i="50"/>
  <c r="N1987" i="50"/>
  <c r="L1973" i="50"/>
  <c r="E1956" i="50"/>
  <c r="K2065" i="50"/>
  <c r="J2063" i="50"/>
  <c r="K2015" i="50"/>
  <c r="J2008" i="50"/>
  <c r="J1985" i="50"/>
  <c r="J2065" i="50"/>
  <c r="N1959" i="50"/>
  <c r="J2067" i="50"/>
  <c r="L2014" i="50"/>
  <c r="I2064" i="50"/>
  <c r="I1956" i="50"/>
  <c r="K2066" i="50" s="1"/>
  <c r="I2063" i="50"/>
  <c r="M2084" i="50"/>
  <c r="P2096" i="50"/>
  <c r="P2094" i="50"/>
  <c r="H2103" i="50"/>
  <c r="L2078" i="50"/>
  <c r="H2089" i="50"/>
  <c r="P2008" i="50"/>
  <c r="J2093" i="50"/>
  <c r="J2096" i="50"/>
  <c r="J2076" i="50"/>
  <c r="I2086" i="50"/>
  <c r="I2106" i="50"/>
  <c r="K2113" i="50"/>
  <c r="H2093" i="50"/>
  <c r="I2113" i="50"/>
  <c r="I2100" i="50"/>
  <c r="H2100" i="50"/>
  <c r="J2084" i="50"/>
  <c r="L2096" i="50"/>
  <c r="L2090" i="50"/>
  <c r="I2095" i="50"/>
  <c r="P1959" i="50"/>
  <c r="L2087" i="50"/>
  <c r="P2078" i="50"/>
  <c r="P1979" i="50"/>
  <c r="N2103" i="50"/>
  <c r="H2095" i="50"/>
  <c r="I2081" i="50"/>
  <c r="P2083" i="50"/>
  <c r="J2080" i="50"/>
  <c r="K2106" i="50"/>
  <c r="N2079" i="50"/>
  <c r="M2112" i="50"/>
  <c r="I2099" i="50"/>
  <c r="J2106" i="50"/>
  <c r="K2109" i="50"/>
  <c r="P2005" i="50"/>
  <c r="P2112" i="50"/>
  <c r="K2092" i="50"/>
  <c r="H2092" i="50"/>
  <c r="L2113" i="50"/>
  <c r="L2080" i="50"/>
  <c r="N2094" i="50"/>
  <c r="J2078" i="50"/>
  <c r="L2099" i="50"/>
  <c r="J2089" i="50"/>
  <c r="N2100" i="50"/>
  <c r="N2095" i="50"/>
  <c r="H2078" i="50"/>
  <c r="K2094" i="50"/>
  <c r="I2078" i="50"/>
  <c r="I2084" i="50"/>
  <c r="K2112" i="50"/>
  <c r="P1997" i="50"/>
  <c r="P2051" i="50"/>
  <c r="S2068" i="50"/>
  <c r="I2103" i="50"/>
  <c r="L2104" i="50"/>
  <c r="M2092" i="50"/>
  <c r="P2104" i="50"/>
  <c r="M2089" i="50"/>
  <c r="N2086" i="50"/>
  <c r="K2095" i="50"/>
  <c r="M2113" i="50"/>
  <c r="P2103" i="50"/>
  <c r="N2068" i="50"/>
  <c r="I2068" i="50"/>
  <c r="V2068" i="50" s="1"/>
  <c r="I2065" i="50"/>
  <c r="N2051" i="50"/>
  <c r="N2055" i="50" s="1"/>
  <c r="N2056" i="50" s="1"/>
  <c r="N2057" i="50" s="1"/>
  <c r="N2013" i="50"/>
  <c r="M1986" i="50"/>
  <c r="I1959" i="50"/>
  <c r="K2062" i="50"/>
  <c r="J2014" i="50"/>
  <c r="J1987" i="50"/>
  <c r="L1959" i="50"/>
  <c r="K2068" i="50"/>
  <c r="N2064" i="50"/>
  <c r="N2062" i="50"/>
  <c r="M2014" i="50"/>
  <c r="M1987" i="50"/>
  <c r="K1973" i="50"/>
  <c r="J2015" i="50"/>
  <c r="K2013" i="50"/>
  <c r="M2064" i="50"/>
  <c r="N1986" i="50"/>
  <c r="N2015" i="50"/>
  <c r="N2065" i="50"/>
  <c r="N2076" i="50"/>
  <c r="M2076" i="50"/>
  <c r="L2084" i="50"/>
  <c r="K2098" i="50"/>
  <c r="N2097" i="50"/>
  <c r="P2109" i="50"/>
  <c r="N2083" i="50"/>
  <c r="J2099" i="50"/>
  <c r="H2101" i="50"/>
  <c r="M2078" i="50"/>
  <c r="P2101" i="50"/>
  <c r="H2109" i="50"/>
  <c r="K2080" i="50"/>
  <c r="L2110" i="50"/>
  <c r="I2098" i="50"/>
  <c r="M2083" i="50"/>
  <c r="K2099" i="50"/>
  <c r="P1994" i="50"/>
  <c r="I2089" i="50"/>
  <c r="L2098" i="50"/>
  <c r="P1987" i="50"/>
  <c r="E2110" i="50"/>
  <c r="H2110" i="50"/>
  <c r="P2057" i="50"/>
  <c r="H2079" i="50"/>
  <c r="P2097" i="50"/>
  <c r="J2097" i="50"/>
  <c r="M2094" i="50"/>
  <c r="K2083" i="50"/>
  <c r="M2110" i="50"/>
  <c r="R1953" i="50"/>
  <c r="D2533" i="50" s="1"/>
  <c r="D2576" i="50" s="1"/>
  <c r="I2075" i="50"/>
  <c r="I2076" i="50"/>
  <c r="K2081" i="50"/>
  <c r="N2101" i="50"/>
  <c r="M2109" i="50"/>
  <c r="J2086" i="50"/>
  <c r="P2015" i="50"/>
  <c r="S2067" i="50"/>
  <c r="J2100" i="50"/>
  <c r="K2089" i="50"/>
  <c r="P2110" i="50"/>
  <c r="E2113" i="50"/>
  <c r="K2100" i="50"/>
  <c r="J2092" i="50"/>
  <c r="M2093" i="50"/>
  <c r="P2076" i="50"/>
  <c r="L2094" i="50"/>
  <c r="K2087" i="50"/>
  <c r="P2089" i="50"/>
  <c r="E2109" i="50"/>
  <c r="M2098" i="50"/>
  <c r="P1976" i="50"/>
  <c r="K2086" i="50"/>
  <c r="I2109" i="50"/>
  <c r="N2090" i="50"/>
  <c r="J2068" i="50"/>
  <c r="M2067" i="50"/>
  <c r="L2064" i="50"/>
  <c r="J2051" i="50"/>
  <c r="J2055" i="50" s="1"/>
  <c r="J2056" i="50" s="1"/>
  <c r="J2057" i="50" s="1"/>
  <c r="J2013" i="50"/>
  <c r="L1985" i="50"/>
  <c r="L1956" i="50"/>
  <c r="L2065" i="50"/>
  <c r="M2051" i="50"/>
  <c r="M2055" i="50" s="1"/>
  <c r="M2056" i="50" s="1"/>
  <c r="M2057" i="50" s="1"/>
  <c r="M2013" i="50"/>
  <c r="L1986" i="50"/>
  <c r="H1959" i="50"/>
  <c r="K2067" i="50"/>
  <c r="J2064" i="50"/>
  <c r="J2062" i="50"/>
  <c r="L2013" i="50"/>
  <c r="K1986" i="50"/>
  <c r="K1959" i="50"/>
  <c r="L1987" i="50"/>
  <c r="M2008" i="50"/>
  <c r="M2063" i="50"/>
  <c r="M1985" i="50"/>
  <c r="J1986" i="50"/>
  <c r="I2062" i="50"/>
  <c r="G1959" i="50" s="1"/>
  <c r="N2067" i="50"/>
  <c r="I2067" i="50"/>
  <c r="L2063" i="50"/>
  <c r="M2015" i="50"/>
  <c r="L2008" i="50"/>
  <c r="M1973" i="50"/>
  <c r="L2068" i="50"/>
  <c r="K2064" i="50"/>
  <c r="L2015" i="50"/>
  <c r="K2008" i="50"/>
  <c r="K1985" i="50"/>
  <c r="K1956" i="50"/>
  <c r="N2063" i="50"/>
  <c r="L2051" i="50"/>
  <c r="L2055" i="50" s="1"/>
  <c r="L2056" i="50" s="1"/>
  <c r="L2057" i="50" s="1"/>
  <c r="N2008" i="50"/>
  <c r="N1985" i="50"/>
  <c r="J1956" i="50"/>
  <c r="T1959" i="50" s="1"/>
  <c r="J1973" i="50"/>
  <c r="J1959" i="50"/>
  <c r="M2062" i="50"/>
  <c r="M1956" i="50"/>
  <c r="K2051" i="50"/>
  <c r="K2055" i="50" s="1"/>
  <c r="K2056" i="50" s="1"/>
  <c r="K2057" i="50" s="1"/>
  <c r="N1973" i="50"/>
  <c r="H2086" i="50"/>
  <c r="L2100" i="50"/>
  <c r="H2113" i="50"/>
  <c r="S2065" i="50"/>
  <c r="S2063" i="50"/>
  <c r="N2084" i="50"/>
  <c r="M2095" i="50"/>
  <c r="N2096" i="50"/>
  <c r="K2110" i="50"/>
  <c r="M2104" i="50"/>
  <c r="P2084" i="50"/>
  <c r="H2087" i="50"/>
  <c r="I2096" i="50"/>
  <c r="N2081" i="50"/>
  <c r="L2112" i="50"/>
  <c r="J2110" i="50"/>
  <c r="L2086" i="50"/>
  <c r="J2079" i="50"/>
  <c r="H2083" i="50"/>
  <c r="M2103" i="50"/>
  <c r="J2075" i="50"/>
  <c r="P2100" i="50"/>
  <c r="J2081" i="50"/>
  <c r="M2086" i="50"/>
  <c r="M2075" i="50"/>
  <c r="N2098" i="50"/>
  <c r="I2087" i="50"/>
  <c r="J2087" i="50"/>
  <c r="I2079" i="50"/>
  <c r="H2081" i="50"/>
  <c r="L2079" i="50"/>
  <c r="L2075" i="50"/>
  <c r="K2101" i="50"/>
  <c r="P2081" i="50"/>
  <c r="L2089" i="50"/>
  <c r="P2087" i="50"/>
  <c r="K2076" i="50"/>
  <c r="L2109" i="50"/>
  <c r="M2081" i="50"/>
  <c r="H2106" i="50"/>
  <c r="P2062" i="50"/>
  <c r="N2087" i="50"/>
  <c r="M2080" i="50"/>
  <c r="I2101" i="50"/>
  <c r="K2096" i="50"/>
  <c r="L2093" i="50"/>
  <c r="L2095" i="50"/>
  <c r="P2079" i="50"/>
  <c r="I2092" i="50"/>
  <c r="N2075" i="50"/>
  <c r="H2076" i="50"/>
  <c r="I2110" i="50"/>
  <c r="N2106" i="50"/>
  <c r="J2083" i="50"/>
  <c r="P2095" i="50"/>
  <c r="M2087" i="50"/>
  <c r="K2090" i="50"/>
  <c r="P2093" i="50"/>
  <c r="H2097" i="50"/>
  <c r="P2106" i="50"/>
  <c r="I2097" i="50"/>
  <c r="K2097" i="50"/>
  <c r="M2106" i="50"/>
  <c r="H2099" i="50"/>
  <c r="J2112" i="50"/>
  <c r="L2092" i="50"/>
  <c r="K2079" i="50"/>
  <c r="P2113" i="50"/>
  <c r="M2100" i="50"/>
  <c r="I2094" i="50"/>
  <c r="J2095" i="50"/>
  <c r="L2083" i="50"/>
  <c r="S2062" i="50"/>
  <c r="K2078" i="50"/>
  <c r="M2099" i="50"/>
  <c r="L2097" i="50"/>
  <c r="J2113" i="50"/>
  <c r="P2075" i="50"/>
  <c r="N2099" i="50"/>
  <c r="H2098" i="50"/>
  <c r="N2078" i="50"/>
  <c r="M2096" i="50"/>
  <c r="H2104" i="50"/>
  <c r="P2029" i="50"/>
  <c r="P2066" i="50"/>
  <c r="M2097" i="50"/>
  <c r="J2090" i="50"/>
  <c r="N2093" i="50"/>
  <c r="M2101" i="50"/>
  <c r="P2086" i="50"/>
  <c r="P2090" i="50"/>
  <c r="I2104" i="50"/>
  <c r="L2106" i="50"/>
  <c r="H2075" i="50"/>
  <c r="P1963" i="50"/>
  <c r="M2090" i="50"/>
  <c r="J2103" i="50"/>
  <c r="I2080" i="50"/>
  <c r="P2080" i="50"/>
  <c r="L2081" i="50"/>
  <c r="K2093" i="50"/>
  <c r="H2112" i="50"/>
  <c r="N2092" i="50"/>
  <c r="H2090" i="50"/>
  <c r="N2089" i="50"/>
  <c r="J2098" i="50"/>
  <c r="J2101" i="50"/>
  <c r="N2113" i="50"/>
  <c r="P2068" i="50"/>
  <c r="H2084" i="50"/>
  <c r="H2080" i="50"/>
  <c r="N2109" i="50"/>
  <c r="P2048" i="50"/>
  <c r="L2076" i="50"/>
  <c r="P2092" i="50"/>
  <c r="P2064" i="50"/>
  <c r="K2075" i="50"/>
  <c r="L2101" i="50"/>
  <c r="K2104" i="50"/>
  <c r="H2094" i="50"/>
  <c r="P2063" i="50"/>
  <c r="M2079" i="50"/>
  <c r="N2104" i="50"/>
  <c r="J2104" i="50"/>
  <c r="P2001" i="50"/>
  <c r="J2109" i="50"/>
  <c r="E2112" i="50"/>
  <c r="P2099" i="50"/>
  <c r="S2064" i="50"/>
  <c r="N2110" i="50"/>
  <c r="I2083" i="50"/>
  <c r="J2094" i="50"/>
  <c r="I2093" i="50"/>
  <c r="I2112" i="50"/>
  <c r="K2103" i="50"/>
  <c r="H2096" i="50"/>
  <c r="I2090" i="50"/>
  <c r="N2112" i="50"/>
  <c r="N2080" i="50"/>
  <c r="L2103" i="50"/>
  <c r="P2098" i="50"/>
  <c r="K2084" i="50"/>
  <c r="K918" i="50"/>
  <c r="L823" i="50" s="1"/>
  <c r="I918" i="50"/>
  <c r="M918" i="50"/>
  <c r="N835" i="50" s="1"/>
  <c r="D2540" i="50"/>
  <c r="D2583" i="50" s="1"/>
  <c r="D2535" i="50"/>
  <c r="D2578" i="50" s="1"/>
  <c r="D2538" i="50"/>
  <c r="D2581" i="50" s="1"/>
  <c r="D2534" i="50"/>
  <c r="D2577" i="50" s="1"/>
  <c r="D2537" i="50"/>
  <c r="D2580" i="50" s="1"/>
  <c r="D2536" i="50"/>
  <c r="D2579" i="50" s="1"/>
  <c r="D2539" i="50"/>
  <c r="D2582" i="50" s="1"/>
  <c r="K1807" i="50"/>
  <c r="K1861" i="50"/>
  <c r="K1889" i="50"/>
  <c r="K1847" i="50"/>
  <c r="K1872" i="50"/>
  <c r="K1819" i="50"/>
  <c r="K1705" i="50"/>
  <c r="K1652" i="50"/>
  <c r="K1691" i="50"/>
  <c r="K1640" i="50"/>
  <c r="K1663" i="50"/>
  <c r="N1050" i="50"/>
  <c r="N985" i="50"/>
  <c r="N1036" i="50"/>
  <c r="N1025" i="50"/>
  <c r="L1020" i="50"/>
  <c r="L1006" i="50"/>
  <c r="L983" i="50"/>
  <c r="L1062" i="50"/>
  <c r="L1048" i="50"/>
  <c r="L1034" i="50"/>
  <c r="M1006" i="50"/>
  <c r="M983" i="50"/>
  <c r="M1034" i="50"/>
  <c r="M1048" i="50"/>
  <c r="M1062" i="50"/>
  <c r="M1020" i="50"/>
  <c r="K1890" i="50"/>
  <c r="K1862" i="50"/>
  <c r="K1848" i="50"/>
  <c r="K1820" i="50"/>
  <c r="K1808" i="50"/>
  <c r="K1834" i="50"/>
  <c r="P1065" i="50"/>
  <c r="T811" i="50"/>
  <c r="L816" i="50" s="1"/>
  <c r="J815" i="50"/>
  <c r="L1656" i="50"/>
  <c r="L1644" i="50"/>
  <c r="L1698" i="50"/>
  <c r="L1670" i="50"/>
  <c r="L1726" i="50"/>
  <c r="L1684" i="50"/>
  <c r="L1682" i="50"/>
  <c r="L1665" i="50"/>
  <c r="L1642" i="50"/>
  <c r="L1707" i="50"/>
  <c r="L1724" i="50"/>
  <c r="L1654" i="50"/>
  <c r="K1664" i="50"/>
  <c r="K1653" i="50"/>
  <c r="K1692" i="50"/>
  <c r="K1681" i="50"/>
  <c r="K1706" i="50"/>
  <c r="K1641" i="50"/>
  <c r="M1654" i="50"/>
  <c r="M1642" i="50"/>
  <c r="M1681" i="50"/>
  <c r="M1692" i="50"/>
  <c r="M1706" i="50"/>
  <c r="M1664" i="50"/>
  <c r="M1653" i="50"/>
  <c r="M1641" i="50"/>
  <c r="N1726" i="50"/>
  <c r="N1684" i="50"/>
  <c r="N1670" i="50"/>
  <c r="N1656" i="50"/>
  <c r="N1644" i="50"/>
  <c r="N1698" i="50"/>
  <c r="K1644" i="50"/>
  <c r="K1726" i="50"/>
  <c r="K1684" i="50"/>
  <c r="K1656" i="50"/>
  <c r="K1698" i="50"/>
  <c r="K1670" i="50"/>
  <c r="K845" i="50"/>
  <c r="K887" i="50"/>
  <c r="K862" i="50"/>
  <c r="K834" i="50"/>
  <c r="K822" i="50"/>
  <c r="K904" i="50"/>
  <c r="L856" i="50"/>
  <c r="L842" i="50"/>
  <c r="L870" i="50"/>
  <c r="L884" i="50"/>
  <c r="L819" i="50"/>
  <c r="L898" i="50"/>
  <c r="M872" i="50"/>
  <c r="M886" i="50"/>
  <c r="M861" i="50"/>
  <c r="M844" i="50"/>
  <c r="M833" i="50"/>
  <c r="M821" i="50"/>
  <c r="N878" i="50"/>
  <c r="N824" i="50"/>
  <c r="N906" i="50"/>
  <c r="N836" i="50"/>
  <c r="N850" i="50"/>
  <c r="N864" i="50"/>
  <c r="K1028" i="50"/>
  <c r="K1070" i="50"/>
  <c r="K1042" i="50"/>
  <c r="K1014" i="50"/>
  <c r="K988" i="50"/>
  <c r="K1000" i="50"/>
  <c r="L1014" i="50"/>
  <c r="L1042" i="50"/>
  <c r="L984" i="50"/>
  <c r="L996" i="50"/>
  <c r="L1049" i="50"/>
  <c r="M1014" i="50"/>
  <c r="M1035" i="50"/>
  <c r="M1007" i="50"/>
  <c r="M1049" i="50"/>
  <c r="M1063" i="50"/>
  <c r="M984" i="50"/>
  <c r="M996" i="50"/>
  <c r="K1902" i="50"/>
  <c r="M1868" i="50"/>
  <c r="M1854" i="50"/>
  <c r="M1882" i="50"/>
  <c r="M1840" i="50"/>
  <c r="M1803" i="50"/>
  <c r="M1826" i="50"/>
  <c r="N1890" i="50"/>
  <c r="N1862" i="50"/>
  <c r="N1848" i="50"/>
  <c r="N1808" i="50"/>
  <c r="N1834" i="50"/>
  <c r="N1820" i="50"/>
  <c r="N1868" i="50"/>
  <c r="N1854" i="50"/>
  <c r="N1882" i="50"/>
  <c r="N1803" i="50"/>
  <c r="N1826" i="50"/>
  <c r="N1840" i="50"/>
  <c r="N1870" i="50"/>
  <c r="N1856" i="50"/>
  <c r="N1845" i="50"/>
  <c r="N1805" i="50"/>
  <c r="N1828" i="50"/>
  <c r="N1817" i="50"/>
  <c r="K1854" i="50"/>
  <c r="K1840" i="50"/>
  <c r="K1868" i="50"/>
  <c r="K1826" i="50"/>
  <c r="K1803" i="50"/>
  <c r="K1882" i="50"/>
  <c r="K1856" i="50"/>
  <c r="K1805" i="50"/>
  <c r="K1845" i="50"/>
  <c r="K1870" i="50"/>
  <c r="K1828" i="50"/>
  <c r="K1817" i="50"/>
  <c r="L1808" i="50"/>
  <c r="L1848" i="50"/>
  <c r="L1890" i="50"/>
  <c r="L1834" i="50"/>
  <c r="L1862" i="50"/>
  <c r="L1820" i="50"/>
  <c r="L1882" i="50"/>
  <c r="L1868" i="50"/>
  <c r="L1854" i="50"/>
  <c r="L1826" i="50"/>
  <c r="L1840" i="50"/>
  <c r="L1803" i="50"/>
  <c r="M1902" i="50"/>
  <c r="K1683" i="50"/>
  <c r="K1725" i="50"/>
  <c r="K1708" i="50"/>
  <c r="K1655" i="50"/>
  <c r="K1643" i="50"/>
  <c r="K1697" i="50"/>
  <c r="N1712" i="50"/>
  <c r="N1713" i="50" s="1"/>
  <c r="N1714" i="50" s="1"/>
  <c r="N1715" i="50" s="1"/>
  <c r="K1712" i="50"/>
  <c r="K1713" i="50" s="1"/>
  <c r="K1714" i="50" s="1"/>
  <c r="K1715" i="50" s="1"/>
  <c r="K1710" i="50"/>
  <c r="J1694" i="50"/>
  <c r="L1695" i="50"/>
  <c r="M1711" i="50"/>
  <c r="M1709" i="50"/>
  <c r="M1696" i="50"/>
  <c r="M1699" i="50" s="1"/>
  <c r="M1700" i="50" s="1"/>
  <c r="M1701" i="50" s="1"/>
  <c r="L1693" i="50"/>
  <c r="N1694" i="50"/>
  <c r="H1628" i="50"/>
  <c r="J1696" i="50"/>
  <c r="J1699" i="50" s="1"/>
  <c r="J1700" i="50" s="1"/>
  <c r="J1701" i="50" s="1"/>
  <c r="L1710" i="50"/>
  <c r="N1693" i="50"/>
  <c r="K1696" i="50"/>
  <c r="K1699" i="50" s="1"/>
  <c r="K1700" i="50" s="1"/>
  <c r="K1701" i="50" s="1"/>
  <c r="M1712" i="50"/>
  <c r="M1713" i="50" s="1"/>
  <c r="M1714" i="50" s="1"/>
  <c r="M1715" i="50" s="1"/>
  <c r="M1694" i="50"/>
  <c r="J1710" i="50"/>
  <c r="M1693" i="50"/>
  <c r="N1696" i="50"/>
  <c r="N1699" i="50" s="1"/>
  <c r="N1700" i="50" s="1"/>
  <c r="N1701" i="50" s="1"/>
  <c r="J1711" i="50"/>
  <c r="L1694" i="50"/>
  <c r="K1709" i="50"/>
  <c r="K1695" i="50"/>
  <c r="N1710" i="50"/>
  <c r="M1695" i="50"/>
  <c r="L1712" i="50"/>
  <c r="L1713" i="50" s="1"/>
  <c r="L1714" i="50" s="1"/>
  <c r="L1715" i="50" s="1"/>
  <c r="J1693" i="50"/>
  <c r="K1711" i="50"/>
  <c r="K1693" i="50"/>
  <c r="J1712" i="50"/>
  <c r="J1713" i="50" s="1"/>
  <c r="J1714" i="50" s="1"/>
  <c r="J1715" i="50" s="1"/>
  <c r="N1711" i="50"/>
  <c r="M1710" i="50"/>
  <c r="L1711" i="50"/>
  <c r="J1709" i="50"/>
  <c r="F1631" i="50"/>
  <c r="J1695" i="50"/>
  <c r="L1696" i="50"/>
  <c r="L1699" i="50" s="1"/>
  <c r="L1700" i="50" s="1"/>
  <c r="L1701" i="50" s="1"/>
  <c r="N1709" i="50"/>
  <c r="N1695" i="50"/>
  <c r="L1709" i="50"/>
  <c r="K1694" i="50"/>
  <c r="N892" i="50"/>
  <c r="N893" i="50" s="1"/>
  <c r="N894" i="50" s="1"/>
  <c r="N895" i="50" s="1"/>
  <c r="K892" i="50"/>
  <c r="K893" i="50" s="1"/>
  <c r="K894" i="50" s="1"/>
  <c r="K895" i="50" s="1"/>
  <c r="K890" i="50"/>
  <c r="M876" i="50"/>
  <c r="M879" i="50" s="1"/>
  <c r="M880" i="50" s="1"/>
  <c r="M881" i="50" s="1"/>
  <c r="L873" i="50"/>
  <c r="N874" i="50"/>
  <c r="M891" i="50"/>
  <c r="M889" i="50"/>
  <c r="J874" i="50"/>
  <c r="L875" i="50"/>
  <c r="H808" i="50"/>
  <c r="J876" i="50"/>
  <c r="J879" i="50" s="1"/>
  <c r="J880" i="50" s="1"/>
  <c r="J881" i="50" s="1"/>
  <c r="J891" i="50"/>
  <c r="N873" i="50"/>
  <c r="K876" i="50"/>
  <c r="K879" i="50" s="1"/>
  <c r="K880" i="50" s="1"/>
  <c r="K881" i="50" s="1"/>
  <c r="K891" i="50"/>
  <c r="L876" i="50"/>
  <c r="L879" i="50" s="1"/>
  <c r="L880" i="50" s="1"/>
  <c r="L881" i="50" s="1"/>
  <c r="J890" i="50"/>
  <c r="K874" i="50"/>
  <c r="N889" i="50"/>
  <c r="K889" i="50"/>
  <c r="M873" i="50"/>
  <c r="N876" i="50"/>
  <c r="N879" i="50" s="1"/>
  <c r="N880" i="50" s="1"/>
  <c r="N881" i="50" s="1"/>
  <c r="J889" i="50"/>
  <c r="N891" i="50"/>
  <c r="F811" i="50"/>
  <c r="L874" i="50"/>
  <c r="M892" i="50"/>
  <c r="M893" i="50" s="1"/>
  <c r="M894" i="50" s="1"/>
  <c r="M895" i="50" s="1"/>
  <c r="K873" i="50"/>
  <c r="N890" i="50"/>
  <c r="L892" i="50"/>
  <c r="L893" i="50" s="1"/>
  <c r="L894" i="50" s="1"/>
  <c r="L895" i="50" s="1"/>
  <c r="J875" i="50"/>
  <c r="M874" i="50"/>
  <c r="L891" i="50"/>
  <c r="J873" i="50"/>
  <c r="L889" i="50"/>
  <c r="K875" i="50"/>
  <c r="M875" i="50"/>
  <c r="N875" i="50"/>
  <c r="J892" i="50"/>
  <c r="J893" i="50" s="1"/>
  <c r="J894" i="50" s="1"/>
  <c r="J895" i="50" s="1"/>
  <c r="M890" i="50"/>
  <c r="L890" i="50"/>
  <c r="N833" i="50"/>
  <c r="N821" i="50"/>
  <c r="N886" i="50"/>
  <c r="N844" i="50"/>
  <c r="N861" i="50"/>
  <c r="N872" i="50"/>
  <c r="M871" i="50"/>
  <c r="M885" i="50"/>
  <c r="M820" i="50"/>
  <c r="M899" i="50"/>
  <c r="M843" i="50"/>
  <c r="M832" i="50"/>
  <c r="N1056" i="50"/>
  <c r="N1057" i="50" s="1"/>
  <c r="N1058" i="50" s="1"/>
  <c r="N1059" i="50" s="1"/>
  <c r="M1040" i="50"/>
  <c r="M1043" i="50" s="1"/>
  <c r="M1044" i="50" s="1"/>
  <c r="M1045" i="50" s="1"/>
  <c r="L1037" i="50"/>
  <c r="K1056" i="50"/>
  <c r="K1057" i="50" s="1"/>
  <c r="K1058" i="50" s="1"/>
  <c r="K1059" i="50" s="1"/>
  <c r="K1054" i="50"/>
  <c r="N1038" i="50"/>
  <c r="M1055" i="50"/>
  <c r="L1039" i="50"/>
  <c r="H972" i="50"/>
  <c r="M1053" i="50"/>
  <c r="J1038" i="50"/>
  <c r="K1038" i="50"/>
  <c r="N1053" i="50"/>
  <c r="L1056" i="50"/>
  <c r="L1057" i="50" s="1"/>
  <c r="L1058" i="50" s="1"/>
  <c r="L1059" i="50" s="1"/>
  <c r="J1037" i="50"/>
  <c r="N1039" i="50"/>
  <c r="M1054" i="50"/>
  <c r="K1039" i="50"/>
  <c r="L1053" i="50"/>
  <c r="J1056" i="50"/>
  <c r="J1057" i="50" s="1"/>
  <c r="J1058" i="50" s="1"/>
  <c r="J1059" i="50" s="1"/>
  <c r="J1040" i="50"/>
  <c r="J1043" i="50" s="1"/>
  <c r="J1044" i="50" s="1"/>
  <c r="J1045" i="50" s="1"/>
  <c r="J1055" i="50"/>
  <c r="F975" i="50"/>
  <c r="M1056" i="50"/>
  <c r="M1057" i="50" s="1"/>
  <c r="M1058" i="50" s="1"/>
  <c r="M1059" i="50" s="1"/>
  <c r="K1037" i="50"/>
  <c r="M1039" i="50"/>
  <c r="L1054" i="50"/>
  <c r="N1037" i="50"/>
  <c r="K1040" i="50"/>
  <c r="K1043" i="50" s="1"/>
  <c r="K1044" i="50" s="1"/>
  <c r="K1045" i="50" s="1"/>
  <c r="K1055" i="50"/>
  <c r="L1040" i="50"/>
  <c r="L1043" i="50" s="1"/>
  <c r="L1044" i="50" s="1"/>
  <c r="L1045" i="50" s="1"/>
  <c r="J1054" i="50"/>
  <c r="L1038" i="50"/>
  <c r="N1054" i="50"/>
  <c r="M1037" i="50"/>
  <c r="J1039" i="50"/>
  <c r="L1055" i="50"/>
  <c r="N1040" i="50"/>
  <c r="N1043" i="50" s="1"/>
  <c r="N1044" i="50" s="1"/>
  <c r="N1045" i="50" s="1"/>
  <c r="K1053" i="50"/>
  <c r="J1053" i="50"/>
  <c r="M1038" i="50"/>
  <c r="N1055" i="50"/>
  <c r="N1027" i="50"/>
  <c r="I1902" i="50"/>
  <c r="M1888" i="50"/>
  <c r="M1871" i="50"/>
  <c r="M1846" i="50"/>
  <c r="M1806" i="50"/>
  <c r="M1818" i="50"/>
  <c r="M1829" i="50"/>
  <c r="S811" i="50"/>
  <c r="K815" i="50" s="1"/>
  <c r="U811" i="50"/>
  <c r="M816" i="50" s="1"/>
  <c r="L1725" i="50"/>
  <c r="L1683" i="50"/>
  <c r="L1708" i="50"/>
  <c r="L1655" i="50"/>
  <c r="L1697" i="50"/>
  <c r="L1643" i="50"/>
  <c r="L1738" i="50"/>
  <c r="K1672" i="50"/>
  <c r="J1671" i="50"/>
  <c r="N1669" i="50"/>
  <c r="M1673" i="50"/>
  <c r="N1671" i="50"/>
  <c r="J1669" i="50"/>
  <c r="K1669" i="50"/>
  <c r="N1673" i="50"/>
  <c r="L1671" i="50"/>
  <c r="J1672" i="50"/>
  <c r="K1671" i="50"/>
  <c r="M1672" i="50"/>
  <c r="N1672" i="50"/>
  <c r="J1673" i="50"/>
  <c r="L1669" i="50"/>
  <c r="M1671" i="50"/>
  <c r="L1672" i="50"/>
  <c r="M1669" i="50"/>
  <c r="K1673" i="50"/>
  <c r="L1673" i="50"/>
  <c r="I1738" i="50"/>
  <c r="L1718" i="50"/>
  <c r="L1690" i="50"/>
  <c r="L1704" i="50"/>
  <c r="L1662" i="50"/>
  <c r="L1639" i="50"/>
  <c r="L1676" i="50"/>
  <c r="M1738" i="50"/>
  <c r="N1704" i="50"/>
  <c r="N1676" i="50"/>
  <c r="N1718" i="50"/>
  <c r="N1690" i="50"/>
  <c r="N1662" i="50"/>
  <c r="N1639" i="50"/>
  <c r="N1653" i="50"/>
  <c r="N1664" i="50"/>
  <c r="N1641" i="50"/>
  <c r="N1706" i="50"/>
  <c r="N1681" i="50"/>
  <c r="N1692" i="50"/>
  <c r="N899" i="50"/>
  <c r="N843" i="50"/>
  <c r="N832" i="50"/>
  <c r="N820" i="50"/>
  <c r="N885" i="50"/>
  <c r="N871" i="50"/>
  <c r="K870" i="50"/>
  <c r="K819" i="50"/>
  <c r="K856" i="50"/>
  <c r="K842" i="50"/>
  <c r="K898" i="50"/>
  <c r="K884" i="50"/>
  <c r="K861" i="50"/>
  <c r="K886" i="50"/>
  <c r="K833" i="50"/>
  <c r="K872" i="50"/>
  <c r="K844" i="50"/>
  <c r="K821" i="50"/>
  <c r="L850" i="50"/>
  <c r="L864" i="50"/>
  <c r="L824" i="50"/>
  <c r="L836" i="50"/>
  <c r="L878" i="50"/>
  <c r="L906" i="50"/>
  <c r="L871" i="50"/>
  <c r="L899" i="50"/>
  <c r="L820" i="50"/>
  <c r="L832" i="50"/>
  <c r="L843" i="50"/>
  <c r="L885" i="50"/>
  <c r="M906" i="50"/>
  <c r="M878" i="50"/>
  <c r="M864" i="50"/>
  <c r="M836" i="50"/>
  <c r="M850" i="50"/>
  <c r="M824" i="50"/>
  <c r="N984" i="50"/>
  <c r="K1025" i="50"/>
  <c r="K985" i="50"/>
  <c r="K1008" i="50"/>
  <c r="K1036" i="50"/>
  <c r="K997" i="50"/>
  <c r="K1050" i="50"/>
  <c r="L1082" i="50"/>
  <c r="N1015" i="50"/>
  <c r="N1013" i="50"/>
  <c r="K1016" i="50"/>
  <c r="J1017" i="50"/>
  <c r="K1017" i="50"/>
  <c r="K1013" i="50"/>
  <c r="N1017" i="50"/>
  <c r="M1016" i="50"/>
  <c r="M1013" i="50"/>
  <c r="J1016" i="50"/>
  <c r="L1008" i="50"/>
  <c r="M1036" i="50"/>
  <c r="M1025" i="50"/>
  <c r="M1050" i="50"/>
  <c r="M985" i="50"/>
  <c r="M997" i="50"/>
  <c r="M1008" i="50"/>
  <c r="N1070" i="50"/>
  <c r="N1000" i="50"/>
  <c r="N1042" i="50"/>
  <c r="N1028" i="50"/>
  <c r="N1014" i="50"/>
  <c r="N988" i="50"/>
  <c r="N1876" i="50"/>
  <c r="N1877" i="50" s="1"/>
  <c r="N1878" i="50" s="1"/>
  <c r="N1879" i="50" s="1"/>
  <c r="K1876" i="50"/>
  <c r="K1877" i="50" s="1"/>
  <c r="K1878" i="50" s="1"/>
  <c r="K1879" i="50" s="1"/>
  <c r="K1874" i="50"/>
  <c r="L1859" i="50"/>
  <c r="M1860" i="50"/>
  <c r="M1863" i="50" s="1"/>
  <c r="M1864" i="50" s="1"/>
  <c r="M1865" i="50" s="1"/>
  <c r="L1857" i="50"/>
  <c r="M1875" i="50"/>
  <c r="M1873" i="50"/>
  <c r="N1858" i="50"/>
  <c r="F1795" i="50"/>
  <c r="J1858" i="50"/>
  <c r="H1792" i="50"/>
  <c r="M1857" i="50"/>
  <c r="N1860" i="50"/>
  <c r="N1863" i="50" s="1"/>
  <c r="N1864" i="50" s="1"/>
  <c r="N1865" i="50" s="1"/>
  <c r="J1875" i="50"/>
  <c r="J1859" i="50"/>
  <c r="M1874" i="50"/>
  <c r="L1860" i="50"/>
  <c r="L1863" i="50" s="1"/>
  <c r="L1864" i="50" s="1"/>
  <c r="L1865" i="50" s="1"/>
  <c r="L1875" i="50"/>
  <c r="K1858" i="50"/>
  <c r="J1873" i="50"/>
  <c r="N1875" i="50"/>
  <c r="J1857" i="50"/>
  <c r="N1859" i="50"/>
  <c r="K1875" i="50"/>
  <c r="K1857" i="50"/>
  <c r="L1873" i="50"/>
  <c r="J1876" i="50"/>
  <c r="J1877" i="50" s="1"/>
  <c r="J1878" i="50" s="1"/>
  <c r="J1879" i="50" s="1"/>
  <c r="L1874" i="50"/>
  <c r="K1873" i="50"/>
  <c r="N1874" i="50"/>
  <c r="J1874" i="50"/>
  <c r="M1859" i="50"/>
  <c r="L1876" i="50"/>
  <c r="L1877" i="50" s="1"/>
  <c r="L1878" i="50" s="1"/>
  <c r="L1879" i="50" s="1"/>
  <c r="N1857" i="50"/>
  <c r="M1876" i="50"/>
  <c r="M1877" i="50" s="1"/>
  <c r="M1878" i="50" s="1"/>
  <c r="M1879" i="50" s="1"/>
  <c r="M1858" i="50"/>
  <c r="J1860" i="50"/>
  <c r="J1863" i="50" s="1"/>
  <c r="J1864" i="50" s="1"/>
  <c r="J1865" i="50" s="1"/>
  <c r="L1858" i="50"/>
  <c r="K1859" i="50"/>
  <c r="N1873" i="50"/>
  <c r="K1860" i="50"/>
  <c r="K1863" i="50" s="1"/>
  <c r="K1864" i="50" s="1"/>
  <c r="K1865" i="50" s="1"/>
  <c r="K1888" i="50"/>
  <c r="K1871" i="50"/>
  <c r="K1829" i="50"/>
  <c r="K1818" i="50"/>
  <c r="K1846" i="50"/>
  <c r="K1806" i="50"/>
  <c r="L1883" i="50"/>
  <c r="L1869" i="50"/>
  <c r="L1855" i="50"/>
  <c r="L1827" i="50"/>
  <c r="L1816" i="50"/>
  <c r="L1804" i="50"/>
  <c r="M1890" i="50"/>
  <c r="M1848" i="50"/>
  <c r="M1820" i="50"/>
  <c r="M1808" i="50"/>
  <c r="M1862" i="50"/>
  <c r="M1834" i="50"/>
  <c r="M1719" i="50"/>
  <c r="M1691" i="50"/>
  <c r="M1705" i="50"/>
  <c r="M1663" i="50"/>
  <c r="M1640" i="50"/>
  <c r="M1652" i="50"/>
  <c r="N1719" i="50"/>
  <c r="N1640" i="50"/>
  <c r="N1705" i="50"/>
  <c r="N1691" i="50"/>
  <c r="N819" i="50"/>
  <c r="N898" i="50"/>
  <c r="N842" i="50"/>
  <c r="N856" i="50"/>
  <c r="N870" i="50"/>
  <c r="N884" i="50"/>
  <c r="K820" i="50"/>
  <c r="K832" i="50"/>
  <c r="K843" i="50"/>
  <c r="K871" i="50"/>
  <c r="K885" i="50"/>
  <c r="K899" i="50"/>
  <c r="L862" i="50"/>
  <c r="L887" i="50"/>
  <c r="L822" i="50"/>
  <c r="L904" i="50"/>
  <c r="L834" i="50"/>
  <c r="L845" i="50"/>
  <c r="M904" i="50"/>
  <c r="M834" i="50"/>
  <c r="M822" i="50"/>
  <c r="M887" i="50"/>
  <c r="M845" i="50"/>
  <c r="M862" i="50"/>
  <c r="L1069" i="50"/>
  <c r="L1902" i="50"/>
  <c r="M1837" i="50"/>
  <c r="N1833" i="50"/>
  <c r="N1835" i="50"/>
  <c r="J1833" i="50"/>
  <c r="K1836" i="50"/>
  <c r="J1835" i="50"/>
  <c r="K1835" i="50"/>
  <c r="K1837" i="50"/>
  <c r="M1833" i="50"/>
  <c r="L1837" i="50"/>
  <c r="L1836" i="50"/>
  <c r="L1833" i="50"/>
  <c r="M1835" i="50"/>
  <c r="N1837" i="50"/>
  <c r="M1836" i="50"/>
  <c r="N1836" i="50"/>
  <c r="K1833" i="50"/>
  <c r="J1837" i="50"/>
  <c r="L1835" i="50"/>
  <c r="J1836" i="50"/>
  <c r="S1902" i="50"/>
  <c r="M1870" i="50"/>
  <c r="M1856" i="50"/>
  <c r="M1805" i="50"/>
  <c r="M1817" i="50"/>
  <c r="M1845" i="50"/>
  <c r="M1828" i="50"/>
  <c r="M1869" i="50"/>
  <c r="M1855" i="50"/>
  <c r="M1804" i="50"/>
  <c r="M1883" i="50"/>
  <c r="M1816" i="50"/>
  <c r="M1827" i="50"/>
  <c r="N537" i="50"/>
  <c r="N509" i="50"/>
  <c r="N497" i="50"/>
  <c r="N1738" i="50"/>
  <c r="K1639" i="50"/>
  <c r="K1718" i="50"/>
  <c r="L1691" i="50"/>
  <c r="L1719" i="50"/>
  <c r="L1705" i="50"/>
  <c r="L1640" i="50"/>
  <c r="L1663" i="50"/>
  <c r="L1652" i="50"/>
  <c r="M1726" i="50"/>
  <c r="M1670" i="50"/>
  <c r="M1698" i="50"/>
  <c r="M1684" i="50"/>
  <c r="M1656" i="50"/>
  <c r="M1644" i="50"/>
  <c r="M1718" i="50"/>
  <c r="M1704" i="50"/>
  <c r="M1662" i="50"/>
  <c r="M1639" i="50"/>
  <c r="M1676" i="50"/>
  <c r="M1690" i="50"/>
  <c r="N1707" i="50"/>
  <c r="N1682" i="50"/>
  <c r="N1665" i="50"/>
  <c r="N1654" i="50"/>
  <c r="N1642" i="50"/>
  <c r="N1724" i="50"/>
  <c r="K1642" i="50"/>
  <c r="K1682" i="50"/>
  <c r="K1654" i="50"/>
  <c r="K1707" i="50"/>
  <c r="K1665" i="50"/>
  <c r="K1724" i="50"/>
  <c r="K905" i="50"/>
  <c r="K823" i="50"/>
  <c r="K877" i="50"/>
  <c r="K863" i="50"/>
  <c r="K888" i="50"/>
  <c r="K835" i="50"/>
  <c r="K836" i="50"/>
  <c r="K824" i="50"/>
  <c r="K906" i="50"/>
  <c r="K878" i="50"/>
  <c r="K864" i="50"/>
  <c r="K850" i="50"/>
  <c r="L918" i="50"/>
  <c r="N851" i="50"/>
  <c r="N849" i="50"/>
  <c r="K852" i="50"/>
  <c r="J851" i="50"/>
  <c r="J849" i="50"/>
  <c r="M853" i="50"/>
  <c r="K851" i="50"/>
  <c r="M852" i="50"/>
  <c r="M849" i="50"/>
  <c r="L853" i="50"/>
  <c r="J852" i="50"/>
  <c r="L852" i="50"/>
  <c r="K853" i="50"/>
  <c r="M851" i="50"/>
  <c r="J853" i="50"/>
  <c r="L849" i="50"/>
  <c r="N853" i="50"/>
  <c r="K849" i="50"/>
  <c r="L851" i="50"/>
  <c r="N852" i="50"/>
  <c r="L886" i="50"/>
  <c r="L821" i="50"/>
  <c r="L872" i="50"/>
  <c r="L861" i="50"/>
  <c r="L833" i="50"/>
  <c r="L844" i="50"/>
  <c r="M884" i="50"/>
  <c r="M898" i="50"/>
  <c r="M856" i="50"/>
  <c r="M842" i="50"/>
  <c r="M870" i="50"/>
  <c r="M819" i="50"/>
  <c r="N887" i="50"/>
  <c r="N904" i="50"/>
  <c r="N822" i="50"/>
  <c r="N862" i="50"/>
  <c r="N834" i="50"/>
  <c r="N845" i="50"/>
  <c r="K1026" i="50"/>
  <c r="K986" i="50"/>
  <c r="K1009" i="50"/>
  <c r="K998" i="50"/>
  <c r="K1051" i="50"/>
  <c r="K1068" i="50"/>
  <c r="K984" i="50"/>
  <c r="K1007" i="50"/>
  <c r="K1063" i="50"/>
  <c r="K1049" i="50"/>
  <c r="K996" i="50"/>
  <c r="K1035" i="50"/>
  <c r="M1068" i="50"/>
  <c r="M1051" i="50"/>
  <c r="M1026" i="50"/>
  <c r="M1009" i="50"/>
  <c r="M986" i="50"/>
  <c r="M998" i="50"/>
  <c r="N1902" i="50"/>
  <c r="N1888" i="50"/>
  <c r="N1871" i="50"/>
  <c r="N1846" i="50"/>
  <c r="N1806" i="50"/>
  <c r="N1829" i="50"/>
  <c r="N1818" i="50"/>
  <c r="N1869" i="50"/>
  <c r="N1855" i="50"/>
  <c r="N1883" i="50"/>
  <c r="N1804" i="50"/>
  <c r="N1827" i="50"/>
  <c r="N1816" i="50"/>
  <c r="K1827" i="50"/>
  <c r="K1804" i="50"/>
  <c r="K1883" i="50"/>
  <c r="K1869" i="50"/>
  <c r="K1816" i="50"/>
  <c r="K1855" i="50"/>
  <c r="L1888" i="50"/>
  <c r="L1818" i="50"/>
  <c r="L1806" i="50"/>
  <c r="L1871" i="50"/>
  <c r="L1846" i="50"/>
  <c r="L1829" i="50"/>
  <c r="L1870" i="50"/>
  <c r="L1856" i="50"/>
  <c r="L1845" i="50"/>
  <c r="L1828" i="50"/>
  <c r="L1817" i="50"/>
  <c r="L1805" i="50"/>
  <c r="K1799" i="50"/>
  <c r="K1841" i="50"/>
  <c r="K1800" i="50"/>
  <c r="J1841" i="50"/>
  <c r="L1841" i="50"/>
  <c r="M1636" i="50"/>
  <c r="M1635" i="50"/>
  <c r="M1677" i="50"/>
  <c r="J1635" i="50"/>
  <c r="J1677" i="50"/>
  <c r="J1636" i="50"/>
  <c r="J1308" i="50"/>
  <c r="L925" i="50"/>
  <c r="H925" i="50"/>
  <c r="H1253" i="50"/>
  <c r="M2073" i="50"/>
  <c r="I2073" i="50"/>
  <c r="M1417" i="50"/>
  <c r="J1417" i="50"/>
  <c r="L1417" i="50"/>
  <c r="N925" i="50"/>
  <c r="K925" i="50"/>
  <c r="M1253" i="50"/>
  <c r="H2073" i="50"/>
  <c r="L2073" i="50"/>
  <c r="J2073" i="50"/>
  <c r="K1417" i="50"/>
  <c r="I925" i="50"/>
  <c r="L1253" i="50"/>
  <c r="K1253" i="50"/>
  <c r="J1253" i="50"/>
  <c r="M925" i="50"/>
  <c r="J925" i="50"/>
  <c r="I1253" i="50"/>
  <c r="N1253" i="50"/>
  <c r="K2073" i="50"/>
  <c r="N2073" i="50"/>
  <c r="M1089" i="50"/>
  <c r="J1089" i="50"/>
  <c r="M1745" i="50"/>
  <c r="I1745" i="50"/>
  <c r="K1745" i="50"/>
  <c r="N2411" i="50"/>
  <c r="N2230" i="50"/>
  <c r="H2354" i="50"/>
  <c r="I2354" i="50"/>
  <c r="I2230" i="50"/>
  <c r="M2163" i="50"/>
  <c r="I2499" i="50"/>
  <c r="E112" i="50"/>
  <c r="E227" i="50" s="1"/>
  <c r="P92" i="50"/>
  <c r="J2163" i="50"/>
  <c r="K2411" i="50"/>
  <c r="M2411" i="50"/>
  <c r="N2460" i="50"/>
  <c r="L1909" i="50"/>
  <c r="H1909" i="50"/>
  <c r="N1089" i="50"/>
  <c r="L1745" i="50"/>
  <c r="I1417" i="50"/>
  <c r="H1417" i="50"/>
  <c r="M1909" i="50"/>
  <c r="H761" i="50"/>
  <c r="H1745" i="50"/>
  <c r="N1745" i="50"/>
  <c r="J2460" i="50"/>
  <c r="L2289" i="50"/>
  <c r="L2163" i="50"/>
  <c r="I2460" i="50"/>
  <c r="J2354" i="50"/>
  <c r="I2163" i="50"/>
  <c r="I2289" i="50"/>
  <c r="L2411" i="50"/>
  <c r="J2411" i="50"/>
  <c r="L2354" i="50"/>
  <c r="J2230" i="50"/>
  <c r="L2460" i="50"/>
  <c r="K2289" i="50"/>
  <c r="J1909" i="50"/>
  <c r="I1909" i="50"/>
  <c r="K761" i="50"/>
  <c r="M761" i="50"/>
  <c r="N761" i="50"/>
  <c r="J761" i="50"/>
  <c r="J1745" i="50"/>
  <c r="N1417" i="50"/>
  <c r="K1909" i="50"/>
  <c r="L1089" i="50"/>
  <c r="S92" i="50"/>
  <c r="L2230" i="50"/>
  <c r="M2354" i="50"/>
  <c r="K2499" i="50"/>
  <c r="N2499" i="50"/>
  <c r="N2354" i="50"/>
  <c r="J2499" i="50"/>
  <c r="N2289" i="50"/>
  <c r="K2230" i="50"/>
  <c r="M2499" i="50"/>
  <c r="J2289" i="50"/>
  <c r="M2289" i="50"/>
  <c r="H2289" i="50"/>
  <c r="K2460" i="50"/>
  <c r="M2230" i="50"/>
  <c r="K1581" i="50"/>
  <c r="L1581" i="50"/>
  <c r="H1581" i="50"/>
  <c r="J1581" i="50"/>
  <c r="N2163" i="50"/>
  <c r="N1909" i="50"/>
  <c r="H1089" i="50"/>
  <c r="I1089" i="50"/>
  <c r="K1089" i="50"/>
  <c r="I761" i="50"/>
  <c r="L761" i="50"/>
  <c r="H2460" i="50"/>
  <c r="L2499" i="50"/>
  <c r="K2163" i="50"/>
  <c r="H2411" i="50"/>
  <c r="I2411" i="50"/>
  <c r="H2499" i="50"/>
  <c r="I1581" i="50"/>
  <c r="N1581" i="50"/>
  <c r="M1581" i="50"/>
  <c r="M2460" i="50"/>
  <c r="H2230" i="50"/>
  <c r="H2163" i="50"/>
  <c r="K2354" i="50"/>
  <c r="P600" i="50"/>
  <c r="P599" i="50"/>
  <c r="R477" i="50"/>
  <c r="D2524" i="50" s="1"/>
  <c r="D2567" i="50" s="1"/>
  <c r="P483" i="50"/>
  <c r="P637" i="50"/>
  <c r="K480" i="50"/>
  <c r="P614" i="50"/>
  <c r="J480" i="50"/>
  <c r="R483" i="50" s="1"/>
  <c r="P529" i="50"/>
  <c r="P620" i="50"/>
  <c r="P521" i="50"/>
  <c r="P634" i="50"/>
  <c r="I597" i="50"/>
  <c r="K597" i="50"/>
  <c r="P604" i="50"/>
  <c r="P590" i="50"/>
  <c r="P592" i="50"/>
  <c r="E480" i="50"/>
  <c r="P572" i="50"/>
  <c r="P553" i="50"/>
  <c r="P603" i="50"/>
  <c r="P607" i="50"/>
  <c r="P503" i="50"/>
  <c r="P624" i="50"/>
  <c r="P611" i="50"/>
  <c r="P628" i="50"/>
  <c r="P500" i="50"/>
  <c r="N597" i="50"/>
  <c r="P630" i="50"/>
  <c r="P616" i="50"/>
  <c r="P532" i="50"/>
  <c r="L480" i="50"/>
  <c r="S589" i="50" s="1"/>
  <c r="P625" i="50"/>
  <c r="P621" i="50"/>
  <c r="L597" i="50"/>
  <c r="P627" i="50"/>
  <c r="H597" i="50"/>
  <c r="P608" i="50"/>
  <c r="P525" i="50"/>
  <c r="P588" i="50"/>
  <c r="P618" i="50"/>
  <c r="P613" i="50"/>
  <c r="P610" i="50"/>
  <c r="P587" i="50"/>
  <c r="P575" i="50"/>
  <c r="P602" i="50"/>
  <c r="P539" i="50"/>
  <c r="P487" i="50"/>
  <c r="P518" i="50"/>
  <c r="P511" i="50"/>
  <c r="P633" i="50"/>
  <c r="P623" i="50"/>
  <c r="P605" i="50"/>
  <c r="P622" i="50"/>
  <c r="P586" i="50"/>
  <c r="P619" i="50"/>
  <c r="P636" i="50"/>
  <c r="J597" i="50"/>
  <c r="P581" i="50"/>
  <c r="P617" i="50"/>
  <c r="M597" i="50"/>
  <c r="AL728" i="42"/>
  <c r="AA735" i="42"/>
  <c r="AA728" i="42"/>
  <c r="AA733" i="42"/>
  <c r="AL727" i="42"/>
  <c r="H38" i="37"/>
  <c r="H44" i="37"/>
  <c r="E280" i="50"/>
  <c r="E261" i="41"/>
  <c r="T147" i="41"/>
  <c r="AE147" i="41" s="1"/>
  <c r="AE150" i="41"/>
  <c r="Q302" i="37"/>
  <c r="Q157" i="37"/>
  <c r="S272" i="37"/>
  <c r="Q210" i="37"/>
  <c r="Q187" i="37"/>
  <c r="H25" i="37"/>
  <c r="AG219" i="37"/>
  <c r="AD221" i="37" s="1"/>
  <c r="AD230" i="37" s="1"/>
  <c r="AD239" i="37" s="1"/>
  <c r="AD265" i="37" s="1"/>
  <c r="AD274" i="37" s="1"/>
  <c r="Q90" i="37"/>
  <c r="I90" i="37" s="1"/>
  <c r="I128" i="37"/>
  <c r="S206" i="37"/>
  <c r="S207" i="37"/>
  <c r="S271" i="37"/>
  <c r="Q96" i="37"/>
  <c r="X13" i="37"/>
  <c r="Z13" i="37" s="1"/>
  <c r="Q214" i="37"/>
  <c r="E148" i="37"/>
  <c r="Q262" i="37"/>
  <c r="Q306" i="37"/>
  <c r="AG298" i="37"/>
  <c r="Q99" i="37"/>
  <c r="J55" i="37"/>
  <c r="N55" i="37"/>
  <c r="Q293" i="37"/>
  <c r="R25" i="37"/>
  <c r="N22" i="37" s="1"/>
  <c r="E21" i="37"/>
  <c r="Q207" i="37"/>
  <c r="Q236" i="37"/>
  <c r="Q38" i="37"/>
  <c r="Q36" i="37" s="1"/>
  <c r="S214" i="37"/>
  <c r="E293" i="37"/>
  <c r="Q22" i="37"/>
  <c r="S187" i="37"/>
  <c r="Q287" i="37"/>
  <c r="Q246" i="37"/>
  <c r="T49" i="37"/>
  <c r="Q211" i="37"/>
  <c r="Q156" i="37"/>
  <c r="J77" i="37"/>
  <c r="T13" i="37"/>
  <c r="Q44" i="37"/>
  <c r="Q93" i="37"/>
  <c r="Q91" i="37" s="1"/>
  <c r="L55" i="37"/>
  <c r="I55" i="37"/>
  <c r="M55" i="37"/>
  <c r="Q71" i="37"/>
  <c r="Q247" i="37"/>
  <c r="Q256" i="37"/>
  <c r="Q254" i="37" s="1"/>
  <c r="Q215" i="37"/>
  <c r="S148" i="37"/>
  <c r="S281" i="37"/>
  <c r="Q301" i="37"/>
  <c r="Q271" i="37"/>
  <c r="S175" i="37"/>
  <c r="Q43" i="37"/>
  <c r="Q148" i="37"/>
  <c r="S56" i="37"/>
  <c r="Q23" i="37"/>
  <c r="AL13" i="37"/>
  <c r="Q228" i="37"/>
  <c r="S197" i="37"/>
  <c r="I22" i="37"/>
  <c r="S287" i="37"/>
  <c r="Q206" i="37"/>
  <c r="Q227" i="37"/>
  <c r="Q272" i="37"/>
  <c r="Q175" i="37"/>
  <c r="Q60" i="37"/>
  <c r="Q35" i="37"/>
  <c r="Q84" i="37"/>
  <c r="Q41" i="37"/>
  <c r="Q68" i="37"/>
  <c r="Q66" i="37" s="1"/>
  <c r="Q74" i="37"/>
  <c r="Q197" i="37"/>
  <c r="H55" i="37"/>
  <c r="Q280" i="37"/>
  <c r="Q65" i="37"/>
  <c r="Q253" i="37"/>
  <c r="I253" i="37" s="1"/>
  <c r="Q281" i="37"/>
  <c r="Q237" i="37"/>
  <c r="Q305" i="37"/>
  <c r="S215" i="37"/>
  <c r="M22" i="37"/>
  <c r="AG166" i="37"/>
  <c r="AD168" i="37" s="1"/>
  <c r="AD180" i="37" s="1"/>
  <c r="K22" i="37"/>
  <c r="R56" i="37"/>
  <c r="N627" i="50" s="1"/>
  <c r="K55" i="37"/>
  <c r="Q249" i="37"/>
  <c r="L22" i="37"/>
  <c r="Q259" i="37"/>
  <c r="H22" i="37"/>
  <c r="R317" i="47"/>
  <c r="R338" i="47" s="1"/>
  <c r="T380" i="47"/>
  <c r="V380" i="47" s="1"/>
  <c r="AB380" i="47" s="1"/>
  <c r="R19" i="47"/>
  <c r="R97" i="47" s="1"/>
  <c r="X174" i="47"/>
  <c r="Z174" i="47" s="1"/>
  <c r="R176" i="47"/>
  <c r="R232" i="47" s="1"/>
  <c r="R349" i="47"/>
  <c r="R367" i="47" s="1"/>
  <c r="R284" i="47"/>
  <c r="R305" i="47" s="1"/>
  <c r="R382" i="47"/>
  <c r="R410" i="47" s="1"/>
  <c r="T174" i="47"/>
  <c r="V174" i="47" s="1"/>
  <c r="R142" i="47"/>
  <c r="R165" i="47" s="1"/>
  <c r="R108" i="47"/>
  <c r="R131" i="47" s="1"/>
  <c r="R244" i="47"/>
  <c r="R272" i="47" s="1"/>
  <c r="X380" i="47"/>
  <c r="Z380" i="47" s="1"/>
  <c r="W900" i="42"/>
  <c r="W901" i="42"/>
  <c r="W899" i="42"/>
  <c r="K900" i="42"/>
  <c r="K899" i="42"/>
  <c r="AI813" i="42"/>
  <c r="AI816" i="42" s="1"/>
  <c r="AI811" i="42"/>
  <c r="AI814" i="42" s="1"/>
  <c r="AI817" i="42" s="1"/>
  <c r="AL755" i="42"/>
  <c r="AL753" i="42"/>
  <c r="T814" i="42"/>
  <c r="T816" i="42"/>
  <c r="T804" i="42"/>
  <c r="AA727" i="42"/>
  <c r="W814" i="42"/>
  <c r="W816" i="42"/>
  <c r="W804" i="42"/>
  <c r="AL758" i="42"/>
  <c r="AL752" i="42"/>
  <c r="AL757" i="42"/>
  <c r="AE151" i="41"/>
  <c r="Q2429" i="37"/>
  <c r="C2731" i="37"/>
  <c r="G2437" i="37"/>
  <c r="G2438" i="37" s="1"/>
  <c r="G2439" i="37" s="1"/>
  <c r="I2429" i="37"/>
  <c r="H2451" i="37"/>
  <c r="N899" i="42"/>
  <c r="N900" i="42"/>
  <c r="Z901" i="42"/>
  <c r="Z899" i="42"/>
  <c r="Z900" i="42"/>
  <c r="M900" i="42"/>
  <c r="M899" i="42"/>
  <c r="Y901" i="42"/>
  <c r="Y900" i="42"/>
  <c r="Y899" i="42"/>
  <c r="X814" i="42"/>
  <c r="X816" i="42"/>
  <c r="X804" i="42"/>
  <c r="AF813" i="42"/>
  <c r="AF816" i="42" s="1"/>
  <c r="AF811" i="42"/>
  <c r="AF814" i="42" s="1"/>
  <c r="AF817" i="42" s="1"/>
  <c r="AA736" i="42"/>
  <c r="AL735" i="42"/>
  <c r="AL734" i="42"/>
  <c r="U804" i="42"/>
  <c r="U814" i="42"/>
  <c r="U816" i="42"/>
  <c r="J2383" i="50"/>
  <c r="U2406" i="50"/>
  <c r="AH813" i="42"/>
  <c r="AH816" i="42" s="1"/>
  <c r="AH811" i="42"/>
  <c r="AH814" i="42" s="1"/>
  <c r="AH817" i="42" s="1"/>
  <c r="AA730" i="42"/>
  <c r="AL732" i="42"/>
  <c r="Z804" i="42"/>
  <c r="Z814" i="42"/>
  <c r="Z816" i="42"/>
  <c r="AL751" i="42"/>
  <c r="AE811" i="42"/>
  <c r="AE814" i="42" s="1"/>
  <c r="AE817" i="42" s="1"/>
  <c r="AE813" i="42"/>
  <c r="AE816" i="42" s="1"/>
  <c r="H2158" i="37"/>
  <c r="H2152" i="37"/>
  <c r="AE153" i="41"/>
  <c r="N325" i="41"/>
  <c r="N412" i="50" s="1"/>
  <c r="Q890" i="42"/>
  <c r="K2493" i="50" s="1"/>
  <c r="L2478" i="50" s="1"/>
  <c r="G890" i="42"/>
  <c r="H898" i="42" s="1"/>
  <c r="AE155" i="41"/>
  <c r="AI290" i="47"/>
  <c r="AI296" i="47" s="1"/>
  <c r="AE290" i="47"/>
  <c r="AE296" i="47" s="1"/>
  <c r="AF290" i="47"/>
  <c r="AF296" i="47" s="1"/>
  <c r="AG290" i="47"/>
  <c r="AG296" i="47" s="1"/>
  <c r="E305" i="47"/>
  <c r="AD290" i="47"/>
  <c r="AD296" i="47" s="1"/>
  <c r="Q303" i="47"/>
  <c r="E284" i="47"/>
  <c r="AH290" i="47"/>
  <c r="AH296" i="47" s="1"/>
  <c r="AC290" i="47"/>
  <c r="AC296" i="47" s="1"/>
  <c r="AE32" i="47"/>
  <c r="AE33" i="47" s="1"/>
  <c r="AE34" i="47" s="1"/>
  <c r="AE35" i="47" s="1"/>
  <c r="AE36" i="47" s="1"/>
  <c r="AE37" i="47" s="1"/>
  <c r="AE38" i="47" s="1"/>
  <c r="AE39" i="47" s="1"/>
  <c r="AE40" i="47" s="1"/>
  <c r="AE41" i="47" s="1"/>
  <c r="AE42" i="47" s="1"/>
  <c r="AE43" i="47" s="1"/>
  <c r="AE44" i="47" s="1"/>
  <c r="AE45" i="47" s="1"/>
  <c r="AE46" i="47" s="1"/>
  <c r="AE47" i="47" s="1"/>
  <c r="AE48" i="47" s="1"/>
  <c r="AE49" i="47" s="1"/>
  <c r="AE50" i="47" s="1"/>
  <c r="AE51" i="47" s="1"/>
  <c r="AE52" i="47" s="1"/>
  <c r="AE53" i="47" s="1"/>
  <c r="AE54" i="47" s="1"/>
  <c r="AE55" i="47" s="1"/>
  <c r="AE56" i="47" s="1"/>
  <c r="AE57" i="47" s="1"/>
  <c r="AE58" i="47" s="1"/>
  <c r="AE59" i="47" s="1"/>
  <c r="AE60" i="47" s="1"/>
  <c r="AE61" i="47" s="1"/>
  <c r="AE62" i="47" s="1"/>
  <c r="AE63" i="47" s="1"/>
  <c r="AE64" i="47" s="1"/>
  <c r="AE65" i="47" s="1"/>
  <c r="AE66" i="47" s="1"/>
  <c r="AE67" i="47" s="1"/>
  <c r="AE68" i="47" s="1"/>
  <c r="AE69" i="47" s="1"/>
  <c r="AE70" i="47" s="1"/>
  <c r="AE71" i="47" s="1"/>
  <c r="AE72" i="47" s="1"/>
  <c r="AE73" i="47" s="1"/>
  <c r="AE74" i="47" s="1"/>
  <c r="AE75" i="47" s="1"/>
  <c r="AE76" i="47" s="1"/>
  <c r="AE77" i="47" s="1"/>
  <c r="AE78" i="47" s="1"/>
  <c r="AE79" i="47" s="1"/>
  <c r="AE80" i="47" s="1"/>
  <c r="AE81" i="47" s="1"/>
  <c r="AE82" i="47" s="1"/>
  <c r="AE83" i="47" s="1"/>
  <c r="AE84" i="47" s="1"/>
  <c r="AE85" i="47" s="1"/>
  <c r="AE86" i="47" s="1"/>
  <c r="AE87" i="47" s="1"/>
  <c r="AI32" i="47"/>
  <c r="AI33" i="47" s="1"/>
  <c r="AI34" i="47" s="1"/>
  <c r="AI35" i="47" s="1"/>
  <c r="AI36" i="47" s="1"/>
  <c r="AI37" i="47" s="1"/>
  <c r="AI38" i="47" s="1"/>
  <c r="AI39" i="47" s="1"/>
  <c r="AI40" i="47" s="1"/>
  <c r="AI41" i="47" s="1"/>
  <c r="AI42" i="47" s="1"/>
  <c r="AI43" i="47" s="1"/>
  <c r="AI44" i="47" s="1"/>
  <c r="AI45" i="47" s="1"/>
  <c r="AI46" i="47" s="1"/>
  <c r="AI47" i="47" s="1"/>
  <c r="AI48" i="47" s="1"/>
  <c r="AI49" i="47" s="1"/>
  <c r="AI50" i="47" s="1"/>
  <c r="AI51" i="47" s="1"/>
  <c r="AI52" i="47" s="1"/>
  <c r="AI53" i="47" s="1"/>
  <c r="AI54" i="47" s="1"/>
  <c r="AI55" i="47" s="1"/>
  <c r="AI56" i="47" s="1"/>
  <c r="AI57" i="47" s="1"/>
  <c r="AI58" i="47" s="1"/>
  <c r="AI59" i="47" s="1"/>
  <c r="AI60" i="47" s="1"/>
  <c r="AI61" i="47" s="1"/>
  <c r="AI62" i="47" s="1"/>
  <c r="AI63" i="47" s="1"/>
  <c r="AI64" i="47" s="1"/>
  <c r="AI65" i="47" s="1"/>
  <c r="AI66" i="47" s="1"/>
  <c r="AI67" i="47" s="1"/>
  <c r="AI68" i="47" s="1"/>
  <c r="AI69" i="47" s="1"/>
  <c r="AI70" i="47" s="1"/>
  <c r="AI71" i="47" s="1"/>
  <c r="AI72" i="47" s="1"/>
  <c r="AI73" i="47" s="1"/>
  <c r="AI74" i="47" s="1"/>
  <c r="AI75" i="47" s="1"/>
  <c r="AI76" i="47" s="1"/>
  <c r="AI77" i="47" s="1"/>
  <c r="AI78" i="47" s="1"/>
  <c r="AI79" i="47" s="1"/>
  <c r="AI80" i="47" s="1"/>
  <c r="AI81" i="47" s="1"/>
  <c r="AI82" i="47" s="1"/>
  <c r="AI83" i="47" s="1"/>
  <c r="AI84" i="47" s="1"/>
  <c r="AI85" i="47" s="1"/>
  <c r="AI86" i="47" s="1"/>
  <c r="AI87" i="47" s="1"/>
  <c r="AD32" i="47"/>
  <c r="AD33" i="47" s="1"/>
  <c r="AD34" i="47" s="1"/>
  <c r="AD35" i="47" s="1"/>
  <c r="AD36" i="47" s="1"/>
  <c r="AD37" i="47" s="1"/>
  <c r="AD38" i="47" s="1"/>
  <c r="AD39" i="47" s="1"/>
  <c r="AD40" i="47" s="1"/>
  <c r="AD41" i="47" s="1"/>
  <c r="AD42" i="47" s="1"/>
  <c r="AD43" i="47" s="1"/>
  <c r="AD44" i="47" s="1"/>
  <c r="AD45" i="47" s="1"/>
  <c r="AD46" i="47" s="1"/>
  <c r="AD47" i="47" s="1"/>
  <c r="AD48" i="47" s="1"/>
  <c r="AD49" i="47" s="1"/>
  <c r="AD50" i="47" s="1"/>
  <c r="AD51" i="47" s="1"/>
  <c r="AD52" i="47" s="1"/>
  <c r="AD53" i="47" s="1"/>
  <c r="AD54" i="47" s="1"/>
  <c r="AD55" i="47" s="1"/>
  <c r="AD56" i="47" s="1"/>
  <c r="AD57" i="47" s="1"/>
  <c r="AD58" i="47" s="1"/>
  <c r="AD59" i="47" s="1"/>
  <c r="AD60" i="47" s="1"/>
  <c r="AD61" i="47" s="1"/>
  <c r="AD62" i="47" s="1"/>
  <c r="AD63" i="47" s="1"/>
  <c r="AD64" i="47" s="1"/>
  <c r="AD65" i="47" s="1"/>
  <c r="AD66" i="47" s="1"/>
  <c r="AD67" i="47" s="1"/>
  <c r="AD68" i="47" s="1"/>
  <c r="AD69" i="47" s="1"/>
  <c r="AD70" i="47" s="1"/>
  <c r="AD71" i="47" s="1"/>
  <c r="AD72" i="47" s="1"/>
  <c r="AD73" i="47" s="1"/>
  <c r="AD74" i="47" s="1"/>
  <c r="AD75" i="47" s="1"/>
  <c r="AD76" i="47" s="1"/>
  <c r="AD77" i="47" s="1"/>
  <c r="AD78" i="47" s="1"/>
  <c r="AD79" i="47" s="1"/>
  <c r="AD80" i="47" s="1"/>
  <c r="AD81" i="47" s="1"/>
  <c r="AD82" i="47" s="1"/>
  <c r="AD83" i="47" s="1"/>
  <c r="AD84" i="47" s="1"/>
  <c r="AD85" i="47" s="1"/>
  <c r="AD86" i="47" s="1"/>
  <c r="AD87" i="47" s="1"/>
  <c r="AC32" i="47"/>
  <c r="AC33" i="47" s="1"/>
  <c r="AC34" i="47" s="1"/>
  <c r="AC35" i="47" s="1"/>
  <c r="AC36" i="47" s="1"/>
  <c r="AC37" i="47" s="1"/>
  <c r="AC38" i="47" s="1"/>
  <c r="AC39" i="47" s="1"/>
  <c r="AC40" i="47" s="1"/>
  <c r="AC41" i="47" s="1"/>
  <c r="AC42" i="47" s="1"/>
  <c r="AC43" i="47" s="1"/>
  <c r="AC44" i="47" s="1"/>
  <c r="AC45" i="47" s="1"/>
  <c r="AC46" i="47" s="1"/>
  <c r="AC47" i="47" s="1"/>
  <c r="AC48" i="47" s="1"/>
  <c r="AC49" i="47" s="1"/>
  <c r="AC50" i="47" s="1"/>
  <c r="AC51" i="47" s="1"/>
  <c r="AC52" i="47" s="1"/>
  <c r="AC53" i="47" s="1"/>
  <c r="AC54" i="47" s="1"/>
  <c r="AC55" i="47" s="1"/>
  <c r="AC56" i="47" s="1"/>
  <c r="AC57" i="47" s="1"/>
  <c r="AC58" i="47" s="1"/>
  <c r="AC59" i="47" s="1"/>
  <c r="AC60" i="47" s="1"/>
  <c r="AC61" i="47" s="1"/>
  <c r="AC62" i="47" s="1"/>
  <c r="AC63" i="47" s="1"/>
  <c r="AC64" i="47" s="1"/>
  <c r="AC65" i="47" s="1"/>
  <c r="AC66" i="47" s="1"/>
  <c r="AC67" i="47" s="1"/>
  <c r="AC68" i="47" s="1"/>
  <c r="AC69" i="47" s="1"/>
  <c r="AC70" i="47" s="1"/>
  <c r="AC71" i="47" s="1"/>
  <c r="AC72" i="47" s="1"/>
  <c r="AC73" i="47" s="1"/>
  <c r="AC74" i="47" s="1"/>
  <c r="AC75" i="47" s="1"/>
  <c r="AC76" i="47" s="1"/>
  <c r="AC77" i="47" s="1"/>
  <c r="AC78" i="47" s="1"/>
  <c r="AC79" i="47" s="1"/>
  <c r="AC80" i="47" s="1"/>
  <c r="AC81" i="47" s="1"/>
  <c r="AC82" i="47" s="1"/>
  <c r="AC83" i="47" s="1"/>
  <c r="AC84" i="47" s="1"/>
  <c r="AC85" i="47" s="1"/>
  <c r="AC86" i="47" s="1"/>
  <c r="AC87" i="47" s="1"/>
  <c r="Q95" i="47"/>
  <c r="AH32" i="47"/>
  <c r="AH33" i="47" s="1"/>
  <c r="AH34" i="47" s="1"/>
  <c r="AH35" i="47" s="1"/>
  <c r="AH36" i="47" s="1"/>
  <c r="AH37" i="47" s="1"/>
  <c r="AH38" i="47" s="1"/>
  <c r="AH39" i="47" s="1"/>
  <c r="AH40" i="47" s="1"/>
  <c r="AH41" i="47" s="1"/>
  <c r="AH42" i="47" s="1"/>
  <c r="AH43" i="47" s="1"/>
  <c r="AH44" i="47" s="1"/>
  <c r="AH45" i="47" s="1"/>
  <c r="AH46" i="47" s="1"/>
  <c r="AH47" i="47" s="1"/>
  <c r="AH48" i="47" s="1"/>
  <c r="AH49" i="47" s="1"/>
  <c r="AH50" i="47" s="1"/>
  <c r="AH51" i="47" s="1"/>
  <c r="AH52" i="47" s="1"/>
  <c r="AH53" i="47" s="1"/>
  <c r="AH54" i="47" s="1"/>
  <c r="AH55" i="47" s="1"/>
  <c r="AH56" i="47" s="1"/>
  <c r="AH57" i="47" s="1"/>
  <c r="AH58" i="47" s="1"/>
  <c r="AH59" i="47" s="1"/>
  <c r="AH60" i="47" s="1"/>
  <c r="AH61" i="47" s="1"/>
  <c r="AH62" i="47" s="1"/>
  <c r="AH63" i="47" s="1"/>
  <c r="AH64" i="47" s="1"/>
  <c r="AH65" i="47" s="1"/>
  <c r="AH66" i="47" s="1"/>
  <c r="AH67" i="47" s="1"/>
  <c r="AH68" i="47" s="1"/>
  <c r="AH69" i="47" s="1"/>
  <c r="AH70" i="47" s="1"/>
  <c r="AH71" i="47" s="1"/>
  <c r="AH72" i="47" s="1"/>
  <c r="AH73" i="47" s="1"/>
  <c r="AH74" i="47" s="1"/>
  <c r="AH75" i="47" s="1"/>
  <c r="AH76" i="47" s="1"/>
  <c r="AH77" i="47" s="1"/>
  <c r="AH78" i="47" s="1"/>
  <c r="AH79" i="47" s="1"/>
  <c r="AH80" i="47" s="1"/>
  <c r="AH81" i="47" s="1"/>
  <c r="AH82" i="47" s="1"/>
  <c r="AH83" i="47" s="1"/>
  <c r="AH84" i="47" s="1"/>
  <c r="AH85" i="47" s="1"/>
  <c r="AH86" i="47" s="1"/>
  <c r="AH87" i="47" s="1"/>
  <c r="E19" i="47"/>
  <c r="AF32" i="47"/>
  <c r="AF33" i="47" s="1"/>
  <c r="AF34" i="47" s="1"/>
  <c r="AF35" i="47" s="1"/>
  <c r="AF36" i="47" s="1"/>
  <c r="AF37" i="47" s="1"/>
  <c r="AF38" i="47" s="1"/>
  <c r="AF39" i="47" s="1"/>
  <c r="AF40" i="47" s="1"/>
  <c r="AF41" i="47" s="1"/>
  <c r="AF42" i="47" s="1"/>
  <c r="AF43" i="47" s="1"/>
  <c r="AF44" i="47" s="1"/>
  <c r="AF45" i="47" s="1"/>
  <c r="AF46" i="47" s="1"/>
  <c r="AF47" i="47" s="1"/>
  <c r="AF48" i="47" s="1"/>
  <c r="AF49" i="47" s="1"/>
  <c r="AF50" i="47" s="1"/>
  <c r="AF51" i="47" s="1"/>
  <c r="AF52" i="47" s="1"/>
  <c r="AF53" i="47" s="1"/>
  <c r="AF54" i="47" s="1"/>
  <c r="AF55" i="47" s="1"/>
  <c r="AF56" i="47" s="1"/>
  <c r="AF57" i="47" s="1"/>
  <c r="AF58" i="47" s="1"/>
  <c r="AF59" i="47" s="1"/>
  <c r="AF60" i="47" s="1"/>
  <c r="AF61" i="47" s="1"/>
  <c r="AF62" i="47" s="1"/>
  <c r="AF63" i="47" s="1"/>
  <c r="AF64" i="47" s="1"/>
  <c r="AF65" i="47" s="1"/>
  <c r="AF66" i="47" s="1"/>
  <c r="AF67" i="47" s="1"/>
  <c r="AF68" i="47" s="1"/>
  <c r="AF69" i="47" s="1"/>
  <c r="AF70" i="47" s="1"/>
  <c r="AF71" i="47" s="1"/>
  <c r="AF72" i="47" s="1"/>
  <c r="AF73" i="47" s="1"/>
  <c r="AF74" i="47" s="1"/>
  <c r="AF75" i="47" s="1"/>
  <c r="AF76" i="47" s="1"/>
  <c r="AF77" i="47" s="1"/>
  <c r="AF78" i="47" s="1"/>
  <c r="AF79" i="47" s="1"/>
  <c r="AF80" i="47" s="1"/>
  <c r="AF81" i="47" s="1"/>
  <c r="AF82" i="47" s="1"/>
  <c r="AF83" i="47" s="1"/>
  <c r="AF84" i="47" s="1"/>
  <c r="AF85" i="47" s="1"/>
  <c r="AF86" i="47" s="1"/>
  <c r="AF87" i="47" s="1"/>
  <c r="E97" i="47"/>
  <c r="AG32" i="47"/>
  <c r="AG33" i="47" s="1"/>
  <c r="AG34" i="47" s="1"/>
  <c r="AG35" i="47" s="1"/>
  <c r="AG36" i="47" s="1"/>
  <c r="AG37" i="47" s="1"/>
  <c r="AG38" i="47" s="1"/>
  <c r="AG39" i="47" s="1"/>
  <c r="AG40" i="47" s="1"/>
  <c r="AG41" i="47" s="1"/>
  <c r="AG42" i="47" s="1"/>
  <c r="AG43" i="47" s="1"/>
  <c r="AG44" i="47" s="1"/>
  <c r="AG45" i="47" s="1"/>
  <c r="AG46" i="47" s="1"/>
  <c r="AG47" i="47" s="1"/>
  <c r="AG48" i="47" s="1"/>
  <c r="AG49" i="47" s="1"/>
  <c r="AG50" i="47" s="1"/>
  <c r="AG51" i="47" s="1"/>
  <c r="AG52" i="47" s="1"/>
  <c r="AG53" i="47" s="1"/>
  <c r="AG54" i="47" s="1"/>
  <c r="AG55" i="47" s="1"/>
  <c r="AG56" i="47" s="1"/>
  <c r="AG57" i="47" s="1"/>
  <c r="AG58" i="47" s="1"/>
  <c r="AG59" i="47" s="1"/>
  <c r="AG60" i="47" s="1"/>
  <c r="AG61" i="47" s="1"/>
  <c r="AG62" i="47" s="1"/>
  <c r="AG63" i="47" s="1"/>
  <c r="AG64" i="47" s="1"/>
  <c r="AG65" i="47" s="1"/>
  <c r="AG66" i="47" s="1"/>
  <c r="AG67" i="47" s="1"/>
  <c r="AG68" i="47" s="1"/>
  <c r="AG69" i="47" s="1"/>
  <c r="AG70" i="47" s="1"/>
  <c r="AG71" i="47" s="1"/>
  <c r="AG72" i="47" s="1"/>
  <c r="AG73" i="47" s="1"/>
  <c r="AG74" i="47" s="1"/>
  <c r="AG75" i="47" s="1"/>
  <c r="AG76" i="47" s="1"/>
  <c r="AG77" i="47" s="1"/>
  <c r="AG78" i="47" s="1"/>
  <c r="AG79" i="47" s="1"/>
  <c r="AG80" i="47" s="1"/>
  <c r="AG81" i="47" s="1"/>
  <c r="AG82" i="47" s="1"/>
  <c r="AG83" i="47" s="1"/>
  <c r="AG84" i="47" s="1"/>
  <c r="AG85" i="47" s="1"/>
  <c r="AG86" i="47" s="1"/>
  <c r="AG87" i="47" s="1"/>
  <c r="AD255" i="47"/>
  <c r="AD256" i="47" s="1"/>
  <c r="AD257" i="47" s="1"/>
  <c r="AD258" i="47" s="1"/>
  <c r="AD259" i="47" s="1"/>
  <c r="AD260" i="47" s="1"/>
  <c r="AD261" i="47" s="1"/>
  <c r="AD262" i="47" s="1"/>
  <c r="AC255" i="47"/>
  <c r="AC256" i="47" s="1"/>
  <c r="AC257" i="47" s="1"/>
  <c r="AC258" i="47" s="1"/>
  <c r="AC259" i="47" s="1"/>
  <c r="AC260" i="47" s="1"/>
  <c r="AC261" i="47" s="1"/>
  <c r="AC262" i="47" s="1"/>
  <c r="Q270" i="47"/>
  <c r="AF255" i="47"/>
  <c r="AF256" i="47" s="1"/>
  <c r="AF257" i="47" s="1"/>
  <c r="AF258" i="47" s="1"/>
  <c r="AF259" i="47" s="1"/>
  <c r="AF260" i="47" s="1"/>
  <c r="AF261" i="47" s="1"/>
  <c r="AF262" i="47" s="1"/>
  <c r="AG255" i="47"/>
  <c r="AG256" i="47" s="1"/>
  <c r="AG257" i="47" s="1"/>
  <c r="AG258" i="47" s="1"/>
  <c r="AG259" i="47" s="1"/>
  <c r="AG260" i="47" s="1"/>
  <c r="AG261" i="47" s="1"/>
  <c r="AG262" i="47" s="1"/>
  <c r="E272" i="47"/>
  <c r="E244" i="47"/>
  <c r="AI255" i="47"/>
  <c r="AI256" i="47" s="1"/>
  <c r="AI257" i="47" s="1"/>
  <c r="AI258" i="47" s="1"/>
  <c r="AI259" i="47" s="1"/>
  <c r="AI260" i="47" s="1"/>
  <c r="AI261" i="47" s="1"/>
  <c r="AI262" i="47" s="1"/>
  <c r="AE255" i="47"/>
  <c r="AE256" i="47" s="1"/>
  <c r="AE257" i="47" s="1"/>
  <c r="AE258" i="47" s="1"/>
  <c r="AE259" i="47" s="1"/>
  <c r="AE260" i="47" s="1"/>
  <c r="AE261" i="47" s="1"/>
  <c r="AE262" i="47" s="1"/>
  <c r="AH255" i="47"/>
  <c r="AH256" i="47" s="1"/>
  <c r="AH257" i="47" s="1"/>
  <c r="AH258" i="47" s="1"/>
  <c r="AH259" i="47" s="1"/>
  <c r="AH260" i="47" s="1"/>
  <c r="AH261" i="47" s="1"/>
  <c r="AH262" i="47" s="1"/>
  <c r="J900" i="42"/>
  <c r="V899" i="42"/>
  <c r="V900" i="42"/>
  <c r="J899" i="42"/>
  <c r="J2483" i="50" s="1"/>
  <c r="V901" i="42"/>
  <c r="AL750" i="42"/>
  <c r="AA732" i="42"/>
  <c r="AG813" i="42"/>
  <c r="AG816" i="42" s="1"/>
  <c r="AG811" i="42"/>
  <c r="AG814" i="42" s="1"/>
  <c r="AG817" i="42" s="1"/>
  <c r="AL731" i="42"/>
  <c r="AL733" i="42"/>
  <c r="AD813" i="42"/>
  <c r="AD816" i="42" s="1"/>
  <c r="AD811" i="42"/>
  <c r="AD814" i="42" s="1"/>
  <c r="AD817" i="42" s="1"/>
  <c r="AL759" i="42"/>
  <c r="AA729" i="42"/>
  <c r="AL754" i="42"/>
  <c r="AL736" i="42"/>
  <c r="AI2168" i="37"/>
  <c r="AI2170" i="37" s="1"/>
  <c r="AF2168" i="37"/>
  <c r="AF2170" i="37" s="1"/>
  <c r="AH2168" i="37"/>
  <c r="AH2170" i="37" s="1"/>
  <c r="S2401" i="37"/>
  <c r="K2158" i="37"/>
  <c r="T2163" i="37"/>
  <c r="K2182" i="37" s="1"/>
  <c r="L2210" i="37"/>
  <c r="L2212" i="37" s="1"/>
  <c r="Y2149" i="37"/>
  <c r="K2213" i="37"/>
  <c r="K2370" i="37"/>
  <c r="I2370" i="37"/>
  <c r="I2376" i="37" s="1"/>
  <c r="AG2412" i="37"/>
  <c r="K2210" i="37"/>
  <c r="K2212" i="37" s="1"/>
  <c r="Q2376" i="37"/>
  <c r="K2207" i="37"/>
  <c r="J2191" i="37"/>
  <c r="Q2157" i="37"/>
  <c r="Q2213" i="37"/>
  <c r="AG2333" i="37"/>
  <c r="AD2335" i="37" s="1"/>
  <c r="AD2344" i="37" s="1"/>
  <c r="AD2353" i="37" s="1"/>
  <c r="AD2379" i="37" s="1"/>
  <c r="AD2388" i="37" s="1"/>
  <c r="J2376" i="37"/>
  <c r="N2213" i="37"/>
  <c r="Q2328" i="37"/>
  <c r="Q2363" i="37"/>
  <c r="E2407" i="37"/>
  <c r="Q2311" i="37"/>
  <c r="J2373" i="37"/>
  <c r="J2375" i="37" s="1"/>
  <c r="Q2419" i="37"/>
  <c r="Q2262" i="37"/>
  <c r="N2376" i="37"/>
  <c r="Q2320" i="37"/>
  <c r="N2373" i="37"/>
  <c r="N2375" i="37" s="1"/>
  <c r="Q2321" i="37"/>
  <c r="K2373" i="37"/>
  <c r="K2375" i="37" s="1"/>
  <c r="Q2185" i="37"/>
  <c r="Q2179" i="37"/>
  <c r="N2136" i="37"/>
  <c r="K2137" i="37"/>
  <c r="K2169" i="37"/>
  <c r="K2136" i="37"/>
  <c r="J2169" i="37"/>
  <c r="H2137" i="37"/>
  <c r="AG2168" i="37"/>
  <c r="AG2170" i="37" s="1"/>
  <c r="AD2168" i="37"/>
  <c r="AD2170" i="37" s="1"/>
  <c r="AC2168" i="37"/>
  <c r="S2289" i="37"/>
  <c r="Q2324" i="37"/>
  <c r="S2320" i="37"/>
  <c r="J2210" i="37"/>
  <c r="J2212" i="37" s="1"/>
  <c r="M2152" i="37"/>
  <c r="Q2415" i="37"/>
  <c r="I2242" i="37"/>
  <c r="Q2137" i="37"/>
  <c r="S2321" i="37"/>
  <c r="Q2174" i="37"/>
  <c r="E2135" i="37"/>
  <c r="Q2271" i="37"/>
  <c r="Q2420" i="37"/>
  <c r="M2158" i="37"/>
  <c r="N2158" i="37"/>
  <c r="Q2360" i="37"/>
  <c r="Q2207" i="37"/>
  <c r="Q2205" i="37" s="1"/>
  <c r="Q2158" i="37"/>
  <c r="Q2149" i="37"/>
  <c r="M2373" i="37"/>
  <c r="M2375" i="37" s="1"/>
  <c r="Q2350" i="37"/>
  <c r="Q2370" i="37"/>
  <c r="Q2368" i="37" s="1"/>
  <c r="Q2204" i="37"/>
  <c r="I2204" i="37" s="1"/>
  <c r="Q2395" i="37"/>
  <c r="L2373" i="37"/>
  <c r="L2375" i="37" s="1"/>
  <c r="S2328" i="37"/>
  <c r="N2155" i="37"/>
  <c r="N2157" i="37" s="1"/>
  <c r="AG2280" i="37"/>
  <c r="AD2282" i="37" s="1"/>
  <c r="AD2294" i="37" s="1"/>
  <c r="W2149" i="37"/>
  <c r="N2370" i="37"/>
  <c r="Q2394" i="37"/>
  <c r="N2207" i="37"/>
  <c r="Q2401" i="37"/>
  <c r="J2155" i="37"/>
  <c r="J2157" i="37" s="1"/>
  <c r="N2137" i="37"/>
  <c r="J2137" i="37"/>
  <c r="M2137" i="37"/>
  <c r="J2136" i="37"/>
  <c r="L2169" i="37"/>
  <c r="T2127" i="37"/>
  <c r="J2163" i="37"/>
  <c r="Q2342" i="37"/>
  <c r="R2139" i="37"/>
  <c r="S2395" i="37"/>
  <c r="Q2270" i="37"/>
  <c r="Q2386" i="37"/>
  <c r="J2370" i="37"/>
  <c r="M2155" i="37"/>
  <c r="M2157" i="37" s="1"/>
  <c r="Q2329" i="37"/>
  <c r="Q2325" i="37"/>
  <c r="Q2301" i="37"/>
  <c r="Q2361" i="37"/>
  <c r="Q2385" i="37"/>
  <c r="J2158" i="37"/>
  <c r="H2139" i="37"/>
  <c r="K2376" i="37"/>
  <c r="Q2289" i="37"/>
  <c r="K2152" i="37"/>
  <c r="E2262" i="37"/>
  <c r="R2170" i="37"/>
  <c r="L2376" i="37"/>
  <c r="Z2149" i="37"/>
  <c r="I2152" i="37"/>
  <c r="I2158" i="37" s="1"/>
  <c r="M2370" i="37"/>
  <c r="Q2407" i="37"/>
  <c r="Q2341" i="37"/>
  <c r="S2301" i="37"/>
  <c r="S2329" i="37"/>
  <c r="M2376" i="37"/>
  <c r="S2311" i="37"/>
  <c r="L2158" i="37"/>
  <c r="L2136" i="37"/>
  <c r="I2169" i="37"/>
  <c r="I2137" i="37"/>
  <c r="M2169" i="37"/>
  <c r="H2136" i="37"/>
  <c r="AE2168" i="37"/>
  <c r="AE2170" i="37" s="1"/>
  <c r="Q2155" i="37"/>
  <c r="Q2136" i="37"/>
  <c r="J2213" i="37"/>
  <c r="J2207" i="37"/>
  <c r="M2210" i="37"/>
  <c r="M2212" i="37" s="1"/>
  <c r="S2262" i="37"/>
  <c r="Q2367" i="37"/>
  <c r="I2367" i="37" s="1"/>
  <c r="Q2152" i="37"/>
  <c r="Q2150" i="37" s="1"/>
  <c r="S2385" i="37"/>
  <c r="N2152" i="37"/>
  <c r="Q2373" i="37"/>
  <c r="Q2351" i="37"/>
  <c r="L2207" i="37"/>
  <c r="L2213" i="37"/>
  <c r="Q2416" i="37"/>
  <c r="X2149" i="37"/>
  <c r="K2155" i="37"/>
  <c r="K2157" i="37" s="1"/>
  <c r="Q2188" i="37"/>
  <c r="S2170" i="37"/>
  <c r="L2155" i="37"/>
  <c r="L2157" i="37" s="1"/>
  <c r="I2207" i="37"/>
  <c r="I2213" i="37" s="1"/>
  <c r="X2127" i="37"/>
  <c r="Z2127" i="37" s="1"/>
  <c r="Q2210" i="37"/>
  <c r="N2210" i="37"/>
  <c r="N2212" i="37" s="1"/>
  <c r="M2207" i="37"/>
  <c r="AL2127" i="37"/>
  <c r="M2213" i="37"/>
  <c r="L2152" i="37"/>
  <c r="V2149" i="37"/>
  <c r="J2152" i="37"/>
  <c r="Q2182" i="37"/>
  <c r="Q2180" i="37" s="1"/>
  <c r="S2386" i="37"/>
  <c r="L2370" i="37"/>
  <c r="Q2198" i="37"/>
  <c r="M2136" i="37"/>
  <c r="L2137" i="37"/>
  <c r="N2169" i="37"/>
  <c r="I2136" i="37"/>
  <c r="H2169" i="37"/>
  <c r="M324" i="41"/>
  <c r="M411" i="50" s="1"/>
  <c r="H841" i="42"/>
  <c r="H847" i="42"/>
  <c r="H2431" i="50"/>
  <c r="N322" i="41"/>
  <c r="N324" i="41"/>
  <c r="N411" i="50" s="1"/>
  <c r="J323" i="41"/>
  <c r="J410" i="50" s="1"/>
  <c r="J326" i="41"/>
  <c r="J413" i="50" s="1"/>
  <c r="H322" i="41"/>
  <c r="L322" i="41"/>
  <c r="AE181" i="47"/>
  <c r="AE189" i="47" s="1"/>
  <c r="AE190" i="47" s="1"/>
  <c r="AE191" i="47" s="1"/>
  <c r="AD181" i="47"/>
  <c r="AD189" i="47" s="1"/>
  <c r="AD190" i="47" s="1"/>
  <c r="AD191" i="47" s="1"/>
  <c r="AH181" i="47"/>
  <c r="AH189" i="47" s="1"/>
  <c r="AH190" i="47" s="1"/>
  <c r="AH191" i="47" s="1"/>
  <c r="AI181" i="47"/>
  <c r="AI189" i="47" s="1"/>
  <c r="AI190" i="47" s="1"/>
  <c r="AI191" i="47" s="1"/>
  <c r="L229" i="47"/>
  <c r="E176" i="47"/>
  <c r="M226" i="47"/>
  <c r="M228" i="47" s="1"/>
  <c r="N229" i="47"/>
  <c r="M220" i="47"/>
  <c r="AC181" i="47"/>
  <c r="AC189" i="47" s="1"/>
  <c r="AC190" i="47" s="1"/>
  <c r="AC191" i="47" s="1"/>
  <c r="AF181" i="47"/>
  <c r="AF189" i="47" s="1"/>
  <c r="AF190" i="47" s="1"/>
  <c r="AF191" i="47" s="1"/>
  <c r="E232" i="47"/>
  <c r="N220" i="47"/>
  <c r="J226" i="47"/>
  <c r="J229" i="47"/>
  <c r="L220" i="47"/>
  <c r="K226" i="47"/>
  <c r="K228" i="47" s="1"/>
  <c r="Q197" i="47"/>
  <c r="M229" i="47"/>
  <c r="L226" i="47"/>
  <c r="L228" i="47" s="1"/>
  <c r="AG181" i="47"/>
  <c r="AG189" i="47" s="1"/>
  <c r="AG190" i="47" s="1"/>
  <c r="AG191" i="47" s="1"/>
  <c r="I223" i="47"/>
  <c r="I229" i="47" s="1"/>
  <c r="K229" i="47"/>
  <c r="J220" i="47"/>
  <c r="K220" i="47"/>
  <c r="N226" i="47"/>
  <c r="N228" i="47" s="1"/>
  <c r="AI355" i="47"/>
  <c r="AI356" i="47" s="1"/>
  <c r="AI357" i="47" s="1"/>
  <c r="AI358" i="47" s="1"/>
  <c r="AD355" i="47"/>
  <c r="AD356" i="47" s="1"/>
  <c r="AD357" i="47" s="1"/>
  <c r="AD358" i="47" s="1"/>
  <c r="AE355" i="47"/>
  <c r="AE356" i="47" s="1"/>
  <c r="AE357" i="47" s="1"/>
  <c r="AE358" i="47" s="1"/>
  <c r="AG355" i="47"/>
  <c r="AG356" i="47" s="1"/>
  <c r="AG357" i="47" s="1"/>
  <c r="AG358" i="47" s="1"/>
  <c r="AH355" i="47"/>
  <c r="AH356" i="47" s="1"/>
  <c r="AH357" i="47" s="1"/>
  <c r="AH358" i="47" s="1"/>
  <c r="AF355" i="47"/>
  <c r="AF356" i="47" s="1"/>
  <c r="AF357" i="47" s="1"/>
  <c r="AF358" i="47" s="1"/>
  <c r="AC355" i="47"/>
  <c r="AC356" i="47" s="1"/>
  <c r="AC357" i="47" s="1"/>
  <c r="AC358" i="47" s="1"/>
  <c r="E367" i="47"/>
  <c r="E349" i="47"/>
  <c r="Q365" i="47"/>
  <c r="AK115" i="49"/>
  <c r="AK198" i="49"/>
  <c r="AK68" i="49"/>
  <c r="AK74" i="49"/>
  <c r="AK24" i="49"/>
  <c r="AK141" i="49"/>
  <c r="AK73" i="49"/>
  <c r="AK21" i="49"/>
  <c r="AK128" i="49"/>
  <c r="AK185" i="49"/>
  <c r="AK203" i="49"/>
  <c r="AK92" i="49"/>
  <c r="AK22" i="49"/>
  <c r="AK124" i="49"/>
  <c r="AK26" i="49"/>
  <c r="AK57" i="49"/>
  <c r="AK119" i="49"/>
  <c r="AK67" i="49"/>
  <c r="AK23" i="49"/>
  <c r="AK129" i="49"/>
  <c r="AK142" i="49"/>
  <c r="AK93" i="49"/>
  <c r="AK123" i="49"/>
  <c r="AK62" i="49"/>
  <c r="AE154" i="41"/>
  <c r="AE211" i="41"/>
  <c r="AE288" i="41"/>
  <c r="AE100" i="41"/>
  <c r="AE181" i="41"/>
  <c r="AE371" i="41"/>
  <c r="AE58" i="41"/>
  <c r="AE112" i="41"/>
  <c r="AE180" i="41"/>
  <c r="AE346" i="41"/>
  <c r="AE240" i="41"/>
  <c r="AE241" i="41"/>
  <c r="AE59" i="41"/>
  <c r="AE102" i="41"/>
  <c r="AE177" i="41"/>
  <c r="AE368" i="41"/>
  <c r="AE37" i="41"/>
  <c r="AE119" i="41"/>
  <c r="AE39" i="41"/>
  <c r="AE208" i="41"/>
  <c r="AE364" i="41"/>
  <c r="AE296" i="41"/>
  <c r="AE330" i="41"/>
  <c r="AE290" i="41"/>
  <c r="AE57" i="41"/>
  <c r="AE94" i="41"/>
  <c r="AE297" i="41"/>
  <c r="AE38" i="41"/>
  <c r="AE365" i="41"/>
  <c r="AE201" i="41"/>
  <c r="AE209" i="41"/>
  <c r="AE178" i="41"/>
  <c r="AE36" i="41"/>
  <c r="AE113" i="41"/>
  <c r="AE377" i="41"/>
  <c r="AE207" i="41"/>
  <c r="AE289" i="41"/>
  <c r="AE179" i="41"/>
  <c r="AE242" i="41"/>
  <c r="AE35" i="41"/>
  <c r="AE210" i="41"/>
  <c r="AE298" i="41"/>
  <c r="AE139" i="41"/>
  <c r="AE101" i="41"/>
  <c r="AE111" i="41"/>
  <c r="AE149" i="41"/>
  <c r="X900" i="42"/>
  <c r="X899" i="42"/>
  <c r="X901" i="42"/>
  <c r="L899" i="42"/>
  <c r="L2483" i="50" s="1"/>
  <c r="L900" i="42"/>
  <c r="AL890" i="42"/>
  <c r="V883" i="42"/>
  <c r="Y804" i="42"/>
  <c r="Y816" i="42"/>
  <c r="Y814" i="42"/>
  <c r="AL729" i="42"/>
  <c r="AL804" i="42"/>
  <c r="AC810" i="42"/>
  <c r="AL730" i="42"/>
  <c r="AL756" i="42"/>
  <c r="V814" i="42"/>
  <c r="V804" i="42"/>
  <c r="V816" i="42"/>
  <c r="AA734" i="42"/>
  <c r="AA731" i="42"/>
  <c r="J2431" i="50"/>
  <c r="L2431" i="50"/>
  <c r="D259" i="34"/>
  <c r="O259" i="34"/>
  <c r="R259" i="34" s="1"/>
  <c r="C260" i="34"/>
  <c r="AL830" i="42"/>
  <c r="V823" i="42"/>
  <c r="AI147" i="47"/>
  <c r="AI156" i="47" s="1"/>
  <c r="AI157" i="47" s="1"/>
  <c r="AE147" i="47"/>
  <c r="AE156" i="47" s="1"/>
  <c r="AE157" i="47" s="1"/>
  <c r="AF147" i="47"/>
  <c r="AF156" i="47" s="1"/>
  <c r="AF157" i="47" s="1"/>
  <c r="AG147" i="47"/>
  <c r="AG156" i="47" s="1"/>
  <c r="AG157" i="47" s="1"/>
  <c r="AC147" i="47"/>
  <c r="AC156" i="47" s="1"/>
  <c r="AC157" i="47" s="1"/>
  <c r="AD147" i="47"/>
  <c r="AD156" i="47" s="1"/>
  <c r="AD157" i="47" s="1"/>
  <c r="AH147" i="47"/>
  <c r="AH156" i="47" s="1"/>
  <c r="AH157" i="47" s="1"/>
  <c r="E165" i="47"/>
  <c r="Q163" i="47"/>
  <c r="E142" i="47"/>
  <c r="S2431" i="50"/>
  <c r="V2431" i="50"/>
  <c r="N2436" i="50" s="1"/>
  <c r="R2431" i="50"/>
  <c r="U2431" i="50"/>
  <c r="T2431" i="50"/>
  <c r="L325" i="41"/>
  <c r="L412" i="50" s="1"/>
  <c r="I325" i="41"/>
  <c r="I412" i="50" s="1"/>
  <c r="M325" i="41"/>
  <c r="M412" i="50" s="1"/>
  <c r="AD387" i="47"/>
  <c r="AD388" i="47" s="1"/>
  <c r="AD389" i="47" s="1"/>
  <c r="AH387" i="47"/>
  <c r="AH388" i="47" s="1"/>
  <c r="AH389" i="47" s="1"/>
  <c r="AE387" i="47"/>
  <c r="AE388" i="47" s="1"/>
  <c r="AE389" i="47" s="1"/>
  <c r="AC387" i="47"/>
  <c r="AC388" i="47" s="1"/>
  <c r="AC389" i="47" s="1"/>
  <c r="Y398" i="47"/>
  <c r="K398" i="47"/>
  <c r="J401" i="47"/>
  <c r="N398" i="47"/>
  <c r="W398" i="47"/>
  <c r="J404" i="47"/>
  <c r="N388" i="47"/>
  <c r="N390" i="47" s="1"/>
  <c r="N393" i="47" s="1"/>
  <c r="L407" i="47"/>
  <c r="AF387" i="47"/>
  <c r="AF388" i="47" s="1"/>
  <c r="AF389" i="47" s="1"/>
  <c r="AI387" i="47"/>
  <c r="AI388" i="47" s="1"/>
  <c r="AI389" i="47" s="1"/>
  <c r="K407" i="47"/>
  <c r="E382" i="47"/>
  <c r="N404" i="47"/>
  <c r="N406" i="47" s="1"/>
  <c r="N401" i="47"/>
  <c r="N407" i="47"/>
  <c r="M388" i="47"/>
  <c r="M390" i="47" s="1"/>
  <c r="M393" i="47" s="1"/>
  <c r="L404" i="47"/>
  <c r="L406" i="47" s="1"/>
  <c r="X398" i="47"/>
  <c r="K401" i="47"/>
  <c r="K388" i="47"/>
  <c r="K390" i="47" s="1"/>
  <c r="K393" i="47" s="1"/>
  <c r="L398" i="47"/>
  <c r="Z398" i="47"/>
  <c r="E410" i="47"/>
  <c r="M404" i="47"/>
  <c r="M406" i="47" s="1"/>
  <c r="L401" i="47"/>
  <c r="H388" i="47"/>
  <c r="H390" i="47" s="1"/>
  <c r="H393" i="47" s="1"/>
  <c r="L388" i="47"/>
  <c r="L390" i="47" s="1"/>
  <c r="L393" i="47" s="1"/>
  <c r="M398" i="47"/>
  <c r="AG387" i="47"/>
  <c r="AG388" i="47" s="1"/>
  <c r="AG389" i="47" s="1"/>
  <c r="M407" i="47"/>
  <c r="J398" i="47"/>
  <c r="I388" i="47"/>
  <c r="I390" i="47" s="1"/>
  <c r="I393" i="47" s="1"/>
  <c r="J407" i="47"/>
  <c r="M401" i="47"/>
  <c r="K404" i="47"/>
  <c r="K406" i="47" s="1"/>
  <c r="J388" i="47"/>
  <c r="J390" i="47" s="1"/>
  <c r="J393" i="47" s="1"/>
  <c r="I401" i="47"/>
  <c r="I407" i="47" s="1"/>
  <c r="V398" i="47"/>
  <c r="AI113" i="47"/>
  <c r="AI122" i="47" s="1"/>
  <c r="AI123" i="47" s="1"/>
  <c r="AD113" i="47"/>
  <c r="AD122" i="47" s="1"/>
  <c r="AD123" i="47" s="1"/>
  <c r="AE113" i="47"/>
  <c r="AE122" i="47" s="1"/>
  <c r="AE123" i="47" s="1"/>
  <c r="AG113" i="47"/>
  <c r="AG122" i="47" s="1"/>
  <c r="AG123" i="47" s="1"/>
  <c r="AC113" i="47"/>
  <c r="AC122" i="47" s="1"/>
  <c r="AC123" i="47" s="1"/>
  <c r="Q129" i="47"/>
  <c r="AH113" i="47"/>
  <c r="AH122" i="47" s="1"/>
  <c r="AH123" i="47" s="1"/>
  <c r="E108" i="47"/>
  <c r="AF113" i="47"/>
  <c r="AF122" i="47" s="1"/>
  <c r="AF123" i="47" s="1"/>
  <c r="E131" i="47"/>
  <c r="AF323" i="47"/>
  <c r="AF329" i="47" s="1"/>
  <c r="AH323" i="47"/>
  <c r="AH329" i="47" s="1"/>
  <c r="AD323" i="47"/>
  <c r="AD329" i="47" s="1"/>
  <c r="AG323" i="47"/>
  <c r="AG329" i="47" s="1"/>
  <c r="AE323" i="47"/>
  <c r="AE329" i="47" s="1"/>
  <c r="AC323" i="47"/>
  <c r="AC329" i="47" s="1"/>
  <c r="AI323" i="47"/>
  <c r="AI329" i="47" s="1"/>
  <c r="E338" i="47"/>
  <c r="Q336" i="47"/>
  <c r="E317" i="47"/>
  <c r="M2431" i="50"/>
  <c r="N2485" i="50"/>
  <c r="K326" i="41"/>
  <c r="K413" i="50" s="1"/>
  <c r="AC383" i="42"/>
  <c r="AC360" i="42"/>
  <c r="AC362" i="42"/>
  <c r="AL359" i="42"/>
  <c r="Z340" i="37"/>
  <c r="AC187" i="42"/>
  <c r="AL163" i="42"/>
  <c r="AC166" i="42"/>
  <c r="AI1531" i="37"/>
  <c r="AC1593" i="37"/>
  <c r="AD1593" i="37"/>
  <c r="AG1531" i="37"/>
  <c r="AG1593" i="37"/>
  <c r="AI1593" i="37"/>
  <c r="AE1593" i="37"/>
  <c r="AD1531" i="37"/>
  <c r="AH1531" i="37"/>
  <c r="AC1531" i="37"/>
  <c r="AF1593" i="37"/>
  <c r="AH1593" i="37"/>
  <c r="AE1531" i="37"/>
  <c r="AF1531" i="37"/>
  <c r="N1903" i="37"/>
  <c r="J1848" i="37"/>
  <c r="V1849" i="37"/>
  <c r="V1848" i="37"/>
  <c r="V1850" i="37"/>
  <c r="J1849" i="37"/>
  <c r="AH362" i="42"/>
  <c r="AH383" i="42"/>
  <c r="AH387" i="42" s="1"/>
  <c r="AH391" i="42" s="1"/>
  <c r="AH395" i="42" s="1"/>
  <c r="AH399" i="42" s="1"/>
  <c r="AH360" i="42"/>
  <c r="P1886" i="50"/>
  <c r="P848" i="50"/>
  <c r="L998" i="37"/>
  <c r="L997" i="37"/>
  <c r="X997" i="37"/>
  <c r="X999" i="37"/>
  <c r="Z1880" i="37"/>
  <c r="N1879" i="37"/>
  <c r="N1878" i="37"/>
  <c r="Z1878" i="37"/>
  <c r="AG506" i="42"/>
  <c r="AG510" i="42" s="1"/>
  <c r="AG514" i="42" s="1"/>
  <c r="AG518" i="42" s="1"/>
  <c r="AG522" i="42" s="1"/>
  <c r="AG483" i="42"/>
  <c r="AG485" i="42"/>
  <c r="AD506" i="42"/>
  <c r="AD510" i="42" s="1"/>
  <c r="AD514" i="42" s="1"/>
  <c r="AD518" i="42" s="1"/>
  <c r="AD522" i="42" s="1"/>
  <c r="AD485" i="42"/>
  <c r="AD483" i="42"/>
  <c r="AD360" i="42"/>
  <c r="AD383" i="42"/>
  <c r="AD387" i="42" s="1"/>
  <c r="AD391" i="42" s="1"/>
  <c r="AD395" i="42" s="1"/>
  <c r="AD399" i="42" s="1"/>
  <c r="AD362" i="42"/>
  <c r="AC485" i="42"/>
  <c r="AC483" i="42"/>
  <c r="AL482" i="42"/>
  <c r="AC506" i="42"/>
  <c r="P830" i="50"/>
  <c r="P902" i="50"/>
  <c r="AE485" i="42"/>
  <c r="AE483" i="42"/>
  <c r="AE506" i="42"/>
  <c r="AE510" i="42" s="1"/>
  <c r="AE514" i="42" s="1"/>
  <c r="AE518" i="42" s="1"/>
  <c r="AE522" i="42" s="1"/>
  <c r="Y1903" i="37"/>
  <c r="M1904" i="37"/>
  <c r="Y1905" i="37"/>
  <c r="M1903" i="37"/>
  <c r="AG362" i="42"/>
  <c r="AG383" i="42"/>
  <c r="AG387" i="42" s="1"/>
  <c r="AG391" i="42" s="1"/>
  <c r="AG395" i="42" s="1"/>
  <c r="AG399" i="42" s="1"/>
  <c r="AG360" i="42"/>
  <c r="L942" i="37"/>
  <c r="AD927" i="37"/>
  <c r="AF927" i="37"/>
  <c r="AE989" i="37"/>
  <c r="AG989" i="37"/>
  <c r="AE927" i="37"/>
  <c r="AH989" i="37"/>
  <c r="AC989" i="37"/>
  <c r="AH927" i="37"/>
  <c r="AG927" i="37"/>
  <c r="AF989" i="37"/>
  <c r="AC927" i="37"/>
  <c r="AD989" i="37"/>
  <c r="AI927" i="37"/>
  <c r="AI989" i="37"/>
  <c r="W2068" i="37"/>
  <c r="K2066" i="37"/>
  <c r="K1879" i="37"/>
  <c r="J1878" i="37"/>
  <c r="V1878" i="37"/>
  <c r="J1879" i="37"/>
  <c r="V1880" i="37"/>
  <c r="X2066" i="37"/>
  <c r="X2068" i="37"/>
  <c r="L2067" i="37"/>
  <c r="L2066" i="37"/>
  <c r="AB1825" i="37"/>
  <c r="I1847" i="37"/>
  <c r="T1576" i="50"/>
  <c r="AC1833" i="37"/>
  <c r="AH1833" i="37"/>
  <c r="AF1895" i="37"/>
  <c r="AC1895" i="37"/>
  <c r="AH1895" i="37"/>
  <c r="X1833" i="37"/>
  <c r="W1833" i="37"/>
  <c r="AD1895" i="37"/>
  <c r="AD1833" i="37"/>
  <c r="AG1833" i="37"/>
  <c r="AI1895" i="37"/>
  <c r="AE1895" i="37"/>
  <c r="AE1833" i="37"/>
  <c r="AG1895" i="37"/>
  <c r="Z1833" i="37"/>
  <c r="U1833" i="37"/>
  <c r="Y1833" i="37"/>
  <c r="V1833" i="37"/>
  <c r="T1833" i="37"/>
  <c r="AF1833" i="37"/>
  <c r="AI1833" i="37"/>
  <c r="AH187" i="42"/>
  <c r="AH191" i="42" s="1"/>
  <c r="AH195" i="42" s="1"/>
  <c r="AH199" i="42" s="1"/>
  <c r="AH203" i="42" s="1"/>
  <c r="AH166" i="42"/>
  <c r="K338" i="37"/>
  <c r="AL492" i="42"/>
  <c r="Q313" i="41"/>
  <c r="E401" i="50"/>
  <c r="E342" i="41"/>
  <c r="AF187" i="42"/>
  <c r="AF191" i="42" s="1"/>
  <c r="AF195" i="42" s="1"/>
  <c r="AF199" i="42" s="1"/>
  <c r="AF203" i="42" s="1"/>
  <c r="AF166" i="42"/>
  <c r="AG323" i="37"/>
  <c r="AF385" i="37"/>
  <c r="AF323" i="37"/>
  <c r="AD323" i="37"/>
  <c r="AC385" i="37"/>
  <c r="AH385" i="37"/>
  <c r="AE323" i="37"/>
  <c r="AE385" i="37"/>
  <c r="AI385" i="37"/>
  <c r="AG385" i="37"/>
  <c r="AD385" i="37"/>
  <c r="AH323" i="37"/>
  <c r="AI323" i="37"/>
  <c r="AC323" i="37"/>
  <c r="AL165" i="42"/>
  <c r="AF483" i="42"/>
  <c r="AF506" i="42"/>
  <c r="AF510" i="42" s="1"/>
  <c r="AF514" i="42" s="1"/>
  <c r="AF518" i="42" s="1"/>
  <c r="AF522" i="42" s="1"/>
  <c r="AF485" i="42"/>
  <c r="AC667" i="42"/>
  <c r="AL664" i="42"/>
  <c r="Z1848" i="37"/>
  <c r="Z1850" i="37"/>
  <c r="N1848" i="37"/>
  <c r="J2066" i="37"/>
  <c r="V2066" i="37"/>
  <c r="J2067" i="37"/>
  <c r="V2068" i="37"/>
  <c r="AF362" i="42"/>
  <c r="AF383" i="42"/>
  <c r="AF387" i="42" s="1"/>
  <c r="AF391" i="42" s="1"/>
  <c r="AF395" i="42" s="1"/>
  <c r="AF399" i="42" s="1"/>
  <c r="AF360" i="42"/>
  <c r="AI362" i="42"/>
  <c r="AI383" i="42"/>
  <c r="AI387" i="42" s="1"/>
  <c r="AI391" i="42" s="1"/>
  <c r="AI395" i="42" s="1"/>
  <c r="AI399" i="42" s="1"/>
  <c r="AI360" i="42"/>
  <c r="P1814" i="50"/>
  <c r="AG625" i="37"/>
  <c r="AC625" i="37"/>
  <c r="AF687" i="37"/>
  <c r="AD625" i="37"/>
  <c r="AE687" i="37"/>
  <c r="AE625" i="37"/>
  <c r="AI687" i="37"/>
  <c r="AI625" i="37"/>
  <c r="AH687" i="37"/>
  <c r="AH625" i="37"/>
  <c r="AF625" i="37"/>
  <c r="AG687" i="37"/>
  <c r="AD687" i="37"/>
  <c r="AC687" i="37"/>
  <c r="AL369" i="42"/>
  <c r="AH1291" i="37"/>
  <c r="AD1229" i="37"/>
  <c r="AI1291" i="37"/>
  <c r="AF1229" i="37"/>
  <c r="AC1291" i="37"/>
  <c r="AG1229" i="37"/>
  <c r="AC1229" i="37"/>
  <c r="AE1291" i="37"/>
  <c r="AH1229" i="37"/>
  <c r="AD1291" i="37"/>
  <c r="AE1229" i="37"/>
  <c r="AF1291" i="37"/>
  <c r="AG1291" i="37"/>
  <c r="AI1229" i="37"/>
  <c r="AL186" i="42"/>
  <c r="AC190" i="42"/>
  <c r="AG187" i="42"/>
  <c r="AG191" i="42" s="1"/>
  <c r="AG195" i="42" s="1"/>
  <c r="AG199" i="42" s="1"/>
  <c r="AG203" i="42" s="1"/>
  <c r="AG166" i="42"/>
  <c r="V1905" i="37"/>
  <c r="J1904" i="37"/>
  <c r="V1903" i="37"/>
  <c r="J1903" i="37"/>
  <c r="AD187" i="42"/>
  <c r="AD191" i="42" s="1"/>
  <c r="AD195" i="42" s="1"/>
  <c r="AD199" i="42" s="1"/>
  <c r="AD203" i="42" s="1"/>
  <c r="AD166" i="42"/>
  <c r="P1832" i="50"/>
  <c r="P1843" i="50"/>
  <c r="AE360" i="42"/>
  <c r="AE383" i="42"/>
  <c r="AE387" i="42" s="1"/>
  <c r="AE391" i="42" s="1"/>
  <c r="AE395" i="42" s="1"/>
  <c r="AE399" i="42" s="1"/>
  <c r="AE362" i="42"/>
  <c r="X1160" i="37"/>
  <c r="P859" i="50"/>
  <c r="AI485" i="42"/>
  <c r="AI506" i="42"/>
  <c r="AI510" i="42" s="1"/>
  <c r="AI514" i="42" s="1"/>
  <c r="AI518" i="42" s="1"/>
  <c r="AI522" i="42" s="1"/>
  <c r="AI483" i="42"/>
  <c r="Y2068" i="37"/>
  <c r="M2066" i="37"/>
  <c r="M2067" i="37"/>
  <c r="Y2066" i="37"/>
  <c r="AH485" i="42"/>
  <c r="AH506" i="42"/>
  <c r="AH510" i="42" s="1"/>
  <c r="AH514" i="42" s="1"/>
  <c r="AH518" i="42" s="1"/>
  <c r="AH522" i="42" s="1"/>
  <c r="AH483" i="42"/>
  <c r="AE166" i="42"/>
  <c r="AE187" i="42"/>
  <c r="AE191" i="42" s="1"/>
  <c r="AE195" i="42" s="1"/>
  <c r="AE199" i="42" s="1"/>
  <c r="AE203" i="42" s="1"/>
  <c r="W1903" i="37"/>
  <c r="M1878" i="37"/>
  <c r="Y1880" i="37"/>
  <c r="M1879" i="37"/>
  <c r="Y1878" i="37"/>
  <c r="L1903" i="37"/>
  <c r="X1903" i="37"/>
  <c r="X1905" i="37"/>
  <c r="L1904" i="37"/>
  <c r="P1351" i="50"/>
  <c r="AL666" i="42"/>
  <c r="AC669" i="42"/>
  <c r="AL669" i="42" s="1"/>
  <c r="Z2068" i="37"/>
  <c r="N2067" i="37"/>
  <c r="N2066" i="37"/>
  <c r="Z2066" i="37"/>
  <c r="AI187" i="42"/>
  <c r="AI191" i="42" s="1"/>
  <c r="AI195" i="42" s="1"/>
  <c r="AI199" i="42" s="1"/>
  <c r="AI203" i="42" s="1"/>
  <c r="AI166" i="42"/>
  <c r="P1066" i="50"/>
  <c r="L557" i="37" l="1"/>
  <c r="L556" i="37"/>
  <c r="X558" i="37"/>
  <c r="X556" i="37"/>
  <c r="X943" i="37"/>
  <c r="L1160" i="37"/>
  <c r="M376" i="37"/>
  <c r="AK1168" i="37"/>
  <c r="L1161" i="37"/>
  <c r="N393" i="37"/>
  <c r="K339" i="37"/>
  <c r="N998" i="50"/>
  <c r="N1663" i="50"/>
  <c r="L1036" i="50"/>
  <c r="K1015" i="50"/>
  <c r="N1020" i="50"/>
  <c r="N1007" i="50"/>
  <c r="L1063" i="50"/>
  <c r="M1665" i="50"/>
  <c r="L1641" i="50"/>
  <c r="J2066" i="50"/>
  <c r="K1983" i="50" s="1"/>
  <c r="K367" i="37"/>
  <c r="K369" i="37" s="1"/>
  <c r="A1013" i="50"/>
  <c r="L1390" i="50"/>
  <c r="I370" i="37"/>
  <c r="I376" i="37" s="1"/>
  <c r="L235" i="50"/>
  <c r="AK346" i="37"/>
  <c r="S975" i="50"/>
  <c r="J1307" i="50"/>
  <c r="K1690" i="50"/>
  <c r="X944" i="37"/>
  <c r="N1636" i="50"/>
  <c r="L998" i="50"/>
  <c r="K1048" i="50"/>
  <c r="L985" i="50"/>
  <c r="N1016" i="50"/>
  <c r="N1062" i="50"/>
  <c r="N1063" i="50"/>
  <c r="N1052" i="50"/>
  <c r="L1035" i="50"/>
  <c r="M1707" i="50"/>
  <c r="L1653" i="50"/>
  <c r="M362" i="37"/>
  <c r="N1342" i="50"/>
  <c r="AK401" i="37"/>
  <c r="L678" i="37"/>
  <c r="L675" i="37"/>
  <c r="L677" i="37" s="1"/>
  <c r="N235" i="50"/>
  <c r="J235" i="50"/>
  <c r="U975" i="50"/>
  <c r="L1348" i="50"/>
  <c r="W338" i="37"/>
  <c r="N1677" i="50"/>
  <c r="L1068" i="50"/>
  <c r="L987" i="50"/>
  <c r="L1013" i="50"/>
  <c r="L1015" i="50"/>
  <c r="N983" i="50"/>
  <c r="N1049" i="50"/>
  <c r="N1041" i="50"/>
  <c r="M1724" i="50"/>
  <c r="L1664" i="50"/>
  <c r="N2066" i="50"/>
  <c r="I2066" i="50"/>
  <c r="I367" i="37"/>
  <c r="J1082" i="50"/>
  <c r="K1069" i="50" s="1"/>
  <c r="J376" i="37"/>
  <c r="N1082" i="50"/>
  <c r="E361" i="50"/>
  <c r="J1581" i="37"/>
  <c r="J1583" i="37" s="1"/>
  <c r="X392" i="37"/>
  <c r="L392" i="37" s="1"/>
  <c r="X395" i="37" s="1"/>
  <c r="H235" i="50"/>
  <c r="T975" i="50"/>
  <c r="L943" i="37"/>
  <c r="N1324" i="50"/>
  <c r="N979" i="50"/>
  <c r="L997" i="50"/>
  <c r="L1025" i="50"/>
  <c r="P235" i="50"/>
  <c r="M235" i="50"/>
  <c r="I362" i="37"/>
  <c r="Z393" i="37"/>
  <c r="N1048" i="50"/>
  <c r="L1070" i="50"/>
  <c r="K1380" i="50"/>
  <c r="K1903" i="37"/>
  <c r="Z1849" i="37"/>
  <c r="I322" i="41"/>
  <c r="L986" i="50"/>
  <c r="K1676" i="50"/>
  <c r="L999" i="50"/>
  <c r="L1016" i="50"/>
  <c r="M1017" i="50"/>
  <c r="N1034" i="50"/>
  <c r="N1035" i="50"/>
  <c r="N987" i="50"/>
  <c r="M1028" i="50"/>
  <c r="L988" i="50"/>
  <c r="L1692" i="50"/>
  <c r="N376" i="37"/>
  <c r="L367" i="37"/>
  <c r="L369" i="37" s="1"/>
  <c r="K1369" i="50"/>
  <c r="L1376" i="50"/>
  <c r="N1282" i="37"/>
  <c r="M678" i="37"/>
  <c r="Z1903" i="37"/>
  <c r="M1000" i="50"/>
  <c r="N1904" i="37"/>
  <c r="Z395" i="37"/>
  <c r="M988" i="50"/>
  <c r="L1706" i="50"/>
  <c r="L362" i="37"/>
  <c r="L1026" i="50"/>
  <c r="K1704" i="50"/>
  <c r="L1052" i="50"/>
  <c r="M1015" i="50"/>
  <c r="J1013" i="50"/>
  <c r="N999" i="50"/>
  <c r="M1070" i="50"/>
  <c r="L1028" i="50"/>
  <c r="M2066" i="50"/>
  <c r="L376" i="37"/>
  <c r="M373" i="37"/>
  <c r="M375" i="37" s="1"/>
  <c r="M1391" i="50"/>
  <c r="N1356" i="50"/>
  <c r="K1376" i="50"/>
  <c r="Q267" i="41"/>
  <c r="H362" i="37"/>
  <c r="K678" i="37"/>
  <c r="AK678" i="37" s="1"/>
  <c r="K235" i="50"/>
  <c r="N997" i="50"/>
  <c r="J370" i="37"/>
  <c r="L1009" i="50"/>
  <c r="L1041" i="50"/>
  <c r="N362" i="37"/>
  <c r="R975" i="50"/>
  <c r="K1904" i="37"/>
  <c r="L1017" i="50"/>
  <c r="J1015" i="50"/>
  <c r="I1082" i="50"/>
  <c r="N1398" i="50"/>
  <c r="L1334" i="50"/>
  <c r="N1021" i="50"/>
  <c r="L1307" i="50"/>
  <c r="L1349" i="50"/>
  <c r="L1308" i="50"/>
  <c r="M1533" i="50"/>
  <c r="M1519" i="50"/>
  <c r="M1544" i="50"/>
  <c r="M1491" i="50"/>
  <c r="M1561" i="50"/>
  <c r="M1479" i="50"/>
  <c r="K1471" i="50"/>
  <c r="K1513" i="50"/>
  <c r="K1472" i="50"/>
  <c r="N1068" i="50"/>
  <c r="L1337" i="50"/>
  <c r="N1026" i="50"/>
  <c r="L1396" i="50"/>
  <c r="V1303" i="50"/>
  <c r="V1467" i="50"/>
  <c r="N1472" i="50" s="1"/>
  <c r="W367" i="37"/>
  <c r="W340" i="37"/>
  <c r="K983" i="50"/>
  <c r="AF324" i="37"/>
  <c r="K672" i="37"/>
  <c r="K1006" i="50"/>
  <c r="N678" i="37"/>
  <c r="K1062" i="50"/>
  <c r="J974" i="37"/>
  <c r="I966" i="37"/>
  <c r="M966" i="37"/>
  <c r="L966" i="37"/>
  <c r="N966" i="37"/>
  <c r="K971" i="37"/>
  <c r="J980" i="37"/>
  <c r="AK980" i="37" s="1"/>
  <c r="M977" i="37"/>
  <c r="M979" i="37" s="1"/>
  <c r="N971" i="37"/>
  <c r="M974" i="37"/>
  <c r="J971" i="37"/>
  <c r="N980" i="37"/>
  <c r="K980" i="37"/>
  <c r="J966" i="37"/>
  <c r="N974" i="37"/>
  <c r="K977" i="37"/>
  <c r="K979" i="37" s="1"/>
  <c r="L977" i="37"/>
  <c r="L979" i="37" s="1"/>
  <c r="I971" i="37"/>
  <c r="J977" i="37"/>
  <c r="J979" i="37" s="1"/>
  <c r="L974" i="37"/>
  <c r="K966" i="37"/>
  <c r="N977" i="37"/>
  <c r="N979" i="37" s="1"/>
  <c r="M971" i="37"/>
  <c r="M980" i="37"/>
  <c r="H966" i="37"/>
  <c r="I974" i="37"/>
  <c r="I980" i="37" s="1"/>
  <c r="K974" i="37"/>
  <c r="L971" i="37"/>
  <c r="L980" i="37"/>
  <c r="L373" i="37"/>
  <c r="L375" i="37" s="1"/>
  <c r="N367" i="37"/>
  <c r="K362" i="37"/>
  <c r="K1034" i="50"/>
  <c r="N1355" i="50"/>
  <c r="J1574" i="50"/>
  <c r="AK929" i="37"/>
  <c r="V919" i="37"/>
  <c r="AC324" i="37"/>
  <c r="L1354" i="50"/>
  <c r="V1159" i="37"/>
  <c r="J1159" i="37" s="1"/>
  <c r="V996" i="37"/>
  <c r="J996" i="37" s="1"/>
  <c r="V971" i="37"/>
  <c r="J941" i="37"/>
  <c r="Z1159" i="37"/>
  <c r="N1159" i="37" s="1"/>
  <c r="Z971" i="37"/>
  <c r="N941" i="37"/>
  <c r="Z996" i="37"/>
  <c r="N996" i="37" s="1"/>
  <c r="N1009" i="50"/>
  <c r="M1363" i="50"/>
  <c r="N1380" i="50"/>
  <c r="W392" i="37"/>
  <c r="K392" i="37" s="1"/>
  <c r="W395" i="37" s="1"/>
  <c r="AK1886" i="37"/>
  <c r="M230" i="50"/>
  <c r="J672" i="37"/>
  <c r="U1467" i="50"/>
  <c r="M1472" i="50" s="1"/>
  <c r="X367" i="37"/>
  <c r="L337" i="37"/>
  <c r="AK1005" i="37"/>
  <c r="AK950" i="37"/>
  <c r="AE928" i="37"/>
  <c r="AI928" i="37"/>
  <c r="AF928" i="37"/>
  <c r="AG928" i="37"/>
  <c r="AD928" i="37"/>
  <c r="AC928" i="37"/>
  <c r="AH928" i="37"/>
  <c r="Y996" i="37"/>
  <c r="M996" i="37" s="1"/>
  <c r="Y971" i="37"/>
  <c r="M941" i="37"/>
  <c r="Y1159" i="37"/>
  <c r="M1159" i="37" s="1"/>
  <c r="N1051" i="50"/>
  <c r="AH324" i="37"/>
  <c r="W555" i="37"/>
  <c r="K555" i="37" s="1"/>
  <c r="AK564" i="37"/>
  <c r="W996" i="37"/>
  <c r="K996" i="37" s="1"/>
  <c r="K941" i="37"/>
  <c r="W971" i="37"/>
  <c r="W1159" i="37"/>
  <c r="K1159" i="37" s="1"/>
  <c r="V315" i="37"/>
  <c r="AK325" i="37"/>
  <c r="L1326" i="50"/>
  <c r="M652" i="50"/>
  <c r="M651" i="50"/>
  <c r="M693" i="50"/>
  <c r="L708" i="50"/>
  <c r="L657" i="50"/>
  <c r="L669" i="50"/>
  <c r="L697" i="50"/>
  <c r="L722" i="50"/>
  <c r="L680" i="50"/>
  <c r="L1353" i="50"/>
  <c r="L1336" i="50"/>
  <c r="L1313" i="50"/>
  <c r="L1364" i="50"/>
  <c r="L1325" i="50"/>
  <c r="L1378" i="50"/>
  <c r="L1542" i="50"/>
  <c r="L1517" i="50"/>
  <c r="L1477" i="50"/>
  <c r="L1489" i="50"/>
  <c r="L1500" i="50"/>
  <c r="L1528" i="50"/>
  <c r="AE626" i="37"/>
  <c r="AH626" i="37"/>
  <c r="AC626" i="37"/>
  <c r="AG626" i="37"/>
  <c r="AI626" i="37"/>
  <c r="AD626" i="37"/>
  <c r="AF626" i="37"/>
  <c r="A739" i="50"/>
  <c r="P737" i="50"/>
  <c r="P738" i="50" s="1"/>
  <c r="K1149" i="50"/>
  <c r="K1172" i="50"/>
  <c r="K1200" i="50"/>
  <c r="K1214" i="50"/>
  <c r="K1161" i="50"/>
  <c r="K1189" i="50"/>
  <c r="K1560" i="50"/>
  <c r="K1501" i="50"/>
  <c r="K1518" i="50"/>
  <c r="K1543" i="50"/>
  <c r="K1478" i="50"/>
  <c r="K1490" i="50"/>
  <c r="AF660" i="37"/>
  <c r="AK660" i="37" s="1"/>
  <c r="AK658" i="37"/>
  <c r="L707" i="50"/>
  <c r="L735" i="50"/>
  <c r="L679" i="50"/>
  <c r="L668" i="50"/>
  <c r="L721" i="50"/>
  <c r="L656" i="50"/>
  <c r="N680" i="50"/>
  <c r="N669" i="50"/>
  <c r="N722" i="50"/>
  <c r="N697" i="50"/>
  <c r="N708" i="50"/>
  <c r="N657" i="50"/>
  <c r="K1562" i="50"/>
  <c r="K1520" i="50"/>
  <c r="K1534" i="50"/>
  <c r="K1506" i="50"/>
  <c r="K1480" i="50"/>
  <c r="K1492" i="50"/>
  <c r="M1534" i="50"/>
  <c r="M1480" i="50"/>
  <c r="M1562" i="50"/>
  <c r="M1492" i="50"/>
  <c r="M1520" i="50"/>
  <c r="M1506" i="50"/>
  <c r="K1677" i="50"/>
  <c r="N1334" i="50"/>
  <c r="N1279" i="37"/>
  <c r="N1281" i="37" s="1"/>
  <c r="AK1252" i="37"/>
  <c r="N1377" i="50"/>
  <c r="N1363" i="50"/>
  <c r="M1198" i="50"/>
  <c r="M1184" i="50"/>
  <c r="M1147" i="50"/>
  <c r="M1170" i="50"/>
  <c r="M1226" i="50"/>
  <c r="M1212" i="50"/>
  <c r="J1246" i="50"/>
  <c r="J1179" i="50"/>
  <c r="N1180" i="50"/>
  <c r="N1246" i="50"/>
  <c r="L1246" i="50"/>
  <c r="L1177" i="50"/>
  <c r="J1177" i="50"/>
  <c r="L1180" i="50"/>
  <c r="I1246" i="50"/>
  <c r="M1181" i="50"/>
  <c r="M1177" i="50"/>
  <c r="J1181" i="50"/>
  <c r="L1181" i="50"/>
  <c r="K1181" i="50"/>
  <c r="M1180" i="50"/>
  <c r="M1179" i="50"/>
  <c r="K1179" i="50"/>
  <c r="K1177" i="50"/>
  <c r="N1181" i="50"/>
  <c r="S1246" i="50"/>
  <c r="N1179" i="50"/>
  <c r="J1180" i="50"/>
  <c r="L1179" i="50"/>
  <c r="K1180" i="50"/>
  <c r="N1177" i="50"/>
  <c r="N1212" i="50"/>
  <c r="N1147" i="50"/>
  <c r="N1198" i="50"/>
  <c r="N1170" i="50"/>
  <c r="N1226" i="50"/>
  <c r="N1184" i="50"/>
  <c r="K1226" i="50"/>
  <c r="K1170" i="50"/>
  <c r="K1184" i="50"/>
  <c r="K1212" i="50"/>
  <c r="K1147" i="50"/>
  <c r="K1198" i="50"/>
  <c r="N1232" i="50"/>
  <c r="N1150" i="50"/>
  <c r="N1190" i="50"/>
  <c r="N1162" i="50"/>
  <c r="N1173" i="50"/>
  <c r="N1215" i="50"/>
  <c r="L1316" i="50"/>
  <c r="L1356" i="50"/>
  <c r="K1489" i="50"/>
  <c r="K1477" i="50"/>
  <c r="K1528" i="50"/>
  <c r="K1542" i="50"/>
  <c r="K1517" i="50"/>
  <c r="K1500" i="50"/>
  <c r="N1554" i="50"/>
  <c r="N1498" i="50"/>
  <c r="N1475" i="50"/>
  <c r="N1526" i="50"/>
  <c r="N1540" i="50"/>
  <c r="N1512" i="50"/>
  <c r="K1554" i="50"/>
  <c r="K1498" i="50"/>
  <c r="K1512" i="50"/>
  <c r="K1540" i="50"/>
  <c r="K1475" i="50"/>
  <c r="K1526" i="50"/>
  <c r="Q268" i="41"/>
  <c r="E314" i="41"/>
  <c r="E362" i="50"/>
  <c r="N556" i="37"/>
  <c r="Y370" i="37"/>
  <c r="Y338" i="37"/>
  <c r="J322" i="41"/>
  <c r="J409" i="50" s="1"/>
  <c r="K1635" i="50"/>
  <c r="N863" i="50"/>
  <c r="K1479" i="50"/>
  <c r="K1398" i="50"/>
  <c r="L1362" i="50"/>
  <c r="L1398" i="50"/>
  <c r="A1669" i="50"/>
  <c r="P1667" i="50"/>
  <c r="P1668" i="50" s="1"/>
  <c r="N1544" i="50"/>
  <c r="N1561" i="50"/>
  <c r="N1584" i="37"/>
  <c r="E315" i="41"/>
  <c r="E363" i="50"/>
  <c r="Q269" i="41"/>
  <c r="A667" i="50"/>
  <c r="P665" i="50"/>
  <c r="P666" i="50" s="1"/>
  <c r="N700" i="50"/>
  <c r="N714" i="50"/>
  <c r="N672" i="50"/>
  <c r="N742" i="50"/>
  <c r="N660" i="50"/>
  <c r="N686" i="50"/>
  <c r="K657" i="50"/>
  <c r="K697" i="50"/>
  <c r="K708" i="50"/>
  <c r="K669" i="50"/>
  <c r="K722" i="50"/>
  <c r="K680" i="50"/>
  <c r="M1206" i="50"/>
  <c r="M1178" i="50"/>
  <c r="M1192" i="50"/>
  <c r="M1234" i="50"/>
  <c r="M1164" i="50"/>
  <c r="M1152" i="50"/>
  <c r="M1377" i="50"/>
  <c r="M1312" i="50"/>
  <c r="M1335" i="50"/>
  <c r="V1600" i="37"/>
  <c r="J1600" i="37" s="1"/>
  <c r="V1575" i="37"/>
  <c r="V1763" i="37"/>
  <c r="J1763" i="37" s="1"/>
  <c r="J1545" i="37"/>
  <c r="V1523" i="37"/>
  <c r="AK1533" i="37"/>
  <c r="L1518" i="50"/>
  <c r="L1490" i="50"/>
  <c r="L1560" i="50"/>
  <c r="L1478" i="50"/>
  <c r="L1501" i="50"/>
  <c r="L1543" i="50"/>
  <c r="N1520" i="50"/>
  <c r="N1506" i="50"/>
  <c r="N1492" i="50"/>
  <c r="N1562" i="50"/>
  <c r="N1480" i="50"/>
  <c r="N1534" i="50"/>
  <c r="K706" i="50"/>
  <c r="K692" i="50"/>
  <c r="K720" i="50"/>
  <c r="K734" i="50"/>
  <c r="K655" i="50"/>
  <c r="K678" i="50"/>
  <c r="M1396" i="50"/>
  <c r="Z1273" i="37"/>
  <c r="N1243" i="37"/>
  <c r="Z1298" i="37"/>
  <c r="N1298" i="37" s="1"/>
  <c r="Z1461" i="37"/>
  <c r="N1461" i="37" s="1"/>
  <c r="K1337" i="50"/>
  <c r="H236" i="50"/>
  <c r="I236" i="50"/>
  <c r="J236" i="50"/>
  <c r="K236" i="50"/>
  <c r="N236" i="50"/>
  <c r="M236" i="50"/>
  <c r="L236" i="50"/>
  <c r="P236" i="50"/>
  <c r="Z1763" i="37"/>
  <c r="N1763" i="37" s="1"/>
  <c r="Z1575" i="37"/>
  <c r="N1545" i="37"/>
  <c r="Z1600" i="37"/>
  <c r="N1600" i="37" s="1"/>
  <c r="K1327" i="50"/>
  <c r="M339" i="37"/>
  <c r="N1800" i="50"/>
  <c r="N1391" i="50"/>
  <c r="N1335" i="50"/>
  <c r="N1397" i="50"/>
  <c r="K1314" i="50"/>
  <c r="AK1231" i="37"/>
  <c r="V1221" i="37"/>
  <c r="Q270" i="41"/>
  <c r="E316" i="41"/>
  <c r="E364" i="50"/>
  <c r="P694" i="50"/>
  <c r="P695" i="50" s="1"/>
  <c r="A696" i="50"/>
  <c r="L692" i="50"/>
  <c r="L655" i="50"/>
  <c r="L720" i="50"/>
  <c r="L678" i="50"/>
  <c r="L706" i="50"/>
  <c r="L734" i="50"/>
  <c r="M1215" i="50"/>
  <c r="M1150" i="50"/>
  <c r="M1162" i="50"/>
  <c r="M1190" i="50"/>
  <c r="M1173" i="50"/>
  <c r="M1232" i="50"/>
  <c r="K1150" i="50"/>
  <c r="K1173" i="50"/>
  <c r="K1215" i="50"/>
  <c r="K1232" i="50"/>
  <c r="K1190" i="50"/>
  <c r="K1162" i="50"/>
  <c r="M1246" i="50"/>
  <c r="K1581" i="37"/>
  <c r="K1583" i="37" s="1"/>
  <c r="H232" i="50"/>
  <c r="K232" i="50"/>
  <c r="N232" i="50"/>
  <c r="P232" i="50"/>
  <c r="M232" i="50"/>
  <c r="I232" i="50"/>
  <c r="J232" i="50"/>
  <c r="L232" i="50"/>
  <c r="N1578" i="37"/>
  <c r="L1282" i="37"/>
  <c r="M1477" i="50"/>
  <c r="M1528" i="50"/>
  <c r="M1517" i="50"/>
  <c r="M1542" i="50"/>
  <c r="M1500" i="50"/>
  <c r="M1489" i="50"/>
  <c r="K658" i="50"/>
  <c r="K670" i="50"/>
  <c r="K740" i="50"/>
  <c r="K681" i="50"/>
  <c r="K698" i="50"/>
  <c r="K723" i="50"/>
  <c r="K1279" i="37"/>
  <c r="K1281" i="37" s="1"/>
  <c r="M679" i="50"/>
  <c r="M668" i="50"/>
  <c r="M721" i="50"/>
  <c r="M735" i="50"/>
  <c r="M656" i="50"/>
  <c r="M707" i="50"/>
  <c r="N670" i="50"/>
  <c r="N698" i="50"/>
  <c r="N681" i="50"/>
  <c r="N723" i="50"/>
  <c r="N658" i="50"/>
  <c r="N740" i="50"/>
  <c r="V1139" i="50"/>
  <c r="R1139" i="50"/>
  <c r="S1139" i="50"/>
  <c r="U1139" i="50"/>
  <c r="T1139" i="50"/>
  <c r="Z558" i="37"/>
  <c r="L1163" i="50"/>
  <c r="L1151" i="50"/>
  <c r="L1191" i="50"/>
  <c r="L1233" i="50"/>
  <c r="L1216" i="50"/>
  <c r="L1205" i="50"/>
  <c r="N639" i="37"/>
  <c r="Z694" i="37"/>
  <c r="N694" i="37" s="1"/>
  <c r="Z857" i="37"/>
  <c r="N857" i="37" s="1"/>
  <c r="Z669" i="37"/>
  <c r="W393" i="37"/>
  <c r="Y339" i="37"/>
  <c r="N816" i="50"/>
  <c r="N1841" i="50"/>
  <c r="N1315" i="50"/>
  <c r="K1326" i="50"/>
  <c r="K1578" i="37"/>
  <c r="AE324" i="37"/>
  <c r="AI324" i="37"/>
  <c r="AG324" i="37"/>
  <c r="AE1264" i="37"/>
  <c r="AK1264" i="37" s="1"/>
  <c r="AK1262" i="37"/>
  <c r="N721" i="50"/>
  <c r="N656" i="50"/>
  <c r="N668" i="50"/>
  <c r="N735" i="50"/>
  <c r="N679" i="50"/>
  <c r="N707" i="50"/>
  <c r="M692" i="50"/>
  <c r="M678" i="50"/>
  <c r="M734" i="50"/>
  <c r="M720" i="50"/>
  <c r="M706" i="50"/>
  <c r="M655" i="50"/>
  <c r="M723" i="50"/>
  <c r="M658" i="50"/>
  <c r="M670" i="50"/>
  <c r="M698" i="50"/>
  <c r="M740" i="50"/>
  <c r="M681" i="50"/>
  <c r="M754" i="50"/>
  <c r="M689" i="50"/>
  <c r="J688" i="50"/>
  <c r="N754" i="50"/>
  <c r="S754" i="50"/>
  <c r="K689" i="50"/>
  <c r="M687" i="50"/>
  <c r="K685" i="50"/>
  <c r="N687" i="50"/>
  <c r="K687" i="50"/>
  <c r="K688" i="50"/>
  <c r="L687" i="50"/>
  <c r="K754" i="50"/>
  <c r="M688" i="50"/>
  <c r="J687" i="50"/>
  <c r="N688" i="50"/>
  <c r="N685" i="50"/>
  <c r="L688" i="50"/>
  <c r="I754" i="50"/>
  <c r="J685" i="50"/>
  <c r="M685" i="50"/>
  <c r="J689" i="50"/>
  <c r="L689" i="50"/>
  <c r="L685" i="50"/>
  <c r="L754" i="50"/>
  <c r="N689" i="50"/>
  <c r="N1276" i="37"/>
  <c r="W1763" i="37"/>
  <c r="K1763" i="37" s="1"/>
  <c r="W1575" i="37"/>
  <c r="W1600" i="37"/>
  <c r="K1600" i="37" s="1"/>
  <c r="K1545" i="37"/>
  <c r="K228" i="50"/>
  <c r="H228" i="50"/>
  <c r="I228" i="50"/>
  <c r="P228" i="50"/>
  <c r="J228" i="50"/>
  <c r="N228" i="50"/>
  <c r="L228" i="50"/>
  <c r="M228" i="50"/>
  <c r="A1516" i="50"/>
  <c r="P1514" i="50"/>
  <c r="P1515" i="50" s="1"/>
  <c r="A1505" i="50"/>
  <c r="P1503" i="50"/>
  <c r="P1504" i="50" s="1"/>
  <c r="L1512" i="50"/>
  <c r="L1475" i="50"/>
  <c r="L1554" i="50"/>
  <c r="L1540" i="50"/>
  <c r="L1526" i="50"/>
  <c r="L1498" i="50"/>
  <c r="M1501" i="50"/>
  <c r="M1543" i="50"/>
  <c r="M1478" i="50"/>
  <c r="M1518" i="50"/>
  <c r="M1560" i="50"/>
  <c r="M1490" i="50"/>
  <c r="J1531" i="50"/>
  <c r="M1531" i="50"/>
  <c r="L1547" i="50"/>
  <c r="K1529" i="50"/>
  <c r="K1545" i="50"/>
  <c r="J1546" i="50"/>
  <c r="L1530" i="50"/>
  <c r="L1532" i="50"/>
  <c r="L1535" i="50" s="1"/>
  <c r="L1536" i="50" s="1"/>
  <c r="L1537" i="50" s="1"/>
  <c r="M1547" i="50"/>
  <c r="F1467" i="50"/>
  <c r="K1531" i="50"/>
  <c r="M1548" i="50"/>
  <c r="M1549" i="50" s="1"/>
  <c r="M1550" i="50" s="1"/>
  <c r="M1551" i="50" s="1"/>
  <c r="M1545" i="50"/>
  <c r="L1546" i="50"/>
  <c r="N1531" i="50"/>
  <c r="N1529" i="50"/>
  <c r="N1548" i="50"/>
  <c r="N1549" i="50" s="1"/>
  <c r="N1550" i="50" s="1"/>
  <c r="N1551" i="50" s="1"/>
  <c r="L1531" i="50"/>
  <c r="J1532" i="50"/>
  <c r="J1535" i="50" s="1"/>
  <c r="J1536" i="50" s="1"/>
  <c r="J1537" i="50" s="1"/>
  <c r="J1547" i="50"/>
  <c r="J1545" i="50"/>
  <c r="N1530" i="50"/>
  <c r="H1464" i="50"/>
  <c r="M1532" i="50"/>
  <c r="M1535" i="50" s="1"/>
  <c r="M1536" i="50" s="1"/>
  <c r="M1537" i="50" s="1"/>
  <c r="M1529" i="50"/>
  <c r="J1530" i="50"/>
  <c r="K1548" i="50"/>
  <c r="K1549" i="50" s="1"/>
  <c r="K1550" i="50" s="1"/>
  <c r="K1551" i="50" s="1"/>
  <c r="J1548" i="50"/>
  <c r="J1549" i="50" s="1"/>
  <c r="J1550" i="50" s="1"/>
  <c r="J1551" i="50" s="1"/>
  <c r="N1546" i="50"/>
  <c r="K1547" i="50"/>
  <c r="K1546" i="50"/>
  <c r="L1545" i="50"/>
  <c r="J1529" i="50"/>
  <c r="K1532" i="50"/>
  <c r="K1535" i="50" s="1"/>
  <c r="K1536" i="50" s="1"/>
  <c r="K1537" i="50" s="1"/>
  <c r="N1532" i="50"/>
  <c r="N1535" i="50" s="1"/>
  <c r="N1536" i="50" s="1"/>
  <c r="N1537" i="50" s="1"/>
  <c r="L1529" i="50"/>
  <c r="M1530" i="50"/>
  <c r="M1546" i="50"/>
  <c r="L1548" i="50"/>
  <c r="L1549" i="50" s="1"/>
  <c r="L1550" i="50" s="1"/>
  <c r="L1551" i="50" s="1"/>
  <c r="N1545" i="50"/>
  <c r="N1547" i="50"/>
  <c r="K1530" i="50"/>
  <c r="J639" i="37"/>
  <c r="V694" i="37"/>
  <c r="J694" i="37" s="1"/>
  <c r="V857" i="37"/>
  <c r="J857" i="37" s="1"/>
  <c r="V669" i="37"/>
  <c r="L1150" i="50"/>
  <c r="L1232" i="50"/>
  <c r="L1173" i="50"/>
  <c r="L1190" i="50"/>
  <c r="L1215" i="50"/>
  <c r="L1162" i="50"/>
  <c r="J1276" i="37"/>
  <c r="I1268" i="37"/>
  <c r="M1273" i="37"/>
  <c r="H1268" i="37"/>
  <c r="M1268" i="37"/>
  <c r="N1273" i="37"/>
  <c r="I1276" i="37"/>
  <c r="I1282" i="37" s="1"/>
  <c r="I1273" i="37"/>
  <c r="J1273" i="37"/>
  <c r="K1268" i="37"/>
  <c r="K1273" i="37"/>
  <c r="L1268" i="37"/>
  <c r="K1282" i="37"/>
  <c r="N1268" i="37"/>
  <c r="M1276" i="37"/>
  <c r="L1279" i="37"/>
  <c r="L1281" i="37" s="1"/>
  <c r="J1282" i="37"/>
  <c r="M1279" i="37"/>
  <c r="M1281" i="37" s="1"/>
  <c r="L1273" i="37"/>
  <c r="J1268" i="37"/>
  <c r="M1214" i="50"/>
  <c r="M1149" i="50"/>
  <c r="M1172" i="50"/>
  <c r="M1161" i="50"/>
  <c r="M1200" i="50"/>
  <c r="M1189" i="50"/>
  <c r="AG1230" i="37"/>
  <c r="AF1230" i="37"/>
  <c r="AE1230" i="37"/>
  <c r="AD1230" i="37"/>
  <c r="AH1230" i="37"/>
  <c r="AI1230" i="37"/>
  <c r="AC1230" i="37"/>
  <c r="M657" i="50"/>
  <c r="M708" i="50"/>
  <c r="M669" i="50"/>
  <c r="M722" i="50"/>
  <c r="M697" i="50"/>
  <c r="M680" i="50"/>
  <c r="K1499" i="50"/>
  <c r="K1527" i="50"/>
  <c r="K1555" i="50"/>
  <c r="K1488" i="50"/>
  <c r="K1476" i="50"/>
  <c r="K1541" i="50"/>
  <c r="M1476" i="50"/>
  <c r="M1488" i="50"/>
  <c r="M1555" i="50"/>
  <c r="M1527" i="50"/>
  <c r="M1499" i="50"/>
  <c r="M1541" i="50"/>
  <c r="M1326" i="50"/>
  <c r="P1649" i="50"/>
  <c r="P1650" i="50" s="1"/>
  <c r="A1651" i="50"/>
  <c r="AK1470" i="37"/>
  <c r="K1202" i="50"/>
  <c r="K1203" i="50"/>
  <c r="M1201" i="50"/>
  <c r="J1219" i="50"/>
  <c r="N1220" i="50"/>
  <c r="N1221" i="50" s="1"/>
  <c r="N1222" i="50" s="1"/>
  <c r="N1223" i="50" s="1"/>
  <c r="N1217" i="50"/>
  <c r="L1217" i="50"/>
  <c r="K1204" i="50"/>
  <c r="K1207" i="50" s="1"/>
  <c r="K1208" i="50" s="1"/>
  <c r="K1209" i="50" s="1"/>
  <c r="J1204" i="50"/>
  <c r="J1207" i="50" s="1"/>
  <c r="J1208" i="50" s="1"/>
  <c r="J1209" i="50" s="1"/>
  <c r="L1203" i="50"/>
  <c r="K1220" i="50"/>
  <c r="K1221" i="50" s="1"/>
  <c r="K1222" i="50" s="1"/>
  <c r="K1223" i="50" s="1"/>
  <c r="L1220" i="50"/>
  <c r="L1221" i="50" s="1"/>
  <c r="L1222" i="50" s="1"/>
  <c r="L1223" i="50" s="1"/>
  <c r="M1203" i="50"/>
  <c r="N1204" i="50"/>
  <c r="N1207" i="50" s="1"/>
  <c r="N1208" i="50" s="1"/>
  <c r="N1209" i="50" s="1"/>
  <c r="M1219" i="50"/>
  <c r="N1203" i="50"/>
  <c r="J1220" i="50"/>
  <c r="J1221" i="50" s="1"/>
  <c r="J1222" i="50" s="1"/>
  <c r="J1223" i="50" s="1"/>
  <c r="K1218" i="50"/>
  <c r="F1139" i="50"/>
  <c r="L1218" i="50"/>
  <c r="K1219" i="50"/>
  <c r="L1219" i="50"/>
  <c r="N1202" i="50"/>
  <c r="L1202" i="50"/>
  <c r="J1203" i="50"/>
  <c r="L1204" i="50"/>
  <c r="L1207" i="50" s="1"/>
  <c r="L1208" i="50" s="1"/>
  <c r="L1209" i="50" s="1"/>
  <c r="J1202" i="50"/>
  <c r="M1220" i="50"/>
  <c r="M1221" i="50" s="1"/>
  <c r="M1222" i="50" s="1"/>
  <c r="M1223" i="50" s="1"/>
  <c r="K1217" i="50"/>
  <c r="J1217" i="50"/>
  <c r="H1136" i="50"/>
  <c r="K1201" i="50"/>
  <c r="M1202" i="50"/>
  <c r="J1218" i="50"/>
  <c r="N1218" i="50"/>
  <c r="M1217" i="50"/>
  <c r="M1204" i="50"/>
  <c r="M1207" i="50" s="1"/>
  <c r="M1208" i="50" s="1"/>
  <c r="M1209" i="50" s="1"/>
  <c r="L1201" i="50"/>
  <c r="J1201" i="50"/>
  <c r="M1218" i="50"/>
  <c r="N1219" i="50"/>
  <c r="N1201" i="50"/>
  <c r="M233" i="50"/>
  <c r="H233" i="50"/>
  <c r="K233" i="50"/>
  <c r="P233" i="50"/>
  <c r="I233" i="50"/>
  <c r="N233" i="50"/>
  <c r="L233" i="50"/>
  <c r="J233" i="50"/>
  <c r="Z556" i="37"/>
  <c r="P234" i="50"/>
  <c r="K234" i="50"/>
  <c r="M234" i="50"/>
  <c r="I234" i="50"/>
  <c r="L234" i="50"/>
  <c r="N234" i="50"/>
  <c r="J234" i="50"/>
  <c r="H234" i="50"/>
  <c r="X1878" i="37"/>
  <c r="K1878" i="37"/>
  <c r="K1848" i="37"/>
  <c r="Y340" i="37"/>
  <c r="N815" i="50"/>
  <c r="Y392" i="37"/>
  <c r="M392" i="37" s="1"/>
  <c r="M393" i="37" s="1"/>
  <c r="M1354" i="50"/>
  <c r="N1369" i="50"/>
  <c r="P1339" i="50"/>
  <c r="P1340" i="50" s="1"/>
  <c r="A1341" i="50"/>
  <c r="W1298" i="37"/>
  <c r="K1298" i="37" s="1"/>
  <c r="K1243" i="37"/>
  <c r="W1273" i="37"/>
  <c r="W1461" i="37"/>
  <c r="K1461" i="37" s="1"/>
  <c r="AK1307" i="37"/>
  <c r="L686" i="50"/>
  <c r="L714" i="50"/>
  <c r="L672" i="50"/>
  <c r="L700" i="50"/>
  <c r="L742" i="50"/>
  <c r="L660" i="50"/>
  <c r="A1231" i="50"/>
  <c r="P1229" i="50"/>
  <c r="P1230" i="50" s="1"/>
  <c r="K1148" i="50"/>
  <c r="K1171" i="50"/>
  <c r="K1213" i="50"/>
  <c r="K1160" i="50"/>
  <c r="K1199" i="50"/>
  <c r="K1227" i="50"/>
  <c r="N1234" i="50"/>
  <c r="N1192" i="50"/>
  <c r="N1164" i="50"/>
  <c r="N1178" i="50"/>
  <c r="N1152" i="50"/>
  <c r="N1206" i="50"/>
  <c r="AK1554" i="37"/>
  <c r="M1540" i="50"/>
  <c r="M1498" i="50"/>
  <c r="M1475" i="50"/>
  <c r="M1526" i="50"/>
  <c r="M1554" i="50"/>
  <c r="M1512" i="50"/>
  <c r="AK648" i="37"/>
  <c r="AK703" i="37"/>
  <c r="K1584" i="37"/>
  <c r="K1575" i="37"/>
  <c r="J1570" i="37"/>
  <c r="M1570" i="37"/>
  <c r="J1578" i="37"/>
  <c r="I1575" i="37"/>
  <c r="J1584" i="37"/>
  <c r="L1578" i="37"/>
  <c r="H1570" i="37"/>
  <c r="K1570" i="37"/>
  <c r="L1570" i="37"/>
  <c r="M1575" i="37"/>
  <c r="N1575" i="37"/>
  <c r="L1581" i="37"/>
  <c r="L1583" i="37" s="1"/>
  <c r="I1570" i="37"/>
  <c r="N1570" i="37"/>
  <c r="J1575" i="37"/>
  <c r="I1578" i="37"/>
  <c r="I1584" i="37" s="1"/>
  <c r="L1575" i="37"/>
  <c r="L1584" i="37"/>
  <c r="M1578" i="37"/>
  <c r="J1366" i="50"/>
  <c r="N1368" i="50"/>
  <c r="N1371" i="50" s="1"/>
  <c r="N1372" i="50" s="1"/>
  <c r="N1373" i="50" s="1"/>
  <c r="N1383" i="50"/>
  <c r="K1365" i="50"/>
  <c r="K1368" i="50"/>
  <c r="K1371" i="50" s="1"/>
  <c r="K1372" i="50" s="1"/>
  <c r="K1373" i="50" s="1"/>
  <c r="N1365" i="50"/>
  <c r="L1383" i="50"/>
  <c r="K1384" i="50"/>
  <c r="K1385" i="50" s="1"/>
  <c r="K1386" i="50" s="1"/>
  <c r="K1387" i="50" s="1"/>
  <c r="J1383" i="50"/>
  <c r="J1365" i="50"/>
  <c r="L1382" i="50"/>
  <c r="K1382" i="50"/>
  <c r="J1367" i="50"/>
  <c r="N1367" i="50"/>
  <c r="K1381" i="50"/>
  <c r="L1384" i="50"/>
  <c r="L1385" i="50" s="1"/>
  <c r="L1386" i="50" s="1"/>
  <c r="L1387" i="50" s="1"/>
  <c r="L1367" i="50"/>
  <c r="M1382" i="50"/>
  <c r="K1383" i="50"/>
  <c r="L1381" i="50"/>
  <c r="L1368" i="50"/>
  <c r="L1371" i="50" s="1"/>
  <c r="L1372" i="50" s="1"/>
  <c r="L1373" i="50" s="1"/>
  <c r="M1381" i="50"/>
  <c r="M1366" i="50"/>
  <c r="K1367" i="50"/>
  <c r="J1384" i="50"/>
  <c r="J1385" i="50" s="1"/>
  <c r="J1386" i="50" s="1"/>
  <c r="J1387" i="50" s="1"/>
  <c r="M1368" i="50"/>
  <c r="M1371" i="50" s="1"/>
  <c r="M1372" i="50" s="1"/>
  <c r="M1373" i="50" s="1"/>
  <c r="J1382" i="50"/>
  <c r="N1382" i="50"/>
  <c r="N1366" i="50"/>
  <c r="M1367" i="50"/>
  <c r="N1381" i="50"/>
  <c r="M1383" i="50"/>
  <c r="L1365" i="50"/>
  <c r="M1384" i="50"/>
  <c r="M1385" i="50" s="1"/>
  <c r="M1386" i="50" s="1"/>
  <c r="M1387" i="50" s="1"/>
  <c r="F1303" i="50"/>
  <c r="N1384" i="50"/>
  <c r="N1385" i="50" s="1"/>
  <c r="N1386" i="50" s="1"/>
  <c r="N1387" i="50" s="1"/>
  <c r="H1300" i="50"/>
  <c r="M1365" i="50"/>
  <c r="K1366" i="50"/>
  <c r="J1381" i="50"/>
  <c r="J1368" i="50"/>
  <c r="J1371" i="50" s="1"/>
  <c r="J1372" i="50" s="1"/>
  <c r="J1373" i="50" s="1"/>
  <c r="L1366" i="50"/>
  <c r="M1337" i="50"/>
  <c r="J1279" i="37"/>
  <c r="J1281" i="37" s="1"/>
  <c r="M1282" i="37"/>
  <c r="P683" i="50"/>
  <c r="P684" i="50" s="1"/>
  <c r="A685" i="50"/>
  <c r="K1397" i="50"/>
  <c r="K1355" i="50"/>
  <c r="N1490" i="50"/>
  <c r="N1478" i="50"/>
  <c r="N1501" i="50"/>
  <c r="N1518" i="50"/>
  <c r="N1560" i="50"/>
  <c r="N1543" i="50"/>
  <c r="L681" i="50"/>
  <c r="L658" i="50"/>
  <c r="L723" i="50"/>
  <c r="L740" i="50"/>
  <c r="L670" i="50"/>
  <c r="L698" i="50"/>
  <c r="K700" i="50"/>
  <c r="K672" i="50"/>
  <c r="K660" i="50"/>
  <c r="K742" i="50"/>
  <c r="K686" i="50"/>
  <c r="K714" i="50"/>
  <c r="M1160" i="50"/>
  <c r="M1227" i="50"/>
  <c r="M1171" i="50"/>
  <c r="M1213" i="50"/>
  <c r="M1148" i="50"/>
  <c r="M1199" i="50"/>
  <c r="K1276" i="37"/>
  <c r="X1880" i="37"/>
  <c r="L1878" i="37"/>
  <c r="L1799" i="50"/>
  <c r="N1311" i="50"/>
  <c r="A1680" i="50"/>
  <c r="P1678" i="50"/>
  <c r="P1679" i="50" s="1"/>
  <c r="V367" i="37"/>
  <c r="V555" i="37"/>
  <c r="J555" i="37" s="1"/>
  <c r="J337" i="37"/>
  <c r="V392" i="37"/>
  <c r="J392" i="37" s="1"/>
  <c r="Q262" i="41"/>
  <c r="E308" i="41"/>
  <c r="E356" i="50"/>
  <c r="L1561" i="50"/>
  <c r="L1519" i="50"/>
  <c r="L1544" i="50"/>
  <c r="L1533" i="50"/>
  <c r="L1479" i="50"/>
  <c r="L1491" i="50"/>
  <c r="K726" i="50"/>
  <c r="J709" i="50"/>
  <c r="N711" i="50"/>
  <c r="F647" i="50"/>
  <c r="M710" i="50"/>
  <c r="J710" i="50"/>
  <c r="L727" i="50"/>
  <c r="M712" i="50"/>
  <c r="M715" i="50" s="1"/>
  <c r="M716" i="50" s="1"/>
  <c r="M717" i="50" s="1"/>
  <c r="M726" i="50"/>
  <c r="L725" i="50"/>
  <c r="M725" i="50"/>
  <c r="L709" i="50"/>
  <c r="K711" i="50"/>
  <c r="N727" i="50"/>
  <c r="N712" i="50"/>
  <c r="N715" i="50" s="1"/>
  <c r="N716" i="50" s="1"/>
  <c r="N717" i="50" s="1"/>
  <c r="H644" i="50"/>
  <c r="J728" i="50"/>
  <c r="J729" i="50" s="1"/>
  <c r="J730" i="50" s="1"/>
  <c r="J731" i="50" s="1"/>
  <c r="N709" i="50"/>
  <c r="M727" i="50"/>
  <c r="K710" i="50"/>
  <c r="M711" i="50"/>
  <c r="J725" i="50"/>
  <c r="K727" i="50"/>
  <c r="L712" i="50"/>
  <c r="L715" i="50" s="1"/>
  <c r="L716" i="50" s="1"/>
  <c r="L717" i="50" s="1"/>
  <c r="N728" i="50"/>
  <c r="N729" i="50" s="1"/>
  <c r="N730" i="50" s="1"/>
  <c r="N731" i="50" s="1"/>
  <c r="N725" i="50"/>
  <c r="L726" i="50"/>
  <c r="M709" i="50"/>
  <c r="N710" i="50"/>
  <c r="L728" i="50"/>
  <c r="L729" i="50" s="1"/>
  <c r="L730" i="50" s="1"/>
  <c r="L731" i="50" s="1"/>
  <c r="J711" i="50"/>
  <c r="K712" i="50"/>
  <c r="K715" i="50" s="1"/>
  <c r="K716" i="50" s="1"/>
  <c r="K717" i="50" s="1"/>
  <c r="K725" i="50"/>
  <c r="L710" i="50"/>
  <c r="M728" i="50"/>
  <c r="M729" i="50" s="1"/>
  <c r="M730" i="50" s="1"/>
  <c r="M731" i="50" s="1"/>
  <c r="N726" i="50"/>
  <c r="J727" i="50"/>
  <c r="L711" i="50"/>
  <c r="K728" i="50"/>
  <c r="K729" i="50" s="1"/>
  <c r="K730" i="50" s="1"/>
  <c r="K731" i="50" s="1"/>
  <c r="K709" i="50"/>
  <c r="J712" i="50"/>
  <c r="J715" i="50" s="1"/>
  <c r="J716" i="50" s="1"/>
  <c r="J717" i="50" s="1"/>
  <c r="J726" i="50"/>
  <c r="L1160" i="50"/>
  <c r="L1171" i="50"/>
  <c r="L1213" i="50"/>
  <c r="L1227" i="50"/>
  <c r="L1148" i="50"/>
  <c r="L1199" i="50"/>
  <c r="L1161" i="50"/>
  <c r="L1189" i="50"/>
  <c r="L1214" i="50"/>
  <c r="L1200" i="50"/>
  <c r="L1149" i="50"/>
  <c r="L1172" i="50"/>
  <c r="L1324" i="50"/>
  <c r="L1391" i="50"/>
  <c r="N1581" i="37"/>
  <c r="N1583" i="37" s="1"/>
  <c r="AK1772" i="37"/>
  <c r="E360" i="50"/>
  <c r="Q266" i="41"/>
  <c r="E312" i="41"/>
  <c r="N1517" i="50"/>
  <c r="N1542" i="50"/>
  <c r="N1489" i="50"/>
  <c r="N1477" i="50"/>
  <c r="N1528" i="50"/>
  <c r="N1500" i="50"/>
  <c r="K1505" i="50"/>
  <c r="M1505" i="50"/>
  <c r="K1509" i="50"/>
  <c r="L1509" i="50"/>
  <c r="M1509" i="50"/>
  <c r="J1508" i="50"/>
  <c r="J1505" i="50"/>
  <c r="J1509" i="50"/>
  <c r="N1505" i="50"/>
  <c r="J1507" i="50"/>
  <c r="S1574" i="50"/>
  <c r="L1507" i="50"/>
  <c r="N1509" i="50"/>
  <c r="M1508" i="50"/>
  <c r="L1508" i="50"/>
  <c r="M1507" i="50"/>
  <c r="N1507" i="50"/>
  <c r="K1508" i="50"/>
  <c r="K1507" i="50"/>
  <c r="L1505" i="50"/>
  <c r="N1508" i="50"/>
  <c r="X694" i="37"/>
  <c r="L694" i="37" s="1"/>
  <c r="X669" i="37"/>
  <c r="L639" i="37"/>
  <c r="X857" i="37"/>
  <c r="L857" i="37" s="1"/>
  <c r="Y669" i="37"/>
  <c r="Y694" i="37"/>
  <c r="M694" i="37" s="1"/>
  <c r="M639" i="37"/>
  <c r="Y857" i="37"/>
  <c r="M857" i="37" s="1"/>
  <c r="M675" i="37"/>
  <c r="M677" i="37" s="1"/>
  <c r="H664" i="37"/>
  <c r="I664" i="37"/>
  <c r="N664" i="37"/>
  <c r="L669" i="37"/>
  <c r="I672" i="37"/>
  <c r="I678" i="37" s="1"/>
  <c r="J664" i="37"/>
  <c r="I669" i="37"/>
  <c r="J669" i="37"/>
  <c r="M669" i="37"/>
  <c r="K664" i="37"/>
  <c r="K669" i="37"/>
  <c r="N669" i="37"/>
  <c r="L664" i="37"/>
  <c r="M664" i="37"/>
  <c r="L672" i="37"/>
  <c r="N672" i="37"/>
  <c r="K675" i="37"/>
  <c r="K677" i="37" s="1"/>
  <c r="N675" i="37"/>
  <c r="N677" i="37" s="1"/>
  <c r="J229" i="50"/>
  <c r="K229" i="50"/>
  <c r="H229" i="50"/>
  <c r="P229" i="50"/>
  <c r="N229" i="50"/>
  <c r="M229" i="50"/>
  <c r="I229" i="50"/>
  <c r="L229" i="50"/>
  <c r="R647" i="50"/>
  <c r="T647" i="50"/>
  <c r="V647" i="50"/>
  <c r="S647" i="50"/>
  <c r="AK1609" i="37"/>
  <c r="E311" i="41"/>
  <c r="E359" i="50"/>
  <c r="Q265" i="41"/>
  <c r="X1461" i="37"/>
  <c r="L1461" i="37" s="1"/>
  <c r="X1298" i="37"/>
  <c r="L1298" i="37" s="1"/>
  <c r="X1273" i="37"/>
  <c r="L1243" i="37"/>
  <c r="J1243" i="37"/>
  <c r="V1461" i="37"/>
  <c r="J1461" i="37" s="1"/>
  <c r="V1273" i="37"/>
  <c r="V1298" i="37"/>
  <c r="J1298" i="37" s="1"/>
  <c r="A1188" i="50"/>
  <c r="P1186" i="50"/>
  <c r="P1187" i="50" s="1"/>
  <c r="AF1532" i="37"/>
  <c r="AI1532" i="37"/>
  <c r="AD1532" i="37"/>
  <c r="AE1532" i="37"/>
  <c r="AH1532" i="37"/>
  <c r="AG1532" i="37"/>
  <c r="AC1532" i="37"/>
  <c r="AC1566" i="37"/>
  <c r="AK1566" i="37" s="1"/>
  <c r="AK1564" i="37"/>
  <c r="A1487" i="50"/>
  <c r="P1485" i="50"/>
  <c r="P1486" i="50" s="1"/>
  <c r="L1527" i="50"/>
  <c r="L1555" i="50"/>
  <c r="L1541" i="50"/>
  <c r="L1488" i="50"/>
  <c r="L1476" i="50"/>
  <c r="L1499" i="50"/>
  <c r="N1376" i="50"/>
  <c r="N1390" i="50"/>
  <c r="P1721" i="50"/>
  <c r="P1722" i="50" s="1"/>
  <c r="A1723" i="50"/>
  <c r="K679" i="50"/>
  <c r="K656" i="50"/>
  <c r="K721" i="50"/>
  <c r="K735" i="50"/>
  <c r="K668" i="50"/>
  <c r="K707" i="50"/>
  <c r="Q264" i="41"/>
  <c r="E310" i="41"/>
  <c r="E358" i="50"/>
  <c r="Y1575" i="37"/>
  <c r="Y1763" i="37"/>
  <c r="M1763" i="37" s="1"/>
  <c r="Y1600" i="37"/>
  <c r="M1600" i="37" s="1"/>
  <c r="M1545" i="37"/>
  <c r="L1492" i="50"/>
  <c r="L1520" i="50"/>
  <c r="L1562" i="50"/>
  <c r="L1506" i="50"/>
  <c r="L1534" i="50"/>
  <c r="L1480" i="50"/>
  <c r="K1324" i="50"/>
  <c r="K1312" i="50"/>
  <c r="K1335" i="50"/>
  <c r="K1377" i="50"/>
  <c r="K1363" i="50"/>
  <c r="K1391" i="50"/>
  <c r="N1362" i="50"/>
  <c r="Y1461" i="37"/>
  <c r="M1461" i="37" s="1"/>
  <c r="M1243" i="37"/>
  <c r="Y1298" i="37"/>
  <c r="M1298" i="37" s="1"/>
  <c r="Y1273" i="37"/>
  <c r="A1159" i="50"/>
  <c r="P1157" i="50"/>
  <c r="P1158" i="50" s="1"/>
  <c r="X1600" i="37"/>
  <c r="L1600" i="37" s="1"/>
  <c r="L1545" i="37"/>
  <c r="X1763" i="37"/>
  <c r="L1763" i="37" s="1"/>
  <c r="X1575" i="37"/>
  <c r="N1541" i="50"/>
  <c r="N1555" i="50"/>
  <c r="N1476" i="50"/>
  <c r="N1527" i="50"/>
  <c r="N1499" i="50"/>
  <c r="N1488" i="50"/>
  <c r="P1393" i="50"/>
  <c r="P1394" i="50" s="1"/>
  <c r="A1395" i="50"/>
  <c r="V617" i="37"/>
  <c r="AK627" i="37"/>
  <c r="N655" i="50"/>
  <c r="N692" i="50"/>
  <c r="N720" i="50"/>
  <c r="N678" i="50"/>
  <c r="N706" i="50"/>
  <c r="N734" i="50"/>
  <c r="M672" i="50"/>
  <c r="M700" i="50"/>
  <c r="M714" i="50"/>
  <c r="M742" i="50"/>
  <c r="M660" i="50"/>
  <c r="M686" i="50"/>
  <c r="P1321" i="50"/>
  <c r="P1322" i="50" s="1"/>
  <c r="A1323" i="50"/>
  <c r="Q309" i="41"/>
  <c r="W1878" i="37"/>
  <c r="M326" i="41"/>
  <c r="M413" i="50" s="1"/>
  <c r="M1314" i="50"/>
  <c r="K1491" i="50"/>
  <c r="K1561" i="50"/>
  <c r="K1396" i="50"/>
  <c r="K1519" i="50"/>
  <c r="L1312" i="50"/>
  <c r="M1581" i="37"/>
  <c r="M1583" i="37" s="1"/>
  <c r="J754" i="50"/>
  <c r="P1175" i="50"/>
  <c r="P1176" i="50" s="1"/>
  <c r="A1177" i="50"/>
  <c r="L1164" i="50"/>
  <c r="L1178" i="50"/>
  <c r="L1234" i="50"/>
  <c r="L1192" i="50"/>
  <c r="L1152" i="50"/>
  <c r="L1206" i="50"/>
  <c r="N1160" i="50"/>
  <c r="N1227" i="50"/>
  <c r="N1148" i="50"/>
  <c r="N1213" i="50"/>
  <c r="N1199" i="50"/>
  <c r="N1171" i="50"/>
  <c r="L1184" i="50"/>
  <c r="L1170" i="50"/>
  <c r="L1212" i="50"/>
  <c r="L1147" i="50"/>
  <c r="L1198" i="50"/>
  <c r="L1226" i="50"/>
  <c r="N1200" i="50"/>
  <c r="N1161" i="50"/>
  <c r="N1149" i="50"/>
  <c r="N1172" i="50"/>
  <c r="N1214" i="50"/>
  <c r="N1189" i="50"/>
  <c r="K1234" i="50"/>
  <c r="K1178" i="50"/>
  <c r="K1164" i="50"/>
  <c r="K1206" i="50"/>
  <c r="K1192" i="50"/>
  <c r="K1152" i="50"/>
  <c r="S1303" i="50"/>
  <c r="U1303" i="50"/>
  <c r="A1559" i="50"/>
  <c r="P1557" i="50"/>
  <c r="P1558" i="50" s="1"/>
  <c r="R1467" i="50"/>
  <c r="T1467" i="50"/>
  <c r="W857" i="37"/>
  <c r="K857" i="37" s="1"/>
  <c r="K639" i="37"/>
  <c r="W694" i="37"/>
  <c r="K694" i="37" s="1"/>
  <c r="W669" i="37"/>
  <c r="AK866" i="37"/>
  <c r="N338" i="37"/>
  <c r="Z339" i="37"/>
  <c r="N339" i="37"/>
  <c r="M1327" i="50"/>
  <c r="N905" i="50"/>
  <c r="L1369" i="50"/>
  <c r="M1397" i="50"/>
  <c r="M1849" i="37"/>
  <c r="X1849" i="37"/>
  <c r="N877" i="50"/>
  <c r="Y1849" i="37"/>
  <c r="Y368" i="37"/>
  <c r="M1380" i="50"/>
  <c r="Y1850" i="37"/>
  <c r="M368" i="37"/>
  <c r="W2066" i="37"/>
  <c r="X1850" i="37"/>
  <c r="K1849" i="37"/>
  <c r="W1848" i="37"/>
  <c r="M1315" i="50"/>
  <c r="K393" i="37"/>
  <c r="L1848" i="37"/>
  <c r="X1848" i="37"/>
  <c r="W1849" i="37"/>
  <c r="M1848" i="37"/>
  <c r="W368" i="37"/>
  <c r="M557" i="37"/>
  <c r="M1355" i="50"/>
  <c r="L1397" i="50"/>
  <c r="Y556" i="37"/>
  <c r="E397" i="50"/>
  <c r="J1799" i="50"/>
  <c r="Y558" i="37"/>
  <c r="L857" i="50"/>
  <c r="L1327" i="50"/>
  <c r="L1315" i="50"/>
  <c r="L1355" i="50"/>
  <c r="K816" i="50"/>
  <c r="L815" i="50"/>
  <c r="N888" i="50"/>
  <c r="N823" i="50"/>
  <c r="L368" i="37"/>
  <c r="K1052" i="50"/>
  <c r="J369" i="37"/>
  <c r="L835" i="50"/>
  <c r="AK376" i="37"/>
  <c r="K987" i="50"/>
  <c r="K1027" i="50"/>
  <c r="J368" i="37"/>
  <c r="V368" i="37"/>
  <c r="X368" i="37"/>
  <c r="L905" i="50"/>
  <c r="K857" i="50"/>
  <c r="L863" i="50"/>
  <c r="M815" i="50"/>
  <c r="L888" i="50"/>
  <c r="L877" i="50"/>
  <c r="L1963" i="50"/>
  <c r="L2005" i="50"/>
  <c r="L1964" i="50"/>
  <c r="L1992" i="50"/>
  <c r="L1981" i="50"/>
  <c r="L2009" i="50"/>
  <c r="L2034" i="50"/>
  <c r="L1969" i="50"/>
  <c r="L2020" i="50"/>
  <c r="L2053" i="50"/>
  <c r="L1983" i="50"/>
  <c r="L2011" i="50"/>
  <c r="L2025" i="50"/>
  <c r="L2036" i="50"/>
  <c r="L1971" i="50"/>
  <c r="N1980" i="50"/>
  <c r="N2047" i="50"/>
  <c r="N2033" i="50"/>
  <c r="N2019" i="50"/>
  <c r="N1991" i="50"/>
  <c r="N1968" i="50"/>
  <c r="L1984" i="50"/>
  <c r="L2054" i="50"/>
  <c r="L1972" i="50"/>
  <c r="L1998" i="50"/>
  <c r="L2012" i="50"/>
  <c r="L2026" i="50"/>
  <c r="P2049" i="50"/>
  <c r="P2050" i="50" s="1"/>
  <c r="A2051" i="50"/>
  <c r="K2012" i="50"/>
  <c r="K1998" i="50"/>
  <c r="K1972" i="50"/>
  <c r="K2054" i="50"/>
  <c r="K2026" i="50"/>
  <c r="K1984" i="50"/>
  <c r="L1991" i="50"/>
  <c r="L1980" i="50"/>
  <c r="L1968" i="50"/>
  <c r="L2033" i="50"/>
  <c r="L2047" i="50"/>
  <c r="L2019" i="50"/>
  <c r="M2047" i="50"/>
  <c r="M2019" i="50"/>
  <c r="M1991" i="50"/>
  <c r="M1968" i="50"/>
  <c r="M1980" i="50"/>
  <c r="M2033" i="50"/>
  <c r="M1993" i="50"/>
  <c r="M2010" i="50"/>
  <c r="M1982" i="50"/>
  <c r="M2035" i="50"/>
  <c r="M2052" i="50"/>
  <c r="M1970" i="50"/>
  <c r="K2025" i="50"/>
  <c r="K2036" i="50"/>
  <c r="N2034" i="50"/>
  <c r="N2020" i="50"/>
  <c r="N1992" i="50"/>
  <c r="N2009" i="50"/>
  <c r="N1981" i="50"/>
  <c r="N1969" i="50"/>
  <c r="L1967" i="50"/>
  <c r="L2018" i="50"/>
  <c r="L2046" i="50"/>
  <c r="L2004" i="50"/>
  <c r="L1990" i="50"/>
  <c r="L2032" i="50"/>
  <c r="A1997" i="50"/>
  <c r="P1995" i="50"/>
  <c r="P1996" i="50" s="1"/>
  <c r="A2008" i="50"/>
  <c r="P2006" i="50"/>
  <c r="P2007" i="50" s="1"/>
  <c r="M2001" i="50"/>
  <c r="J2001" i="50"/>
  <c r="N2001" i="50"/>
  <c r="K2001" i="50"/>
  <c r="L1997" i="50"/>
  <c r="L2066" i="50"/>
  <c r="N1997" i="50"/>
  <c r="L1999" i="50"/>
  <c r="M2000" i="50"/>
  <c r="M1997" i="50"/>
  <c r="M1999" i="50"/>
  <c r="K2000" i="50"/>
  <c r="N1999" i="50"/>
  <c r="J2000" i="50"/>
  <c r="N2000" i="50"/>
  <c r="L2001" i="50"/>
  <c r="J1999" i="50"/>
  <c r="J1997" i="50"/>
  <c r="K1997" i="50"/>
  <c r="K1999" i="50"/>
  <c r="L2000" i="50"/>
  <c r="S2066" i="50"/>
  <c r="M2026" i="50"/>
  <c r="M1984" i="50"/>
  <c r="M2012" i="50"/>
  <c r="M1972" i="50"/>
  <c r="M1998" i="50"/>
  <c r="M2054" i="50"/>
  <c r="M2032" i="50"/>
  <c r="M2018" i="50"/>
  <c r="M2046" i="50"/>
  <c r="M2004" i="50"/>
  <c r="M1990" i="50"/>
  <c r="M1967" i="50"/>
  <c r="U1959" i="50"/>
  <c r="S1959" i="50"/>
  <c r="V1959" i="50"/>
  <c r="R1959" i="50"/>
  <c r="K2046" i="50"/>
  <c r="K2018" i="50"/>
  <c r="K2032" i="50"/>
  <c r="K1990" i="50"/>
  <c r="K2004" i="50"/>
  <c r="K1967" i="50"/>
  <c r="K2040" i="50"/>
  <c r="K2041" i="50" s="1"/>
  <c r="K2042" i="50" s="1"/>
  <c r="K2043" i="50" s="1"/>
  <c r="L2021" i="50"/>
  <c r="F1959" i="50"/>
  <c r="N2021" i="50"/>
  <c r="J2038" i="50"/>
  <c r="K2037" i="50"/>
  <c r="N2024" i="50"/>
  <c r="N2027" i="50" s="1"/>
  <c r="N2028" i="50" s="1"/>
  <c r="N2029" i="50" s="1"/>
  <c r="L2024" i="50"/>
  <c r="L2027" i="50" s="1"/>
  <c r="L2028" i="50" s="1"/>
  <c r="L2029" i="50" s="1"/>
  <c r="J2040" i="50"/>
  <c r="J2041" i="50" s="1"/>
  <c r="J2042" i="50" s="1"/>
  <c r="J2043" i="50" s="1"/>
  <c r="J2037" i="50"/>
  <c r="N2040" i="50"/>
  <c r="N2041" i="50" s="1"/>
  <c r="N2042" i="50" s="1"/>
  <c r="N2043" i="50" s="1"/>
  <c r="K2038" i="50"/>
  <c r="M2037" i="50"/>
  <c r="M2023" i="50"/>
  <c r="K2024" i="50"/>
  <c r="K2027" i="50" s="1"/>
  <c r="K2028" i="50" s="1"/>
  <c r="K2029" i="50" s="1"/>
  <c r="J2024" i="50"/>
  <c r="J2027" i="50" s="1"/>
  <c r="J2028" i="50" s="1"/>
  <c r="J2029" i="50" s="1"/>
  <c r="K2023" i="50"/>
  <c r="J2039" i="50"/>
  <c r="L2039" i="50"/>
  <c r="K2022" i="50"/>
  <c r="L2037" i="50"/>
  <c r="J2022" i="50"/>
  <c r="L2023" i="50"/>
  <c r="N2022" i="50"/>
  <c r="N2037" i="50"/>
  <c r="M2040" i="50"/>
  <c r="M2041" i="50" s="1"/>
  <c r="M2042" i="50" s="1"/>
  <c r="M2043" i="50" s="1"/>
  <c r="L2038" i="50"/>
  <c r="N2038" i="50"/>
  <c r="J2023" i="50"/>
  <c r="N2023" i="50"/>
  <c r="J2021" i="50"/>
  <c r="K2039" i="50"/>
  <c r="H1956" i="50"/>
  <c r="M2024" i="50"/>
  <c r="M2027" i="50" s="1"/>
  <c r="M2028" i="50" s="1"/>
  <c r="M2029" i="50" s="1"/>
  <c r="M2039" i="50"/>
  <c r="L2040" i="50"/>
  <c r="L2041" i="50" s="1"/>
  <c r="L2042" i="50" s="1"/>
  <c r="L2043" i="50" s="1"/>
  <c r="M2022" i="50"/>
  <c r="L2022" i="50"/>
  <c r="M2021" i="50"/>
  <c r="M2038" i="50"/>
  <c r="N2039" i="50"/>
  <c r="K2021" i="50"/>
  <c r="M1981" i="50"/>
  <c r="M2009" i="50"/>
  <c r="M2034" i="50"/>
  <c r="M2020" i="50"/>
  <c r="M1992" i="50"/>
  <c r="M1969" i="50"/>
  <c r="N2011" i="50"/>
  <c r="N2053" i="50"/>
  <c r="N1971" i="50"/>
  <c r="N1983" i="50"/>
  <c r="N2025" i="50"/>
  <c r="N2036" i="50"/>
  <c r="A1979" i="50"/>
  <c r="P1977" i="50"/>
  <c r="P1978" i="50" s="1"/>
  <c r="K2010" i="50"/>
  <c r="K1982" i="50"/>
  <c r="K1970" i="50"/>
  <c r="K2035" i="50"/>
  <c r="K2052" i="50"/>
  <c r="K1993" i="50"/>
  <c r="K1968" i="50"/>
  <c r="K2019" i="50"/>
  <c r="K2047" i="50"/>
  <c r="K1991" i="50"/>
  <c r="K2033" i="50"/>
  <c r="K1980" i="50"/>
  <c r="N2052" i="50"/>
  <c r="N2010" i="50"/>
  <c r="N1993" i="50"/>
  <c r="N1970" i="50"/>
  <c r="N1982" i="50"/>
  <c r="N2035" i="50"/>
  <c r="N2483" i="50"/>
  <c r="N2004" i="50"/>
  <c r="N1990" i="50"/>
  <c r="N1967" i="50"/>
  <c r="N2032" i="50"/>
  <c r="N2046" i="50"/>
  <c r="N2018" i="50"/>
  <c r="K2034" i="50"/>
  <c r="K1969" i="50"/>
  <c r="K2020" i="50"/>
  <c r="K1992" i="50"/>
  <c r="K2009" i="50"/>
  <c r="K1981" i="50"/>
  <c r="N2026" i="50"/>
  <c r="N2054" i="50"/>
  <c r="N2012" i="50"/>
  <c r="N1984" i="50"/>
  <c r="N1998" i="50"/>
  <c r="N1972" i="50"/>
  <c r="L1970" i="50"/>
  <c r="L1993" i="50"/>
  <c r="L2035" i="50"/>
  <c r="L1982" i="50"/>
  <c r="L2010" i="50"/>
  <c r="L2052" i="50"/>
  <c r="M905" i="50"/>
  <c r="M823" i="50"/>
  <c r="M835" i="50"/>
  <c r="M888" i="50"/>
  <c r="M877" i="50"/>
  <c r="M863" i="50"/>
  <c r="M857" i="50"/>
  <c r="N1655" i="50"/>
  <c r="N1643" i="50"/>
  <c r="N1708" i="50"/>
  <c r="N1697" i="50"/>
  <c r="N1725" i="50"/>
  <c r="N1683" i="50"/>
  <c r="M1683" i="50"/>
  <c r="M1643" i="50"/>
  <c r="M1725" i="50"/>
  <c r="M1655" i="50"/>
  <c r="M1708" i="50"/>
  <c r="M1697" i="50"/>
  <c r="H819" i="50"/>
  <c r="H828" i="50" s="1"/>
  <c r="H831" i="50"/>
  <c r="H842" i="50" s="1"/>
  <c r="H856" i="50" s="1"/>
  <c r="H870" i="50" s="1"/>
  <c r="H884" i="50" s="1"/>
  <c r="H898" i="50" s="1"/>
  <c r="H914" i="50" s="1"/>
  <c r="N808" i="50"/>
  <c r="H1651" i="50"/>
  <c r="H1662" i="50" s="1"/>
  <c r="H1676" i="50" s="1"/>
  <c r="H1690" i="50" s="1"/>
  <c r="H1704" i="50" s="1"/>
  <c r="H1718" i="50" s="1"/>
  <c r="H1734" i="50" s="1"/>
  <c r="H1639" i="50"/>
  <c r="H1648" i="50" s="1"/>
  <c r="N1628" i="50"/>
  <c r="N1807" i="50"/>
  <c r="N1872" i="50"/>
  <c r="N1861" i="50"/>
  <c r="N1847" i="50"/>
  <c r="N1889" i="50"/>
  <c r="N1819" i="50"/>
  <c r="M987" i="50"/>
  <c r="M1027" i="50"/>
  <c r="M1052" i="50"/>
  <c r="M1069" i="50"/>
  <c r="M999" i="50"/>
  <c r="M1041" i="50"/>
  <c r="N972" i="50"/>
  <c r="H995" i="50"/>
  <c r="H1006" i="50" s="1"/>
  <c r="H1020" i="50" s="1"/>
  <c r="H1034" i="50" s="1"/>
  <c r="H1048" i="50" s="1"/>
  <c r="H1062" i="50" s="1"/>
  <c r="H1078" i="50" s="1"/>
  <c r="H983" i="50"/>
  <c r="H992" i="50" s="1"/>
  <c r="L1819" i="50"/>
  <c r="L1861" i="50"/>
  <c r="L1807" i="50"/>
  <c r="L1889" i="50"/>
  <c r="L1847" i="50"/>
  <c r="L1872" i="50"/>
  <c r="M1819" i="50"/>
  <c r="M1861" i="50"/>
  <c r="M1807" i="50"/>
  <c r="M1889" i="50"/>
  <c r="M1872" i="50"/>
  <c r="M1847" i="50"/>
  <c r="N1792" i="50"/>
  <c r="H1815" i="50"/>
  <c r="H1826" i="50" s="1"/>
  <c r="H1840" i="50" s="1"/>
  <c r="H1854" i="50" s="1"/>
  <c r="H1868" i="50" s="1"/>
  <c r="H1882" i="50" s="1"/>
  <c r="H1898" i="50" s="1"/>
  <c r="H1803" i="50"/>
  <c r="H1812" i="50" s="1"/>
  <c r="J1478" i="50"/>
  <c r="J1476" i="50"/>
  <c r="J1477" i="50"/>
  <c r="J1479" i="50"/>
  <c r="J1475" i="50"/>
  <c r="J1480" i="50"/>
  <c r="V483" i="50"/>
  <c r="N488" i="50" s="1"/>
  <c r="U483" i="50"/>
  <c r="S483" i="50"/>
  <c r="K488" i="50" s="1"/>
  <c r="T483" i="50"/>
  <c r="L488" i="50" s="1"/>
  <c r="L627" i="50"/>
  <c r="AK323" i="37"/>
  <c r="M611" i="50"/>
  <c r="S591" i="50"/>
  <c r="J591" i="50"/>
  <c r="K522" i="50" s="1"/>
  <c r="N591" i="50"/>
  <c r="H627" i="50"/>
  <c r="N589" i="50"/>
  <c r="I480" i="50"/>
  <c r="M591" i="50"/>
  <c r="N578" i="50" s="1"/>
  <c r="K627" i="50"/>
  <c r="L589" i="50"/>
  <c r="M559" i="50" s="1"/>
  <c r="L591" i="50"/>
  <c r="M508" i="50" s="1"/>
  <c r="AK927" i="37"/>
  <c r="L617" i="50"/>
  <c r="H622" i="50"/>
  <c r="N608" i="50"/>
  <c r="J602" i="50"/>
  <c r="J605" i="50"/>
  <c r="I618" i="50"/>
  <c r="M625" i="50"/>
  <c r="J621" i="50"/>
  <c r="J611" i="50"/>
  <c r="H634" i="50"/>
  <c r="H599" i="50"/>
  <c r="L599" i="50"/>
  <c r="J488" i="50"/>
  <c r="L634" i="50"/>
  <c r="E634" i="50"/>
  <c r="K634" i="50"/>
  <c r="J634" i="50"/>
  <c r="I634" i="50"/>
  <c r="M634" i="50"/>
  <c r="I600" i="50"/>
  <c r="Z220" i="47"/>
  <c r="Y220" i="47"/>
  <c r="X220" i="47"/>
  <c r="AB174" i="47"/>
  <c r="W220" i="47"/>
  <c r="V220" i="47"/>
  <c r="M60" i="37"/>
  <c r="N60" i="37"/>
  <c r="L60" i="37"/>
  <c r="K60" i="37"/>
  <c r="I60" i="37"/>
  <c r="I65" i="37"/>
  <c r="H60" i="37"/>
  <c r="J60" i="37"/>
  <c r="J49" i="37"/>
  <c r="J603" i="50"/>
  <c r="I619" i="50"/>
  <c r="N605" i="50"/>
  <c r="N633" i="50"/>
  <c r="H633" i="50"/>
  <c r="I633" i="50"/>
  <c r="E633" i="50"/>
  <c r="M633" i="50"/>
  <c r="L633" i="50"/>
  <c r="J633" i="50"/>
  <c r="H608" i="50"/>
  <c r="L610" i="50"/>
  <c r="H610" i="50"/>
  <c r="K610" i="50"/>
  <c r="N610" i="50"/>
  <c r="I610" i="50"/>
  <c r="K608" i="50"/>
  <c r="L603" i="50"/>
  <c r="I616" i="50"/>
  <c r="J636" i="50"/>
  <c r="N636" i="50"/>
  <c r="M602" i="50"/>
  <c r="M604" i="50"/>
  <c r="N634" i="50"/>
  <c r="A521" i="50"/>
  <c r="P519" i="50"/>
  <c r="P520" i="50" s="1"/>
  <c r="N617" i="50"/>
  <c r="H620" i="50"/>
  <c r="L621" i="50"/>
  <c r="K621" i="50"/>
  <c r="L616" i="50"/>
  <c r="I636" i="50"/>
  <c r="M599" i="50"/>
  <c r="K625" i="50"/>
  <c r="K633" i="50"/>
  <c r="K599" i="50"/>
  <c r="J610" i="50"/>
  <c r="K602" i="50"/>
  <c r="M614" i="50"/>
  <c r="H613" i="50"/>
  <c r="I611" i="50"/>
  <c r="L630" i="50"/>
  <c r="H630" i="50"/>
  <c r="N630" i="50"/>
  <c r="J630" i="50"/>
  <c r="I630" i="50"/>
  <c r="M630" i="50"/>
  <c r="K630" i="50"/>
  <c r="K628" i="50"/>
  <c r="M610" i="50"/>
  <c r="H617" i="50"/>
  <c r="J607" i="50"/>
  <c r="L636" i="50"/>
  <c r="N2182" i="37"/>
  <c r="N2188" i="37"/>
  <c r="N624" i="50"/>
  <c r="N619" i="50"/>
  <c r="L608" i="50"/>
  <c r="M623" i="50"/>
  <c r="H623" i="50"/>
  <c r="L623" i="50"/>
  <c r="J623" i="50"/>
  <c r="K623" i="50"/>
  <c r="I623" i="50"/>
  <c r="N623" i="50"/>
  <c r="H625" i="50"/>
  <c r="M618" i="50"/>
  <c r="N618" i="50"/>
  <c r="M488" i="50"/>
  <c r="K603" i="50"/>
  <c r="K616" i="50"/>
  <c r="J616" i="50"/>
  <c r="K622" i="50"/>
  <c r="M608" i="50"/>
  <c r="J624" i="50"/>
  <c r="H607" i="50"/>
  <c r="I607" i="50"/>
  <c r="K636" i="50"/>
  <c r="J617" i="50"/>
  <c r="K604" i="50"/>
  <c r="I604" i="50"/>
  <c r="J604" i="50"/>
  <c r="N604" i="50"/>
  <c r="L604" i="50"/>
  <c r="H604" i="50"/>
  <c r="I620" i="50"/>
  <c r="V13" i="37"/>
  <c r="J23" i="37" s="1"/>
  <c r="J483" i="50" s="1"/>
  <c r="M600" i="50"/>
  <c r="N599" i="50"/>
  <c r="K614" i="50"/>
  <c r="N637" i="50"/>
  <c r="J625" i="50"/>
  <c r="N625" i="50"/>
  <c r="N614" i="50"/>
  <c r="M603" i="50"/>
  <c r="M619" i="50"/>
  <c r="L614" i="50"/>
  <c r="K605" i="50"/>
  <c r="H603" i="50"/>
  <c r="N600" i="50"/>
  <c r="J637" i="50"/>
  <c r="N611" i="50"/>
  <c r="L637" i="50"/>
  <c r="L611" i="50"/>
  <c r="N621" i="50"/>
  <c r="K607" i="50"/>
  <c r="M627" i="50"/>
  <c r="A532" i="50"/>
  <c r="P530" i="50"/>
  <c r="K637" i="50"/>
  <c r="K611" i="50"/>
  <c r="N607" i="50"/>
  <c r="J627" i="50"/>
  <c r="H611" i="50"/>
  <c r="N603" i="50"/>
  <c r="J620" i="50"/>
  <c r="I621" i="50"/>
  <c r="M622" i="50"/>
  <c r="N602" i="50"/>
  <c r="N628" i="50"/>
  <c r="I602" i="50"/>
  <c r="M607" i="50"/>
  <c r="H605" i="50"/>
  <c r="M637" i="50"/>
  <c r="I627" i="50"/>
  <c r="L625" i="50"/>
  <c r="M616" i="50"/>
  <c r="J613" i="50"/>
  <c r="J622" i="50"/>
  <c r="J608" i="50"/>
  <c r="I617" i="50"/>
  <c r="L613" i="50"/>
  <c r="J614" i="50"/>
  <c r="E307" i="41"/>
  <c r="Q261" i="41"/>
  <c r="E355" i="50"/>
  <c r="H637" i="50"/>
  <c r="I622" i="50"/>
  <c r="K620" i="50"/>
  <c r="I613" i="50"/>
  <c r="K618" i="50"/>
  <c r="I603" i="50"/>
  <c r="I605" i="50"/>
  <c r="L600" i="50"/>
  <c r="E637" i="50"/>
  <c r="J619" i="50"/>
  <c r="M617" i="50"/>
  <c r="I625" i="50"/>
  <c r="H618" i="50"/>
  <c r="K548" i="50"/>
  <c r="K551" i="50" s="1"/>
  <c r="K552" i="50" s="1"/>
  <c r="K553" i="50" s="1"/>
  <c r="J548" i="50"/>
  <c r="J551" i="50" s="1"/>
  <c r="J552" i="50" s="1"/>
  <c r="J553" i="50" s="1"/>
  <c r="N548" i="50"/>
  <c r="N551" i="50" s="1"/>
  <c r="N552" i="50" s="1"/>
  <c r="N553" i="50" s="1"/>
  <c r="N545" i="50"/>
  <c r="M561" i="50"/>
  <c r="F483" i="50"/>
  <c r="M547" i="50"/>
  <c r="N562" i="50"/>
  <c r="M546" i="50"/>
  <c r="L563" i="50"/>
  <c r="L545" i="50"/>
  <c r="K561" i="50"/>
  <c r="L561" i="50"/>
  <c r="L564" i="50"/>
  <c r="L565" i="50" s="1"/>
  <c r="L566" i="50" s="1"/>
  <c r="L567" i="50" s="1"/>
  <c r="K546" i="50"/>
  <c r="M545" i="50"/>
  <c r="J564" i="50"/>
  <c r="J565" i="50" s="1"/>
  <c r="J566" i="50" s="1"/>
  <c r="J567" i="50" s="1"/>
  <c r="J546" i="50"/>
  <c r="K564" i="50"/>
  <c r="K565" i="50" s="1"/>
  <c r="K566" i="50" s="1"/>
  <c r="K567" i="50" s="1"/>
  <c r="L562" i="50"/>
  <c r="K547" i="50"/>
  <c r="K563" i="50"/>
  <c r="N547" i="50"/>
  <c r="K545" i="50"/>
  <c r="H480" i="50"/>
  <c r="J562" i="50"/>
  <c r="K562" i="50"/>
  <c r="M564" i="50"/>
  <c r="M565" i="50" s="1"/>
  <c r="M566" i="50" s="1"/>
  <c r="M567" i="50" s="1"/>
  <c r="J563" i="50"/>
  <c r="L547" i="50"/>
  <c r="M562" i="50"/>
  <c r="L548" i="50"/>
  <c r="L551" i="50" s="1"/>
  <c r="L552" i="50" s="1"/>
  <c r="L553" i="50" s="1"/>
  <c r="J547" i="50"/>
  <c r="N561" i="50"/>
  <c r="J561" i="50"/>
  <c r="M548" i="50"/>
  <c r="M551" i="50" s="1"/>
  <c r="M552" i="50" s="1"/>
  <c r="M553" i="50" s="1"/>
  <c r="N563" i="50"/>
  <c r="L546" i="50"/>
  <c r="N546" i="50"/>
  <c r="M563" i="50"/>
  <c r="J545" i="50"/>
  <c r="N564" i="50"/>
  <c r="N565" i="50" s="1"/>
  <c r="N566" i="50" s="1"/>
  <c r="N567" i="50" s="1"/>
  <c r="L605" i="50"/>
  <c r="H624" i="50"/>
  <c r="M636" i="50"/>
  <c r="M620" i="50"/>
  <c r="M613" i="50"/>
  <c r="J589" i="50"/>
  <c r="L618" i="50"/>
  <c r="J618" i="50"/>
  <c r="P501" i="50"/>
  <c r="A503" i="50"/>
  <c r="M480" i="50"/>
  <c r="M628" i="50"/>
  <c r="L620" i="50"/>
  <c r="K617" i="50"/>
  <c r="K600" i="50"/>
  <c r="I614" i="50"/>
  <c r="I628" i="50"/>
  <c r="K624" i="50"/>
  <c r="H628" i="50"/>
  <c r="E636" i="50"/>
  <c r="H619" i="50"/>
  <c r="H616" i="50"/>
  <c r="I591" i="50"/>
  <c r="L622" i="50"/>
  <c r="K591" i="50"/>
  <c r="P227" i="50"/>
  <c r="AI22" i="37"/>
  <c r="AD22" i="37"/>
  <c r="AE22" i="37"/>
  <c r="AH22" i="37"/>
  <c r="AF22" i="37"/>
  <c r="AC22" i="37"/>
  <c r="AG22" i="37"/>
  <c r="J22" i="37"/>
  <c r="H614" i="50"/>
  <c r="M621" i="50"/>
  <c r="L619" i="50"/>
  <c r="I624" i="50"/>
  <c r="I608" i="50"/>
  <c r="H602" i="50"/>
  <c r="L607" i="50"/>
  <c r="I637" i="50"/>
  <c r="N613" i="50"/>
  <c r="K613" i="50"/>
  <c r="L602" i="50"/>
  <c r="H636" i="50"/>
  <c r="A575" i="50"/>
  <c r="P573" i="50"/>
  <c r="H621" i="50"/>
  <c r="J600" i="50"/>
  <c r="H600" i="50"/>
  <c r="I599" i="50"/>
  <c r="N620" i="50"/>
  <c r="M624" i="50"/>
  <c r="J599" i="50"/>
  <c r="N622" i="50"/>
  <c r="J628" i="50"/>
  <c r="N616" i="50"/>
  <c r="K619" i="50"/>
  <c r="L624" i="50"/>
  <c r="M589" i="50"/>
  <c r="L628" i="50"/>
  <c r="K589" i="50"/>
  <c r="M605" i="50"/>
  <c r="V407" i="47"/>
  <c r="W407" i="47" s="1"/>
  <c r="X407" i="47" s="1"/>
  <c r="Y407" i="47" s="1"/>
  <c r="Z407" i="47" s="1"/>
  <c r="J406" i="47"/>
  <c r="W399" i="47"/>
  <c r="W401" i="47"/>
  <c r="K400" i="47"/>
  <c r="K399" i="47"/>
  <c r="M2435" i="50"/>
  <c r="M2436" i="50"/>
  <c r="D260" i="34"/>
  <c r="C261" i="34"/>
  <c r="O260" i="34"/>
  <c r="R260" i="34" s="1"/>
  <c r="W223" i="47"/>
  <c r="K222" i="47"/>
  <c r="W221" i="47"/>
  <c r="K221" i="47"/>
  <c r="Z223" i="47"/>
  <c r="N222" i="47"/>
  <c r="Z221" i="47"/>
  <c r="N221" i="47"/>
  <c r="M222" i="47"/>
  <c r="M221" i="47"/>
  <c r="Y221" i="47"/>
  <c r="Y223" i="47"/>
  <c r="N409" i="50"/>
  <c r="AK2213" i="37"/>
  <c r="AK2137" i="37"/>
  <c r="V2127" i="37"/>
  <c r="J2188" i="37"/>
  <c r="H2174" i="37"/>
  <c r="N2179" i="37"/>
  <c r="M2188" i="37"/>
  <c r="N2174" i="37"/>
  <c r="M2174" i="37"/>
  <c r="J2179" i="37"/>
  <c r="L2179" i="37"/>
  <c r="I2182" i="37"/>
  <c r="I2188" i="37" s="1"/>
  <c r="I2174" i="37"/>
  <c r="K2179" i="37"/>
  <c r="M2179" i="37"/>
  <c r="J2174" i="37"/>
  <c r="K2174" i="37"/>
  <c r="L2188" i="37"/>
  <c r="I2179" i="37"/>
  <c r="L2174" i="37"/>
  <c r="N326" i="41"/>
  <c r="N413" i="50" s="1"/>
  <c r="K325" i="41"/>
  <c r="K412" i="50" s="1"/>
  <c r="H2460" i="37"/>
  <c r="H2454" i="37"/>
  <c r="K2483" i="50"/>
  <c r="X399" i="47"/>
  <c r="X401" i="47"/>
  <c r="L400" i="47"/>
  <c r="L399" i="47"/>
  <c r="J2436" i="50"/>
  <c r="J2435" i="50"/>
  <c r="AC811" i="42"/>
  <c r="AL810" i="42"/>
  <c r="AC813" i="42"/>
  <c r="J222" i="47"/>
  <c r="V223" i="47"/>
  <c r="J223" i="47" s="1"/>
  <c r="V221" i="47"/>
  <c r="J221" i="47"/>
  <c r="L221" i="47"/>
  <c r="X221" i="47"/>
  <c r="X223" i="47"/>
  <c r="L222" i="47"/>
  <c r="L409" i="50"/>
  <c r="M2185" i="37"/>
  <c r="M2187" i="37" s="1"/>
  <c r="Z2179" i="37"/>
  <c r="Z2367" i="37"/>
  <c r="N2367" i="37" s="1"/>
  <c r="N2149" i="37"/>
  <c r="Z2204" i="37"/>
  <c r="N2204" i="37" s="1"/>
  <c r="AH2136" i="37"/>
  <c r="AI2136" i="37"/>
  <c r="AE2136" i="37"/>
  <c r="AD2136" i="37"/>
  <c r="AF2136" i="37"/>
  <c r="AC2136" i="37"/>
  <c r="AG2136" i="37"/>
  <c r="J2185" i="37"/>
  <c r="J2187" i="37" s="1"/>
  <c r="K2149" i="37"/>
  <c r="W2367" i="37"/>
  <c r="K2367" i="37" s="1"/>
  <c r="W2179" i="37"/>
  <c r="W2204" i="37"/>
  <c r="K2204" i="37" s="1"/>
  <c r="N2185" i="37"/>
  <c r="N2187" i="37" s="1"/>
  <c r="AK2376" i="37"/>
  <c r="J2484" i="50"/>
  <c r="L2493" i="50"/>
  <c r="M2478" i="50" s="1"/>
  <c r="L324" i="41"/>
  <c r="L411" i="50" s="1"/>
  <c r="J324" i="41"/>
  <c r="J411" i="50" s="1"/>
  <c r="M2484" i="50"/>
  <c r="AI2470" i="37"/>
  <c r="AI2472" i="37" s="1"/>
  <c r="AC2470" i="37"/>
  <c r="AG2470" i="37"/>
  <c r="AG2472" i="37" s="1"/>
  <c r="AH2470" i="37"/>
  <c r="AH2472" i="37" s="1"/>
  <c r="AE2470" i="37"/>
  <c r="AE2472" i="37" s="1"/>
  <c r="AF2470" i="37"/>
  <c r="AF2472" i="37" s="1"/>
  <c r="J2438" i="37"/>
  <c r="J2678" i="37"/>
  <c r="M2460" i="37"/>
  <c r="Q2509" i="37"/>
  <c r="Q2507" i="37" s="1"/>
  <c r="N2512" i="37"/>
  <c r="N2514" i="37" s="1"/>
  <c r="K2438" i="37"/>
  <c r="L2509" i="37"/>
  <c r="K2509" i="37"/>
  <c r="S2697" i="37"/>
  <c r="R2472" i="37"/>
  <c r="Q2500" i="37"/>
  <c r="J2512" i="37"/>
  <c r="J2514" i="37" s="1"/>
  <c r="J2439" i="37"/>
  <c r="K2460" i="37"/>
  <c r="Q2672" i="37"/>
  <c r="Q2670" i="37" s="1"/>
  <c r="J2672" i="37"/>
  <c r="N2454" i="37"/>
  <c r="M2675" i="37"/>
  <c r="M2677" i="37" s="1"/>
  <c r="Q2675" i="37"/>
  <c r="N2675" i="37"/>
  <c r="N2677" i="37" s="1"/>
  <c r="N2672" i="37"/>
  <c r="J2457" i="37"/>
  <c r="J2459" i="37" s="1"/>
  <c r="S2631" i="37"/>
  <c r="Q2722" i="37"/>
  <c r="I2509" i="37"/>
  <c r="I2515" i="37" s="1"/>
  <c r="V2451" i="37"/>
  <c r="M2678" i="37"/>
  <c r="Q2644" i="37"/>
  <c r="K2675" i="37"/>
  <c r="K2677" i="37" s="1"/>
  <c r="Q2457" i="37"/>
  <c r="Y2451" i="37"/>
  <c r="Q2506" i="37"/>
  <c r="I2506" i="37" s="1"/>
  <c r="N2460" i="37"/>
  <c r="L2438" i="37"/>
  <c r="T2429" i="37"/>
  <c r="M2471" i="37"/>
  <c r="M2438" i="37"/>
  <c r="H2438" i="37"/>
  <c r="Q2696" i="37"/>
  <c r="Q2459" i="37"/>
  <c r="AG2635" i="37"/>
  <c r="AD2637" i="37" s="1"/>
  <c r="AD2646" i="37" s="1"/>
  <c r="AD2655" i="37" s="1"/>
  <c r="AD2681" i="37" s="1"/>
  <c r="AD2690" i="37" s="1"/>
  <c r="N2457" i="37"/>
  <c r="N2459" i="37" s="1"/>
  <c r="S2687" i="37"/>
  <c r="Q2643" i="37"/>
  <c r="Q2688" i="37"/>
  <c r="Q2476" i="37"/>
  <c r="M2457" i="37"/>
  <c r="M2459" i="37" s="1"/>
  <c r="M2454" i="37"/>
  <c r="J2454" i="37"/>
  <c r="S2623" i="37"/>
  <c r="Q2623" i="37"/>
  <c r="L2678" i="37"/>
  <c r="K2672" i="37"/>
  <c r="M2439" i="37"/>
  <c r="S2688" i="37"/>
  <c r="Q2718" i="37"/>
  <c r="L2471" i="37"/>
  <c r="H2471" i="37"/>
  <c r="J2460" i="37"/>
  <c r="E2564" i="37"/>
  <c r="Q2490" i="37"/>
  <c r="L2672" i="37"/>
  <c r="Q2613" i="37"/>
  <c r="J2493" i="37"/>
  <c r="Q2631" i="37"/>
  <c r="L2675" i="37"/>
  <c r="L2677" i="37" s="1"/>
  <c r="Q2512" i="37"/>
  <c r="S2564" i="37"/>
  <c r="Z2451" i="37"/>
  <c r="K2439" i="37"/>
  <c r="Q2481" i="37"/>
  <c r="Q2662" i="37"/>
  <c r="Q2591" i="37"/>
  <c r="Q2515" i="37"/>
  <c r="S2472" i="37"/>
  <c r="AG2582" i="37"/>
  <c r="AD2584" i="37" s="1"/>
  <c r="AD2596" i="37" s="1"/>
  <c r="Q2717" i="37"/>
  <c r="K2454" i="37"/>
  <c r="Q2572" i="37"/>
  <c r="Q2460" i="37"/>
  <c r="Q2652" i="37"/>
  <c r="Q2678" i="37"/>
  <c r="K2515" i="37"/>
  <c r="M2512" i="37"/>
  <c r="M2514" i="37" s="1"/>
  <c r="I2454" i="37"/>
  <c r="I2460" i="37" s="1"/>
  <c r="L2512" i="37"/>
  <c r="L2514" i="37" s="1"/>
  <c r="Q2484" i="37"/>
  <c r="Q2482" i="37" s="1"/>
  <c r="M2515" i="37"/>
  <c r="Q2626" i="37"/>
  <c r="Q2653" i="37"/>
  <c r="K2457" i="37"/>
  <c r="K2459" i="37" s="1"/>
  <c r="Q2622" i="37"/>
  <c r="AG2714" i="37"/>
  <c r="I2471" i="37"/>
  <c r="Q2663" i="37"/>
  <c r="I2438" i="37"/>
  <c r="J2471" i="37"/>
  <c r="H2439" i="37"/>
  <c r="L2460" i="37"/>
  <c r="S2591" i="37"/>
  <c r="S2603" i="37"/>
  <c r="Q2630" i="37"/>
  <c r="N2515" i="37"/>
  <c r="Q2669" i="37"/>
  <c r="I2669" i="37" s="1"/>
  <c r="Q2564" i="37"/>
  <c r="Q2438" i="37"/>
  <c r="N2439" i="37"/>
  <c r="Q2721" i="37"/>
  <c r="Q2687" i="37"/>
  <c r="Q2709" i="37"/>
  <c r="E2709" i="37"/>
  <c r="H2441" i="37"/>
  <c r="Q2487" i="37"/>
  <c r="X2429" i="37"/>
  <c r="Z2429" i="37" s="1"/>
  <c r="K2512" i="37"/>
  <c r="K2514" i="37" s="1"/>
  <c r="M2672" i="37"/>
  <c r="Q2665" i="37"/>
  <c r="L2457" i="37"/>
  <c r="L2459" i="37" s="1"/>
  <c r="Q2697" i="37"/>
  <c r="Q2454" i="37"/>
  <c r="Q2452" i="37" s="1"/>
  <c r="S2630" i="37"/>
  <c r="N2509" i="37"/>
  <c r="L2515" i="37"/>
  <c r="J2465" i="37"/>
  <c r="J2675" i="37"/>
  <c r="J2677" i="37" s="1"/>
  <c r="T2465" i="37"/>
  <c r="N2484" i="37" s="1"/>
  <c r="Q2439" i="37"/>
  <c r="J2515" i="37"/>
  <c r="N2678" i="37"/>
  <c r="Q2451" i="37"/>
  <c r="R2441" i="37"/>
  <c r="L2439" i="37"/>
  <c r="E2437" i="37"/>
  <c r="K2471" i="37"/>
  <c r="I2439" i="37"/>
  <c r="AD2470" i="37"/>
  <c r="AD2472" i="37" s="1"/>
  <c r="I2544" i="37"/>
  <c r="N2438" i="37"/>
  <c r="I2672" i="37"/>
  <c r="I2678" i="37" s="1"/>
  <c r="AL2429" i="37"/>
  <c r="L2454" i="37"/>
  <c r="K2678" i="37"/>
  <c r="J2509" i="37"/>
  <c r="S2622" i="37"/>
  <c r="Q2703" i="37"/>
  <c r="W2451" i="37"/>
  <c r="Q2573" i="37"/>
  <c r="Q2627" i="37"/>
  <c r="S2613" i="37"/>
  <c r="M2509" i="37"/>
  <c r="S2703" i="37"/>
  <c r="Q2603" i="37"/>
  <c r="N2471" i="37"/>
  <c r="X2451" i="37"/>
  <c r="K2482" i="50"/>
  <c r="M400" i="47"/>
  <c r="Y399" i="47"/>
  <c r="Y401" i="47"/>
  <c r="M399" i="47"/>
  <c r="N399" i="47"/>
  <c r="N400" i="47"/>
  <c r="Z399" i="47"/>
  <c r="Z401" i="47"/>
  <c r="I409" i="50"/>
  <c r="X838" i="42"/>
  <c r="AH830" i="42"/>
  <c r="W838" i="42"/>
  <c r="T2455" i="50"/>
  <c r="I2454" i="50" s="1"/>
  <c r="I2455" i="50" s="1"/>
  <c r="X830" i="42"/>
  <c r="AF830" i="42"/>
  <c r="AE830" i="42"/>
  <c r="V838" i="42"/>
  <c r="Z838" i="42"/>
  <c r="W830" i="42"/>
  <c r="Y830" i="42"/>
  <c r="AD830" i="42"/>
  <c r="AG830" i="42"/>
  <c r="Y838" i="42"/>
  <c r="I838" i="42"/>
  <c r="V830" i="42"/>
  <c r="U830" i="42"/>
  <c r="U856" i="42" s="1"/>
  <c r="AC830" i="42"/>
  <c r="AI830" i="42"/>
  <c r="AB823" i="42"/>
  <c r="I841" i="42" s="1"/>
  <c r="I847" i="42" s="1"/>
  <c r="S2454" i="50" s="1"/>
  <c r="Z830" i="42"/>
  <c r="Z856" i="42" s="1"/>
  <c r="T830" i="42"/>
  <c r="T856" i="42" s="1"/>
  <c r="J2149" i="37"/>
  <c r="V2367" i="37"/>
  <c r="J2367" i="37" s="1"/>
  <c r="V2204" i="37"/>
  <c r="J2204" i="37" s="1"/>
  <c r="V2179" i="37"/>
  <c r="J2182" i="37"/>
  <c r="AK2158" i="37"/>
  <c r="AC2170" i="37"/>
  <c r="AK2170" i="37" s="1"/>
  <c r="AK2168" i="37"/>
  <c r="Y2179" i="37"/>
  <c r="Y2204" i="37"/>
  <c r="M2204" i="37" s="1"/>
  <c r="M2149" i="37"/>
  <c r="Y2367" i="37"/>
  <c r="M2367" i="37" s="1"/>
  <c r="M322" i="41"/>
  <c r="L2485" i="50"/>
  <c r="H901" i="42"/>
  <c r="H907" i="42"/>
  <c r="K322" i="41"/>
  <c r="H324" i="41"/>
  <c r="H411" i="50" s="1"/>
  <c r="J399" i="47"/>
  <c r="J400" i="47"/>
  <c r="V399" i="47"/>
  <c r="V401" i="47"/>
  <c r="L2435" i="50"/>
  <c r="L2436" i="50"/>
  <c r="K2435" i="50"/>
  <c r="K2436" i="50"/>
  <c r="AB883" i="42"/>
  <c r="I898" i="42"/>
  <c r="T2494" i="50"/>
  <c r="V890" i="42"/>
  <c r="W890" i="42"/>
  <c r="AD890" i="42"/>
  <c r="AC890" i="42"/>
  <c r="Y890" i="42"/>
  <c r="Z890" i="42"/>
  <c r="AF890" i="42"/>
  <c r="AE890" i="42"/>
  <c r="X890" i="42"/>
  <c r="T890" i="42"/>
  <c r="T916" i="42" s="1"/>
  <c r="AI890" i="42"/>
  <c r="AH890" i="42"/>
  <c r="U890" i="42"/>
  <c r="U916" i="42" s="1"/>
  <c r="AG890" i="42"/>
  <c r="J228" i="47"/>
  <c r="V229" i="47"/>
  <c r="W229" i="47" s="1"/>
  <c r="X229" i="47" s="1"/>
  <c r="Y229" i="47" s="1"/>
  <c r="Z229" i="47" s="1"/>
  <c r="H409" i="50"/>
  <c r="K2185" i="37"/>
  <c r="K2187" i="37" s="1"/>
  <c r="L2149" i="37"/>
  <c r="X2204" i="37"/>
  <c r="L2204" i="37" s="1"/>
  <c r="X2179" i="37"/>
  <c r="X2367" i="37"/>
  <c r="L2367" i="37" s="1"/>
  <c r="L2185" i="37"/>
  <c r="L2187" i="37" s="1"/>
  <c r="K2188" i="37"/>
  <c r="L2182" i="37"/>
  <c r="M2182" i="37"/>
  <c r="I326" i="41"/>
  <c r="I413" i="50" s="1"/>
  <c r="M2493" i="50"/>
  <c r="N2478" i="50" s="1"/>
  <c r="N2484" i="50"/>
  <c r="M2482" i="50"/>
  <c r="K2485" i="50"/>
  <c r="N2493" i="50"/>
  <c r="L2482" i="50"/>
  <c r="J2485" i="50"/>
  <c r="I323" i="41"/>
  <c r="I410" i="50" s="1"/>
  <c r="I324" i="41"/>
  <c r="I411" i="50" s="1"/>
  <c r="K2431" i="50"/>
  <c r="N323" i="41"/>
  <c r="N410" i="50" s="1"/>
  <c r="H326" i="41"/>
  <c r="H413" i="50" s="1"/>
  <c r="L323" i="41"/>
  <c r="L410" i="50" s="1"/>
  <c r="M2483" i="50"/>
  <c r="I2431" i="50"/>
  <c r="J2493" i="50"/>
  <c r="K2478" i="50" s="1"/>
  <c r="J325" i="41"/>
  <c r="J412" i="50" s="1"/>
  <c r="H323" i="41"/>
  <c r="H410" i="50" s="1"/>
  <c r="L2484" i="50"/>
  <c r="N2482" i="50"/>
  <c r="K2484" i="50"/>
  <c r="K324" i="41"/>
  <c r="K411" i="50" s="1"/>
  <c r="M323" i="41"/>
  <c r="M410" i="50" s="1"/>
  <c r="J2482" i="50"/>
  <c r="L326" i="41"/>
  <c r="L413" i="50" s="1"/>
  <c r="M2485" i="50"/>
  <c r="K323" i="41"/>
  <c r="K410" i="50" s="1"/>
  <c r="H325" i="41"/>
  <c r="H412" i="50" s="1"/>
  <c r="Q2731" i="37"/>
  <c r="G2739" i="37"/>
  <c r="G2740" i="37" s="1"/>
  <c r="G2741" i="37" s="1"/>
  <c r="I2731" i="37"/>
  <c r="H2753" i="37"/>
  <c r="N2431" i="50"/>
  <c r="AH363" i="42"/>
  <c r="AH384" i="42"/>
  <c r="AH388" i="42" s="1"/>
  <c r="AH392" i="42" s="1"/>
  <c r="AH396" i="42" s="1"/>
  <c r="AH400" i="42" s="1"/>
  <c r="AF1720" i="37"/>
  <c r="AF1681" i="37"/>
  <c r="AF1658" i="37"/>
  <c r="AF1666" i="37"/>
  <c r="AF1667" i="37" s="1"/>
  <c r="AF1716" i="37"/>
  <c r="AF1717" i="37" s="1"/>
  <c r="AF1735" i="37"/>
  <c r="AF1707" i="37"/>
  <c r="AF1811" i="37"/>
  <c r="AF1623" i="37"/>
  <c r="AF1624" i="37" s="1"/>
  <c r="AF1625" i="37" s="1"/>
  <c r="AF1626" i="37" s="1"/>
  <c r="AF1627" i="37" s="1"/>
  <c r="AF1628" i="37" s="1"/>
  <c r="AF1629" i="37" s="1"/>
  <c r="AF1630" i="37" s="1"/>
  <c r="AF1631" i="37" s="1"/>
  <c r="AF1632" i="37" s="1"/>
  <c r="AF1797" i="37"/>
  <c r="AF1803" i="37"/>
  <c r="AE1811" i="37"/>
  <c r="AE1735" i="37"/>
  <c r="AE1720" i="37"/>
  <c r="AE1707" i="37"/>
  <c r="AE1797" i="37"/>
  <c r="AE1681" i="37"/>
  <c r="AE1666" i="37"/>
  <c r="AE1667" i="37" s="1"/>
  <c r="AE1658" i="37"/>
  <c r="AE1623" i="37"/>
  <c r="AE1624" i="37" s="1"/>
  <c r="AE1625" i="37" s="1"/>
  <c r="AE1626" i="37" s="1"/>
  <c r="AE1627" i="37" s="1"/>
  <c r="AE1628" i="37" s="1"/>
  <c r="AE1629" i="37" s="1"/>
  <c r="AE1630" i="37" s="1"/>
  <c r="AE1631" i="37" s="1"/>
  <c r="AE1632" i="37" s="1"/>
  <c r="AE1716" i="37"/>
  <c r="AE1717" i="37" s="1"/>
  <c r="AE1803" i="37"/>
  <c r="AD1623" i="37"/>
  <c r="AD1624" i="37" s="1"/>
  <c r="AD1625" i="37" s="1"/>
  <c r="AD1626" i="37" s="1"/>
  <c r="AD1627" i="37" s="1"/>
  <c r="AD1628" i="37" s="1"/>
  <c r="AD1629" i="37" s="1"/>
  <c r="AD1630" i="37" s="1"/>
  <c r="AD1631" i="37" s="1"/>
  <c r="AD1632" i="37" s="1"/>
  <c r="AD1681" i="37"/>
  <c r="AD1716" i="37"/>
  <c r="AD1717" i="37" s="1"/>
  <c r="AD1735" i="37"/>
  <c r="AD1666" i="37"/>
  <c r="AD1667" i="37" s="1"/>
  <c r="AD1658" i="37"/>
  <c r="AD1707" i="37"/>
  <c r="AD1720" i="37"/>
  <c r="AD1797" i="37"/>
  <c r="AD1811" i="37"/>
  <c r="AD1803" i="37"/>
  <c r="AL187" i="42"/>
  <c r="AC191" i="42"/>
  <c r="AF507" i="42"/>
  <c r="AF511" i="42" s="1"/>
  <c r="AF515" i="42" s="1"/>
  <c r="AF519" i="42" s="1"/>
  <c r="AF523" i="42" s="1"/>
  <c r="AF486" i="42"/>
  <c r="AG473" i="37"/>
  <c r="AG527" i="37"/>
  <c r="AG508" i="37"/>
  <c r="AG509" i="37" s="1"/>
  <c r="AG499" i="37"/>
  <c r="AG415" i="37"/>
  <c r="AG416" i="37" s="1"/>
  <c r="AG417" i="37" s="1"/>
  <c r="AG418" i="37" s="1"/>
  <c r="AG419" i="37" s="1"/>
  <c r="AG420" i="37" s="1"/>
  <c r="AG421" i="37" s="1"/>
  <c r="AG422" i="37" s="1"/>
  <c r="AG423" i="37" s="1"/>
  <c r="AG424" i="37" s="1"/>
  <c r="AG458" i="37"/>
  <c r="AG459" i="37" s="1"/>
  <c r="AG603" i="37"/>
  <c r="AG589" i="37"/>
  <c r="AG512" i="37"/>
  <c r="AG450" i="37"/>
  <c r="AG595" i="37"/>
  <c r="AC473" i="37"/>
  <c r="AC603" i="37"/>
  <c r="AC527" i="37"/>
  <c r="AC589" i="37"/>
  <c r="AC415" i="37"/>
  <c r="AC450" i="37"/>
  <c r="AC512" i="37"/>
  <c r="AC508" i="37"/>
  <c r="AK385" i="37"/>
  <c r="AC499" i="37"/>
  <c r="AC458" i="37"/>
  <c r="AC595" i="37"/>
  <c r="Y1856" i="37"/>
  <c r="Y2093" i="37"/>
  <c r="Y1886" i="37"/>
  <c r="M2061" i="37"/>
  <c r="Y1960" i="37"/>
  <c r="Y1987" i="37"/>
  <c r="Y2027" i="37"/>
  <c r="Y2019" i="37"/>
  <c r="Y2084" i="37"/>
  <c r="Y1868" i="37"/>
  <c r="Y2099" i="37"/>
  <c r="Y1911" i="37"/>
  <c r="Y1999" i="37"/>
  <c r="Y2009" i="37"/>
  <c r="AH1983" i="37"/>
  <c r="AH2113" i="37"/>
  <c r="AH1925" i="37"/>
  <c r="AH1926" i="37" s="1"/>
  <c r="AH1927" i="37" s="1"/>
  <c r="AH1928" i="37" s="1"/>
  <c r="AH1929" i="37" s="1"/>
  <c r="AH1930" i="37" s="1"/>
  <c r="AH1931" i="37" s="1"/>
  <c r="AH1932" i="37" s="1"/>
  <c r="AH1933" i="37" s="1"/>
  <c r="AH1934" i="37" s="1"/>
  <c r="AH2018" i="37"/>
  <c r="AH2019" i="37" s="1"/>
  <c r="AH2009" i="37"/>
  <c r="AH2022" i="37"/>
  <c r="AH2037" i="37"/>
  <c r="AH2099" i="37"/>
  <c r="AH1960" i="37"/>
  <c r="AH1968" i="37"/>
  <c r="AH1969" i="37" s="1"/>
  <c r="AH2105" i="37"/>
  <c r="AK1833" i="37"/>
  <c r="AF1077" i="37"/>
  <c r="AF1112" i="37"/>
  <c r="AF1113" i="37" s="1"/>
  <c r="AF1103" i="37"/>
  <c r="AF1062" i="37"/>
  <c r="AF1063" i="37" s="1"/>
  <c r="AF1019" i="37"/>
  <c r="AF1020" i="37" s="1"/>
  <c r="AF1021" i="37" s="1"/>
  <c r="AF1022" i="37" s="1"/>
  <c r="AF1023" i="37" s="1"/>
  <c r="AF1024" i="37" s="1"/>
  <c r="AF1025" i="37" s="1"/>
  <c r="AF1026" i="37" s="1"/>
  <c r="AF1027" i="37" s="1"/>
  <c r="AF1028" i="37" s="1"/>
  <c r="AF1116" i="37"/>
  <c r="AF1131" i="37"/>
  <c r="AF1054" i="37"/>
  <c r="AF1193" i="37"/>
  <c r="AF1207" i="37"/>
  <c r="AF1199" i="37"/>
  <c r="AC1193" i="37"/>
  <c r="AC1054" i="37"/>
  <c r="AC1077" i="37"/>
  <c r="AC1207" i="37"/>
  <c r="AC1062" i="37"/>
  <c r="AK989" i="37"/>
  <c r="AC1019" i="37"/>
  <c r="AC1112" i="37"/>
  <c r="AC1116" i="37"/>
  <c r="AC1103" i="37"/>
  <c r="AC1131" i="37"/>
  <c r="AC1199" i="37"/>
  <c r="AE1062" i="37"/>
  <c r="AE1063" i="37" s="1"/>
  <c r="AE1131" i="37"/>
  <c r="AE1054" i="37"/>
  <c r="AE1193" i="37"/>
  <c r="AE1207" i="37"/>
  <c r="AE1077" i="37"/>
  <c r="AE1019" i="37"/>
  <c r="AE1020" i="37" s="1"/>
  <c r="AE1021" i="37" s="1"/>
  <c r="AE1022" i="37" s="1"/>
  <c r="AE1023" i="37" s="1"/>
  <c r="AE1024" i="37" s="1"/>
  <c r="AE1025" i="37" s="1"/>
  <c r="AE1026" i="37" s="1"/>
  <c r="AE1027" i="37" s="1"/>
  <c r="AE1028" i="37" s="1"/>
  <c r="AE1112" i="37"/>
  <c r="AE1113" i="37" s="1"/>
  <c r="AE1116" i="37"/>
  <c r="AE1103" i="37"/>
  <c r="AE1199" i="37"/>
  <c r="AD507" i="42"/>
  <c r="AD511" i="42" s="1"/>
  <c r="AD515" i="42" s="1"/>
  <c r="AD519" i="42" s="1"/>
  <c r="AD523" i="42" s="1"/>
  <c r="AD486" i="42"/>
  <c r="AG507" i="42"/>
  <c r="AG511" i="42" s="1"/>
  <c r="AG515" i="42" s="1"/>
  <c r="AG519" i="42" s="1"/>
  <c r="AG523" i="42" s="1"/>
  <c r="AG486" i="42"/>
  <c r="AK1531" i="37"/>
  <c r="AI1720" i="37"/>
  <c r="AI1716" i="37"/>
  <c r="AI1717" i="37" s="1"/>
  <c r="AI1623" i="37"/>
  <c r="AI1624" i="37" s="1"/>
  <c r="AI1625" i="37" s="1"/>
  <c r="AI1626" i="37" s="1"/>
  <c r="AI1627" i="37" s="1"/>
  <c r="AI1628" i="37" s="1"/>
  <c r="AI1629" i="37" s="1"/>
  <c r="AI1630" i="37" s="1"/>
  <c r="AI1631" i="37" s="1"/>
  <c r="AI1632" i="37" s="1"/>
  <c r="AI1735" i="37"/>
  <c r="AI1681" i="37"/>
  <c r="AI1666" i="37"/>
  <c r="AI1667" i="37" s="1"/>
  <c r="AI1797" i="37"/>
  <c r="AI1811" i="37"/>
  <c r="AI1658" i="37"/>
  <c r="AI1707" i="37"/>
  <c r="AI1803" i="37"/>
  <c r="AC1666" i="37"/>
  <c r="AC1681" i="37"/>
  <c r="AC1720" i="37"/>
  <c r="AC1811" i="37"/>
  <c r="AC1623" i="37"/>
  <c r="AC1658" i="37"/>
  <c r="AK1593" i="37"/>
  <c r="AC1735" i="37"/>
  <c r="AC1716" i="37"/>
  <c r="AC1707" i="37"/>
  <c r="AC1797" i="37"/>
  <c r="AC1803" i="37"/>
  <c r="AL362" i="42"/>
  <c r="AG1356" i="37"/>
  <c r="AG1379" i="37"/>
  <c r="AG1509" i="37"/>
  <c r="AG1414" i="37"/>
  <c r="AG1415" i="37" s="1"/>
  <c r="AG1495" i="37"/>
  <c r="AG1418" i="37"/>
  <c r="AG1321" i="37"/>
  <c r="AG1322" i="37" s="1"/>
  <c r="AG1323" i="37" s="1"/>
  <c r="AG1324" i="37" s="1"/>
  <c r="AG1325" i="37" s="1"/>
  <c r="AG1326" i="37" s="1"/>
  <c r="AG1327" i="37" s="1"/>
  <c r="AG1328" i="37" s="1"/>
  <c r="AG1329" i="37" s="1"/>
  <c r="AG1330" i="37" s="1"/>
  <c r="AG1405" i="37"/>
  <c r="AG1433" i="37"/>
  <c r="AG1364" i="37"/>
  <c r="AG1365" i="37" s="1"/>
  <c r="AG1501" i="37"/>
  <c r="AC1321" i="37"/>
  <c r="AC1364" i="37"/>
  <c r="AC1509" i="37"/>
  <c r="AK1291" i="37"/>
  <c r="AC1379" i="37"/>
  <c r="AC1495" i="37"/>
  <c r="AC1433" i="37"/>
  <c r="AC1405" i="37"/>
  <c r="AC1356" i="37"/>
  <c r="AC1414" i="37"/>
  <c r="AC1418" i="37"/>
  <c r="AC1501" i="37"/>
  <c r="AH1495" i="37"/>
  <c r="AH1509" i="37"/>
  <c r="AH1321" i="37"/>
  <c r="AH1322" i="37" s="1"/>
  <c r="AH1323" i="37" s="1"/>
  <c r="AH1324" i="37" s="1"/>
  <c r="AH1325" i="37" s="1"/>
  <c r="AH1326" i="37" s="1"/>
  <c r="AH1327" i="37" s="1"/>
  <c r="AH1328" i="37" s="1"/>
  <c r="AH1329" i="37" s="1"/>
  <c r="AH1330" i="37" s="1"/>
  <c r="AH1418" i="37"/>
  <c r="AH1379" i="37"/>
  <c r="AH1364" i="37"/>
  <c r="AH1365" i="37" s="1"/>
  <c r="AH1405" i="37"/>
  <c r="AH1356" i="37"/>
  <c r="AH1414" i="37"/>
  <c r="AH1415" i="37" s="1"/>
  <c r="AH1433" i="37"/>
  <c r="AH1501" i="37"/>
  <c r="AI810" i="37"/>
  <c r="AI811" i="37" s="1"/>
  <c r="AI814" i="37"/>
  <c r="AI829" i="37"/>
  <c r="AI752" i="37"/>
  <c r="AI775" i="37"/>
  <c r="AI760" i="37"/>
  <c r="AI761" i="37" s="1"/>
  <c r="AI801" i="37"/>
  <c r="AI905" i="37"/>
  <c r="AI717" i="37"/>
  <c r="AI718" i="37" s="1"/>
  <c r="AI719" i="37" s="1"/>
  <c r="AI720" i="37" s="1"/>
  <c r="AI721" i="37" s="1"/>
  <c r="AI722" i="37" s="1"/>
  <c r="AI723" i="37" s="1"/>
  <c r="AI724" i="37" s="1"/>
  <c r="AI725" i="37" s="1"/>
  <c r="AI726" i="37" s="1"/>
  <c r="AI891" i="37"/>
  <c r="AI897" i="37"/>
  <c r="AF829" i="37"/>
  <c r="AF717" i="37"/>
  <c r="AF718" i="37" s="1"/>
  <c r="AF719" i="37" s="1"/>
  <c r="AF720" i="37" s="1"/>
  <c r="AF721" i="37" s="1"/>
  <c r="AF722" i="37" s="1"/>
  <c r="AF723" i="37" s="1"/>
  <c r="AF724" i="37" s="1"/>
  <c r="AF725" i="37" s="1"/>
  <c r="AF726" i="37" s="1"/>
  <c r="AF775" i="37"/>
  <c r="AF814" i="37"/>
  <c r="AF801" i="37"/>
  <c r="AF905" i="37"/>
  <c r="AF891" i="37"/>
  <c r="AF760" i="37"/>
  <c r="AF761" i="37" s="1"/>
  <c r="AF752" i="37"/>
  <c r="AF810" i="37"/>
  <c r="AF811" i="37" s="1"/>
  <c r="AF897" i="37"/>
  <c r="AF384" i="42"/>
  <c r="AF388" i="42" s="1"/>
  <c r="AF392" i="42" s="1"/>
  <c r="AF396" i="42" s="1"/>
  <c r="AF400" i="42" s="1"/>
  <c r="AF363" i="42"/>
  <c r="AD512" i="37"/>
  <c r="AD527" i="37"/>
  <c r="AD499" i="37"/>
  <c r="AD450" i="37"/>
  <c r="AD603" i="37"/>
  <c r="AD508" i="37"/>
  <c r="AD509" i="37" s="1"/>
  <c r="AD589" i="37"/>
  <c r="AD458" i="37"/>
  <c r="AD459" i="37" s="1"/>
  <c r="AD473" i="37"/>
  <c r="AD415" i="37"/>
  <c r="AD416" i="37" s="1"/>
  <c r="AD417" i="37" s="1"/>
  <c r="AD418" i="37" s="1"/>
  <c r="AD419" i="37" s="1"/>
  <c r="AD420" i="37" s="1"/>
  <c r="AD421" i="37" s="1"/>
  <c r="AD422" i="37" s="1"/>
  <c r="AD423" i="37" s="1"/>
  <c r="AD424" i="37" s="1"/>
  <c r="AD595" i="37"/>
  <c r="AH415" i="37"/>
  <c r="AH416" i="37" s="1"/>
  <c r="AH417" i="37" s="1"/>
  <c r="AH418" i="37" s="1"/>
  <c r="AH419" i="37" s="1"/>
  <c r="AH420" i="37" s="1"/>
  <c r="AH421" i="37" s="1"/>
  <c r="AH422" i="37" s="1"/>
  <c r="AH423" i="37" s="1"/>
  <c r="AH424" i="37" s="1"/>
  <c r="AH603" i="37"/>
  <c r="AH450" i="37"/>
  <c r="AH512" i="37"/>
  <c r="AH473" i="37"/>
  <c r="AH589" i="37"/>
  <c r="AH527" i="37"/>
  <c r="AH458" i="37"/>
  <c r="AH459" i="37" s="1"/>
  <c r="AH508" i="37"/>
  <c r="AH509" i="37" s="1"/>
  <c r="AH499" i="37"/>
  <c r="AH595" i="37"/>
  <c r="AF499" i="37"/>
  <c r="AF415" i="37"/>
  <c r="AF416" i="37" s="1"/>
  <c r="AF417" i="37" s="1"/>
  <c r="AF418" i="37" s="1"/>
  <c r="AF419" i="37" s="1"/>
  <c r="AF420" i="37" s="1"/>
  <c r="AF421" i="37" s="1"/>
  <c r="AF422" i="37" s="1"/>
  <c r="AF423" i="37" s="1"/>
  <c r="AF424" i="37" s="1"/>
  <c r="AF589" i="37"/>
  <c r="AF603" i="37"/>
  <c r="AF527" i="37"/>
  <c r="AF512" i="37"/>
  <c r="AF473" i="37"/>
  <c r="AF458" i="37"/>
  <c r="AF459" i="37" s="1"/>
  <c r="AF450" i="37"/>
  <c r="AF508" i="37"/>
  <c r="AF509" i="37" s="1"/>
  <c r="AF595" i="37"/>
  <c r="V2093" i="37"/>
  <c r="V1960" i="37"/>
  <c r="V2019" i="37"/>
  <c r="V2099" i="37"/>
  <c r="V1868" i="37"/>
  <c r="V2084" i="37"/>
  <c r="J2061" i="37"/>
  <c r="V1886" i="37"/>
  <c r="V1911" i="37"/>
  <c r="V2027" i="37"/>
  <c r="V2009" i="37"/>
  <c r="V1987" i="37"/>
  <c r="V1999" i="37"/>
  <c r="V1856" i="37"/>
  <c r="AG2113" i="37"/>
  <c r="AG2022" i="37"/>
  <c r="AG2099" i="37"/>
  <c r="AG2018" i="37"/>
  <c r="AG2019" i="37" s="1"/>
  <c r="AG1983" i="37"/>
  <c r="AG2037" i="37"/>
  <c r="AG1968" i="37"/>
  <c r="AG1969" i="37" s="1"/>
  <c r="AG1960" i="37"/>
  <c r="AG2009" i="37"/>
  <c r="AG1925" i="37"/>
  <c r="AG1926" i="37" s="1"/>
  <c r="AG1927" i="37" s="1"/>
  <c r="AG1928" i="37" s="1"/>
  <c r="AG1929" i="37" s="1"/>
  <c r="AG1930" i="37" s="1"/>
  <c r="AG1931" i="37" s="1"/>
  <c r="AG1932" i="37" s="1"/>
  <c r="AG1933" i="37" s="1"/>
  <c r="AG1934" i="37" s="1"/>
  <c r="AG2105" i="37"/>
  <c r="L2061" i="37"/>
  <c r="X1856" i="37"/>
  <c r="X2093" i="37"/>
  <c r="X2009" i="37"/>
  <c r="X2019" i="37"/>
  <c r="X1999" i="37"/>
  <c r="X2099" i="37"/>
  <c r="X2027" i="37"/>
  <c r="X1987" i="37"/>
  <c r="X1868" i="37"/>
  <c r="X1911" i="37"/>
  <c r="X1886" i="37"/>
  <c r="X1960" i="37"/>
  <c r="X2084" i="37"/>
  <c r="AD1103" i="37"/>
  <c r="AD1131" i="37"/>
  <c r="AD1054" i="37"/>
  <c r="AD1112" i="37"/>
  <c r="AD1113" i="37" s="1"/>
  <c r="AD1207" i="37"/>
  <c r="AD1193" i="37"/>
  <c r="AD1062" i="37"/>
  <c r="AD1063" i="37" s="1"/>
  <c r="AD1019" i="37"/>
  <c r="AD1020" i="37" s="1"/>
  <c r="AD1021" i="37" s="1"/>
  <c r="AD1022" i="37" s="1"/>
  <c r="AD1023" i="37" s="1"/>
  <c r="AD1024" i="37" s="1"/>
  <c r="AD1025" i="37" s="1"/>
  <c r="AD1026" i="37" s="1"/>
  <c r="AD1027" i="37" s="1"/>
  <c r="AD1028" i="37" s="1"/>
  <c r="AD1116" i="37"/>
  <c r="AD1077" i="37"/>
  <c r="AD1199" i="37"/>
  <c r="AG1112" i="37"/>
  <c r="AG1113" i="37" s="1"/>
  <c r="AG1103" i="37"/>
  <c r="AG1207" i="37"/>
  <c r="AG1062" i="37"/>
  <c r="AG1063" i="37" s="1"/>
  <c r="AG1077" i="37"/>
  <c r="AG1116" i="37"/>
  <c r="AG1019" i="37"/>
  <c r="AG1020" i="37" s="1"/>
  <c r="AG1021" i="37" s="1"/>
  <c r="AG1022" i="37" s="1"/>
  <c r="AG1023" i="37" s="1"/>
  <c r="AG1024" i="37" s="1"/>
  <c r="AG1025" i="37" s="1"/>
  <c r="AG1026" i="37" s="1"/>
  <c r="AG1027" i="37" s="1"/>
  <c r="AG1028" i="37" s="1"/>
  <c r="AG1131" i="37"/>
  <c r="AG1193" i="37"/>
  <c r="AG1054" i="37"/>
  <c r="AG1199" i="37"/>
  <c r="AC510" i="42"/>
  <c r="AL506" i="42"/>
  <c r="AD384" i="42"/>
  <c r="AD388" i="42" s="1"/>
  <c r="AD392" i="42" s="1"/>
  <c r="AD396" i="42" s="1"/>
  <c r="AD400" i="42" s="1"/>
  <c r="AD363" i="42"/>
  <c r="AE363" i="42"/>
  <c r="AE384" i="42"/>
  <c r="AE388" i="42" s="1"/>
  <c r="AE392" i="42" s="1"/>
  <c r="AE396" i="42" s="1"/>
  <c r="AE400" i="42" s="1"/>
  <c r="AC194" i="42"/>
  <c r="AL190" i="42"/>
  <c r="AK1229" i="37"/>
  <c r="AI1433" i="37"/>
  <c r="AI1414" i="37"/>
  <c r="AI1415" i="37" s="1"/>
  <c r="AI1509" i="37"/>
  <c r="AI1379" i="37"/>
  <c r="AI1321" i="37"/>
  <c r="AI1322" i="37" s="1"/>
  <c r="AI1323" i="37" s="1"/>
  <c r="AI1324" i="37" s="1"/>
  <c r="AI1325" i="37" s="1"/>
  <c r="AI1326" i="37" s="1"/>
  <c r="AI1327" i="37" s="1"/>
  <c r="AI1328" i="37" s="1"/>
  <c r="AI1329" i="37" s="1"/>
  <c r="AI1330" i="37" s="1"/>
  <c r="AI1405" i="37"/>
  <c r="AI1495" i="37"/>
  <c r="AI1418" i="37"/>
  <c r="AI1364" i="37"/>
  <c r="AI1365" i="37" s="1"/>
  <c r="AI1356" i="37"/>
  <c r="AI1501" i="37"/>
  <c r="AD829" i="37"/>
  <c r="AD801" i="37"/>
  <c r="AD810" i="37"/>
  <c r="AD811" i="37" s="1"/>
  <c r="AD905" i="37"/>
  <c r="AD752" i="37"/>
  <c r="AD775" i="37"/>
  <c r="AD814" i="37"/>
  <c r="AD717" i="37"/>
  <c r="AD718" i="37" s="1"/>
  <c r="AD719" i="37" s="1"/>
  <c r="AD720" i="37" s="1"/>
  <c r="AD721" i="37" s="1"/>
  <c r="AD722" i="37" s="1"/>
  <c r="AD723" i="37" s="1"/>
  <c r="AD724" i="37" s="1"/>
  <c r="AD725" i="37" s="1"/>
  <c r="AD726" i="37" s="1"/>
  <c r="AD760" i="37"/>
  <c r="AD761" i="37" s="1"/>
  <c r="AD891" i="37"/>
  <c r="AD897" i="37"/>
  <c r="AH775" i="37"/>
  <c r="AH829" i="37"/>
  <c r="AH717" i="37"/>
  <c r="AH718" i="37" s="1"/>
  <c r="AH719" i="37" s="1"/>
  <c r="AH720" i="37" s="1"/>
  <c r="AH721" i="37" s="1"/>
  <c r="AH722" i="37" s="1"/>
  <c r="AH723" i="37" s="1"/>
  <c r="AH724" i="37" s="1"/>
  <c r="AH725" i="37" s="1"/>
  <c r="AH726" i="37" s="1"/>
  <c r="AH801" i="37"/>
  <c r="AH810" i="37"/>
  <c r="AH811" i="37" s="1"/>
  <c r="AH760" i="37"/>
  <c r="AH761" i="37" s="1"/>
  <c r="AH891" i="37"/>
  <c r="AH905" i="37"/>
  <c r="AH814" i="37"/>
  <c r="AH752" i="37"/>
  <c r="AH897" i="37"/>
  <c r="AE775" i="37"/>
  <c r="AE814" i="37"/>
  <c r="AE891" i="37"/>
  <c r="AE760" i="37"/>
  <c r="AE761" i="37" s="1"/>
  <c r="AE829" i="37"/>
  <c r="AE905" i="37"/>
  <c r="AE717" i="37"/>
  <c r="AE718" i="37" s="1"/>
  <c r="AE719" i="37" s="1"/>
  <c r="AE720" i="37" s="1"/>
  <c r="AE721" i="37" s="1"/>
  <c r="AE722" i="37" s="1"/>
  <c r="AE723" i="37" s="1"/>
  <c r="AE724" i="37" s="1"/>
  <c r="AE725" i="37" s="1"/>
  <c r="AE726" i="37" s="1"/>
  <c r="AE810" i="37"/>
  <c r="AE811" i="37" s="1"/>
  <c r="AE801" i="37"/>
  <c r="AE752" i="37"/>
  <c r="AE897" i="37"/>
  <c r="AI415" i="37"/>
  <c r="AI416" i="37" s="1"/>
  <c r="AI417" i="37" s="1"/>
  <c r="AI418" i="37" s="1"/>
  <c r="AI419" i="37" s="1"/>
  <c r="AI420" i="37" s="1"/>
  <c r="AI421" i="37" s="1"/>
  <c r="AI422" i="37" s="1"/>
  <c r="AI423" i="37" s="1"/>
  <c r="AI424" i="37" s="1"/>
  <c r="AI450" i="37"/>
  <c r="AI508" i="37"/>
  <c r="AI509" i="37" s="1"/>
  <c r="AI603" i="37"/>
  <c r="AI473" i="37"/>
  <c r="AI512" i="37"/>
  <c r="AI458" i="37"/>
  <c r="AI459" i="37" s="1"/>
  <c r="AI589" i="37"/>
  <c r="AI499" i="37"/>
  <c r="AI527" i="37"/>
  <c r="AI595" i="37"/>
  <c r="AE603" i="37"/>
  <c r="AE508" i="37"/>
  <c r="AE509" i="37" s="1"/>
  <c r="AE499" i="37"/>
  <c r="AE473" i="37"/>
  <c r="AE458" i="37"/>
  <c r="AE459" i="37" s="1"/>
  <c r="AE415" i="37"/>
  <c r="AE416" i="37" s="1"/>
  <c r="AE417" i="37" s="1"/>
  <c r="AE418" i="37" s="1"/>
  <c r="AE419" i="37" s="1"/>
  <c r="AE420" i="37" s="1"/>
  <c r="AE421" i="37" s="1"/>
  <c r="AE422" i="37" s="1"/>
  <c r="AE423" i="37" s="1"/>
  <c r="AE424" i="37" s="1"/>
  <c r="AE589" i="37"/>
  <c r="AE512" i="37"/>
  <c r="AE527" i="37"/>
  <c r="AE450" i="37"/>
  <c r="AE595" i="37"/>
  <c r="E427" i="50"/>
  <c r="Q342" i="41"/>
  <c r="U1868" i="37"/>
  <c r="U1960" i="37"/>
  <c r="U2009" i="37"/>
  <c r="U2019" i="37"/>
  <c r="U2027" i="37"/>
  <c r="U2093" i="37"/>
  <c r="I2061" i="37"/>
  <c r="U1987" i="37"/>
  <c r="U1999" i="37"/>
  <c r="U2084" i="37"/>
  <c r="U2099" i="37"/>
  <c r="AE2009" i="37"/>
  <c r="AE2099" i="37"/>
  <c r="AE1925" i="37"/>
  <c r="AE1926" i="37" s="1"/>
  <c r="AE1927" i="37" s="1"/>
  <c r="AE1928" i="37" s="1"/>
  <c r="AE1929" i="37" s="1"/>
  <c r="AE1930" i="37" s="1"/>
  <c r="AE1931" i="37" s="1"/>
  <c r="AE1932" i="37" s="1"/>
  <c r="AE1933" i="37" s="1"/>
  <c r="AE1934" i="37" s="1"/>
  <c r="AE1960" i="37"/>
  <c r="AE1983" i="37"/>
  <c r="AE2113" i="37"/>
  <c r="AE2018" i="37"/>
  <c r="AE2019" i="37" s="1"/>
  <c r="AE2037" i="37"/>
  <c r="AE1968" i="37"/>
  <c r="AE1969" i="37" s="1"/>
  <c r="AE2022" i="37"/>
  <c r="AE2105" i="37"/>
  <c r="AD1968" i="37"/>
  <c r="AD1969" i="37" s="1"/>
  <c r="AD2037" i="37"/>
  <c r="AD2009" i="37"/>
  <c r="AD2018" i="37"/>
  <c r="AD2019" i="37" s="1"/>
  <c r="AD1960" i="37"/>
  <c r="AD2113" i="37"/>
  <c r="AD1983" i="37"/>
  <c r="AD1925" i="37"/>
  <c r="AD1926" i="37" s="1"/>
  <c r="AD1927" i="37" s="1"/>
  <c r="AD1928" i="37" s="1"/>
  <c r="AD1929" i="37" s="1"/>
  <c r="AD1930" i="37" s="1"/>
  <c r="AD1931" i="37" s="1"/>
  <c r="AD1932" i="37" s="1"/>
  <c r="AD1933" i="37" s="1"/>
  <c r="AD1934" i="37" s="1"/>
  <c r="AD2099" i="37"/>
  <c r="AD2022" i="37"/>
  <c r="AD2105" i="37"/>
  <c r="AC1960" i="37"/>
  <c r="AC1983" i="37"/>
  <c r="AC2018" i="37"/>
  <c r="AC2037" i="37"/>
  <c r="AC2099" i="37"/>
  <c r="AC2022" i="37"/>
  <c r="AC1968" i="37"/>
  <c r="AC1925" i="37"/>
  <c r="AC2009" i="37"/>
  <c r="AC2113" i="37"/>
  <c r="AK1895" i="37"/>
  <c r="AC2105" i="37"/>
  <c r="U1576" i="50"/>
  <c r="AH1207" i="37"/>
  <c r="AH1116" i="37"/>
  <c r="AH1112" i="37"/>
  <c r="AH1113" i="37" s="1"/>
  <c r="AH1062" i="37"/>
  <c r="AH1063" i="37" s="1"/>
  <c r="AH1193" i="37"/>
  <c r="AH1077" i="37"/>
  <c r="AH1019" i="37"/>
  <c r="AH1020" i="37" s="1"/>
  <c r="AH1021" i="37" s="1"/>
  <c r="AH1022" i="37" s="1"/>
  <c r="AH1023" i="37" s="1"/>
  <c r="AH1024" i="37" s="1"/>
  <c r="AH1025" i="37" s="1"/>
  <c r="AH1026" i="37" s="1"/>
  <c r="AH1027" i="37" s="1"/>
  <c r="AH1028" i="37" s="1"/>
  <c r="AH1131" i="37"/>
  <c r="AH1054" i="37"/>
  <c r="AH1103" i="37"/>
  <c r="AH1199" i="37"/>
  <c r="AL483" i="42"/>
  <c r="AC486" i="42"/>
  <c r="AC507" i="42"/>
  <c r="AG1811" i="37"/>
  <c r="AG1797" i="37"/>
  <c r="AG1658" i="37"/>
  <c r="AG1707" i="37"/>
  <c r="AG1720" i="37"/>
  <c r="AG1666" i="37"/>
  <c r="AG1667" i="37" s="1"/>
  <c r="AG1623" i="37"/>
  <c r="AG1624" i="37" s="1"/>
  <c r="AG1625" i="37" s="1"/>
  <c r="AG1626" i="37" s="1"/>
  <c r="AG1627" i="37" s="1"/>
  <c r="AG1628" i="37" s="1"/>
  <c r="AG1629" i="37" s="1"/>
  <c r="AG1630" i="37" s="1"/>
  <c r="AG1631" i="37" s="1"/>
  <c r="AG1632" i="37" s="1"/>
  <c r="AG1681" i="37"/>
  <c r="AG1716" i="37"/>
  <c r="AG1717" i="37" s="1"/>
  <c r="AG1735" i="37"/>
  <c r="AG1803" i="37"/>
  <c r="AL166" i="42"/>
  <c r="AC363" i="42"/>
  <c r="AC384" i="42"/>
  <c r="AL360" i="42"/>
  <c r="AI486" i="42"/>
  <c r="AI507" i="42"/>
  <c r="AI511" i="42" s="1"/>
  <c r="AI515" i="42" s="1"/>
  <c r="AI519" i="42" s="1"/>
  <c r="AI523" i="42" s="1"/>
  <c r="AF1433" i="37"/>
  <c r="AF1418" i="37"/>
  <c r="AF1379" i="37"/>
  <c r="AF1364" i="37"/>
  <c r="AF1365" i="37" s="1"/>
  <c r="AF1509" i="37"/>
  <c r="AF1405" i="37"/>
  <c r="AF1321" i="37"/>
  <c r="AF1322" i="37" s="1"/>
  <c r="AF1323" i="37" s="1"/>
  <c r="AF1324" i="37" s="1"/>
  <c r="AF1325" i="37" s="1"/>
  <c r="AF1326" i="37" s="1"/>
  <c r="AF1327" i="37" s="1"/>
  <c r="AF1328" i="37" s="1"/>
  <c r="AF1329" i="37" s="1"/>
  <c r="AF1330" i="37" s="1"/>
  <c r="AF1356" i="37"/>
  <c r="AF1414" i="37"/>
  <c r="AF1415" i="37" s="1"/>
  <c r="AF1495" i="37"/>
  <c r="AF1501" i="37"/>
  <c r="AG363" i="42"/>
  <c r="AG384" i="42"/>
  <c r="AG388" i="42" s="1"/>
  <c r="AG392" i="42" s="1"/>
  <c r="AG396" i="42" s="1"/>
  <c r="AG400" i="42" s="1"/>
  <c r="AH507" i="42"/>
  <c r="AH511" i="42" s="1"/>
  <c r="AH515" i="42" s="1"/>
  <c r="AH519" i="42" s="1"/>
  <c r="AH523" i="42" s="1"/>
  <c r="AH486" i="42"/>
  <c r="AE1414" i="37"/>
  <c r="AE1415" i="37" s="1"/>
  <c r="AE1418" i="37"/>
  <c r="AE1364" i="37"/>
  <c r="AE1365" i="37" s="1"/>
  <c r="AE1509" i="37"/>
  <c r="AE1379" i="37"/>
  <c r="AE1356" i="37"/>
  <c r="AE1495" i="37"/>
  <c r="AE1321" i="37"/>
  <c r="AE1322" i="37" s="1"/>
  <c r="AE1323" i="37" s="1"/>
  <c r="AE1324" i="37" s="1"/>
  <c r="AE1325" i="37" s="1"/>
  <c r="AE1326" i="37" s="1"/>
  <c r="AE1327" i="37" s="1"/>
  <c r="AE1328" i="37" s="1"/>
  <c r="AE1329" i="37" s="1"/>
  <c r="AE1330" i="37" s="1"/>
  <c r="AE1433" i="37"/>
  <c r="AE1405" i="37"/>
  <c r="AE1501" i="37"/>
  <c r="AC829" i="37"/>
  <c r="AC801" i="37"/>
  <c r="AC814" i="37"/>
  <c r="AC775" i="37"/>
  <c r="AC717" i="37"/>
  <c r="AC760" i="37"/>
  <c r="AC905" i="37"/>
  <c r="AC810" i="37"/>
  <c r="AC752" i="37"/>
  <c r="AC891" i="37"/>
  <c r="AK687" i="37"/>
  <c r="AC897" i="37"/>
  <c r="AK625" i="37"/>
  <c r="AD1321" i="37"/>
  <c r="AD1322" i="37" s="1"/>
  <c r="AD1323" i="37" s="1"/>
  <c r="AD1324" i="37" s="1"/>
  <c r="AD1325" i="37" s="1"/>
  <c r="AD1326" i="37" s="1"/>
  <c r="AD1327" i="37" s="1"/>
  <c r="AD1328" i="37" s="1"/>
  <c r="AD1329" i="37" s="1"/>
  <c r="AD1330" i="37" s="1"/>
  <c r="AD1418" i="37"/>
  <c r="AD1509" i="37"/>
  <c r="AD1364" i="37"/>
  <c r="AD1365" i="37" s="1"/>
  <c r="AD1405" i="37"/>
  <c r="AD1414" i="37"/>
  <c r="AD1415" i="37" s="1"/>
  <c r="AD1495" i="37"/>
  <c r="AD1379" i="37"/>
  <c r="AD1433" i="37"/>
  <c r="AD1356" i="37"/>
  <c r="AD1501" i="37"/>
  <c r="AG905" i="37"/>
  <c r="AG752" i="37"/>
  <c r="AG760" i="37"/>
  <c r="AG761" i="37" s="1"/>
  <c r="AG829" i="37"/>
  <c r="AG891" i="37"/>
  <c r="AG717" i="37"/>
  <c r="AG718" i="37" s="1"/>
  <c r="AG719" i="37" s="1"/>
  <c r="AG720" i="37" s="1"/>
  <c r="AG721" i="37" s="1"/>
  <c r="AG722" i="37" s="1"/>
  <c r="AG723" i="37" s="1"/>
  <c r="AG724" i="37" s="1"/>
  <c r="AG725" i="37" s="1"/>
  <c r="AG726" i="37" s="1"/>
  <c r="AG775" i="37"/>
  <c r="AG801" i="37"/>
  <c r="AG810" i="37"/>
  <c r="AG811" i="37" s="1"/>
  <c r="AG814" i="37"/>
  <c r="AG897" i="37"/>
  <c r="AI384" i="42"/>
  <c r="AI388" i="42" s="1"/>
  <c r="AI392" i="42" s="1"/>
  <c r="AI396" i="42" s="1"/>
  <c r="AI400" i="42" s="1"/>
  <c r="AI363" i="42"/>
  <c r="AL667" i="42"/>
  <c r="AC670" i="42"/>
  <c r="AL670" i="42" s="1"/>
  <c r="T2009" i="37"/>
  <c r="T2027" i="37"/>
  <c r="T1868" i="37"/>
  <c r="T2099" i="37"/>
  <c r="T2084" i="37"/>
  <c r="T1999" i="37"/>
  <c r="T1987" i="37"/>
  <c r="T2019" i="37"/>
  <c r="T2093" i="37"/>
  <c r="T1960" i="37"/>
  <c r="H2061" i="37"/>
  <c r="Z2093" i="37"/>
  <c r="Z2099" i="37"/>
  <c r="Z1856" i="37"/>
  <c r="Z1911" i="37"/>
  <c r="Z1886" i="37"/>
  <c r="Z1868" i="37"/>
  <c r="Z2027" i="37"/>
  <c r="Z1960" i="37"/>
  <c r="Z2009" i="37"/>
  <c r="N2061" i="37"/>
  <c r="Z2084" i="37"/>
  <c r="Z2019" i="37"/>
  <c r="Z1999" i="37"/>
  <c r="Z1987" i="37"/>
  <c r="AI2018" i="37"/>
  <c r="AI2019" i="37" s="1"/>
  <c r="AI2113" i="37"/>
  <c r="AI2099" i="37"/>
  <c r="AI1983" i="37"/>
  <c r="AI2009" i="37"/>
  <c r="AI1925" i="37"/>
  <c r="AI1926" i="37" s="1"/>
  <c r="AI1927" i="37" s="1"/>
  <c r="AI1928" i="37" s="1"/>
  <c r="AI1929" i="37" s="1"/>
  <c r="AI1930" i="37" s="1"/>
  <c r="AI1931" i="37" s="1"/>
  <c r="AI1932" i="37" s="1"/>
  <c r="AI1933" i="37" s="1"/>
  <c r="AI1934" i="37" s="1"/>
  <c r="AI2037" i="37"/>
  <c r="AI1960" i="37"/>
  <c r="AI2022" i="37"/>
  <c r="AI1968" i="37"/>
  <c r="AI1969" i="37" s="1"/>
  <c r="AI2105" i="37"/>
  <c r="W1856" i="37"/>
  <c r="W1987" i="37"/>
  <c r="W2027" i="37"/>
  <c r="W2009" i="37"/>
  <c r="W1868" i="37"/>
  <c r="W1999" i="37"/>
  <c r="W1886" i="37"/>
  <c r="W1911" i="37"/>
  <c r="W1960" i="37"/>
  <c r="W2019" i="37"/>
  <c r="W2099" i="37"/>
  <c r="W2084" i="37"/>
  <c r="W2093" i="37"/>
  <c r="K2061" i="37"/>
  <c r="AF1960" i="37"/>
  <c r="AF2037" i="37"/>
  <c r="AF2099" i="37"/>
  <c r="AF2113" i="37"/>
  <c r="AF2009" i="37"/>
  <c r="AF2022" i="37"/>
  <c r="AF2018" i="37"/>
  <c r="AF2019" i="37" s="1"/>
  <c r="AF1925" i="37"/>
  <c r="AF1926" i="37" s="1"/>
  <c r="AF1927" i="37" s="1"/>
  <c r="AF1928" i="37" s="1"/>
  <c r="AF1929" i="37" s="1"/>
  <c r="AF1930" i="37" s="1"/>
  <c r="AF1931" i="37" s="1"/>
  <c r="AF1932" i="37" s="1"/>
  <c r="AF1933" i="37" s="1"/>
  <c r="AF1934" i="37" s="1"/>
  <c r="AF1983" i="37"/>
  <c r="AF1968" i="37"/>
  <c r="AF1969" i="37" s="1"/>
  <c r="AF2105" i="37"/>
  <c r="AI1019" i="37"/>
  <c r="AI1020" i="37" s="1"/>
  <c r="AI1021" i="37" s="1"/>
  <c r="AI1022" i="37" s="1"/>
  <c r="AI1023" i="37" s="1"/>
  <c r="AI1024" i="37" s="1"/>
  <c r="AI1025" i="37" s="1"/>
  <c r="AI1026" i="37" s="1"/>
  <c r="AI1027" i="37" s="1"/>
  <c r="AI1028" i="37" s="1"/>
  <c r="AI1054" i="37"/>
  <c r="AI1207" i="37"/>
  <c r="AI1116" i="37"/>
  <c r="AI1131" i="37"/>
  <c r="AI1193" i="37"/>
  <c r="AI1062" i="37"/>
  <c r="AI1063" i="37" s="1"/>
  <c r="AI1077" i="37"/>
  <c r="AI1112" i="37"/>
  <c r="AI1113" i="37" s="1"/>
  <c r="AI1103" i="37"/>
  <c r="AI1199" i="37"/>
  <c r="AE486" i="42"/>
  <c r="AE507" i="42"/>
  <c r="AE511" i="42" s="1"/>
  <c r="AE515" i="42" s="1"/>
  <c r="AE519" i="42" s="1"/>
  <c r="AE523" i="42" s="1"/>
  <c r="AL485" i="42"/>
  <c r="AH1623" i="37"/>
  <c r="AH1624" i="37" s="1"/>
  <c r="AH1625" i="37" s="1"/>
  <c r="AH1626" i="37" s="1"/>
  <c r="AH1627" i="37" s="1"/>
  <c r="AH1628" i="37" s="1"/>
  <c r="AH1629" i="37" s="1"/>
  <c r="AH1630" i="37" s="1"/>
  <c r="AH1631" i="37" s="1"/>
  <c r="AH1632" i="37" s="1"/>
  <c r="AH1707" i="37"/>
  <c r="AH1811" i="37"/>
  <c r="AH1720" i="37"/>
  <c r="AH1797" i="37"/>
  <c r="AH1658" i="37"/>
  <c r="AH1681" i="37"/>
  <c r="AH1666" i="37"/>
  <c r="AH1667" i="37" s="1"/>
  <c r="AH1716" i="37"/>
  <c r="AH1717" i="37" s="1"/>
  <c r="AH1735" i="37"/>
  <c r="AH1803" i="37"/>
  <c r="E423" i="50"/>
  <c r="Q338" i="41"/>
  <c r="AL383" i="42"/>
  <c r="AC387" i="42"/>
  <c r="K368" i="37" l="1"/>
  <c r="W370" i="37"/>
  <c r="K2053" i="50"/>
  <c r="K2011" i="50"/>
  <c r="L394" i="37"/>
  <c r="K1971" i="50"/>
  <c r="K999" i="50"/>
  <c r="K1041" i="50"/>
  <c r="N1513" i="50"/>
  <c r="K980" i="50"/>
  <c r="K979" i="50"/>
  <c r="K1021" i="50"/>
  <c r="N1471" i="50"/>
  <c r="X393" i="37"/>
  <c r="M980" i="50"/>
  <c r="M979" i="50"/>
  <c r="M1021" i="50"/>
  <c r="J980" i="50"/>
  <c r="J1021" i="50"/>
  <c r="J979" i="50"/>
  <c r="X370" i="37"/>
  <c r="K394" i="37"/>
  <c r="L393" i="37"/>
  <c r="L1021" i="50"/>
  <c r="L980" i="50"/>
  <c r="L979" i="50"/>
  <c r="M942" i="37"/>
  <c r="M943" i="37"/>
  <c r="Y944" i="37"/>
  <c r="Y943" i="37"/>
  <c r="Y942" i="37"/>
  <c r="I337" i="37"/>
  <c r="X323" i="37"/>
  <c r="W323" i="37"/>
  <c r="Z323" i="37"/>
  <c r="Y323" i="37"/>
  <c r="V323" i="37"/>
  <c r="AB315" i="37"/>
  <c r="U323" i="37"/>
  <c r="T756" i="50"/>
  <c r="T323" i="37"/>
  <c r="M998" i="37"/>
  <c r="M997" i="37"/>
  <c r="Y999" i="37"/>
  <c r="Y997" i="37"/>
  <c r="J942" i="37"/>
  <c r="V943" i="37"/>
  <c r="J943" i="37"/>
  <c r="V942" i="37"/>
  <c r="V944" i="37"/>
  <c r="N369" i="37"/>
  <c r="N368" i="37"/>
  <c r="Z368" i="37"/>
  <c r="Z370" i="37"/>
  <c r="W1162" i="37"/>
  <c r="W1160" i="37"/>
  <c r="K1160" i="37"/>
  <c r="K1161" i="37"/>
  <c r="K972" i="37"/>
  <c r="K973" i="37"/>
  <c r="W974" i="37"/>
  <c r="W972" i="37"/>
  <c r="L339" i="37"/>
  <c r="X339" i="37"/>
  <c r="L338" i="37"/>
  <c r="X340" i="37"/>
  <c r="X338" i="37"/>
  <c r="M394" i="37"/>
  <c r="V997" i="37"/>
  <c r="J997" i="37"/>
  <c r="J998" i="37"/>
  <c r="V999" i="37"/>
  <c r="M1471" i="50"/>
  <c r="K943" i="37"/>
  <c r="W942" i="37"/>
  <c r="W943" i="37"/>
  <c r="W944" i="37"/>
  <c r="K942" i="37"/>
  <c r="V1162" i="37"/>
  <c r="J1161" i="37"/>
  <c r="J1160" i="37"/>
  <c r="V1160" i="37"/>
  <c r="L972" i="37"/>
  <c r="X972" i="37"/>
  <c r="L973" i="37"/>
  <c r="X974" i="37"/>
  <c r="Z1162" i="37"/>
  <c r="Z1160" i="37"/>
  <c r="N1161" i="37"/>
  <c r="N1160" i="37"/>
  <c r="M1513" i="50"/>
  <c r="W999" i="37"/>
  <c r="K998" i="37"/>
  <c r="W997" i="37"/>
  <c r="K997" i="37"/>
  <c r="N1307" i="50"/>
  <c r="N1308" i="50"/>
  <c r="N1349" i="50"/>
  <c r="W556" i="37"/>
  <c r="K556" i="37"/>
  <c r="W558" i="37"/>
  <c r="K557" i="37"/>
  <c r="Y927" i="37"/>
  <c r="W927" i="37"/>
  <c r="X927" i="37"/>
  <c r="I941" i="37"/>
  <c r="V927" i="37"/>
  <c r="AB919" i="37"/>
  <c r="U927" i="37"/>
  <c r="Z927" i="37"/>
  <c r="T927" i="37"/>
  <c r="T1084" i="50"/>
  <c r="N973" i="37"/>
  <c r="N972" i="37"/>
  <c r="Z972" i="37"/>
  <c r="Z974" i="37"/>
  <c r="N998" i="37"/>
  <c r="N997" i="37"/>
  <c r="Z997" i="37"/>
  <c r="Z999" i="37"/>
  <c r="K1533" i="50"/>
  <c r="K1544" i="50"/>
  <c r="Y972" i="37"/>
  <c r="M972" i="37"/>
  <c r="Y974" i="37"/>
  <c r="M973" i="37"/>
  <c r="J973" i="37"/>
  <c r="V974" i="37"/>
  <c r="J972" i="37"/>
  <c r="V972" i="37"/>
  <c r="Y1160" i="37"/>
  <c r="Y1162" i="37"/>
  <c r="M1160" i="37"/>
  <c r="M1161" i="37"/>
  <c r="N942" i="37"/>
  <c r="Z942" i="37"/>
  <c r="Z944" i="37"/>
  <c r="Z943" i="37"/>
  <c r="N943" i="37"/>
  <c r="V1547" i="37"/>
  <c r="J1546" i="37"/>
  <c r="V1548" i="37"/>
  <c r="V1546" i="37"/>
  <c r="J1547" i="37"/>
  <c r="Y1299" i="37"/>
  <c r="M1299" i="37"/>
  <c r="Y1301" i="37"/>
  <c r="M1300" i="37"/>
  <c r="W697" i="37"/>
  <c r="K695" i="37"/>
  <c r="W695" i="37"/>
  <c r="K696" i="37"/>
  <c r="J557" i="37"/>
  <c r="V556" i="37"/>
  <c r="J556" i="37"/>
  <c r="V558" i="37"/>
  <c r="W641" i="37"/>
  <c r="K640" i="37"/>
  <c r="W640" i="37"/>
  <c r="K641" i="37"/>
  <c r="W642" i="37"/>
  <c r="X1462" i="37"/>
  <c r="X1464" i="37"/>
  <c r="L1462" i="37"/>
  <c r="L1463" i="37"/>
  <c r="X1578" i="37"/>
  <c r="L1576" i="37"/>
  <c r="L1577" i="37"/>
  <c r="X1576" i="37"/>
  <c r="V1601" i="37"/>
  <c r="J1601" i="37"/>
  <c r="J1602" i="37"/>
  <c r="V1603" i="37"/>
  <c r="V1276" i="37"/>
  <c r="J1275" i="37"/>
  <c r="V1274" i="37"/>
  <c r="J1274" i="37"/>
  <c r="L1472" i="50"/>
  <c r="L1513" i="50"/>
  <c r="L1471" i="50"/>
  <c r="Y672" i="37"/>
  <c r="M670" i="37"/>
  <c r="Y670" i="37"/>
  <c r="M671" i="37"/>
  <c r="Y695" i="37"/>
  <c r="M696" i="37"/>
  <c r="Y697" i="37"/>
  <c r="M695" i="37"/>
  <c r="J1576" i="37"/>
  <c r="V1578" i="37"/>
  <c r="V1576" i="37"/>
  <c r="J1577" i="37"/>
  <c r="K1547" i="37"/>
  <c r="K1546" i="37"/>
  <c r="W1546" i="37"/>
  <c r="W1548" i="37"/>
  <c r="W1547" i="37"/>
  <c r="L1185" i="50"/>
  <c r="L1143" i="50"/>
  <c r="L1144" i="50"/>
  <c r="Q315" i="41"/>
  <c r="E344" i="41"/>
  <c r="E403" i="50"/>
  <c r="J1471" i="50"/>
  <c r="J1472" i="50"/>
  <c r="J1513" i="50"/>
  <c r="E399" i="50"/>
  <c r="Q311" i="41"/>
  <c r="E340" i="41"/>
  <c r="V670" i="37"/>
  <c r="J671" i="37"/>
  <c r="J670" i="37"/>
  <c r="V672" i="37"/>
  <c r="W1244" i="37"/>
  <c r="K1244" i="37"/>
  <c r="W1245" i="37"/>
  <c r="W1246" i="37"/>
  <c r="K1245" i="37"/>
  <c r="X1274" i="37"/>
  <c r="L1274" i="37"/>
  <c r="L1275" i="37"/>
  <c r="X1276" i="37"/>
  <c r="W1601" i="37"/>
  <c r="K1601" i="37"/>
  <c r="K1602" i="37"/>
  <c r="W1603" i="37"/>
  <c r="M1143" i="50"/>
  <c r="M1185" i="50"/>
  <c r="M1144" i="50"/>
  <c r="Z670" i="37"/>
  <c r="N670" i="37"/>
  <c r="N671" i="37"/>
  <c r="Z672" i="37"/>
  <c r="H1323" i="50"/>
  <c r="H1334" i="50" s="1"/>
  <c r="H1348" i="50" s="1"/>
  <c r="H1362" i="50" s="1"/>
  <c r="H1376" i="50" s="1"/>
  <c r="H1390" i="50" s="1"/>
  <c r="H1406" i="50" s="1"/>
  <c r="H1311" i="50"/>
  <c r="H1320" i="50" s="1"/>
  <c r="N1300" i="50"/>
  <c r="W672" i="37"/>
  <c r="K670" i="37"/>
  <c r="W670" i="37"/>
  <c r="K671" i="37"/>
  <c r="AK1584" i="37"/>
  <c r="K741" i="50"/>
  <c r="K713" i="50"/>
  <c r="K671" i="50"/>
  <c r="K699" i="50"/>
  <c r="K659" i="50"/>
  <c r="K724" i="50"/>
  <c r="X1766" i="37"/>
  <c r="X1764" i="37"/>
  <c r="L1764" i="37"/>
  <c r="L1765" i="37"/>
  <c r="L858" i="37"/>
  <c r="X860" i="37"/>
  <c r="X858" i="37"/>
  <c r="L859" i="37"/>
  <c r="K1300" i="37"/>
  <c r="W1299" i="37"/>
  <c r="K1299" i="37"/>
  <c r="W1301" i="37"/>
  <c r="N1275" i="37"/>
  <c r="Z1274" i="37"/>
  <c r="Z1276" i="37"/>
  <c r="N1274" i="37"/>
  <c r="N1464" i="50"/>
  <c r="H1487" i="50"/>
  <c r="H1498" i="50" s="1"/>
  <c r="H1512" i="50" s="1"/>
  <c r="H1526" i="50" s="1"/>
  <c r="H1540" i="50" s="1"/>
  <c r="H1554" i="50" s="1"/>
  <c r="H1570" i="50" s="1"/>
  <c r="H1475" i="50"/>
  <c r="H1484" i="50" s="1"/>
  <c r="N859" i="37"/>
  <c r="Z860" i="37"/>
  <c r="Z858" i="37"/>
  <c r="N858" i="37"/>
  <c r="K1144" i="50"/>
  <c r="K1185" i="50"/>
  <c r="K1143" i="50"/>
  <c r="Z1601" i="37"/>
  <c r="N1602" i="37"/>
  <c r="Z1603" i="37"/>
  <c r="N1601" i="37"/>
  <c r="E398" i="50"/>
  <c r="Q310" i="41"/>
  <c r="E339" i="41"/>
  <c r="V340" i="37"/>
  <c r="V338" i="37"/>
  <c r="V339" i="37"/>
  <c r="J339" i="37"/>
  <c r="J338" i="37"/>
  <c r="Y1245" i="37"/>
  <c r="Y1246" i="37"/>
  <c r="Y1244" i="37"/>
  <c r="M1244" i="37"/>
  <c r="M1245" i="37"/>
  <c r="X1548" i="37"/>
  <c r="X1546" i="37"/>
  <c r="L1547" i="37"/>
  <c r="X1547" i="37"/>
  <c r="L1546" i="37"/>
  <c r="Y1547" i="37"/>
  <c r="M1547" i="37"/>
  <c r="Y1548" i="37"/>
  <c r="Y1546" i="37"/>
  <c r="M1546" i="37"/>
  <c r="V1301" i="37"/>
  <c r="J1299" i="37"/>
  <c r="V1299" i="37"/>
  <c r="J1300" i="37"/>
  <c r="K652" i="50"/>
  <c r="K651" i="50"/>
  <c r="K693" i="50"/>
  <c r="L640" i="37"/>
  <c r="X640" i="37"/>
  <c r="L641" i="37"/>
  <c r="X641" i="37"/>
  <c r="X642" i="37"/>
  <c r="K1577" i="37"/>
  <c r="W1578" i="37"/>
  <c r="K1576" i="37"/>
  <c r="W1576" i="37"/>
  <c r="AK1282" i="37"/>
  <c r="V858" i="37"/>
  <c r="J859" i="37"/>
  <c r="V860" i="37"/>
  <c r="J858" i="37"/>
  <c r="K1764" i="37"/>
  <c r="W1764" i="37"/>
  <c r="K1765" i="37"/>
  <c r="W1766" i="37"/>
  <c r="Z695" i="37"/>
  <c r="N695" i="37"/>
  <c r="Z697" i="37"/>
  <c r="N696" i="37"/>
  <c r="J1143" i="50"/>
  <c r="J1185" i="50"/>
  <c r="J1144" i="50"/>
  <c r="Q316" i="41"/>
  <c r="E404" i="50"/>
  <c r="E345" i="41"/>
  <c r="Z1547" i="37"/>
  <c r="Z1548" i="37"/>
  <c r="N1546" i="37"/>
  <c r="Z1546" i="37"/>
  <c r="N1547" i="37"/>
  <c r="Z1462" i="37"/>
  <c r="N1462" i="37"/>
  <c r="N1463" i="37"/>
  <c r="Z1464" i="37"/>
  <c r="M859" i="37"/>
  <c r="Y858" i="37"/>
  <c r="M858" i="37"/>
  <c r="Y860" i="37"/>
  <c r="M1308" i="50"/>
  <c r="M1307" i="50"/>
  <c r="M1349" i="50"/>
  <c r="U625" i="37"/>
  <c r="V625" i="37"/>
  <c r="Z625" i="37"/>
  <c r="T625" i="37"/>
  <c r="W625" i="37"/>
  <c r="Y625" i="37"/>
  <c r="AB617" i="37"/>
  <c r="T920" i="50"/>
  <c r="X625" i="37"/>
  <c r="I639" i="37"/>
  <c r="L1601" i="37"/>
  <c r="X1603" i="37"/>
  <c r="L1602" i="37"/>
  <c r="X1601" i="37"/>
  <c r="M1602" i="37"/>
  <c r="M1601" i="37"/>
  <c r="Y1603" i="37"/>
  <c r="Y1601" i="37"/>
  <c r="N651" i="50"/>
  <c r="N652" i="50"/>
  <c r="N693" i="50"/>
  <c r="N1577" i="37"/>
  <c r="N1576" i="37"/>
  <c r="Z1578" i="37"/>
  <c r="Z1576" i="37"/>
  <c r="V695" i="37"/>
  <c r="J696" i="37"/>
  <c r="V697" i="37"/>
  <c r="J695" i="37"/>
  <c r="N641" i="37"/>
  <c r="Z642" i="37"/>
  <c r="Z641" i="37"/>
  <c r="Z640" i="37"/>
  <c r="N640" i="37"/>
  <c r="N1185" i="50"/>
  <c r="N1144" i="50"/>
  <c r="N1143" i="50"/>
  <c r="N1299" i="37"/>
  <c r="Z1299" i="37"/>
  <c r="N1300" i="37"/>
  <c r="Z1301" i="37"/>
  <c r="Y642" i="37"/>
  <c r="M640" i="37"/>
  <c r="Y640" i="37"/>
  <c r="M641" i="37"/>
  <c r="Y641" i="37"/>
  <c r="K1307" i="50"/>
  <c r="K1308" i="50"/>
  <c r="K1349" i="50"/>
  <c r="M1765" i="37"/>
  <c r="M1764" i="37"/>
  <c r="Y1764" i="37"/>
  <c r="Y1766" i="37"/>
  <c r="J1463" i="37"/>
  <c r="J1462" i="37"/>
  <c r="V1462" i="37"/>
  <c r="V1464" i="37"/>
  <c r="L693" i="50"/>
  <c r="L652" i="50"/>
  <c r="L651" i="50"/>
  <c r="X670" i="37"/>
  <c r="L671" i="37"/>
  <c r="L670" i="37"/>
  <c r="X672" i="37"/>
  <c r="L696" i="37"/>
  <c r="X697" i="37"/>
  <c r="X695" i="37"/>
  <c r="L695" i="37"/>
  <c r="Q308" i="41"/>
  <c r="E396" i="50"/>
  <c r="E337" i="41"/>
  <c r="Y1576" i="37"/>
  <c r="Y1578" i="37"/>
  <c r="M1577" i="37"/>
  <c r="M1576" i="37"/>
  <c r="Y1276" i="37"/>
  <c r="M1274" i="37"/>
  <c r="Y1274" i="37"/>
  <c r="M1275" i="37"/>
  <c r="V642" i="37"/>
  <c r="J641" i="37"/>
  <c r="J640" i="37"/>
  <c r="V640" i="37"/>
  <c r="V641" i="37"/>
  <c r="N1151" i="50"/>
  <c r="N1205" i="50"/>
  <c r="N1163" i="50"/>
  <c r="N1216" i="50"/>
  <c r="N1191" i="50"/>
  <c r="N1233" i="50"/>
  <c r="U1229" i="37"/>
  <c r="T1229" i="37"/>
  <c r="Y1229" i="37"/>
  <c r="X1229" i="37"/>
  <c r="W1229" i="37"/>
  <c r="Z1229" i="37"/>
  <c r="T1248" i="50"/>
  <c r="V1229" i="37"/>
  <c r="I1243" i="37"/>
  <c r="AB1221" i="37"/>
  <c r="Z1764" i="37"/>
  <c r="N1764" i="37"/>
  <c r="Z1766" i="37"/>
  <c r="N1765" i="37"/>
  <c r="Z1244" i="37"/>
  <c r="Z1245" i="37"/>
  <c r="Z1246" i="37"/>
  <c r="N1244" i="37"/>
  <c r="N1245" i="37"/>
  <c r="L1244" i="37"/>
  <c r="X1245" i="37"/>
  <c r="L1245" i="37"/>
  <c r="X1244" i="37"/>
  <c r="X1246" i="37"/>
  <c r="V395" i="37"/>
  <c r="J394" i="37"/>
  <c r="V393" i="37"/>
  <c r="J393" i="37"/>
  <c r="Y395" i="37"/>
  <c r="Y393" i="37"/>
  <c r="V1766" i="37"/>
  <c r="V1764" i="37"/>
  <c r="J1764" i="37"/>
  <c r="J1765" i="37"/>
  <c r="L1300" i="37"/>
  <c r="X1301" i="37"/>
  <c r="X1299" i="37"/>
  <c r="L1299" i="37"/>
  <c r="E400" i="50"/>
  <c r="E341" i="41"/>
  <c r="Q312" i="41"/>
  <c r="W1274" i="37"/>
  <c r="W1276" i="37"/>
  <c r="K1275" i="37"/>
  <c r="K1274" i="37"/>
  <c r="Y1462" i="37"/>
  <c r="M1463" i="37"/>
  <c r="M1462" i="37"/>
  <c r="Y1464" i="37"/>
  <c r="K1151" i="50"/>
  <c r="K1163" i="50"/>
  <c r="K1216" i="50"/>
  <c r="K1191" i="50"/>
  <c r="K1205" i="50"/>
  <c r="K1233" i="50"/>
  <c r="K859" i="37"/>
  <c r="W860" i="37"/>
  <c r="K858" i="37"/>
  <c r="W858" i="37"/>
  <c r="W1462" i="37"/>
  <c r="W1464" i="37"/>
  <c r="K1462" i="37"/>
  <c r="K1463" i="37"/>
  <c r="V1244" i="37"/>
  <c r="J1245" i="37"/>
  <c r="V1245" i="37"/>
  <c r="V1246" i="37"/>
  <c r="J1244" i="37"/>
  <c r="J693" i="50"/>
  <c r="J652" i="50"/>
  <c r="J651" i="50"/>
  <c r="H667" i="50"/>
  <c r="H678" i="50" s="1"/>
  <c r="H692" i="50" s="1"/>
  <c r="H706" i="50" s="1"/>
  <c r="H720" i="50" s="1"/>
  <c r="H734" i="50" s="1"/>
  <c r="H750" i="50" s="1"/>
  <c r="N644" i="50"/>
  <c r="H655" i="50"/>
  <c r="H664" i="50" s="1"/>
  <c r="H1147" i="50"/>
  <c r="H1156" i="50" s="1"/>
  <c r="N1136" i="50"/>
  <c r="H1159" i="50"/>
  <c r="H1170" i="50" s="1"/>
  <c r="H1184" i="50" s="1"/>
  <c r="H1198" i="50" s="1"/>
  <c r="H1212" i="50" s="1"/>
  <c r="H1226" i="50" s="1"/>
  <c r="H1242" i="50" s="1"/>
  <c r="M671" i="50"/>
  <c r="M724" i="50"/>
  <c r="M659" i="50"/>
  <c r="M713" i="50"/>
  <c r="M699" i="50"/>
  <c r="M741" i="50"/>
  <c r="L699" i="50"/>
  <c r="L724" i="50"/>
  <c r="L741" i="50"/>
  <c r="L671" i="50"/>
  <c r="L659" i="50"/>
  <c r="L713" i="50"/>
  <c r="N659" i="50"/>
  <c r="N724" i="50"/>
  <c r="N671" i="50"/>
  <c r="N741" i="50"/>
  <c r="N713" i="50"/>
  <c r="N699" i="50"/>
  <c r="X1531" i="37"/>
  <c r="Z1531" i="37"/>
  <c r="T1412" i="50"/>
  <c r="T1531" i="37"/>
  <c r="AB1523" i="37"/>
  <c r="U1531" i="37"/>
  <c r="I1545" i="37"/>
  <c r="Y1531" i="37"/>
  <c r="V1531" i="37"/>
  <c r="W1531" i="37"/>
  <c r="Q314" i="41"/>
  <c r="E402" i="50"/>
  <c r="E343" i="41"/>
  <c r="M1233" i="50"/>
  <c r="M1216" i="50"/>
  <c r="M1205" i="50"/>
  <c r="M1151" i="50"/>
  <c r="M1163" i="50"/>
  <c r="M1191" i="50"/>
  <c r="N1963" i="50"/>
  <c r="N2005" i="50"/>
  <c r="N1964" i="50"/>
  <c r="K1963" i="50"/>
  <c r="K2005" i="50"/>
  <c r="K1964" i="50"/>
  <c r="N1956" i="50"/>
  <c r="H1979" i="50"/>
  <c r="H1990" i="50" s="1"/>
  <c r="H2004" i="50" s="1"/>
  <c r="H2018" i="50" s="1"/>
  <c r="H2032" i="50" s="1"/>
  <c r="H2046" i="50" s="1"/>
  <c r="H2062" i="50" s="1"/>
  <c r="H1967" i="50"/>
  <c r="H1976" i="50" s="1"/>
  <c r="M1963" i="50"/>
  <c r="M2005" i="50"/>
  <c r="M1964" i="50"/>
  <c r="J1964" i="50"/>
  <c r="J1963" i="50"/>
  <c r="J2005" i="50"/>
  <c r="M1971" i="50"/>
  <c r="M2036" i="50"/>
  <c r="M2011" i="50"/>
  <c r="M1983" i="50"/>
  <c r="M2053" i="50"/>
  <c r="M2025" i="50"/>
  <c r="K2484" i="37"/>
  <c r="N2490" i="37"/>
  <c r="J1561" i="50"/>
  <c r="J1544" i="50"/>
  <c r="J1533" i="50"/>
  <c r="J1519" i="50"/>
  <c r="J1491" i="50"/>
  <c r="J1528" i="50"/>
  <c r="J1517" i="50"/>
  <c r="J1500" i="50"/>
  <c r="J1542" i="50"/>
  <c r="J1489" i="50"/>
  <c r="J1534" i="50"/>
  <c r="J1520" i="50"/>
  <c r="J1506" i="50"/>
  <c r="J1492" i="50"/>
  <c r="J1562" i="50"/>
  <c r="J1488" i="50"/>
  <c r="J1555" i="50"/>
  <c r="J1541" i="50"/>
  <c r="J1527" i="50"/>
  <c r="J1499" i="50"/>
  <c r="J1526" i="50"/>
  <c r="J1512" i="50"/>
  <c r="J1498" i="50"/>
  <c r="J1554" i="50"/>
  <c r="J1540" i="50"/>
  <c r="J1490" i="50"/>
  <c r="J1560" i="50"/>
  <c r="J1543" i="50"/>
  <c r="J1518" i="50"/>
  <c r="J1501" i="50"/>
  <c r="N496" i="50"/>
  <c r="N508" i="50"/>
  <c r="M534" i="50"/>
  <c r="G2431" i="50"/>
  <c r="N522" i="50"/>
  <c r="N536" i="50"/>
  <c r="N550" i="50"/>
  <c r="M494" i="50"/>
  <c r="M576" i="50"/>
  <c r="J2439" i="50"/>
  <c r="J2440" i="50" s="1"/>
  <c r="M506" i="50"/>
  <c r="M517" i="50"/>
  <c r="M522" i="50"/>
  <c r="M578" i="50"/>
  <c r="K508" i="50"/>
  <c r="K578" i="50"/>
  <c r="K536" i="50"/>
  <c r="M536" i="50"/>
  <c r="M550" i="50"/>
  <c r="K496" i="50"/>
  <c r="K550" i="50"/>
  <c r="M496" i="50"/>
  <c r="K223" i="47"/>
  <c r="L223" i="47" s="1"/>
  <c r="M223" i="47" s="1"/>
  <c r="N223" i="47" s="1"/>
  <c r="J2484" i="37"/>
  <c r="L2490" i="37"/>
  <c r="J2490" i="37"/>
  <c r="N2487" i="37"/>
  <c r="N2489" i="37" s="1"/>
  <c r="L2484" i="37"/>
  <c r="K2487" i="37"/>
  <c r="K2489" i="37" s="1"/>
  <c r="AK2515" i="37"/>
  <c r="L559" i="50"/>
  <c r="L494" i="50"/>
  <c r="L506" i="50"/>
  <c r="L534" i="50"/>
  <c r="L517" i="50"/>
  <c r="L576" i="50"/>
  <c r="H503" i="50"/>
  <c r="H514" i="50" s="1"/>
  <c r="H528" i="50" s="1"/>
  <c r="H542" i="50" s="1"/>
  <c r="H556" i="50" s="1"/>
  <c r="H570" i="50" s="1"/>
  <c r="H586" i="50" s="1"/>
  <c r="H491" i="50"/>
  <c r="H500" i="50" s="1"/>
  <c r="N480" i="50"/>
  <c r="P531" i="50"/>
  <c r="Q3031" i="37"/>
  <c r="N506" i="50"/>
  <c r="N494" i="50"/>
  <c r="N534" i="50"/>
  <c r="N517" i="50"/>
  <c r="N576" i="50"/>
  <c r="N559" i="50"/>
  <c r="P574" i="50"/>
  <c r="L536" i="50"/>
  <c r="L508" i="50"/>
  <c r="L578" i="50"/>
  <c r="L496" i="50"/>
  <c r="L522" i="50"/>
  <c r="L550" i="50"/>
  <c r="P502" i="50"/>
  <c r="K576" i="50"/>
  <c r="K494" i="50"/>
  <c r="K506" i="50"/>
  <c r="K517" i="50"/>
  <c r="K559" i="50"/>
  <c r="K534" i="50"/>
  <c r="AH54" i="37"/>
  <c r="AH56" i="37" s="1"/>
  <c r="AI54" i="37"/>
  <c r="AI56" i="37" s="1"/>
  <c r="Z35" i="37"/>
  <c r="AC54" i="37"/>
  <c r="AE54" i="37"/>
  <c r="AE56" i="37" s="1"/>
  <c r="H23" i="37"/>
  <c r="AG83" i="37"/>
  <c r="AG293" i="37" s="1"/>
  <c r="AH21" i="37"/>
  <c r="AG21" i="37"/>
  <c r="W21" i="37"/>
  <c r="AE21" i="37"/>
  <c r="AC83" i="37"/>
  <c r="AC293" i="37" s="1"/>
  <c r="AF54" i="37"/>
  <c r="AF56" i="37" s="1"/>
  <c r="L23" i="37"/>
  <c r="L483" i="50" s="1"/>
  <c r="N23" i="37"/>
  <c r="N483" i="50" s="1"/>
  <c r="Y35" i="37"/>
  <c r="X35" i="37"/>
  <c r="T592" i="50"/>
  <c r="AI21" i="37"/>
  <c r="AF21" i="37"/>
  <c r="Y21" i="37"/>
  <c r="AD21" i="37"/>
  <c r="AD83" i="37"/>
  <c r="AD293" i="37" s="1"/>
  <c r="AB13" i="37"/>
  <c r="X21" i="37"/>
  <c r="Z21" i="37"/>
  <c r="I35" i="37"/>
  <c r="U21" i="37"/>
  <c r="V35" i="37"/>
  <c r="I23" i="37"/>
  <c r="I483" i="50" s="1"/>
  <c r="M23" i="37"/>
  <c r="M483" i="50" s="1"/>
  <c r="W35" i="37"/>
  <c r="AD54" i="37"/>
  <c r="AD56" i="37" s="1"/>
  <c r="K23" i="37"/>
  <c r="K483" i="50" s="1"/>
  <c r="V21" i="37"/>
  <c r="AC21" i="37"/>
  <c r="AG54" i="37"/>
  <c r="AG56" i="37" s="1"/>
  <c r="AF83" i="37"/>
  <c r="AF293" i="37" s="1"/>
  <c r="T21" i="37"/>
  <c r="AH83" i="37"/>
  <c r="AH293" i="37" s="1"/>
  <c r="AI83" i="37"/>
  <c r="AI293" i="37" s="1"/>
  <c r="AE83" i="37"/>
  <c r="AE293" i="37" s="1"/>
  <c r="E336" i="41"/>
  <c r="Q307" i="41"/>
  <c r="E395" i="50"/>
  <c r="X2205" i="37"/>
  <c r="L2205" i="37"/>
  <c r="X2207" i="37"/>
  <c r="L2206" i="37"/>
  <c r="X916" i="42"/>
  <c r="X907" i="42"/>
  <c r="Y907" i="42"/>
  <c r="Y916" i="42"/>
  <c r="V916" i="42"/>
  <c r="V907" i="42"/>
  <c r="M2151" i="37"/>
  <c r="Y2151" i="37"/>
  <c r="M2150" i="37"/>
  <c r="Y2150" i="37"/>
  <c r="Y2152" i="37"/>
  <c r="V2205" i="37"/>
  <c r="J2205" i="37"/>
  <c r="V2207" i="37"/>
  <c r="J2206" i="37"/>
  <c r="N841" i="42"/>
  <c r="N2446" i="50" s="1"/>
  <c r="N2447" i="50" s="1"/>
  <c r="N2435" i="50"/>
  <c r="N838" i="42"/>
  <c r="X847" i="42"/>
  <c r="X856" i="42"/>
  <c r="L838" i="42"/>
  <c r="L841" i="42"/>
  <c r="L2446" i="50" s="1"/>
  <c r="L2447" i="50" s="1"/>
  <c r="K2490" i="37"/>
  <c r="M2484" i="37"/>
  <c r="M2487" i="37"/>
  <c r="M2489" i="37" s="1"/>
  <c r="AH2438" i="37"/>
  <c r="AF2438" i="37"/>
  <c r="AD2438" i="37"/>
  <c r="AI2438" i="37"/>
  <c r="AE2438" i="37"/>
  <c r="AC2438" i="37"/>
  <c r="AG2438" i="37"/>
  <c r="L2487" i="37"/>
  <c r="L2489" i="37" s="1"/>
  <c r="V2481" i="37"/>
  <c r="V2669" i="37"/>
  <c r="J2669" i="37" s="1"/>
  <c r="V2506" i="37"/>
  <c r="J2506" i="37" s="1"/>
  <c r="J2451" i="37"/>
  <c r="AK2678" i="37"/>
  <c r="Z2150" i="37"/>
  <c r="Z2151" i="37"/>
  <c r="Z2152" i="37"/>
  <c r="N2150" i="37"/>
  <c r="N2151" i="37"/>
  <c r="J327" i="41"/>
  <c r="J414" i="50" s="1"/>
  <c r="AC816" i="42"/>
  <c r="AL816" i="42" s="1"/>
  <c r="AL813" i="42"/>
  <c r="N327" i="41"/>
  <c r="N414" i="50" s="1"/>
  <c r="AK1501" i="37"/>
  <c r="H2756" i="37"/>
  <c r="H2762" i="37"/>
  <c r="X2151" i="37"/>
  <c r="L2150" i="37"/>
  <c r="X2152" i="37"/>
  <c r="L2151" i="37"/>
  <c r="X2150" i="37"/>
  <c r="J2478" i="50"/>
  <c r="U2494" i="50"/>
  <c r="Y2205" i="37"/>
  <c r="Y2207" i="37"/>
  <c r="M2205" i="37"/>
  <c r="M2206" i="37"/>
  <c r="V2368" i="37"/>
  <c r="J2369" i="37"/>
  <c r="J2368" i="37"/>
  <c r="V2370" i="37"/>
  <c r="V856" i="42"/>
  <c r="V847" i="42"/>
  <c r="J838" i="42"/>
  <c r="J841" i="42"/>
  <c r="J2446" i="50" s="1"/>
  <c r="J2447" i="50" s="1"/>
  <c r="L2451" i="37"/>
  <c r="X2481" i="37"/>
  <c r="X2669" i="37"/>
  <c r="L2669" i="37" s="1"/>
  <c r="X2506" i="37"/>
  <c r="L2506" i="37" s="1"/>
  <c r="AK2460" i="37"/>
  <c r="V2429" i="37"/>
  <c r="AK2439" i="37"/>
  <c r="W2370" i="37"/>
  <c r="W2368" i="37"/>
  <c r="K2369" i="37"/>
  <c r="K2368" i="37"/>
  <c r="N2369" i="37"/>
  <c r="N2368" i="37"/>
  <c r="Z2370" i="37"/>
  <c r="Z2368" i="37"/>
  <c r="M2180" i="37"/>
  <c r="Y2182" i="37"/>
  <c r="Y2180" i="37"/>
  <c r="M2181" i="37"/>
  <c r="X2182" i="37"/>
  <c r="L2180" i="37"/>
  <c r="L2181" i="37"/>
  <c r="X2180" i="37"/>
  <c r="I2149" i="37"/>
  <c r="AG2197" i="37"/>
  <c r="X2135" i="37"/>
  <c r="AE2135" i="37"/>
  <c r="AH2197" i="37"/>
  <c r="AE2197" i="37"/>
  <c r="AB2127" i="37"/>
  <c r="AF2135" i="37"/>
  <c r="W2135" i="37"/>
  <c r="U2135" i="37"/>
  <c r="V2135" i="37"/>
  <c r="Z2135" i="37"/>
  <c r="T1740" i="50"/>
  <c r="AI2135" i="37"/>
  <c r="AD2197" i="37"/>
  <c r="AC2135" i="37"/>
  <c r="T2135" i="37"/>
  <c r="Y2135" i="37"/>
  <c r="AF2197" i="37"/>
  <c r="AI2197" i="37"/>
  <c r="AC2197" i="37"/>
  <c r="AD2135" i="37"/>
  <c r="AG2135" i="37"/>
  <c r="AH2135" i="37"/>
  <c r="AK897" i="37"/>
  <c r="AH2772" i="37"/>
  <c r="AH2774" i="37" s="1"/>
  <c r="AG2772" i="37"/>
  <c r="AG2774" i="37" s="1"/>
  <c r="AF2772" i="37"/>
  <c r="AF2774" i="37" s="1"/>
  <c r="N2977" i="37"/>
  <c r="N2979" i="37" s="1"/>
  <c r="J2756" i="37"/>
  <c r="X2753" i="37"/>
  <c r="Q2753" i="37"/>
  <c r="R2743" i="37"/>
  <c r="N2740" i="37"/>
  <c r="Q2808" i="37"/>
  <c r="I2808" i="37" s="1"/>
  <c r="AG2937" i="37"/>
  <c r="AD2939" i="37" s="1"/>
  <c r="AD2948" i="37" s="1"/>
  <c r="AD2957" i="37" s="1"/>
  <c r="AD2983" i="37" s="1"/>
  <c r="AD2992" i="37" s="1"/>
  <c r="N2759" i="37"/>
  <c r="N2761" i="37" s="1"/>
  <c r="S2774" i="37"/>
  <c r="V2753" i="37"/>
  <c r="L2741" i="37"/>
  <c r="Q2875" i="37"/>
  <c r="I2846" i="37"/>
  <c r="N2811" i="37"/>
  <c r="Q2928" i="37"/>
  <c r="Q2990" i="37"/>
  <c r="M2811" i="37"/>
  <c r="K2814" i="37"/>
  <c r="K2816" i="37" s="1"/>
  <c r="M2814" i="37"/>
  <c r="M2816" i="37" s="1"/>
  <c r="M2762" i="37"/>
  <c r="Q2977" i="37"/>
  <c r="N2817" i="37"/>
  <c r="S2905" i="37"/>
  <c r="AG2884" i="37"/>
  <c r="AD2886" i="37" s="1"/>
  <c r="AD2898" i="37" s="1"/>
  <c r="M2741" i="37"/>
  <c r="M2740" i="37"/>
  <c r="Z2753" i="37"/>
  <c r="S2924" i="37"/>
  <c r="Q2998" i="37"/>
  <c r="Q2866" i="37"/>
  <c r="S2933" i="37"/>
  <c r="K2773" i="37"/>
  <c r="Q2965" i="37"/>
  <c r="Q2761" i="37"/>
  <c r="H2743" i="37"/>
  <c r="Q2967" i="37"/>
  <c r="L2740" i="37"/>
  <c r="AC2772" i="37"/>
  <c r="Q2945" i="37"/>
  <c r="Q2762" i="37"/>
  <c r="X2731" i="37"/>
  <c r="Z2731" i="37" s="1"/>
  <c r="Q2974" i="37"/>
  <c r="Q2972" i="37" s="1"/>
  <c r="K2756" i="37"/>
  <c r="M2974" i="37"/>
  <c r="AG3016" i="37"/>
  <c r="I2756" i="37"/>
  <c r="I2762" i="37" s="1"/>
  <c r="Q2989" i="37"/>
  <c r="J2974" i="37"/>
  <c r="Y2753" i="37"/>
  <c r="S2866" i="37"/>
  <c r="Q2964" i="37"/>
  <c r="Q2759" i="37"/>
  <c r="I2741" i="37"/>
  <c r="T2731" i="37"/>
  <c r="S2915" i="37"/>
  <c r="M2773" i="37"/>
  <c r="AE2772" i="37"/>
  <c r="AE2774" i="37" s="1"/>
  <c r="Q2874" i="37"/>
  <c r="Q2999" i="37"/>
  <c r="Q2811" i="37"/>
  <c r="Q2809" i="37" s="1"/>
  <c r="L2762" i="37"/>
  <c r="S2989" i="37"/>
  <c r="K2811" i="37"/>
  <c r="S3005" i="37"/>
  <c r="M2977" i="37"/>
  <c r="M2979" i="37" s="1"/>
  <c r="Q2817" i="37"/>
  <c r="N2762" i="37"/>
  <c r="Q2783" i="37"/>
  <c r="Q2929" i="37"/>
  <c r="J2980" i="37"/>
  <c r="R2774" i="37"/>
  <c r="Q2924" i="37"/>
  <c r="Q3005" i="37"/>
  <c r="N2773" i="37"/>
  <c r="K2762" i="37"/>
  <c r="Q2925" i="37"/>
  <c r="W2753" i="37"/>
  <c r="J2759" i="37"/>
  <c r="J2761" i="37" s="1"/>
  <c r="N2974" i="37"/>
  <c r="J2795" i="37"/>
  <c r="E2866" i="37"/>
  <c r="L2817" i="37"/>
  <c r="Q2933" i="37"/>
  <c r="L2759" i="37"/>
  <c r="L2761" i="37" s="1"/>
  <c r="Q2789" i="37"/>
  <c r="M2759" i="37"/>
  <c r="M2761" i="37" s="1"/>
  <c r="Q2778" i="37"/>
  <c r="N2741" i="37"/>
  <c r="Q2814" i="37"/>
  <c r="Q2955" i="37"/>
  <c r="T2767" i="37"/>
  <c r="L2792" i="37" s="1"/>
  <c r="J2741" i="37"/>
  <c r="I2773" i="37"/>
  <c r="Q2893" i="37"/>
  <c r="H2741" i="37"/>
  <c r="AD2772" i="37"/>
  <c r="AD2774" i="37" s="1"/>
  <c r="J2767" i="37"/>
  <c r="Q2905" i="37"/>
  <c r="Q2756" i="37"/>
  <c r="Q2754" i="37" s="1"/>
  <c r="J2814" i="37"/>
  <c r="J2816" i="37" s="1"/>
  <c r="M2980" i="37"/>
  <c r="N2814" i="37"/>
  <c r="N2816" i="37" s="1"/>
  <c r="Q3023" i="37"/>
  <c r="I2811" i="37"/>
  <c r="I2817" i="37" s="1"/>
  <c r="AL2731" i="37"/>
  <c r="Q2932" i="37"/>
  <c r="S2932" i="37"/>
  <c r="E3011" i="37"/>
  <c r="K2759" i="37"/>
  <c r="K2761" i="37" s="1"/>
  <c r="N2980" i="37"/>
  <c r="S2925" i="37"/>
  <c r="Q3019" i="37"/>
  <c r="Q2954" i="37"/>
  <c r="Q2792" i="37"/>
  <c r="M2756" i="37"/>
  <c r="J2977" i="37"/>
  <c r="J2979" i="37" s="1"/>
  <c r="Q2786" i="37"/>
  <c r="Q2784" i="37" s="1"/>
  <c r="Q2915" i="37"/>
  <c r="K2980" i="37"/>
  <c r="L2773" i="37"/>
  <c r="Q3011" i="37"/>
  <c r="Q2802" i="37"/>
  <c r="L2974" i="37"/>
  <c r="Q2740" i="37"/>
  <c r="S2990" i="37"/>
  <c r="E2739" i="37"/>
  <c r="J2773" i="37"/>
  <c r="J2740" i="37"/>
  <c r="Q3024" i="37"/>
  <c r="Q2741" i="37"/>
  <c r="I2974" i="37"/>
  <c r="I2980" i="37" s="1"/>
  <c r="S2893" i="37"/>
  <c r="H2773" i="37"/>
  <c r="J2811" i="37"/>
  <c r="AI2772" i="37"/>
  <c r="AI2774" i="37" s="1"/>
  <c r="M2817" i="37"/>
  <c r="L2977" i="37"/>
  <c r="L2979" i="37" s="1"/>
  <c r="J2817" i="37"/>
  <c r="K2740" i="37"/>
  <c r="L2756" i="37"/>
  <c r="L2980" i="37"/>
  <c r="K2817" i="37"/>
  <c r="K2977" i="37"/>
  <c r="K2979" i="37" s="1"/>
  <c r="K2974" i="37"/>
  <c r="N2756" i="37"/>
  <c r="J2762" i="37"/>
  <c r="S2999" i="37"/>
  <c r="Q3020" i="37"/>
  <c r="I2740" i="37"/>
  <c r="Q2971" i="37"/>
  <c r="I2971" i="37" s="1"/>
  <c r="Q2980" i="37"/>
  <c r="L2814" i="37"/>
  <c r="L2816" i="37" s="1"/>
  <c r="Q2946" i="37"/>
  <c r="H2740" i="37"/>
  <c r="K2741" i="37"/>
  <c r="L2811" i="37"/>
  <c r="L2368" i="37"/>
  <c r="X2368" i="37"/>
  <c r="L2369" i="37"/>
  <c r="X2370" i="37"/>
  <c r="K327" i="41"/>
  <c r="K414" i="50" s="1"/>
  <c r="K409" i="50"/>
  <c r="M409" i="50"/>
  <c r="M327" i="41"/>
  <c r="M414" i="50" s="1"/>
  <c r="J2150" i="37"/>
  <c r="V2152" i="37"/>
  <c r="V2150" i="37"/>
  <c r="J2151" i="37"/>
  <c r="V2151" i="37"/>
  <c r="Y856" i="42"/>
  <c r="K838" i="42"/>
  <c r="K841" i="42"/>
  <c r="K2446" i="50" s="1"/>
  <c r="K2447" i="50" s="1"/>
  <c r="I327" i="41"/>
  <c r="I414" i="50" s="1"/>
  <c r="J2487" i="37"/>
  <c r="J2489" i="37" s="1"/>
  <c r="K2481" i="37"/>
  <c r="I2481" i="37"/>
  <c r="L2481" i="37"/>
  <c r="J2476" i="37"/>
  <c r="N2476" i="37"/>
  <c r="I2476" i="37"/>
  <c r="I2484" i="37"/>
  <c r="I2490" i="37" s="1"/>
  <c r="M2481" i="37"/>
  <c r="J2481" i="37"/>
  <c r="H2476" i="37"/>
  <c r="K2476" i="37"/>
  <c r="M2476" i="37"/>
  <c r="L2476" i="37"/>
  <c r="N2481" i="37"/>
  <c r="M2490" i="37"/>
  <c r="Y2506" i="37"/>
  <c r="M2506" i="37" s="1"/>
  <c r="M2451" i="37"/>
  <c r="Y2669" i="37"/>
  <c r="M2669" i="37" s="1"/>
  <c r="Y2481" i="37"/>
  <c r="AC2472" i="37"/>
  <c r="AK2472" i="37" s="1"/>
  <c r="AK2470" i="37"/>
  <c r="W2152" i="37"/>
  <c r="W2150" i="37"/>
  <c r="W2151" i="37"/>
  <c r="K2150" i="37"/>
  <c r="K2151" i="37"/>
  <c r="AL811" i="42"/>
  <c r="AC814" i="42"/>
  <c r="AK2188" i="37"/>
  <c r="W2180" i="37"/>
  <c r="K2180" i="37"/>
  <c r="K2181" i="37"/>
  <c r="W2182" i="37"/>
  <c r="V2182" i="37"/>
  <c r="J2180" i="37"/>
  <c r="V2180" i="37"/>
  <c r="J2181" i="37"/>
  <c r="N2181" i="37"/>
  <c r="Z2180" i="37"/>
  <c r="N2180" i="37"/>
  <c r="Z2182" i="37"/>
  <c r="AL486" i="42"/>
  <c r="H327" i="41"/>
  <c r="H414" i="50" s="1"/>
  <c r="Z907" i="42"/>
  <c r="Z916" i="42"/>
  <c r="W907" i="42"/>
  <c r="W916" i="42"/>
  <c r="Y2370" i="37"/>
  <c r="Y2368" i="37"/>
  <c r="M2368" i="37"/>
  <c r="M2369" i="37"/>
  <c r="M838" i="42"/>
  <c r="M841" i="42"/>
  <c r="M2446" i="50" s="1"/>
  <c r="M2447" i="50" s="1"/>
  <c r="W847" i="42"/>
  <c r="W856" i="42"/>
  <c r="W2669" i="37"/>
  <c r="K2669" i="37" s="1"/>
  <c r="K2451" i="37"/>
  <c r="W2506" i="37"/>
  <c r="K2506" i="37" s="1"/>
  <c r="W2481" i="37"/>
  <c r="Z2481" i="37"/>
  <c r="Z2669" i="37"/>
  <c r="N2669" i="37" s="1"/>
  <c r="N2451" i="37"/>
  <c r="Z2506" i="37"/>
  <c r="N2506" i="37" s="1"/>
  <c r="K2205" i="37"/>
  <c r="W2207" i="37"/>
  <c r="K2206" i="37"/>
  <c r="W2205" i="37"/>
  <c r="Z2207" i="37"/>
  <c r="Z2205" i="37"/>
  <c r="N2206" i="37"/>
  <c r="N2205" i="37"/>
  <c r="L327" i="41"/>
  <c r="L414" i="50" s="1"/>
  <c r="O261" i="34"/>
  <c r="R261" i="34" s="1"/>
  <c r="C262" i="34"/>
  <c r="D261" i="34"/>
  <c r="AF2114" i="37"/>
  <c r="AF2118" i="37" s="1"/>
  <c r="AF2117" i="37"/>
  <c r="AI2026" i="37"/>
  <c r="AI2027" i="37" s="1"/>
  <c r="AI2023" i="37"/>
  <c r="AD1434" i="37"/>
  <c r="AD1436" i="37" s="1"/>
  <c r="AD1489" i="37" s="1"/>
  <c r="AD1477" i="37"/>
  <c r="AD1478" i="37" s="1"/>
  <c r="AD1480" i="37" s="1"/>
  <c r="AD1486" i="37"/>
  <c r="AD1487" i="37" s="1"/>
  <c r="AD1442" i="37"/>
  <c r="AC811" i="37"/>
  <c r="AK810" i="37"/>
  <c r="AC776" i="37"/>
  <c r="AC787" i="37"/>
  <c r="AK775" i="37"/>
  <c r="AE1486" i="37"/>
  <c r="AE1487" i="37" s="1"/>
  <c r="AE1442" i="37"/>
  <c r="AE1434" i="37"/>
  <c r="AE1436" i="37" s="1"/>
  <c r="AE1489" i="37" s="1"/>
  <c r="AE1477" i="37"/>
  <c r="AE1478" i="37" s="1"/>
  <c r="AE1480" i="37" s="1"/>
  <c r="AE1391" i="37"/>
  <c r="AE1380" i="37"/>
  <c r="AL384" i="42"/>
  <c r="AC388" i="42"/>
  <c r="AG1724" i="37"/>
  <c r="AG1725" i="37" s="1"/>
  <c r="AG1721" i="37"/>
  <c r="AC1969" i="37"/>
  <c r="AK1969" i="37" s="1"/>
  <c r="AK1968" i="37"/>
  <c r="AC2019" i="37"/>
  <c r="AK2018" i="37"/>
  <c r="AD2026" i="37"/>
  <c r="AD2027" i="37" s="1"/>
  <c r="AD2023" i="37"/>
  <c r="AD2117" i="37"/>
  <c r="AD2114" i="37"/>
  <c r="AD2118" i="37" s="1"/>
  <c r="AD2046" i="37"/>
  <c r="AD2081" i="37"/>
  <c r="AD2082" i="37" s="1"/>
  <c r="AD2084" i="37" s="1"/>
  <c r="AD2038" i="37"/>
  <c r="AD2040" i="37" s="1"/>
  <c r="AD2093" i="37" s="1"/>
  <c r="AD2090" i="37"/>
  <c r="AD2091" i="37" s="1"/>
  <c r="AE1984" i="37"/>
  <c r="AE1995" i="37"/>
  <c r="AE485" i="37"/>
  <c r="AE474" i="37"/>
  <c r="AI1391" i="37"/>
  <c r="AI1380" i="37"/>
  <c r="AC514" i="42"/>
  <c r="AL510" i="42"/>
  <c r="AG1117" i="37"/>
  <c r="AG1120" i="37"/>
  <c r="AG1121" i="37" s="1"/>
  <c r="AD1120" i="37"/>
  <c r="AD1121" i="37" s="1"/>
  <c r="AD1117" i="37"/>
  <c r="AF516" i="37"/>
  <c r="AF517" i="37" s="1"/>
  <c r="AF513" i="37"/>
  <c r="AI909" i="37"/>
  <c r="AI906" i="37"/>
  <c r="AI910" i="37" s="1"/>
  <c r="AG1513" i="37"/>
  <c r="AG1510" i="37"/>
  <c r="AG1514" i="37" s="1"/>
  <c r="AK1797" i="37"/>
  <c r="AC1724" i="37"/>
  <c r="AK1720" i="37"/>
  <c r="AC1721" i="37"/>
  <c r="AE1132" i="37"/>
  <c r="AE1134" i="37" s="1"/>
  <c r="AE1187" i="37" s="1"/>
  <c r="AE1140" i="37"/>
  <c r="AE1175" i="37"/>
  <c r="AE1176" i="37" s="1"/>
  <c r="AE1178" i="37" s="1"/>
  <c r="AE1184" i="37"/>
  <c r="AE1185" i="37" s="1"/>
  <c r="AB415" i="37"/>
  <c r="AC416" i="37"/>
  <c r="AK415" i="37"/>
  <c r="AE1693" i="37"/>
  <c r="AE1682" i="37"/>
  <c r="AE1779" i="37"/>
  <c r="AE1780" i="37" s="1"/>
  <c r="AE1782" i="37" s="1"/>
  <c r="AE1744" i="37"/>
  <c r="AE1788" i="37"/>
  <c r="AE1789" i="37" s="1"/>
  <c r="AE1736" i="37"/>
  <c r="AE1738" i="37" s="1"/>
  <c r="AE1791" i="37" s="1"/>
  <c r="AF1721" i="37"/>
  <c r="AF1724" i="37"/>
  <c r="AF1725" i="37" s="1"/>
  <c r="AH1721" i="37"/>
  <c r="AH1724" i="37"/>
  <c r="AH1725" i="37" s="1"/>
  <c r="AI1089" i="37"/>
  <c r="AI1078" i="37"/>
  <c r="AI1117" i="37"/>
  <c r="AI1120" i="37"/>
  <c r="AI1121" i="37" s="1"/>
  <c r="AI1995" i="37"/>
  <c r="AI1984" i="37"/>
  <c r="AG776" i="37"/>
  <c r="AG787" i="37"/>
  <c r="AD1391" i="37"/>
  <c r="AD1380" i="37"/>
  <c r="AK905" i="37"/>
  <c r="AC909" i="37"/>
  <c r="AC906" i="37"/>
  <c r="AC910" i="37" s="1"/>
  <c r="AK814" i="37"/>
  <c r="AC815" i="37"/>
  <c r="AC818" i="37"/>
  <c r="AE1513" i="37"/>
  <c r="AE1510" i="37"/>
  <c r="AE1514" i="37" s="1"/>
  <c r="AF1380" i="37"/>
  <c r="AF1391" i="37"/>
  <c r="AL363" i="42"/>
  <c r="AG1682" i="37"/>
  <c r="AG1693" i="37"/>
  <c r="AH1078" i="37"/>
  <c r="AH1089" i="37"/>
  <c r="AH1117" i="37"/>
  <c r="AH1120" i="37"/>
  <c r="AH1121" i="37" s="1"/>
  <c r="AK2113" i="37"/>
  <c r="AC2114" i="37"/>
  <c r="AC2118" i="37" s="1"/>
  <c r="AC2117" i="37"/>
  <c r="AC2023" i="37"/>
  <c r="AK2022" i="37"/>
  <c r="AC2026" i="37"/>
  <c r="AC1995" i="37"/>
  <c r="AK1983" i="37"/>
  <c r="AC1984" i="37"/>
  <c r="AE2038" i="37"/>
  <c r="AE2040" i="37" s="1"/>
  <c r="AE2093" i="37" s="1"/>
  <c r="AE2081" i="37"/>
  <c r="AE2082" i="37" s="1"/>
  <c r="AE2084" i="37" s="1"/>
  <c r="AE2046" i="37"/>
  <c r="AE2090" i="37"/>
  <c r="AE2091" i="37" s="1"/>
  <c r="AI536" i="37"/>
  <c r="AI580" i="37"/>
  <c r="AI581" i="37" s="1"/>
  <c r="AI528" i="37"/>
  <c r="AI530" i="37" s="1"/>
  <c r="AI583" i="37" s="1"/>
  <c r="AI571" i="37"/>
  <c r="AI572" i="37" s="1"/>
  <c r="AI574" i="37" s="1"/>
  <c r="AI513" i="37"/>
  <c r="AI516" i="37"/>
  <c r="AI517" i="37" s="1"/>
  <c r="AE882" i="37"/>
  <c r="AE883" i="37" s="1"/>
  <c r="AE838" i="37"/>
  <c r="AE830" i="37"/>
  <c r="AE832" i="37" s="1"/>
  <c r="AE885" i="37" s="1"/>
  <c r="AE873" i="37"/>
  <c r="AE874" i="37" s="1"/>
  <c r="AE876" i="37" s="1"/>
  <c r="AE787" i="37"/>
  <c r="AE776" i="37"/>
  <c r="AH909" i="37"/>
  <c r="AH906" i="37"/>
  <c r="AH910" i="37" s="1"/>
  <c r="AD818" i="37"/>
  <c r="AD819" i="37" s="1"/>
  <c r="AD815" i="37"/>
  <c r="AI1510" i="37"/>
  <c r="AI1514" i="37" s="1"/>
  <c r="AI1513" i="37"/>
  <c r="AC198" i="42"/>
  <c r="AL194" i="42"/>
  <c r="AG1089" i="37"/>
  <c r="AG1078" i="37"/>
  <c r="AF580" i="37"/>
  <c r="AF581" i="37" s="1"/>
  <c r="AF528" i="37"/>
  <c r="AF530" i="37" s="1"/>
  <c r="AF583" i="37" s="1"/>
  <c r="AF536" i="37"/>
  <c r="AF571" i="37"/>
  <c r="AF572" i="37" s="1"/>
  <c r="AF574" i="37" s="1"/>
  <c r="AH516" i="37"/>
  <c r="AH517" i="37" s="1"/>
  <c r="AH513" i="37"/>
  <c r="AD474" i="37"/>
  <c r="AD485" i="37"/>
  <c r="AD604" i="37"/>
  <c r="AD608" i="37" s="1"/>
  <c r="AD607" i="37"/>
  <c r="AD513" i="37"/>
  <c r="AD516" i="37"/>
  <c r="AD517" i="37" s="1"/>
  <c r="AF815" i="37"/>
  <c r="AF818" i="37"/>
  <c r="AF819" i="37" s="1"/>
  <c r="AI882" i="37"/>
  <c r="AI883" i="37" s="1"/>
  <c r="AI838" i="37"/>
  <c r="AI873" i="37"/>
  <c r="AI874" i="37" s="1"/>
  <c r="AI876" i="37" s="1"/>
  <c r="AI830" i="37"/>
  <c r="AI832" i="37" s="1"/>
  <c r="AI885" i="37" s="1"/>
  <c r="AK1418" i="37"/>
  <c r="AC1419" i="37"/>
  <c r="AC1422" i="37"/>
  <c r="AK1433" i="37"/>
  <c r="AC1477" i="37"/>
  <c r="AC1486" i="37"/>
  <c r="AC1434" i="37"/>
  <c r="AC1442" i="37"/>
  <c r="AC1510" i="37"/>
  <c r="AC1514" i="37" s="1"/>
  <c r="AC1513" i="37"/>
  <c r="AK1509" i="37"/>
  <c r="AG1422" i="37"/>
  <c r="AG1423" i="37" s="1"/>
  <c r="AG1419" i="37"/>
  <c r="AG1391" i="37"/>
  <c r="AG1380" i="37"/>
  <c r="AK1707" i="37"/>
  <c r="AK1658" i="37"/>
  <c r="AC1693" i="37"/>
  <c r="AC1682" i="37"/>
  <c r="AK1681" i="37"/>
  <c r="AI1693" i="37"/>
  <c r="AI1682" i="37"/>
  <c r="AI1721" i="37"/>
  <c r="AI1724" i="37"/>
  <c r="AI1725" i="37" s="1"/>
  <c r="AE1117" i="37"/>
  <c r="AE1120" i="37"/>
  <c r="AE1121" i="37" s="1"/>
  <c r="AE1211" i="37"/>
  <c r="AE1208" i="37"/>
  <c r="AE1212" i="37" s="1"/>
  <c r="AC1117" i="37"/>
  <c r="AK1116" i="37"/>
  <c r="AC1120" i="37"/>
  <c r="AK1062" i="37"/>
  <c r="AC1063" i="37"/>
  <c r="AK1063" i="37" s="1"/>
  <c r="AK1193" i="37"/>
  <c r="AH2026" i="37"/>
  <c r="AH2027" i="37" s="1"/>
  <c r="AH2023" i="37"/>
  <c r="AH2117" i="37"/>
  <c r="AH2114" i="37"/>
  <c r="AH2118" i="37" s="1"/>
  <c r="AK595" i="37"/>
  <c r="AC509" i="37"/>
  <c r="AK508" i="37"/>
  <c r="AK589" i="37"/>
  <c r="AG516" i="37"/>
  <c r="AG517" i="37" s="1"/>
  <c r="AG513" i="37"/>
  <c r="AG485" i="37"/>
  <c r="AG474" i="37"/>
  <c r="AD1812" i="37"/>
  <c r="AD1816" i="37" s="1"/>
  <c r="AD1815" i="37"/>
  <c r="AD1682" i="37"/>
  <c r="AD1693" i="37"/>
  <c r="AE1815" i="37"/>
  <c r="AE1812" i="37"/>
  <c r="AE1816" i="37" s="1"/>
  <c r="AF1815" i="37"/>
  <c r="AF1812" i="37"/>
  <c r="AF1816" i="37" s="1"/>
  <c r="AC391" i="42"/>
  <c r="AL387" i="42"/>
  <c r="AH1682" i="37"/>
  <c r="AH1693" i="37"/>
  <c r="AH1815" i="37"/>
  <c r="AH1812" i="37"/>
  <c r="AH1816" i="37" s="1"/>
  <c r="AI1211" i="37"/>
  <c r="AI1208" i="37"/>
  <c r="AI1212" i="37" s="1"/>
  <c r="AF2026" i="37"/>
  <c r="AF2027" i="37" s="1"/>
  <c r="AF2023" i="37"/>
  <c r="AF2090" i="37"/>
  <c r="AF2091" i="37" s="1"/>
  <c r="AF2046" i="37"/>
  <c r="AF2038" i="37"/>
  <c r="AF2040" i="37" s="1"/>
  <c r="AF2093" i="37" s="1"/>
  <c r="AF2081" i="37"/>
  <c r="AF2082" i="37" s="1"/>
  <c r="AF2084" i="37" s="1"/>
  <c r="AI2090" i="37"/>
  <c r="AI2091" i="37" s="1"/>
  <c r="AI2046" i="37"/>
  <c r="AI2038" i="37"/>
  <c r="AI2040" i="37" s="1"/>
  <c r="AI2093" i="37" s="1"/>
  <c r="AI2081" i="37"/>
  <c r="AI2082" i="37" s="1"/>
  <c r="AI2084" i="37" s="1"/>
  <c r="AG815" i="37"/>
  <c r="AG818" i="37"/>
  <c r="AG819" i="37" s="1"/>
  <c r="AD1510" i="37"/>
  <c r="AD1514" i="37" s="1"/>
  <c r="AD1513" i="37"/>
  <c r="AK891" i="37"/>
  <c r="AK760" i="37"/>
  <c r="AC761" i="37"/>
  <c r="AK761" i="37" s="1"/>
  <c r="AK801" i="37"/>
  <c r="AF1422" i="37"/>
  <c r="AF1423" i="37" s="1"/>
  <c r="AF1419" i="37"/>
  <c r="AH1208" i="37"/>
  <c r="AH1212" i="37" s="1"/>
  <c r="AH1211" i="37"/>
  <c r="AK2009" i="37"/>
  <c r="AK2099" i="37"/>
  <c r="AK1960" i="37"/>
  <c r="AI485" i="37"/>
  <c r="AI474" i="37"/>
  <c r="AD787" i="37"/>
  <c r="AD776" i="37"/>
  <c r="AG1184" i="37"/>
  <c r="AG1185" i="37" s="1"/>
  <c r="AG1140" i="37"/>
  <c r="AG1175" i="37"/>
  <c r="AG1176" i="37" s="1"/>
  <c r="AG1178" i="37" s="1"/>
  <c r="AG1132" i="37"/>
  <c r="AG1134" i="37" s="1"/>
  <c r="AG1187" i="37" s="1"/>
  <c r="AG2046" i="37"/>
  <c r="AG2081" i="37"/>
  <c r="AG2082" i="37" s="1"/>
  <c r="AG2084" i="37" s="1"/>
  <c r="AG2090" i="37"/>
  <c r="AG2091" i="37" s="1"/>
  <c r="AG2038" i="37"/>
  <c r="AG2040" i="37" s="1"/>
  <c r="AG2093" i="37" s="1"/>
  <c r="AG2026" i="37"/>
  <c r="AG2027" i="37" s="1"/>
  <c r="AG2023" i="37"/>
  <c r="AF607" i="37"/>
  <c r="AF604" i="37"/>
  <c r="AF608" i="37" s="1"/>
  <c r="AH528" i="37"/>
  <c r="AH530" i="37" s="1"/>
  <c r="AH583" i="37" s="1"/>
  <c r="AH536" i="37"/>
  <c r="AH580" i="37"/>
  <c r="AH581" i="37" s="1"/>
  <c r="AH571" i="37"/>
  <c r="AH572" i="37" s="1"/>
  <c r="AH574" i="37" s="1"/>
  <c r="AF776" i="37"/>
  <c r="AF787" i="37"/>
  <c r="AI815" i="37"/>
  <c r="AI818" i="37"/>
  <c r="AI819" i="37" s="1"/>
  <c r="AH1477" i="37"/>
  <c r="AH1478" i="37" s="1"/>
  <c r="AH1480" i="37" s="1"/>
  <c r="AH1434" i="37"/>
  <c r="AH1436" i="37" s="1"/>
  <c r="AH1489" i="37" s="1"/>
  <c r="AH1442" i="37"/>
  <c r="AH1486" i="37"/>
  <c r="AH1487" i="37" s="1"/>
  <c r="AH1510" i="37"/>
  <c r="AH1514" i="37" s="1"/>
  <c r="AH1513" i="37"/>
  <c r="AK1414" i="37"/>
  <c r="AC1415" i="37"/>
  <c r="AK1495" i="37"/>
  <c r="AK1364" i="37"/>
  <c r="AC1365" i="37"/>
  <c r="AK1365" i="37" s="1"/>
  <c r="AG1442" i="37"/>
  <c r="AG1486" i="37"/>
  <c r="AG1487" i="37" s="1"/>
  <c r="AG1434" i="37"/>
  <c r="AG1436" i="37" s="1"/>
  <c r="AG1489" i="37" s="1"/>
  <c r="AG1477" i="37"/>
  <c r="AG1478" i="37" s="1"/>
  <c r="AG1480" i="37" s="1"/>
  <c r="AK1716" i="37"/>
  <c r="AC1717" i="37"/>
  <c r="AB1623" i="37"/>
  <c r="AK1623" i="37"/>
  <c r="AC1624" i="37"/>
  <c r="AK1666" i="37"/>
  <c r="AC1667" i="37"/>
  <c r="AK1667" i="37" s="1"/>
  <c r="AI1815" i="37"/>
  <c r="AI1812" i="37"/>
  <c r="AI1816" i="37" s="1"/>
  <c r="AI1788" i="37"/>
  <c r="AI1789" i="37" s="1"/>
  <c r="AI1744" i="37"/>
  <c r="AI1736" i="37"/>
  <c r="AI1738" i="37" s="1"/>
  <c r="AI1791" i="37" s="1"/>
  <c r="AI1779" i="37"/>
  <c r="AI1780" i="37" s="1"/>
  <c r="AI1782" i="37" s="1"/>
  <c r="AK1199" i="37"/>
  <c r="AK1112" i="37"/>
  <c r="AC1113" i="37"/>
  <c r="AK1207" i="37"/>
  <c r="AC1211" i="37"/>
  <c r="AC1208" i="37"/>
  <c r="AC1212" i="37" s="1"/>
  <c r="AF1175" i="37"/>
  <c r="AF1176" i="37" s="1"/>
  <c r="AF1178" i="37" s="1"/>
  <c r="AF1140" i="37"/>
  <c r="AF1132" i="37"/>
  <c r="AF1134" i="37" s="1"/>
  <c r="AF1187" i="37" s="1"/>
  <c r="AF1184" i="37"/>
  <c r="AF1185" i="37" s="1"/>
  <c r="AH1984" i="37"/>
  <c r="AH1995" i="37"/>
  <c r="AC459" i="37"/>
  <c r="AK459" i="37" s="1"/>
  <c r="AK458" i="37"/>
  <c r="AK512" i="37"/>
  <c r="AC513" i="37"/>
  <c r="AC516" i="37"/>
  <c r="AC528" i="37"/>
  <c r="AC571" i="37"/>
  <c r="AK527" i="37"/>
  <c r="AC536" i="37"/>
  <c r="AC580" i="37"/>
  <c r="AC195" i="42"/>
  <c r="AL191" i="42"/>
  <c r="AI1140" i="37"/>
  <c r="AI1175" i="37"/>
  <c r="AI1176" i="37" s="1"/>
  <c r="AI1178" i="37" s="1"/>
  <c r="AI1132" i="37"/>
  <c r="AI1134" i="37" s="1"/>
  <c r="AI1187" i="37" s="1"/>
  <c r="AI1184" i="37"/>
  <c r="AI1185" i="37" s="1"/>
  <c r="AG882" i="37"/>
  <c r="AG883" i="37" s="1"/>
  <c r="AG838" i="37"/>
  <c r="AG830" i="37"/>
  <c r="AG832" i="37" s="1"/>
  <c r="AG885" i="37" s="1"/>
  <c r="AG873" i="37"/>
  <c r="AG874" i="37" s="1"/>
  <c r="AG876" i="37" s="1"/>
  <c r="AG1812" i="37"/>
  <c r="AG1816" i="37" s="1"/>
  <c r="AG1815" i="37"/>
  <c r="AE516" i="37"/>
  <c r="AE517" i="37" s="1"/>
  <c r="AE513" i="37"/>
  <c r="AE909" i="37"/>
  <c r="AE906" i="37"/>
  <c r="AE910" i="37" s="1"/>
  <c r="AE815" i="37"/>
  <c r="AE818" i="37"/>
  <c r="AE819" i="37" s="1"/>
  <c r="AH818" i="37"/>
  <c r="AH819" i="37" s="1"/>
  <c r="AH815" i="37"/>
  <c r="AH787" i="37"/>
  <c r="AH776" i="37"/>
  <c r="AD909" i="37"/>
  <c r="AD906" i="37"/>
  <c r="AD910" i="37" s="1"/>
  <c r="AI1422" i="37"/>
  <c r="AI1423" i="37" s="1"/>
  <c r="AI1419" i="37"/>
  <c r="AD1208" i="37"/>
  <c r="AD1212" i="37" s="1"/>
  <c r="AD1211" i="37"/>
  <c r="AH474" i="37"/>
  <c r="AH485" i="37"/>
  <c r="AD536" i="37"/>
  <c r="AD580" i="37"/>
  <c r="AD581" i="37" s="1"/>
  <c r="AD571" i="37"/>
  <c r="AD572" i="37" s="1"/>
  <c r="AD574" i="37" s="1"/>
  <c r="AD528" i="37"/>
  <c r="AD530" i="37" s="1"/>
  <c r="AD583" i="37" s="1"/>
  <c r="AF882" i="37"/>
  <c r="AF883" i="37" s="1"/>
  <c r="AF830" i="37"/>
  <c r="AF832" i="37" s="1"/>
  <c r="AF885" i="37" s="1"/>
  <c r="AF838" i="37"/>
  <c r="AF873" i="37"/>
  <c r="AF874" i="37" s="1"/>
  <c r="AF876" i="37" s="1"/>
  <c r="AH1422" i="37"/>
  <c r="AH1423" i="37" s="1"/>
  <c r="AH1419" i="37"/>
  <c r="AK1405" i="37"/>
  <c r="AE1078" i="37"/>
  <c r="AE1089" i="37"/>
  <c r="AK1103" i="37"/>
  <c r="AK1054" i="37"/>
  <c r="AF1078" i="37"/>
  <c r="AF1089" i="37"/>
  <c r="AH2038" i="37"/>
  <c r="AH2040" i="37" s="1"/>
  <c r="AH2093" i="37" s="1"/>
  <c r="AH2081" i="37"/>
  <c r="AH2082" i="37" s="1"/>
  <c r="AH2084" i="37" s="1"/>
  <c r="AH2046" i="37"/>
  <c r="AH2090" i="37"/>
  <c r="AH2091" i="37" s="1"/>
  <c r="AC474" i="37"/>
  <c r="AK473" i="37"/>
  <c r="AC485" i="37"/>
  <c r="AG571" i="37"/>
  <c r="AG572" i="37" s="1"/>
  <c r="AG574" i="37" s="1"/>
  <c r="AG528" i="37"/>
  <c r="AG530" i="37" s="1"/>
  <c r="AG583" i="37" s="1"/>
  <c r="AG536" i="37"/>
  <c r="AG580" i="37"/>
  <c r="AG581" i="37" s="1"/>
  <c r="AH1744" i="37"/>
  <c r="AH1788" i="37"/>
  <c r="AH1789" i="37" s="1"/>
  <c r="AH1779" i="37"/>
  <c r="AH1780" i="37" s="1"/>
  <c r="AH1782" i="37" s="1"/>
  <c r="AH1736" i="37"/>
  <c r="AH1738" i="37" s="1"/>
  <c r="AH1791" i="37" s="1"/>
  <c r="AF1984" i="37"/>
  <c r="AF1995" i="37"/>
  <c r="AI2117" i="37"/>
  <c r="AI2114" i="37"/>
  <c r="AI2118" i="37" s="1"/>
  <c r="AG909" i="37"/>
  <c r="AG906" i="37"/>
  <c r="AG910" i="37" s="1"/>
  <c r="AD1419" i="37"/>
  <c r="AD1422" i="37"/>
  <c r="AD1423" i="37" s="1"/>
  <c r="AK752" i="37"/>
  <c r="AK717" i="37"/>
  <c r="AB717" i="37"/>
  <c r="AC718" i="37"/>
  <c r="AC882" i="37"/>
  <c r="AK829" i="37"/>
  <c r="AC873" i="37"/>
  <c r="AC838" i="37"/>
  <c r="AC830" i="37"/>
  <c r="AE1419" i="37"/>
  <c r="AE1422" i="37"/>
  <c r="AE1423" i="37" s="1"/>
  <c r="AF1513" i="37"/>
  <c r="AF1510" i="37"/>
  <c r="AF1514" i="37" s="1"/>
  <c r="AF1486" i="37"/>
  <c r="AF1487" i="37" s="1"/>
  <c r="AF1442" i="37"/>
  <c r="AF1434" i="37"/>
  <c r="AF1436" i="37" s="1"/>
  <c r="AF1489" i="37" s="1"/>
  <c r="AF1477" i="37"/>
  <c r="AF1478" i="37" s="1"/>
  <c r="AF1480" i="37" s="1"/>
  <c r="AG1736" i="37"/>
  <c r="AG1738" i="37" s="1"/>
  <c r="AG1791" i="37" s="1"/>
  <c r="AG1788" i="37"/>
  <c r="AG1789" i="37" s="1"/>
  <c r="AG1779" i="37"/>
  <c r="AG1780" i="37" s="1"/>
  <c r="AG1782" i="37" s="1"/>
  <c r="AG1744" i="37"/>
  <c r="AL507" i="42"/>
  <c r="AC511" i="42"/>
  <c r="AH1184" i="37"/>
  <c r="AH1185" i="37" s="1"/>
  <c r="AH1140" i="37"/>
  <c r="AH1132" i="37"/>
  <c r="AH1134" i="37" s="1"/>
  <c r="AH1187" i="37" s="1"/>
  <c r="AH1175" i="37"/>
  <c r="AH1176" i="37" s="1"/>
  <c r="AH1178" i="37" s="1"/>
  <c r="AK2105" i="37"/>
  <c r="AK1925" i="37"/>
  <c r="AB1925" i="37"/>
  <c r="AC1926" i="37"/>
  <c r="AC2046" i="37"/>
  <c r="AC2081" i="37"/>
  <c r="AC2090" i="37"/>
  <c r="AK2037" i="37"/>
  <c r="AC2038" i="37"/>
  <c r="AD1984" i="37"/>
  <c r="AD1995" i="37"/>
  <c r="AE2026" i="37"/>
  <c r="AE2027" i="37" s="1"/>
  <c r="AE2023" i="37"/>
  <c r="AE2117" i="37"/>
  <c r="AE2114" i="37"/>
  <c r="AE2118" i="37" s="1"/>
  <c r="AE580" i="37"/>
  <c r="AE581" i="37" s="1"/>
  <c r="AE528" i="37"/>
  <c r="AE530" i="37" s="1"/>
  <c r="AE583" i="37" s="1"/>
  <c r="AE536" i="37"/>
  <c r="AE571" i="37"/>
  <c r="AE572" i="37" s="1"/>
  <c r="AE574" i="37" s="1"/>
  <c r="AE607" i="37"/>
  <c r="AE604" i="37"/>
  <c r="AE608" i="37" s="1"/>
  <c r="AI604" i="37"/>
  <c r="AI608" i="37" s="1"/>
  <c r="AI607" i="37"/>
  <c r="AH873" i="37"/>
  <c r="AH874" i="37" s="1"/>
  <c r="AH876" i="37" s="1"/>
  <c r="AH882" i="37"/>
  <c r="AH883" i="37" s="1"/>
  <c r="AH838" i="37"/>
  <c r="AH830" i="37"/>
  <c r="AH832" i="37" s="1"/>
  <c r="AH885" i="37" s="1"/>
  <c r="AD882" i="37"/>
  <c r="AD883" i="37" s="1"/>
  <c r="AD873" i="37"/>
  <c r="AD874" i="37" s="1"/>
  <c r="AD876" i="37" s="1"/>
  <c r="AD830" i="37"/>
  <c r="AD832" i="37" s="1"/>
  <c r="AD885" i="37" s="1"/>
  <c r="AD838" i="37"/>
  <c r="AI1477" i="37"/>
  <c r="AI1478" i="37" s="1"/>
  <c r="AI1480" i="37" s="1"/>
  <c r="AI1434" i="37"/>
  <c r="AI1436" i="37" s="1"/>
  <c r="AI1489" i="37" s="1"/>
  <c r="AI1442" i="37"/>
  <c r="AI1486" i="37"/>
  <c r="AI1487" i="37" s="1"/>
  <c r="AG1211" i="37"/>
  <c r="AG1208" i="37"/>
  <c r="AG1212" i="37" s="1"/>
  <c r="AD1089" i="37"/>
  <c r="AD1078" i="37"/>
  <c r="AD1184" i="37"/>
  <c r="AD1185" i="37" s="1"/>
  <c r="AD1140" i="37"/>
  <c r="AD1132" i="37"/>
  <c r="AD1134" i="37" s="1"/>
  <c r="AD1187" i="37" s="1"/>
  <c r="AD1175" i="37"/>
  <c r="AD1176" i="37" s="1"/>
  <c r="AD1178" i="37" s="1"/>
  <c r="AG1995" i="37"/>
  <c r="AG1984" i="37"/>
  <c r="AG2114" i="37"/>
  <c r="AG2118" i="37" s="1"/>
  <c r="AG2117" i="37"/>
  <c r="AF485" i="37"/>
  <c r="AF474" i="37"/>
  <c r="AH604" i="37"/>
  <c r="AH608" i="37" s="1"/>
  <c r="AH607" i="37"/>
  <c r="AF909" i="37"/>
  <c r="AF906" i="37"/>
  <c r="AF910" i="37" s="1"/>
  <c r="AI787" i="37"/>
  <c r="AI776" i="37"/>
  <c r="AH1391" i="37"/>
  <c r="AH1380" i="37"/>
  <c r="AK1356" i="37"/>
  <c r="AC1391" i="37"/>
  <c r="AK1379" i="37"/>
  <c r="AC1380" i="37"/>
  <c r="AB1321" i="37"/>
  <c r="AK1321" i="37"/>
  <c r="AC1322" i="37"/>
  <c r="AK1803" i="37"/>
  <c r="AC1788" i="37"/>
  <c r="AC1736" i="37"/>
  <c r="AK1735" i="37"/>
  <c r="AC1744" i="37"/>
  <c r="AC1779" i="37"/>
  <c r="AK1811" i="37"/>
  <c r="AC1812" i="37"/>
  <c r="AC1816" i="37" s="1"/>
  <c r="AC1815" i="37"/>
  <c r="AC1175" i="37"/>
  <c r="AC1184" i="37"/>
  <c r="AC1140" i="37"/>
  <c r="AK1131" i="37"/>
  <c r="AC1132" i="37"/>
  <c r="AC1020" i="37"/>
  <c r="AK1019" i="37"/>
  <c r="AB1019" i="37"/>
  <c r="AC1078" i="37"/>
  <c r="AC1089" i="37"/>
  <c r="AK1077" i="37"/>
  <c r="AF1211" i="37"/>
  <c r="AF1208" i="37"/>
  <c r="AF1212" i="37" s="1"/>
  <c r="AF1120" i="37"/>
  <c r="AF1121" i="37" s="1"/>
  <c r="AF1117" i="37"/>
  <c r="AK499" i="37"/>
  <c r="AK450" i="37"/>
  <c r="AC604" i="37"/>
  <c r="AC608" i="37" s="1"/>
  <c r="AC607" i="37"/>
  <c r="AK603" i="37"/>
  <c r="AG607" i="37"/>
  <c r="AG604" i="37"/>
  <c r="AG608" i="37" s="1"/>
  <c r="AD1721" i="37"/>
  <c r="AD1724" i="37"/>
  <c r="AD1725" i="37" s="1"/>
  <c r="AD1744" i="37"/>
  <c r="AD1736" i="37"/>
  <c r="AD1738" i="37" s="1"/>
  <c r="AD1791" i="37" s="1"/>
  <c r="AD1779" i="37"/>
  <c r="AD1780" i="37" s="1"/>
  <c r="AD1782" i="37" s="1"/>
  <c r="AD1788" i="37"/>
  <c r="AD1789" i="37" s="1"/>
  <c r="AE1721" i="37"/>
  <c r="AE1724" i="37"/>
  <c r="AE1725" i="37" s="1"/>
  <c r="AF1788" i="37"/>
  <c r="AF1789" i="37" s="1"/>
  <c r="AF1736" i="37"/>
  <c r="AF1738" i="37" s="1"/>
  <c r="AF1791" i="37" s="1"/>
  <c r="AF1744" i="37"/>
  <c r="AF1779" i="37"/>
  <c r="AF1780" i="37" s="1"/>
  <c r="AF1782" i="37" s="1"/>
  <c r="AF1693" i="37"/>
  <c r="AF1682" i="37"/>
  <c r="Z1103" i="37" l="1"/>
  <c r="Z1054" i="37"/>
  <c r="Z1187" i="37"/>
  <c r="Z980" i="37"/>
  <c r="Z1093" i="37"/>
  <c r="Z1005" i="37"/>
  <c r="Z962" i="37"/>
  <c r="N1155" i="37"/>
  <c r="Z950" i="37"/>
  <c r="Z1178" i="37"/>
  <c r="Z1121" i="37"/>
  <c r="Z1193" i="37"/>
  <c r="Z1113" i="37"/>
  <c r="Z1081" i="37"/>
  <c r="U1178" i="37"/>
  <c r="I1155" i="37"/>
  <c r="U1081" i="37"/>
  <c r="U962" i="37"/>
  <c r="U1093" i="37"/>
  <c r="U1193" i="37"/>
  <c r="U1054" i="37"/>
  <c r="U1113" i="37"/>
  <c r="U1103" i="37"/>
  <c r="U1187" i="37"/>
  <c r="U1121" i="37"/>
  <c r="V450" i="37"/>
  <c r="V583" i="37"/>
  <c r="V358" i="37"/>
  <c r="V589" i="37"/>
  <c r="V346" i="37"/>
  <c r="V477" i="37"/>
  <c r="V401" i="37"/>
  <c r="V509" i="37"/>
  <c r="V489" i="37"/>
  <c r="V499" i="37"/>
  <c r="V517" i="37"/>
  <c r="J551" i="37"/>
  <c r="V376" i="37"/>
  <c r="V574" i="37"/>
  <c r="Y450" i="37"/>
  <c r="Y583" i="37"/>
  <c r="Y499" i="37"/>
  <c r="Y346" i="37"/>
  <c r="Y477" i="37"/>
  <c r="Y517" i="37"/>
  <c r="Y489" i="37"/>
  <c r="Y509" i="37"/>
  <c r="Y358" i="37"/>
  <c r="Y589" i="37"/>
  <c r="M551" i="37"/>
  <c r="Y376" i="37"/>
  <c r="Y401" i="37"/>
  <c r="Y574" i="37"/>
  <c r="V950" i="37"/>
  <c r="V1005" i="37"/>
  <c r="V1054" i="37"/>
  <c r="V1193" i="37"/>
  <c r="J1155" i="37"/>
  <c r="V962" i="37"/>
  <c r="V980" i="37"/>
  <c r="V1081" i="37"/>
  <c r="V1178" i="37"/>
  <c r="V1103" i="37"/>
  <c r="V1121" i="37"/>
  <c r="V1093" i="37"/>
  <c r="V1113" i="37"/>
  <c r="V1187" i="37"/>
  <c r="Z450" i="37"/>
  <c r="Z477" i="37"/>
  <c r="Z489" i="37"/>
  <c r="Z376" i="37"/>
  <c r="Z509" i="37"/>
  <c r="Z589" i="37"/>
  <c r="Z583" i="37"/>
  <c r="Z401" i="37"/>
  <c r="Z358" i="37"/>
  <c r="Z574" i="37"/>
  <c r="Z346" i="37"/>
  <c r="N551" i="37"/>
  <c r="Z517" i="37"/>
  <c r="Z499" i="37"/>
  <c r="W574" i="37"/>
  <c r="W509" i="37"/>
  <c r="W450" i="37"/>
  <c r="W346" i="37"/>
  <c r="W401" i="37"/>
  <c r="W583" i="37"/>
  <c r="K551" i="37"/>
  <c r="W589" i="37"/>
  <c r="W358" i="37"/>
  <c r="W376" i="37"/>
  <c r="W517" i="37"/>
  <c r="W499" i="37"/>
  <c r="W477" i="37"/>
  <c r="W489" i="37"/>
  <c r="X1054" i="37"/>
  <c r="X1187" i="37"/>
  <c r="X950" i="37"/>
  <c r="X962" i="37"/>
  <c r="L1155" i="37"/>
  <c r="X1103" i="37"/>
  <c r="X1121" i="37"/>
  <c r="X1005" i="37"/>
  <c r="X1178" i="37"/>
  <c r="X980" i="37"/>
  <c r="X1093" i="37"/>
  <c r="X1081" i="37"/>
  <c r="X1193" i="37"/>
  <c r="X1113" i="37"/>
  <c r="X477" i="37"/>
  <c r="X376" i="37"/>
  <c r="X589" i="37"/>
  <c r="L551" i="37"/>
  <c r="X401" i="37"/>
  <c r="X574" i="37"/>
  <c r="X346" i="37"/>
  <c r="X517" i="37"/>
  <c r="X499" i="37"/>
  <c r="X358" i="37"/>
  <c r="X450" i="37"/>
  <c r="X509" i="37"/>
  <c r="X489" i="37"/>
  <c r="X583" i="37"/>
  <c r="W980" i="37"/>
  <c r="K1155" i="37"/>
  <c r="W1054" i="37"/>
  <c r="W962" i="37"/>
  <c r="W1113" i="37"/>
  <c r="W1121" i="37"/>
  <c r="W1103" i="37"/>
  <c r="W1193" i="37"/>
  <c r="W1093" i="37"/>
  <c r="W1005" i="37"/>
  <c r="W950" i="37"/>
  <c r="W1081" i="37"/>
  <c r="W1187" i="37"/>
  <c r="W1178" i="37"/>
  <c r="Y1081" i="37"/>
  <c r="Y1178" i="37"/>
  <c r="Y1093" i="37"/>
  <c r="Y1113" i="37"/>
  <c r="Y1005" i="37"/>
  <c r="Y950" i="37"/>
  <c r="Y1103" i="37"/>
  <c r="Y980" i="37"/>
  <c r="Y1187" i="37"/>
  <c r="M1155" i="37"/>
  <c r="Y1193" i="37"/>
  <c r="Y962" i="37"/>
  <c r="Y1054" i="37"/>
  <c r="Y1121" i="37"/>
  <c r="H551" i="37"/>
  <c r="T574" i="37"/>
  <c r="T499" i="37"/>
  <c r="T358" i="37"/>
  <c r="T583" i="37"/>
  <c r="T509" i="37"/>
  <c r="T450" i="37"/>
  <c r="T589" i="37"/>
  <c r="T477" i="37"/>
  <c r="T517" i="37"/>
  <c r="T489" i="37"/>
  <c r="J987" i="50"/>
  <c r="J985" i="50"/>
  <c r="J988" i="50"/>
  <c r="U1084" i="50"/>
  <c r="J986" i="50"/>
  <c r="J983" i="50"/>
  <c r="J984" i="50"/>
  <c r="J658" i="50"/>
  <c r="J656" i="50"/>
  <c r="J659" i="50"/>
  <c r="J660" i="50"/>
  <c r="J657" i="50"/>
  <c r="J655" i="50"/>
  <c r="U756" i="50"/>
  <c r="T1103" i="37"/>
  <c r="T1081" i="37"/>
  <c r="T1054" i="37"/>
  <c r="T1121" i="37"/>
  <c r="T1193" i="37"/>
  <c r="T1178" i="37"/>
  <c r="T1113" i="37"/>
  <c r="T1093" i="37"/>
  <c r="H1155" i="37"/>
  <c r="T1187" i="37"/>
  <c r="T962" i="37"/>
  <c r="U574" i="37"/>
  <c r="I551" i="37"/>
  <c r="U489" i="37"/>
  <c r="U477" i="37"/>
  <c r="U450" i="37"/>
  <c r="U509" i="37"/>
  <c r="U589" i="37"/>
  <c r="U358" i="37"/>
  <c r="U517" i="37"/>
  <c r="U583" i="37"/>
  <c r="U499" i="37"/>
  <c r="T779" i="37"/>
  <c r="T660" i="37"/>
  <c r="T752" i="37"/>
  <c r="T791" i="37"/>
  <c r="T891" i="37"/>
  <c r="T876" i="37"/>
  <c r="H853" i="37"/>
  <c r="T885" i="37"/>
  <c r="T811" i="37"/>
  <c r="T801" i="37"/>
  <c r="T819" i="37"/>
  <c r="W1791" i="37"/>
  <c r="W1707" i="37"/>
  <c r="W1797" i="37"/>
  <c r="W1697" i="37"/>
  <c r="W1584" i="37"/>
  <c r="W1554" i="37"/>
  <c r="W1685" i="37"/>
  <c r="W1782" i="37"/>
  <c r="K1759" i="37"/>
  <c r="W1725" i="37"/>
  <c r="W1609" i="37"/>
  <c r="W1658" i="37"/>
  <c r="W1717" i="37"/>
  <c r="W1566" i="37"/>
  <c r="Q339" i="41"/>
  <c r="E424" i="50"/>
  <c r="U1658" i="37"/>
  <c r="U1566" i="37"/>
  <c r="U1725" i="37"/>
  <c r="U1797" i="37"/>
  <c r="U1782" i="37"/>
  <c r="U1685" i="37"/>
  <c r="I1759" i="37"/>
  <c r="U1707" i="37"/>
  <c r="U1697" i="37"/>
  <c r="U1717" i="37"/>
  <c r="U1791" i="37"/>
  <c r="W1415" i="37"/>
  <c r="W1264" i="37"/>
  <c r="W1383" i="37"/>
  <c r="W1480" i="37"/>
  <c r="W1252" i="37"/>
  <c r="W1395" i="37"/>
  <c r="K1457" i="37"/>
  <c r="W1282" i="37"/>
  <c r="W1405" i="37"/>
  <c r="W1307" i="37"/>
  <c r="W1495" i="37"/>
  <c r="W1489" i="37"/>
  <c r="W1356" i="37"/>
  <c r="W1423" i="37"/>
  <c r="Q341" i="41"/>
  <c r="E426" i="50"/>
  <c r="X1480" i="37"/>
  <c r="X1395" i="37"/>
  <c r="X1495" i="37"/>
  <c r="X1489" i="37"/>
  <c r="X1415" i="37"/>
  <c r="X1252" i="37"/>
  <c r="L1457" i="37"/>
  <c r="X1307" i="37"/>
  <c r="X1264" i="37"/>
  <c r="X1405" i="37"/>
  <c r="X1423" i="37"/>
  <c r="X1282" i="37"/>
  <c r="X1383" i="37"/>
  <c r="X1356" i="37"/>
  <c r="Y1791" i="37"/>
  <c r="Y1725" i="37"/>
  <c r="Y1584" i="37"/>
  <c r="Y1697" i="37"/>
  <c r="Y1707" i="37"/>
  <c r="Y1782" i="37"/>
  <c r="Y1658" i="37"/>
  <c r="Y1554" i="37"/>
  <c r="Y1609" i="37"/>
  <c r="Y1685" i="37"/>
  <c r="M1759" i="37"/>
  <c r="Y1566" i="37"/>
  <c r="Y1797" i="37"/>
  <c r="Y1717" i="37"/>
  <c r="T1797" i="37"/>
  <c r="T1717" i="37"/>
  <c r="T1685" i="37"/>
  <c r="T1725" i="37"/>
  <c r="H1759" i="37"/>
  <c r="T1707" i="37"/>
  <c r="T1791" i="37"/>
  <c r="T1658" i="37"/>
  <c r="T1697" i="37"/>
  <c r="T1782" i="37"/>
  <c r="T1566" i="37"/>
  <c r="Y1423" i="37"/>
  <c r="Y1495" i="37"/>
  <c r="Y1307" i="37"/>
  <c r="Y1383" i="37"/>
  <c r="Y1252" i="37"/>
  <c r="Y1489" i="37"/>
  <c r="Y1264" i="37"/>
  <c r="Y1356" i="37"/>
  <c r="Y1395" i="37"/>
  <c r="Y1405" i="37"/>
  <c r="M1457" i="37"/>
  <c r="Y1480" i="37"/>
  <c r="Y1415" i="37"/>
  <c r="Y1282" i="37"/>
  <c r="X648" i="37"/>
  <c r="X885" i="37"/>
  <c r="L853" i="37"/>
  <c r="X819" i="37"/>
  <c r="X791" i="37"/>
  <c r="X811" i="37"/>
  <c r="X876" i="37"/>
  <c r="X660" i="37"/>
  <c r="X752" i="37"/>
  <c r="X703" i="37"/>
  <c r="X891" i="37"/>
  <c r="X801" i="37"/>
  <c r="X678" i="37"/>
  <c r="X779" i="37"/>
  <c r="Z791" i="37"/>
  <c r="Z885" i="37"/>
  <c r="Z703" i="37"/>
  <c r="Z660" i="37"/>
  <c r="Z876" i="37"/>
  <c r="N853" i="37"/>
  <c r="Z891" i="37"/>
  <c r="Z678" i="37"/>
  <c r="Z811" i="37"/>
  <c r="Z752" i="37"/>
  <c r="Z779" i="37"/>
  <c r="Z801" i="37"/>
  <c r="Z648" i="37"/>
  <c r="Z819" i="37"/>
  <c r="V1264" i="37"/>
  <c r="V1423" i="37"/>
  <c r="V1480" i="37"/>
  <c r="V1395" i="37"/>
  <c r="V1495" i="37"/>
  <c r="V1415" i="37"/>
  <c r="V1282" i="37"/>
  <c r="J1457" i="37"/>
  <c r="V1307" i="37"/>
  <c r="V1405" i="37"/>
  <c r="V1356" i="37"/>
  <c r="V1489" i="37"/>
  <c r="V1252" i="37"/>
  <c r="V1383" i="37"/>
  <c r="J1311" i="50"/>
  <c r="U1412" i="50"/>
  <c r="J1315" i="50"/>
  <c r="J1313" i="50"/>
  <c r="J1314" i="50"/>
  <c r="J1316" i="50"/>
  <c r="J1312" i="50"/>
  <c r="T1405" i="37"/>
  <c r="T1480" i="37"/>
  <c r="H1457" i="37"/>
  <c r="T1489" i="37"/>
  <c r="T1495" i="37"/>
  <c r="T1383" i="37"/>
  <c r="T1356" i="37"/>
  <c r="T1423" i="37"/>
  <c r="T1395" i="37"/>
  <c r="T1415" i="37"/>
  <c r="T1264" i="37"/>
  <c r="U920" i="50"/>
  <c r="J823" i="50"/>
  <c r="J822" i="50"/>
  <c r="J820" i="50"/>
  <c r="J824" i="50"/>
  <c r="J821" i="50"/>
  <c r="J819" i="50"/>
  <c r="Q345" i="41"/>
  <c r="E430" i="50"/>
  <c r="E425" i="50"/>
  <c r="Q340" i="41"/>
  <c r="Q337" i="41"/>
  <c r="E422" i="50"/>
  <c r="Z1685" i="37"/>
  <c r="N1759" i="37"/>
  <c r="Z1658" i="37"/>
  <c r="Z1707" i="37"/>
  <c r="Z1797" i="37"/>
  <c r="Z1791" i="37"/>
  <c r="Z1697" i="37"/>
  <c r="Z1554" i="37"/>
  <c r="Z1782" i="37"/>
  <c r="Z1584" i="37"/>
  <c r="Z1609" i="37"/>
  <c r="Z1725" i="37"/>
  <c r="Z1566" i="37"/>
  <c r="Z1717" i="37"/>
  <c r="U1264" i="37"/>
  <c r="U1489" i="37"/>
  <c r="U1495" i="37"/>
  <c r="U1423" i="37"/>
  <c r="I1457" i="37"/>
  <c r="U1395" i="37"/>
  <c r="U1383" i="37"/>
  <c r="U1405" i="37"/>
  <c r="U1356" i="37"/>
  <c r="U1480" i="37"/>
  <c r="U1415" i="37"/>
  <c r="E429" i="50"/>
  <c r="Q344" i="41"/>
  <c r="Z1356" i="37"/>
  <c r="Z1383" i="37"/>
  <c r="Z1307" i="37"/>
  <c r="Z1480" i="37"/>
  <c r="Z1405" i="37"/>
  <c r="N1457" i="37"/>
  <c r="Z1395" i="37"/>
  <c r="Z1489" i="37"/>
  <c r="Z1264" i="37"/>
  <c r="Z1495" i="37"/>
  <c r="Z1423" i="37"/>
  <c r="Z1252" i="37"/>
  <c r="Z1282" i="37"/>
  <c r="Z1415" i="37"/>
  <c r="Q343" i="41"/>
  <c r="E428" i="50"/>
  <c r="X1566" i="37"/>
  <c r="X1584" i="37"/>
  <c r="X1725" i="37"/>
  <c r="X1707" i="37"/>
  <c r="X1717" i="37"/>
  <c r="X1791" i="37"/>
  <c r="X1782" i="37"/>
  <c r="L1759" i="37"/>
  <c r="X1797" i="37"/>
  <c r="X1609" i="37"/>
  <c r="X1554" i="37"/>
  <c r="X1685" i="37"/>
  <c r="X1658" i="37"/>
  <c r="X1697" i="37"/>
  <c r="Y752" i="37"/>
  <c r="Y660" i="37"/>
  <c r="Y648" i="37"/>
  <c r="Y703" i="37"/>
  <c r="Y678" i="37"/>
  <c r="Y876" i="37"/>
  <c r="Y801" i="37"/>
  <c r="Y791" i="37"/>
  <c r="M853" i="37"/>
  <c r="Y885" i="37"/>
  <c r="Y891" i="37"/>
  <c r="Y811" i="37"/>
  <c r="Y819" i="37"/>
  <c r="Y779" i="37"/>
  <c r="V1658" i="37"/>
  <c r="V1797" i="37"/>
  <c r="V1609" i="37"/>
  <c r="V1782" i="37"/>
  <c r="V1707" i="37"/>
  <c r="V1717" i="37"/>
  <c r="V1566" i="37"/>
  <c r="V1554" i="37"/>
  <c r="V1697" i="37"/>
  <c r="V1791" i="37"/>
  <c r="V1685" i="37"/>
  <c r="V1584" i="37"/>
  <c r="J1759" i="37"/>
  <c r="V1725" i="37"/>
  <c r="V819" i="37"/>
  <c r="V876" i="37"/>
  <c r="V811" i="37"/>
  <c r="V791" i="37"/>
  <c r="V779" i="37"/>
  <c r="V885" i="37"/>
  <c r="V703" i="37"/>
  <c r="V801" i="37"/>
  <c r="V660" i="37"/>
  <c r="J853" i="37"/>
  <c r="V648" i="37"/>
  <c r="V678" i="37"/>
  <c r="V891" i="37"/>
  <c r="V752" i="37"/>
  <c r="U1248" i="50"/>
  <c r="J1150" i="50"/>
  <c r="J1148" i="50"/>
  <c r="J1151" i="50"/>
  <c r="J1147" i="50"/>
  <c r="J1152" i="50"/>
  <c r="J1149" i="50"/>
  <c r="U876" i="37"/>
  <c r="U660" i="37"/>
  <c r="U752" i="37"/>
  <c r="U891" i="37"/>
  <c r="U779" i="37"/>
  <c r="U801" i="37"/>
  <c r="U791" i="37"/>
  <c r="U885" i="37"/>
  <c r="I853" i="37"/>
  <c r="U819" i="37"/>
  <c r="U811" i="37"/>
  <c r="W752" i="37"/>
  <c r="W885" i="37"/>
  <c r="K853" i="37"/>
  <c r="W876" i="37"/>
  <c r="W648" i="37"/>
  <c r="W660" i="37"/>
  <c r="W678" i="37"/>
  <c r="W819" i="37"/>
  <c r="W791" i="37"/>
  <c r="W891" i="37"/>
  <c r="W703" i="37"/>
  <c r="W811" i="37"/>
  <c r="W801" i="37"/>
  <c r="W779" i="37"/>
  <c r="J2789" i="37"/>
  <c r="J2791" i="37" s="1"/>
  <c r="J2786" i="37"/>
  <c r="K2786" i="37"/>
  <c r="AK293" i="37"/>
  <c r="J1642" i="50"/>
  <c r="J1640" i="50"/>
  <c r="J1644" i="50"/>
  <c r="J1641" i="50"/>
  <c r="J1639" i="50"/>
  <c r="J1643" i="50"/>
  <c r="I238" i="50"/>
  <c r="H483" i="50"/>
  <c r="AK23" i="37"/>
  <c r="K2792" i="37"/>
  <c r="N2789" i="37"/>
  <c r="N2791" i="37" s="1"/>
  <c r="L2789" i="37"/>
  <c r="L2791" i="37" s="1"/>
  <c r="M2792" i="37"/>
  <c r="J2792" i="37"/>
  <c r="M2786" i="37"/>
  <c r="N227" i="50"/>
  <c r="J2448" i="50"/>
  <c r="J2449" i="50" s="1"/>
  <c r="J844" i="42" s="1"/>
  <c r="AK21" i="37"/>
  <c r="AK513" i="37"/>
  <c r="AH148" i="37"/>
  <c r="AH197" i="37"/>
  <c r="AH301" i="37"/>
  <c r="AH156" i="37"/>
  <c r="AH157" i="37" s="1"/>
  <c r="AH206" i="37"/>
  <c r="AH207" i="37" s="1"/>
  <c r="AH210" i="37"/>
  <c r="AH171" i="37"/>
  <c r="AH287" i="37"/>
  <c r="AH225" i="37"/>
  <c r="AH113" i="37"/>
  <c r="AH114" i="37" s="1"/>
  <c r="AH115" i="37" s="1"/>
  <c r="AH116" i="37" s="1"/>
  <c r="AH117" i="37" s="1"/>
  <c r="AH118" i="37" s="1"/>
  <c r="AH119" i="37" s="1"/>
  <c r="AH120" i="37" s="1"/>
  <c r="AH121" i="37" s="1"/>
  <c r="AH122" i="37" s="1"/>
  <c r="AC56" i="37"/>
  <c r="AK56" i="37" s="1"/>
  <c r="AK54" i="37"/>
  <c r="H227" i="50"/>
  <c r="E421" i="50"/>
  <c r="Q336" i="41"/>
  <c r="I239" i="50"/>
  <c r="T187" i="37"/>
  <c r="T56" i="37"/>
  <c r="T175" i="37"/>
  <c r="T281" i="37"/>
  <c r="T287" i="37"/>
  <c r="H249" i="37"/>
  <c r="T207" i="37"/>
  <c r="T197" i="37"/>
  <c r="T272" i="37"/>
  <c r="T215" i="37"/>
  <c r="T148" i="37"/>
  <c r="V287" i="37"/>
  <c r="J249" i="37"/>
  <c r="V148" i="37"/>
  <c r="V281" i="37"/>
  <c r="V207" i="37"/>
  <c r="V197" i="37"/>
  <c r="V175" i="37"/>
  <c r="V187" i="37"/>
  <c r="V56" i="37"/>
  <c r="V272" i="37"/>
  <c r="V215" i="37"/>
  <c r="AD225" i="37"/>
  <c r="AD301" i="37"/>
  <c r="AD113" i="37"/>
  <c r="AD114" i="37" s="1"/>
  <c r="AD115" i="37" s="1"/>
  <c r="AD116" i="37" s="1"/>
  <c r="AD117" i="37" s="1"/>
  <c r="AD118" i="37" s="1"/>
  <c r="AD119" i="37" s="1"/>
  <c r="AD120" i="37" s="1"/>
  <c r="AD121" i="37" s="1"/>
  <c r="AD122" i="37" s="1"/>
  <c r="AD287" i="37"/>
  <c r="AD197" i="37"/>
  <c r="AD156" i="37"/>
  <c r="AD157" i="37" s="1"/>
  <c r="AD171" i="37"/>
  <c r="AD206" i="37"/>
  <c r="AD207" i="37" s="1"/>
  <c r="AD148" i="37"/>
  <c r="AD210" i="37"/>
  <c r="AG156" i="37"/>
  <c r="AG157" i="37" s="1"/>
  <c r="AG206" i="37"/>
  <c r="AG207" i="37" s="1"/>
  <c r="AG113" i="37"/>
  <c r="AG114" i="37" s="1"/>
  <c r="AG115" i="37" s="1"/>
  <c r="AG116" i="37" s="1"/>
  <c r="AG117" i="37" s="1"/>
  <c r="AG118" i="37" s="1"/>
  <c r="AG119" i="37" s="1"/>
  <c r="AG120" i="37" s="1"/>
  <c r="AG121" i="37" s="1"/>
  <c r="AG122" i="37" s="1"/>
  <c r="AG148" i="37"/>
  <c r="AG171" i="37"/>
  <c r="AG225" i="37"/>
  <c r="AG210" i="37"/>
  <c r="AG301" i="37"/>
  <c r="AG197" i="37"/>
  <c r="AG287" i="37"/>
  <c r="Z253" i="37"/>
  <c r="Z65" i="37"/>
  <c r="N35" i="37"/>
  <c r="N1976" i="50" s="1"/>
  <c r="Z90" i="37"/>
  <c r="N487" i="50"/>
  <c r="K227" i="50"/>
  <c r="AK2490" i="37"/>
  <c r="M2789" i="37"/>
  <c r="M2791" i="37" s="1"/>
  <c r="L2786" i="37"/>
  <c r="AE225" i="37"/>
  <c r="AE206" i="37"/>
  <c r="AE207" i="37" s="1"/>
  <c r="AE301" i="37"/>
  <c r="AE148" i="37"/>
  <c r="AE210" i="37"/>
  <c r="AE197" i="37"/>
  <c r="AE171" i="37"/>
  <c r="AE113" i="37"/>
  <c r="AE114" i="37" s="1"/>
  <c r="AE115" i="37" s="1"/>
  <c r="AE116" i="37" s="1"/>
  <c r="AE117" i="37" s="1"/>
  <c r="AE118" i="37" s="1"/>
  <c r="AE119" i="37" s="1"/>
  <c r="AE120" i="37" s="1"/>
  <c r="AE121" i="37" s="1"/>
  <c r="AE122" i="37" s="1"/>
  <c r="AE287" i="37"/>
  <c r="AE156" i="37"/>
  <c r="AE157" i="37" s="1"/>
  <c r="AF113" i="37"/>
  <c r="AF114" i="37" s="1"/>
  <c r="AF115" i="37" s="1"/>
  <c r="AF116" i="37" s="1"/>
  <c r="AF117" i="37" s="1"/>
  <c r="AF118" i="37" s="1"/>
  <c r="AF119" i="37" s="1"/>
  <c r="AF120" i="37" s="1"/>
  <c r="AF121" i="37" s="1"/>
  <c r="AF122" i="37" s="1"/>
  <c r="AF156" i="37"/>
  <c r="AF157" i="37" s="1"/>
  <c r="AF210" i="37"/>
  <c r="AF287" i="37"/>
  <c r="AF225" i="37"/>
  <c r="AF148" i="37"/>
  <c r="AF197" i="37"/>
  <c r="AF171" i="37"/>
  <c r="AF206" i="37"/>
  <c r="AF207" i="37" s="1"/>
  <c r="AF301" i="37"/>
  <c r="Z187" i="37"/>
  <c r="Z175" i="37"/>
  <c r="Z287" i="37"/>
  <c r="Z272" i="37"/>
  <c r="N249" i="37"/>
  <c r="Z148" i="37"/>
  <c r="Z207" i="37"/>
  <c r="Z56" i="37"/>
  <c r="Z215" i="37"/>
  <c r="Z281" i="37"/>
  <c r="Z197" i="37"/>
  <c r="I589" i="50"/>
  <c r="J494" i="50" s="1"/>
  <c r="J496" i="50"/>
  <c r="K249" i="37"/>
  <c r="W187" i="37"/>
  <c r="W281" i="37"/>
  <c r="W56" i="37"/>
  <c r="W175" i="37"/>
  <c r="W215" i="37"/>
  <c r="W287" i="37"/>
  <c r="W148" i="37"/>
  <c r="W272" i="37"/>
  <c r="W197" i="37"/>
  <c r="W207" i="37"/>
  <c r="M227" i="50"/>
  <c r="W90" i="37"/>
  <c r="W253" i="37"/>
  <c r="W65" i="37"/>
  <c r="K35" i="37"/>
  <c r="K1976" i="50" s="1"/>
  <c r="K487" i="50"/>
  <c r="U272" i="37"/>
  <c r="U148" i="37"/>
  <c r="U56" i="37"/>
  <c r="U197" i="37"/>
  <c r="U215" i="37"/>
  <c r="U207" i="37"/>
  <c r="U281" i="37"/>
  <c r="I249" i="37"/>
  <c r="U187" i="37"/>
  <c r="U287" i="37"/>
  <c r="U175" i="37"/>
  <c r="I38" i="37"/>
  <c r="I44" i="37" s="1"/>
  <c r="I93" i="37"/>
  <c r="I99" i="37" s="1"/>
  <c r="I256" i="37"/>
  <c r="I262" i="37" s="1"/>
  <c r="I68" i="37"/>
  <c r="I74" i="37" s="1"/>
  <c r="Y253" i="37"/>
  <c r="M35" i="37"/>
  <c r="M1976" i="50" s="1"/>
  <c r="Y65" i="37"/>
  <c r="Y90" i="37"/>
  <c r="M487" i="50"/>
  <c r="AC225" i="37"/>
  <c r="AC287" i="37"/>
  <c r="AC171" i="37"/>
  <c r="AC156" i="37"/>
  <c r="AC210" i="37"/>
  <c r="AC301" i="37"/>
  <c r="AK83" i="37"/>
  <c r="AC148" i="37"/>
  <c r="AC206" i="37"/>
  <c r="AC197" i="37"/>
  <c r="AC113" i="37"/>
  <c r="L2537" i="50"/>
  <c r="L2580" i="50" s="1"/>
  <c r="J2534" i="50"/>
  <c r="J2577" i="50" s="1"/>
  <c r="M2538" i="50"/>
  <c r="M2581" i="50" s="1"/>
  <c r="J241" i="50"/>
  <c r="I240" i="50"/>
  <c r="L239" i="50"/>
  <c r="M237" i="50"/>
  <c r="J238" i="50"/>
  <c r="J2536" i="50"/>
  <c r="J2579" i="50" s="1"/>
  <c r="N237" i="50"/>
  <c r="M239" i="50"/>
  <c r="N2535" i="50"/>
  <c r="N2578" i="50" s="1"/>
  <c r="H238" i="50"/>
  <c r="H239" i="50"/>
  <c r="M240" i="50"/>
  <c r="K2540" i="50"/>
  <c r="K2583" i="50" s="1"/>
  <c r="N241" i="50"/>
  <c r="L241" i="50"/>
  <c r="K2537" i="50"/>
  <c r="K2580" i="50" s="1"/>
  <c r="I227" i="50"/>
  <c r="N2538" i="50"/>
  <c r="N2581" i="50" s="1"/>
  <c r="I237" i="50"/>
  <c r="L2535" i="50"/>
  <c r="L2578" i="50" s="1"/>
  <c r="N2534" i="50"/>
  <c r="N2577" i="50" s="1"/>
  <c r="M2535" i="50"/>
  <c r="M2578" i="50" s="1"/>
  <c r="L2538" i="50"/>
  <c r="L2581" i="50" s="1"/>
  <c r="M2540" i="50"/>
  <c r="M2583" i="50" s="1"/>
  <c r="J239" i="50"/>
  <c r="L2540" i="50"/>
  <c r="L2583" i="50" s="1"/>
  <c r="M2534" i="50"/>
  <c r="M2577" i="50" s="1"/>
  <c r="N2536" i="50"/>
  <c r="N2579" i="50" s="1"/>
  <c r="J237" i="50"/>
  <c r="J227" i="50"/>
  <c r="K239" i="50"/>
  <c r="N240" i="50"/>
  <c r="K238" i="50"/>
  <c r="K241" i="50"/>
  <c r="M2536" i="50"/>
  <c r="M2579" i="50" s="1"/>
  <c r="K240" i="50"/>
  <c r="M238" i="50"/>
  <c r="J2535" i="50"/>
  <c r="J2578" i="50" s="1"/>
  <c r="H240" i="50"/>
  <c r="N2537" i="50"/>
  <c r="N2580" i="50" s="1"/>
  <c r="N2540" i="50"/>
  <c r="N2583" i="50" s="1"/>
  <c r="L238" i="50"/>
  <c r="K2535" i="50"/>
  <c r="K2578" i="50" s="1"/>
  <c r="L2534" i="50"/>
  <c r="L2577" i="50" s="1"/>
  <c r="J2540" i="50"/>
  <c r="J2583" i="50" s="1"/>
  <c r="K237" i="50"/>
  <c r="H241" i="50"/>
  <c r="H237" i="50"/>
  <c r="I241" i="50"/>
  <c r="N238" i="50"/>
  <c r="J2537" i="50"/>
  <c r="J2580" i="50" s="1"/>
  <c r="M2537" i="50"/>
  <c r="M2580" i="50" s="1"/>
  <c r="N239" i="50"/>
  <c r="M241" i="50"/>
  <c r="K2534" i="50"/>
  <c r="K2577" i="50" s="1"/>
  <c r="L237" i="50"/>
  <c r="L2536" i="50"/>
  <c r="L2579" i="50" s="1"/>
  <c r="K2536" i="50"/>
  <c r="K2579" i="50" s="1"/>
  <c r="K2538" i="50"/>
  <c r="K2581" i="50" s="1"/>
  <c r="J2538" i="50"/>
  <c r="J2581" i="50" s="1"/>
  <c r="J240" i="50"/>
  <c r="L227" i="50"/>
  <c r="N2792" i="37"/>
  <c r="AI287" i="37"/>
  <c r="AI113" i="37"/>
  <c r="AI114" i="37" s="1"/>
  <c r="AI115" i="37" s="1"/>
  <c r="AI116" i="37" s="1"/>
  <c r="AI117" i="37" s="1"/>
  <c r="AI118" i="37" s="1"/>
  <c r="AI119" i="37" s="1"/>
  <c r="AI120" i="37" s="1"/>
  <c r="AI121" i="37" s="1"/>
  <c r="AI122" i="37" s="1"/>
  <c r="AI210" i="37"/>
  <c r="AI225" i="37"/>
  <c r="AI171" i="37"/>
  <c r="AI206" i="37"/>
  <c r="AI207" i="37" s="1"/>
  <c r="AI156" i="37"/>
  <c r="AI157" i="37" s="1"/>
  <c r="AI301" i="37"/>
  <c r="AI197" i="37"/>
  <c r="AI148" i="37"/>
  <c r="V253" i="37"/>
  <c r="V65" i="37"/>
  <c r="V90" i="37"/>
  <c r="J35" i="37"/>
  <c r="J1976" i="50" s="1"/>
  <c r="J487" i="50"/>
  <c r="L249" i="37"/>
  <c r="X197" i="37"/>
  <c r="X187" i="37"/>
  <c r="X287" i="37"/>
  <c r="X207" i="37"/>
  <c r="X272" i="37"/>
  <c r="X148" i="37"/>
  <c r="X215" i="37"/>
  <c r="X56" i="37"/>
  <c r="X175" i="37"/>
  <c r="X281" i="37"/>
  <c r="Y56" i="37"/>
  <c r="Y207" i="37"/>
  <c r="Y187" i="37"/>
  <c r="Y272" i="37"/>
  <c r="Y287" i="37"/>
  <c r="M249" i="37"/>
  <c r="Y175" i="37"/>
  <c r="Y148" i="37"/>
  <c r="Y281" i="37"/>
  <c r="Y215" i="37"/>
  <c r="Y197" i="37"/>
  <c r="L35" i="37"/>
  <c r="L1976" i="50" s="1"/>
  <c r="X90" i="37"/>
  <c r="X65" i="37"/>
  <c r="X253" i="37"/>
  <c r="L487" i="50"/>
  <c r="L240" i="50"/>
  <c r="Z2670" i="37"/>
  <c r="N2671" i="37"/>
  <c r="N2670" i="37"/>
  <c r="Z2672" i="37"/>
  <c r="W2452" i="37"/>
  <c r="K2453" i="37"/>
  <c r="K2452" i="37"/>
  <c r="W2454" i="37"/>
  <c r="W2453" i="37"/>
  <c r="Y2670" i="37"/>
  <c r="M2670" i="37"/>
  <c r="Y2672" i="37"/>
  <c r="M2671" i="37"/>
  <c r="N2482" i="37"/>
  <c r="Z2482" i="37"/>
  <c r="N2483" i="37"/>
  <c r="Z2484" i="37"/>
  <c r="K2789" i="37"/>
  <c r="K2791" i="37" s="1"/>
  <c r="M2783" i="37"/>
  <c r="J2783" i="37"/>
  <c r="K2783" i="37"/>
  <c r="J2778" i="37"/>
  <c r="H2778" i="37"/>
  <c r="I2783" i="37"/>
  <c r="I2778" i="37"/>
  <c r="N2783" i="37"/>
  <c r="N2778" i="37"/>
  <c r="L2778" i="37"/>
  <c r="I2786" i="37"/>
  <c r="I2792" i="37" s="1"/>
  <c r="M2778" i="37"/>
  <c r="L2783" i="37"/>
  <c r="K2778" i="37"/>
  <c r="N2786" i="37"/>
  <c r="W2971" i="37"/>
  <c r="K2971" i="37" s="1"/>
  <c r="W2783" i="37"/>
  <c r="K2753" i="37"/>
  <c r="W2808" i="37"/>
  <c r="K2808" i="37" s="1"/>
  <c r="AK2772" i="37"/>
  <c r="AC2774" i="37"/>
  <c r="AK2774" i="37" s="1"/>
  <c r="AH2740" i="37"/>
  <c r="AC2740" i="37"/>
  <c r="AD2740" i="37"/>
  <c r="AG2740" i="37"/>
  <c r="AF2740" i="37"/>
  <c r="AE2740" i="37"/>
  <c r="AI2740" i="37"/>
  <c r="Y2158" i="37"/>
  <c r="Y2262" i="37"/>
  <c r="Y2321" i="37"/>
  <c r="Y2395" i="37"/>
  <c r="Y2289" i="37"/>
  <c r="Y2329" i="37"/>
  <c r="Y2311" i="37"/>
  <c r="M2363" i="37"/>
  <c r="Y2188" i="37"/>
  <c r="Y2213" i="37"/>
  <c r="Y2301" i="37"/>
  <c r="Y2401" i="37"/>
  <c r="Y2386" i="37"/>
  <c r="Y2170" i="37"/>
  <c r="U2386" i="37"/>
  <c r="U2401" i="37"/>
  <c r="U2321" i="37"/>
  <c r="I2363" i="37"/>
  <c r="U2262" i="37"/>
  <c r="U2301" i="37"/>
  <c r="U2289" i="37"/>
  <c r="U2395" i="37"/>
  <c r="U2329" i="37"/>
  <c r="U2170" i="37"/>
  <c r="U2311" i="37"/>
  <c r="AE2270" i="37"/>
  <c r="AE2271" i="37" s="1"/>
  <c r="AE2262" i="37"/>
  <c r="AE2285" i="37"/>
  <c r="AE2320" i="37"/>
  <c r="AE2321" i="37" s="1"/>
  <c r="AE2311" i="37"/>
  <c r="AE2339" i="37"/>
  <c r="AE2401" i="37"/>
  <c r="AE2227" i="37"/>
  <c r="AE2228" i="37" s="1"/>
  <c r="AE2229" i="37" s="1"/>
  <c r="AE2230" i="37" s="1"/>
  <c r="AE2231" i="37" s="1"/>
  <c r="AE2232" i="37" s="1"/>
  <c r="AE2233" i="37" s="1"/>
  <c r="AE2234" i="37" s="1"/>
  <c r="AE2235" i="37" s="1"/>
  <c r="AE2236" i="37" s="1"/>
  <c r="AE2407" i="37"/>
  <c r="AE2324" i="37"/>
  <c r="AE2415" i="37"/>
  <c r="AG2415" i="37"/>
  <c r="AG2320" i="37"/>
  <c r="AG2321" i="37" s="1"/>
  <c r="AG2285" i="37"/>
  <c r="AG2227" i="37"/>
  <c r="AG2228" i="37" s="1"/>
  <c r="AG2229" i="37" s="1"/>
  <c r="AG2230" i="37" s="1"/>
  <c r="AG2231" i="37" s="1"/>
  <c r="AG2232" i="37" s="1"/>
  <c r="AG2233" i="37" s="1"/>
  <c r="AG2234" i="37" s="1"/>
  <c r="AG2235" i="37" s="1"/>
  <c r="AG2236" i="37" s="1"/>
  <c r="AG2311" i="37"/>
  <c r="AG2270" i="37"/>
  <c r="AG2271" i="37" s="1"/>
  <c r="AG2339" i="37"/>
  <c r="AG2401" i="37"/>
  <c r="AG2407" i="37"/>
  <c r="AG2262" i="37"/>
  <c r="AG2324" i="37"/>
  <c r="X2453" i="37"/>
  <c r="L2453" i="37"/>
  <c r="X2454" i="37"/>
  <c r="L2452" i="37"/>
  <c r="X2452" i="37"/>
  <c r="J2671" i="37"/>
  <c r="V2672" i="37"/>
  <c r="J2670" i="37"/>
  <c r="V2670" i="37"/>
  <c r="W2672" i="37"/>
  <c r="K2671" i="37"/>
  <c r="W2670" i="37"/>
  <c r="K2670" i="37"/>
  <c r="M2443" i="50"/>
  <c r="Y839" i="42"/>
  <c r="M840" i="42"/>
  <c r="Y840" i="42"/>
  <c r="M2445" i="50" s="1"/>
  <c r="M839" i="42"/>
  <c r="M2444" i="50" s="1"/>
  <c r="Y841" i="42"/>
  <c r="Y2453" i="37"/>
  <c r="M2453" i="37"/>
  <c r="Y2452" i="37"/>
  <c r="M2452" i="37"/>
  <c r="Y2454" i="37"/>
  <c r="J2483" i="37"/>
  <c r="J2482" i="37"/>
  <c r="V2484" i="37"/>
  <c r="V2482" i="37"/>
  <c r="K2483" i="37"/>
  <c r="W2484" i="37"/>
  <c r="W2482" i="37"/>
  <c r="K2482" i="37"/>
  <c r="K839" i="42"/>
  <c r="K2444" i="50" s="1"/>
  <c r="W841" i="42"/>
  <c r="W839" i="42"/>
  <c r="K2443" i="50"/>
  <c r="K840" i="42"/>
  <c r="W840" i="42"/>
  <c r="K2445" i="50" s="1"/>
  <c r="Y2808" i="37"/>
  <c r="M2808" i="37" s="1"/>
  <c r="Y2783" i="37"/>
  <c r="M2753" i="37"/>
  <c r="Y2971" i="37"/>
  <c r="M2971" i="37" s="1"/>
  <c r="Z2783" i="37"/>
  <c r="N2753" i="37"/>
  <c r="Z2971" i="37"/>
  <c r="N2971" i="37" s="1"/>
  <c r="Z2808" i="37"/>
  <c r="N2808" i="37" s="1"/>
  <c r="AC2415" i="37"/>
  <c r="AC2262" i="37"/>
  <c r="AC2407" i="37"/>
  <c r="AC2285" i="37"/>
  <c r="AK2197" i="37"/>
  <c r="AC2311" i="37"/>
  <c r="AC2270" i="37"/>
  <c r="AC2227" i="37"/>
  <c r="AC2339" i="37"/>
  <c r="AC2320" i="37"/>
  <c r="AC2401" i="37"/>
  <c r="AC2324" i="37"/>
  <c r="T2395" i="37"/>
  <c r="T2262" i="37"/>
  <c r="H2363" i="37"/>
  <c r="T2301" i="37"/>
  <c r="T2329" i="37"/>
  <c r="T2386" i="37"/>
  <c r="T2311" i="37"/>
  <c r="T2401" i="37"/>
  <c r="T2289" i="37"/>
  <c r="T2170" i="37"/>
  <c r="T2321" i="37"/>
  <c r="U1740" i="50"/>
  <c r="W2170" i="37"/>
  <c r="W2321" i="37"/>
  <c r="W2329" i="37"/>
  <c r="W2395" i="37"/>
  <c r="W2289" i="37"/>
  <c r="W2401" i="37"/>
  <c r="W2213" i="37"/>
  <c r="W2301" i="37"/>
  <c r="W2188" i="37"/>
  <c r="W2158" i="37"/>
  <c r="W2311" i="37"/>
  <c r="K2363" i="37"/>
  <c r="W2262" i="37"/>
  <c r="W2386" i="37"/>
  <c r="AH2320" i="37"/>
  <c r="AH2321" i="37" s="1"/>
  <c r="AH2324" i="37"/>
  <c r="AH2401" i="37"/>
  <c r="AH2262" i="37"/>
  <c r="AH2227" i="37"/>
  <c r="AH2228" i="37" s="1"/>
  <c r="AH2229" i="37" s="1"/>
  <c r="AH2230" i="37" s="1"/>
  <c r="AH2231" i="37" s="1"/>
  <c r="AH2232" i="37" s="1"/>
  <c r="AH2233" i="37" s="1"/>
  <c r="AH2234" i="37" s="1"/>
  <c r="AH2235" i="37" s="1"/>
  <c r="AH2236" i="37" s="1"/>
  <c r="AH2407" i="37"/>
  <c r="AH2311" i="37"/>
  <c r="AH2270" i="37"/>
  <c r="AH2271" i="37" s="1"/>
  <c r="AH2415" i="37"/>
  <c r="AH2339" i="37"/>
  <c r="AH2285" i="37"/>
  <c r="X2509" i="37"/>
  <c r="L2507" i="37"/>
  <c r="X2507" i="37"/>
  <c r="L2508" i="37"/>
  <c r="N839" i="42"/>
  <c r="N2444" i="50" s="1"/>
  <c r="N840" i="42"/>
  <c r="Z840" i="42"/>
  <c r="N2445" i="50" s="1"/>
  <c r="Z839" i="42"/>
  <c r="Z841" i="42"/>
  <c r="N2443" i="50"/>
  <c r="N2508" i="37"/>
  <c r="Z2509" i="37"/>
  <c r="Z2507" i="37"/>
  <c r="N2507" i="37"/>
  <c r="AC817" i="42"/>
  <c r="AL817" i="42" s="1"/>
  <c r="AL814" i="42"/>
  <c r="Y2509" i="37"/>
  <c r="M2507" i="37"/>
  <c r="Y2507" i="37"/>
  <c r="M2508" i="37"/>
  <c r="Y2482" i="37"/>
  <c r="M2483" i="37"/>
  <c r="Y2484" i="37"/>
  <c r="M2482" i="37"/>
  <c r="Q2729" i="37"/>
  <c r="Q2427" i="37" s="1"/>
  <c r="Q2125" i="37" s="1"/>
  <c r="Q1823" i="37" s="1"/>
  <c r="Q1521" i="37" s="1"/>
  <c r="Q1219" i="37" s="1"/>
  <c r="Q917" i="37" s="1"/>
  <c r="Q615" i="37" s="1"/>
  <c r="Q313" i="37" s="1"/>
  <c r="V2971" i="37"/>
  <c r="J2971" i="37" s="1"/>
  <c r="V2783" i="37"/>
  <c r="V2808" i="37"/>
  <c r="J2808" i="37" s="1"/>
  <c r="J2753" i="37"/>
  <c r="X2808" i="37"/>
  <c r="L2808" i="37" s="1"/>
  <c r="X2971" i="37"/>
  <c r="L2971" i="37" s="1"/>
  <c r="X2783" i="37"/>
  <c r="L2753" i="37"/>
  <c r="AI2311" i="37"/>
  <c r="AI2320" i="37"/>
  <c r="AI2321" i="37" s="1"/>
  <c r="AI2227" i="37"/>
  <c r="AI2228" i="37" s="1"/>
  <c r="AI2229" i="37" s="1"/>
  <c r="AI2230" i="37" s="1"/>
  <c r="AI2231" i="37" s="1"/>
  <c r="AI2232" i="37" s="1"/>
  <c r="AI2233" i="37" s="1"/>
  <c r="AI2234" i="37" s="1"/>
  <c r="AI2235" i="37" s="1"/>
  <c r="AI2236" i="37" s="1"/>
  <c r="AI2401" i="37"/>
  <c r="AI2415" i="37"/>
  <c r="AI2324" i="37"/>
  <c r="AI2270" i="37"/>
  <c r="AI2271" i="37" s="1"/>
  <c r="AI2407" i="37"/>
  <c r="AI2285" i="37"/>
  <c r="AI2339" i="37"/>
  <c r="AI2262" i="37"/>
  <c r="AK2135" i="37"/>
  <c r="Z2329" i="37"/>
  <c r="Z2311" i="37"/>
  <c r="N2363" i="37"/>
  <c r="Z2188" i="37"/>
  <c r="Z2401" i="37"/>
  <c r="Z2213" i="37"/>
  <c r="Z2289" i="37"/>
  <c r="Z2262" i="37"/>
  <c r="Z2158" i="37"/>
  <c r="Z2395" i="37"/>
  <c r="Z2170" i="37"/>
  <c r="Z2386" i="37"/>
  <c r="Z2321" i="37"/>
  <c r="Z2301" i="37"/>
  <c r="X2670" i="37"/>
  <c r="X2672" i="37"/>
  <c r="L2670" i="37"/>
  <c r="L2671" i="37"/>
  <c r="V2454" i="37"/>
  <c r="J2453" i="37"/>
  <c r="J2452" i="37"/>
  <c r="V2452" i="37"/>
  <c r="V2453" i="37"/>
  <c r="L839" i="42"/>
  <c r="L2444" i="50" s="1"/>
  <c r="L840" i="42"/>
  <c r="X841" i="42"/>
  <c r="X840" i="42"/>
  <c r="L2445" i="50" s="1"/>
  <c r="X839" i="42"/>
  <c r="L2443" i="50"/>
  <c r="D262" i="34"/>
  <c r="C263" i="34"/>
  <c r="O262" i="34"/>
  <c r="R262" i="34" s="1"/>
  <c r="Z2454" i="37"/>
  <c r="N2452" i="37"/>
  <c r="Z2453" i="37"/>
  <c r="Z2452" i="37"/>
  <c r="N2453" i="37"/>
  <c r="K2508" i="37"/>
  <c r="K2507" i="37"/>
  <c r="W2509" i="37"/>
  <c r="W2507" i="37"/>
  <c r="L2482" i="37"/>
  <c r="X2482" i="37"/>
  <c r="L2483" i="37"/>
  <c r="X2484" i="37"/>
  <c r="AK2762" i="37"/>
  <c r="AK2817" i="37"/>
  <c r="AK2980" i="37"/>
  <c r="V2731" i="37"/>
  <c r="AK2741" i="37"/>
  <c r="AF2262" i="37"/>
  <c r="AF2270" i="37"/>
  <c r="AF2271" i="37" s="1"/>
  <c r="AF2311" i="37"/>
  <c r="AF2320" i="37"/>
  <c r="AF2321" i="37" s="1"/>
  <c r="AF2227" i="37"/>
  <c r="AF2228" i="37" s="1"/>
  <c r="AF2229" i="37" s="1"/>
  <c r="AF2230" i="37" s="1"/>
  <c r="AF2231" i="37" s="1"/>
  <c r="AF2232" i="37" s="1"/>
  <c r="AF2233" i="37" s="1"/>
  <c r="AF2234" i="37" s="1"/>
  <c r="AF2235" i="37" s="1"/>
  <c r="AF2236" i="37" s="1"/>
  <c r="AF2285" i="37"/>
  <c r="AF2401" i="37"/>
  <c r="AF2415" i="37"/>
  <c r="AF2324" i="37"/>
  <c r="AF2339" i="37"/>
  <c r="AF2407" i="37"/>
  <c r="AD2401" i="37"/>
  <c r="AD2262" i="37"/>
  <c r="AD2339" i="37"/>
  <c r="AD2324" i="37"/>
  <c r="AD2285" i="37"/>
  <c r="AD2407" i="37"/>
  <c r="AD2227" i="37"/>
  <c r="AD2228" i="37" s="1"/>
  <c r="AD2229" i="37" s="1"/>
  <c r="AD2230" i="37" s="1"/>
  <c r="AD2231" i="37" s="1"/>
  <c r="AD2232" i="37" s="1"/>
  <c r="AD2233" i="37" s="1"/>
  <c r="AD2234" i="37" s="1"/>
  <c r="AD2235" i="37" s="1"/>
  <c r="AD2236" i="37" s="1"/>
  <c r="AD2415" i="37"/>
  <c r="AD2270" i="37"/>
  <c r="AD2271" i="37" s="1"/>
  <c r="AD2320" i="37"/>
  <c r="AD2321" i="37" s="1"/>
  <c r="AD2311" i="37"/>
  <c r="V2321" i="37"/>
  <c r="V2386" i="37"/>
  <c r="V2311" i="37"/>
  <c r="V2395" i="37"/>
  <c r="V2289" i="37"/>
  <c r="J2363" i="37"/>
  <c r="V2262" i="37"/>
  <c r="V2213" i="37"/>
  <c r="V2329" i="37"/>
  <c r="V2401" i="37"/>
  <c r="V2188" i="37"/>
  <c r="V2170" i="37"/>
  <c r="V2301" i="37"/>
  <c r="V2158" i="37"/>
  <c r="X2213" i="37"/>
  <c r="X2311" i="37"/>
  <c r="X2170" i="37"/>
  <c r="X2262" i="37"/>
  <c r="X2329" i="37"/>
  <c r="X2289" i="37"/>
  <c r="X2401" i="37"/>
  <c r="X2395" i="37"/>
  <c r="X2321" i="37"/>
  <c r="X2386" i="37"/>
  <c r="L2363" i="37"/>
  <c r="X2188" i="37"/>
  <c r="X2158" i="37"/>
  <c r="X2301" i="37"/>
  <c r="T1904" i="50"/>
  <c r="AE2437" i="37"/>
  <c r="W2437" i="37"/>
  <c r="AH2499" i="37"/>
  <c r="U2437" i="37"/>
  <c r="AH2437" i="37"/>
  <c r="AF2499" i="37"/>
  <c r="AI2437" i="37"/>
  <c r="Y2437" i="37"/>
  <c r="V2437" i="37"/>
  <c r="X2437" i="37"/>
  <c r="AD2437" i="37"/>
  <c r="I2451" i="37"/>
  <c r="AC2499" i="37"/>
  <c r="AG2437" i="37"/>
  <c r="T2437" i="37"/>
  <c r="AD2499" i="37"/>
  <c r="Z2437" i="37"/>
  <c r="AB2429" i="37"/>
  <c r="AC2437" i="37"/>
  <c r="AI2499" i="37"/>
  <c r="AF2437" i="37"/>
  <c r="AE2499" i="37"/>
  <c r="AG2499" i="37"/>
  <c r="J839" i="42"/>
  <c r="J2444" i="50" s="1"/>
  <c r="V839" i="42"/>
  <c r="J2443" i="50"/>
  <c r="V841" i="42"/>
  <c r="J840" i="42"/>
  <c r="V840" i="42"/>
  <c r="J2445" i="50" s="1"/>
  <c r="V2509" i="37"/>
  <c r="J2508" i="37"/>
  <c r="V2507" i="37"/>
  <c r="J2507" i="37"/>
  <c r="AC1141" i="37"/>
  <c r="AC1150" i="37"/>
  <c r="AK1140" i="37"/>
  <c r="AB1322" i="37"/>
  <c r="AA1322" i="37" s="1"/>
  <c r="Z1322" i="37" s="1"/>
  <c r="AC1323" i="37"/>
  <c r="AD1090" i="37"/>
  <c r="AD1079" i="37"/>
  <c r="AC515" i="42"/>
  <c r="AL511" i="42"/>
  <c r="AF1452" i="37"/>
  <c r="AF1453" i="37" s="1"/>
  <c r="AF1455" i="37" s="1"/>
  <c r="AF1443" i="37"/>
  <c r="AF1445" i="37" s="1"/>
  <c r="AC874" i="37"/>
  <c r="AK873" i="37"/>
  <c r="AA717" i="37"/>
  <c r="Z717" i="37" s="1"/>
  <c r="AG839" i="37"/>
  <c r="AG841" i="37" s="1"/>
  <c r="AG848" i="37"/>
  <c r="AG849" i="37" s="1"/>
  <c r="AG851" i="37" s="1"/>
  <c r="AI1150" i="37"/>
  <c r="AI1151" i="37" s="1"/>
  <c r="AI1153" i="37" s="1"/>
  <c r="AI1141" i="37"/>
  <c r="AI1143" i="37" s="1"/>
  <c r="AI1754" i="37"/>
  <c r="AI1755" i="37" s="1"/>
  <c r="AI1757" i="37" s="1"/>
  <c r="AI1745" i="37"/>
  <c r="AI1747" i="37" s="1"/>
  <c r="AA1623" i="37"/>
  <c r="Z1623" i="37" s="1"/>
  <c r="AH1452" i="37"/>
  <c r="AH1453" i="37" s="1"/>
  <c r="AH1455" i="37" s="1"/>
  <c r="AH1443" i="37"/>
  <c r="AH1445" i="37" s="1"/>
  <c r="AG486" i="37"/>
  <c r="AG475" i="37"/>
  <c r="AC1436" i="37"/>
  <c r="AK1434" i="37"/>
  <c r="AC1423" i="37"/>
  <c r="AK1422" i="37"/>
  <c r="AG1079" i="37"/>
  <c r="AG1090" i="37"/>
  <c r="AK1995" i="37"/>
  <c r="AH1079" i="37"/>
  <c r="AH1090" i="37"/>
  <c r="AG1694" i="37"/>
  <c r="AG1683" i="37"/>
  <c r="AK1089" i="37"/>
  <c r="AB1020" i="37"/>
  <c r="AA1020" i="37" s="1"/>
  <c r="Z1020" i="37" s="1"/>
  <c r="AC1021" i="37"/>
  <c r="AC1185" i="37"/>
  <c r="AK1185" i="37" s="1"/>
  <c r="AK1184" i="37"/>
  <c r="AK1391" i="37"/>
  <c r="AI788" i="37"/>
  <c r="AI777" i="37"/>
  <c r="AE546" i="37"/>
  <c r="AE547" i="37" s="1"/>
  <c r="AE549" i="37" s="1"/>
  <c r="AE537" i="37"/>
  <c r="AE539" i="37" s="1"/>
  <c r="AC1927" i="37"/>
  <c r="AB1926" i="37"/>
  <c r="AA1926" i="37" s="1"/>
  <c r="Z1926" i="37" s="1"/>
  <c r="AK485" i="37"/>
  <c r="AH2047" i="37"/>
  <c r="AH2049" i="37" s="1"/>
  <c r="AH2056" i="37"/>
  <c r="AH2057" i="37" s="1"/>
  <c r="AH2059" i="37" s="1"/>
  <c r="AF1090" i="37"/>
  <c r="AF1079" i="37"/>
  <c r="AE1090" i="37"/>
  <c r="AE1079" i="37"/>
  <c r="AF839" i="37"/>
  <c r="AF841" i="37" s="1"/>
  <c r="AF848" i="37"/>
  <c r="AF849" i="37" s="1"/>
  <c r="AF851" i="37" s="1"/>
  <c r="AD537" i="37"/>
  <c r="AD539" i="37" s="1"/>
  <c r="AD546" i="37"/>
  <c r="AD547" i="37" s="1"/>
  <c r="AD549" i="37" s="1"/>
  <c r="AL195" i="42"/>
  <c r="AC199" i="42"/>
  <c r="AC572" i="37"/>
  <c r="AK571" i="37"/>
  <c r="AH1996" i="37"/>
  <c r="AH1985" i="37"/>
  <c r="AD1683" i="37"/>
  <c r="AD1694" i="37"/>
  <c r="AK1117" i="37"/>
  <c r="AK1682" i="37"/>
  <c r="AC1683" i="37"/>
  <c r="AC1694" i="37"/>
  <c r="AK1513" i="37"/>
  <c r="AC1518" i="37"/>
  <c r="AC1519" i="37" s="1"/>
  <c r="AC1487" i="37"/>
  <c r="AK1487" i="37" s="1"/>
  <c r="AK1486" i="37"/>
  <c r="AK1419" i="37"/>
  <c r="AI839" i="37"/>
  <c r="AI841" i="37" s="1"/>
  <c r="AI848" i="37"/>
  <c r="AI849" i="37" s="1"/>
  <c r="AI851" i="37" s="1"/>
  <c r="AD486" i="37"/>
  <c r="AD475" i="37"/>
  <c r="AF546" i="37"/>
  <c r="AF547" i="37" s="1"/>
  <c r="AF549" i="37" s="1"/>
  <c r="AF537" i="37"/>
  <c r="AF539" i="37" s="1"/>
  <c r="AE777" i="37"/>
  <c r="AE788" i="37"/>
  <c r="AE839" i="37"/>
  <c r="AE841" i="37" s="1"/>
  <c r="AE848" i="37"/>
  <c r="AE849" i="37" s="1"/>
  <c r="AE851" i="37" s="1"/>
  <c r="AC2027" i="37"/>
  <c r="AK2026" i="37"/>
  <c r="AF1392" i="37"/>
  <c r="AF1381" i="37"/>
  <c r="AK815" i="37"/>
  <c r="AG777" i="37"/>
  <c r="AG788" i="37"/>
  <c r="AC417" i="37"/>
  <c r="AB416" i="37"/>
  <c r="AA416" i="37" s="1"/>
  <c r="Z416" i="37" s="1"/>
  <c r="AE1150" i="37"/>
  <c r="AE1151" i="37" s="1"/>
  <c r="AE1153" i="37" s="1"/>
  <c r="AE1141" i="37"/>
  <c r="AE1143" i="37" s="1"/>
  <c r="AE1985" i="37"/>
  <c r="AE1996" i="37"/>
  <c r="AD2047" i="37"/>
  <c r="AD2049" i="37" s="1"/>
  <c r="AD2056" i="37"/>
  <c r="AD2057" i="37" s="1"/>
  <c r="AD2059" i="37" s="1"/>
  <c r="AK787" i="37"/>
  <c r="AD1443" i="37"/>
  <c r="AD1445" i="37" s="1"/>
  <c r="AD1452" i="37"/>
  <c r="AD1453" i="37" s="1"/>
  <c r="AD1455" i="37" s="1"/>
  <c r="AC1820" i="37"/>
  <c r="AC1821" i="37" s="1"/>
  <c r="AK1815" i="37"/>
  <c r="AC1745" i="37"/>
  <c r="AC1754" i="37"/>
  <c r="AK1744" i="37"/>
  <c r="AH839" i="37"/>
  <c r="AH841" i="37" s="1"/>
  <c r="AH848" i="37"/>
  <c r="AH849" i="37" s="1"/>
  <c r="AH851" i="37" s="1"/>
  <c r="AK2038" i="37"/>
  <c r="AC2040" i="37"/>
  <c r="AC2047" i="37"/>
  <c r="AC2056" i="37"/>
  <c r="AK2046" i="37"/>
  <c r="AF1141" i="37"/>
  <c r="AF1143" i="37" s="1"/>
  <c r="AF1150" i="37"/>
  <c r="AF1151" i="37" s="1"/>
  <c r="AF1153" i="37" s="1"/>
  <c r="AI486" i="37"/>
  <c r="AI475" i="37"/>
  <c r="AE1683" i="37"/>
  <c r="AE1694" i="37"/>
  <c r="AK1721" i="37"/>
  <c r="AC392" i="42"/>
  <c r="AL388" i="42"/>
  <c r="AF1745" i="37"/>
  <c r="AF1747" i="37" s="1"/>
  <c r="AF1754" i="37"/>
  <c r="AF1755" i="37" s="1"/>
  <c r="AF1757" i="37" s="1"/>
  <c r="AD1754" i="37"/>
  <c r="AD1755" i="37" s="1"/>
  <c r="AD1757" i="37" s="1"/>
  <c r="AD1745" i="37"/>
  <c r="AD1747" i="37" s="1"/>
  <c r="AC1079" i="37"/>
  <c r="AK1078" i="37"/>
  <c r="AC1090" i="37"/>
  <c r="AK1132" i="37"/>
  <c r="AC1134" i="37"/>
  <c r="AK1175" i="37"/>
  <c r="AC1176" i="37"/>
  <c r="AC1738" i="37"/>
  <c r="AK1736" i="37"/>
  <c r="AA1321" i="37"/>
  <c r="Z1321" i="37" s="1"/>
  <c r="AF475" i="37"/>
  <c r="AF486" i="37"/>
  <c r="AG1985" i="37"/>
  <c r="AG1996" i="37"/>
  <c r="AD1141" i="37"/>
  <c r="AD1143" i="37" s="1"/>
  <c r="AD1150" i="37"/>
  <c r="AD1151" i="37" s="1"/>
  <c r="AD1153" i="37" s="1"/>
  <c r="AI1443" i="37"/>
  <c r="AI1445" i="37" s="1"/>
  <c r="AI1452" i="37"/>
  <c r="AI1453" i="37" s="1"/>
  <c r="AI1455" i="37" s="1"/>
  <c r="AC2091" i="37"/>
  <c r="AK2091" i="37" s="1"/>
  <c r="AK2090" i="37"/>
  <c r="AA1925" i="37"/>
  <c r="Z1925" i="37" s="1"/>
  <c r="AG1745" i="37"/>
  <c r="AG1747" i="37" s="1"/>
  <c r="AG1754" i="37"/>
  <c r="AG1755" i="37" s="1"/>
  <c r="AG1757" i="37" s="1"/>
  <c r="AC832" i="37"/>
  <c r="AK830" i="37"/>
  <c r="AK882" i="37"/>
  <c r="AC883" i="37"/>
  <c r="AK883" i="37" s="1"/>
  <c r="AG537" i="37"/>
  <c r="AG539" i="37" s="1"/>
  <c r="AG546" i="37"/>
  <c r="AG547" i="37" s="1"/>
  <c r="AG549" i="37" s="1"/>
  <c r="AK580" i="37"/>
  <c r="AC581" i="37"/>
  <c r="AK581" i="37" s="1"/>
  <c r="AC530" i="37"/>
  <c r="AK528" i="37"/>
  <c r="AC1625" i="37"/>
  <c r="AB1624" i="37"/>
  <c r="AA1624" i="37" s="1"/>
  <c r="Z1624" i="37" s="1"/>
  <c r="AF777" i="37"/>
  <c r="AF788" i="37"/>
  <c r="AH546" i="37"/>
  <c r="AH547" i="37" s="1"/>
  <c r="AH549" i="37" s="1"/>
  <c r="AH537" i="37"/>
  <c r="AH539" i="37" s="1"/>
  <c r="AG1141" i="37"/>
  <c r="AG1143" i="37" s="1"/>
  <c r="AG1150" i="37"/>
  <c r="AG1151" i="37" s="1"/>
  <c r="AG1153" i="37" s="1"/>
  <c r="AI1683" i="37"/>
  <c r="AI1694" i="37"/>
  <c r="AK1693" i="37"/>
  <c r="AK1477" i="37"/>
  <c r="AC1478" i="37"/>
  <c r="AC1985" i="37"/>
  <c r="AK1984" i="37"/>
  <c r="AC1996" i="37"/>
  <c r="AD1381" i="37"/>
  <c r="AD1392" i="37"/>
  <c r="AI1985" i="37"/>
  <c r="AI1996" i="37"/>
  <c r="AI1079" i="37"/>
  <c r="AI1090" i="37"/>
  <c r="AE1745" i="37"/>
  <c r="AE1747" i="37" s="1"/>
  <c r="AE1754" i="37"/>
  <c r="AE1755" i="37" s="1"/>
  <c r="AE1757" i="37" s="1"/>
  <c r="AA415" i="37"/>
  <c r="Z415" i="37" s="1"/>
  <c r="AK1724" i="37"/>
  <c r="AC1725" i="37"/>
  <c r="AI1392" i="37"/>
  <c r="AI1381" i="37"/>
  <c r="AE486" i="37"/>
  <c r="AE475" i="37"/>
  <c r="AE1381" i="37"/>
  <c r="AE1392" i="37"/>
  <c r="AE1452" i="37"/>
  <c r="AE1453" i="37" s="1"/>
  <c r="AE1455" i="37" s="1"/>
  <c r="AE1443" i="37"/>
  <c r="AE1445" i="37" s="1"/>
  <c r="AC788" i="37"/>
  <c r="AK776" i="37"/>
  <c r="AC777" i="37"/>
  <c r="AK607" i="37"/>
  <c r="AC612" i="37"/>
  <c r="AC613" i="37" s="1"/>
  <c r="AH1141" i="37"/>
  <c r="AH1143" i="37" s="1"/>
  <c r="AH1150" i="37"/>
  <c r="AH1151" i="37" s="1"/>
  <c r="AH1153" i="37" s="1"/>
  <c r="AG1392" i="37"/>
  <c r="AG1381" i="37"/>
  <c r="AI546" i="37"/>
  <c r="AI547" i="37" s="1"/>
  <c r="AI549" i="37" s="1"/>
  <c r="AI537" i="37"/>
  <c r="AI539" i="37" s="1"/>
  <c r="AC2122" i="37"/>
  <c r="AC2123" i="37" s="1"/>
  <c r="AK2117" i="37"/>
  <c r="AK818" i="37"/>
  <c r="AC819" i="37"/>
  <c r="AC914" i="37"/>
  <c r="AC915" i="37" s="1"/>
  <c r="AK909" i="37"/>
  <c r="AF1694" i="37"/>
  <c r="AF1683" i="37"/>
  <c r="AA1019" i="37"/>
  <c r="Z1019" i="37" s="1"/>
  <c r="AK1779" i="37"/>
  <c r="AC1780" i="37"/>
  <c r="AK1788" i="37"/>
  <c r="AC1789" i="37"/>
  <c r="AK1789" i="37" s="1"/>
  <c r="AK1380" i="37"/>
  <c r="AC1381" i="37"/>
  <c r="AC1392" i="37"/>
  <c r="AH1381" i="37"/>
  <c r="AH1392" i="37"/>
  <c r="AD839" i="37"/>
  <c r="AD841" i="37" s="1"/>
  <c r="AD848" i="37"/>
  <c r="AD849" i="37" s="1"/>
  <c r="AD851" i="37" s="1"/>
  <c r="AD1996" i="37"/>
  <c r="AD1985" i="37"/>
  <c r="AK2081" i="37"/>
  <c r="AC2082" i="37"/>
  <c r="AC848" i="37"/>
  <c r="AC839" i="37"/>
  <c r="AK838" i="37"/>
  <c r="AC719" i="37"/>
  <c r="AB718" i="37"/>
  <c r="AA718" i="37" s="1"/>
  <c r="Z718" i="37" s="1"/>
  <c r="AF1996" i="37"/>
  <c r="AF1985" i="37"/>
  <c r="AH1745" i="37"/>
  <c r="AH1747" i="37" s="1"/>
  <c r="AH1754" i="37"/>
  <c r="AH1755" i="37" s="1"/>
  <c r="AH1757" i="37" s="1"/>
  <c r="AK474" i="37"/>
  <c r="AC486" i="37"/>
  <c r="AC475" i="37"/>
  <c r="AH486" i="37"/>
  <c r="AH475" i="37"/>
  <c r="AH777" i="37"/>
  <c r="AH788" i="37"/>
  <c r="AK536" i="37"/>
  <c r="AC546" i="37"/>
  <c r="AC537" i="37"/>
  <c r="AC517" i="37"/>
  <c r="AK516" i="37"/>
  <c r="AC1216" i="37"/>
  <c r="AC1217" i="37" s="1"/>
  <c r="AK1211" i="37"/>
  <c r="AG1443" i="37"/>
  <c r="AG1445" i="37" s="1"/>
  <c r="AG1452" i="37"/>
  <c r="AG1453" i="37" s="1"/>
  <c r="AG1455" i="37" s="1"/>
  <c r="AG2047" i="37"/>
  <c r="AG2049" i="37" s="1"/>
  <c r="AG2056" i="37"/>
  <c r="AG2057" i="37" s="1"/>
  <c r="AG2059" i="37" s="1"/>
  <c r="AD788" i="37"/>
  <c r="AD777" i="37"/>
  <c r="AI2047" i="37"/>
  <c r="AI2049" i="37" s="1"/>
  <c r="AI2056" i="37"/>
  <c r="AI2057" i="37" s="1"/>
  <c r="AI2059" i="37" s="1"/>
  <c r="AF2047" i="37"/>
  <c r="AF2049" i="37" s="1"/>
  <c r="AF2056" i="37"/>
  <c r="AF2057" i="37" s="1"/>
  <c r="AF2059" i="37" s="1"/>
  <c r="AH1683" i="37"/>
  <c r="AH1694" i="37"/>
  <c r="AC395" i="42"/>
  <c r="AL391" i="42"/>
  <c r="AK1120" i="37"/>
  <c r="AC1121" i="37"/>
  <c r="AC1443" i="37"/>
  <c r="AK1442" i="37"/>
  <c r="AC1452" i="37"/>
  <c r="AL198" i="42"/>
  <c r="AC202" i="42"/>
  <c r="AL202" i="42" s="1"/>
  <c r="AE2047" i="37"/>
  <c r="AE2049" i="37" s="1"/>
  <c r="AE2056" i="37"/>
  <c r="AE2057" i="37" s="1"/>
  <c r="AE2059" i="37" s="1"/>
  <c r="AK2023" i="37"/>
  <c r="AL514" i="42"/>
  <c r="AC518" i="42"/>
  <c r="J998" i="50" l="1"/>
  <c r="J1068" i="50"/>
  <c r="J1051" i="50"/>
  <c r="J1026" i="50"/>
  <c r="J1009" i="50"/>
  <c r="J1028" i="50"/>
  <c r="J1000" i="50"/>
  <c r="J1070" i="50"/>
  <c r="J1014" i="50"/>
  <c r="J1042" i="50"/>
  <c r="J1036" i="50"/>
  <c r="J1025" i="50"/>
  <c r="J1008" i="50"/>
  <c r="J997" i="50"/>
  <c r="J1050" i="50"/>
  <c r="J706" i="50"/>
  <c r="J692" i="50"/>
  <c r="J678" i="50"/>
  <c r="J734" i="50"/>
  <c r="J720" i="50"/>
  <c r="J1069" i="50"/>
  <c r="J1052" i="50"/>
  <c r="J1041" i="50"/>
  <c r="J1027" i="50"/>
  <c r="J999" i="50"/>
  <c r="J680" i="50"/>
  <c r="J722" i="50"/>
  <c r="J669" i="50"/>
  <c r="J708" i="50"/>
  <c r="J697" i="50"/>
  <c r="J714" i="50"/>
  <c r="J686" i="50"/>
  <c r="J672" i="50"/>
  <c r="J742" i="50"/>
  <c r="J700" i="50"/>
  <c r="J1034" i="50"/>
  <c r="J1020" i="50"/>
  <c r="J1006" i="50"/>
  <c r="J1062" i="50"/>
  <c r="J1048" i="50"/>
  <c r="J741" i="50"/>
  <c r="J724" i="50"/>
  <c r="J671" i="50"/>
  <c r="J713" i="50"/>
  <c r="J699" i="50"/>
  <c r="J668" i="50"/>
  <c r="J679" i="50"/>
  <c r="J735" i="50"/>
  <c r="J721" i="50"/>
  <c r="J707" i="50"/>
  <c r="J670" i="50"/>
  <c r="J740" i="50"/>
  <c r="J723" i="50"/>
  <c r="J698" i="50"/>
  <c r="J681" i="50"/>
  <c r="J1035" i="50"/>
  <c r="J996" i="50"/>
  <c r="J1063" i="50"/>
  <c r="J1049" i="50"/>
  <c r="J1007" i="50"/>
  <c r="J1200" i="50"/>
  <c r="J1189" i="50"/>
  <c r="J1172" i="50"/>
  <c r="J1161" i="50"/>
  <c r="J1214" i="50"/>
  <c r="J1326" i="50"/>
  <c r="J1396" i="50"/>
  <c r="J1379" i="50"/>
  <c r="J1337" i="50"/>
  <c r="J1354" i="50"/>
  <c r="J1206" i="50"/>
  <c r="J1192" i="50"/>
  <c r="J1178" i="50"/>
  <c r="J1164" i="50"/>
  <c r="J1234" i="50"/>
  <c r="J1364" i="50"/>
  <c r="J1353" i="50"/>
  <c r="J1336" i="50"/>
  <c r="J1325" i="50"/>
  <c r="J1378" i="50"/>
  <c r="J1170" i="50"/>
  <c r="J1212" i="50"/>
  <c r="J1198" i="50"/>
  <c r="J1184" i="50"/>
  <c r="J1226" i="50"/>
  <c r="J1380" i="50"/>
  <c r="J1369" i="50"/>
  <c r="J1355" i="50"/>
  <c r="J1327" i="50"/>
  <c r="J1397" i="50"/>
  <c r="J1216" i="50"/>
  <c r="J1191" i="50"/>
  <c r="J1233" i="50"/>
  <c r="J1205" i="50"/>
  <c r="J1163" i="50"/>
  <c r="J1213" i="50"/>
  <c r="J1160" i="50"/>
  <c r="J1227" i="50"/>
  <c r="J1199" i="50"/>
  <c r="J1171" i="50"/>
  <c r="J884" i="50"/>
  <c r="J870" i="50"/>
  <c r="J856" i="50"/>
  <c r="J842" i="50"/>
  <c r="J898" i="50"/>
  <c r="J1376" i="50"/>
  <c r="J1348" i="50"/>
  <c r="J1334" i="50"/>
  <c r="J1390" i="50"/>
  <c r="J1362" i="50"/>
  <c r="J1190" i="50"/>
  <c r="J1232" i="50"/>
  <c r="J1162" i="50"/>
  <c r="J1173" i="50"/>
  <c r="J1215" i="50"/>
  <c r="J886" i="50"/>
  <c r="J861" i="50"/>
  <c r="J872" i="50"/>
  <c r="J844" i="50"/>
  <c r="J833" i="50"/>
  <c r="J1363" i="50"/>
  <c r="J1324" i="50"/>
  <c r="J1391" i="50"/>
  <c r="J1377" i="50"/>
  <c r="J1335" i="50"/>
  <c r="J878" i="50"/>
  <c r="J906" i="50"/>
  <c r="J864" i="50"/>
  <c r="J850" i="50"/>
  <c r="J836" i="50"/>
  <c r="J899" i="50"/>
  <c r="J832" i="50"/>
  <c r="J843" i="50"/>
  <c r="J885" i="50"/>
  <c r="J871" i="50"/>
  <c r="J845" i="50"/>
  <c r="J887" i="50"/>
  <c r="J834" i="50"/>
  <c r="J904" i="50"/>
  <c r="J862" i="50"/>
  <c r="J1370" i="50"/>
  <c r="J1356" i="50"/>
  <c r="J1342" i="50"/>
  <c r="J1328" i="50"/>
  <c r="J1398" i="50"/>
  <c r="J835" i="50"/>
  <c r="J905" i="50"/>
  <c r="J888" i="50"/>
  <c r="J877" i="50"/>
  <c r="J863" i="50"/>
  <c r="N1648" i="50"/>
  <c r="N1812" i="50"/>
  <c r="K1648" i="50"/>
  <c r="K1812" i="50"/>
  <c r="L1648" i="50"/>
  <c r="L1812" i="50"/>
  <c r="J1648" i="50"/>
  <c r="J1812" i="50"/>
  <c r="J1806" i="50"/>
  <c r="J1804" i="50"/>
  <c r="J1808" i="50"/>
  <c r="J1805" i="50"/>
  <c r="J1803" i="50"/>
  <c r="J1807" i="50"/>
  <c r="M1648" i="50"/>
  <c r="M1812" i="50"/>
  <c r="J1692" i="50"/>
  <c r="J1681" i="50"/>
  <c r="J1664" i="50"/>
  <c r="J1653" i="50"/>
  <c r="J1706" i="50"/>
  <c r="J1698" i="50"/>
  <c r="J1684" i="50"/>
  <c r="J1670" i="50"/>
  <c r="J1656" i="50"/>
  <c r="J1726" i="50"/>
  <c r="J1725" i="50"/>
  <c r="J1708" i="50"/>
  <c r="J1697" i="50"/>
  <c r="J1683" i="50"/>
  <c r="J1655" i="50"/>
  <c r="J1652" i="50"/>
  <c r="J1719" i="50"/>
  <c r="J1705" i="50"/>
  <c r="J1691" i="50"/>
  <c r="J1663" i="50"/>
  <c r="J1690" i="50"/>
  <c r="J1676" i="50"/>
  <c r="J1662" i="50"/>
  <c r="J1704" i="50"/>
  <c r="J1718" i="50"/>
  <c r="J1654" i="50"/>
  <c r="J1724" i="50"/>
  <c r="J1707" i="50"/>
  <c r="J1665" i="50"/>
  <c r="J1682" i="50"/>
  <c r="L1320" i="50"/>
  <c r="L1484" i="50"/>
  <c r="M1320" i="50"/>
  <c r="M1484" i="50"/>
  <c r="N1320" i="50"/>
  <c r="N1484" i="50"/>
  <c r="J1320" i="50"/>
  <c r="J1484" i="50"/>
  <c r="K1320" i="50"/>
  <c r="K1484" i="50"/>
  <c r="M992" i="50"/>
  <c r="M1156" i="50"/>
  <c r="L992" i="50"/>
  <c r="L1156" i="50"/>
  <c r="J992" i="50"/>
  <c r="J1156" i="50"/>
  <c r="N992" i="50"/>
  <c r="N1156" i="50"/>
  <c r="K992" i="50"/>
  <c r="K1156" i="50"/>
  <c r="J664" i="50"/>
  <c r="J828" i="50"/>
  <c r="L664" i="50"/>
  <c r="L828" i="50"/>
  <c r="M664" i="50"/>
  <c r="M828" i="50"/>
  <c r="N664" i="50"/>
  <c r="N828" i="50"/>
  <c r="K664" i="50"/>
  <c r="K828" i="50"/>
  <c r="J846" i="42"/>
  <c r="J847" i="42" s="1"/>
  <c r="J2454" i="50" s="1"/>
  <c r="K2439" i="50" s="1"/>
  <c r="K2440" i="50" s="1"/>
  <c r="K2448" i="50" s="1"/>
  <c r="K2449" i="50" s="1"/>
  <c r="K844" i="42" s="1"/>
  <c r="K846" i="42" s="1"/>
  <c r="K847" i="42" s="1"/>
  <c r="K2454" i="50" s="1"/>
  <c r="AK2792" i="37"/>
  <c r="J534" i="50"/>
  <c r="J506" i="50"/>
  <c r="J576" i="50"/>
  <c r="J559" i="50"/>
  <c r="J517" i="50"/>
  <c r="AK113" i="37"/>
  <c r="AB113" i="37"/>
  <c r="AA113" i="37" s="1"/>
  <c r="Z113" i="37" s="1"/>
  <c r="AC114" i="37"/>
  <c r="AC183" i="37"/>
  <c r="AC172" i="37"/>
  <c r="AK171" i="37"/>
  <c r="M253" i="37"/>
  <c r="S586" i="50"/>
  <c r="K253" i="37"/>
  <c r="AF172" i="37"/>
  <c r="AF183" i="37"/>
  <c r="N90" i="37"/>
  <c r="AG226" i="37"/>
  <c r="AG228" i="37" s="1"/>
  <c r="AG281" i="37" s="1"/>
  <c r="AG278" i="37"/>
  <c r="AG279" i="37" s="1"/>
  <c r="AG269" i="37"/>
  <c r="AG270" i="37" s="1"/>
  <c r="AG272" i="37" s="1"/>
  <c r="AG234" i="37"/>
  <c r="L65" i="37"/>
  <c r="J253" i="37"/>
  <c r="AI214" i="37"/>
  <c r="AI215" i="37" s="1"/>
  <c r="AI211" i="37"/>
  <c r="L90" i="37"/>
  <c r="J36" i="37"/>
  <c r="J1977" i="50" s="1"/>
  <c r="J500" i="50"/>
  <c r="AK197" i="37"/>
  <c r="AC302" i="37"/>
  <c r="AC306" i="37" s="1"/>
  <c r="AC305" i="37"/>
  <c r="AK301" i="37"/>
  <c r="AK287" i="37"/>
  <c r="M90" i="37"/>
  <c r="S590" i="50"/>
  <c r="I590" i="50" s="1"/>
  <c r="J495" i="50" s="1"/>
  <c r="K90" i="37"/>
  <c r="AF211" i="37"/>
  <c r="AF214" i="37"/>
  <c r="AF215" i="37" s="1"/>
  <c r="AE211" i="37"/>
  <c r="AE214" i="37"/>
  <c r="AE215" i="37" s="1"/>
  <c r="AE234" i="37"/>
  <c r="AE278" i="37"/>
  <c r="AE279" i="37" s="1"/>
  <c r="AE269" i="37"/>
  <c r="AE270" i="37" s="1"/>
  <c r="AE272" i="37" s="1"/>
  <c r="AE226" i="37"/>
  <c r="AE228" i="37" s="1"/>
  <c r="AE281" i="37" s="1"/>
  <c r="N36" i="37"/>
  <c r="N1977" i="50" s="1"/>
  <c r="N500" i="50"/>
  <c r="AG172" i="37"/>
  <c r="AG183" i="37"/>
  <c r="AD172" i="37"/>
  <c r="AD183" i="37"/>
  <c r="AH172" i="37"/>
  <c r="AH183" i="37"/>
  <c r="AH302" i="37"/>
  <c r="AH306" i="37" s="1"/>
  <c r="AH305" i="37"/>
  <c r="L500" i="50"/>
  <c r="L36" i="37"/>
  <c r="L1977" i="50" s="1"/>
  <c r="J90" i="37"/>
  <c r="AI183" i="37"/>
  <c r="AI172" i="37"/>
  <c r="AK206" i="37"/>
  <c r="AC207" i="37"/>
  <c r="AC211" i="37"/>
  <c r="AC214" i="37"/>
  <c r="AK210" i="37"/>
  <c r="AC226" i="37"/>
  <c r="AK225" i="37"/>
  <c r="AC278" i="37"/>
  <c r="AC234" i="37"/>
  <c r="AC269" i="37"/>
  <c r="M65" i="37"/>
  <c r="S588" i="50"/>
  <c r="I588" i="50" s="1"/>
  <c r="J493" i="50" s="1"/>
  <c r="K36" i="37"/>
  <c r="K500" i="50"/>
  <c r="J536" i="50"/>
  <c r="J508" i="50"/>
  <c r="J522" i="50"/>
  <c r="J550" i="50"/>
  <c r="J578" i="50"/>
  <c r="AF305" i="37"/>
  <c r="AF302" i="37"/>
  <c r="AF306" i="37" s="1"/>
  <c r="N65" i="37"/>
  <c r="AG305" i="37"/>
  <c r="AG302" i="37"/>
  <c r="AG306" i="37" s="1"/>
  <c r="AD211" i="37"/>
  <c r="AD214" i="37"/>
  <c r="AD215" i="37" s="1"/>
  <c r="AD305" i="37"/>
  <c r="AD302" i="37"/>
  <c r="AD306" i="37" s="1"/>
  <c r="AH211" i="37"/>
  <c r="AH214" i="37"/>
  <c r="AH215" i="37" s="1"/>
  <c r="L253" i="37"/>
  <c r="J65" i="37"/>
  <c r="AI305" i="37"/>
  <c r="AI302" i="37"/>
  <c r="AI306" i="37" s="1"/>
  <c r="AI234" i="37"/>
  <c r="AI269" i="37"/>
  <c r="AI270" i="37" s="1"/>
  <c r="AI272" i="37" s="1"/>
  <c r="AI278" i="37"/>
  <c r="AI279" i="37" s="1"/>
  <c r="AI226" i="37"/>
  <c r="AI228" i="37" s="1"/>
  <c r="AI281" i="37" s="1"/>
  <c r="AK148" i="37"/>
  <c r="AK156" i="37"/>
  <c r="AC157" i="37"/>
  <c r="AK157" i="37" s="1"/>
  <c r="M36" i="37"/>
  <c r="M1977" i="50" s="1"/>
  <c r="M500" i="50"/>
  <c r="S587" i="50"/>
  <c r="I587" i="50" s="1"/>
  <c r="J492" i="50" s="1"/>
  <c r="K65" i="37"/>
  <c r="AF234" i="37"/>
  <c r="AF226" i="37"/>
  <c r="AF228" i="37" s="1"/>
  <c r="AF281" i="37" s="1"/>
  <c r="AF269" i="37"/>
  <c r="AF270" i="37" s="1"/>
  <c r="AF272" i="37" s="1"/>
  <c r="AF278" i="37"/>
  <c r="AF279" i="37" s="1"/>
  <c r="AE172" i="37"/>
  <c r="AE183" i="37"/>
  <c r="AE302" i="37"/>
  <c r="AE306" i="37" s="1"/>
  <c r="AE305" i="37"/>
  <c r="N253" i="37"/>
  <c r="AG214" i="37"/>
  <c r="AG215" i="37" s="1"/>
  <c r="AG211" i="37"/>
  <c r="AD226" i="37"/>
  <c r="AD228" i="37" s="1"/>
  <c r="AD281" i="37" s="1"/>
  <c r="AD278" i="37"/>
  <c r="AD279" i="37" s="1"/>
  <c r="AD234" i="37"/>
  <c r="AD269" i="37"/>
  <c r="AD270" i="37" s="1"/>
  <c r="AD272" i="37" s="1"/>
  <c r="AH226" i="37"/>
  <c r="AH228" i="37" s="1"/>
  <c r="AH281" i="37" s="1"/>
  <c r="AH278" i="37"/>
  <c r="AH279" i="37" s="1"/>
  <c r="AH234" i="37"/>
  <c r="AH269" i="37"/>
  <c r="AH270" i="37" s="1"/>
  <c r="AH272" i="37" s="1"/>
  <c r="J2455" i="50"/>
  <c r="J2539" i="50" s="1"/>
  <c r="Z2697" i="37"/>
  <c r="N2665" i="37"/>
  <c r="Z2623" i="37"/>
  <c r="Z2490" i="37"/>
  <c r="Z2631" i="37"/>
  <c r="Z2613" i="37"/>
  <c r="Z2472" i="37"/>
  <c r="Z2688" i="37"/>
  <c r="Z2460" i="37"/>
  <c r="Z2603" i="37"/>
  <c r="Z2515" i="37"/>
  <c r="Z2591" i="37"/>
  <c r="Z2703" i="37"/>
  <c r="Z2564" i="37"/>
  <c r="AK2499" i="37"/>
  <c r="AC2529" i="37"/>
  <c r="AC2622" i="37"/>
  <c r="AC2613" i="37"/>
  <c r="AC2641" i="37"/>
  <c r="AC2709" i="37"/>
  <c r="AC2703" i="37"/>
  <c r="AC2626" i="37"/>
  <c r="AC2587" i="37"/>
  <c r="AC2564" i="37"/>
  <c r="AC2572" i="37"/>
  <c r="AC2717" i="37"/>
  <c r="AD2286" i="37"/>
  <c r="AD2297" i="37"/>
  <c r="AF2416" i="37"/>
  <c r="AF2420" i="37" s="1"/>
  <c r="AF2419" i="37"/>
  <c r="J2755" i="37"/>
  <c r="V2756" i="37"/>
  <c r="V2755" i="37"/>
  <c r="J2754" i="37"/>
  <c r="V2754" i="37"/>
  <c r="AI2572" i="37"/>
  <c r="AI2573" i="37" s="1"/>
  <c r="AI2564" i="37"/>
  <c r="AI2626" i="37"/>
  <c r="AI2641" i="37"/>
  <c r="AI2717" i="37"/>
  <c r="AI2709" i="37"/>
  <c r="AI2622" i="37"/>
  <c r="AI2623" i="37" s="1"/>
  <c r="AI2529" i="37"/>
  <c r="AI2530" i="37" s="1"/>
  <c r="AI2531" i="37" s="1"/>
  <c r="AI2532" i="37" s="1"/>
  <c r="AI2533" i="37" s="1"/>
  <c r="AI2534" i="37" s="1"/>
  <c r="AI2535" i="37" s="1"/>
  <c r="AI2536" i="37" s="1"/>
  <c r="AI2537" i="37" s="1"/>
  <c r="AI2538" i="37" s="1"/>
  <c r="AI2613" i="37"/>
  <c r="AI2703" i="37"/>
  <c r="AI2587" i="37"/>
  <c r="AD2613" i="37"/>
  <c r="AD2622" i="37"/>
  <c r="AD2623" i="37" s="1"/>
  <c r="AD2717" i="37"/>
  <c r="AD2626" i="37"/>
  <c r="AD2572" i="37"/>
  <c r="AD2573" i="37" s="1"/>
  <c r="AD2641" i="37"/>
  <c r="AD2564" i="37"/>
  <c r="AD2529" i="37"/>
  <c r="AD2530" i="37" s="1"/>
  <c r="AD2531" i="37" s="1"/>
  <c r="AD2532" i="37" s="1"/>
  <c r="AD2533" i="37" s="1"/>
  <c r="AD2534" i="37" s="1"/>
  <c r="AD2535" i="37" s="1"/>
  <c r="AD2536" i="37" s="1"/>
  <c r="AD2537" i="37" s="1"/>
  <c r="AD2538" i="37" s="1"/>
  <c r="AD2709" i="37"/>
  <c r="AD2587" i="37"/>
  <c r="AD2703" i="37"/>
  <c r="Y2631" i="37"/>
  <c r="Y2472" i="37"/>
  <c r="Y2623" i="37"/>
  <c r="Y2703" i="37"/>
  <c r="Y2688" i="37"/>
  <c r="Y2613" i="37"/>
  <c r="M2665" i="37"/>
  <c r="Y2564" i="37"/>
  <c r="Y2460" i="37"/>
  <c r="Y2697" i="37"/>
  <c r="Y2591" i="37"/>
  <c r="Y2603" i="37"/>
  <c r="Y2490" i="37"/>
  <c r="Y2515" i="37"/>
  <c r="U2623" i="37"/>
  <c r="U2591" i="37"/>
  <c r="I2665" i="37"/>
  <c r="U2697" i="37"/>
  <c r="U2613" i="37"/>
  <c r="U2564" i="37"/>
  <c r="U2472" i="37"/>
  <c r="U2631" i="37"/>
  <c r="U2688" i="37"/>
  <c r="U2703" i="37"/>
  <c r="U2603" i="37"/>
  <c r="AH2297" i="37"/>
  <c r="AH2286" i="37"/>
  <c r="AK2407" i="37"/>
  <c r="AE2703" i="37"/>
  <c r="AE2613" i="37"/>
  <c r="AE2572" i="37"/>
  <c r="AE2573" i="37" s="1"/>
  <c r="AE2564" i="37"/>
  <c r="AE2622" i="37"/>
  <c r="AE2623" i="37" s="1"/>
  <c r="AE2529" i="37"/>
  <c r="AE2530" i="37" s="1"/>
  <c r="AE2531" i="37" s="1"/>
  <c r="AE2532" i="37" s="1"/>
  <c r="AE2533" i="37" s="1"/>
  <c r="AE2534" i="37" s="1"/>
  <c r="AE2535" i="37" s="1"/>
  <c r="AE2536" i="37" s="1"/>
  <c r="AE2537" i="37" s="1"/>
  <c r="AE2538" i="37" s="1"/>
  <c r="AE2626" i="37"/>
  <c r="AE2709" i="37"/>
  <c r="AE2717" i="37"/>
  <c r="AE2641" i="37"/>
  <c r="AE2587" i="37"/>
  <c r="X2472" i="37"/>
  <c r="X2631" i="37"/>
  <c r="X2564" i="37"/>
  <c r="X2515" i="37"/>
  <c r="X2460" i="37"/>
  <c r="X2490" i="37"/>
  <c r="X2697" i="37"/>
  <c r="L2665" i="37"/>
  <c r="X2613" i="37"/>
  <c r="X2703" i="37"/>
  <c r="X2623" i="37"/>
  <c r="X2591" i="37"/>
  <c r="X2688" i="37"/>
  <c r="X2603" i="37"/>
  <c r="AF2626" i="37"/>
  <c r="AF2613" i="37"/>
  <c r="AF2587" i="37"/>
  <c r="AF2641" i="37"/>
  <c r="AF2564" i="37"/>
  <c r="AF2709" i="37"/>
  <c r="AF2622" i="37"/>
  <c r="AF2623" i="37" s="1"/>
  <c r="AF2717" i="37"/>
  <c r="AF2572" i="37"/>
  <c r="AF2573" i="37" s="1"/>
  <c r="AF2703" i="37"/>
  <c r="AF2529" i="37"/>
  <c r="AF2530" i="37" s="1"/>
  <c r="AF2531" i="37" s="1"/>
  <c r="AF2532" i="37" s="1"/>
  <c r="AF2533" i="37" s="1"/>
  <c r="AF2534" i="37" s="1"/>
  <c r="AF2535" i="37" s="1"/>
  <c r="AF2536" i="37" s="1"/>
  <c r="AF2537" i="37" s="1"/>
  <c r="AF2538" i="37" s="1"/>
  <c r="W2564" i="37"/>
  <c r="W2613" i="37"/>
  <c r="W2688" i="37"/>
  <c r="K2665" i="37"/>
  <c r="W2490" i="37"/>
  <c r="W2697" i="37"/>
  <c r="W2631" i="37"/>
  <c r="W2515" i="37"/>
  <c r="W2472" i="37"/>
  <c r="W2623" i="37"/>
  <c r="W2591" i="37"/>
  <c r="W2703" i="37"/>
  <c r="W2460" i="37"/>
  <c r="W2603" i="37"/>
  <c r="AF2325" i="37"/>
  <c r="AF2328" i="37"/>
  <c r="AF2329" i="37" s="1"/>
  <c r="AI2286" i="37"/>
  <c r="AI2297" i="37"/>
  <c r="AI2419" i="37"/>
  <c r="AI2416" i="37"/>
  <c r="AI2420" i="37" s="1"/>
  <c r="X2809" i="37"/>
  <c r="X2811" i="37"/>
  <c r="L2809" i="37"/>
  <c r="L2810" i="37"/>
  <c r="J2973" i="37"/>
  <c r="V2974" i="37"/>
  <c r="V2972" i="37"/>
  <c r="J2972" i="37"/>
  <c r="AH2419" i="37"/>
  <c r="AH2416" i="37"/>
  <c r="AH2420" i="37" s="1"/>
  <c r="AC2383" i="37"/>
  <c r="AC2348" i="37"/>
  <c r="AC2340" i="37"/>
  <c r="AC2392" i="37"/>
  <c r="AK2339" i="37"/>
  <c r="AK2415" i="37"/>
  <c r="AC2416" i="37"/>
  <c r="AC2420" i="37" s="1"/>
  <c r="AC2419" i="37"/>
  <c r="Y2811" i="37"/>
  <c r="M2809" i="37"/>
  <c r="Y2809" i="37"/>
  <c r="M2810" i="37"/>
  <c r="W2756" i="37"/>
  <c r="K2754" i="37"/>
  <c r="W2754" i="37"/>
  <c r="W2755" i="37"/>
  <c r="K2755" i="37"/>
  <c r="J2784" i="37"/>
  <c r="V2786" i="37"/>
  <c r="V2784" i="37"/>
  <c r="J2785" i="37"/>
  <c r="L3054" i="37"/>
  <c r="L3055" i="37" s="1"/>
  <c r="L380" i="41" s="1"/>
  <c r="L381" i="41" s="1"/>
  <c r="N3054" i="37"/>
  <c r="N3055" i="37" s="1"/>
  <c r="N380" i="41" s="1"/>
  <c r="N381" i="41" s="1"/>
  <c r="K3054" i="37"/>
  <c r="K3055" i="37" s="1"/>
  <c r="K380" i="41" s="1"/>
  <c r="K381" i="41" s="1"/>
  <c r="I3049" i="37"/>
  <c r="I3050" i="37" s="1"/>
  <c r="I160" i="41" s="1"/>
  <c r="N264" i="41"/>
  <c r="N358" i="50" s="1"/>
  <c r="L264" i="41"/>
  <c r="L358" i="50" s="1"/>
  <c r="N267" i="41"/>
  <c r="N361" i="50" s="1"/>
  <c r="K267" i="41"/>
  <c r="K361" i="50" s="1"/>
  <c r="K261" i="41"/>
  <c r="H261" i="41"/>
  <c r="I265" i="41"/>
  <c r="I359" i="50" s="1"/>
  <c r="N265" i="41"/>
  <c r="N359" i="50" s="1"/>
  <c r="J262" i="41"/>
  <c r="J356" i="50" s="1"/>
  <c r="N262" i="41"/>
  <c r="N356" i="50" s="1"/>
  <c r="M266" i="41"/>
  <c r="M360" i="50" s="1"/>
  <c r="I266" i="41"/>
  <c r="I360" i="50" s="1"/>
  <c r="L268" i="41"/>
  <c r="L362" i="50" s="1"/>
  <c r="H269" i="41"/>
  <c r="H363" i="50" s="1"/>
  <c r="N270" i="41"/>
  <c r="N364" i="50" s="1"/>
  <c r="K270" i="41"/>
  <c r="K364" i="50" s="1"/>
  <c r="M263" i="41"/>
  <c r="M357" i="50" s="1"/>
  <c r="N3049" i="37"/>
  <c r="N3050" i="37" s="1"/>
  <c r="N160" i="41" s="1"/>
  <c r="I3054" i="37"/>
  <c r="I3055" i="37" s="1"/>
  <c r="I380" i="41" s="1"/>
  <c r="I381" i="41" s="1"/>
  <c r="M3049" i="37"/>
  <c r="M3050" i="37" s="1"/>
  <c r="M160" i="41" s="1"/>
  <c r="H3054" i="37"/>
  <c r="H3055" i="37" s="1"/>
  <c r="H380" i="41" s="1"/>
  <c r="H381" i="41" s="1"/>
  <c r="M264" i="41"/>
  <c r="M358" i="50" s="1"/>
  <c r="I267" i="41"/>
  <c r="I361" i="50" s="1"/>
  <c r="H267" i="41"/>
  <c r="H361" i="50" s="1"/>
  <c r="N261" i="41"/>
  <c r="L261" i="41"/>
  <c r="K265" i="41"/>
  <c r="K359" i="50" s="1"/>
  <c r="M265" i="41"/>
  <c r="M359" i="50" s="1"/>
  <c r="K262" i="41"/>
  <c r="K356" i="50" s="1"/>
  <c r="H262" i="41"/>
  <c r="H356" i="50" s="1"/>
  <c r="N266" i="41"/>
  <c r="N360" i="50" s="1"/>
  <c r="K266" i="41"/>
  <c r="K360" i="50" s="1"/>
  <c r="H268" i="41"/>
  <c r="H362" i="50" s="1"/>
  <c r="K268" i="41"/>
  <c r="K362" i="50" s="1"/>
  <c r="K269" i="41"/>
  <c r="K363" i="50" s="1"/>
  <c r="J269" i="41"/>
  <c r="J363" i="50" s="1"/>
  <c r="L270" i="41"/>
  <c r="L364" i="50" s="1"/>
  <c r="J270" i="41"/>
  <c r="J364" i="50" s="1"/>
  <c r="I263" i="41"/>
  <c r="I357" i="50" s="1"/>
  <c r="H263" i="41"/>
  <c r="H357" i="50" s="1"/>
  <c r="M269" i="41"/>
  <c r="M363" i="50" s="1"/>
  <c r="H270" i="41"/>
  <c r="H364" i="50" s="1"/>
  <c r="J263" i="41"/>
  <c r="J357" i="50" s="1"/>
  <c r="L3049" i="37"/>
  <c r="L3050" i="37" s="1"/>
  <c r="L160" i="41" s="1"/>
  <c r="J3054" i="37"/>
  <c r="J3055" i="37" s="1"/>
  <c r="J380" i="41" s="1"/>
  <c r="J381" i="41" s="1"/>
  <c r="J3049" i="37"/>
  <c r="J3050" i="37" s="1"/>
  <c r="J160" i="41" s="1"/>
  <c r="J264" i="41"/>
  <c r="J358" i="50" s="1"/>
  <c r="K264" i="41"/>
  <c r="K358" i="50" s="1"/>
  <c r="J267" i="41"/>
  <c r="J361" i="50" s="1"/>
  <c r="I261" i="41"/>
  <c r="L265" i="41"/>
  <c r="L359" i="50" s="1"/>
  <c r="I262" i="41"/>
  <c r="I356" i="50" s="1"/>
  <c r="J266" i="41"/>
  <c r="J360" i="50" s="1"/>
  <c r="H266" i="41"/>
  <c r="H360" i="50" s="1"/>
  <c r="M268" i="41"/>
  <c r="M362" i="50" s="1"/>
  <c r="N268" i="41"/>
  <c r="N362" i="50" s="1"/>
  <c r="L269" i="41"/>
  <c r="L363" i="50" s="1"/>
  <c r="M270" i="41"/>
  <c r="M364" i="50" s="1"/>
  <c r="L263" i="41"/>
  <c r="L357" i="50" s="1"/>
  <c r="K3049" i="37"/>
  <c r="K3050" i="37" s="1"/>
  <c r="K160" i="41" s="1"/>
  <c r="H3049" i="37"/>
  <c r="H3050" i="37" s="1"/>
  <c r="H160" i="41" s="1"/>
  <c r="M3054" i="37"/>
  <c r="M3055" i="37" s="1"/>
  <c r="M380" i="41" s="1"/>
  <c r="M381" i="41" s="1"/>
  <c r="S2" i="37"/>
  <c r="I264" i="41"/>
  <c r="I358" i="50" s="1"/>
  <c r="H264" i="41"/>
  <c r="H358" i="50" s="1"/>
  <c r="L267" i="41"/>
  <c r="L361" i="50" s="1"/>
  <c r="M267" i="41"/>
  <c r="M361" i="50" s="1"/>
  <c r="M261" i="41"/>
  <c r="J261" i="41"/>
  <c r="J265" i="41"/>
  <c r="J359" i="50" s="1"/>
  <c r="H265" i="41"/>
  <c r="H359" i="50" s="1"/>
  <c r="M262" i="41"/>
  <c r="M356" i="50" s="1"/>
  <c r="L262" i="41"/>
  <c r="L356" i="50" s="1"/>
  <c r="L266" i="41"/>
  <c r="L360" i="50" s="1"/>
  <c r="I268" i="41"/>
  <c r="I362" i="50" s="1"/>
  <c r="J268" i="41"/>
  <c r="J362" i="50" s="1"/>
  <c r="I269" i="41"/>
  <c r="I363" i="50" s="1"/>
  <c r="N269" i="41"/>
  <c r="N363" i="50" s="1"/>
  <c r="I270" i="41"/>
  <c r="I364" i="50" s="1"/>
  <c r="N263" i="41"/>
  <c r="N357" i="50" s="1"/>
  <c r="K263" i="41"/>
  <c r="K357" i="50" s="1"/>
  <c r="J314" i="41"/>
  <c r="J402" i="50" s="1"/>
  <c r="H315" i="41"/>
  <c r="H403" i="50" s="1"/>
  <c r="N309" i="41"/>
  <c r="N397" i="50" s="1"/>
  <c r="M309" i="41"/>
  <c r="M397" i="50" s="1"/>
  <c r="N310" i="41"/>
  <c r="N398" i="50" s="1"/>
  <c r="J310" i="41"/>
  <c r="J398" i="50" s="1"/>
  <c r="L316" i="41"/>
  <c r="L404" i="50" s="1"/>
  <c r="L313" i="41"/>
  <c r="L401" i="50" s="1"/>
  <c r="M313" i="41"/>
  <c r="M401" i="50" s="1"/>
  <c r="K311" i="41"/>
  <c r="K399" i="50" s="1"/>
  <c r="N311" i="41"/>
  <c r="N399" i="50" s="1"/>
  <c r="I312" i="41"/>
  <c r="I400" i="50" s="1"/>
  <c r="N312" i="41"/>
  <c r="N400" i="50" s="1"/>
  <c r="K307" i="41"/>
  <c r="N314" i="41"/>
  <c r="N402" i="50" s="1"/>
  <c r="K314" i="41"/>
  <c r="K402" i="50" s="1"/>
  <c r="I315" i="41"/>
  <c r="I403" i="50" s="1"/>
  <c r="M315" i="41"/>
  <c r="M403" i="50" s="1"/>
  <c r="L309" i="41"/>
  <c r="L397" i="50" s="1"/>
  <c r="K309" i="41"/>
  <c r="K397" i="50" s="1"/>
  <c r="I310" i="41"/>
  <c r="I398" i="50" s="1"/>
  <c r="L310" i="41"/>
  <c r="L398" i="50" s="1"/>
  <c r="H316" i="41"/>
  <c r="H404" i="50" s="1"/>
  <c r="I316" i="41"/>
  <c r="I404" i="50" s="1"/>
  <c r="J313" i="41"/>
  <c r="J401" i="50" s="1"/>
  <c r="H313" i="41"/>
  <c r="H401" i="50" s="1"/>
  <c r="L311" i="41"/>
  <c r="L399" i="50" s="1"/>
  <c r="J312" i="41"/>
  <c r="J400" i="50" s="1"/>
  <c r="K312" i="41"/>
  <c r="K400" i="50" s="1"/>
  <c r="J307" i="41"/>
  <c r="I307" i="41"/>
  <c r="I308" i="41"/>
  <c r="I396" i="50" s="1"/>
  <c r="J308" i="41"/>
  <c r="J396" i="50" s="1"/>
  <c r="M314" i="41"/>
  <c r="M402" i="50" s="1"/>
  <c r="K315" i="41"/>
  <c r="K403" i="50" s="1"/>
  <c r="M310" i="41"/>
  <c r="M398" i="50" s="1"/>
  <c r="N316" i="41"/>
  <c r="N404" i="50" s="1"/>
  <c r="I313" i="41"/>
  <c r="I401" i="50" s="1"/>
  <c r="M311" i="41"/>
  <c r="M399" i="50" s="1"/>
  <c r="J311" i="41"/>
  <c r="J399" i="50" s="1"/>
  <c r="L312" i="41"/>
  <c r="L400" i="50" s="1"/>
  <c r="H307" i="41"/>
  <c r="L308" i="41"/>
  <c r="L396" i="50" s="1"/>
  <c r="N308" i="41"/>
  <c r="N396" i="50" s="1"/>
  <c r="I314" i="41"/>
  <c r="I402" i="50" s="1"/>
  <c r="L314" i="41"/>
  <c r="L402" i="50" s="1"/>
  <c r="L315" i="41"/>
  <c r="L403" i="50" s="1"/>
  <c r="N315" i="41"/>
  <c r="N403" i="50" s="1"/>
  <c r="H309" i="41"/>
  <c r="H397" i="50" s="1"/>
  <c r="K310" i="41"/>
  <c r="K398" i="50" s="1"/>
  <c r="K316" i="41"/>
  <c r="K404" i="50" s="1"/>
  <c r="M316" i="41"/>
  <c r="M404" i="50" s="1"/>
  <c r="N313" i="41"/>
  <c r="N401" i="50" s="1"/>
  <c r="K313" i="41"/>
  <c r="K401" i="50" s="1"/>
  <c r="I311" i="41"/>
  <c r="I399" i="50" s="1"/>
  <c r="H311" i="41"/>
  <c r="H399" i="50" s="1"/>
  <c r="M312" i="41"/>
  <c r="M400" i="50" s="1"/>
  <c r="L307" i="41"/>
  <c r="N307" i="41"/>
  <c r="K308" i="41"/>
  <c r="K396" i="50" s="1"/>
  <c r="H308" i="41"/>
  <c r="H396" i="50" s="1"/>
  <c r="H314" i="41"/>
  <c r="H402" i="50" s="1"/>
  <c r="J315" i="41"/>
  <c r="J403" i="50" s="1"/>
  <c r="I309" i="41"/>
  <c r="I397" i="50" s="1"/>
  <c r="J309" i="41"/>
  <c r="J397" i="50" s="1"/>
  <c r="H310" i="41"/>
  <c r="H398" i="50" s="1"/>
  <c r="J316" i="41"/>
  <c r="J404" i="50" s="1"/>
  <c r="H312" i="41"/>
  <c r="H400" i="50" s="1"/>
  <c r="M308" i="41"/>
  <c r="M396" i="50" s="1"/>
  <c r="M307" i="41"/>
  <c r="N339" i="41"/>
  <c r="N424" i="50" s="1"/>
  <c r="I339" i="41"/>
  <c r="I424" i="50" s="1"/>
  <c r="I343" i="41"/>
  <c r="I428" i="50" s="1"/>
  <c r="H343" i="41"/>
  <c r="H428" i="50" s="1"/>
  <c r="K338" i="41"/>
  <c r="K423" i="50" s="1"/>
  <c r="J340" i="41"/>
  <c r="J425" i="50" s="1"/>
  <c r="H345" i="41"/>
  <c r="H430" i="50" s="1"/>
  <c r="N345" i="41"/>
  <c r="N430" i="50" s="1"/>
  <c r="L336" i="41"/>
  <c r="H336" i="41"/>
  <c r="H337" i="41"/>
  <c r="H422" i="50" s="1"/>
  <c r="M337" i="41"/>
  <c r="M422" i="50" s="1"/>
  <c r="J344" i="41"/>
  <c r="J429" i="50" s="1"/>
  <c r="N344" i="41"/>
  <c r="N429" i="50" s="1"/>
  <c r="I342" i="41"/>
  <c r="I427" i="50" s="1"/>
  <c r="J342" i="41"/>
  <c r="J427" i="50" s="1"/>
  <c r="H341" i="41"/>
  <c r="H426" i="50" s="1"/>
  <c r="J341" i="41"/>
  <c r="J426" i="50" s="1"/>
  <c r="N336" i="41"/>
  <c r="H344" i="41"/>
  <c r="H429" i="50" s="1"/>
  <c r="H339" i="41"/>
  <c r="H424" i="50" s="1"/>
  <c r="L339" i="41"/>
  <c r="L424" i="50" s="1"/>
  <c r="N343" i="41"/>
  <c r="N428" i="50" s="1"/>
  <c r="J343" i="41"/>
  <c r="J428" i="50" s="1"/>
  <c r="I338" i="41"/>
  <c r="I423" i="50" s="1"/>
  <c r="M338" i="41"/>
  <c r="M423" i="50" s="1"/>
  <c r="I340" i="41"/>
  <c r="I425" i="50" s="1"/>
  <c r="N340" i="41"/>
  <c r="N425" i="50" s="1"/>
  <c r="L345" i="41"/>
  <c r="L430" i="50" s="1"/>
  <c r="M345" i="41"/>
  <c r="M430" i="50" s="1"/>
  <c r="I336" i="41"/>
  <c r="N337" i="41"/>
  <c r="N422" i="50" s="1"/>
  <c r="M341" i="41"/>
  <c r="M426" i="50" s="1"/>
  <c r="J339" i="41"/>
  <c r="J424" i="50" s="1"/>
  <c r="M339" i="41"/>
  <c r="M424" i="50" s="1"/>
  <c r="K343" i="41"/>
  <c r="K428" i="50" s="1"/>
  <c r="L343" i="41"/>
  <c r="L428" i="50" s="1"/>
  <c r="J338" i="41"/>
  <c r="J423" i="50" s="1"/>
  <c r="L338" i="41"/>
  <c r="L423" i="50" s="1"/>
  <c r="L340" i="41"/>
  <c r="L425" i="50" s="1"/>
  <c r="H340" i="41"/>
  <c r="H425" i="50" s="1"/>
  <c r="I345" i="41"/>
  <c r="I430" i="50" s="1"/>
  <c r="J336" i="41"/>
  <c r="M336" i="41"/>
  <c r="K337" i="41"/>
  <c r="K422" i="50" s="1"/>
  <c r="J337" i="41"/>
  <c r="J422" i="50" s="1"/>
  <c r="M344" i="41"/>
  <c r="M429" i="50" s="1"/>
  <c r="K344" i="41"/>
  <c r="K429" i="50" s="1"/>
  <c r="H342" i="41"/>
  <c r="H427" i="50" s="1"/>
  <c r="L342" i="41"/>
  <c r="L427" i="50" s="1"/>
  <c r="N341" i="41"/>
  <c r="N426" i="50" s="1"/>
  <c r="L341" i="41"/>
  <c r="L426" i="50" s="1"/>
  <c r="K341" i="41"/>
  <c r="K426" i="50" s="1"/>
  <c r="K339" i="41"/>
  <c r="K424" i="50" s="1"/>
  <c r="M343" i="41"/>
  <c r="M428" i="50" s="1"/>
  <c r="H338" i="41"/>
  <c r="H423" i="50" s="1"/>
  <c r="N338" i="41"/>
  <c r="N423" i="50" s="1"/>
  <c r="K340" i="41"/>
  <c r="K425" i="50" s="1"/>
  <c r="M340" i="41"/>
  <c r="M425" i="50" s="1"/>
  <c r="J345" i="41"/>
  <c r="J430" i="50" s="1"/>
  <c r="K345" i="41"/>
  <c r="K430" i="50" s="1"/>
  <c r="K336" i="41"/>
  <c r="L337" i="41"/>
  <c r="L422" i="50" s="1"/>
  <c r="I344" i="41"/>
  <c r="I429" i="50" s="1"/>
  <c r="L344" i="41"/>
  <c r="L429" i="50" s="1"/>
  <c r="N342" i="41"/>
  <c r="N427" i="50" s="1"/>
  <c r="K342" i="41"/>
  <c r="K427" i="50" s="1"/>
  <c r="I341" i="41"/>
  <c r="I426" i="50" s="1"/>
  <c r="I337" i="41"/>
  <c r="I422" i="50" s="1"/>
  <c r="M342" i="41"/>
  <c r="M427" i="50" s="1"/>
  <c r="AC2328" i="37"/>
  <c r="AK2324" i="37"/>
  <c r="AC2325" i="37"/>
  <c r="AC2228" i="37"/>
  <c r="AB2227" i="37"/>
  <c r="AA2227" i="37" s="1"/>
  <c r="Z2227" i="37" s="1"/>
  <c r="AK2227" i="37"/>
  <c r="AK2285" i="37"/>
  <c r="AC2297" i="37"/>
  <c r="AC2286" i="37"/>
  <c r="N2809" i="37"/>
  <c r="N2810" i="37"/>
  <c r="Z2811" i="37"/>
  <c r="Z2809" i="37"/>
  <c r="Y2972" i="37"/>
  <c r="Y2974" i="37"/>
  <c r="M2973" i="37"/>
  <c r="M2972" i="37"/>
  <c r="AG2416" i="37"/>
  <c r="AG2420" i="37" s="1"/>
  <c r="AG2419" i="37"/>
  <c r="L2785" i="37"/>
  <c r="L2784" i="37"/>
  <c r="X2784" i="37"/>
  <c r="X2786" i="37"/>
  <c r="M2785" i="37"/>
  <c r="Y2784" i="37"/>
  <c r="M2784" i="37"/>
  <c r="Y2786" i="37"/>
  <c r="Z2974" i="37"/>
  <c r="N2973" i="37"/>
  <c r="Z2972" i="37"/>
  <c r="N2972" i="37"/>
  <c r="M2755" i="37"/>
  <c r="Y2754" i="37"/>
  <c r="Y2755" i="37"/>
  <c r="M2754" i="37"/>
  <c r="Y2756" i="37"/>
  <c r="AE2419" i="37"/>
  <c r="AE2416" i="37"/>
  <c r="AE2420" i="37" s="1"/>
  <c r="AE2297" i="37"/>
  <c r="AE2286" i="37"/>
  <c r="W2972" i="37"/>
  <c r="K2972" i="37"/>
  <c r="W2974" i="37"/>
  <c r="K2973" i="37"/>
  <c r="Z2784" i="37"/>
  <c r="N2785" i="37"/>
  <c r="Z2786" i="37"/>
  <c r="N2784" i="37"/>
  <c r="V2631" i="37"/>
  <c r="V2603" i="37"/>
  <c r="V2703" i="37"/>
  <c r="V2564" i="37"/>
  <c r="V2688" i="37"/>
  <c r="V2613" i="37"/>
  <c r="V2472" i="37"/>
  <c r="V2623" i="37"/>
  <c r="V2490" i="37"/>
  <c r="J2665" i="37"/>
  <c r="V2460" i="37"/>
  <c r="V2697" i="37"/>
  <c r="V2515" i="37"/>
  <c r="V2591" i="37"/>
  <c r="D263" i="34"/>
  <c r="O263" i="34"/>
  <c r="R263" i="34" s="1"/>
  <c r="C264" i="34"/>
  <c r="L2754" i="37"/>
  <c r="X2755" i="37"/>
  <c r="X2756" i="37"/>
  <c r="X2754" i="37"/>
  <c r="L2755" i="37"/>
  <c r="AK486" i="37"/>
  <c r="U1904" i="50"/>
  <c r="AD2419" i="37"/>
  <c r="AD2416" i="37"/>
  <c r="AD2420" i="37" s="1"/>
  <c r="AD2325" i="37"/>
  <c r="AD2328" i="37"/>
  <c r="AD2329" i="37" s="1"/>
  <c r="AB2731" i="37"/>
  <c r="I2753" i="37"/>
  <c r="T2068" i="50"/>
  <c r="AH2801" i="37"/>
  <c r="AG2801" i="37"/>
  <c r="AI2801" i="37"/>
  <c r="V2739" i="37"/>
  <c r="AD2801" i="37"/>
  <c r="X2739" i="37"/>
  <c r="T2739" i="37"/>
  <c r="AC2739" i="37"/>
  <c r="AF2739" i="37"/>
  <c r="U2739" i="37"/>
  <c r="AE2739" i="37"/>
  <c r="W2739" i="37"/>
  <c r="AD2739" i="37"/>
  <c r="AE2801" i="37"/>
  <c r="AC2801" i="37"/>
  <c r="Y2739" i="37"/>
  <c r="AF2801" i="37"/>
  <c r="AG2739" i="37"/>
  <c r="Z2739" i="37"/>
  <c r="AI2739" i="37"/>
  <c r="AH2739" i="37"/>
  <c r="V2811" i="37"/>
  <c r="J2810" i="37"/>
  <c r="V2809" i="37"/>
  <c r="J2809" i="37"/>
  <c r="AK2401" i="37"/>
  <c r="AK2270" i="37"/>
  <c r="AC2271" i="37"/>
  <c r="AK2271" i="37" s="1"/>
  <c r="AG2641" i="37"/>
  <c r="AG2622" i="37"/>
  <c r="AG2623" i="37" s="1"/>
  <c r="AG2709" i="37"/>
  <c r="AG2717" i="37"/>
  <c r="AG2703" i="37"/>
  <c r="AG2529" i="37"/>
  <c r="AG2530" i="37" s="1"/>
  <c r="AG2531" i="37" s="1"/>
  <c r="AG2532" i="37" s="1"/>
  <c r="AG2533" i="37" s="1"/>
  <c r="AG2534" i="37" s="1"/>
  <c r="AG2535" i="37" s="1"/>
  <c r="AG2536" i="37" s="1"/>
  <c r="AG2537" i="37" s="1"/>
  <c r="AG2538" i="37" s="1"/>
  <c r="AG2572" i="37"/>
  <c r="AG2573" i="37" s="1"/>
  <c r="AG2587" i="37"/>
  <c r="AG2626" i="37"/>
  <c r="AG2613" i="37"/>
  <c r="AG2564" i="37"/>
  <c r="AK2437" i="37"/>
  <c r="T2564" i="37"/>
  <c r="T2631" i="37"/>
  <c r="T2603" i="37"/>
  <c r="T2591" i="37"/>
  <c r="T2688" i="37"/>
  <c r="T2613" i="37"/>
  <c r="H2665" i="37"/>
  <c r="T2697" i="37"/>
  <c r="T2472" i="37"/>
  <c r="T2703" i="37"/>
  <c r="T2623" i="37"/>
  <c r="AH2613" i="37"/>
  <c r="AH2622" i="37"/>
  <c r="AH2623" i="37" s="1"/>
  <c r="AH2572" i="37"/>
  <c r="AH2573" i="37" s="1"/>
  <c r="AH2529" i="37"/>
  <c r="AH2530" i="37" s="1"/>
  <c r="AH2531" i="37" s="1"/>
  <c r="AH2532" i="37" s="1"/>
  <c r="AH2533" i="37" s="1"/>
  <c r="AH2534" i="37" s="1"/>
  <c r="AH2535" i="37" s="1"/>
  <c r="AH2536" i="37" s="1"/>
  <c r="AH2537" i="37" s="1"/>
  <c r="AH2538" i="37" s="1"/>
  <c r="AH2641" i="37"/>
  <c r="AH2626" i="37"/>
  <c r="AH2587" i="37"/>
  <c r="AH2717" i="37"/>
  <c r="AH2703" i="37"/>
  <c r="AH2564" i="37"/>
  <c r="AH2709" i="37"/>
  <c r="AD2383" i="37"/>
  <c r="AD2384" i="37" s="1"/>
  <c r="AD2386" i="37" s="1"/>
  <c r="AD2348" i="37"/>
  <c r="AD2392" i="37"/>
  <c r="AD2393" i="37" s="1"/>
  <c r="AD2340" i="37"/>
  <c r="AD2342" i="37" s="1"/>
  <c r="AD2395" i="37" s="1"/>
  <c r="AF2348" i="37"/>
  <c r="AF2392" i="37"/>
  <c r="AF2393" i="37" s="1"/>
  <c r="AF2383" i="37"/>
  <c r="AF2384" i="37" s="1"/>
  <c r="AF2386" i="37" s="1"/>
  <c r="AF2340" i="37"/>
  <c r="AF2342" i="37" s="1"/>
  <c r="AF2395" i="37" s="1"/>
  <c r="AF2286" i="37"/>
  <c r="AF2297" i="37"/>
  <c r="AI2340" i="37"/>
  <c r="AI2342" i="37" s="1"/>
  <c r="AI2395" i="37" s="1"/>
  <c r="AI2392" i="37"/>
  <c r="AI2393" i="37" s="1"/>
  <c r="AI2383" i="37"/>
  <c r="AI2384" i="37" s="1"/>
  <c r="AI2386" i="37" s="1"/>
  <c r="AI2348" i="37"/>
  <c r="AI2325" i="37"/>
  <c r="AI2328" i="37"/>
  <c r="AI2329" i="37" s="1"/>
  <c r="X2972" i="37"/>
  <c r="L2972" i="37"/>
  <c r="L2973" i="37"/>
  <c r="X2974" i="37"/>
  <c r="AH2348" i="37"/>
  <c r="AH2383" i="37"/>
  <c r="AH2384" i="37" s="1"/>
  <c r="AH2386" i="37" s="1"/>
  <c r="AH2340" i="37"/>
  <c r="AH2342" i="37" s="1"/>
  <c r="AH2395" i="37" s="1"/>
  <c r="AH2392" i="37"/>
  <c r="AH2393" i="37" s="1"/>
  <c r="AH2325" i="37"/>
  <c r="AH2328" i="37"/>
  <c r="AH2329" i="37" s="1"/>
  <c r="AC2321" i="37"/>
  <c r="AK2320" i="37"/>
  <c r="AK2311" i="37"/>
  <c r="AK2262" i="37"/>
  <c r="N2754" i="37"/>
  <c r="N2755" i="37"/>
  <c r="Z2756" i="37"/>
  <c r="Z2755" i="37"/>
  <c r="Z2754" i="37"/>
  <c r="AG2325" i="37"/>
  <c r="AG2328" i="37"/>
  <c r="AG2329" i="37" s="1"/>
  <c r="AG2348" i="37"/>
  <c r="AG2340" i="37"/>
  <c r="AG2342" i="37" s="1"/>
  <c r="AG2395" i="37" s="1"/>
  <c r="AG2383" i="37"/>
  <c r="AG2384" i="37" s="1"/>
  <c r="AG2386" i="37" s="1"/>
  <c r="AG2392" i="37"/>
  <c r="AG2393" i="37" s="1"/>
  <c r="AG2297" i="37"/>
  <c r="AG2286" i="37"/>
  <c r="AE2325" i="37"/>
  <c r="AE2328" i="37"/>
  <c r="AE2329" i="37" s="1"/>
  <c r="AE2383" i="37"/>
  <c r="AE2384" i="37" s="1"/>
  <c r="AE2386" i="37" s="1"/>
  <c r="AE2392" i="37"/>
  <c r="AE2393" i="37" s="1"/>
  <c r="AE2340" i="37"/>
  <c r="AE2342" i="37" s="1"/>
  <c r="AE2395" i="37" s="1"/>
  <c r="AE2348" i="37"/>
  <c r="K2809" i="37"/>
  <c r="W2811" i="37"/>
  <c r="K2810" i="37"/>
  <c r="W2809" i="37"/>
  <c r="W2786" i="37"/>
  <c r="W2784" i="37"/>
  <c r="K2785" i="37"/>
  <c r="K2784" i="37"/>
  <c r="AF1997" i="37"/>
  <c r="AF1986" i="37"/>
  <c r="AF1998" i="37" s="1"/>
  <c r="AD1986" i="37"/>
  <c r="AD1998" i="37" s="1"/>
  <c r="AD1997" i="37"/>
  <c r="AG1997" i="37"/>
  <c r="AG1986" i="37"/>
  <c r="AG1998" i="37" s="1"/>
  <c r="AK1745" i="37"/>
  <c r="AC1747" i="37"/>
  <c r="AK1747" i="37" s="1"/>
  <c r="AK572" i="37"/>
  <c r="AC574" i="37"/>
  <c r="AK574" i="37" s="1"/>
  <c r="AC1928" i="37"/>
  <c r="AB1927" i="37"/>
  <c r="AA1927" i="37" s="1"/>
  <c r="Z1927" i="37" s="1"/>
  <c r="AC1022" i="37"/>
  <c r="AB1021" i="37"/>
  <c r="AC519" i="42"/>
  <c r="AL515" i="42"/>
  <c r="AK1150" i="37"/>
  <c r="AC1151" i="37"/>
  <c r="AL518" i="42"/>
  <c r="AC522" i="42"/>
  <c r="AL522" i="42" s="1"/>
  <c r="AD789" i="37"/>
  <c r="AD778" i="37"/>
  <c r="AD790" i="37" s="1"/>
  <c r="AC720" i="37"/>
  <c r="AB719" i="37"/>
  <c r="AA719" i="37" s="1"/>
  <c r="Z719" i="37" s="1"/>
  <c r="AH1393" i="37"/>
  <c r="AH1382" i="37"/>
  <c r="AH1394" i="37" s="1"/>
  <c r="AK1780" i="37"/>
  <c r="AC1782" i="37"/>
  <c r="AK1782" i="37" s="1"/>
  <c r="AK788" i="37"/>
  <c r="AE1393" i="37"/>
  <c r="AE1382" i="37"/>
  <c r="AE1394" i="37" s="1"/>
  <c r="AC1986" i="37"/>
  <c r="AK1985" i="37"/>
  <c r="AC1997" i="37"/>
  <c r="AK1134" i="37"/>
  <c r="AC1187" i="37"/>
  <c r="AK1187" i="37" s="1"/>
  <c r="AC1080" i="37"/>
  <c r="AK1079" i="37"/>
  <c r="AC1091" i="37"/>
  <c r="AC396" i="42"/>
  <c r="AL392" i="42"/>
  <c r="AG778" i="37"/>
  <c r="AG790" i="37" s="1"/>
  <c r="AG789" i="37"/>
  <c r="AF1382" i="37"/>
  <c r="AF1394" i="37" s="1"/>
  <c r="AF1393" i="37"/>
  <c r="AH1997" i="37"/>
  <c r="AH1986" i="37"/>
  <c r="AH1998" i="37" s="1"/>
  <c r="AL199" i="42"/>
  <c r="AC203" i="42"/>
  <c r="AL203" i="42" s="1"/>
  <c r="AE1091" i="37"/>
  <c r="AE1080" i="37"/>
  <c r="AE1092" i="37" s="1"/>
  <c r="AI789" i="37"/>
  <c r="AI778" i="37"/>
  <c r="AI790" i="37" s="1"/>
  <c r="AG1091" i="37"/>
  <c r="AG1080" i="37"/>
  <c r="AG1092" i="37" s="1"/>
  <c r="AC1489" i="37"/>
  <c r="AK1489" i="37" s="1"/>
  <c r="AK1436" i="37"/>
  <c r="AD1080" i="37"/>
  <c r="AD1092" i="37" s="1"/>
  <c r="AD1091" i="37"/>
  <c r="AC1324" i="37"/>
  <c r="AB1323" i="37"/>
  <c r="AC1143" i="37"/>
  <c r="AK1143" i="37" s="1"/>
  <c r="AK1141" i="37"/>
  <c r="AC547" i="37"/>
  <c r="AK546" i="37"/>
  <c r="AH487" i="37"/>
  <c r="AH476" i="37"/>
  <c r="AH488" i="37" s="1"/>
  <c r="AK1443" i="37"/>
  <c r="AC1445" i="37"/>
  <c r="AK1445" i="37" s="1"/>
  <c r="AH778" i="37"/>
  <c r="AH790" i="37" s="1"/>
  <c r="AH789" i="37"/>
  <c r="AC849" i="37"/>
  <c r="AK848" i="37"/>
  <c r="AI1393" i="37"/>
  <c r="AI1382" i="37"/>
  <c r="AI1394" i="37" s="1"/>
  <c r="AI1986" i="37"/>
  <c r="AI1998" i="37" s="1"/>
  <c r="AI1997" i="37"/>
  <c r="AK1478" i="37"/>
  <c r="AC1480" i="37"/>
  <c r="AK1480" i="37" s="1"/>
  <c r="AI1695" i="37"/>
  <c r="AI1684" i="37"/>
  <c r="AI1696" i="37" s="1"/>
  <c r="AE1695" i="37"/>
  <c r="AE1684" i="37"/>
  <c r="AE1696" i="37" s="1"/>
  <c r="AC2093" i="37"/>
  <c r="AK2093" i="37" s="1"/>
  <c r="AK2040" i="37"/>
  <c r="AE789" i="37"/>
  <c r="AE778" i="37"/>
  <c r="AE790" i="37" s="1"/>
  <c r="AD476" i="37"/>
  <c r="AD488" i="37" s="1"/>
  <c r="AD487" i="37"/>
  <c r="AC1453" i="37"/>
  <c r="AK1452" i="37"/>
  <c r="AL395" i="42"/>
  <c r="AC399" i="42"/>
  <c r="AL399" i="42" s="1"/>
  <c r="AH1695" i="37"/>
  <c r="AH1684" i="37"/>
  <c r="AH1696" i="37" s="1"/>
  <c r="AK537" i="37"/>
  <c r="AC539" i="37"/>
  <c r="AK539" i="37" s="1"/>
  <c r="AK475" i="37"/>
  <c r="AC476" i="37"/>
  <c r="AC487" i="37"/>
  <c r="AC2084" i="37"/>
  <c r="AK2084" i="37" s="1"/>
  <c r="AK2082" i="37"/>
  <c r="AK1392" i="37"/>
  <c r="AG1393" i="37"/>
  <c r="AG1382" i="37"/>
  <c r="AG1394" i="37" s="1"/>
  <c r="AE487" i="37"/>
  <c r="AE476" i="37"/>
  <c r="AE488" i="37" s="1"/>
  <c r="AI1091" i="37"/>
  <c r="AI1080" i="37"/>
  <c r="AI1092" i="37" s="1"/>
  <c r="AD1393" i="37"/>
  <c r="AD1382" i="37"/>
  <c r="AD1394" i="37" s="1"/>
  <c r="AF487" i="37"/>
  <c r="AF476" i="37"/>
  <c r="AF488" i="37" s="1"/>
  <c r="AK1738" i="37"/>
  <c r="AC1791" i="37"/>
  <c r="AK1791" i="37" s="1"/>
  <c r="AK2056" i="37"/>
  <c r="AC2057" i="37"/>
  <c r="AK1694" i="37"/>
  <c r="AH1091" i="37"/>
  <c r="AH1080" i="37"/>
  <c r="AH1092" i="37" s="1"/>
  <c r="AG487" i="37"/>
  <c r="AG476" i="37"/>
  <c r="AG488" i="37" s="1"/>
  <c r="AK874" i="37"/>
  <c r="AC876" i="37"/>
  <c r="AK876" i="37" s="1"/>
  <c r="AC841" i="37"/>
  <c r="AK841" i="37" s="1"/>
  <c r="AK839" i="37"/>
  <c r="AC1382" i="37"/>
  <c r="AK1381" i="37"/>
  <c r="AC1393" i="37"/>
  <c r="AF1695" i="37"/>
  <c r="AF1684" i="37"/>
  <c r="AF1696" i="37" s="1"/>
  <c r="AK777" i="37"/>
  <c r="AC778" i="37"/>
  <c r="AC789" i="37"/>
  <c r="AK1996" i="37"/>
  <c r="AF789" i="37"/>
  <c r="AF778" i="37"/>
  <c r="AF790" i="37" s="1"/>
  <c r="AC1626" i="37"/>
  <c r="AB1625" i="37"/>
  <c r="AA1625" i="37" s="1"/>
  <c r="Z1625" i="37" s="1"/>
  <c r="AC583" i="37"/>
  <c r="AK583" i="37" s="1"/>
  <c r="AK530" i="37"/>
  <c r="AK832" i="37"/>
  <c r="AC885" i="37"/>
  <c r="AK885" i="37" s="1"/>
  <c r="AK1176" i="37"/>
  <c r="AC1178" i="37"/>
  <c r="AK1178" i="37" s="1"/>
  <c r="AK1090" i="37"/>
  <c r="AI476" i="37"/>
  <c r="AI488" i="37" s="1"/>
  <c r="AI487" i="37"/>
  <c r="AK2047" i="37"/>
  <c r="AC2049" i="37"/>
  <c r="AK2049" i="37" s="1"/>
  <c r="AK1754" i="37"/>
  <c r="AC1755" i="37"/>
  <c r="AE1986" i="37"/>
  <c r="AE1998" i="37" s="1"/>
  <c r="AE1997" i="37"/>
  <c r="AC418" i="37"/>
  <c r="AB417" i="37"/>
  <c r="AC1684" i="37"/>
  <c r="AC1695" i="37"/>
  <c r="AK1683" i="37"/>
  <c r="AD1695" i="37"/>
  <c r="AD1684" i="37"/>
  <c r="AD1696" i="37" s="1"/>
  <c r="AF1080" i="37"/>
  <c r="AF1092" i="37" s="1"/>
  <c r="AF1091" i="37"/>
  <c r="AG1695" i="37"/>
  <c r="AG1684" i="37"/>
  <c r="AG1696" i="37" s="1"/>
  <c r="L1884" i="50" l="1"/>
  <c r="L1720" i="50"/>
  <c r="L2048" i="50"/>
  <c r="L1556" i="50"/>
  <c r="L1392" i="50"/>
  <c r="L1228" i="50"/>
  <c r="L900" i="50"/>
  <c r="L736" i="50"/>
  <c r="L1064" i="50"/>
  <c r="M1994" i="50"/>
  <c r="M1830" i="50"/>
  <c r="M1666" i="50"/>
  <c r="M846" i="50"/>
  <c r="M682" i="50"/>
  <c r="M1338" i="50"/>
  <c r="M1174" i="50"/>
  <c r="M1010" i="50"/>
  <c r="M1502" i="50"/>
  <c r="L1666" i="50"/>
  <c r="L1994" i="50"/>
  <c r="L1830" i="50"/>
  <c r="L1502" i="50"/>
  <c r="L1338" i="50"/>
  <c r="L1174" i="50"/>
  <c r="L846" i="50"/>
  <c r="L682" i="50"/>
  <c r="L1010" i="50"/>
  <c r="K2048" i="50"/>
  <c r="K1884" i="50"/>
  <c r="K1720" i="50"/>
  <c r="K1556" i="50"/>
  <c r="K1228" i="50"/>
  <c r="K1064" i="50"/>
  <c r="K1392" i="50"/>
  <c r="K736" i="50"/>
  <c r="K900" i="50"/>
  <c r="N2048" i="50"/>
  <c r="N1884" i="50"/>
  <c r="N1720" i="50"/>
  <c r="N1556" i="50"/>
  <c r="N1228" i="50"/>
  <c r="N1392" i="50"/>
  <c r="N900" i="50"/>
  <c r="N736" i="50"/>
  <c r="N1064" i="50"/>
  <c r="N1994" i="50"/>
  <c r="N1830" i="50"/>
  <c r="N1666" i="50"/>
  <c r="N1174" i="50"/>
  <c r="N1502" i="50"/>
  <c r="N1338" i="50"/>
  <c r="N1010" i="50"/>
  <c r="N846" i="50"/>
  <c r="N682" i="50"/>
  <c r="K1830" i="50"/>
  <c r="K1666" i="50"/>
  <c r="K1994" i="50"/>
  <c r="K1502" i="50"/>
  <c r="K1338" i="50"/>
  <c r="K1010" i="50"/>
  <c r="K1174" i="50"/>
  <c r="K846" i="50"/>
  <c r="K682" i="50"/>
  <c r="M1720" i="50"/>
  <c r="M1556" i="50"/>
  <c r="M2048" i="50"/>
  <c r="M1884" i="50"/>
  <c r="M1392" i="50"/>
  <c r="M1228" i="50"/>
  <c r="M1064" i="50"/>
  <c r="M900" i="50"/>
  <c r="M736" i="50"/>
  <c r="J1994" i="50"/>
  <c r="J1830" i="50"/>
  <c r="J1666" i="50"/>
  <c r="J1174" i="50"/>
  <c r="J1502" i="50"/>
  <c r="J1338" i="50"/>
  <c r="J1010" i="50"/>
  <c r="J682" i="50"/>
  <c r="J846" i="50"/>
  <c r="J2048" i="50"/>
  <c r="J1884" i="50"/>
  <c r="J1720" i="50"/>
  <c r="J1556" i="50"/>
  <c r="J1228" i="50"/>
  <c r="J1064" i="50"/>
  <c r="J900" i="50"/>
  <c r="J736" i="50"/>
  <c r="J1392" i="50"/>
  <c r="J1970" i="50"/>
  <c r="J1968" i="50"/>
  <c r="J1972" i="50"/>
  <c r="J1969" i="50"/>
  <c r="J1967" i="50"/>
  <c r="J1971" i="50"/>
  <c r="K1813" i="50"/>
  <c r="K1977" i="50"/>
  <c r="L1649" i="50"/>
  <c r="L1813" i="50"/>
  <c r="J1856" i="50"/>
  <c r="J1845" i="50"/>
  <c r="J1828" i="50"/>
  <c r="J1817" i="50"/>
  <c r="J1870" i="50"/>
  <c r="N1649" i="50"/>
  <c r="N1813" i="50"/>
  <c r="J1862" i="50"/>
  <c r="J1848" i="50"/>
  <c r="J1834" i="50"/>
  <c r="J1820" i="50"/>
  <c r="J1890" i="50"/>
  <c r="M1649" i="50"/>
  <c r="M1813" i="50"/>
  <c r="J1889" i="50"/>
  <c r="J1872" i="50"/>
  <c r="J1861" i="50"/>
  <c r="J1847" i="50"/>
  <c r="J1819" i="50"/>
  <c r="J1816" i="50"/>
  <c r="J1883" i="50"/>
  <c r="J1869" i="50"/>
  <c r="J1855" i="50"/>
  <c r="J1827" i="50"/>
  <c r="J1649" i="50"/>
  <c r="J1813" i="50"/>
  <c r="J1854" i="50"/>
  <c r="J1840" i="50"/>
  <c r="J1826" i="50"/>
  <c r="J1868" i="50"/>
  <c r="J1882" i="50"/>
  <c r="J1818" i="50"/>
  <c r="J1888" i="50"/>
  <c r="J1871" i="50"/>
  <c r="J1829" i="50"/>
  <c r="J1846" i="50"/>
  <c r="K1485" i="50"/>
  <c r="K1649" i="50"/>
  <c r="L1321" i="50"/>
  <c r="L1485" i="50"/>
  <c r="J1321" i="50"/>
  <c r="J1485" i="50"/>
  <c r="M1321" i="50"/>
  <c r="M1485" i="50"/>
  <c r="N1321" i="50"/>
  <c r="N1485" i="50"/>
  <c r="K1157" i="50"/>
  <c r="K1321" i="50"/>
  <c r="N1157" i="50"/>
  <c r="L993" i="50"/>
  <c r="L1157" i="50"/>
  <c r="M993" i="50"/>
  <c r="M1157" i="50"/>
  <c r="J993" i="50"/>
  <c r="J1157" i="50"/>
  <c r="N829" i="50"/>
  <c r="N993" i="50"/>
  <c r="K829" i="50"/>
  <c r="K993" i="50"/>
  <c r="L665" i="50"/>
  <c r="L829" i="50"/>
  <c r="J665" i="50"/>
  <c r="J829" i="50"/>
  <c r="M665" i="50"/>
  <c r="M829" i="50"/>
  <c r="K665" i="50"/>
  <c r="N665" i="50"/>
  <c r="Y36" i="37"/>
  <c r="X36" i="37"/>
  <c r="AK211" i="37"/>
  <c r="J571" i="50"/>
  <c r="J515" i="50"/>
  <c r="J543" i="50"/>
  <c r="J557" i="50"/>
  <c r="J504" i="50"/>
  <c r="X256" i="37"/>
  <c r="L256" i="37" s="1"/>
  <c r="L575" i="50" s="1"/>
  <c r="L254" i="37"/>
  <c r="L572" i="50"/>
  <c r="K501" i="50"/>
  <c r="AE244" i="37"/>
  <c r="AE245" i="37" s="1"/>
  <c r="AE247" i="37" s="1"/>
  <c r="AE235" i="37"/>
  <c r="AE237" i="37" s="1"/>
  <c r="J549" i="50"/>
  <c r="J560" i="50"/>
  <c r="J507" i="50"/>
  <c r="J577" i="50"/>
  <c r="J535" i="50"/>
  <c r="L91" i="37"/>
  <c r="X93" i="37"/>
  <c r="L93" i="37" s="1"/>
  <c r="L532" i="50" s="1"/>
  <c r="L529" i="50"/>
  <c r="J254" i="37"/>
  <c r="V256" i="37"/>
  <c r="J256" i="37" s="1"/>
  <c r="J575" i="50" s="1"/>
  <c r="J572" i="50"/>
  <c r="Z93" i="37"/>
  <c r="N93" i="37" s="1"/>
  <c r="N532" i="50" s="1"/>
  <c r="N91" i="37"/>
  <c r="N529" i="50"/>
  <c r="K254" i="37"/>
  <c r="W256" i="37"/>
  <c r="K256" i="37" s="1"/>
  <c r="K575" i="50" s="1"/>
  <c r="W254" i="37"/>
  <c r="K572" i="50"/>
  <c r="M254" i="37"/>
  <c r="Y256" i="37"/>
  <c r="M256" i="37" s="1"/>
  <c r="M575" i="50" s="1"/>
  <c r="M572" i="50"/>
  <c r="AB114" i="37"/>
  <c r="AA114" i="37" s="1"/>
  <c r="Z114" i="37" s="1"/>
  <c r="AC115" i="37"/>
  <c r="AK1997" i="37"/>
  <c r="N254" i="37"/>
  <c r="Z256" i="37"/>
  <c r="N256" i="37" s="1"/>
  <c r="N575" i="50" s="1"/>
  <c r="N572" i="50"/>
  <c r="AE184" i="37"/>
  <c r="AE173" i="37"/>
  <c r="AF235" i="37"/>
  <c r="AF237" i="37" s="1"/>
  <c r="AF244" i="37"/>
  <c r="AF245" i="37" s="1"/>
  <c r="AF247" i="37" s="1"/>
  <c r="M501" i="50"/>
  <c r="J516" i="50"/>
  <c r="J558" i="50"/>
  <c r="J505" i="50"/>
  <c r="J533" i="50"/>
  <c r="J544" i="50"/>
  <c r="AC270" i="37"/>
  <c r="AK269" i="37"/>
  <c r="AC228" i="37"/>
  <c r="AK226" i="37"/>
  <c r="L501" i="50"/>
  <c r="AH173" i="37"/>
  <c r="AH184" i="37"/>
  <c r="AG173" i="37"/>
  <c r="AG184" i="37"/>
  <c r="AC310" i="37"/>
  <c r="AC311" i="37" s="1"/>
  <c r="AK305" i="37"/>
  <c r="J501" i="50"/>
  <c r="V36" i="37"/>
  <c r="S592" i="50"/>
  <c r="I586" i="50"/>
  <c r="AI235" i="37"/>
  <c r="AI237" i="37" s="1"/>
  <c r="AI244" i="37"/>
  <c r="AI245" i="37" s="1"/>
  <c r="AI247" i="37" s="1"/>
  <c r="J518" i="50"/>
  <c r="J66" i="37"/>
  <c r="N66" i="37"/>
  <c r="N518" i="50"/>
  <c r="AC244" i="37"/>
  <c r="AC235" i="37"/>
  <c r="AK234" i="37"/>
  <c r="J91" i="37"/>
  <c r="V93" i="37"/>
  <c r="J93" i="37" s="1"/>
  <c r="J532" i="50" s="1"/>
  <c r="J529" i="50"/>
  <c r="K91" i="37"/>
  <c r="W93" i="37"/>
  <c r="K93" i="37" s="1"/>
  <c r="K532" i="50" s="1"/>
  <c r="K529" i="50"/>
  <c r="Y93" i="37"/>
  <c r="M93" i="37" s="1"/>
  <c r="M532" i="50" s="1"/>
  <c r="M91" i="37"/>
  <c r="M529" i="50"/>
  <c r="X66" i="37"/>
  <c r="L66" i="37"/>
  <c r="L518" i="50"/>
  <c r="AF173" i="37"/>
  <c r="AF184" i="37"/>
  <c r="AK172" i="37"/>
  <c r="AC173" i="37"/>
  <c r="AC184" i="37"/>
  <c r="AH244" i="37"/>
  <c r="AH245" i="37" s="1"/>
  <c r="AH247" i="37" s="1"/>
  <c r="AH235" i="37"/>
  <c r="AH237" i="37" s="1"/>
  <c r="AD244" i="37"/>
  <c r="AD245" i="37" s="1"/>
  <c r="AD247" i="37" s="1"/>
  <c r="AD235" i="37"/>
  <c r="AD237" i="37" s="1"/>
  <c r="K66" i="37"/>
  <c r="K518" i="50"/>
  <c r="W36" i="37"/>
  <c r="M518" i="50"/>
  <c r="M66" i="37"/>
  <c r="AC279" i="37"/>
  <c r="AK279" i="37" s="1"/>
  <c r="AK278" i="37"/>
  <c r="AK214" i="37"/>
  <c r="AC215" i="37"/>
  <c r="AI173" i="37"/>
  <c r="AI184" i="37"/>
  <c r="AD184" i="37"/>
  <c r="AD173" i="37"/>
  <c r="N501" i="50"/>
  <c r="Z36" i="37"/>
  <c r="V37" i="37"/>
  <c r="J1978" i="50" s="1"/>
  <c r="AG244" i="37"/>
  <c r="AG245" i="37" s="1"/>
  <c r="AG247" i="37" s="1"/>
  <c r="AG235" i="37"/>
  <c r="AG237" i="37" s="1"/>
  <c r="AK183" i="37"/>
  <c r="N395" i="50"/>
  <c r="N317" i="41"/>
  <c r="N405" i="50" s="1"/>
  <c r="I395" i="50"/>
  <c r="I317" i="41"/>
  <c r="I405" i="50" s="1"/>
  <c r="M355" i="50"/>
  <c r="M271" i="41"/>
  <c r="K424" i="41"/>
  <c r="K427" i="41" s="1"/>
  <c r="K434" i="41" s="1"/>
  <c r="K167" i="41"/>
  <c r="K296" i="50" s="1"/>
  <c r="K293" i="50"/>
  <c r="K170" i="41"/>
  <c r="K299" i="50" s="1"/>
  <c r="L170" i="41"/>
  <c r="L299" i="50" s="1"/>
  <c r="L167" i="41"/>
  <c r="L296" i="50" s="1"/>
  <c r="L293" i="50"/>
  <c r="L424" i="41"/>
  <c r="L427" i="41" s="1"/>
  <c r="L434" i="41" s="1"/>
  <c r="M167" i="41"/>
  <c r="M296" i="50" s="1"/>
  <c r="M293" i="50"/>
  <c r="M170" i="41"/>
  <c r="M299" i="50" s="1"/>
  <c r="M424" i="41"/>
  <c r="M427" i="41" s="1"/>
  <c r="M434" i="41" s="1"/>
  <c r="I167" i="41"/>
  <c r="I296" i="50" s="1"/>
  <c r="I170" i="41"/>
  <c r="I299" i="50" s="1"/>
  <c r="I424" i="41"/>
  <c r="I427" i="41" s="1"/>
  <c r="I434" i="41" s="1"/>
  <c r="I293" i="50"/>
  <c r="AC2384" i="37"/>
  <c r="AK2383" i="37"/>
  <c r="AI2287" i="37"/>
  <c r="AI2298" i="37"/>
  <c r="AF2718" i="37"/>
  <c r="AF2722" i="37" s="1"/>
  <c r="AF2721" i="37"/>
  <c r="AF2694" i="37"/>
  <c r="AF2695" i="37" s="1"/>
  <c r="AF2642" i="37"/>
  <c r="AF2644" i="37" s="1"/>
  <c r="AF2697" i="37" s="1"/>
  <c r="AF2685" i="37"/>
  <c r="AF2686" i="37" s="1"/>
  <c r="AF2688" i="37" s="1"/>
  <c r="AF2650" i="37"/>
  <c r="AE2721" i="37"/>
  <c r="AE2718" i="37"/>
  <c r="AE2722" i="37" s="1"/>
  <c r="AD2627" i="37"/>
  <c r="AD2630" i="37"/>
  <c r="AD2631" i="37" s="1"/>
  <c r="AI2588" i="37"/>
  <c r="AI2599" i="37"/>
  <c r="AI2627" i="37"/>
  <c r="AI2630" i="37"/>
  <c r="AI2631" i="37" s="1"/>
  <c r="AK2717" i="37"/>
  <c r="AC2718" i="37"/>
  <c r="AC2722" i="37" s="1"/>
  <c r="AC2721" i="37"/>
  <c r="AK2626" i="37"/>
  <c r="AC2627" i="37"/>
  <c r="AC2630" i="37"/>
  <c r="AK2613" i="37"/>
  <c r="AD2358" i="37"/>
  <c r="AD2359" i="37" s="1"/>
  <c r="AD2361" i="37" s="1"/>
  <c r="AD2349" i="37"/>
  <c r="AD2351" i="37" s="1"/>
  <c r="AG2721" i="37"/>
  <c r="AG2718" i="37"/>
  <c r="AG2722" i="37" s="1"/>
  <c r="AF3005" i="37"/>
  <c r="AF2831" i="37"/>
  <c r="AF2832" i="37" s="1"/>
  <c r="AF2833" i="37" s="1"/>
  <c r="AF2834" i="37" s="1"/>
  <c r="AF2835" i="37" s="1"/>
  <c r="AF2836" i="37" s="1"/>
  <c r="AF2837" i="37" s="1"/>
  <c r="AF2838" i="37" s="1"/>
  <c r="AF2839" i="37" s="1"/>
  <c r="AF2840" i="37" s="1"/>
  <c r="AF3019" i="37"/>
  <c r="AF2915" i="37"/>
  <c r="AF3011" i="37"/>
  <c r="AF2928" i="37"/>
  <c r="AF2866" i="37"/>
  <c r="AF2889" i="37"/>
  <c r="AF2874" i="37"/>
  <c r="AF2875" i="37" s="1"/>
  <c r="AF2924" i="37"/>
  <c r="AF2925" i="37" s="1"/>
  <c r="AF2943" i="37"/>
  <c r="AD2831" i="37"/>
  <c r="AD2832" i="37" s="1"/>
  <c r="AD2833" i="37" s="1"/>
  <c r="AD2834" i="37" s="1"/>
  <c r="AD2835" i="37" s="1"/>
  <c r="AD2836" i="37" s="1"/>
  <c r="AD2837" i="37" s="1"/>
  <c r="AD2838" i="37" s="1"/>
  <c r="AD2839" i="37" s="1"/>
  <c r="AD2840" i="37" s="1"/>
  <c r="AD2928" i="37"/>
  <c r="AD2943" i="37"/>
  <c r="AD2924" i="37"/>
  <c r="AD2925" i="37" s="1"/>
  <c r="AD2915" i="37"/>
  <c r="AD2889" i="37"/>
  <c r="AD3019" i="37"/>
  <c r="AD3005" i="37"/>
  <c r="AD3011" i="37"/>
  <c r="AD2866" i="37"/>
  <c r="AD2874" i="37"/>
  <c r="AD2875" i="37" s="1"/>
  <c r="AH2928" i="37"/>
  <c r="AH2889" i="37"/>
  <c r="AH3011" i="37"/>
  <c r="AH2874" i="37"/>
  <c r="AH2875" i="37" s="1"/>
  <c r="AH3005" i="37"/>
  <c r="AH3019" i="37"/>
  <c r="AH2943" i="37"/>
  <c r="AH2866" i="37"/>
  <c r="AH2831" i="37"/>
  <c r="AH2832" i="37" s="1"/>
  <c r="AH2833" i="37" s="1"/>
  <c r="AH2834" i="37" s="1"/>
  <c r="AH2835" i="37" s="1"/>
  <c r="AH2836" i="37" s="1"/>
  <c r="AH2837" i="37" s="1"/>
  <c r="AH2838" i="37" s="1"/>
  <c r="AH2839" i="37" s="1"/>
  <c r="AH2840" i="37" s="1"/>
  <c r="AH2924" i="37"/>
  <c r="AH2925" i="37" s="1"/>
  <c r="AH2915" i="37"/>
  <c r="L347" i="41"/>
  <c r="L432" i="50" s="1"/>
  <c r="L421" i="50"/>
  <c r="AG2287" i="37"/>
  <c r="AG2298" i="37"/>
  <c r="AH2349" i="37"/>
  <c r="AH2351" i="37" s="1"/>
  <c r="AH2358" i="37"/>
  <c r="AH2359" i="37" s="1"/>
  <c r="AH2361" i="37" s="1"/>
  <c r="AF2287" i="37"/>
  <c r="AF2298" i="37"/>
  <c r="AF2358" i="37"/>
  <c r="AF2359" i="37" s="1"/>
  <c r="AF2361" i="37" s="1"/>
  <c r="AF2349" i="37"/>
  <c r="AF2351" i="37" s="1"/>
  <c r="AH2721" i="37"/>
  <c r="AH2718" i="37"/>
  <c r="AH2722" i="37" s="1"/>
  <c r="M2967" i="37"/>
  <c r="Y2999" i="37"/>
  <c r="Y3005" i="37"/>
  <c r="Y2792" i="37"/>
  <c r="Y2893" i="37"/>
  <c r="Y2990" i="37"/>
  <c r="Y2925" i="37"/>
  <c r="Y2817" i="37"/>
  <c r="Y2905" i="37"/>
  <c r="Y2774" i="37"/>
  <c r="Y2933" i="37"/>
  <c r="Y2762" i="37"/>
  <c r="Y2866" i="37"/>
  <c r="Y2915" i="37"/>
  <c r="W2905" i="37"/>
  <c r="W2925" i="37"/>
  <c r="W2792" i="37"/>
  <c r="W2990" i="37"/>
  <c r="W2999" i="37"/>
  <c r="W2817" i="37"/>
  <c r="W2762" i="37"/>
  <c r="W2774" i="37"/>
  <c r="K2967" i="37"/>
  <c r="W2866" i="37"/>
  <c r="W2915" i="37"/>
  <c r="W3005" i="37"/>
  <c r="W2933" i="37"/>
  <c r="W2893" i="37"/>
  <c r="AK2739" i="37"/>
  <c r="V2762" i="37"/>
  <c r="V2999" i="37"/>
  <c r="V2925" i="37"/>
  <c r="V2792" i="37"/>
  <c r="V2817" i="37"/>
  <c r="V2915" i="37"/>
  <c r="V2990" i="37"/>
  <c r="V2866" i="37"/>
  <c r="J2967" i="37"/>
  <c r="V2774" i="37"/>
  <c r="V2893" i="37"/>
  <c r="V2933" i="37"/>
  <c r="V2905" i="37"/>
  <c r="V3005" i="37"/>
  <c r="U2068" i="50"/>
  <c r="D264" i="34"/>
  <c r="C265" i="34"/>
  <c r="O264" i="34"/>
  <c r="R264" i="34" s="1"/>
  <c r="AC2287" i="37"/>
  <c r="AK2286" i="37"/>
  <c r="AC2298" i="37"/>
  <c r="AK2328" i="37"/>
  <c r="AC2329" i="37"/>
  <c r="M421" i="50"/>
  <c r="M347" i="41"/>
  <c r="M432" i="50" s="1"/>
  <c r="M317" i="41"/>
  <c r="M405" i="50" s="1"/>
  <c r="M395" i="50"/>
  <c r="L395" i="50"/>
  <c r="L317" i="41"/>
  <c r="L405" i="50" s="1"/>
  <c r="H395" i="50"/>
  <c r="H317" i="41"/>
  <c r="H405" i="50" s="1"/>
  <c r="J317" i="41"/>
  <c r="J405" i="50" s="1"/>
  <c r="J395" i="50"/>
  <c r="K395" i="50"/>
  <c r="K317" i="41"/>
  <c r="K405" i="50" s="1"/>
  <c r="AC2424" i="37"/>
  <c r="AC2425" i="37" s="1"/>
  <c r="AK2419" i="37"/>
  <c r="AK2392" i="37"/>
  <c r="AC2393" i="37"/>
  <c r="AK2393" i="37" s="1"/>
  <c r="AF2599" i="37"/>
  <c r="AF2588" i="37"/>
  <c r="AD2718" i="37"/>
  <c r="AD2722" i="37" s="1"/>
  <c r="AD2721" i="37"/>
  <c r="AC2573" i="37"/>
  <c r="AK2573" i="37" s="1"/>
  <c r="AK2572" i="37"/>
  <c r="AK2703" i="37"/>
  <c r="AC2623" i="37"/>
  <c r="AK2622" i="37"/>
  <c r="AC2943" i="37"/>
  <c r="AC3019" i="37"/>
  <c r="AC2915" i="37"/>
  <c r="AC2924" i="37"/>
  <c r="AC2831" i="37"/>
  <c r="AC2866" i="37"/>
  <c r="AC2889" i="37"/>
  <c r="AC2874" i="37"/>
  <c r="AC3005" i="37"/>
  <c r="AC3011" i="37"/>
  <c r="AC2928" i="37"/>
  <c r="AK2801" i="37"/>
  <c r="AE2298" i="37"/>
  <c r="AE2287" i="37"/>
  <c r="AK2297" i="37"/>
  <c r="AB2228" i="37"/>
  <c r="AA2228" i="37" s="1"/>
  <c r="Z2228" i="37" s="1"/>
  <c r="AC2229" i="37"/>
  <c r="J347" i="41"/>
  <c r="J432" i="50" s="1"/>
  <c r="J421" i="50"/>
  <c r="I421" i="50"/>
  <c r="I347" i="41"/>
  <c r="I432" i="50" s="1"/>
  <c r="N421" i="50"/>
  <c r="N347" i="41"/>
  <c r="N432" i="50" s="1"/>
  <c r="I271" i="41"/>
  <c r="I355" i="50"/>
  <c r="J167" i="41"/>
  <c r="J296" i="50" s="1"/>
  <c r="J424" i="41"/>
  <c r="J427" i="41" s="1"/>
  <c r="J434" i="41" s="1"/>
  <c r="J293" i="50"/>
  <c r="J170" i="41"/>
  <c r="J299" i="50" s="1"/>
  <c r="L355" i="50"/>
  <c r="L271" i="41"/>
  <c r="N167" i="41"/>
  <c r="N296" i="50" s="1"/>
  <c r="N424" i="41"/>
  <c r="N427" i="41" s="1"/>
  <c r="N434" i="41" s="1"/>
  <c r="N293" i="50"/>
  <c r="N170" i="41"/>
  <c r="N299" i="50" s="1"/>
  <c r="H355" i="50"/>
  <c r="H271" i="41"/>
  <c r="AC2342" i="37"/>
  <c r="AK2340" i="37"/>
  <c r="AE2588" i="37"/>
  <c r="AE2599" i="37"/>
  <c r="AE2627" i="37"/>
  <c r="AE2630" i="37"/>
  <c r="AE2631" i="37" s="1"/>
  <c r="AH2298" i="37"/>
  <c r="AH2287" i="37"/>
  <c r="AD2599" i="37"/>
  <c r="AD2588" i="37"/>
  <c r="AD2650" i="37"/>
  <c r="AD2694" i="37"/>
  <c r="AD2695" i="37" s="1"/>
  <c r="AD2642" i="37"/>
  <c r="AD2644" i="37" s="1"/>
  <c r="AD2697" i="37" s="1"/>
  <c r="AD2685" i="37"/>
  <c r="AD2686" i="37" s="1"/>
  <c r="AD2688" i="37" s="1"/>
  <c r="AI2718" i="37"/>
  <c r="AI2722" i="37" s="1"/>
  <c r="AI2721" i="37"/>
  <c r="AK2564" i="37"/>
  <c r="AK2709" i="37"/>
  <c r="AC2530" i="37"/>
  <c r="AK2529" i="37"/>
  <c r="AB2529" i="37"/>
  <c r="AA2529" i="37" s="1"/>
  <c r="Z2529" i="37" s="1"/>
  <c r="J2582" i="50"/>
  <c r="AI2349" i="37"/>
  <c r="AI2351" i="37" s="1"/>
  <c r="AI2358" i="37"/>
  <c r="AI2359" i="37" s="1"/>
  <c r="AI2361" i="37" s="1"/>
  <c r="AH2694" i="37"/>
  <c r="AH2695" i="37" s="1"/>
  <c r="AH2685" i="37"/>
  <c r="AH2686" i="37" s="1"/>
  <c r="AH2688" i="37" s="1"/>
  <c r="AH2650" i="37"/>
  <c r="AH2642" i="37"/>
  <c r="AH2644" i="37" s="1"/>
  <c r="AH2697" i="37" s="1"/>
  <c r="AG2588" i="37"/>
  <c r="AG2599" i="37"/>
  <c r="AG2358" i="37"/>
  <c r="AG2359" i="37" s="1"/>
  <c r="AG2361" i="37" s="1"/>
  <c r="AG2349" i="37"/>
  <c r="AG2351" i="37" s="1"/>
  <c r="AH2599" i="37"/>
  <c r="AH2588" i="37"/>
  <c r="Z3005" i="37"/>
  <c r="Z2925" i="37"/>
  <c r="Z2866" i="37"/>
  <c r="Z2774" i="37"/>
  <c r="Z2792" i="37"/>
  <c r="Z2817" i="37"/>
  <c r="Z2999" i="37"/>
  <c r="Z2915" i="37"/>
  <c r="Z2762" i="37"/>
  <c r="Z2933" i="37"/>
  <c r="Z2905" i="37"/>
  <c r="Z2990" i="37"/>
  <c r="Z2893" i="37"/>
  <c r="N2967" i="37"/>
  <c r="T2774" i="37"/>
  <c r="T2893" i="37"/>
  <c r="T3005" i="37"/>
  <c r="T2999" i="37"/>
  <c r="T2990" i="37"/>
  <c r="T2866" i="37"/>
  <c r="T2933" i="37"/>
  <c r="T2925" i="37"/>
  <c r="T2905" i="37"/>
  <c r="H2967" i="37"/>
  <c r="T2915" i="37"/>
  <c r="AI3005" i="37"/>
  <c r="AI2889" i="37"/>
  <c r="AI3011" i="37"/>
  <c r="AI3019" i="37"/>
  <c r="AI2943" i="37"/>
  <c r="AI2866" i="37"/>
  <c r="AI2928" i="37"/>
  <c r="AI2831" i="37"/>
  <c r="AI2832" i="37" s="1"/>
  <c r="AI2833" i="37" s="1"/>
  <c r="AI2834" i="37" s="1"/>
  <c r="AI2835" i="37" s="1"/>
  <c r="AI2836" i="37" s="1"/>
  <c r="AI2837" i="37" s="1"/>
  <c r="AI2838" i="37" s="1"/>
  <c r="AI2839" i="37" s="1"/>
  <c r="AI2840" i="37" s="1"/>
  <c r="AI2915" i="37"/>
  <c r="AI2924" i="37"/>
  <c r="AI2925" i="37" s="1"/>
  <c r="AI2874" i="37"/>
  <c r="AI2875" i="37" s="1"/>
  <c r="AE2358" i="37"/>
  <c r="AE2359" i="37" s="1"/>
  <c r="AE2361" i="37" s="1"/>
  <c r="AE2349" i="37"/>
  <c r="AE2351" i="37" s="1"/>
  <c r="AH2627" i="37"/>
  <c r="AH2630" i="37"/>
  <c r="AH2631" i="37" s="1"/>
  <c r="AG2630" i="37"/>
  <c r="AG2631" i="37" s="1"/>
  <c r="AG2627" i="37"/>
  <c r="AG2685" i="37"/>
  <c r="AG2686" i="37" s="1"/>
  <c r="AG2688" i="37" s="1"/>
  <c r="AG2650" i="37"/>
  <c r="AG2694" i="37"/>
  <c r="AG2695" i="37" s="1"/>
  <c r="AG2642" i="37"/>
  <c r="AG2644" i="37" s="1"/>
  <c r="AG2697" i="37" s="1"/>
  <c r="AE3019" i="37"/>
  <c r="AE2889" i="37"/>
  <c r="AE2831" i="37"/>
  <c r="AE2832" i="37" s="1"/>
  <c r="AE2833" i="37" s="1"/>
  <c r="AE2834" i="37" s="1"/>
  <c r="AE2835" i="37" s="1"/>
  <c r="AE2836" i="37" s="1"/>
  <c r="AE2837" i="37" s="1"/>
  <c r="AE2838" i="37" s="1"/>
  <c r="AE2839" i="37" s="1"/>
  <c r="AE2840" i="37" s="1"/>
  <c r="AE2874" i="37"/>
  <c r="AE2875" i="37" s="1"/>
  <c r="AE2915" i="37"/>
  <c r="AE3005" i="37"/>
  <c r="AE2943" i="37"/>
  <c r="AE2928" i="37"/>
  <c r="AE2866" i="37"/>
  <c r="AE2924" i="37"/>
  <c r="AE2925" i="37" s="1"/>
  <c r="AE3011" i="37"/>
  <c r="U2866" i="37"/>
  <c r="U2933" i="37"/>
  <c r="U2905" i="37"/>
  <c r="U2774" i="37"/>
  <c r="U2999" i="37"/>
  <c r="U2893" i="37"/>
  <c r="U2990" i="37"/>
  <c r="U3005" i="37"/>
  <c r="U2915" i="37"/>
  <c r="U2925" i="37"/>
  <c r="I2967" i="37"/>
  <c r="X2817" i="37"/>
  <c r="X2905" i="37"/>
  <c r="L2967" i="37"/>
  <c r="X2893" i="37"/>
  <c r="X3005" i="37"/>
  <c r="X2915" i="37"/>
  <c r="X2990" i="37"/>
  <c r="X2762" i="37"/>
  <c r="X2774" i="37"/>
  <c r="X2866" i="37"/>
  <c r="X2999" i="37"/>
  <c r="X2792" i="37"/>
  <c r="X2925" i="37"/>
  <c r="X2933" i="37"/>
  <c r="AG3019" i="37"/>
  <c r="AG2831" i="37"/>
  <c r="AG2832" i="37" s="1"/>
  <c r="AG2833" i="37" s="1"/>
  <c r="AG2834" i="37" s="1"/>
  <c r="AG2835" i="37" s="1"/>
  <c r="AG2836" i="37" s="1"/>
  <c r="AG2837" i="37" s="1"/>
  <c r="AG2838" i="37" s="1"/>
  <c r="AG2839" i="37" s="1"/>
  <c r="AG2840" i="37" s="1"/>
  <c r="AG3011" i="37"/>
  <c r="AG2924" i="37"/>
  <c r="AG2925" i="37" s="1"/>
  <c r="AG2874" i="37"/>
  <c r="AG2875" i="37" s="1"/>
  <c r="AG2915" i="37"/>
  <c r="AG2889" i="37"/>
  <c r="AG2866" i="37"/>
  <c r="AG2928" i="37"/>
  <c r="AG3005" i="37"/>
  <c r="AG2943" i="37"/>
  <c r="AK2325" i="37"/>
  <c r="K421" i="50"/>
  <c r="K347" i="41"/>
  <c r="K432" i="50" s="1"/>
  <c r="H347" i="41"/>
  <c r="H432" i="50" s="1"/>
  <c r="H421" i="50"/>
  <c r="J271" i="41"/>
  <c r="J355" i="50"/>
  <c r="H293" i="50"/>
  <c r="H167" i="41"/>
  <c r="H296" i="50" s="1"/>
  <c r="H170" i="41"/>
  <c r="H299" i="50" s="1"/>
  <c r="H424" i="41"/>
  <c r="H427" i="41" s="1"/>
  <c r="H434" i="41" s="1"/>
  <c r="N355" i="50"/>
  <c r="N271" i="41"/>
  <c r="K271" i="41"/>
  <c r="K355" i="50"/>
  <c r="AC2358" i="37"/>
  <c r="AK2348" i="37"/>
  <c r="AC2349" i="37"/>
  <c r="AF2630" i="37"/>
  <c r="AF2631" i="37" s="1"/>
  <c r="AF2627" i="37"/>
  <c r="AE2650" i="37"/>
  <c r="AE2694" i="37"/>
  <c r="AE2695" i="37" s="1"/>
  <c r="AE2685" i="37"/>
  <c r="AE2686" i="37" s="1"/>
  <c r="AE2688" i="37" s="1"/>
  <c r="AE2642" i="37"/>
  <c r="AE2644" i="37" s="1"/>
  <c r="AE2697" i="37" s="1"/>
  <c r="AI2685" i="37"/>
  <c r="AI2686" i="37" s="1"/>
  <c r="AI2688" i="37" s="1"/>
  <c r="AI2642" i="37"/>
  <c r="AI2644" i="37" s="1"/>
  <c r="AI2697" i="37" s="1"/>
  <c r="AI2650" i="37"/>
  <c r="AI2694" i="37"/>
  <c r="AI2695" i="37" s="1"/>
  <c r="AD2298" i="37"/>
  <c r="AD2287" i="37"/>
  <c r="AK2587" i="37"/>
  <c r="AC2588" i="37"/>
  <c r="AC2599" i="37"/>
  <c r="AK2641" i="37"/>
  <c r="AC2642" i="37"/>
  <c r="AC2694" i="37"/>
  <c r="AC2685" i="37"/>
  <c r="AC2650" i="37"/>
  <c r="L2439" i="50"/>
  <c r="L2440" i="50" s="1"/>
  <c r="L2448" i="50" s="1"/>
  <c r="L2449" i="50" s="1"/>
  <c r="L844" i="42" s="1"/>
  <c r="L846" i="42" s="1"/>
  <c r="L847" i="42" s="1"/>
  <c r="L2454" i="50" s="1"/>
  <c r="K2455" i="50"/>
  <c r="K2539" i="50" s="1"/>
  <c r="K2582" i="50" s="1"/>
  <c r="AK849" i="37"/>
  <c r="AC851" i="37"/>
  <c r="AK851" i="37" s="1"/>
  <c r="AK1091" i="37"/>
  <c r="AL519" i="42"/>
  <c r="AC523" i="42"/>
  <c r="AL523" i="42" s="1"/>
  <c r="AK487" i="37"/>
  <c r="AA1323" i="37"/>
  <c r="Z1323" i="37" s="1"/>
  <c r="AA1021" i="37"/>
  <c r="Z1021" i="37" s="1"/>
  <c r="AK1684" i="37"/>
  <c r="AC1696" i="37"/>
  <c r="AK1696" i="37" s="1"/>
  <c r="AC790" i="37"/>
  <c r="AK790" i="37" s="1"/>
  <c r="AK778" i="37"/>
  <c r="AK1382" i="37"/>
  <c r="AC1394" i="37"/>
  <c r="AK1394" i="37" s="1"/>
  <c r="AC549" i="37"/>
  <c r="AK549" i="37" s="1"/>
  <c r="AK547" i="37"/>
  <c r="AC419" i="37"/>
  <c r="AB418" i="37"/>
  <c r="AA418" i="37" s="1"/>
  <c r="Z418" i="37" s="1"/>
  <c r="AK476" i="37"/>
  <c r="AC488" i="37"/>
  <c r="AK488" i="37" s="1"/>
  <c r="AC1325" i="37"/>
  <c r="AB1324" i="37"/>
  <c r="AA1324" i="37" s="1"/>
  <c r="Z1324" i="37" s="1"/>
  <c r="AC1092" i="37"/>
  <c r="AK1092" i="37" s="1"/>
  <c r="AK1080" i="37"/>
  <c r="AK1986" i="37"/>
  <c r="AC1998" i="37"/>
  <c r="AK1998" i="37" s="1"/>
  <c r="AB1022" i="37"/>
  <c r="AA1022" i="37" s="1"/>
  <c r="Z1022" i="37" s="1"/>
  <c r="AC1023" i="37"/>
  <c r="AC1929" i="37"/>
  <c r="AB1928" i="37"/>
  <c r="AA417" i="37"/>
  <c r="Z417" i="37" s="1"/>
  <c r="AB1626" i="37"/>
  <c r="AA1626" i="37" s="1"/>
  <c r="Z1626" i="37" s="1"/>
  <c r="AC1627" i="37"/>
  <c r="AK1393" i="37"/>
  <c r="AK2057" i="37"/>
  <c r="AC2059" i="37"/>
  <c r="AK2059" i="37" s="1"/>
  <c r="AK1695" i="37"/>
  <c r="AK1755" i="37"/>
  <c r="AC1757" i="37"/>
  <c r="AK1757" i="37" s="1"/>
  <c r="AK789" i="37"/>
  <c r="AK1453" i="37"/>
  <c r="AC1455" i="37"/>
  <c r="AK1455" i="37" s="1"/>
  <c r="AC400" i="42"/>
  <c r="AL400" i="42" s="1"/>
  <c r="AL396" i="42"/>
  <c r="AC721" i="37"/>
  <c r="AB720" i="37"/>
  <c r="AK1151" i="37"/>
  <c r="AC1153" i="37"/>
  <c r="AK1153" i="37" s="1"/>
  <c r="M1831" i="50" l="1"/>
  <c r="M1667" i="50"/>
  <c r="M1995" i="50"/>
  <c r="M1503" i="50"/>
  <c r="M1339" i="50"/>
  <c r="M1011" i="50"/>
  <c r="M1175" i="50"/>
  <c r="M847" i="50"/>
  <c r="M683" i="50"/>
  <c r="K1995" i="50"/>
  <c r="K1831" i="50"/>
  <c r="K1667" i="50"/>
  <c r="K847" i="50"/>
  <c r="K683" i="50"/>
  <c r="K1503" i="50"/>
  <c r="K1011" i="50"/>
  <c r="K1175" i="50"/>
  <c r="K1339" i="50"/>
  <c r="L1668" i="50"/>
  <c r="L1996" i="50"/>
  <c r="L1832" i="50"/>
  <c r="L1504" i="50"/>
  <c r="L1340" i="50"/>
  <c r="L1176" i="50"/>
  <c r="L1012" i="50"/>
  <c r="L848" i="50"/>
  <c r="L684" i="50"/>
  <c r="M2049" i="50"/>
  <c r="M1885" i="50"/>
  <c r="M1721" i="50"/>
  <c r="M1557" i="50"/>
  <c r="M1229" i="50"/>
  <c r="M1065" i="50"/>
  <c r="M1393" i="50"/>
  <c r="M901" i="50"/>
  <c r="M737" i="50"/>
  <c r="K1721" i="50"/>
  <c r="K1557" i="50"/>
  <c r="K2049" i="50"/>
  <c r="K1885" i="50"/>
  <c r="K1393" i="50"/>
  <c r="K1229" i="50"/>
  <c r="K1065" i="50"/>
  <c r="K901" i="50"/>
  <c r="K737" i="50"/>
  <c r="J1842" i="50"/>
  <c r="J1514" i="50"/>
  <c r="J2006" i="50"/>
  <c r="J1678" i="50"/>
  <c r="J1350" i="50"/>
  <c r="J1186" i="50"/>
  <c r="J1022" i="50"/>
  <c r="J858" i="50"/>
  <c r="J694" i="50"/>
  <c r="L2006" i="50"/>
  <c r="L1678" i="50"/>
  <c r="L1842" i="50"/>
  <c r="L1022" i="50"/>
  <c r="L1514" i="50"/>
  <c r="L694" i="50"/>
  <c r="L1350" i="50"/>
  <c r="L1186" i="50"/>
  <c r="L858" i="50"/>
  <c r="M2006" i="50"/>
  <c r="M1678" i="50"/>
  <c r="M1842" i="50"/>
  <c r="M1514" i="50"/>
  <c r="M1350" i="50"/>
  <c r="M1186" i="50"/>
  <c r="M694" i="50"/>
  <c r="M858" i="50"/>
  <c r="M1022" i="50"/>
  <c r="K2006" i="50"/>
  <c r="K1678" i="50"/>
  <c r="K1842" i="50"/>
  <c r="K1350" i="50"/>
  <c r="K1186" i="50"/>
  <c r="K1514" i="50"/>
  <c r="K694" i="50"/>
  <c r="K858" i="50"/>
  <c r="K1022" i="50"/>
  <c r="N1667" i="50"/>
  <c r="N1995" i="50"/>
  <c r="N1831" i="50"/>
  <c r="N1503" i="50"/>
  <c r="N1339" i="50"/>
  <c r="N1175" i="50"/>
  <c r="N847" i="50"/>
  <c r="N683" i="50"/>
  <c r="N1011" i="50"/>
  <c r="N1885" i="50"/>
  <c r="N1721" i="50"/>
  <c r="N1557" i="50"/>
  <c r="N2049" i="50"/>
  <c r="N1393" i="50"/>
  <c r="N1065" i="50"/>
  <c r="N901" i="50"/>
  <c r="N737" i="50"/>
  <c r="N1229" i="50"/>
  <c r="K2050" i="50"/>
  <c r="K1886" i="50"/>
  <c r="K1722" i="50"/>
  <c r="K1558" i="50"/>
  <c r="K1230" i="50"/>
  <c r="K1066" i="50"/>
  <c r="K1394" i="50"/>
  <c r="K738" i="50"/>
  <c r="K902" i="50"/>
  <c r="N1842" i="50"/>
  <c r="N1514" i="50"/>
  <c r="N2006" i="50"/>
  <c r="N1678" i="50"/>
  <c r="N1350" i="50"/>
  <c r="N1186" i="50"/>
  <c r="N1022" i="50"/>
  <c r="N858" i="50"/>
  <c r="N694" i="50"/>
  <c r="J1885" i="50"/>
  <c r="J1721" i="50"/>
  <c r="J1557" i="50"/>
  <c r="J2049" i="50"/>
  <c r="J1393" i="50"/>
  <c r="J1229" i="50"/>
  <c r="J1065" i="50"/>
  <c r="J901" i="50"/>
  <c r="J737" i="50"/>
  <c r="L1995" i="50"/>
  <c r="L1831" i="50"/>
  <c r="L1667" i="50"/>
  <c r="L1175" i="50"/>
  <c r="L1503" i="50"/>
  <c r="L1339" i="50"/>
  <c r="L1011" i="50"/>
  <c r="L683" i="50"/>
  <c r="L847" i="50"/>
  <c r="J1667" i="50"/>
  <c r="J1995" i="50"/>
  <c r="J1831" i="50"/>
  <c r="J1503" i="50"/>
  <c r="J1339" i="50"/>
  <c r="J1175" i="50"/>
  <c r="J847" i="50"/>
  <c r="J683" i="50"/>
  <c r="J1011" i="50"/>
  <c r="L2049" i="50"/>
  <c r="L1885" i="50"/>
  <c r="L1721" i="50"/>
  <c r="L1557" i="50"/>
  <c r="L1229" i="50"/>
  <c r="L901" i="50"/>
  <c r="L737" i="50"/>
  <c r="L1393" i="50"/>
  <c r="L1065" i="50"/>
  <c r="J2020" i="50"/>
  <c r="J2009" i="50"/>
  <c r="J1992" i="50"/>
  <c r="J1981" i="50"/>
  <c r="J2034" i="50"/>
  <c r="J2026" i="50"/>
  <c r="J2012" i="50"/>
  <c r="J1998" i="50"/>
  <c r="J1984" i="50"/>
  <c r="J2054" i="50"/>
  <c r="J2053" i="50"/>
  <c r="J2036" i="50"/>
  <c r="J2025" i="50"/>
  <c r="J2011" i="50"/>
  <c r="J1983" i="50"/>
  <c r="J1980" i="50"/>
  <c r="J2047" i="50"/>
  <c r="J2033" i="50"/>
  <c r="J2019" i="50"/>
  <c r="J1991" i="50"/>
  <c r="J2018" i="50"/>
  <c r="J2004" i="50"/>
  <c r="J1990" i="50"/>
  <c r="J2032" i="50"/>
  <c r="J2046" i="50"/>
  <c r="J1982" i="50"/>
  <c r="J2052" i="50"/>
  <c r="J2035" i="50"/>
  <c r="J1993" i="50"/>
  <c r="J2010" i="50"/>
  <c r="J1650" i="50"/>
  <c r="J1814" i="50"/>
  <c r="J1322" i="50"/>
  <c r="J1486" i="50"/>
  <c r="J994" i="50"/>
  <c r="J1158" i="50"/>
  <c r="J666" i="50"/>
  <c r="J830" i="50"/>
  <c r="Y254" i="37"/>
  <c r="M574" i="50" s="1"/>
  <c r="V91" i="37"/>
  <c r="J531" i="50" s="1"/>
  <c r="J502" i="50"/>
  <c r="Y66" i="37"/>
  <c r="Y91" i="37"/>
  <c r="N519" i="50"/>
  <c r="Z254" i="37"/>
  <c r="L520" i="50"/>
  <c r="X254" i="37"/>
  <c r="L574" i="50" s="1"/>
  <c r="J519" i="50"/>
  <c r="K574" i="50"/>
  <c r="V254" i="37"/>
  <c r="X91" i="37"/>
  <c r="L531" i="50" s="1"/>
  <c r="L67" i="37"/>
  <c r="X68" i="37" s="1"/>
  <c r="L68" i="37" s="1"/>
  <c r="L521" i="50" s="1"/>
  <c r="J37" i="37"/>
  <c r="V38" i="37" s="1"/>
  <c r="J38" i="37" s="1"/>
  <c r="J1979" i="50" s="1"/>
  <c r="M255" i="37"/>
  <c r="N255" i="37"/>
  <c r="L255" i="37"/>
  <c r="J92" i="37"/>
  <c r="L92" i="37"/>
  <c r="K519" i="50"/>
  <c r="K530" i="50"/>
  <c r="G483" i="50"/>
  <c r="I592" i="50"/>
  <c r="J491" i="50"/>
  <c r="AG185" i="37"/>
  <c r="AG174" i="37"/>
  <c r="AG186" i="37" s="1"/>
  <c r="AK270" i="37"/>
  <c r="AC272" i="37"/>
  <c r="AK272" i="37" s="1"/>
  <c r="W66" i="37"/>
  <c r="AK184" i="37"/>
  <c r="AF185" i="37"/>
  <c r="AF174" i="37"/>
  <c r="AF186" i="37" s="1"/>
  <c r="L519" i="50"/>
  <c r="M92" i="37"/>
  <c r="AC237" i="37"/>
  <c r="AK237" i="37" s="1"/>
  <c r="AK235" i="37"/>
  <c r="M573" i="50"/>
  <c r="J255" i="37"/>
  <c r="AD174" i="37"/>
  <c r="AD186" i="37" s="1"/>
  <c r="AD185" i="37"/>
  <c r="AI174" i="37"/>
  <c r="AI186" i="37" s="1"/>
  <c r="AI185" i="37"/>
  <c r="M67" i="37"/>
  <c r="Y68" i="37" s="1"/>
  <c r="M68" i="37" s="1"/>
  <c r="M521" i="50" s="1"/>
  <c r="AC185" i="37"/>
  <c r="AK173" i="37"/>
  <c r="AC174" i="37"/>
  <c r="M530" i="50"/>
  <c r="W91" i="37"/>
  <c r="J530" i="50"/>
  <c r="AK244" i="37"/>
  <c r="AC245" i="37"/>
  <c r="Z66" i="37"/>
  <c r="AH185" i="37"/>
  <c r="AH174" i="37"/>
  <c r="AH186" i="37" s="1"/>
  <c r="AK228" i="37"/>
  <c r="AC281" i="37"/>
  <c r="AK281" i="37" s="1"/>
  <c r="AE174" i="37"/>
  <c r="AE186" i="37" s="1"/>
  <c r="AE185" i="37"/>
  <c r="K255" i="37"/>
  <c r="N530" i="50"/>
  <c r="L530" i="50"/>
  <c r="AK3011" i="37"/>
  <c r="AK2866" i="37"/>
  <c r="M519" i="50"/>
  <c r="V66" i="37"/>
  <c r="N573" i="50"/>
  <c r="AB115" i="37"/>
  <c r="AA115" i="37" s="1"/>
  <c r="Z115" i="37" s="1"/>
  <c r="AC116" i="37"/>
  <c r="K573" i="50"/>
  <c r="Z91" i="37"/>
  <c r="J573" i="50"/>
  <c r="L573" i="50"/>
  <c r="AK2650" i="37"/>
  <c r="AC2660" i="37"/>
  <c r="AC2651" i="37"/>
  <c r="AG2660" i="37"/>
  <c r="AG2661" i="37" s="1"/>
  <c r="AG2663" i="37" s="1"/>
  <c r="AG2651" i="37"/>
  <c r="AG2653" i="37" s="1"/>
  <c r="AK2342" i="37"/>
  <c r="AC2395" i="37"/>
  <c r="AK2395" i="37" s="1"/>
  <c r="AC3023" i="37"/>
  <c r="AK3019" i="37"/>
  <c r="AC3020" i="37"/>
  <c r="AC3024" i="37" s="1"/>
  <c r="AF2288" i="37"/>
  <c r="AF2300" i="37" s="1"/>
  <c r="AF2299" i="37"/>
  <c r="AG2299" i="37"/>
  <c r="AG2288" i="37"/>
  <c r="AG2300" i="37" s="1"/>
  <c r="AD2901" i="37"/>
  <c r="AD2890" i="37"/>
  <c r="AC2686" i="37"/>
  <c r="AK2685" i="37"/>
  <c r="AE3020" i="37"/>
  <c r="AE3024" i="37" s="1"/>
  <c r="AE3023" i="37"/>
  <c r="AI3020" i="37"/>
  <c r="AI3024" i="37" s="1"/>
  <c r="AI3023" i="37"/>
  <c r="H365" i="50"/>
  <c r="H282" i="41"/>
  <c r="AK3005" i="37"/>
  <c r="AC2996" i="37"/>
  <c r="AC2944" i="37"/>
  <c r="AC2987" i="37"/>
  <c r="AC2952" i="37"/>
  <c r="AK2943" i="37"/>
  <c r="AH3023" i="37"/>
  <c r="AH3020" i="37"/>
  <c r="AH3024" i="37" s="1"/>
  <c r="AH2890" i="37"/>
  <c r="AH2901" i="37"/>
  <c r="AF2901" i="37"/>
  <c r="AF2890" i="37"/>
  <c r="AC2726" i="37"/>
  <c r="AC2727" i="37" s="1"/>
  <c r="AK2721" i="37"/>
  <c r="AC2386" i="37"/>
  <c r="AK2386" i="37" s="1"/>
  <c r="AK2384" i="37"/>
  <c r="AD2299" i="37"/>
  <c r="AD2288" i="37"/>
  <c r="AD2300" i="37" s="1"/>
  <c r="AK2349" i="37"/>
  <c r="AC2351" i="37"/>
  <c r="AK2351" i="37" s="1"/>
  <c r="K282" i="41"/>
  <c r="K365" i="50"/>
  <c r="J365" i="50"/>
  <c r="J282" i="41"/>
  <c r="AE2890" i="37"/>
  <c r="AE2901" i="37"/>
  <c r="AI2952" i="37"/>
  <c r="AI2996" i="37"/>
  <c r="AI2997" i="37" s="1"/>
  <c r="AI2987" i="37"/>
  <c r="AI2988" i="37" s="1"/>
  <c r="AI2990" i="37" s="1"/>
  <c r="AI2944" i="37"/>
  <c r="AI2946" i="37" s="1"/>
  <c r="AI2999" i="37" s="1"/>
  <c r="AE2299" i="37"/>
  <c r="AE2288" i="37"/>
  <c r="AE2300" i="37" s="1"/>
  <c r="AH2987" i="37"/>
  <c r="AH2988" i="37" s="1"/>
  <c r="AH2990" i="37" s="1"/>
  <c r="AH2944" i="37"/>
  <c r="AH2946" i="37" s="1"/>
  <c r="AH2999" i="37" s="1"/>
  <c r="AH2996" i="37"/>
  <c r="AH2997" i="37" s="1"/>
  <c r="AH2952" i="37"/>
  <c r="AD2932" i="37"/>
  <c r="AD2933" i="37" s="1"/>
  <c r="AD2929" i="37"/>
  <c r="AF2660" i="37"/>
  <c r="AF2661" i="37" s="1"/>
  <c r="AF2663" i="37" s="1"/>
  <c r="AF2651" i="37"/>
  <c r="AF2653" i="37" s="1"/>
  <c r="AK2599" i="37"/>
  <c r="AE2660" i="37"/>
  <c r="AE2661" i="37" s="1"/>
  <c r="AE2663" i="37" s="1"/>
  <c r="AE2651" i="37"/>
  <c r="AE2653" i="37" s="1"/>
  <c r="N365" i="50"/>
  <c r="N282" i="41"/>
  <c r="AG2932" i="37"/>
  <c r="AG2933" i="37" s="1"/>
  <c r="AG2929" i="37"/>
  <c r="AG3023" i="37"/>
  <c r="AG3020" i="37"/>
  <c r="AG3024" i="37" s="1"/>
  <c r="AH2651" i="37"/>
  <c r="AH2653" i="37" s="1"/>
  <c r="AH2660" i="37"/>
  <c r="AH2661" i="37" s="1"/>
  <c r="AH2663" i="37" s="1"/>
  <c r="AH2288" i="37"/>
  <c r="AH2300" i="37" s="1"/>
  <c r="AH2299" i="37"/>
  <c r="AC2230" i="37"/>
  <c r="AB2229" i="37"/>
  <c r="AA2229" i="37" s="1"/>
  <c r="Z2229" i="37" s="1"/>
  <c r="AC2832" i="37"/>
  <c r="AB2831" i="37"/>
  <c r="AA2831" i="37" s="1"/>
  <c r="Z2831" i="37" s="1"/>
  <c r="AK2831" i="37"/>
  <c r="AF2600" i="37"/>
  <c r="AF2589" i="37"/>
  <c r="AK2298" i="37"/>
  <c r="D265" i="34"/>
  <c r="O265" i="34"/>
  <c r="R265" i="34" s="1"/>
  <c r="C266" i="34"/>
  <c r="AK2694" i="37"/>
  <c r="AC2695" i="37"/>
  <c r="AK2695" i="37" s="1"/>
  <c r="AC2589" i="37"/>
  <c r="AC2600" i="37"/>
  <c r="AK2588" i="37"/>
  <c r="AC2359" i="37"/>
  <c r="AK2358" i="37"/>
  <c r="AE2929" i="37"/>
  <c r="AE2932" i="37"/>
  <c r="AE2933" i="37" s="1"/>
  <c r="AI2932" i="37"/>
  <c r="AI2933" i="37" s="1"/>
  <c r="AI2929" i="37"/>
  <c r="AH2589" i="37"/>
  <c r="AH2600" i="37"/>
  <c r="AC2531" i="37"/>
  <c r="AB2530" i="37"/>
  <c r="AA2530" i="37" s="1"/>
  <c r="Z2530" i="37" s="1"/>
  <c r="AD2660" i="37"/>
  <c r="AD2661" i="37" s="1"/>
  <c r="AD2663" i="37" s="1"/>
  <c r="AD2651" i="37"/>
  <c r="AD2653" i="37" s="1"/>
  <c r="AE2600" i="37"/>
  <c r="AE2589" i="37"/>
  <c r="I282" i="41"/>
  <c r="I365" i="50"/>
  <c r="AK2874" i="37"/>
  <c r="AC2875" i="37"/>
  <c r="AK2875" i="37" s="1"/>
  <c r="AK2924" i="37"/>
  <c r="AC2925" i="37"/>
  <c r="AH2929" i="37"/>
  <c r="AH2932" i="37"/>
  <c r="AH2933" i="37" s="1"/>
  <c r="AF2996" i="37"/>
  <c r="AF2997" i="37" s="1"/>
  <c r="AF2944" i="37"/>
  <c r="AF2946" i="37" s="1"/>
  <c r="AF2999" i="37" s="1"/>
  <c r="AF2952" i="37"/>
  <c r="AF2987" i="37"/>
  <c r="AF2988" i="37" s="1"/>
  <c r="AF2990" i="37" s="1"/>
  <c r="AF3020" i="37"/>
  <c r="AF3024" i="37" s="1"/>
  <c r="AF3023" i="37"/>
  <c r="AC2631" i="37"/>
  <c r="AK2630" i="37"/>
  <c r="M365" i="50"/>
  <c r="M282" i="41"/>
  <c r="L2455" i="50"/>
  <c r="L2539" i="50" s="1"/>
  <c r="M2439" i="50"/>
  <c r="M2440" i="50" s="1"/>
  <c r="M2448" i="50" s="1"/>
  <c r="M2449" i="50" s="1"/>
  <c r="M844" i="42" s="1"/>
  <c r="AK2642" i="37"/>
  <c r="AC2644" i="37"/>
  <c r="AI2651" i="37"/>
  <c r="AI2653" i="37" s="1"/>
  <c r="AI2660" i="37"/>
  <c r="AI2661" i="37" s="1"/>
  <c r="AI2663" i="37" s="1"/>
  <c r="AG2996" i="37"/>
  <c r="AG2997" i="37" s="1"/>
  <c r="AG2987" i="37"/>
  <c r="AG2988" i="37" s="1"/>
  <c r="AG2990" i="37" s="1"/>
  <c r="AG2952" i="37"/>
  <c r="AG2944" i="37"/>
  <c r="AG2946" i="37" s="1"/>
  <c r="AG2999" i="37" s="1"/>
  <c r="AG2890" i="37"/>
  <c r="AG2901" i="37"/>
  <c r="AE2952" i="37"/>
  <c r="AE2944" i="37"/>
  <c r="AE2946" i="37" s="1"/>
  <c r="AE2999" i="37" s="1"/>
  <c r="AE2987" i="37"/>
  <c r="AE2988" i="37" s="1"/>
  <c r="AE2990" i="37" s="1"/>
  <c r="AE2996" i="37"/>
  <c r="AE2997" i="37" s="1"/>
  <c r="AI2901" i="37"/>
  <c r="AI2890" i="37"/>
  <c r="AG2600" i="37"/>
  <c r="AG2589" i="37"/>
  <c r="AD2600" i="37"/>
  <c r="AD2589" i="37"/>
  <c r="L365" i="50"/>
  <c r="L282" i="41"/>
  <c r="AC2932" i="37"/>
  <c r="AK2928" i="37"/>
  <c r="AC2929" i="37"/>
  <c r="AC2890" i="37"/>
  <c r="AC2901" i="37"/>
  <c r="AK2889" i="37"/>
  <c r="AK2915" i="37"/>
  <c r="AC2299" i="37"/>
  <c r="AC2288" i="37"/>
  <c r="AK2287" i="37"/>
  <c r="AD3023" i="37"/>
  <c r="AD3020" i="37"/>
  <c r="AD3024" i="37" s="1"/>
  <c r="AD2996" i="37"/>
  <c r="AD2997" i="37" s="1"/>
  <c r="AD2952" i="37"/>
  <c r="AD2944" i="37"/>
  <c r="AD2946" i="37" s="1"/>
  <c r="AD2999" i="37" s="1"/>
  <c r="AD2987" i="37"/>
  <c r="AD2988" i="37" s="1"/>
  <c r="AD2990" i="37" s="1"/>
  <c r="AF2929" i="37"/>
  <c r="AF2932" i="37"/>
  <c r="AF2933" i="37" s="1"/>
  <c r="AK2627" i="37"/>
  <c r="AI2600" i="37"/>
  <c r="AI2589" i="37"/>
  <c r="AI2299" i="37"/>
  <c r="AI2288" i="37"/>
  <c r="AI2300" i="37" s="1"/>
  <c r="AC1628" i="37"/>
  <c r="AB1627" i="37"/>
  <c r="AC1024" i="37"/>
  <c r="AB1023" i="37"/>
  <c r="AA1023" i="37" s="1"/>
  <c r="Z1023" i="37" s="1"/>
  <c r="AC420" i="37"/>
  <c r="AB419" i="37"/>
  <c r="AA720" i="37"/>
  <c r="Z720" i="37" s="1"/>
  <c r="AC722" i="37"/>
  <c r="AB721" i="37"/>
  <c r="AA721" i="37" s="1"/>
  <c r="Z721" i="37" s="1"/>
  <c r="AA1928" i="37"/>
  <c r="Z1928" i="37" s="1"/>
  <c r="AC1930" i="37"/>
  <c r="AB1929" i="37"/>
  <c r="AA1929" i="37" s="1"/>
  <c r="Z1929" i="37" s="1"/>
  <c r="AC1326" i="37"/>
  <c r="AB1325" i="37"/>
  <c r="AA1325" i="37" s="1"/>
  <c r="Z1325" i="37" s="1"/>
  <c r="G958" i="42"/>
  <c r="G963" i="42"/>
  <c r="G960" i="42"/>
  <c r="G961" i="42"/>
  <c r="G957" i="42"/>
  <c r="G962" i="42"/>
  <c r="G959" i="42"/>
  <c r="N1996" i="50" l="1"/>
  <c r="N1832" i="50"/>
  <c r="N1668" i="50"/>
  <c r="N1176" i="50"/>
  <c r="N1504" i="50"/>
  <c r="N1340" i="50"/>
  <c r="N1012" i="50"/>
  <c r="N684" i="50"/>
  <c r="N848" i="50"/>
  <c r="K2007" i="50"/>
  <c r="K1679" i="50"/>
  <c r="K1843" i="50"/>
  <c r="K1515" i="50"/>
  <c r="K1351" i="50"/>
  <c r="K1187" i="50"/>
  <c r="K1023" i="50"/>
  <c r="K695" i="50"/>
  <c r="K859" i="50"/>
  <c r="L1843" i="50"/>
  <c r="L1515" i="50"/>
  <c r="L2007" i="50"/>
  <c r="L1679" i="50"/>
  <c r="L1351" i="50"/>
  <c r="L1187" i="50"/>
  <c r="L1023" i="50"/>
  <c r="L859" i="50"/>
  <c r="L695" i="50"/>
  <c r="L1886" i="50"/>
  <c r="L1722" i="50"/>
  <c r="L1558" i="50"/>
  <c r="L2050" i="50"/>
  <c r="L1394" i="50"/>
  <c r="L1230" i="50"/>
  <c r="L902" i="50"/>
  <c r="L738" i="50"/>
  <c r="L1066" i="50"/>
  <c r="M2007" i="50"/>
  <c r="M1679" i="50"/>
  <c r="M1843" i="50"/>
  <c r="M1515" i="50"/>
  <c r="M1351" i="50"/>
  <c r="M1187" i="50"/>
  <c r="M695" i="50"/>
  <c r="M1023" i="50"/>
  <c r="M859" i="50"/>
  <c r="M1722" i="50"/>
  <c r="M1558" i="50"/>
  <c r="M2050" i="50"/>
  <c r="M1886" i="50"/>
  <c r="M1394" i="50"/>
  <c r="M1230" i="50"/>
  <c r="M1066" i="50"/>
  <c r="M902" i="50"/>
  <c r="M738" i="50"/>
  <c r="N2007" i="50"/>
  <c r="N1679" i="50"/>
  <c r="N1843" i="50"/>
  <c r="N1023" i="50"/>
  <c r="N1515" i="50"/>
  <c r="N695" i="50"/>
  <c r="N859" i="50"/>
  <c r="N1187" i="50"/>
  <c r="N1351" i="50"/>
  <c r="N574" i="50"/>
  <c r="N2050" i="50"/>
  <c r="N1886" i="50"/>
  <c r="N1722" i="50"/>
  <c r="N1558" i="50"/>
  <c r="N1230" i="50"/>
  <c r="N902" i="50"/>
  <c r="N738" i="50"/>
  <c r="N1066" i="50"/>
  <c r="N1394" i="50"/>
  <c r="J2050" i="50"/>
  <c r="J1886" i="50"/>
  <c r="J1722" i="50"/>
  <c r="J1558" i="50"/>
  <c r="J1230" i="50"/>
  <c r="J1394" i="50"/>
  <c r="J1066" i="50"/>
  <c r="J902" i="50"/>
  <c r="J738" i="50"/>
  <c r="M1996" i="50"/>
  <c r="M1832" i="50"/>
  <c r="M1668" i="50"/>
  <c r="M1012" i="50"/>
  <c r="M848" i="50"/>
  <c r="M684" i="50"/>
  <c r="M1340" i="50"/>
  <c r="M1504" i="50"/>
  <c r="M1176" i="50"/>
  <c r="J1996" i="50"/>
  <c r="J1832" i="50"/>
  <c r="J1668" i="50"/>
  <c r="J1176" i="50"/>
  <c r="J1504" i="50"/>
  <c r="J1340" i="50"/>
  <c r="J1012" i="50"/>
  <c r="J848" i="50"/>
  <c r="J684" i="50"/>
  <c r="K1832" i="50"/>
  <c r="K1668" i="50"/>
  <c r="K1996" i="50"/>
  <c r="K1012" i="50"/>
  <c r="K1504" i="50"/>
  <c r="K1340" i="50"/>
  <c r="K1176" i="50"/>
  <c r="K848" i="50"/>
  <c r="K684" i="50"/>
  <c r="J2007" i="50"/>
  <c r="J1679" i="50"/>
  <c r="J1843" i="50"/>
  <c r="J1023" i="50"/>
  <c r="J1515" i="50"/>
  <c r="J1351" i="50"/>
  <c r="J1187" i="50"/>
  <c r="J695" i="50"/>
  <c r="J859" i="50"/>
  <c r="J1651" i="50"/>
  <c r="J1815" i="50"/>
  <c r="J1323" i="50"/>
  <c r="J1487" i="50"/>
  <c r="J995" i="50"/>
  <c r="J1159" i="50"/>
  <c r="J667" i="50"/>
  <c r="J831" i="50"/>
  <c r="J503" i="50"/>
  <c r="J509" i="50" s="1"/>
  <c r="M531" i="50"/>
  <c r="J574" i="50"/>
  <c r="M520" i="50"/>
  <c r="M846" i="42"/>
  <c r="M847" i="42" s="1"/>
  <c r="M2454" i="50" s="1"/>
  <c r="N2439" i="50" s="1"/>
  <c r="N2440" i="50" s="1"/>
  <c r="N2448" i="50" s="1"/>
  <c r="N2449" i="50" s="1"/>
  <c r="N844" i="42" s="1"/>
  <c r="Y847" i="42"/>
  <c r="AK2901" i="37"/>
  <c r="N531" i="50"/>
  <c r="N92" i="37"/>
  <c r="AC117" i="37"/>
  <c r="AB116" i="37"/>
  <c r="AA116" i="37" s="1"/>
  <c r="Z116" i="37" s="1"/>
  <c r="J520" i="50"/>
  <c r="J67" i="37"/>
  <c r="V68" i="37" s="1"/>
  <c r="J68" i="37" s="1"/>
  <c r="J521" i="50" s="1"/>
  <c r="AK185" i="37"/>
  <c r="K520" i="50"/>
  <c r="K67" i="37"/>
  <c r="W68" i="37" s="1"/>
  <c r="K68" i="37" s="1"/>
  <c r="K521" i="50" s="1"/>
  <c r="N520" i="50"/>
  <c r="N67" i="37"/>
  <c r="Z68" i="37" s="1"/>
  <c r="N68" i="37" s="1"/>
  <c r="N521" i="50" s="1"/>
  <c r="AK174" i="37"/>
  <c r="AC186" i="37"/>
  <c r="AK186" i="37" s="1"/>
  <c r="J528" i="50"/>
  <c r="J537" i="50" s="1"/>
  <c r="J514" i="50"/>
  <c r="J570" i="50"/>
  <c r="J579" i="50" s="1"/>
  <c r="J556" i="50"/>
  <c r="J497" i="50"/>
  <c r="J510" i="50" s="1"/>
  <c r="J511" i="50" s="1"/>
  <c r="J41" i="37" s="1"/>
  <c r="J542" i="50"/>
  <c r="AK245" i="37"/>
  <c r="AC247" i="37"/>
  <c r="AK247" i="37" s="1"/>
  <c r="K531" i="50"/>
  <c r="K92" i="37"/>
  <c r="AK2932" i="37"/>
  <c r="AC2933" i="37"/>
  <c r="AE2953" i="37"/>
  <c r="AE2955" i="37" s="1"/>
  <c r="AE2962" i="37"/>
  <c r="AE2963" i="37" s="1"/>
  <c r="AE2965" i="37" s="1"/>
  <c r="AG2962" i="37"/>
  <c r="AG2963" i="37" s="1"/>
  <c r="AG2965" i="37" s="1"/>
  <c r="AG2953" i="37"/>
  <c r="AG2955" i="37" s="1"/>
  <c r="AB2230" i="37"/>
  <c r="AA2230" i="37" s="1"/>
  <c r="Z2230" i="37" s="1"/>
  <c r="AC2231" i="37"/>
  <c r="AC3028" i="37"/>
  <c r="AC3029" i="37" s="1"/>
  <c r="AK3023" i="37"/>
  <c r="AD2953" i="37"/>
  <c r="AD2955" i="37" s="1"/>
  <c r="AD2962" i="37"/>
  <c r="AD2963" i="37" s="1"/>
  <c r="AD2965" i="37" s="1"/>
  <c r="AK2299" i="37"/>
  <c r="AK2890" i="37"/>
  <c r="AC2891" i="37"/>
  <c r="AC2902" i="37"/>
  <c r="L374" i="50"/>
  <c r="L302" i="41"/>
  <c r="AG2590" i="37"/>
  <c r="AG2602" i="37" s="1"/>
  <c r="AG2601" i="37"/>
  <c r="AC2697" i="37"/>
  <c r="AK2697" i="37" s="1"/>
  <c r="AK2644" i="37"/>
  <c r="AF2953" i="37"/>
  <c r="AF2955" i="37" s="1"/>
  <c r="AF2962" i="37"/>
  <c r="AF2963" i="37" s="1"/>
  <c r="AF2965" i="37" s="1"/>
  <c r="I374" i="50"/>
  <c r="I302" i="41"/>
  <c r="AH2590" i="37"/>
  <c r="AH2602" i="37" s="1"/>
  <c r="AH2601" i="37"/>
  <c r="AK2600" i="37"/>
  <c r="N374" i="50"/>
  <c r="N302" i="41"/>
  <c r="AE2891" i="37"/>
  <c r="AE2902" i="37"/>
  <c r="K374" i="50"/>
  <c r="K302" i="41"/>
  <c r="AH2891" i="37"/>
  <c r="AH2902" i="37"/>
  <c r="AK2996" i="37"/>
  <c r="AC2997" i="37"/>
  <c r="AK2997" i="37" s="1"/>
  <c r="AK2651" i="37"/>
  <c r="AC2653" i="37"/>
  <c r="AK2653" i="37" s="1"/>
  <c r="AK2288" i="37"/>
  <c r="AC2300" i="37"/>
  <c r="AK2300" i="37" s="1"/>
  <c r="AK2944" i="37"/>
  <c r="AC2946" i="37"/>
  <c r="AI2601" i="37"/>
  <c r="AI2590" i="37"/>
  <c r="AI2602" i="37" s="1"/>
  <c r="AK2929" i="37"/>
  <c r="AG2891" i="37"/>
  <c r="AG2902" i="37"/>
  <c r="M374" i="50"/>
  <c r="M302" i="41"/>
  <c r="AE2601" i="37"/>
  <c r="AE2590" i="37"/>
  <c r="AE2602" i="37" s="1"/>
  <c r="AC2590" i="37"/>
  <c r="AK2589" i="37"/>
  <c r="AC2601" i="37"/>
  <c r="C267" i="34"/>
  <c r="O266" i="34"/>
  <c r="R266" i="34" s="1"/>
  <c r="D266" i="34"/>
  <c r="AF2601" i="37"/>
  <c r="AF2590" i="37"/>
  <c r="AF2602" i="37" s="1"/>
  <c r="AC2833" i="37"/>
  <c r="AB2832" i="37"/>
  <c r="AA2832" i="37" s="1"/>
  <c r="Z2832" i="37" s="1"/>
  <c r="AH2953" i="37"/>
  <c r="AH2955" i="37" s="1"/>
  <c r="AH2962" i="37"/>
  <c r="AH2963" i="37" s="1"/>
  <c r="AH2965" i="37" s="1"/>
  <c r="J302" i="41"/>
  <c r="J374" i="50"/>
  <c r="AF2891" i="37"/>
  <c r="AF2902" i="37"/>
  <c r="AC2953" i="37"/>
  <c r="AK2952" i="37"/>
  <c r="AC2962" i="37"/>
  <c r="AK2686" i="37"/>
  <c r="AC2688" i="37"/>
  <c r="AK2688" i="37" s="1"/>
  <c r="AC2661" i="37"/>
  <c r="AK2660" i="37"/>
  <c r="L2582" i="50"/>
  <c r="AD2590" i="37"/>
  <c r="AD2602" i="37" s="1"/>
  <c r="AD2601" i="37"/>
  <c r="AI2902" i="37"/>
  <c r="AI2891" i="37"/>
  <c r="M2455" i="50"/>
  <c r="M2539" i="50" s="1"/>
  <c r="AC2532" i="37"/>
  <c r="AB2531" i="37"/>
  <c r="AA2531" i="37" s="1"/>
  <c r="Z2531" i="37" s="1"/>
  <c r="AK2359" i="37"/>
  <c r="AC2361" i="37"/>
  <c r="AK2361" i="37" s="1"/>
  <c r="AI2962" i="37"/>
  <c r="AI2963" i="37" s="1"/>
  <c r="AI2965" i="37" s="1"/>
  <c r="AI2953" i="37"/>
  <c r="AI2955" i="37" s="1"/>
  <c r="AC2988" i="37"/>
  <c r="AK2987" i="37"/>
  <c r="H374" i="50"/>
  <c r="H302" i="41"/>
  <c r="AD2902" i="37"/>
  <c r="AD2891" i="37"/>
  <c r="AC723" i="37"/>
  <c r="AB722" i="37"/>
  <c r="AA722" i="37" s="1"/>
  <c r="Z722" i="37" s="1"/>
  <c r="AA419" i="37"/>
  <c r="Z419" i="37" s="1"/>
  <c r="AC1931" i="37"/>
  <c r="AB1930" i="37"/>
  <c r="AA1930" i="37" s="1"/>
  <c r="Z1930" i="37" s="1"/>
  <c r="AC421" i="37"/>
  <c r="AB420" i="37"/>
  <c r="AA420" i="37" s="1"/>
  <c r="Z420" i="37" s="1"/>
  <c r="AC1025" i="37"/>
  <c r="AB1024" i="37"/>
  <c r="AA1627" i="37"/>
  <c r="Z1627" i="37" s="1"/>
  <c r="G964" i="42"/>
  <c r="AC1327" i="37"/>
  <c r="AB1326" i="37"/>
  <c r="AA1326" i="37" s="1"/>
  <c r="Z1326" i="37" s="1"/>
  <c r="AC1629" i="37"/>
  <c r="AB1628" i="37"/>
  <c r="AA1628" i="37" s="1"/>
  <c r="Z1628" i="37" s="1"/>
  <c r="J523" i="50" l="1"/>
  <c r="J524" i="50" s="1"/>
  <c r="J525" i="50" s="1"/>
  <c r="J71" i="37" s="1"/>
  <c r="AK2902" i="37"/>
  <c r="J580" i="50"/>
  <c r="J581" i="50" s="1"/>
  <c r="J259" i="37" s="1"/>
  <c r="AC118" i="37"/>
  <c r="AB117" i="37"/>
  <c r="AA117" i="37" s="1"/>
  <c r="Z117" i="37" s="1"/>
  <c r="J43" i="37"/>
  <c r="V44" i="37"/>
  <c r="J538" i="50"/>
  <c r="J539" i="50" s="1"/>
  <c r="J96" i="37" s="1"/>
  <c r="AD2892" i="37"/>
  <c r="AD2904" i="37" s="1"/>
  <c r="AD2903" i="37"/>
  <c r="AK2962" i="37"/>
  <c r="AC2963" i="37"/>
  <c r="AF2903" i="37"/>
  <c r="AF2892" i="37"/>
  <c r="AF2904" i="37" s="1"/>
  <c r="AK2601" i="37"/>
  <c r="AG2903" i="37"/>
  <c r="AG2892" i="37"/>
  <c r="AG2904" i="37" s="1"/>
  <c r="N846" i="42"/>
  <c r="N847" i="42" s="1"/>
  <c r="N2454" i="50" s="1"/>
  <c r="N2455" i="50" s="1"/>
  <c r="V2455" i="50" s="1"/>
  <c r="Z847" i="42"/>
  <c r="AK2661" i="37"/>
  <c r="AC2663" i="37"/>
  <c r="AK2663" i="37" s="1"/>
  <c r="AC2999" i="37"/>
  <c r="AK2999" i="37" s="1"/>
  <c r="AK2946" i="37"/>
  <c r="AC2892" i="37"/>
  <c r="AK2891" i="37"/>
  <c r="AC2903" i="37"/>
  <c r="AC2602" i="37"/>
  <c r="AK2602" i="37" s="1"/>
  <c r="AK2590" i="37"/>
  <c r="L391" i="50"/>
  <c r="L351" i="41"/>
  <c r="M2582" i="50"/>
  <c r="AC2232" i="37"/>
  <c r="AB2231" i="37"/>
  <c r="AA2231" i="37" s="1"/>
  <c r="Z2231" i="37" s="1"/>
  <c r="AK2988" i="37"/>
  <c r="AC2990" i="37"/>
  <c r="AK2990" i="37" s="1"/>
  <c r="M351" i="41"/>
  <c r="M391" i="50"/>
  <c r="I351" i="41"/>
  <c r="I391" i="50"/>
  <c r="H351" i="41"/>
  <c r="H391" i="50"/>
  <c r="AI2892" i="37"/>
  <c r="AI2904" i="37" s="1"/>
  <c r="AI2903" i="37"/>
  <c r="AK2953" i="37"/>
  <c r="AC2955" i="37"/>
  <c r="AK2955" i="37" s="1"/>
  <c r="J351" i="41"/>
  <c r="J391" i="50"/>
  <c r="AB2833" i="37"/>
  <c r="AA2833" i="37" s="1"/>
  <c r="Z2833" i="37" s="1"/>
  <c r="AC2834" i="37"/>
  <c r="AH2903" i="37"/>
  <c r="AH2892" i="37"/>
  <c r="AH2904" i="37" s="1"/>
  <c r="AE2903" i="37"/>
  <c r="AE2892" i="37"/>
  <c r="AE2904" i="37" s="1"/>
  <c r="AC2533" i="37"/>
  <c r="AB2532" i="37"/>
  <c r="AA2532" i="37" s="1"/>
  <c r="Z2532" i="37" s="1"/>
  <c r="C268" i="34"/>
  <c r="D267" i="34"/>
  <c r="O267" i="34"/>
  <c r="R267" i="34" s="1"/>
  <c r="K351" i="41"/>
  <c r="K391" i="50"/>
  <c r="N391" i="50"/>
  <c r="N351" i="41"/>
  <c r="AC1328" i="37"/>
  <c r="AB1327" i="37"/>
  <c r="AA1327" i="37" s="1"/>
  <c r="Z1327" i="37" s="1"/>
  <c r="AC422" i="37"/>
  <c r="AB421" i="37"/>
  <c r="AA421" i="37" s="1"/>
  <c r="Z421" i="37" s="1"/>
  <c r="AC1630" i="37"/>
  <c r="AB1629" i="37"/>
  <c r="AA1629" i="37" s="1"/>
  <c r="Z1629" i="37" s="1"/>
  <c r="AC1026" i="37"/>
  <c r="AB1025" i="37"/>
  <c r="AA1025" i="37" s="1"/>
  <c r="Z1025" i="37" s="1"/>
  <c r="AA1024" i="37"/>
  <c r="Z1024" i="37" s="1"/>
  <c r="AC1932" i="37"/>
  <c r="AB1931" i="37"/>
  <c r="AA1931" i="37" s="1"/>
  <c r="Z1931" i="37" s="1"/>
  <c r="AC724" i="37"/>
  <c r="AB723" i="37"/>
  <c r="J73" i="37" l="1"/>
  <c r="J74" i="37" s="1"/>
  <c r="V74" i="37"/>
  <c r="W37" i="37"/>
  <c r="K1978" i="50" s="1"/>
  <c r="J44" i="37"/>
  <c r="J261" i="37"/>
  <c r="J262" i="37"/>
  <c r="J98" i="37"/>
  <c r="J99" i="37" s="1"/>
  <c r="V99" i="37"/>
  <c r="AC119" i="37"/>
  <c r="AB118" i="37"/>
  <c r="AA118" i="37" s="1"/>
  <c r="Z118" i="37" s="1"/>
  <c r="N435" i="50"/>
  <c r="N352" i="41"/>
  <c r="N436" i="50" s="1"/>
  <c r="AC2534" i="37"/>
  <c r="AB2533" i="37"/>
  <c r="AA2533" i="37" s="1"/>
  <c r="Z2533" i="37" s="1"/>
  <c r="J352" i="41"/>
  <c r="J436" i="50" s="1"/>
  <c r="J435" i="50"/>
  <c r="I435" i="50"/>
  <c r="I352" i="41"/>
  <c r="I436" i="50" s="1"/>
  <c r="AC2233" i="37"/>
  <c r="AB2232" i="37"/>
  <c r="AA2232" i="37" s="1"/>
  <c r="Z2232" i="37" s="1"/>
  <c r="L435" i="50"/>
  <c r="L352" i="41"/>
  <c r="L436" i="50" s="1"/>
  <c r="AK2903" i="37"/>
  <c r="N2539" i="50"/>
  <c r="U2455" i="50"/>
  <c r="AB2834" i="37"/>
  <c r="AA2834" i="37" s="1"/>
  <c r="Z2834" i="37" s="1"/>
  <c r="AC2835" i="37"/>
  <c r="C269" i="34"/>
  <c r="O268" i="34"/>
  <c r="R268" i="34" s="1"/>
  <c r="D268" i="34"/>
  <c r="H435" i="50"/>
  <c r="H352" i="41"/>
  <c r="H436" i="50" s="1"/>
  <c r="K435" i="50"/>
  <c r="K352" i="41"/>
  <c r="K436" i="50" s="1"/>
  <c r="M352" i="41"/>
  <c r="M436" i="50" s="1"/>
  <c r="M435" i="50"/>
  <c r="AK2892" i="37"/>
  <c r="AC2904" i="37"/>
  <c r="AK2904" i="37" s="1"/>
  <c r="AK2963" i="37"/>
  <c r="AC2965" i="37"/>
  <c r="AK2965" i="37" s="1"/>
  <c r="AB724" i="37"/>
  <c r="AA724" i="37" s="1"/>
  <c r="Z724" i="37" s="1"/>
  <c r="AC725" i="37"/>
  <c r="AB1932" i="37"/>
  <c r="AA1932" i="37" s="1"/>
  <c r="Z1932" i="37" s="1"/>
  <c r="AC1933" i="37"/>
  <c r="AA723" i="37"/>
  <c r="Z723" i="37" s="1"/>
  <c r="AC1631" i="37"/>
  <c r="AB1630" i="37"/>
  <c r="AA1630" i="37" s="1"/>
  <c r="Z1630" i="37" s="1"/>
  <c r="AC423" i="37"/>
  <c r="AB422" i="37"/>
  <c r="AB1026" i="37"/>
  <c r="AC1027" i="37"/>
  <c r="AB1328" i="37"/>
  <c r="AA1328" i="37" s="1"/>
  <c r="Z1328" i="37" s="1"/>
  <c r="AC1329" i="37"/>
  <c r="K1650" i="50" l="1"/>
  <c r="K1814" i="50"/>
  <c r="K1322" i="50"/>
  <c r="K1486" i="50"/>
  <c r="K994" i="50"/>
  <c r="K1158" i="50"/>
  <c r="K666" i="50"/>
  <c r="K830" i="50"/>
  <c r="K502" i="50"/>
  <c r="K37" i="37"/>
  <c r="W38" i="37" s="1"/>
  <c r="K38" i="37" s="1"/>
  <c r="K1979" i="50" s="1"/>
  <c r="J587" i="50"/>
  <c r="J588" i="50"/>
  <c r="AB119" i="37"/>
  <c r="AA119" i="37" s="1"/>
  <c r="Z119" i="37" s="1"/>
  <c r="AC120" i="37"/>
  <c r="J590" i="50"/>
  <c r="J586" i="50"/>
  <c r="C270" i="34"/>
  <c r="O269" i="34"/>
  <c r="R269" i="34" s="1"/>
  <c r="D269" i="34"/>
  <c r="N2582" i="50"/>
  <c r="AC2234" i="37"/>
  <c r="AB2233" i="37"/>
  <c r="AA2233" i="37" s="1"/>
  <c r="Z2233" i="37" s="1"/>
  <c r="AC2836" i="37"/>
  <c r="AB2835" i="37"/>
  <c r="AA2835" i="37" s="1"/>
  <c r="Z2835" i="37" s="1"/>
  <c r="AB2534" i="37"/>
  <c r="AA2534" i="37" s="1"/>
  <c r="Z2534" i="37" s="1"/>
  <c r="AC2535" i="37"/>
  <c r="AA1026" i="37"/>
  <c r="Z1026" i="37" s="1"/>
  <c r="AB423" i="37"/>
  <c r="AA423" i="37" s="1"/>
  <c r="Z423" i="37" s="1"/>
  <c r="AC424" i="37"/>
  <c r="AB424" i="37" s="1"/>
  <c r="AA424" i="37" s="1"/>
  <c r="Z424" i="37" s="1"/>
  <c r="AC1632" i="37"/>
  <c r="AB1632" i="37" s="1"/>
  <c r="AB1631" i="37"/>
  <c r="AA1631" i="37" s="1"/>
  <c r="Z1631" i="37" s="1"/>
  <c r="AB1329" i="37"/>
  <c r="AA1329" i="37" s="1"/>
  <c r="Z1329" i="37" s="1"/>
  <c r="AC1330" i="37"/>
  <c r="AB1330" i="37" s="1"/>
  <c r="AB725" i="37"/>
  <c r="AA725" i="37" s="1"/>
  <c r="Z725" i="37" s="1"/>
  <c r="AC726" i="37"/>
  <c r="AB726" i="37" s="1"/>
  <c r="AC1934" i="37"/>
  <c r="AB1934" i="37" s="1"/>
  <c r="AB1933" i="37"/>
  <c r="AA1933" i="37" s="1"/>
  <c r="Z1933" i="37" s="1"/>
  <c r="AB1027" i="37"/>
  <c r="AA1027" i="37" s="1"/>
  <c r="Z1027" i="37" s="1"/>
  <c r="AC1028" i="37"/>
  <c r="AB1028" i="37" s="1"/>
  <c r="AA1028" i="37" s="1"/>
  <c r="Z1028" i="37" s="1"/>
  <c r="AA422" i="37"/>
  <c r="Z422" i="37" s="1"/>
  <c r="K1651" i="50" l="1"/>
  <c r="K1815" i="50"/>
  <c r="K1323" i="50"/>
  <c r="K1487" i="50"/>
  <c r="K995" i="50"/>
  <c r="K1159" i="50"/>
  <c r="K667" i="50"/>
  <c r="K831" i="50"/>
  <c r="K503" i="50"/>
  <c r="K507" i="50"/>
  <c r="K560" i="50"/>
  <c r="K577" i="50"/>
  <c r="K549" i="50"/>
  <c r="K535" i="50"/>
  <c r="K495" i="50"/>
  <c r="AB120" i="37"/>
  <c r="AA120" i="37" s="1"/>
  <c r="Z120" i="37" s="1"/>
  <c r="AC121" i="37"/>
  <c r="K492" i="50"/>
  <c r="K571" i="50"/>
  <c r="K543" i="50"/>
  <c r="K504" i="50"/>
  <c r="K515" i="50"/>
  <c r="K557" i="50"/>
  <c r="K491" i="50"/>
  <c r="K556" i="50"/>
  <c r="K514" i="50"/>
  <c r="K570" i="50"/>
  <c r="K528" i="50"/>
  <c r="K542" i="50"/>
  <c r="J592" i="50"/>
  <c r="K493" i="50"/>
  <c r="K558" i="50"/>
  <c r="K516" i="50"/>
  <c r="K533" i="50"/>
  <c r="K544" i="50"/>
  <c r="K505" i="50"/>
  <c r="AB2836" i="37"/>
  <c r="AA2836" i="37" s="1"/>
  <c r="Z2836" i="37" s="1"/>
  <c r="AC2837" i="37"/>
  <c r="AC2536" i="37"/>
  <c r="AB2535" i="37"/>
  <c r="AA2535" i="37" s="1"/>
  <c r="Z2535" i="37" s="1"/>
  <c r="AB2234" i="37"/>
  <c r="AA2234" i="37" s="1"/>
  <c r="Z2234" i="37" s="1"/>
  <c r="AC2235" i="37"/>
  <c r="C271" i="34"/>
  <c r="D270" i="34"/>
  <c r="O270" i="34"/>
  <c r="R270" i="34" s="1"/>
  <c r="AA726" i="37"/>
  <c r="Z726" i="37" s="1"/>
  <c r="AB727" i="37"/>
  <c r="AB425" i="37"/>
  <c r="AB1029" i="37"/>
  <c r="AA1330" i="37"/>
  <c r="Z1330" i="37" s="1"/>
  <c r="AB1331" i="37"/>
  <c r="AA1934" i="37"/>
  <c r="Z1934" i="37" s="1"/>
  <c r="AB1935" i="37"/>
  <c r="AA1632" i="37"/>
  <c r="Z1632" i="37" s="1"/>
  <c r="AB1633" i="37"/>
  <c r="J2529" i="50" l="1"/>
  <c r="J2572" i="50" s="1"/>
  <c r="J2530" i="50"/>
  <c r="J2573" i="50" s="1"/>
  <c r="J2527" i="50"/>
  <c r="J2570" i="50" s="1"/>
  <c r="J2532" i="50"/>
  <c r="J2575" i="50" s="1"/>
  <c r="J2531" i="50"/>
  <c r="J2574" i="50" s="1"/>
  <c r="J2528" i="50"/>
  <c r="J2571" i="50" s="1"/>
  <c r="J2526" i="50"/>
  <c r="J2569" i="50" s="1"/>
  <c r="J2525" i="50"/>
  <c r="J2568" i="50" s="1"/>
  <c r="J2533" i="50"/>
  <c r="J2576" i="50" s="1"/>
  <c r="K523" i="50"/>
  <c r="K579" i="50"/>
  <c r="K537" i="50"/>
  <c r="K497" i="50"/>
  <c r="AB121" i="37"/>
  <c r="AC122" i="37"/>
  <c r="AB122" i="37" s="1"/>
  <c r="AA122" i="37" s="1"/>
  <c r="Z122" i="37" s="1"/>
  <c r="J2524" i="50"/>
  <c r="K509" i="50"/>
  <c r="K510" i="50" s="1"/>
  <c r="K511" i="50" s="1"/>
  <c r="K41" i="37" s="1"/>
  <c r="D271" i="34"/>
  <c r="O271" i="34"/>
  <c r="R271" i="34" s="1"/>
  <c r="C272" i="34"/>
  <c r="AC2537" i="37"/>
  <c r="AB2536" i="37"/>
  <c r="AC2236" i="37"/>
  <c r="AB2236" i="37" s="1"/>
  <c r="AA2236" i="37" s="1"/>
  <c r="Z2236" i="37" s="1"/>
  <c r="AB2235" i="37"/>
  <c r="AB2837" i="37"/>
  <c r="AC2838" i="37"/>
  <c r="K580" i="50" l="1"/>
  <c r="K581" i="50" s="1"/>
  <c r="K259" i="37" s="1"/>
  <c r="K261" i="37" s="1"/>
  <c r="K524" i="50"/>
  <c r="K525" i="50" s="1"/>
  <c r="K71" i="37" s="1"/>
  <c r="AA121" i="37"/>
  <c r="Z121" i="37" s="1"/>
  <c r="AB123" i="37"/>
  <c r="J2567" i="50"/>
  <c r="J2584" i="50" s="1"/>
  <c r="J2541" i="50"/>
  <c r="K43" i="37"/>
  <c r="W44" i="37"/>
  <c r="K538" i="50"/>
  <c r="K539" i="50" s="1"/>
  <c r="K96" i="37" s="1"/>
  <c r="AC2839" i="37"/>
  <c r="AB2838" i="37"/>
  <c r="AA2838" i="37" s="1"/>
  <c r="Z2838" i="37" s="1"/>
  <c r="AA2536" i="37"/>
  <c r="Z2536" i="37" s="1"/>
  <c r="AA2837" i="37"/>
  <c r="Z2837" i="37" s="1"/>
  <c r="AC2538" i="37"/>
  <c r="AB2538" i="37" s="1"/>
  <c r="AA2538" i="37" s="1"/>
  <c r="Z2538" i="37" s="1"/>
  <c r="AB2537" i="37"/>
  <c r="AA2537" i="37" s="1"/>
  <c r="Z2537" i="37" s="1"/>
  <c r="AA2235" i="37"/>
  <c r="Z2235" i="37" s="1"/>
  <c r="AB2237" i="37"/>
  <c r="D272" i="34"/>
  <c r="O272" i="34"/>
  <c r="R272" i="34" s="1"/>
  <c r="C273" i="34"/>
  <c r="K262" i="37" l="1"/>
  <c r="K44" i="37"/>
  <c r="X37" i="37"/>
  <c r="L1978" i="50" s="1"/>
  <c r="K73" i="37"/>
  <c r="K74" i="37" s="1"/>
  <c r="W74" i="37"/>
  <c r="K588" i="50"/>
  <c r="K98" i="37"/>
  <c r="K99" i="37" s="1"/>
  <c r="W99" i="37"/>
  <c r="AB2539" i="37"/>
  <c r="D273" i="34"/>
  <c r="C274" i="34"/>
  <c r="O273" i="34"/>
  <c r="R273" i="34" s="1"/>
  <c r="AB2839" i="37"/>
  <c r="AC2840" i="37"/>
  <c r="AB2840" i="37" s="1"/>
  <c r="AA2840" i="37" s="1"/>
  <c r="Z2840" i="37" s="1"/>
  <c r="L1650" i="50" l="1"/>
  <c r="L1814" i="50"/>
  <c r="L1322" i="50"/>
  <c r="L1486" i="50"/>
  <c r="L994" i="50"/>
  <c r="L1158" i="50"/>
  <c r="L666" i="50"/>
  <c r="L830" i="50"/>
  <c r="L502" i="50"/>
  <c r="L37" i="37"/>
  <c r="X38" i="37" s="1"/>
  <c r="L38" i="37" s="1"/>
  <c r="L1979" i="50" s="1"/>
  <c r="K587" i="50"/>
  <c r="K590" i="50"/>
  <c r="L558" i="50"/>
  <c r="L493" i="50"/>
  <c r="L505" i="50"/>
  <c r="L533" i="50"/>
  <c r="L516" i="50"/>
  <c r="L544" i="50"/>
  <c r="K586" i="50"/>
  <c r="C275" i="34"/>
  <c r="O274" i="34"/>
  <c r="R274" i="34" s="1"/>
  <c r="D274" i="34"/>
  <c r="AA2839" i="37"/>
  <c r="Z2839" i="37" s="1"/>
  <c r="AB2841" i="37"/>
  <c r="L1651" i="50" l="1"/>
  <c r="L1815" i="50"/>
  <c r="L1323" i="50"/>
  <c r="L1487" i="50"/>
  <c r="L995" i="50"/>
  <c r="L1159" i="50"/>
  <c r="L667" i="50"/>
  <c r="L831" i="50"/>
  <c r="L503" i="50"/>
  <c r="L507" i="50"/>
  <c r="L577" i="50"/>
  <c r="L535" i="50"/>
  <c r="L549" i="50"/>
  <c r="L560" i="50"/>
  <c r="L495" i="50"/>
  <c r="L570" i="50"/>
  <c r="L542" i="50"/>
  <c r="L528" i="50"/>
  <c r="L514" i="50"/>
  <c r="L491" i="50"/>
  <c r="L556" i="50"/>
  <c r="K592" i="50"/>
  <c r="L557" i="50"/>
  <c r="L492" i="50"/>
  <c r="L571" i="50"/>
  <c r="L543" i="50"/>
  <c r="L504" i="50"/>
  <c r="L515" i="50"/>
  <c r="C276" i="34"/>
  <c r="D275" i="34"/>
  <c r="O275" i="34"/>
  <c r="R275" i="34" s="1"/>
  <c r="K2530" i="50" l="1"/>
  <c r="K2573" i="50" s="1"/>
  <c r="K2526" i="50"/>
  <c r="K2569" i="50" s="1"/>
  <c r="K2525" i="50"/>
  <c r="K2568" i="50" s="1"/>
  <c r="K2529" i="50"/>
  <c r="K2572" i="50" s="1"/>
  <c r="K2528" i="50"/>
  <c r="K2571" i="50" s="1"/>
  <c r="K2533" i="50"/>
  <c r="K2576" i="50" s="1"/>
  <c r="K2532" i="50"/>
  <c r="K2575" i="50" s="1"/>
  <c r="K2527" i="50"/>
  <c r="K2570" i="50" s="1"/>
  <c r="K2531" i="50"/>
  <c r="K2574" i="50" s="1"/>
  <c r="L537" i="50"/>
  <c r="L579" i="50"/>
  <c r="L497" i="50"/>
  <c r="L523" i="50"/>
  <c r="K2524" i="50"/>
  <c r="L509" i="50"/>
  <c r="D276" i="34"/>
  <c r="C277" i="34"/>
  <c r="O276" i="34"/>
  <c r="R276" i="34" s="1"/>
  <c r="L510" i="50" l="1"/>
  <c r="L511" i="50" s="1"/>
  <c r="L41" i="37" s="1"/>
  <c r="L43" i="37" s="1"/>
  <c r="L538" i="50"/>
  <c r="L539" i="50" s="1"/>
  <c r="L96" i="37" s="1"/>
  <c r="L98" i="37" s="1"/>
  <c r="L99" i="37" s="1"/>
  <c r="L580" i="50"/>
  <c r="L581" i="50" s="1"/>
  <c r="L259" i="37" s="1"/>
  <c r="L261" i="37" s="1"/>
  <c r="L524" i="50"/>
  <c r="L525" i="50" s="1"/>
  <c r="L71" i="37" s="1"/>
  <c r="L73" i="37" s="1"/>
  <c r="L74" i="37" s="1"/>
  <c r="K2567" i="50"/>
  <c r="K2584" i="50" s="1"/>
  <c r="K2541" i="50"/>
  <c r="D277" i="34"/>
  <c r="C278" i="34"/>
  <c r="O277" i="34"/>
  <c r="R277" i="34" s="1"/>
  <c r="X44" i="37" l="1"/>
  <c r="X99" i="37"/>
  <c r="L262" i="37"/>
  <c r="L588" i="50" s="1"/>
  <c r="X74" i="37"/>
  <c r="L587" i="50"/>
  <c r="L590" i="50"/>
  <c r="Y37" i="37"/>
  <c r="M1978" i="50" s="1"/>
  <c r="L44" i="37"/>
  <c r="D278" i="34"/>
  <c r="C279" i="34"/>
  <c r="O278" i="34"/>
  <c r="R278" i="34" s="1"/>
  <c r="M1650" i="50" l="1"/>
  <c r="M1814" i="50"/>
  <c r="M1322" i="50"/>
  <c r="M1486" i="50"/>
  <c r="M994" i="50"/>
  <c r="M1158" i="50"/>
  <c r="M666" i="50"/>
  <c r="M830" i="50"/>
  <c r="M502" i="50"/>
  <c r="M37" i="37"/>
  <c r="Y38" i="37" s="1"/>
  <c r="M38" i="37" s="1"/>
  <c r="M1979" i="50" s="1"/>
  <c r="L586" i="50"/>
  <c r="M492" i="50"/>
  <c r="M504" i="50"/>
  <c r="M515" i="50"/>
  <c r="M557" i="50"/>
  <c r="M571" i="50"/>
  <c r="M543" i="50"/>
  <c r="M495" i="50"/>
  <c r="M560" i="50"/>
  <c r="M577" i="50"/>
  <c r="M535" i="50"/>
  <c r="M549" i="50"/>
  <c r="M507" i="50"/>
  <c r="M533" i="50"/>
  <c r="M505" i="50"/>
  <c r="M493" i="50"/>
  <c r="M558" i="50"/>
  <c r="M544" i="50"/>
  <c r="M516" i="50"/>
  <c r="D279" i="34"/>
  <c r="C280" i="34"/>
  <c r="O279" i="34"/>
  <c r="R279" i="34" s="1"/>
  <c r="M1651" i="50" l="1"/>
  <c r="M1815" i="50"/>
  <c r="M1323" i="50"/>
  <c r="M1487" i="50"/>
  <c r="M995" i="50"/>
  <c r="M1159" i="50"/>
  <c r="M667" i="50"/>
  <c r="M831" i="50"/>
  <c r="M503" i="50"/>
  <c r="M509" i="50"/>
  <c r="M570" i="50"/>
  <c r="M579" i="50" s="1"/>
  <c r="M528" i="50"/>
  <c r="M537" i="50" s="1"/>
  <c r="M556" i="50"/>
  <c r="M514" i="50"/>
  <c r="M523" i="50" s="1"/>
  <c r="M542" i="50"/>
  <c r="M491" i="50"/>
  <c r="M497" i="50" s="1"/>
  <c r="L592" i="50"/>
  <c r="C281" i="34"/>
  <c r="D280" i="34"/>
  <c r="O280" i="34"/>
  <c r="R280" i="34" s="1"/>
  <c r="L2532" i="50" l="1"/>
  <c r="L2575" i="50" s="1"/>
  <c r="L2531" i="50"/>
  <c r="L2574" i="50" s="1"/>
  <c r="L2526" i="50"/>
  <c r="L2569" i="50" s="1"/>
  <c r="L2530" i="50"/>
  <c r="L2573" i="50" s="1"/>
  <c r="L2525" i="50"/>
  <c r="L2568" i="50" s="1"/>
  <c r="L2527" i="50"/>
  <c r="L2570" i="50" s="1"/>
  <c r="L2533" i="50"/>
  <c r="L2576" i="50" s="1"/>
  <c r="L2529" i="50"/>
  <c r="L2572" i="50" s="1"/>
  <c r="L2528" i="50"/>
  <c r="L2571" i="50" s="1"/>
  <c r="L2524" i="50"/>
  <c r="M538" i="50"/>
  <c r="M539" i="50" s="1"/>
  <c r="M96" i="37" s="1"/>
  <c r="M580" i="50"/>
  <c r="M581" i="50" s="1"/>
  <c r="M259" i="37" s="1"/>
  <c r="M524" i="50"/>
  <c r="M525" i="50" s="1"/>
  <c r="M71" i="37" s="1"/>
  <c r="M510" i="50"/>
  <c r="M511" i="50" s="1"/>
  <c r="M41" i="37" s="1"/>
  <c r="D281" i="34"/>
  <c r="O281" i="34"/>
  <c r="R281" i="34" s="1"/>
  <c r="C282" i="34"/>
  <c r="M261" i="37" l="1"/>
  <c r="M262" i="37"/>
  <c r="M98" i="37"/>
  <c r="M99" i="37" s="1"/>
  <c r="Y99" i="37"/>
  <c r="M43" i="37"/>
  <c r="Y44" i="37"/>
  <c r="M73" i="37"/>
  <c r="M74" i="37" s="1"/>
  <c r="Y74" i="37"/>
  <c r="L2567" i="50"/>
  <c r="L2584" i="50" s="1"/>
  <c r="L2541" i="50"/>
  <c r="D282" i="34"/>
  <c r="C283" i="34"/>
  <c r="O282" i="34"/>
  <c r="R282" i="34" s="1"/>
  <c r="M590" i="50" l="1"/>
  <c r="M587" i="50"/>
  <c r="M588" i="50"/>
  <c r="M44" i="37"/>
  <c r="Z37" i="37"/>
  <c r="N1978" i="50" s="1"/>
  <c r="D283" i="34"/>
  <c r="C284" i="34"/>
  <c r="O283" i="34"/>
  <c r="R283" i="34" s="1"/>
  <c r="N1650" i="50" l="1"/>
  <c r="N1814" i="50"/>
  <c r="N1322" i="50"/>
  <c r="N1486" i="50"/>
  <c r="N994" i="50"/>
  <c r="N1158" i="50"/>
  <c r="N666" i="50"/>
  <c r="N830" i="50"/>
  <c r="N502" i="50"/>
  <c r="N37" i="37"/>
  <c r="Z38" i="37" s="1"/>
  <c r="N38" i="37" s="1"/>
  <c r="N1979" i="50" s="1"/>
  <c r="N533" i="50"/>
  <c r="N493" i="50"/>
  <c r="N516" i="50"/>
  <c r="N558" i="50"/>
  <c r="N505" i="50"/>
  <c r="N544" i="50"/>
  <c r="N571" i="50"/>
  <c r="N557" i="50"/>
  <c r="N504" i="50"/>
  <c r="N492" i="50"/>
  <c r="N543" i="50"/>
  <c r="N515" i="50"/>
  <c r="M586" i="50"/>
  <c r="N560" i="50"/>
  <c r="N507" i="50"/>
  <c r="N535" i="50"/>
  <c r="N549" i="50"/>
  <c r="N577" i="50"/>
  <c r="N495" i="50"/>
  <c r="O284" i="34"/>
  <c r="R284" i="34" s="1"/>
  <c r="D284" i="34"/>
  <c r="C285" i="34"/>
  <c r="N1651" i="50" l="1"/>
  <c r="N1815" i="50"/>
  <c r="N1323" i="50"/>
  <c r="N1487" i="50"/>
  <c r="N995" i="50"/>
  <c r="N1159" i="50"/>
  <c r="N667" i="50"/>
  <c r="N831" i="50"/>
  <c r="N503" i="50"/>
  <c r="N528" i="50"/>
  <c r="N556" i="50"/>
  <c r="N514" i="50"/>
  <c r="N523" i="50" s="1"/>
  <c r="N570" i="50"/>
  <c r="N579" i="50" s="1"/>
  <c r="N491" i="50"/>
  <c r="N542" i="50"/>
  <c r="M592" i="50"/>
  <c r="D285" i="34"/>
  <c r="C286" i="34"/>
  <c r="O285" i="34"/>
  <c r="R285" i="34" s="1"/>
  <c r="M2529" i="50" l="1"/>
  <c r="M2572" i="50" s="1"/>
  <c r="M2525" i="50"/>
  <c r="M2568" i="50" s="1"/>
  <c r="M2533" i="50"/>
  <c r="M2576" i="50" s="1"/>
  <c r="M2531" i="50"/>
  <c r="M2574" i="50" s="1"/>
  <c r="M2526" i="50"/>
  <c r="M2569" i="50" s="1"/>
  <c r="M2532" i="50"/>
  <c r="M2575" i="50" s="1"/>
  <c r="M2530" i="50"/>
  <c r="M2573" i="50" s="1"/>
  <c r="M2527" i="50"/>
  <c r="M2570" i="50" s="1"/>
  <c r="M2528" i="50"/>
  <c r="M2571" i="50" s="1"/>
  <c r="N510" i="50"/>
  <c r="N511" i="50" s="1"/>
  <c r="N41" i="37" s="1"/>
  <c r="N43" i="37" s="1"/>
  <c r="N44" i="37" s="1"/>
  <c r="N580" i="50"/>
  <c r="N581" i="50" s="1"/>
  <c r="N259" i="37" s="1"/>
  <c r="N262" i="37" s="1"/>
  <c r="N524" i="50"/>
  <c r="N525" i="50" s="1"/>
  <c r="N71" i="37" s="1"/>
  <c r="M2524" i="50"/>
  <c r="N538" i="50"/>
  <c r="N539" i="50" s="1"/>
  <c r="N96" i="37" s="1"/>
  <c r="C287" i="34"/>
  <c r="O286" i="34"/>
  <c r="R286" i="34" s="1"/>
  <c r="D286" i="34"/>
  <c r="Z44" i="37" l="1"/>
  <c r="N261" i="37"/>
  <c r="N98" i="37"/>
  <c r="N99" i="37" s="1"/>
  <c r="Z99" i="37"/>
  <c r="N73" i="37"/>
  <c r="N74" i="37" s="1"/>
  <c r="Z74" i="37"/>
  <c r="M2567" i="50"/>
  <c r="M2584" i="50" s="1"/>
  <c r="M2541" i="50"/>
  <c r="N588" i="50"/>
  <c r="AK262" i="37"/>
  <c r="N586" i="50"/>
  <c r="AK44" i="37"/>
  <c r="C288" i="34"/>
  <c r="D287" i="34"/>
  <c r="O287" i="34"/>
  <c r="R287" i="34" s="1"/>
  <c r="N590" i="50" l="1"/>
  <c r="AK74" i="37"/>
  <c r="G3065" i="37"/>
  <c r="N587" i="50"/>
  <c r="AK99" i="37"/>
  <c r="D288" i="34"/>
  <c r="O288" i="34"/>
  <c r="R288" i="34" s="1"/>
  <c r="C289" i="34"/>
  <c r="N592" i="50" l="1"/>
  <c r="G3061" i="37"/>
  <c r="G3062" i="37"/>
  <c r="G3060" i="37"/>
  <c r="G3067" i="37"/>
  <c r="G3066" i="37"/>
  <c r="G3063" i="37"/>
  <c r="G3064" i="37"/>
  <c r="G3058" i="37"/>
  <c r="U592" i="50"/>
  <c r="N2524" i="50"/>
  <c r="V592" i="50"/>
  <c r="G3059" i="37"/>
  <c r="C290" i="34"/>
  <c r="O289" i="34"/>
  <c r="R289" i="34" s="1"/>
  <c r="D289" i="34"/>
  <c r="K2605" i="50" l="1"/>
  <c r="N2531" i="50"/>
  <c r="N2574" i="50" s="1"/>
  <c r="N2526" i="50"/>
  <c r="N2569" i="50" s="1"/>
  <c r="N2527" i="50"/>
  <c r="N2570" i="50" s="1"/>
  <c r="N2529" i="50"/>
  <c r="N2572" i="50" s="1"/>
  <c r="N2533" i="50"/>
  <c r="N2576" i="50" s="1"/>
  <c r="N2530" i="50"/>
  <c r="N2573" i="50" s="1"/>
  <c r="N2525" i="50"/>
  <c r="N2568" i="50" s="1"/>
  <c r="N2528" i="50"/>
  <c r="N2571" i="50" s="1"/>
  <c r="N2532" i="50"/>
  <c r="N2575" i="50" s="1"/>
  <c r="G3068" i="37"/>
  <c r="N2567" i="50"/>
  <c r="C291" i="34"/>
  <c r="D290" i="34"/>
  <c r="O290" i="34"/>
  <c r="R290" i="34" s="1"/>
  <c r="N2541" i="50" l="1"/>
  <c r="N2584" i="50"/>
  <c r="D291" i="34"/>
  <c r="C292" i="34"/>
  <c r="O291" i="34"/>
  <c r="R291" i="34" s="1"/>
  <c r="C293" i="34" l="1"/>
  <c r="O292" i="34"/>
  <c r="R292" i="34" s="1"/>
  <c r="D292" i="34"/>
  <c r="C294" i="34" l="1"/>
  <c r="D293" i="34"/>
  <c r="O293" i="34"/>
  <c r="R293" i="34" s="1"/>
  <c r="D294" i="34" l="1"/>
  <c r="O294" i="34"/>
  <c r="R294" i="34" s="1"/>
  <c r="C295" i="34"/>
  <c r="C296" i="34" l="1"/>
  <c r="D295" i="34"/>
  <c r="O295" i="34"/>
  <c r="R295" i="34" s="1"/>
  <c r="D296" i="34" l="1"/>
  <c r="O296" i="34"/>
  <c r="R296" i="34" s="1"/>
  <c r="C297" i="34"/>
  <c r="C298" i="34" l="1"/>
  <c r="O297" i="34"/>
  <c r="R297" i="34" s="1"/>
  <c r="D297" i="34"/>
  <c r="D298" i="34" l="1"/>
  <c r="C299" i="34"/>
  <c r="O298" i="34"/>
  <c r="R298" i="34" s="1"/>
  <c r="C300" i="34" l="1"/>
  <c r="D299" i="34"/>
  <c r="O299" i="34"/>
  <c r="R299" i="34" s="1"/>
  <c r="D300" i="34" l="1"/>
  <c r="O300" i="34"/>
  <c r="R300" i="3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Fallmann Hubert</author>
  </authors>
  <commentList>
    <comment ref="H425" authorId="0" shapeId="0" xr:uid="{C16480DC-5A06-40AF-93F0-F4943B8F23DA}">
      <text>
        <r>
          <rPr>
            <b/>
            <sz val="9"/>
            <color indexed="81"/>
            <rFont val="Tahoma"/>
            <family val="2"/>
          </rPr>
          <t>Needed for heat sub-installation, and for nitric acid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Heller Christian</author>
    <author>Fallmann Hubert</author>
    <author>Heller</author>
  </authors>
  <commentList>
    <comment ref="AA13" authorId="0" shapeId="0" xr:uid="{673B929B-280D-4962-9DD9-75BFE73C511B}">
      <text>
        <r>
          <rPr>
            <sz val="9"/>
            <color indexed="81"/>
            <rFont val="Segoe UI"/>
            <family val="2"/>
          </rPr>
          <t>for the first not yet FULL year of operation</t>
        </r>
      </text>
    </comment>
    <comment ref="R25" authorId="1" shapeId="0" xr:uid="{F4B83B24-FC9F-4371-9338-500DD578C984}">
      <text>
        <r>
          <rPr>
            <sz val="9"/>
            <color indexed="81"/>
            <rFont val="Tahoma"/>
            <family val="2"/>
          </rPr>
          <t>special reporting, exception = BM 47 (VCM)</t>
        </r>
      </text>
    </comment>
    <comment ref="U38" authorId="2" shapeId="0" xr:uid="{0AB63E9B-C8B5-4C37-B11A-B3F921E52F8E}">
      <text>
        <r>
          <rPr>
            <sz val="9"/>
            <color indexed="81"/>
            <rFont val="Tahoma"/>
            <family val="2"/>
          </rPr>
          <t>only if AAL is calculated for that year</t>
        </r>
      </text>
    </comment>
    <comment ref="S206" authorId="2" shapeId="0" xr:uid="{0D48A9CE-06FD-4C8F-946C-0CF35889CDC7}">
      <text>
        <r>
          <rPr>
            <b/>
            <sz val="9"/>
            <color indexed="81"/>
            <rFont val="Tahoma"/>
            <family val="2"/>
          </rPr>
          <t>1= BM applied --&gt; not used for attr. emissions</t>
        </r>
      </text>
    </comment>
    <comment ref="S214" authorId="2" shapeId="0" xr:uid="{81CDBFF4-111A-44DD-AF4D-55CCA0AAFFF9}">
      <text>
        <r>
          <rPr>
            <b/>
            <sz val="9"/>
            <color indexed="81"/>
            <rFont val="Tahoma"/>
            <family val="2"/>
          </rPr>
          <t>1= BM applied --&gt; not used for attr. emissions</t>
        </r>
      </text>
    </comment>
    <comment ref="S249" authorId="0" shapeId="0" xr:uid="{3B048A09-76FF-4295-B4F2-B9147C684727}">
      <text>
        <r>
          <rPr>
            <sz val="9"/>
            <color indexed="81"/>
            <rFont val="Segoe UI"/>
            <family val="2"/>
          </rPr>
          <t>WG rule only applicable as of 2026</t>
        </r>
      </text>
    </comment>
    <comment ref="S271" authorId="2" shapeId="0" xr:uid="{F9675F8E-920F-4372-86DC-83036D65550B}">
      <text>
        <r>
          <rPr>
            <b/>
            <sz val="9"/>
            <color indexed="81"/>
            <rFont val="Tahoma"/>
            <family val="2"/>
          </rPr>
          <t>1= BM applied --&gt; not used for attr. emissions</t>
        </r>
      </text>
    </comment>
    <comment ref="AA315" authorId="0" shapeId="0" xr:uid="{9B8E2B75-705B-45C6-8900-FAD83DCE3AF0}">
      <text>
        <r>
          <rPr>
            <sz val="9"/>
            <color indexed="81"/>
            <rFont val="Segoe UI"/>
            <family val="2"/>
          </rPr>
          <t>for the first not yet FULL year of operation</t>
        </r>
      </text>
    </comment>
    <comment ref="R327" authorId="1" shapeId="0" xr:uid="{81018FB1-9A1A-430A-AAA0-D09A06E8A241}">
      <text>
        <r>
          <rPr>
            <sz val="9"/>
            <color indexed="81"/>
            <rFont val="Tahoma"/>
            <family val="2"/>
          </rPr>
          <t>special reporting, exception = BM 47 (VCM)</t>
        </r>
      </text>
    </comment>
    <comment ref="U340" authorId="2" shapeId="0" xr:uid="{3BC41993-8550-49D7-8841-9A48965C3FE5}">
      <text>
        <r>
          <rPr>
            <sz val="9"/>
            <color indexed="81"/>
            <rFont val="Tahoma"/>
            <family val="2"/>
          </rPr>
          <t>only if AAL is calculated for that year</t>
        </r>
      </text>
    </comment>
    <comment ref="S508" authorId="2" shapeId="0" xr:uid="{AF681BD4-5711-42E6-83DA-6E1E71782992}">
      <text>
        <r>
          <rPr>
            <b/>
            <sz val="9"/>
            <color indexed="81"/>
            <rFont val="Tahoma"/>
            <family val="2"/>
          </rPr>
          <t>1= BM applied --&gt; not used for attr. emissions</t>
        </r>
      </text>
    </comment>
    <comment ref="S516" authorId="2" shapeId="0" xr:uid="{E84458D0-0256-4633-9754-997757112B2B}">
      <text>
        <r>
          <rPr>
            <b/>
            <sz val="9"/>
            <color indexed="81"/>
            <rFont val="Tahoma"/>
            <family val="2"/>
          </rPr>
          <t>1= BM applied --&gt; not used for attr. emissions</t>
        </r>
      </text>
    </comment>
    <comment ref="S551" authorId="0" shapeId="0" xr:uid="{D78E0C24-36C4-4D54-AE15-7C951AA3FEAD}">
      <text>
        <r>
          <rPr>
            <sz val="9"/>
            <color indexed="81"/>
            <rFont val="Segoe UI"/>
            <family val="2"/>
          </rPr>
          <t>WG rule only applicable as of 2026</t>
        </r>
      </text>
    </comment>
    <comment ref="S573" authorId="2" shapeId="0" xr:uid="{62C459B8-9ACD-4FD5-BFAC-E16C7FB96475}">
      <text>
        <r>
          <rPr>
            <b/>
            <sz val="9"/>
            <color indexed="81"/>
            <rFont val="Tahoma"/>
            <family val="2"/>
          </rPr>
          <t>1= BM applied --&gt; not used for attr. emissions</t>
        </r>
      </text>
    </comment>
    <comment ref="AA617" authorId="0" shapeId="0" xr:uid="{E01C516D-0C03-4350-B4B6-D978208936BD}">
      <text>
        <r>
          <rPr>
            <sz val="9"/>
            <color indexed="81"/>
            <rFont val="Segoe UI"/>
            <family val="2"/>
          </rPr>
          <t>for the first not yet FULL year of operation</t>
        </r>
      </text>
    </comment>
    <comment ref="R629" authorId="1" shapeId="0" xr:uid="{AD2694CD-228C-4AE5-8C6A-328AEF09F938}">
      <text>
        <r>
          <rPr>
            <sz val="9"/>
            <color indexed="81"/>
            <rFont val="Tahoma"/>
            <family val="2"/>
          </rPr>
          <t>special reporting, exception = BM 47 (VCM)</t>
        </r>
      </text>
    </comment>
    <comment ref="U642" authorId="2" shapeId="0" xr:uid="{02227380-57DC-41D9-BC53-41AF79A0A111}">
      <text>
        <r>
          <rPr>
            <sz val="9"/>
            <color indexed="81"/>
            <rFont val="Tahoma"/>
            <family val="2"/>
          </rPr>
          <t>only if AAL is calculated for that year</t>
        </r>
      </text>
    </comment>
    <comment ref="S810" authorId="2" shapeId="0" xr:uid="{315EF809-E8E4-48A9-80AA-6875C4F77BFA}">
      <text>
        <r>
          <rPr>
            <b/>
            <sz val="9"/>
            <color indexed="81"/>
            <rFont val="Tahoma"/>
            <family val="2"/>
          </rPr>
          <t>1= BM applied --&gt; not used for attr. emissions</t>
        </r>
      </text>
    </comment>
    <comment ref="S818" authorId="2" shapeId="0" xr:uid="{F050FEF9-9460-4C8B-BE70-09032D6EB4EA}">
      <text>
        <r>
          <rPr>
            <b/>
            <sz val="9"/>
            <color indexed="81"/>
            <rFont val="Tahoma"/>
            <family val="2"/>
          </rPr>
          <t>1= BM applied --&gt; not used for attr. emissions</t>
        </r>
      </text>
    </comment>
    <comment ref="S853" authorId="0" shapeId="0" xr:uid="{86DDF3AE-C881-4EFE-A150-A3E8E06BEBC8}">
      <text>
        <r>
          <rPr>
            <sz val="9"/>
            <color indexed="81"/>
            <rFont val="Segoe UI"/>
            <family val="2"/>
          </rPr>
          <t>WG rule only applicable as of 2026</t>
        </r>
      </text>
    </comment>
    <comment ref="S875" authorId="2" shapeId="0" xr:uid="{DF06DDC9-E1C2-4135-8583-F20B14CC4DE9}">
      <text>
        <r>
          <rPr>
            <b/>
            <sz val="9"/>
            <color indexed="81"/>
            <rFont val="Tahoma"/>
            <family val="2"/>
          </rPr>
          <t>1= BM applied --&gt; not used for attr. emissions</t>
        </r>
      </text>
    </comment>
    <comment ref="AA919" authorId="0" shapeId="0" xr:uid="{35E600D4-AC00-4EF1-AAAA-5A720BB8A7F3}">
      <text>
        <r>
          <rPr>
            <sz val="9"/>
            <color indexed="81"/>
            <rFont val="Segoe UI"/>
            <family val="2"/>
          </rPr>
          <t>for the first not yet FULL year of operation</t>
        </r>
      </text>
    </comment>
    <comment ref="R931" authorId="1" shapeId="0" xr:uid="{64D25A70-A98B-4F52-A63E-628E6288BA37}">
      <text>
        <r>
          <rPr>
            <sz val="9"/>
            <color indexed="81"/>
            <rFont val="Tahoma"/>
            <family val="2"/>
          </rPr>
          <t>special reporting, exception = BM 47 (VCM)</t>
        </r>
      </text>
    </comment>
    <comment ref="U944" authorId="2" shapeId="0" xr:uid="{1F3F7B92-AAF2-4818-8D4A-86879F6FF29F}">
      <text>
        <r>
          <rPr>
            <sz val="9"/>
            <color indexed="81"/>
            <rFont val="Tahoma"/>
            <family val="2"/>
          </rPr>
          <t>only if AAL is calculated for that year</t>
        </r>
      </text>
    </comment>
    <comment ref="S1112" authorId="2" shapeId="0" xr:uid="{32C07DDF-FBB3-4FE2-A692-2F5D40C197B2}">
      <text>
        <r>
          <rPr>
            <b/>
            <sz val="9"/>
            <color indexed="81"/>
            <rFont val="Tahoma"/>
            <family val="2"/>
          </rPr>
          <t>1= BM applied --&gt; not used for attr. emissions</t>
        </r>
      </text>
    </comment>
    <comment ref="S1120" authorId="2" shapeId="0" xr:uid="{FAB81355-67B1-483F-A36A-A335E786A32F}">
      <text>
        <r>
          <rPr>
            <b/>
            <sz val="9"/>
            <color indexed="81"/>
            <rFont val="Tahoma"/>
            <family val="2"/>
          </rPr>
          <t>1= BM applied --&gt; not used for attr. emissions</t>
        </r>
      </text>
    </comment>
    <comment ref="S1155" authorId="0" shapeId="0" xr:uid="{84ADDBD8-AED8-45D9-B041-BF5200489513}">
      <text>
        <r>
          <rPr>
            <sz val="9"/>
            <color indexed="81"/>
            <rFont val="Segoe UI"/>
            <family val="2"/>
          </rPr>
          <t>WG rule only applicable as of 2026</t>
        </r>
      </text>
    </comment>
    <comment ref="S1177" authorId="2" shapeId="0" xr:uid="{43EB2872-9C08-40D9-AAF8-1F1401820182}">
      <text>
        <r>
          <rPr>
            <b/>
            <sz val="9"/>
            <color indexed="81"/>
            <rFont val="Tahoma"/>
            <family val="2"/>
          </rPr>
          <t>1= BM applied --&gt; not used for attr. emissions</t>
        </r>
      </text>
    </comment>
    <comment ref="AA1221" authorId="0" shapeId="0" xr:uid="{EC265FFB-C40F-4B14-8D96-F20492A5509A}">
      <text>
        <r>
          <rPr>
            <sz val="9"/>
            <color indexed="81"/>
            <rFont val="Segoe UI"/>
            <family val="2"/>
          </rPr>
          <t>for the first not yet FULL year of operation</t>
        </r>
      </text>
    </comment>
    <comment ref="R1233" authorId="1" shapeId="0" xr:uid="{CFD43BDF-3649-43C1-9DE4-5CDAC9CFA131}">
      <text>
        <r>
          <rPr>
            <sz val="9"/>
            <color indexed="81"/>
            <rFont val="Tahoma"/>
            <family val="2"/>
          </rPr>
          <t>special reporting, exception = BM 47 (VCM)</t>
        </r>
      </text>
    </comment>
    <comment ref="U1246" authorId="2" shapeId="0" xr:uid="{6BE21E80-D4CE-4244-94CD-DC12589D5756}">
      <text>
        <r>
          <rPr>
            <sz val="9"/>
            <color indexed="81"/>
            <rFont val="Tahoma"/>
            <family val="2"/>
          </rPr>
          <t>only if AAL is calculated for that year</t>
        </r>
      </text>
    </comment>
    <comment ref="S1414" authorId="2" shapeId="0" xr:uid="{66E1359B-EFC0-4F1A-ACD6-3E69BC1DDD6B}">
      <text>
        <r>
          <rPr>
            <b/>
            <sz val="9"/>
            <color indexed="81"/>
            <rFont val="Tahoma"/>
            <family val="2"/>
          </rPr>
          <t>1= BM applied --&gt; not used for attr. emissions</t>
        </r>
      </text>
    </comment>
    <comment ref="S1422" authorId="2" shapeId="0" xr:uid="{369FA3D5-313E-42C9-BB0C-582BC6FE6B49}">
      <text>
        <r>
          <rPr>
            <b/>
            <sz val="9"/>
            <color indexed="81"/>
            <rFont val="Tahoma"/>
            <family val="2"/>
          </rPr>
          <t>1= BM applied --&gt; not used for attr. emissions</t>
        </r>
      </text>
    </comment>
    <comment ref="S1457" authorId="0" shapeId="0" xr:uid="{EDD6E045-A1FC-43DE-8C01-8F701A0E89A7}">
      <text>
        <r>
          <rPr>
            <sz val="9"/>
            <color indexed="81"/>
            <rFont val="Segoe UI"/>
            <family val="2"/>
          </rPr>
          <t>WG rule only applicable as of 2026</t>
        </r>
      </text>
    </comment>
    <comment ref="S1479" authorId="2" shapeId="0" xr:uid="{50BA5C49-CDB2-457B-BC74-C65871B61975}">
      <text>
        <r>
          <rPr>
            <b/>
            <sz val="9"/>
            <color indexed="81"/>
            <rFont val="Tahoma"/>
            <family val="2"/>
          </rPr>
          <t>1= BM applied --&gt; not used for attr. emissions</t>
        </r>
      </text>
    </comment>
    <comment ref="AA1523" authorId="0" shapeId="0" xr:uid="{E3B7FC9E-F057-4356-8D8D-8D21E146F1B7}">
      <text>
        <r>
          <rPr>
            <sz val="9"/>
            <color indexed="81"/>
            <rFont val="Segoe UI"/>
            <family val="2"/>
          </rPr>
          <t>for the first not yet FULL year of operation</t>
        </r>
      </text>
    </comment>
    <comment ref="R1535" authorId="1" shapeId="0" xr:uid="{ECCC9F4C-279C-402C-A036-0FAE089BF296}">
      <text>
        <r>
          <rPr>
            <sz val="9"/>
            <color indexed="81"/>
            <rFont val="Tahoma"/>
            <family val="2"/>
          </rPr>
          <t>special reporting, exception = BM 47 (VCM)</t>
        </r>
      </text>
    </comment>
    <comment ref="U1548" authorId="2" shapeId="0" xr:uid="{6DFADD83-0D89-4CE1-A5A8-EB3017F95FEA}">
      <text>
        <r>
          <rPr>
            <sz val="9"/>
            <color indexed="81"/>
            <rFont val="Tahoma"/>
            <family val="2"/>
          </rPr>
          <t>only if AAL is calculated for that year</t>
        </r>
      </text>
    </comment>
    <comment ref="S1716" authorId="2" shapeId="0" xr:uid="{73FFB257-A5D8-47A4-896C-BC02768C67BB}">
      <text>
        <r>
          <rPr>
            <b/>
            <sz val="9"/>
            <color indexed="81"/>
            <rFont val="Tahoma"/>
            <family val="2"/>
          </rPr>
          <t>1= BM applied --&gt; not used for attr. emissions</t>
        </r>
      </text>
    </comment>
    <comment ref="S1724" authorId="2" shapeId="0" xr:uid="{4CA2DBC3-4FF6-4979-B2C6-F3443A45578D}">
      <text>
        <r>
          <rPr>
            <b/>
            <sz val="9"/>
            <color indexed="81"/>
            <rFont val="Tahoma"/>
            <family val="2"/>
          </rPr>
          <t>1= BM applied --&gt; not used for attr. emissions</t>
        </r>
      </text>
    </comment>
    <comment ref="S1759" authorId="0" shapeId="0" xr:uid="{19AA3228-30C8-4BF9-8FD0-9F9EA98330A7}">
      <text>
        <r>
          <rPr>
            <sz val="9"/>
            <color indexed="81"/>
            <rFont val="Segoe UI"/>
            <family val="2"/>
          </rPr>
          <t>WG rule only applicable as of 2026</t>
        </r>
      </text>
    </comment>
    <comment ref="S1781" authorId="2" shapeId="0" xr:uid="{0009597E-AD01-4083-B896-9E3EC76BCED7}">
      <text>
        <r>
          <rPr>
            <b/>
            <sz val="9"/>
            <color indexed="81"/>
            <rFont val="Tahoma"/>
            <family val="2"/>
          </rPr>
          <t>1= BM applied --&gt; not used for attr. emissions</t>
        </r>
      </text>
    </comment>
    <comment ref="AA1825" authorId="0" shapeId="0" xr:uid="{69A2B481-1416-496C-AD46-CCC81A29CAC3}">
      <text>
        <r>
          <rPr>
            <sz val="9"/>
            <color indexed="81"/>
            <rFont val="Segoe UI"/>
            <family val="2"/>
          </rPr>
          <t>for the first not yet FULL year of operation</t>
        </r>
      </text>
    </comment>
    <comment ref="R1837" authorId="1" shapeId="0" xr:uid="{0361E9C5-8F30-493D-85B9-72A28E1E40FF}">
      <text>
        <r>
          <rPr>
            <sz val="9"/>
            <color indexed="81"/>
            <rFont val="Tahoma"/>
            <family val="2"/>
          </rPr>
          <t>special reporting, exception = BM 47 (VCM)</t>
        </r>
      </text>
    </comment>
    <comment ref="U1850" authorId="2" shapeId="0" xr:uid="{03AD0158-8C12-4D37-853A-5245DB2F2C2D}">
      <text>
        <r>
          <rPr>
            <sz val="9"/>
            <color indexed="81"/>
            <rFont val="Tahoma"/>
            <family val="2"/>
          </rPr>
          <t>only if AAL is calculated for that year</t>
        </r>
      </text>
    </comment>
    <comment ref="S2018" authorId="2" shapeId="0" xr:uid="{EDD81DAD-7CDC-4DAF-8617-24CA2662289F}">
      <text>
        <r>
          <rPr>
            <b/>
            <sz val="9"/>
            <color indexed="81"/>
            <rFont val="Tahoma"/>
            <family val="2"/>
          </rPr>
          <t>1= BM applied --&gt; not used for attr. emissions</t>
        </r>
      </text>
    </comment>
    <comment ref="S2026" authorId="2" shapeId="0" xr:uid="{1A2A956E-A0DA-499B-BF2F-73CCE2B7C6A6}">
      <text>
        <r>
          <rPr>
            <b/>
            <sz val="9"/>
            <color indexed="81"/>
            <rFont val="Tahoma"/>
            <family val="2"/>
          </rPr>
          <t>1= BM applied --&gt; not used for attr. emissions</t>
        </r>
      </text>
    </comment>
    <comment ref="S2061" authorId="0" shapeId="0" xr:uid="{E5BD90F9-2313-4CA5-A24D-623773FE6CF8}">
      <text>
        <r>
          <rPr>
            <sz val="9"/>
            <color indexed="81"/>
            <rFont val="Segoe UI"/>
            <family val="2"/>
          </rPr>
          <t>WG rule only applicable as of 2026</t>
        </r>
      </text>
    </comment>
    <comment ref="S2083" authorId="2" shapeId="0" xr:uid="{AA51D46A-D889-49BA-8CD5-2DDA5BC4BAE2}">
      <text>
        <r>
          <rPr>
            <b/>
            <sz val="9"/>
            <color indexed="81"/>
            <rFont val="Tahoma"/>
            <family val="2"/>
          </rPr>
          <t>1= BM applied --&gt; not used for attr. emissions</t>
        </r>
      </text>
    </comment>
    <comment ref="AA2127" authorId="0" shapeId="0" xr:uid="{F6B12C30-C971-4D30-8533-F46DF271F154}">
      <text>
        <r>
          <rPr>
            <sz val="9"/>
            <color indexed="81"/>
            <rFont val="Segoe UI"/>
            <family val="2"/>
          </rPr>
          <t>for the first not yet FULL year of operation</t>
        </r>
      </text>
    </comment>
    <comment ref="R2139" authorId="1" shapeId="0" xr:uid="{B76418A3-AEA4-4C51-B2B2-C2BE41934D57}">
      <text>
        <r>
          <rPr>
            <sz val="9"/>
            <color indexed="81"/>
            <rFont val="Tahoma"/>
            <family val="2"/>
          </rPr>
          <t>special reporting, exception = BM 47 (VCM)</t>
        </r>
      </text>
    </comment>
    <comment ref="U2152" authorId="2" shapeId="0" xr:uid="{A97963D2-958C-4188-A77D-BA6F86D17DD2}">
      <text>
        <r>
          <rPr>
            <sz val="9"/>
            <color indexed="81"/>
            <rFont val="Tahoma"/>
            <family val="2"/>
          </rPr>
          <t>only if AAL is calculated for that year</t>
        </r>
      </text>
    </comment>
    <comment ref="S2320" authorId="2" shapeId="0" xr:uid="{52353958-E567-4A56-AAD0-C4A381EBDE5C}">
      <text>
        <r>
          <rPr>
            <b/>
            <sz val="9"/>
            <color indexed="81"/>
            <rFont val="Tahoma"/>
            <family val="2"/>
          </rPr>
          <t>1= BM applied --&gt; not used for attr. emissions</t>
        </r>
      </text>
    </comment>
    <comment ref="S2328" authorId="2" shapeId="0" xr:uid="{0F818982-A96B-4C6B-840B-991C0CCC5A24}">
      <text>
        <r>
          <rPr>
            <b/>
            <sz val="9"/>
            <color indexed="81"/>
            <rFont val="Tahoma"/>
            <family val="2"/>
          </rPr>
          <t>1= BM applied --&gt; not used for attr. emissions</t>
        </r>
      </text>
    </comment>
    <comment ref="S2363" authorId="0" shapeId="0" xr:uid="{5592DE78-113D-4DE8-B19A-6CCDC9E974D3}">
      <text>
        <r>
          <rPr>
            <sz val="9"/>
            <color indexed="81"/>
            <rFont val="Segoe UI"/>
            <family val="2"/>
          </rPr>
          <t>WG rule only applicable as of 2026</t>
        </r>
      </text>
    </comment>
    <comment ref="S2385" authorId="2" shapeId="0" xr:uid="{E2DC601C-38DF-425C-B945-E207D895C371}">
      <text>
        <r>
          <rPr>
            <b/>
            <sz val="9"/>
            <color indexed="81"/>
            <rFont val="Tahoma"/>
            <family val="2"/>
          </rPr>
          <t>1= BM applied --&gt; not used for attr. emissions</t>
        </r>
      </text>
    </comment>
    <comment ref="AA2429" authorId="0" shapeId="0" xr:uid="{5DEA6C61-8AE6-4BE0-B35C-738B2D881C5A}">
      <text>
        <r>
          <rPr>
            <sz val="9"/>
            <color indexed="81"/>
            <rFont val="Segoe UI"/>
            <family val="2"/>
          </rPr>
          <t>for the first not yet FULL year of operation</t>
        </r>
      </text>
    </comment>
    <comment ref="R2441" authorId="1" shapeId="0" xr:uid="{DC5083F5-FFE2-4AA9-9FCF-025DB3FDC048}">
      <text>
        <r>
          <rPr>
            <sz val="9"/>
            <color indexed="81"/>
            <rFont val="Tahoma"/>
            <family val="2"/>
          </rPr>
          <t>special reporting, exception = BM 47 (VCM)</t>
        </r>
      </text>
    </comment>
    <comment ref="U2454" authorId="2" shapeId="0" xr:uid="{C5851A1E-36C5-4E72-985F-2BA79DCDA42D}">
      <text>
        <r>
          <rPr>
            <sz val="9"/>
            <color indexed="81"/>
            <rFont val="Tahoma"/>
            <family val="2"/>
          </rPr>
          <t>only if AAL is calculated for that year</t>
        </r>
      </text>
    </comment>
    <comment ref="S2622" authorId="2" shapeId="0" xr:uid="{12231896-D886-4FE5-9514-97E1721F3792}">
      <text>
        <r>
          <rPr>
            <b/>
            <sz val="9"/>
            <color indexed="81"/>
            <rFont val="Tahoma"/>
            <family val="2"/>
          </rPr>
          <t>1= BM applied --&gt; not used for attr. emissions</t>
        </r>
      </text>
    </comment>
    <comment ref="S2630" authorId="2" shapeId="0" xr:uid="{EB0FD050-6F0A-4A39-BACF-4BD162A52BF9}">
      <text>
        <r>
          <rPr>
            <b/>
            <sz val="9"/>
            <color indexed="81"/>
            <rFont val="Tahoma"/>
            <family val="2"/>
          </rPr>
          <t>1= BM applied --&gt; not used for attr. emissions</t>
        </r>
      </text>
    </comment>
    <comment ref="S2665" authorId="0" shapeId="0" xr:uid="{63539064-5C52-4EEB-B3AB-2CDB82547575}">
      <text>
        <r>
          <rPr>
            <sz val="9"/>
            <color indexed="81"/>
            <rFont val="Segoe UI"/>
            <family val="2"/>
          </rPr>
          <t>WG rule only applicable as of 2026</t>
        </r>
      </text>
    </comment>
    <comment ref="S2687" authorId="2" shapeId="0" xr:uid="{E8A2C9CA-E1FC-414D-AC00-16C1D789BEBA}">
      <text>
        <r>
          <rPr>
            <b/>
            <sz val="9"/>
            <color indexed="81"/>
            <rFont val="Tahoma"/>
            <family val="2"/>
          </rPr>
          <t>1= BM applied --&gt; not used for attr. emissions</t>
        </r>
      </text>
    </comment>
    <comment ref="AA2731" authorId="0" shapeId="0" xr:uid="{BA7243DE-0463-4BA1-B005-3A9B479458AC}">
      <text>
        <r>
          <rPr>
            <sz val="9"/>
            <color indexed="81"/>
            <rFont val="Segoe UI"/>
            <family val="2"/>
          </rPr>
          <t>for the first not yet FULL year of operation</t>
        </r>
      </text>
    </comment>
    <comment ref="R2743" authorId="1" shapeId="0" xr:uid="{89140209-B185-446A-B661-A9C3BA8070C0}">
      <text>
        <r>
          <rPr>
            <sz val="9"/>
            <color indexed="81"/>
            <rFont val="Tahoma"/>
            <family val="2"/>
          </rPr>
          <t>special reporting, exception = BM 47 (VCM)</t>
        </r>
      </text>
    </comment>
    <comment ref="U2756" authorId="2" shapeId="0" xr:uid="{C416B968-872E-4F1A-A556-1E9284086F89}">
      <text>
        <r>
          <rPr>
            <sz val="9"/>
            <color indexed="81"/>
            <rFont val="Tahoma"/>
            <family val="2"/>
          </rPr>
          <t>only if AAL is calculated for that year</t>
        </r>
      </text>
    </comment>
    <comment ref="S2924" authorId="2" shapeId="0" xr:uid="{1159834B-5801-41FF-A47D-5A98B6E38AAE}">
      <text>
        <r>
          <rPr>
            <b/>
            <sz val="9"/>
            <color indexed="81"/>
            <rFont val="Tahoma"/>
            <family val="2"/>
          </rPr>
          <t>1= BM applied --&gt; not used for attr. emissions</t>
        </r>
      </text>
    </comment>
    <comment ref="S2932" authorId="2" shapeId="0" xr:uid="{2E707B6E-C594-4FCD-A972-76A449A008B5}">
      <text>
        <r>
          <rPr>
            <b/>
            <sz val="9"/>
            <color indexed="81"/>
            <rFont val="Tahoma"/>
            <family val="2"/>
          </rPr>
          <t>1= BM applied --&gt; not used for attr. emissions</t>
        </r>
      </text>
    </comment>
    <comment ref="S2967" authorId="0" shapeId="0" xr:uid="{D65ED61A-7875-41AC-9D84-A6DE4DA0412D}">
      <text>
        <r>
          <rPr>
            <sz val="9"/>
            <color indexed="81"/>
            <rFont val="Segoe UI"/>
            <family val="2"/>
          </rPr>
          <t>WG rule only applicable as of 2026</t>
        </r>
      </text>
    </comment>
    <comment ref="S2989" authorId="2" shapeId="0" xr:uid="{8DB24A09-90DF-4B5C-8B8A-0A782C1A6B37}">
      <text>
        <r>
          <rPr>
            <b/>
            <sz val="9"/>
            <color indexed="81"/>
            <rFont val="Tahoma"/>
            <family val="2"/>
          </rPr>
          <t>1= BM applied --&gt; not used for attr. emissions</t>
        </r>
      </text>
    </comment>
    <comment ref="D3070" authorId="2" shapeId="0" xr:uid="{F19B3696-2687-49BD-A454-51F2D6B33693}">
      <text>
        <r>
          <rPr>
            <sz val="9"/>
            <color indexed="81"/>
            <rFont val="Tahoma"/>
            <family val="2"/>
          </rPr>
          <t>INDEX($W:$W;VERGLEICH(MAX(INDIREKT(ADRESSE(1;3)&amp;":"&amp;ADRESSE(ZEILE(D12);3)));$C:$C;0))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Heller Christian</author>
    <author>Heller</author>
  </authors>
  <commentList>
    <comment ref="AA12" authorId="0" shapeId="0" xr:uid="{2FFE9F64-7628-4601-8DC0-91A18967CC6B}">
      <text>
        <r>
          <rPr>
            <sz val="9"/>
            <color indexed="81"/>
            <rFont val="Segoe UI"/>
            <family val="2"/>
          </rPr>
          <t>for the first not yet FULL year of operation</t>
        </r>
      </text>
    </comment>
    <comment ref="S186" authorId="1" shapeId="0" xr:uid="{63AEDEB5-F403-4E96-8712-C0D7A709DAF8}">
      <text>
        <r>
          <rPr>
            <b/>
            <sz val="9"/>
            <color indexed="81"/>
            <rFont val="Tahoma"/>
            <family val="2"/>
          </rPr>
          <t>1= BM applied --&gt; not used for attr. emissions</t>
        </r>
      </text>
    </comment>
    <comment ref="S190" authorId="1" shapeId="0" xr:uid="{C5F6B0DD-179E-4522-9ECA-BF10262C9646}">
      <text>
        <r>
          <rPr>
            <b/>
            <sz val="9"/>
            <color indexed="81"/>
            <rFont val="Tahoma"/>
            <family val="2"/>
          </rPr>
          <t>1= BM applied --&gt; not used for attr. emissions</t>
        </r>
      </text>
    </comment>
    <comment ref="S194" authorId="1" shapeId="0" xr:uid="{E82F3A4F-B16E-4298-8EB3-6D40C0219F31}">
      <text>
        <r>
          <rPr>
            <b/>
            <sz val="9"/>
            <color indexed="81"/>
            <rFont val="Tahoma"/>
            <family val="2"/>
          </rPr>
          <t>1= BM applied --&gt; not used for attr. emissions</t>
        </r>
      </text>
    </comment>
    <comment ref="S198" authorId="1" shapeId="0" xr:uid="{FAD704A0-4957-4BD5-83E0-6A0AAC82FA42}">
      <text>
        <r>
          <rPr>
            <b/>
            <sz val="9"/>
            <color indexed="81"/>
            <rFont val="Tahoma"/>
            <family val="2"/>
          </rPr>
          <t>1= BM applied --&gt; not used for attr. emissions</t>
        </r>
      </text>
    </comment>
    <comment ref="S202" authorId="1" shapeId="0" xr:uid="{6DB08DC5-B576-4D00-9C5D-14332EDAA272}">
      <text>
        <r>
          <rPr>
            <b/>
            <sz val="9"/>
            <color indexed="81"/>
            <rFont val="Tahoma"/>
            <family val="2"/>
          </rPr>
          <t>1= BM applied --&gt; not used for attr. emissions</t>
        </r>
      </text>
    </comment>
    <comment ref="AA209" authorId="0" shapeId="0" xr:uid="{9F2B646F-02B1-4727-8746-D6AD4BF0104A}">
      <text>
        <r>
          <rPr>
            <sz val="9"/>
            <color indexed="81"/>
            <rFont val="Segoe UI"/>
            <family val="2"/>
          </rPr>
          <t>for the first not yet FULL year of operation</t>
        </r>
      </text>
    </comment>
    <comment ref="S383" authorId="1" shapeId="0" xr:uid="{F059374B-118F-42D9-934A-0290345E9EEC}">
      <text>
        <r>
          <rPr>
            <b/>
            <sz val="9"/>
            <color indexed="81"/>
            <rFont val="Tahoma"/>
            <family val="2"/>
          </rPr>
          <t>1= BM applied --&gt; not used for attr. emissions</t>
        </r>
      </text>
    </comment>
    <comment ref="S387" authorId="1" shapeId="0" xr:uid="{5033BEC5-53E5-4E4B-A85A-44B878B98C32}">
      <text>
        <r>
          <rPr>
            <b/>
            <sz val="9"/>
            <color indexed="81"/>
            <rFont val="Tahoma"/>
            <family val="2"/>
          </rPr>
          <t>1= BM applied --&gt; not used for attr. emissions</t>
        </r>
      </text>
    </comment>
    <comment ref="S391" authorId="1" shapeId="0" xr:uid="{B5C7AE0E-ECBF-46A5-9255-E6D4ED44473D}">
      <text>
        <r>
          <rPr>
            <b/>
            <sz val="9"/>
            <color indexed="81"/>
            <rFont val="Tahoma"/>
            <family val="2"/>
          </rPr>
          <t>1= BM applied --&gt; not used for attr. emissions</t>
        </r>
      </text>
    </comment>
    <comment ref="S395" authorId="1" shapeId="0" xr:uid="{72BE8F8A-7E2E-40AF-8113-2A98058DA3FF}">
      <text>
        <r>
          <rPr>
            <b/>
            <sz val="9"/>
            <color indexed="81"/>
            <rFont val="Tahoma"/>
            <family val="2"/>
          </rPr>
          <t>1= BM applied --&gt; not used for attr. emissions</t>
        </r>
      </text>
    </comment>
    <comment ref="S399" authorId="1" shapeId="0" xr:uid="{62C2CFD2-5E75-41B5-929F-270F98A745FA}">
      <text>
        <r>
          <rPr>
            <b/>
            <sz val="9"/>
            <color indexed="81"/>
            <rFont val="Tahoma"/>
            <family val="2"/>
          </rPr>
          <t>1= BM applied --&gt; not used for attr. emissions</t>
        </r>
      </text>
    </comment>
    <comment ref="AA406" authorId="0" shapeId="0" xr:uid="{916E7B45-6807-4D74-95CA-105870BDD5B4}">
      <text>
        <r>
          <rPr>
            <sz val="9"/>
            <color indexed="81"/>
            <rFont val="Segoe UI"/>
            <family val="2"/>
          </rPr>
          <t>for the first not yet FULL year of operation</t>
        </r>
      </text>
    </comment>
    <comment ref="S506" authorId="1" shapeId="0" xr:uid="{6963910B-7120-4305-8EF0-590C3F3429CF}">
      <text>
        <r>
          <rPr>
            <b/>
            <sz val="9"/>
            <color indexed="81"/>
            <rFont val="Tahoma"/>
            <family val="2"/>
          </rPr>
          <t>1= BM applied --&gt; not used for attr. emissions</t>
        </r>
      </text>
    </comment>
    <comment ref="S510" authorId="1" shapeId="0" xr:uid="{9F021DA4-88C2-4BE2-950D-C9F6519CA8F7}">
      <text>
        <r>
          <rPr>
            <b/>
            <sz val="9"/>
            <color indexed="81"/>
            <rFont val="Tahoma"/>
            <family val="2"/>
          </rPr>
          <t>1= BM applied --&gt; not used for attr. emissions</t>
        </r>
      </text>
    </comment>
    <comment ref="S514" authorId="1" shapeId="0" xr:uid="{D3C50E16-67DD-42AF-8507-AB83AD748908}">
      <text>
        <r>
          <rPr>
            <b/>
            <sz val="9"/>
            <color indexed="81"/>
            <rFont val="Tahoma"/>
            <family val="2"/>
          </rPr>
          <t>1= BM applied --&gt; not used for attr. emissions</t>
        </r>
      </text>
    </comment>
    <comment ref="S518" authorId="1" shapeId="0" xr:uid="{78CF965A-BCE5-4164-819C-07105A683923}">
      <text>
        <r>
          <rPr>
            <b/>
            <sz val="9"/>
            <color indexed="81"/>
            <rFont val="Tahoma"/>
            <family val="2"/>
          </rPr>
          <t>1= BM applied --&gt; not used for attr. emissions</t>
        </r>
      </text>
    </comment>
    <comment ref="S522" authorId="1" shapeId="0" xr:uid="{1EB541D9-0AC2-4986-8875-7D34FD6DC509}">
      <text>
        <r>
          <rPr>
            <b/>
            <sz val="9"/>
            <color indexed="81"/>
            <rFont val="Tahoma"/>
            <family val="2"/>
          </rPr>
          <t>1= BM applied --&gt; not used for attr. emissions</t>
        </r>
      </text>
    </comment>
    <comment ref="AA529" authorId="0" shapeId="0" xr:uid="{9C593349-7125-4BD1-AC75-C7332080587F}">
      <text>
        <r>
          <rPr>
            <sz val="9"/>
            <color indexed="81"/>
            <rFont val="Segoe UI"/>
            <family val="2"/>
          </rPr>
          <t>for the first not yet FULL year of operation</t>
        </r>
      </text>
    </comment>
    <comment ref="S664" authorId="1" shapeId="0" xr:uid="{1270E382-A69F-406E-9D6F-2436A9293D5E}">
      <text>
        <r>
          <rPr>
            <b/>
            <sz val="9"/>
            <color indexed="81"/>
            <rFont val="Tahoma"/>
            <family val="2"/>
          </rPr>
          <t>1= BM applied --&gt; not used for attr. emissions</t>
        </r>
      </text>
    </comment>
    <comment ref="AA676" authorId="0" shapeId="0" xr:uid="{8BD61BB1-8F2E-4BF3-82D3-F98BC207FC9D}">
      <text>
        <r>
          <rPr>
            <sz val="9"/>
            <color indexed="81"/>
            <rFont val="Segoe UI"/>
            <family val="2"/>
          </rPr>
          <t>for the first not yet FULL year of operation</t>
        </r>
      </text>
    </comment>
    <comment ref="S811" authorId="1" shapeId="0" xr:uid="{AA46496A-15EF-45B9-9633-3234B8051FF7}">
      <text>
        <r>
          <rPr>
            <b/>
            <sz val="9"/>
            <color indexed="81"/>
            <rFont val="Tahoma"/>
            <family val="2"/>
          </rPr>
          <t>1= BM applied --&gt; not used for attr. emissions</t>
        </r>
      </text>
    </comment>
    <comment ref="AA823" authorId="0" shapeId="0" xr:uid="{D14F36BB-45A1-42E5-9223-F0B4E1DD82A0}">
      <text>
        <r>
          <rPr>
            <sz val="9"/>
            <color indexed="81"/>
            <rFont val="Segoe UI"/>
            <family val="2"/>
          </rPr>
          <t>for the first not yet FULL year of operation</t>
        </r>
      </text>
    </comment>
    <comment ref="AA883" authorId="0" shapeId="0" xr:uid="{1D8AEEAD-8D5D-4F04-9DA5-8790F3295066}">
      <text>
        <r>
          <rPr>
            <sz val="9"/>
            <color indexed="81"/>
            <rFont val="Segoe UI"/>
            <family val="2"/>
          </rPr>
          <t>for the first not yet FULL year of operation</t>
        </r>
      </text>
    </comment>
    <comment ref="D966" authorId="1" shapeId="0" xr:uid="{35ABE047-9B73-45C7-945D-234BCB3F0FAA}">
      <text>
        <r>
          <rPr>
            <sz val="9"/>
            <color indexed="81"/>
            <rFont val="Tahoma"/>
            <family val="2"/>
          </rPr>
          <t>INDEX($W:$W;VERGLEICH(MAX(INDIREKT(ADRESSE(1;3)&amp;":"&amp;ADRESSE(ZEILE(D12);3)));$C:$C;0))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Heller Christian</author>
  </authors>
  <commentList>
    <comment ref="AA174" authorId="0" shapeId="0" xr:uid="{B7EAB9EC-205C-45AF-930B-C4965A76C4ED}">
      <text>
        <r>
          <rPr>
            <sz val="9"/>
            <color indexed="81"/>
            <rFont val="Segoe UI"/>
            <family val="2"/>
          </rPr>
          <t>for the first not yet FULL year of operation</t>
        </r>
      </text>
    </comment>
    <comment ref="AA380" authorId="0" shapeId="0" xr:uid="{D698CF9F-4FD2-4D9B-AB64-5D88691758D8}">
      <text>
        <r>
          <rPr>
            <sz val="9"/>
            <color indexed="81"/>
            <rFont val="Segoe UI"/>
            <family val="2"/>
          </rPr>
          <t>for the first not yet FULL year of operation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Heller Christian</author>
  </authors>
  <commentList>
    <comment ref="S585" authorId="0" shapeId="0" xr:uid="{896ECFB3-E243-4962-B054-EEB76EE63F62}">
      <text>
        <r>
          <rPr>
            <sz val="9"/>
            <color indexed="81"/>
            <rFont val="Segoe UI"/>
            <family val="2"/>
          </rPr>
          <t xml:space="preserve">needed for start after 2020 = where HAL values do not precede annual allocation
</t>
        </r>
      </text>
    </comment>
    <comment ref="U592" authorId="0" shapeId="0" xr:uid="{7731FFAB-D1FC-4363-81A0-A1EC49D812E8}">
      <text>
        <r>
          <rPr>
            <sz val="9"/>
            <color indexed="81"/>
            <rFont val="Segoe UI"/>
            <family val="2"/>
          </rPr>
          <t>checks for ALC changes in the current year
OR
New sub &lt;= 1year since first full year</t>
        </r>
      </text>
    </comment>
    <comment ref="V592" authorId="0" shapeId="0" xr:uid="{0E892EC0-EDD8-4626-BA35-0CBB6C0166B3}">
      <text>
        <r>
          <rPr>
            <sz val="9"/>
            <color indexed="81"/>
            <rFont val="Segoe UI"/>
            <family val="2"/>
          </rPr>
          <t>checks for ALC changes in any year</t>
        </r>
      </text>
    </comment>
    <comment ref="S749" authorId="0" shapeId="0" xr:uid="{69786997-D736-4B54-83B3-AB89D905CEDA}">
      <text>
        <r>
          <rPr>
            <sz val="9"/>
            <color indexed="81"/>
            <rFont val="Segoe UI"/>
            <family val="2"/>
          </rPr>
          <t xml:space="preserve">needed for start after 2020 = where HAL values do not precede annual allocation
</t>
        </r>
      </text>
    </comment>
    <comment ref="U756" authorId="0" shapeId="0" xr:uid="{A593C38E-F999-43B1-9901-97BC57C7E09C}">
      <text>
        <r>
          <rPr>
            <sz val="9"/>
            <color indexed="81"/>
            <rFont val="Segoe UI"/>
            <family val="2"/>
          </rPr>
          <t>checks for ALC changes in the current year
OR
New sub &lt;= 1year since first full year</t>
        </r>
      </text>
    </comment>
    <comment ref="V756" authorId="0" shapeId="0" xr:uid="{00CC5DDD-1186-42B5-8D9D-768C36A67C33}">
      <text>
        <r>
          <rPr>
            <sz val="9"/>
            <color indexed="81"/>
            <rFont val="Segoe UI"/>
            <family val="2"/>
          </rPr>
          <t>checks for ALC changes in any year</t>
        </r>
      </text>
    </comment>
    <comment ref="S913" authorId="0" shapeId="0" xr:uid="{6ED44EF5-FCCF-48F6-A3E2-499E762DB04D}">
      <text>
        <r>
          <rPr>
            <sz val="9"/>
            <color indexed="81"/>
            <rFont val="Segoe UI"/>
            <family val="2"/>
          </rPr>
          <t xml:space="preserve">needed for start after 2020 = where HAL values do not precede annual allocation
</t>
        </r>
      </text>
    </comment>
    <comment ref="U920" authorId="0" shapeId="0" xr:uid="{BE5D3616-7C75-43F4-B69D-19C2263C1421}">
      <text>
        <r>
          <rPr>
            <sz val="9"/>
            <color indexed="81"/>
            <rFont val="Segoe UI"/>
            <family val="2"/>
          </rPr>
          <t>checks for ALC changes in the current year
OR
New sub &lt;= 1year since first full year</t>
        </r>
      </text>
    </comment>
    <comment ref="V920" authorId="0" shapeId="0" xr:uid="{C9597833-941C-4694-8F7C-1E69801CDF47}">
      <text>
        <r>
          <rPr>
            <sz val="9"/>
            <color indexed="81"/>
            <rFont val="Segoe UI"/>
            <family val="2"/>
          </rPr>
          <t>checks for ALC changes in any year</t>
        </r>
      </text>
    </comment>
    <comment ref="S1077" authorId="0" shapeId="0" xr:uid="{66C3D163-5AD5-477F-B8E0-F9C0A76DD0F0}">
      <text>
        <r>
          <rPr>
            <sz val="9"/>
            <color indexed="81"/>
            <rFont val="Segoe UI"/>
            <family val="2"/>
          </rPr>
          <t xml:space="preserve">needed for start after 2020 = where HAL values do not precede annual allocation
</t>
        </r>
      </text>
    </comment>
    <comment ref="U1084" authorId="0" shapeId="0" xr:uid="{4637D884-CF8A-47F4-9264-AB3AEEA2ED67}">
      <text>
        <r>
          <rPr>
            <sz val="9"/>
            <color indexed="81"/>
            <rFont val="Segoe UI"/>
            <family val="2"/>
          </rPr>
          <t>checks for ALC changes in the current year
OR
New sub &lt;= 1year since first full year</t>
        </r>
      </text>
    </comment>
    <comment ref="V1084" authorId="0" shapeId="0" xr:uid="{475C3EC3-90A4-43CC-8490-0E5CE709A180}">
      <text>
        <r>
          <rPr>
            <sz val="9"/>
            <color indexed="81"/>
            <rFont val="Segoe UI"/>
            <family val="2"/>
          </rPr>
          <t>checks for ALC changes in any year</t>
        </r>
      </text>
    </comment>
    <comment ref="S1241" authorId="0" shapeId="0" xr:uid="{D183D540-B1DF-40A1-9793-49296A389556}">
      <text>
        <r>
          <rPr>
            <sz val="9"/>
            <color indexed="81"/>
            <rFont val="Segoe UI"/>
            <family val="2"/>
          </rPr>
          <t xml:space="preserve">needed for start after 2020 = where HAL values do not precede annual allocation
</t>
        </r>
      </text>
    </comment>
    <comment ref="U1248" authorId="0" shapeId="0" xr:uid="{42AFA99D-CB81-4DC6-B48F-3C036F056765}">
      <text>
        <r>
          <rPr>
            <sz val="9"/>
            <color indexed="81"/>
            <rFont val="Segoe UI"/>
            <family val="2"/>
          </rPr>
          <t>checks for ALC changes in the current year
OR
New sub &lt;= 1year since first full year</t>
        </r>
      </text>
    </comment>
    <comment ref="V1248" authorId="0" shapeId="0" xr:uid="{A7119C1A-FBDA-477F-9DC7-0244D6237141}">
      <text>
        <r>
          <rPr>
            <sz val="9"/>
            <color indexed="81"/>
            <rFont val="Segoe UI"/>
            <family val="2"/>
          </rPr>
          <t>checks for ALC changes in any year</t>
        </r>
      </text>
    </comment>
    <comment ref="S1405" authorId="0" shapeId="0" xr:uid="{1BC9DA0A-069B-441C-91DC-F371AEB5B850}">
      <text>
        <r>
          <rPr>
            <sz val="9"/>
            <color indexed="81"/>
            <rFont val="Segoe UI"/>
            <family val="2"/>
          </rPr>
          <t xml:space="preserve">needed for start after 2020 = where HAL values do not precede annual allocation
</t>
        </r>
      </text>
    </comment>
    <comment ref="U1412" authorId="0" shapeId="0" xr:uid="{AE607316-D368-488A-9E40-07A4EC2E10DD}">
      <text>
        <r>
          <rPr>
            <sz val="9"/>
            <color indexed="81"/>
            <rFont val="Segoe UI"/>
            <family val="2"/>
          </rPr>
          <t>checks for ALC changes in the current year
OR
New sub &lt;= 1year since first full year</t>
        </r>
      </text>
    </comment>
    <comment ref="V1412" authorId="0" shapeId="0" xr:uid="{5274EBD9-FC74-4A29-9E46-DB91C2EE4651}">
      <text>
        <r>
          <rPr>
            <sz val="9"/>
            <color indexed="81"/>
            <rFont val="Segoe UI"/>
            <family val="2"/>
          </rPr>
          <t>checks for ALC changes in any year</t>
        </r>
      </text>
    </comment>
    <comment ref="S1569" authorId="0" shapeId="0" xr:uid="{11C41249-9204-4199-B43A-D35E37FBF16E}">
      <text>
        <r>
          <rPr>
            <sz val="9"/>
            <color indexed="81"/>
            <rFont val="Segoe UI"/>
            <family val="2"/>
          </rPr>
          <t xml:space="preserve">needed for start after 2020 = where HAL values do not precede annual allocation
</t>
        </r>
      </text>
    </comment>
    <comment ref="U1576" authorId="0" shapeId="0" xr:uid="{42641C80-E08B-43BC-9539-547754FDCA5A}">
      <text>
        <r>
          <rPr>
            <sz val="9"/>
            <color indexed="81"/>
            <rFont val="Segoe UI"/>
            <family val="2"/>
          </rPr>
          <t>checks for ALC changes in the current year
OR
New sub &lt;= 1year since first full year</t>
        </r>
      </text>
    </comment>
    <comment ref="V1576" authorId="0" shapeId="0" xr:uid="{DE462010-0ECA-48DE-88E2-7696A65EBE43}">
      <text>
        <r>
          <rPr>
            <sz val="9"/>
            <color indexed="81"/>
            <rFont val="Segoe UI"/>
            <family val="2"/>
          </rPr>
          <t>checks for ALC changes in any year</t>
        </r>
      </text>
    </comment>
    <comment ref="S1733" authorId="0" shapeId="0" xr:uid="{A76AA6F0-B7E3-41C3-B8B5-4EFD86AAFF8A}">
      <text>
        <r>
          <rPr>
            <sz val="9"/>
            <color indexed="81"/>
            <rFont val="Segoe UI"/>
            <family val="2"/>
          </rPr>
          <t xml:space="preserve">needed for start after 2020 = where HAL values do not precede annual allocation
</t>
        </r>
      </text>
    </comment>
    <comment ref="U1740" authorId="0" shapeId="0" xr:uid="{9D9688C0-8B79-4330-9B65-F2219D3E4764}">
      <text>
        <r>
          <rPr>
            <sz val="9"/>
            <color indexed="81"/>
            <rFont val="Segoe UI"/>
            <family val="2"/>
          </rPr>
          <t>checks for ALC changes in the current year
OR
New sub &lt;= 1year since first full year</t>
        </r>
      </text>
    </comment>
    <comment ref="V1740" authorId="0" shapeId="0" xr:uid="{45C1F212-642C-424C-840A-EC7FCF0B1495}">
      <text>
        <r>
          <rPr>
            <sz val="9"/>
            <color indexed="81"/>
            <rFont val="Segoe UI"/>
            <family val="2"/>
          </rPr>
          <t>checks for ALC changes in any year</t>
        </r>
      </text>
    </comment>
    <comment ref="S1897" authorId="0" shapeId="0" xr:uid="{6FFED5A6-5F78-464D-B1BE-BBD2D7325A4A}">
      <text>
        <r>
          <rPr>
            <sz val="9"/>
            <color indexed="81"/>
            <rFont val="Segoe UI"/>
            <family val="2"/>
          </rPr>
          <t xml:space="preserve">needed for start after 2020 = where HAL values do not precede annual allocation
</t>
        </r>
      </text>
    </comment>
    <comment ref="U1904" authorId="0" shapeId="0" xr:uid="{6E15DDB3-71C9-406B-8E7B-2A86E56959C2}">
      <text>
        <r>
          <rPr>
            <sz val="9"/>
            <color indexed="81"/>
            <rFont val="Segoe UI"/>
            <family val="2"/>
          </rPr>
          <t>checks for ALC changes in the current year
OR
New sub &lt;= 1year since first full year</t>
        </r>
      </text>
    </comment>
    <comment ref="V1904" authorId="0" shapeId="0" xr:uid="{3EF626E2-3246-45B8-8BA7-2F148A994F6E}">
      <text>
        <r>
          <rPr>
            <sz val="9"/>
            <color indexed="81"/>
            <rFont val="Segoe UI"/>
            <family val="2"/>
          </rPr>
          <t>checks for ALC changes in any year</t>
        </r>
      </text>
    </comment>
    <comment ref="S2061" authorId="0" shapeId="0" xr:uid="{7C5A2DBD-C398-4579-94B4-F75C36C4C710}">
      <text>
        <r>
          <rPr>
            <sz val="9"/>
            <color indexed="81"/>
            <rFont val="Segoe UI"/>
            <family val="2"/>
          </rPr>
          <t xml:space="preserve">needed for start after 2020 = where HAL values do not precede annual allocation
</t>
        </r>
      </text>
    </comment>
    <comment ref="U2068" authorId="0" shapeId="0" xr:uid="{8FCD4CD2-7EA1-4A76-8007-159CF3346130}">
      <text>
        <r>
          <rPr>
            <sz val="9"/>
            <color indexed="81"/>
            <rFont val="Segoe UI"/>
            <family val="2"/>
          </rPr>
          <t>checks for ALC changes in the current year
OR
New sub &lt;= 1year since first full year</t>
        </r>
      </text>
    </comment>
    <comment ref="V2068" authorId="0" shapeId="0" xr:uid="{382E8B42-55F0-4F61-A3D7-1683BE192EAC}">
      <text>
        <r>
          <rPr>
            <sz val="9"/>
            <color indexed="81"/>
            <rFont val="Segoe UI"/>
            <family val="2"/>
          </rPr>
          <t>checks for ALC changes in any year</t>
        </r>
      </text>
    </comment>
    <comment ref="S2154" authorId="0" shapeId="0" xr:uid="{E0C5FE2D-DEC9-4312-8A70-A12F4D81AFB7}">
      <text>
        <r>
          <rPr>
            <sz val="9"/>
            <color indexed="81"/>
            <rFont val="Segoe UI"/>
            <family val="2"/>
          </rPr>
          <t xml:space="preserve">needed for start after 2020 = where HAL values do not precede annual allocation
</t>
        </r>
      </text>
    </comment>
    <comment ref="V2155" authorId="0" shapeId="0" xr:uid="{A95C963E-ADCF-4818-A183-233C14C58924}">
      <text>
        <r>
          <rPr>
            <sz val="9"/>
            <color indexed="81"/>
            <rFont val="Segoe UI"/>
            <family val="2"/>
          </rPr>
          <t>EnEff current year TRUE
AND
EnEff in previous years TRUE</t>
        </r>
      </text>
    </comment>
    <comment ref="U2156" authorId="0" shapeId="0" xr:uid="{D04F4AF2-9737-4E23-9CB6-05BDA391001F}">
      <text>
        <r>
          <rPr>
            <sz val="9"/>
            <color indexed="81"/>
            <rFont val="Segoe UI"/>
            <family val="2"/>
          </rPr>
          <t>checks for ALC changes in the current year
OR
New sub &lt;= 1year since first full year</t>
        </r>
      </text>
    </comment>
    <comment ref="V2156" authorId="0" shapeId="0" xr:uid="{7DFB9FE2-EDEB-43E4-9458-972D44715133}">
      <text>
        <r>
          <rPr>
            <sz val="9"/>
            <color indexed="81"/>
            <rFont val="Segoe UI"/>
            <family val="2"/>
          </rPr>
          <t>checks for ALC changes in any year</t>
        </r>
      </text>
    </comment>
    <comment ref="S2221" authorId="0" shapeId="0" xr:uid="{FB14B375-D2B8-45B3-BABE-0AEAC01E38D0}">
      <text>
        <r>
          <rPr>
            <sz val="9"/>
            <color indexed="81"/>
            <rFont val="Segoe UI"/>
            <family val="2"/>
          </rPr>
          <t xml:space="preserve">needed for start after 2020 = where HAL values do not precede annual allocation
</t>
        </r>
      </text>
    </comment>
    <comment ref="V2222" authorId="0" shapeId="0" xr:uid="{940A71D8-1163-4B35-8E90-F8247C1AD4C9}">
      <text>
        <r>
          <rPr>
            <sz val="9"/>
            <color indexed="81"/>
            <rFont val="Segoe UI"/>
            <family val="2"/>
          </rPr>
          <t>EnEff current year TRUE
AND
EnEff in previous years TRUE</t>
        </r>
      </text>
    </comment>
    <comment ref="U2223" authorId="0" shapeId="0" xr:uid="{1BEEFF4D-873F-4E54-9A52-8F7C77455579}">
      <text>
        <r>
          <rPr>
            <sz val="9"/>
            <color indexed="81"/>
            <rFont val="Segoe UI"/>
            <family val="2"/>
          </rPr>
          <t>checks for ALC changes in the current year
OR
New sub &lt;= 1year since first full year</t>
        </r>
      </text>
    </comment>
    <comment ref="V2223" authorId="0" shapeId="0" xr:uid="{DB175E9D-8347-4F79-8805-65B3BA8A978D}">
      <text>
        <r>
          <rPr>
            <sz val="9"/>
            <color indexed="81"/>
            <rFont val="Segoe UI"/>
            <family val="2"/>
          </rPr>
          <t>checks for ALC changes in any year</t>
        </r>
      </text>
    </comment>
    <comment ref="S2280" authorId="0" shapeId="0" xr:uid="{BE341FBC-128F-4495-823C-2AFA30A6957C}">
      <text>
        <r>
          <rPr>
            <sz val="9"/>
            <color indexed="81"/>
            <rFont val="Segoe UI"/>
            <family val="2"/>
          </rPr>
          <t xml:space="preserve">needed for start after 2020 = where HAL values do not precede annual allocation
</t>
        </r>
      </text>
    </comment>
    <comment ref="U2282" authorId="0" shapeId="0" xr:uid="{668B324E-997E-452E-8DA4-B96B4E2D4970}">
      <text>
        <r>
          <rPr>
            <sz val="9"/>
            <color indexed="81"/>
            <rFont val="Segoe UI"/>
            <family val="2"/>
          </rPr>
          <t>checks for ALC changes in the current year
OR
New sub &lt;= 1year since first full year</t>
        </r>
      </text>
    </comment>
    <comment ref="V2282" authorId="0" shapeId="0" xr:uid="{3857B6A6-C19D-4301-9FEC-8CF2130A793D}">
      <text>
        <r>
          <rPr>
            <sz val="9"/>
            <color indexed="81"/>
            <rFont val="Segoe UI"/>
            <family val="2"/>
          </rPr>
          <t>checks for ALC changes in any year</t>
        </r>
      </text>
    </comment>
    <comment ref="S2347" authorId="0" shapeId="0" xr:uid="{6D2FB614-9258-4210-8BB1-3B2786AFAF42}">
      <text>
        <r>
          <rPr>
            <sz val="9"/>
            <color indexed="81"/>
            <rFont val="Segoe UI"/>
            <family val="2"/>
          </rPr>
          <t xml:space="preserve">needed for start after 2020 = where HAL values do not precede annual allocation
</t>
        </r>
      </text>
    </comment>
    <comment ref="V2348" authorId="0" shapeId="0" xr:uid="{E2A25CDC-D4F2-441C-B5BF-9521293457DC}">
      <text>
        <r>
          <rPr>
            <sz val="9"/>
            <color indexed="81"/>
            <rFont val="Segoe UI"/>
            <family val="2"/>
          </rPr>
          <t>EnEff current year TRUE
AND
EnEff in previous years TRUE</t>
        </r>
      </text>
    </comment>
    <comment ref="U2349" authorId="0" shapeId="0" xr:uid="{49C8F62C-705A-4D5B-B625-83BFF2FFDC56}">
      <text>
        <r>
          <rPr>
            <sz val="9"/>
            <color indexed="81"/>
            <rFont val="Segoe UI"/>
            <family val="2"/>
          </rPr>
          <t>checks for ALC changes in the current year
OR
New sub &lt;= 1year since first full year</t>
        </r>
      </text>
    </comment>
    <comment ref="V2349" authorId="0" shapeId="0" xr:uid="{49A1462A-423B-4107-9648-6CD6435620B4}">
      <text>
        <r>
          <rPr>
            <sz val="9"/>
            <color indexed="81"/>
            <rFont val="Segoe UI"/>
            <family val="2"/>
          </rPr>
          <t>checks for ALC changes in any year</t>
        </r>
      </text>
    </comment>
    <comment ref="S2404" authorId="0" shapeId="0" xr:uid="{C5E630C2-E189-42E0-BA81-3D03D03ED473}">
      <text>
        <r>
          <rPr>
            <sz val="9"/>
            <color indexed="81"/>
            <rFont val="Segoe UI"/>
            <family val="2"/>
          </rPr>
          <t xml:space="preserve">needed for start after 2020 = where HAL values do not precede annual allocation
</t>
        </r>
      </text>
    </comment>
    <comment ref="V2405" authorId="0" shapeId="0" xr:uid="{C7CD5D2B-B6E2-4E01-998E-1A3AAB539E38}">
      <text>
        <r>
          <rPr>
            <sz val="9"/>
            <color indexed="81"/>
            <rFont val="Segoe UI"/>
            <family val="2"/>
          </rPr>
          <t>EnEff current year TRUE
AND
EnEff in previous years TRUE</t>
        </r>
      </text>
    </comment>
    <comment ref="U2406" authorId="0" shapeId="0" xr:uid="{D5143E2A-835D-4D92-8FC6-F2C02DBF1C98}">
      <text>
        <r>
          <rPr>
            <sz val="9"/>
            <color indexed="81"/>
            <rFont val="Segoe UI"/>
            <family val="2"/>
          </rPr>
          <t>checks for ALC changes in the current year
OR
New sub &lt;= 1year since first full year</t>
        </r>
      </text>
    </comment>
    <comment ref="V2406" authorId="0" shapeId="0" xr:uid="{E792BF19-23FD-416B-B7E1-71D777DC11FE}">
      <text>
        <r>
          <rPr>
            <sz val="9"/>
            <color indexed="81"/>
            <rFont val="Segoe UI"/>
            <family val="2"/>
          </rPr>
          <t>checks for ALC changes in any year</t>
        </r>
      </text>
    </comment>
    <comment ref="S2453" authorId="0" shapeId="0" xr:uid="{17CE99C0-F064-48E6-B22F-12C3393C6B0E}">
      <text>
        <r>
          <rPr>
            <sz val="9"/>
            <color indexed="81"/>
            <rFont val="Segoe UI"/>
            <family val="2"/>
          </rPr>
          <t xml:space="preserve">needed for start after 2020 = where HAL values do not precede annual allocation
</t>
        </r>
      </text>
    </comment>
    <comment ref="U2455" authorId="0" shapeId="0" xr:uid="{88BB8E62-3897-4EBD-B723-821FF19CECF0}">
      <text>
        <r>
          <rPr>
            <sz val="9"/>
            <color indexed="81"/>
            <rFont val="Segoe UI"/>
            <family val="2"/>
          </rPr>
          <t>checks for ALC changes in the current year
OR
New sub &lt;= 1year since first full year</t>
        </r>
      </text>
    </comment>
    <comment ref="V2455" authorId="0" shapeId="0" xr:uid="{D65C8897-7E0A-4130-AECF-EA47DD2AABCD}">
      <text>
        <r>
          <rPr>
            <sz val="9"/>
            <color indexed="81"/>
            <rFont val="Segoe UI"/>
            <family val="2"/>
          </rPr>
          <t>checks for ALC changes in any year</t>
        </r>
      </text>
    </comment>
    <comment ref="S2492" authorId="0" shapeId="0" xr:uid="{C30568CC-69B2-4F8B-A300-C6D363A02055}">
      <text>
        <r>
          <rPr>
            <sz val="9"/>
            <color indexed="81"/>
            <rFont val="Segoe UI"/>
            <family val="2"/>
          </rPr>
          <t xml:space="preserve">needed for start after 2020 = where HAL values do not precede annual allocation
</t>
        </r>
      </text>
    </comment>
    <comment ref="U2494" authorId="0" shapeId="0" xr:uid="{A3E31D21-6669-426C-8D0B-7AFD36FD6630}">
      <text>
        <r>
          <rPr>
            <sz val="9"/>
            <color indexed="81"/>
            <rFont val="Segoe UI"/>
            <family val="2"/>
          </rPr>
          <t>checks for ALC changes in the current year
OR
New sub &lt;= 1year since first full year</t>
        </r>
      </text>
    </comment>
    <comment ref="V2494" authorId="0" shapeId="0" xr:uid="{0CE553FF-BDF8-4BA2-B213-AAFC14A33D20}">
      <text>
        <r>
          <rPr>
            <sz val="9"/>
            <color indexed="81"/>
            <rFont val="Segoe UI"/>
            <family val="2"/>
          </rPr>
          <t>checks for ALC changes in any year</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Heller</author>
  </authors>
  <commentList>
    <comment ref="A2" authorId="0" shapeId="0" xr:uid="{C0C16D7B-1510-4E99-BFDF-73C71B718600}">
      <text>
        <r>
          <rPr>
            <sz val="9"/>
            <color indexed="81"/>
            <rFont val="Tahoma"/>
            <family val="2"/>
          </rPr>
          <t xml:space="preserve">FALSE = draft preliminary data collection
TRUE = actual BM values included
</t>
        </r>
      </text>
    </comment>
  </commentList>
</comments>
</file>

<file path=xl/sharedStrings.xml><?xml version="1.0" encoding="utf-8"?>
<sst xmlns="http://schemas.openxmlformats.org/spreadsheetml/2006/main" count="9755" uniqueCount="3865">
  <si>
    <t>Reference filename:</t>
  </si>
  <si>
    <t>Information about this file:</t>
  </si>
  <si>
    <t>Version list</t>
  </si>
  <si>
    <t>Languages list</t>
  </si>
  <si>
    <t>In case no data on the content of free CaO is available, a conservative estimate not lower than 52% shall be applied.</t>
  </si>
  <si>
    <t>In case no data on the content of free MgO is available, a conservative estimate not lower than 33% shall be applied.</t>
  </si>
  <si>
    <t>Result: Activity levels for dolime expressed as standard pure dolime</t>
  </si>
  <si>
    <t>Therefore here a plausibility check for that data is included.</t>
  </si>
  <si>
    <t>i.</t>
  </si>
  <si>
    <t>ii.</t>
  </si>
  <si>
    <t>iii.</t>
  </si>
  <si>
    <t>Plausibility check:</t>
  </si>
  <si>
    <t>IV</t>
  </si>
  <si>
    <t>Fuel input for production of measurable heat</t>
  </si>
  <si>
    <t>Net electricity produced from fuels</t>
  </si>
  <si>
    <t>Indicative expected final amount of free allowances:</t>
  </si>
  <si>
    <t>Calculation of preliminary annual amount of allowances allocated free of charge</t>
  </si>
  <si>
    <t>No error messages are displayed in any of the relevant sections of those sheets.</t>
  </si>
  <si>
    <t>The calculation takes into account for each sub-installation, if it is exposed to a significant risk of carbon leakage, or if this is not the case.</t>
  </si>
  <si>
    <t>Total preliminary annual amount of allowances allocated free of charge:</t>
  </si>
  <si>
    <t>Linear factor referred to in Article 10a(4) of the EU ETS Directive:</t>
  </si>
  <si>
    <t>First GHG permit received when the installation was included in the ETS for the first time:</t>
  </si>
  <si>
    <t>This installation is an incumbent:</t>
  </si>
  <si>
    <t>iv.</t>
  </si>
  <si>
    <t>Name of Competent authority:</t>
  </si>
  <si>
    <t>Please list here all relevant documents which are submitted together with this report</t>
  </si>
  <si>
    <t>Documents supporting this report</t>
  </si>
  <si>
    <t>Please provide file name(s) (if in an electronic format) or document reference number(s) (if hard copy) below:</t>
  </si>
  <si>
    <t>File name/Reference</t>
  </si>
  <si>
    <t>Document description</t>
  </si>
  <si>
    <t>Additional documents will be needed to support this report. Please provide this information in an electronic format wherever possible.</t>
  </si>
  <si>
    <t>You can provide information as Microsoft Word, Excel, or Adobe Acrobat formats.</t>
  </si>
  <si>
    <t>Number</t>
  </si>
  <si>
    <t>EUconst_FuelUseTypes</t>
  </si>
  <si>
    <t>Product name or service type</t>
  </si>
  <si>
    <t>NACE codes can be used instead of PRODCOM if several similar products within the same NACE group are covered.</t>
  </si>
  <si>
    <t>Electricity generator:</t>
  </si>
  <si>
    <t>CCS Installation:</t>
  </si>
  <si>
    <t>Installation covered by Art. 10a(3) of the ETS Directive:</t>
  </si>
  <si>
    <t>Installation produces Heat:</t>
  </si>
  <si>
    <t>CNTR_ConfirmationOK</t>
  </si>
  <si>
    <t>EUconst_tCO2pTJorT</t>
  </si>
  <si>
    <t>Coated fine paper</t>
  </si>
  <si>
    <t>Tissue</t>
  </si>
  <si>
    <t>Testliner and fluting</t>
  </si>
  <si>
    <t>Uncoated carton board</t>
  </si>
  <si>
    <t>Coated carton board</t>
  </si>
  <si>
    <t>Energy input from fuels</t>
  </si>
  <si>
    <t>Energy content (calculated)</t>
  </si>
  <si>
    <t>Overview and split into use categories</t>
  </si>
  <si>
    <t>EUconst_AbsRel</t>
  </si>
  <si>
    <t>Absolute values</t>
  </si>
  <si>
    <t>Percentages</t>
  </si>
  <si>
    <t>Input method:</t>
  </si>
  <si>
    <t>For fast data entries in simple cases, where most entries will be "100%" or zero, percentages are the better choice.</t>
  </si>
  <si>
    <t>(c)</t>
  </si>
  <si>
    <t>Measurable heat</t>
  </si>
  <si>
    <t>Usage type of fuel input</t>
  </si>
  <si>
    <t>Total net amount of measurable heat produced in the installation:</t>
  </si>
  <si>
    <t>Measurable heat produced</t>
  </si>
  <si>
    <t>Heat used for electricity production</t>
  </si>
  <si>
    <t>Measurable heat imported from installations covered by the EU ETS:</t>
  </si>
  <si>
    <t>Name of installation</t>
  </si>
  <si>
    <t>Total measurable heat</t>
  </si>
  <si>
    <t>Sum of measurable heat available at installation (=a+b+c)</t>
  </si>
  <si>
    <t>(e)</t>
  </si>
  <si>
    <t>(f)</t>
  </si>
  <si>
    <t>Total heat exported to ETS installations</t>
  </si>
  <si>
    <t>However, if more precise information is available (e.g. because steam from different sources can be distinguished due to different pressure levels, etc), you can enter alternative amounts of "non-eligible" heat below. If that amount exceeds the amount stated in (c).iv, the available maximum is used for further calculation.</t>
  </si>
  <si>
    <t>VI</t>
  </si>
  <si>
    <t>Parameter</t>
  </si>
  <si>
    <t>Direct emissions</t>
  </si>
  <si>
    <t>x.</t>
  </si>
  <si>
    <t>xi.</t>
  </si>
  <si>
    <t>xii.</t>
  </si>
  <si>
    <t>Heat input ratio (a+b) / (a+b+c):</t>
  </si>
  <si>
    <t>Outline of the calculation approach used:</t>
  </si>
  <si>
    <t>Measurable heat consumed for electricity production within the installation (not eligible for heat benchmark):</t>
  </si>
  <si>
    <t xml:space="preserve">Residual Hydrocracking </t>
  </si>
  <si>
    <t xml:space="preserve">Kerosene/ Diesel Hydrotreating </t>
  </si>
  <si>
    <t xml:space="preserve">Residual Hydrotreating </t>
  </si>
  <si>
    <t xml:space="preserve">Hydrogen Production </t>
  </si>
  <si>
    <t xml:space="preserve">Alkylation </t>
  </si>
  <si>
    <t xml:space="preserve">Oxygenate Production </t>
  </si>
  <si>
    <t xml:space="preserve">Propylene Production </t>
  </si>
  <si>
    <t xml:space="preserve">Lube Hydrocracker </t>
  </si>
  <si>
    <t xml:space="preserve">Wax Deoiling </t>
  </si>
  <si>
    <t xml:space="preserve">Lube/Wax Hydrotreating </t>
  </si>
  <si>
    <t>CWT (Refinery products)</t>
  </si>
  <si>
    <t>Tool for calculating the historical activity levels for refinery sub-installations</t>
  </si>
  <si>
    <t>Please enter here the annual throughput data for each CWT function.</t>
  </si>
  <si>
    <t>For the basis the following abbreviations are used:</t>
  </si>
  <si>
    <t>Net fresh feed</t>
  </si>
  <si>
    <t>Reactor feed (includes recycle)</t>
  </si>
  <si>
    <t>Product feed</t>
  </si>
  <si>
    <t>Special factors:</t>
  </si>
  <si>
    <t>EUconst_EUA</t>
  </si>
  <si>
    <t>EUA</t>
  </si>
  <si>
    <t>EUconst_EUApa</t>
  </si>
  <si>
    <t>EUconst_EUApt</t>
  </si>
  <si>
    <t>Default values</t>
  </si>
  <si>
    <t>EUconst_HALsum</t>
  </si>
  <si>
    <t>HALsum_</t>
  </si>
  <si>
    <t>If your competent authority requires you to hand in a signed paper copy of the report, please use the space below for signature:</t>
  </si>
  <si>
    <t>Version comments</t>
  </si>
  <si>
    <t>Tool for calculating the historical activity levels for steam cracking sub-installations</t>
  </si>
  <si>
    <t>You may choose to report either as tonnes or as 1000 Nm3 (cubic meters under standard conditions). The units must be consistent with those for the NCV below.</t>
  </si>
  <si>
    <t>Relevance of this tool in your installation:</t>
  </si>
  <si>
    <t>Uncorrected Lime production:</t>
  </si>
  <si>
    <t>uncorrected lime production</t>
  </si>
  <si>
    <t>Composition data:</t>
  </si>
  <si>
    <t>m(CaO)</t>
  </si>
  <si>
    <t>In case no data on the content of free CaO is available, a conservative estimate not lower than 85% shall be applied.</t>
  </si>
  <si>
    <t>m(MgO)</t>
  </si>
  <si>
    <t>Production details</t>
  </si>
  <si>
    <t>"Import" here means that something enters the boundaries of the installation to which this report refers, "export" means something leaving those boundaries.</t>
  </si>
  <si>
    <t>Material and/or energy flows between sub-installations are not relevant, with the exception of heat stemming from nitric acid production.</t>
  </si>
  <si>
    <t>In case the result is negative, it is set to zero.</t>
  </si>
  <si>
    <t>Consistency check with sheet "E_Energy flows":</t>
  </si>
  <si>
    <t>Identification of products included in this product benchmark sub-installation</t>
  </si>
  <si>
    <t>EUconst_FBSubinst</t>
  </si>
  <si>
    <t>EUconst_MsgEnterThisSection</t>
  </si>
  <si>
    <t>Please enter data in this section!</t>
  </si>
  <si>
    <t>Please proceed to the next sub-installation!</t>
  </si>
  <si>
    <t>EUconst_MsgGoToNextSubInst</t>
  </si>
  <si>
    <t>taken from D.II.2.b</t>
  </si>
  <si>
    <t>BM no.</t>
  </si>
  <si>
    <t>Jump info:</t>
  </si>
  <si>
    <t>BM number:</t>
  </si>
  <si>
    <t>EUconst_MsgBackToSheetF</t>
  </si>
  <si>
    <t>Click here to return to sheet F_ProductBM</t>
  </si>
  <si>
    <t>HALspecial_</t>
  </si>
  <si>
    <t>EUconst_CNTR_HALspecial</t>
  </si>
  <si>
    <t>Special reporting?</t>
  </si>
  <si>
    <t>From sheet "H_SpecialBM":</t>
  </si>
  <si>
    <t>Values used for calculation:</t>
  </si>
  <si>
    <t>However, if a message appears under point (b), the appropriate calculation tool has to be used, and its results are automatically copied into this table under (ii).</t>
  </si>
  <si>
    <t>The result of this tool is automatically copied into sheet "F_ProductBM", input line "(a).ii" of the appropriate sub-installation.</t>
  </si>
  <si>
    <t>EUconst_BM</t>
  </si>
  <si>
    <t>Benchmark</t>
  </si>
  <si>
    <t>Electricity</t>
  </si>
  <si>
    <t>Total net amount of electricity produced in the installation</t>
  </si>
  <si>
    <t>Total electricity imported from the grid or from other installations</t>
  </si>
  <si>
    <t>Electricity imported</t>
  </si>
  <si>
    <t>Total electricity exported to the grid or to other installations</t>
  </si>
  <si>
    <t>Other electricity produced</t>
  </si>
  <si>
    <t>Electricity useable</t>
  </si>
  <si>
    <t>You can choose the method for entering the values in the table below under point (c). Available options are: "Absolute values" (enter TJ/year), or "percentages".</t>
  </si>
  <si>
    <t>EUconst_MWhpa</t>
  </si>
  <si>
    <t>EUconst_tpa</t>
  </si>
  <si>
    <t>EUconst_GJpt</t>
  </si>
  <si>
    <t>EUconst_tCO2pTJ</t>
  </si>
  <si>
    <t>EUconst_tCO2pa</t>
  </si>
  <si>
    <t>EUconst_tCO2pt</t>
  </si>
  <si>
    <t>EUconst_TJpa</t>
  </si>
  <si>
    <t>EUconst_tN2Opa</t>
  </si>
  <si>
    <t>EUconst_tCO2eptN2O</t>
  </si>
  <si>
    <t>EUconst_tCO2epa</t>
  </si>
  <si>
    <t>EUconst_tCO2ept</t>
  </si>
  <si>
    <t>EUconst_relOrTJpa</t>
  </si>
  <si>
    <t>EUconst_relOrMWhpa</t>
  </si>
  <si>
    <t>EUconst_relOrtCO2pa</t>
  </si>
  <si>
    <t>List of sub-installations</t>
  </si>
  <si>
    <t>List of technical connections</t>
  </si>
  <si>
    <t>Product benchmark sub-installations</t>
  </si>
  <si>
    <t>Benchmark List</t>
  </si>
  <si>
    <t>Activity (Annex I ETS Directive)</t>
  </si>
  <si>
    <t>No. of BM</t>
  </si>
  <si>
    <t>alternative BM No.</t>
  </si>
  <si>
    <t>Product benchmark</t>
  </si>
  <si>
    <t>Carbon leakage?</t>
  </si>
  <si>
    <t>Exchangeability electricity</t>
  </si>
  <si>
    <t xml:space="preserve">Refining of mineral oil </t>
  </si>
  <si>
    <t>Refinery products</t>
  </si>
  <si>
    <t>CWT</t>
  </si>
  <si>
    <t xml:space="preserve">Production of coke </t>
  </si>
  <si>
    <t>Coke</t>
  </si>
  <si>
    <t xml:space="preserve">Metal ore (including sulphide ore) roasting or sintering, including pelletisation </t>
  </si>
  <si>
    <t>Sintered ore</t>
  </si>
  <si>
    <t xml:space="preserve">Production of pig iron or steel (primary or secondary fusion) including continuous casting, with a capacity exceeding 2,5 tonnes per hour </t>
  </si>
  <si>
    <t>EAF carbon steel</t>
  </si>
  <si>
    <t>EAF high alloy steel</t>
  </si>
  <si>
    <t>Iron casting</t>
  </si>
  <si>
    <t xml:space="preserve">Production of primary aluminium </t>
  </si>
  <si>
    <t>Pre-bake anode</t>
  </si>
  <si>
    <t>[Primary] Aluminium</t>
  </si>
  <si>
    <t xml:space="preserve">Production of cement clinker in rotary kilns with a production capacity exceeding 500 tonnes per day or in other furnaces with a production capacity exceeding 50 tonnes per day </t>
  </si>
  <si>
    <t>Grey cement clinker</t>
  </si>
  <si>
    <t>White cement clinker</t>
  </si>
  <si>
    <t>When submitting this report to the competent authority for the purpose of establishing the national implementation measures, make sure that no data is entered here.</t>
  </si>
  <si>
    <t>The results displayed here are by no means legally binding. Please see disclaimer in the introduction of this section.</t>
  </si>
  <si>
    <t>Please continue with point (e)!</t>
  </si>
  <si>
    <t>Please continue with data entry under points (c) and (d)!</t>
  </si>
  <si>
    <t>EUconst_MsgGoOn_cd</t>
  </si>
  <si>
    <t>EUconst_MsgGoOn_e</t>
  </si>
  <si>
    <t>Detail address to be provided by the Member State</t>
  </si>
  <si>
    <t>Information sources:</t>
  </si>
  <si>
    <t>EU Websites:</t>
  </si>
  <si>
    <t xml:space="preserve">http://eur-lex.europa.eu/en/index.htm </t>
  </si>
  <si>
    <t>EU-Legislation:</t>
  </si>
  <si>
    <t>EU ETS general:</t>
  </si>
  <si>
    <t>Other Websites:</t>
  </si>
  <si>
    <t>&lt;to be provided by Member State&gt;</t>
  </si>
  <si>
    <t>Helpdesk:</t>
  </si>
  <si>
    <t>&lt;to be provided by Member State, if relevant&gt;</t>
  </si>
  <si>
    <t>Black bold text:</t>
  </si>
  <si>
    <t>Smaller italic text:</t>
  </si>
  <si>
    <t>Shaded fields indicate that an input in another field makes the input here irrelevant.</t>
  </si>
  <si>
    <t>Grey shaded areas should be filled by Member States before publishing customized version of the template.</t>
  </si>
  <si>
    <t>From the remaining amount of measurable heat, it must be determined how much is consumed within the installation (except for electricity production and product benchmark sub-installations). The amount of "eligible" heat remaining at the end of the previous steps is the upper limit.</t>
  </si>
  <si>
    <t>eligible by origin:</t>
  </si>
  <si>
    <t>non-eligible by origin:</t>
  </si>
  <si>
    <t>Non-ETS heat entered in sheet "F_ProductBM" compared to total amount of non-ETS heat imports entered above under point (c):</t>
  </si>
  <si>
    <t>Non-ETS heat entered in sheet "F_ProductBM" compared to total amount of heat for all product benchmarks:</t>
  </si>
  <si>
    <t>Start (up to section e)</t>
  </si>
  <si>
    <t>amount eligible (i.e. not coming from non-ETS):</t>
  </si>
  <si>
    <t>amount non-eligible</t>
  </si>
  <si>
    <t>amount eligible:</t>
  </si>
  <si>
    <t>Electricity production:</t>
  </si>
  <si>
    <t>AFTER electricity production:</t>
  </si>
  <si>
    <t>Product benchmarks</t>
  </si>
  <si>
    <t>AFTER product benchmarks:</t>
  </si>
  <si>
    <t>AFTER export to ETS installations:</t>
  </si>
  <si>
    <t>Export to ETS installations (considered 100% eligible)</t>
  </si>
  <si>
    <t>Determine relevant data (relevant=full baseline period, all years!)</t>
  </si>
  <si>
    <t>Total emissions</t>
  </si>
  <si>
    <t>Amount for allocation correction:</t>
  </si>
  <si>
    <t>EUconst_CNTR_HEAT</t>
  </si>
  <si>
    <t>HEAT_</t>
  </si>
  <si>
    <t>EUconst_CNTR_VCM</t>
  </si>
  <si>
    <t>VCM_</t>
  </si>
  <si>
    <t>It determines the amount which has to be added to the preliminary annual allocation after having corrected for electricity exchangeability.</t>
  </si>
  <si>
    <t>Result: Amount to be added to the preliminary total allocation for the steam cracking sub-installation:</t>
  </si>
  <si>
    <t>EUconst_CNTR_HVC</t>
  </si>
  <si>
    <t>HVC_</t>
  </si>
  <si>
    <t>If the formula results in a negative value, it is replaced by zero.</t>
  </si>
  <si>
    <t>Heat consumed within the installation</t>
  </si>
  <si>
    <t>Tool for calculating the historical activity levels for lime sub-installations</t>
  </si>
  <si>
    <t>The name of the product benchmark sub-installation is displayed automatically based in the inputs in sheet "A_InstallationData".</t>
  </si>
  <si>
    <t xml:space="preserve">Detailed instructions for data entries in this tool can be found at the first copy of this tool. </t>
  </si>
  <si>
    <t>Eligibility for free allocation (section A.II.1):</t>
  </si>
  <si>
    <t>General information (section A.I):</t>
  </si>
  <si>
    <t>Technical connections (section A.IV):</t>
  </si>
  <si>
    <t>If for a sub-installation the calculated preliminary annual amount of allowances allocated free of charge results in a negative value, it is set to zero instead.</t>
  </si>
  <si>
    <t>Baseline Period &amp; Eligibility</t>
  </si>
  <si>
    <t>Emissions &amp; Energy Flows</t>
  </si>
  <si>
    <t>Sub-installation Data</t>
  </si>
  <si>
    <t>Preliminary allocation</t>
  </si>
  <si>
    <t>Production data of Ethylene oxide and glycols:</t>
  </si>
  <si>
    <t>Attribution to sub-installations</t>
  </si>
  <si>
    <t>Total amount of process emissions before subtracting an equivalent for the technically usable energy content:</t>
  </si>
  <si>
    <t>Amount of waste gas produced outside product benchmark sub-installations, including for exports:</t>
  </si>
  <si>
    <t>Calculation results can only be considered correct if complete and consistent data is reported in sections above.</t>
  </si>
  <si>
    <t>This Report must be submitted to your Competent Authority to the following address:</t>
  </si>
  <si>
    <t>Column for</t>
  </si>
  <si>
    <t>The following data is required:</t>
  </si>
  <si>
    <t>Production from supplemental feed:</t>
  </si>
  <si>
    <t>Production from supplemental feed</t>
  </si>
  <si>
    <t>Multiplier 
(t CO2 / t)</t>
  </si>
  <si>
    <t>Please use VCM tool in sheet "SpecialBM" for calculating preliminary allocation.</t>
  </si>
  <si>
    <t>Please use steam cracking tool in sheet "SpecialBM" for calculating historical activity levels and preliminary allocation.</t>
  </si>
  <si>
    <t>allowances</t>
  </si>
  <si>
    <t>EUconst_Allowances</t>
  </si>
  <si>
    <t>IX</t>
  </si>
  <si>
    <t>Net amount of measurable heat imported by this sub-installation from other ETS installations;</t>
  </si>
  <si>
    <t>Please enter here the annual production data expressed as tonnes of dolime, without correction for the composition data:</t>
  </si>
  <si>
    <t>uncorrected dolime production</t>
  </si>
  <si>
    <t>Please select here the product benchmark sub-installations relevant at your installation, if any:</t>
  </si>
  <si>
    <t>Please note that the correct entries here are essential for all subsequent inputs dealing with sub-installations.</t>
  </si>
  <si>
    <t>Sub-installations with fall-back approaches</t>
  </si>
  <si>
    <t>Sheet "Summary" - OVERVIEW OF MOST IMPORTANT DATA</t>
  </si>
  <si>
    <t>(n)</t>
  </si>
  <si>
    <t xml:space="preserve">Distillate / Gasoil Hydrocracking </t>
  </si>
  <si>
    <t>Production or processing of non-ferrous metals, including production of alloys, refining, foundry casting, etc., where combustion units with a total rated thermal input (including fuels used as reducing agents) exceeding 20 MW are operated</t>
  </si>
  <si>
    <t>Capture of greenhouse gases from installations covered by this Directive for the purpose of transport and geological storage in a storage site permitted under Directive 2009/31/EC</t>
  </si>
  <si>
    <t>Transport of greenhouse gases by pipelines for geological storage in a storage site permitted under Directive 2009/31/EC</t>
  </si>
  <si>
    <t>Geological storage of greenhouse gases in a storage site permitted under Directive 2009/31/EC</t>
  </si>
  <si>
    <t>taken from E.I.1.c</t>
  </si>
  <si>
    <t>Needed for G.I.1.a</t>
  </si>
  <si>
    <t>Needed for G.I.2.a</t>
  </si>
  <si>
    <t>Needed for G.I.3.a</t>
  </si>
  <si>
    <t>Needed for G.I.4.a</t>
  </si>
  <si>
    <t>CTRL_InputMethodHeatSubInstSplit</t>
  </si>
  <si>
    <t>a</t>
  </si>
  <si>
    <t>Net imported heat</t>
  </si>
  <si>
    <t>Postcode/ZIP:</t>
  </si>
  <si>
    <t>Email address:</t>
  </si>
  <si>
    <t>Telephone number:</t>
  </si>
  <si>
    <t>Accreditation Member State:</t>
  </si>
  <si>
    <t>Registration number issued by the Accreditation body:</t>
  </si>
  <si>
    <t>Eligibility for free allocation:</t>
  </si>
  <si>
    <t>Is the installation an installation for the capture of CO2, for transport of CO2 or a CO2 storage site?</t>
  </si>
  <si>
    <t>In space below you can enter all information which was not suitable for input in other sheets and which you consider important for the competent authority</t>
  </si>
  <si>
    <t>Contact persons:</t>
  </si>
  <si>
    <t>General information:</t>
  </si>
  <si>
    <t>Activities according to Annex I of the EU ETS Directive:</t>
  </si>
  <si>
    <t>Heat exported to ETS installations (not eligible for heat benchmark):</t>
  </si>
  <si>
    <t>Measurable heat imported from installations and entities not covered by the EU ETS (not eligible for heat benchmark):</t>
  </si>
  <si>
    <t>Sub-total:</t>
  </si>
  <si>
    <t>(g)</t>
  </si>
  <si>
    <t>Heat exported to installations or entities not covered by the EU ETS (e.g. district heating networks):</t>
  </si>
  <si>
    <t>Name of receiving entity or installation</t>
  </si>
  <si>
    <t>Total heat exported to outside ETS:</t>
  </si>
  <si>
    <t>(h)</t>
  </si>
  <si>
    <t>Total heat benchmark sub-installations:</t>
  </si>
  <si>
    <t>(i)</t>
  </si>
  <si>
    <t>EUconst_NA</t>
  </si>
  <si>
    <t>Sub-installation type</t>
  </si>
  <si>
    <t>CL exposed?</t>
  </si>
  <si>
    <t>Heat benchmark sub-installation, CL</t>
  </si>
  <si>
    <t>Heat benchmark sub-installation, non-CL</t>
  </si>
  <si>
    <t>Fuel benchmark sub-installation, CL</t>
  </si>
  <si>
    <t>Fuel benchmark sub-installation, non-CL</t>
  </si>
  <si>
    <t>Process emissions sub-installation, CL</t>
  </si>
  <si>
    <t>Process emissions sub-installation, non-CL</t>
  </si>
  <si>
    <t>Fall-back Sub-Installation List</t>
  </si>
  <si>
    <t>Sub-inst</t>
  </si>
  <si>
    <t>TJ</t>
  </si>
  <si>
    <t>t CO2e</t>
  </si>
  <si>
    <t>EUconst_TJ</t>
  </si>
  <si>
    <t>EUconst_tCO2e</t>
  </si>
  <si>
    <t>Sorting</t>
  </si>
  <si>
    <t>CWT function</t>
  </si>
  <si>
    <t>Basis (kt/a)</t>
  </si>
  <si>
    <t>CWT factor</t>
  </si>
  <si>
    <t>Atmospheric Crude Distillation</t>
  </si>
  <si>
    <t>F</t>
  </si>
  <si>
    <t>K.</t>
  </si>
  <si>
    <t>Sheet "MSspecific" -  ADDITIONAL DATA REQUIREMENTS BY THE MEMBER STATE</t>
  </si>
  <si>
    <t>To be defined by the Member State</t>
  </si>
  <si>
    <t>Consent to use the data contained in this file:</t>
  </si>
  <si>
    <t>EUconst_ConfirmAllowUseOfData</t>
  </si>
  <si>
    <t xml:space="preserve">Competent authorities must ensure to have a unique ID available before notifying any data to the European Commission. </t>
  </si>
  <si>
    <t>Identification of relevant products or services associated with this sub-installation</t>
  </si>
  <si>
    <t>The table also displays the values of CF(EOE) used for calculation. CF(EOE) is the conversion factor for each substance relative to ethylene oxide.</t>
  </si>
  <si>
    <t>This message is automatically generated based on your inputs in sheet "A_InstallationData", section A.III.1.</t>
  </si>
  <si>
    <t>Installation data</t>
  </si>
  <si>
    <t>Baseline period and eligibility</t>
  </si>
  <si>
    <t>BM value</t>
  </si>
  <si>
    <t>non-ETS heat</t>
  </si>
  <si>
    <t>Emissions and Energy Flows</t>
  </si>
  <si>
    <t>HAL (Historic activity level) reported</t>
  </si>
  <si>
    <t>Flow direction options are (perspective of the installation to which this report refers):</t>
  </si>
  <si>
    <t>Import (to this installation)</t>
  </si>
  <si>
    <t>Export (from this installation)</t>
  </si>
  <si>
    <t>Yellow fields indicate mandatory inputs. However, if the topic is not relevant for the installation, no input is required.</t>
  </si>
  <si>
    <t>ausblenden</t>
  </si>
  <si>
    <t>For control purposes, the inputs are displayed here in the unit which you have not chosen for input:</t>
  </si>
  <si>
    <t xml:space="preserve">Special care should be taken for attribution of energy input to the two sub-installations which are relevant for allocation purposes: </t>
  </si>
  <si>
    <t>Fuel benchmark sub-installation "CL" (exposed to a significant risk of Carbon Leakage) and "non-CL" (not exposed to carbon leakage risk).</t>
  </si>
  <si>
    <t>For control purposes, the rest (100% minus total of inputs) is displayed in the bottom line. This refers to energy input which is not eligible for allocation.</t>
  </si>
  <si>
    <t>lv</t>
  </si>
  <si>
    <t>Lithuanian</t>
  </si>
  <si>
    <t>lt</t>
  </si>
  <si>
    <t>Hungarian</t>
  </si>
  <si>
    <t>hu</t>
  </si>
  <si>
    <t>Maltese</t>
  </si>
  <si>
    <t>mt</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</si>
  <si>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</si>
  <si>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</si>
  <si>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</si>
  <si>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</si>
  <si>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</si>
  <si>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</si>
  <si>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</si>
  <si>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</si>
  <si>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</si>
  <si>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</si>
  <si>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</si>
  <si>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</si>
  <si>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</si>
  <si>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</si>
  <si>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</si>
  <si>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</si>
  <si>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</si>
  <si>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</si>
  <si>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</si>
  <si>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</si>
  <si>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</si>
  <si>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</si>
  <si>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</si>
  <si>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</si>
  <si>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</si>
  <si>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</si>
  <si>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</si>
  <si>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</si>
  <si>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</si>
  <si>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</si>
  <si>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</si>
  <si>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</si>
  <si>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</si>
  <si>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LT</t>
  </si>
  <si>
    <t>LU</t>
  </si>
  <si>
    <t>MT</t>
  </si>
  <si>
    <t>NL</t>
  </si>
  <si>
    <t>PL</t>
  </si>
  <si>
    <t>PT</t>
  </si>
  <si>
    <t>RO</t>
  </si>
  <si>
    <t>SK</t>
  </si>
  <si>
    <t>SI</t>
  </si>
  <si>
    <t>ES</t>
  </si>
  <si>
    <t>SE</t>
  </si>
  <si>
    <t>UK</t>
  </si>
  <si>
    <t>Language version:</t>
  </si>
  <si>
    <t>production of standard pure lime</t>
  </si>
  <si>
    <t>Thermal Cracking</t>
  </si>
  <si>
    <t>P</t>
  </si>
  <si>
    <t>Fluid Catalytic Cracking</t>
  </si>
  <si>
    <t>Naphtha/Gasoline Hydrotreating</t>
  </si>
  <si>
    <t>VGO Hydrotreating</t>
  </si>
  <si>
    <t>Catalytic Reforming</t>
  </si>
  <si>
    <t>C4 Isomerisation</t>
  </si>
  <si>
    <t>Uncorrected process emissions</t>
  </si>
  <si>
    <t>Amount of waste gases used for electricity production and for production of measurable or other heat outside of product benchmark sub-installations, or exported out of the installation;</t>
  </si>
  <si>
    <t>outside product benchmarks</t>
  </si>
  <si>
    <t>Amount of waste gas per year</t>
  </si>
  <si>
    <t>Deduction for waste gases</t>
  </si>
  <si>
    <t>Green fields are used throughout the template for conditional formatting!</t>
  </si>
  <si>
    <t>Other documents:</t>
  </si>
  <si>
    <t>Free space for all kinds of supplemental information</t>
  </si>
  <si>
    <t>EUconst_Negative</t>
  </si>
  <si>
    <t>negative!</t>
  </si>
  <si>
    <t>SUM_CO2</t>
  </si>
  <si>
    <t>SUM_bioCO2</t>
  </si>
  <si>
    <t>SUM_EnergyIN</t>
  </si>
  <si>
    <t>EUconst_SumCO2</t>
  </si>
  <si>
    <t>EUconst_SumBioCO2</t>
  </si>
  <si>
    <t>EUconst_SumEnergyIN</t>
  </si>
  <si>
    <t>EUconst_SumN2O</t>
  </si>
  <si>
    <t>EUconst_SumPFC</t>
  </si>
  <si>
    <t>SUM_N2O</t>
  </si>
  <si>
    <t>SUM_PFC</t>
  </si>
  <si>
    <t>Error messages (emissions)</t>
  </si>
  <si>
    <t>FB1</t>
  </si>
  <si>
    <t>FB2</t>
  </si>
  <si>
    <t>FB3</t>
  </si>
  <si>
    <t>FB4</t>
  </si>
  <si>
    <t>FB5</t>
  </si>
  <si>
    <t>FB6</t>
  </si>
  <si>
    <t>Further guidance as provided by the Member State:</t>
  </si>
  <si>
    <t>Date</t>
  </si>
  <si>
    <t>Name and Signature of 
legally responsible person</t>
  </si>
  <si>
    <t>(a)</t>
  </si>
  <si>
    <t>CONTENTS</t>
  </si>
  <si>
    <t>GUIDELINES AND CONDITIONS</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</si>
  <si>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</si>
  <si>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</si>
  <si>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</si>
  <si>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</si>
  <si>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</si>
  <si>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</si>
  <si>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</si>
  <si>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</si>
  <si>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</si>
  <si>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</si>
  <si>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</si>
  <si>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</si>
  <si>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</si>
  <si>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</si>
  <si>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</si>
  <si>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</si>
  <si>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</si>
  <si>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</si>
  <si>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Netherlands</t>
  </si>
  <si>
    <t>Poland</t>
  </si>
  <si>
    <t>Iceland</t>
  </si>
  <si>
    <t>EUconst_CWTpa</t>
  </si>
  <si>
    <t>Installation names in the drop down list are taken from Section A.IV. Therefore you must ensure that you have entered complete data there.</t>
  </si>
  <si>
    <t xml:space="preserve">This includes the nitric acid producing sub-installations (select "Within installation" as name of installation, if the nitric acid production is part of this installation). </t>
  </si>
  <si>
    <t>Before the amount of heat falling under the heat benchmark sub-installations can be quantified, the amount not eligible for this purpose has to be identified.</t>
  </si>
  <si>
    <t>Amount of heat from non-ETS sources</t>
  </si>
  <si>
    <t>Manual override of (ii)</t>
  </si>
  <si>
    <t>The data is automatically used again in sheet "G_Fall-back". Therefore data entry is mandatory here, if this tool is used.</t>
  </si>
  <si>
    <t>Please enter also data in section D.II.3.a.!</t>
  </si>
  <si>
    <t>EUconst_ERR_MandatoryDII3a</t>
  </si>
  <si>
    <t>EUconst_ERR_MandatoryEII4</t>
  </si>
  <si>
    <t>Please enter also data in section E.II.4!</t>
  </si>
  <si>
    <t>Complete balance of electricity at the installation</t>
  </si>
  <si>
    <t>Other electricity production includes e.g. hydro, wind, solar power, from expansion turbines and other non-ETS processes.</t>
  </si>
  <si>
    <t>Total electricity consumed in the installation</t>
  </si>
  <si>
    <t>Electricity consumed in the installation</t>
  </si>
  <si>
    <t>Jump indicator</t>
  </si>
  <si>
    <t>Please use electricity exchangeability tool below.</t>
  </si>
  <si>
    <t>EUconst_MsgUseElExchTool</t>
  </si>
  <si>
    <t>Jump Address:</t>
  </si>
  <si>
    <t>Please continue with point (d) below.</t>
  </si>
  <si>
    <t>EUconst_MsgGoOn_d</t>
  </si>
  <si>
    <t>EUconst_MsgGoOnIfNotRelevant</t>
  </si>
  <si>
    <t>If not relevant at your installation, continue with the next points.</t>
  </si>
  <si>
    <t>EUconst_Month</t>
  </si>
  <si>
    <t>Month</t>
  </si>
  <si>
    <t>Sub-installation with product benchmark</t>
  </si>
  <si>
    <t>EUconst_BMSubinst</t>
  </si>
  <si>
    <t>Dates must be sorted ascending!</t>
  </si>
  <si>
    <t>EUconst_ERR_DatesSorting</t>
  </si>
  <si>
    <t>Refinery activity level</t>
  </si>
  <si>
    <t>CWT (Aromatics)</t>
  </si>
  <si>
    <t>EUconst_DateMissing</t>
  </si>
  <si>
    <t>Date is missing!</t>
  </si>
  <si>
    <t>Error message</t>
  </si>
  <si>
    <t>The following abbreviations are used in the tables below:</t>
  </si>
  <si>
    <t>CL-exposed</t>
  </si>
  <si>
    <t>Carbon leakage exposure. "True" if the sub-installation serves a sector deemed to be exposed to a significant risk of carbon leakage.</t>
  </si>
  <si>
    <t>Number of the Benchmark</t>
  </si>
  <si>
    <t>If both types of heat input are relevant, "eligible" (self-produced and/or imported form ETS installations) and "non-eligible" (import from non-ETS or produced from a Nitric acid sub-installation), AND if both types of heat use take place, i.e. "eligible" (internal use and/or export to non-ETS) and "non-eligible" (export to ETS-Installations), it is necessary to earmark the eligible and non-eligible cases.</t>
  </si>
  <si>
    <t>A hierarchy of approaches is proposed for this earmarking:</t>
  </si>
  <si>
    <t>If the heat amounts can be clearly earmarked (because of the heat grid connections being clearly defined, or because of the steam pressure levels etc.), eligible and non-eligible heat amounts shall be reported according to this real situation.</t>
  </si>
  <si>
    <t>EUconst_Unit</t>
  </si>
  <si>
    <t>EUconst_GJ</t>
  </si>
  <si>
    <t>GJ</t>
  </si>
  <si>
    <t>EUconst_MWh</t>
  </si>
  <si>
    <t>MWh</t>
  </si>
  <si>
    <t>EUconst_t</t>
  </si>
  <si>
    <t>t</t>
  </si>
  <si>
    <t>EUconst_tCO2</t>
  </si>
  <si>
    <t>t CO2</t>
  </si>
  <si>
    <t>EUconst_tN2O</t>
  </si>
  <si>
    <t>t N2O</t>
  </si>
  <si>
    <t>EUconst_Or</t>
  </si>
  <si>
    <t>or</t>
  </si>
  <si>
    <t>Energy input from fuels, total installation (taken from sheet "D_Emissions", section I):</t>
  </si>
  <si>
    <t>How to use this file</t>
  </si>
  <si>
    <t>http://ec.europa.eu/clima/policies/ets/index_en.htm</t>
  </si>
  <si>
    <t>(j)</t>
  </si>
  <si>
    <t>(k)</t>
  </si>
  <si>
    <t>Figures for control:</t>
  </si>
  <si>
    <t>(l)</t>
  </si>
  <si>
    <t>(m)</t>
  </si>
  <si>
    <t>Sub-installation split - Input method:</t>
  </si>
  <si>
    <t>Attribution of heat sub-installations to Carbon Leakage exposure levels:</t>
  </si>
  <si>
    <t>Use type</t>
  </si>
  <si>
    <t>EUconst_WithinInst</t>
  </si>
  <si>
    <t>Within installation</t>
  </si>
  <si>
    <t>Within installation or export?</t>
  </si>
  <si>
    <t>EUconst_HeatUseTypes</t>
  </si>
  <si>
    <t>Production of goods</t>
  </si>
  <si>
    <t>heating</t>
  </si>
  <si>
    <t>cooling</t>
  </si>
  <si>
    <t>unknown</t>
  </si>
  <si>
    <t>Lube solvent extraction</t>
  </si>
  <si>
    <t>Lube solvent dewaxing</t>
  </si>
  <si>
    <t>Catalytic Wax Isomerisation</t>
  </si>
  <si>
    <t>Solvent Hydrotreating</t>
  </si>
  <si>
    <t>Solvent Fractionation</t>
  </si>
  <si>
    <t>Mol sieve for C10+ paraffins</t>
  </si>
  <si>
    <t>Partial Oxidation of Residual Feeds (POX) for Fuel</t>
  </si>
  <si>
    <t>SG</t>
  </si>
  <si>
    <t>Partial Oxidation of Residual Feeds (POX) for Hydrogen or Methanol</t>
  </si>
  <si>
    <t>Methanol from syngas</t>
  </si>
  <si>
    <t>Air Separation</t>
  </si>
  <si>
    <t>P (MNm3 O2)</t>
  </si>
  <si>
    <t>Fractionation of purchased NGL</t>
  </si>
  <si>
    <t>Flue gas treatment</t>
  </si>
  <si>
    <t>F (MNm3)</t>
  </si>
  <si>
    <t>Treatment and Compression of Fuel Gas for Sales</t>
  </si>
  <si>
    <t>kW</t>
  </si>
  <si>
    <t>Seawater Desalination</t>
  </si>
  <si>
    <t xml:space="preserve">Vacuum Distillation </t>
  </si>
  <si>
    <t xml:space="preserve">Solvent Deasphalting </t>
  </si>
  <si>
    <t xml:space="preserve">Visbreaking </t>
  </si>
  <si>
    <t xml:space="preserve">Delayed Coking </t>
  </si>
  <si>
    <t xml:space="preserve">Fluid Coking </t>
  </si>
  <si>
    <t xml:space="preserve">Flexicoking </t>
  </si>
  <si>
    <t xml:space="preserve">Coke Calcining </t>
  </si>
  <si>
    <t xml:space="preserve">Other Catalytic Cracking </t>
  </si>
  <si>
    <t>List of Sub-installations for drop-downlists:</t>
  </si>
  <si>
    <t>Please indicate here which fall-back sub-installations are relevant at your installation, if any:</t>
  </si>
  <si>
    <t>No.</t>
  </si>
  <si>
    <t>Please enter here the information relevant for identifying technical connections to your installation:</t>
  </si>
  <si>
    <t>This information is needed by the competent authority for ensuring consistency of the data provided, and for avoiding double counting of allocation data.</t>
  </si>
  <si>
    <t>Name of installation or entity</t>
  </si>
  <si>
    <t>Type of entity</t>
  </si>
  <si>
    <t>Type of connection</t>
  </si>
  <si>
    <t>Flow direction</t>
  </si>
  <si>
    <t>phone number</t>
  </si>
  <si>
    <t>email address</t>
  </si>
  <si>
    <t>Installation covered by ETS</t>
  </si>
  <si>
    <t>Installation outside ETS</t>
  </si>
  <si>
    <t>Heat distribution network</t>
  </si>
  <si>
    <t>Waste gas</t>
  </si>
  <si>
    <t>EUconst_ConnectedEntityTypes</t>
  </si>
  <si>
    <t>EUconst_ConnectionTypes</t>
  </si>
  <si>
    <t>Import</t>
  </si>
  <si>
    <t>Export</t>
  </si>
  <si>
    <t>Date of issuance:</t>
  </si>
  <si>
    <t>Permit-ID:</t>
  </si>
  <si>
    <t>Most recent update of the permit, if applicable:</t>
  </si>
  <si>
    <t>Please nominate persons here whom the competent authority can contact in case of questions regarding this report, including its verification.</t>
  </si>
  <si>
    <t>The nominated person should be familiar with this report. Ideally it is the lead verifier involved with this report.</t>
  </si>
  <si>
    <t>Further installation data:</t>
  </si>
  <si>
    <t>Period choosen:</t>
  </si>
  <si>
    <t>Year relevant:</t>
  </si>
  <si>
    <t>Member of period:</t>
  </si>
  <si>
    <t>Table for conditional formatting:</t>
  </si>
  <si>
    <t>Indicator</t>
  </si>
  <si>
    <t>EUconst_CNTR_HAL</t>
  </si>
  <si>
    <t>HAL_</t>
  </si>
  <si>
    <t>EUconst_CNTR_ELEXCH</t>
  </si>
  <si>
    <t>ELEXCH_</t>
  </si>
  <si>
    <t>http://ec.europa.eu/eurostat/ramon/nomenclatures/index.cfm?TargetUrl=LST_CLS_DLD&amp;StrNom=NACE_REV2&amp;StrLanguageCode=EN&amp;StrLayoutCode=HIERARCHIC</t>
  </si>
  <si>
    <t>The direct emissions attributed to this sub-installation;</t>
  </si>
  <si>
    <t>Vinyl chloride monomer (VCM)</t>
  </si>
  <si>
    <t>Please enter here the data required as outlined above.</t>
  </si>
  <si>
    <t>Heat consumption from H2 combustion</t>
  </si>
  <si>
    <t>Net measurable heat imported</t>
  </si>
  <si>
    <t>Measurable heat imported</t>
  </si>
  <si>
    <t>Member State:</t>
  </si>
  <si>
    <t>Incumbent:</t>
  </si>
  <si>
    <t>Starting date:</t>
  </si>
  <si>
    <t>Verifier (company):</t>
  </si>
  <si>
    <t>Hospital:</t>
  </si>
  <si>
    <t>EPRTR ID:</t>
  </si>
  <si>
    <t>Included in ETS before:</t>
  </si>
  <si>
    <t>NACE code in 2010 (NACE rev 2):</t>
  </si>
  <si>
    <t>Installation Identifier:</t>
  </si>
  <si>
    <t>Values entered in sheet "F_ProductBM":</t>
  </si>
  <si>
    <t>Sum of exchangable electricity for corroboration use in sheet "E_EnergyFlows":</t>
  </si>
  <si>
    <t>for use in section E.III.1.f</t>
  </si>
  <si>
    <t>Plausibility check: Sum of electricity input in sheet "F_ProductBM" for exchangability of electricity</t>
  </si>
  <si>
    <t>Electricity entered as exchangeable</t>
  </si>
  <si>
    <t>However, this template offers the possibility to enter a value for the cross-sectoral correction factor. This feature can be used by the operator for his own information only. The results are by no means legally binding.</t>
  </si>
  <si>
    <t>Linear factor</t>
  </si>
  <si>
    <t>Total preliminary free allocation</t>
  </si>
  <si>
    <t>Calculation factors:</t>
  </si>
  <si>
    <t>Value used for calculation</t>
  </si>
  <si>
    <t>EUconst_NotEligible</t>
  </si>
  <si>
    <t>Please select this option for identifying that your installation uses heat from nitric acid production.</t>
  </si>
  <si>
    <t>This information is relevant for the heat balance (sheet "E_EnergyFlows", section II)</t>
  </si>
  <si>
    <t>Please describe the waste gas and the process from which it is produced. Above enter a name for the gas stream, below give a short process description.</t>
  </si>
  <si>
    <t>Navigation area:</t>
  </si>
  <si>
    <t>Table of contents</t>
  </si>
  <si>
    <t>Next sheet</t>
  </si>
  <si>
    <t>Summary</t>
  </si>
  <si>
    <t>Top of sheet</t>
  </si>
  <si>
    <t>End of sheet</t>
  </si>
  <si>
    <t>Previous sheet</t>
  </si>
  <si>
    <t>D.
Emissions</t>
  </si>
  <si>
    <t>A.
Installation Data</t>
  </si>
  <si>
    <t>b</t>
  </si>
  <si>
    <t>E.
Energy flows</t>
  </si>
  <si>
    <t>F. 
Product BM</t>
  </si>
  <si>
    <t>G. 
Fall-back</t>
  </si>
  <si>
    <t>H. 
Special BM</t>
  </si>
  <si>
    <t>I. 
MS specific</t>
  </si>
  <si>
    <t>J. 
Comments</t>
  </si>
  <si>
    <t>K. 
Summary</t>
  </si>
  <si>
    <t>Installation ID</t>
  </si>
  <si>
    <t>Contact persons</t>
  </si>
  <si>
    <t>Verifier</t>
  </si>
  <si>
    <t>Eligibility</t>
  </si>
  <si>
    <t>Further information</t>
  </si>
  <si>
    <t>Sub-installations</t>
  </si>
  <si>
    <t>Technical connections</t>
  </si>
  <si>
    <t>Light grey areas are dedicated for navigation and hyperlinks.</t>
  </si>
  <si>
    <t>Emissions and Energy Input</t>
  </si>
  <si>
    <t>Emissions Attribution</t>
  </si>
  <si>
    <t>Waste gases (1)</t>
  </si>
  <si>
    <t>Waste gases (2)</t>
  </si>
  <si>
    <t>Attribution of Fuels</t>
  </si>
  <si>
    <t>Heat (final result)</t>
  </si>
  <si>
    <t xml:space="preserve">&lt;&lt;&lt; END OF TEMPLATE &gt;&gt;&gt; </t>
  </si>
  <si>
    <t xml:space="preserve">You can enter the figure of 95% either as "0.95" or as "95%". </t>
  </si>
  <si>
    <t>Volume fraction of hydrogen</t>
  </si>
  <si>
    <t>Hydrogen volume fraction VF(H2)</t>
  </si>
  <si>
    <t>Hydrogen (as 100% pure H2)</t>
  </si>
  <si>
    <t>Volume of total production of hydrogen (uncorrected)</t>
  </si>
  <si>
    <t>Result: Activity levels for hydrogen referred to as tonnes 100% H2</t>
  </si>
  <si>
    <t>Due to the very big figures for m3, the figures are to be entered as 1000 Nm3 (norm cubic meters referring to 0°C and 101.325 kPa).</t>
  </si>
  <si>
    <t>Tool for calculating the historical activity levels for synthesis gas sub-installations</t>
  </si>
  <si>
    <t>Volume of total production of synthesis gas (uncorrected)</t>
  </si>
  <si>
    <t>Total synthesis gas production</t>
  </si>
  <si>
    <t xml:space="preserve">You can enter the figure of 50% either as "0.50" or as "50%". </t>
  </si>
  <si>
    <t>Result: Activity levels for synthesis gas referred to as tonnes with 47% hydrogen content</t>
  </si>
  <si>
    <t>Synthesis gas (47% H2 content)</t>
  </si>
  <si>
    <t>Ethylene oxide / glycols</t>
  </si>
  <si>
    <t>Tool for calculating the historical activity levels for ethylene oxide / ethylene glycols sub-installations</t>
  </si>
  <si>
    <t>Tool for calculating the historical activity levels for aromatics sub-installations</t>
  </si>
  <si>
    <t>The activity levels as input in sheet "ProductBM", section (a), under the appropriate sub-installation;</t>
  </si>
  <si>
    <t xml:space="preserve">You are advised to avoid supplying non-relevant information as it can slow down the approval of this report. </t>
  </si>
  <si>
    <t>List of technical connections for drop-downlists:</t>
  </si>
  <si>
    <t>sorted line</t>
  </si>
  <si>
    <t>interim value</t>
  </si>
  <si>
    <t>Name of Transfer Entity</t>
  </si>
  <si>
    <t>Product BM?</t>
  </si>
  <si>
    <t>Net amount measurable heat consumed in the installation and eligible under heat benchmark:</t>
  </si>
  <si>
    <t>Sub-total</t>
  </si>
  <si>
    <t>This exemption is applicable if at least 95% of inputs, outputs and emissions belong to one of the "CL" or "non-CL" status.</t>
  </si>
  <si>
    <t>Please select for each type of sub-installation, if it is relevant in your installation or not. Don't leave the yellow fields empty.</t>
  </si>
  <si>
    <t>Special care must be taken of consistency of data with the units displayed.</t>
  </si>
  <si>
    <t>Error messages are often very short due to the little place available. The most important ones are:</t>
  </si>
  <si>
    <t>Means that data is not sufficient for calculation (e.g. an emission factor is missing in one year)</t>
  </si>
  <si>
    <t>Error messages will occur sometimes when data entries are incomplete. However, the non-appearance of error messages is not a guarantee for correct calculations, as not always a data completeness test is possible. If no result appears in a green field, it can be assumed that some data is still missing.</t>
  </si>
  <si>
    <t>In this calculation no negative values are allowed.</t>
  </si>
  <si>
    <t>These are references to document sections. This means that data in the referenced sections are missing.</t>
  </si>
  <si>
    <t xml:space="preserve">This text gives further explanations. </t>
  </si>
  <si>
    <t>This template has been locked against data entry except for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t>
  </si>
  <si>
    <t>V</t>
  </si>
  <si>
    <t xml:space="preserve">Production of lime or calcination of dolomite or magnesite in rotary kilns or in other furnaces with a production capacity exceeding 50 tonnes per day </t>
  </si>
  <si>
    <t>Lime</t>
  </si>
  <si>
    <t>Dolime</t>
  </si>
  <si>
    <t>Sintered dolime</t>
  </si>
  <si>
    <t xml:space="preserve">Drying or calcination of gypsum or production of plaster boards and other gypsum products, where combustion units with a total rated thermal input exceeding 20 MW are operated </t>
  </si>
  <si>
    <t>Plaster</t>
  </si>
  <si>
    <t>Dried secondary gypsum</t>
  </si>
  <si>
    <t>Plasterboard</t>
  </si>
  <si>
    <t>reduction of metalloid oxides and non-metal oxides</t>
  </si>
  <si>
    <t>Recovered paper pulp</t>
  </si>
  <si>
    <t>Is the installation an electricity generator pursuant to Article 3(u) of the Directive?</t>
  </si>
  <si>
    <t>Installation is eligible for free allocation under Article 10a of the EU ETS Directive:</t>
  </si>
  <si>
    <t>Measurable heat consumed for product benchmark sub-installations within the installation  (not eligible for heat benchmark):</t>
  </si>
  <si>
    <t>Heat losses (calculated)</t>
  </si>
  <si>
    <t>If negative values are displayed this means that the heat consumption levels entered above exceed the amount of heat available from production and imports.</t>
  </si>
  <si>
    <t>Measurable heat imported from non-ETS:</t>
  </si>
  <si>
    <t>EUconst_Relevant</t>
  </si>
  <si>
    <t>EUconst_NotRelevant</t>
  </si>
  <si>
    <t>relevant</t>
  </si>
  <si>
    <t>not relevant</t>
  </si>
  <si>
    <t>The production, not the use of the waste gas is relevant for determining the correct sub-installation.</t>
  </si>
  <si>
    <t>Estimation of waste gas emissions</t>
  </si>
  <si>
    <t>Emissions from waste gases</t>
  </si>
  <si>
    <t>Optionally, and for the purpose of consistency checks only, please provide an estimation of the quantity of emissions relating to the waste gas used or exported.</t>
  </si>
  <si>
    <t>EUconst_kNm3pa</t>
  </si>
  <si>
    <t>EUconst_TonnesOrkNm3pa</t>
  </si>
  <si>
    <t>Net calorific value</t>
  </si>
  <si>
    <t>You may choose to report either as GJ/t or as GJ/1000 Nm3. The units must be consistent with those for the amounts above.</t>
  </si>
  <si>
    <t>EUconst_GJperTorKNm3</t>
  </si>
  <si>
    <t>GJ/1000Nm3</t>
  </si>
  <si>
    <t>EUconst_GJperUnit</t>
  </si>
  <si>
    <t>Necessary assumptions:</t>
  </si>
  <si>
    <t>Reference efficiency for production of electricity:</t>
  </si>
  <si>
    <t>using natural gas:</t>
  </si>
  <si>
    <t>using waste gas:</t>
  </si>
  <si>
    <t>Emissions factor for natural gas:</t>
  </si>
  <si>
    <t>Emissions to be subtracted for taking into account the technically usable energy content:</t>
  </si>
  <si>
    <t>Process emissions calculated taking into account the correction for waste gases (=d-i)</t>
  </si>
  <si>
    <t>Result of waste gas tool:</t>
  </si>
  <si>
    <t>Year to be taken into account:</t>
  </si>
  <si>
    <t>A.</t>
  </si>
  <si>
    <t>Sheet "InstallationData" - GENERAL INFORMATION ON THIS REPORT</t>
  </si>
  <si>
    <t>D.</t>
  </si>
  <si>
    <t>Sheet "Emissions" - ATTRIBUTION OF EMISSIONS</t>
  </si>
  <si>
    <t>E.</t>
  </si>
  <si>
    <t>Sheet "EnergyFlows" - DATA ON ENERGY INPUT, MEASURABLE HEAT AND ELECTRICITY</t>
  </si>
  <si>
    <t>F.</t>
  </si>
  <si>
    <t>Sheet "ProductBM" - SUB-INSTALLATION DATA RELATING TO PRODUCT BENCHMARKS</t>
  </si>
  <si>
    <t>G.</t>
  </si>
  <si>
    <t>Sheet "Fall-back" - SUB-INSTALLATION DATA RELATING TO FALL-BACK SUB-INSTALLATIONS</t>
  </si>
  <si>
    <t>H.</t>
  </si>
  <si>
    <t>Sheet "SpecialBM" - SPECIAL DATA FOR SOME PRODUCT BENCHMARKS</t>
  </si>
  <si>
    <t>I.</t>
  </si>
  <si>
    <t>Sheet "Comments" -  COMMENTS AND FURTHER INFORMATION</t>
  </si>
  <si>
    <t>J.</t>
  </si>
  <si>
    <t xml:space="preserve">Additional documentation provided should be clearly referenced, and the file name / reference number provided below. </t>
  </si>
  <si>
    <t>If needed, check with your competent authority if other file formats than the ones mentioned above are acceptable.</t>
  </si>
  <si>
    <t>EUconst_Incomplete</t>
  </si>
  <si>
    <t>incomplete!</t>
  </si>
  <si>
    <t>production of standard pure dolime</t>
  </si>
  <si>
    <t>Total production of high value chemicals (HVC total)</t>
  </si>
  <si>
    <t>Please enter here the annual production data expressed as tonnes HVC (without corrections)</t>
  </si>
  <si>
    <t>HVC total</t>
  </si>
  <si>
    <t>Supplemental feed data:</t>
  </si>
  <si>
    <t>Supplemental feed</t>
  </si>
  <si>
    <t>Ethylene</t>
  </si>
  <si>
    <t>EUconst_ERR_Mandatory_ef</t>
  </si>
  <si>
    <t xml:space="preserve">Manufacture of glass including glass fibre with a melting capacity exceeding 20 tonnes per day </t>
  </si>
  <si>
    <t>Float glass</t>
  </si>
  <si>
    <t>Bottles and jars of colourless glass</t>
  </si>
  <si>
    <t>Bottles and jars of coloured glass</t>
  </si>
  <si>
    <t>Continuous filament glass fibre products</t>
  </si>
  <si>
    <t xml:space="preserve">Manufacture of ceramic products by firing, in particular roofing tiles, bricks, refractory bricks, tiles, stoneware or porcelain, with a production capacity exceeding 75 tonnes per day </t>
  </si>
  <si>
    <t>Facing bricks</t>
  </si>
  <si>
    <t>Pavers</t>
  </si>
  <si>
    <t>Roof tiles</t>
  </si>
  <si>
    <t>Spray dried powder</t>
  </si>
  <si>
    <t xml:space="preserve">Manufacture of mineral wool insulation material using glass, rock or slag with a melting capacity exceeding 20 tonnes per day </t>
  </si>
  <si>
    <t>Mineral wool</t>
  </si>
  <si>
    <t>To the extent feasible, please sort the list with regard to the direct emissions, starting with the activity causing the highest direct emissions.</t>
  </si>
  <si>
    <t>Name of activity (Annex I of the ETS Directive)</t>
  </si>
  <si>
    <t>Activity list</t>
  </si>
  <si>
    <t>Combustion of fuels in installations with a total rated thermal input exceeding 20 MW (except in installations for the incineration of hazardous or municipal waste)</t>
  </si>
  <si>
    <t>Production of glyoxal and glyoxylic acid</t>
  </si>
  <si>
    <t>Production of secondary aluminium where combustion units with a total rated thermal input exceeding 20 MW are operated</t>
  </si>
  <si>
    <t>Make grey?</t>
  </si>
  <si>
    <t>EUconst_OK</t>
  </si>
  <si>
    <t>O.K.</t>
  </si>
  <si>
    <t>controls</t>
  </si>
  <si>
    <t>Version:</t>
  </si>
  <si>
    <t>Info for automatic Version detection</t>
  </si>
  <si>
    <t>Template type:</t>
  </si>
  <si>
    <t>Type list:</t>
  </si>
  <si>
    <t>Language:</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</si>
  <si>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</si>
  <si>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</si>
  <si>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</si>
  <si>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</si>
  <si>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</si>
  <si>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</si>
  <si>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</si>
  <si>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</si>
  <si>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</si>
  <si>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</si>
  <si>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</si>
  <si>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</si>
  <si>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</si>
  <si>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</si>
  <si>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</si>
  <si>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</si>
  <si>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</si>
  <si>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</si>
  <si>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</si>
  <si>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</si>
  <si>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</si>
  <si>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</si>
  <si>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</si>
  <si>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EUconst_CNTR_nonETSMeasHeat</t>
  </si>
  <si>
    <t>non-ETS measurable heat</t>
  </si>
  <si>
    <t>Sum of measurable heat from non-ETS imports for further use in sheet "E_EnergyFlows":</t>
  </si>
  <si>
    <t>Number of non-empty relevant cells</t>
  </si>
  <si>
    <t>Search criterion</t>
  </si>
  <si>
    <t>Start of aggregation</t>
  </si>
  <si>
    <t>Measurable heat aggregated</t>
  </si>
  <si>
    <t>for use in section E.II</t>
  </si>
  <si>
    <t>Heat Inputs</t>
  </si>
  <si>
    <t>Ratio of "ETS heat" to "Total heat"</t>
  </si>
  <si>
    <t>Note that heat produced from nitric acid sub-installations has to be reported under point (c) as "non-ETS import".</t>
  </si>
  <si>
    <t>"ETS heat" is heat produced in the installation plus heat imported from ETS installations (=a+b).</t>
  </si>
  <si>
    <t xml:space="preserve">Total heat is the ETS heat plus heat imported from non-ETS entities and installations (=a+b+c). </t>
  </si>
  <si>
    <t>If this is not feasible, all uses shall be weighted according to the ratio of inputs (ETS input : total input) as defined above.</t>
  </si>
  <si>
    <t>All heat data should  refer to "net amount of measurable heat" (i.e. heat content of heat flow to user minus heat content of the return flow).</t>
  </si>
  <si>
    <t>In a first step the non-eligible amounts for heat use within the installation are considered.</t>
  </si>
  <si>
    <t xml:space="preserve">This is the amount of heat used for electricity production and heat consumed within product benchmark sub-installations. </t>
  </si>
  <si>
    <t>This amount must be consistent with the amount of waste gas under point (f) below.</t>
  </si>
  <si>
    <t>Only waste gas which is used for the production of heat or electricity is relevant. If the waste gas is flared, only the amount relating to safety flaring is relevant.</t>
  </si>
  <si>
    <t>If you are not sure about the values to enter here, please contact your relevant national statistics office.</t>
  </si>
  <si>
    <t>Hot metal</t>
  </si>
  <si>
    <t>Number of activity</t>
  </si>
  <si>
    <t>Activity missing (A.I.4.a)!</t>
  </si>
  <si>
    <t>EUconst_ERR_ActivityMissing</t>
  </si>
  <si>
    <t>CNTR_Eligible10a</t>
  </si>
  <si>
    <t>CNTR_ApplyLinF</t>
  </si>
  <si>
    <t>Connection Name</t>
  </si>
  <si>
    <t>Entity Type</t>
  </si>
  <si>
    <t>Attribution of emissions to sub-installations (section D.II)</t>
  </si>
  <si>
    <t>Energy input from fuels - split into use categories (Section E.I)</t>
  </si>
  <si>
    <t>Calculation of measurable heat (Section E.II)</t>
  </si>
  <si>
    <t>In several fields you can choose from predefined inputs. For selecting from such a "drop-down list" either click with the mouse on the small arrow appearing at the right border of the cell, or press "Alt-CursorDown" when you have selected the cell. Some fields allow you to input your own text even if such a drop-down list exists. This is the case when drop-down lists contain empty list entries.</t>
  </si>
  <si>
    <t>Colour codes and fonts:</t>
  </si>
  <si>
    <t>This is text describing the input required.</t>
  </si>
  <si>
    <t>This amount of heat is allocated to the consumer of the heat.</t>
  </si>
  <si>
    <t>Type of connection options are:</t>
  </si>
  <si>
    <t>Because both possible sub-installations can be concerned in one installation, or because different waste gases can occur, this "waste gas tool" exists twofold in this template.</t>
  </si>
  <si>
    <t>Please select here to which of the two process emission sub-installations the data in this tool is related.</t>
  </si>
  <si>
    <t>Member State in which the installation is situated:</t>
  </si>
  <si>
    <t>EUconst_MSlist</t>
  </si>
  <si>
    <t>EUconst_MSlistISOcodes</t>
  </si>
  <si>
    <t>Member States may make this information optional if the competent authority is in possession of this information already.</t>
  </si>
  <si>
    <t>Operator Name:</t>
  </si>
  <si>
    <t>The operator is the [natural or legal] person who operates or controls an installation or, where this is provided for in national legislation, to whom decisive economic power over the technical functioning of the installation has been delegated.</t>
  </si>
  <si>
    <t>This information is useful for the competent authorities for consistency checks and alignment of environmental information sources.</t>
  </si>
  <si>
    <t>v.</t>
  </si>
  <si>
    <t>vi.</t>
  </si>
  <si>
    <t>vii.</t>
  </si>
  <si>
    <t>viii.</t>
  </si>
  <si>
    <t>ix.</t>
  </si>
  <si>
    <t>CNTR_ExistSubInstEntries</t>
  </si>
  <si>
    <t>For formatting of connection list:</t>
  </si>
  <si>
    <t>CNTR_ExistConnectionEntries</t>
  </si>
  <si>
    <t>Article 3(u) defines: ‘electricity generator’ means an installation that, on or after 1 January 2005, has produced electricity for sale to third parties, and in which no activity listed in Annex I is carried out other than the combustion of fuels.</t>
  </si>
  <si>
    <t>Any error messages?</t>
  </si>
  <si>
    <t>Total:</t>
  </si>
  <si>
    <t>CNTR_HasEntries_A_I:</t>
  </si>
  <si>
    <t>Used for formatting and Error messages.</t>
  </si>
  <si>
    <t>If the answer to (a) or (b) is positive, and if the answer to (d) is negative, the installation is not eligible for free allocation under Article 10a of the EU ETS Directive. If this is relevant for your installation, please confirm here:</t>
  </si>
  <si>
    <t>Measurable heat delivered to other sub-installations is to be treated like heat from non-ETS sources.</t>
  </si>
  <si>
    <t>Exchangeability of fuel and electricity:</t>
  </si>
  <si>
    <t>Under this point the "main activity levels" should be reported, i.e. the data which is directly applicable for the calculation of the allocation.</t>
  </si>
  <si>
    <t xml:space="preserve">Production of carbon black involving the carbonisation of organic substances such as oils, tars, cracker and distillation residues, where combustion units with a total rated thermal input exceeding 20 MW are operated </t>
  </si>
  <si>
    <t>Carbon black</t>
  </si>
  <si>
    <t xml:space="preserve">Production of nitric acid </t>
  </si>
  <si>
    <t>Nitric acid</t>
  </si>
  <si>
    <t xml:space="preserve">Production of adipic acid </t>
  </si>
  <si>
    <t>Adipic acid</t>
  </si>
  <si>
    <t xml:space="preserve">Production of ammonia </t>
  </si>
  <si>
    <t>Ammonia</t>
  </si>
  <si>
    <t xml:space="preserve">Production of bulk organic chemicals by cracking, reforming, partial or full oxidation or by similar processes, with a production capacity exceeding 100 tonnes per day </t>
  </si>
  <si>
    <t>Steam cracking</t>
  </si>
  <si>
    <t>Aromatics</t>
  </si>
  <si>
    <t>Styrene</t>
  </si>
  <si>
    <t>Phenol/ acetone</t>
  </si>
  <si>
    <t>Ethylene oxide/ ethylene glycols</t>
  </si>
  <si>
    <t>Vinyl chloride monomer</t>
  </si>
  <si>
    <t>S-PVC</t>
  </si>
  <si>
    <t>E-PVC</t>
  </si>
  <si>
    <t xml:space="preserve">Production of hydrogen (H2) and synthesis gas by reforming or partial oxidation with a production capacity exceeding 25 tonnes per day </t>
  </si>
  <si>
    <t>Hydrogen</t>
  </si>
  <si>
    <t>Synthesis gas</t>
  </si>
  <si>
    <t xml:space="preserve">Production of soda ash (Na2CO3) and sodium bicarbonate (NaHCO3) </t>
  </si>
  <si>
    <t>Soda ash</t>
  </si>
  <si>
    <t>end</t>
  </si>
  <si>
    <t>Product type</t>
  </si>
  <si>
    <t>year</t>
  </si>
  <si>
    <t>EUconst_Year</t>
  </si>
  <si>
    <t>BM number</t>
  </si>
  <si>
    <t>EUconst_Tons</t>
  </si>
  <si>
    <t>General Information on this Template</t>
  </si>
  <si>
    <t>Sub-installation</t>
  </si>
  <si>
    <t>(o)</t>
  </si>
  <si>
    <t>(p)</t>
  </si>
  <si>
    <t>(q)</t>
  </si>
  <si>
    <t>Sum of products</t>
  </si>
  <si>
    <t>CF(EOE)</t>
  </si>
  <si>
    <t>Ethylene oxide</t>
  </si>
  <si>
    <t>Monoethylene glycol</t>
  </si>
  <si>
    <t>Diethylene glycol</t>
  </si>
  <si>
    <t>Triethylene glycol</t>
  </si>
  <si>
    <t>Result: Activity levels for the ethylene oxide / ethylene glycols product benchmark sub-installation:</t>
  </si>
  <si>
    <t>Installation name:</t>
  </si>
  <si>
    <t>Naphtha/Gasoline Hydrotreater</t>
  </si>
  <si>
    <t>Result: Activity levels for the aromatics benchmark expressed as CWT</t>
  </si>
  <si>
    <t>Aromatics activity level</t>
  </si>
  <si>
    <t>Member State specific information:</t>
  </si>
  <si>
    <t>Name of the installation:</t>
  </si>
  <si>
    <t>Operator data:</t>
  </si>
  <si>
    <t>Name:</t>
  </si>
  <si>
    <t>Installation address:</t>
  </si>
  <si>
    <t>Street, Number:</t>
  </si>
  <si>
    <t>ZIP-Code:</t>
  </si>
  <si>
    <t>City:</t>
  </si>
  <si>
    <t>Country:</t>
  </si>
  <si>
    <t>Name of authorized representative:</t>
  </si>
  <si>
    <t>Email:</t>
  </si>
  <si>
    <t>Telephone:</t>
  </si>
  <si>
    <t>Fax:</t>
  </si>
  <si>
    <t>Company Name:</t>
  </si>
  <si>
    <t>Other HVC</t>
  </si>
  <si>
    <t>Result: Activity levels for net HVC</t>
  </si>
  <si>
    <t>Net HVC production levels</t>
  </si>
  <si>
    <t>Tool for calculating the historical activity levels for hydrogen sub-installations</t>
  </si>
  <si>
    <t>Total hydrogen production</t>
  </si>
  <si>
    <t>EUconst_MNm3pa</t>
  </si>
  <si>
    <t>Norway</t>
  </si>
  <si>
    <t>Liechtenstein</t>
  </si>
  <si>
    <t>IS</t>
  </si>
  <si>
    <t>LI</t>
  </si>
  <si>
    <t>NO</t>
  </si>
  <si>
    <t>UBA</t>
  </si>
  <si>
    <t>Name</t>
  </si>
  <si>
    <t>TEXT (Language Version)</t>
  </si>
  <si>
    <t>English Version (Original)</t>
  </si>
  <si>
    <t>Constant</t>
  </si>
  <si>
    <t>Further constants</t>
  </si>
  <si>
    <t>EUconst_ReportingYears</t>
  </si>
  <si>
    <t>End</t>
  </si>
  <si>
    <t>Area for functionalities, Constants etc.</t>
  </si>
  <si>
    <t>II</t>
  </si>
  <si>
    <t>(b)</t>
  </si>
  <si>
    <t>Column Index:</t>
  </si>
  <si>
    <t xml:space="preserve"> %</t>
  </si>
  <si>
    <t>Memo-Item: Biomass emissions</t>
  </si>
  <si>
    <t>Biomass content (as fraction of carbon)</t>
  </si>
  <si>
    <t>(d)</t>
  </si>
  <si>
    <t>Emissions (fossil, calculated)</t>
  </si>
  <si>
    <t>III</t>
  </si>
  <si>
    <t>Unit</t>
  </si>
  <si>
    <t>EUconst_ERR_Mandatory_g</t>
  </si>
  <si>
    <t>EUconst_ERR_Mandatory_abd</t>
  </si>
  <si>
    <t>At least one sub-installation name has been entered more than once. Please correct!</t>
  </si>
  <si>
    <t>EUconst_ERR_DoubleBMentry</t>
  </si>
  <si>
    <t>EUconst_ERR_MissingSubInstEntry</t>
  </si>
  <si>
    <t>Please enter for each sub-installation if it is relevant or not!</t>
  </si>
  <si>
    <t>EUconst_ERR_MissingFallBackEntry</t>
  </si>
  <si>
    <t>Used f. Formatting of navigation panel</t>
  </si>
  <si>
    <t>Green fields show automatically calculated results. Red text indicates error messages (missing data etc).</t>
  </si>
  <si>
    <t>Please enter information under points (b) and (c) above!</t>
  </si>
  <si>
    <t>EUconst_ERR_Mandatory_Bbc</t>
  </si>
  <si>
    <t>Please enter detailed source stream data starting with section II below!</t>
  </si>
  <si>
    <t>EUconst_ERR_StartWithFuels</t>
  </si>
  <si>
    <t>Please go on with entering emission totals in section D.I.2 in sheet 'D_Emissions'!</t>
  </si>
  <si>
    <t>EUconst_ERR_Goto_DI2</t>
  </si>
  <si>
    <t>EUconst_Fuel</t>
  </si>
  <si>
    <t>Fuel</t>
  </si>
  <si>
    <t>The units selected are inconsistent, and calculations based upon related inputs will give wrong results.</t>
  </si>
  <si>
    <t>EUconst_GJpa</t>
  </si>
  <si>
    <t>Total direct emission of the installation</t>
  </si>
  <si>
    <t>No. of Activity</t>
  </si>
  <si>
    <t>Please use CWT tool in sheet "SpecialBM" for calculating historical activity levels.</t>
  </si>
  <si>
    <t>Please use lime tool in sheet "SpecialBM" for calculating historical activity levels.</t>
  </si>
  <si>
    <t>Please use dolime tool in sheet "SpecialBM" for calculating historical activity levels.</t>
  </si>
  <si>
    <t>Please use ethylene oxide / glycols tool in sheet "SpecialBM" for calculating historical activity levels.</t>
  </si>
  <si>
    <t>Please use hydrogen tool in sheet "SpecialBM" for calculating historical activity levels.</t>
  </si>
  <si>
    <t>Please use syngas tool in sheet "SpecialBM" for calculating historical activity levels.</t>
  </si>
  <si>
    <t>EUconst_BaselinePeriods</t>
  </si>
  <si>
    <t># occurances</t>
  </si>
  <si>
    <t>Attribution of emissions to sub-installations</t>
  </si>
  <si>
    <t>Relevant electricity consumption</t>
  </si>
  <si>
    <t>Total direct emissions</t>
  </si>
  <si>
    <t>Indirect emissions</t>
  </si>
  <si>
    <t>EUconst_HeatBMvalue</t>
  </si>
  <si>
    <t>EUconst_ElBM</t>
  </si>
  <si>
    <t>Unit of HAL</t>
  </si>
  <si>
    <t>Main activity level:</t>
  </si>
  <si>
    <t>Sum of production levels</t>
  </si>
  <si>
    <t>Special reporting requirements:</t>
  </si>
  <si>
    <t>Some product benchmarks require special information to be reported (e.g. CWT values). If relevant, an automatically generated message will appear here.</t>
  </si>
  <si>
    <t>Message regarding special reporting</t>
  </si>
  <si>
    <t>Please list here to which production processes or services this sub-installation relates. This may include the following items:</t>
  </si>
  <si>
    <t xml:space="preserve">-  </t>
  </si>
  <si>
    <t>Production of goods not covered by product benchmarks within the installation (please provide types of product);</t>
  </si>
  <si>
    <t>Norwegian</t>
  </si>
  <si>
    <t>no</t>
  </si>
  <si>
    <t>VII</t>
  </si>
  <si>
    <t>VIII</t>
  </si>
  <si>
    <t>Total Direct Greenhouse Gas Emissions and Energy Input from Fuels</t>
  </si>
  <si>
    <t>Total N2O emissions</t>
  </si>
  <si>
    <t>Total PFC emissions</t>
  </si>
  <si>
    <t>Total CO2 emissions</t>
  </si>
  <si>
    <t>tCO2e/tN2O</t>
  </si>
  <si>
    <t>Installation level data:</t>
  </si>
  <si>
    <t>Total energy input from fuels</t>
  </si>
  <si>
    <t>A separate balance for the consumption of the "eligible" and "non-eligible" heat is calculated.</t>
  </si>
  <si>
    <t>For the purpose of this template, the following step-by-step approach is used:</t>
  </si>
  <si>
    <t>Heat imported from non-ETS installations or entities:</t>
  </si>
  <si>
    <t>Hydrogen related emissions</t>
  </si>
  <si>
    <t>EUconst_FuelBMvalue</t>
  </si>
  <si>
    <t>Emission related data:</t>
  </si>
  <si>
    <t>Carbon content (mass %)</t>
  </si>
  <si>
    <t>Net calorific value (NCV), if applicable</t>
  </si>
  <si>
    <t>Please make sure that you check this section again after completing the sheet "F_ProductBM", if applicable, in order to avoid non-plausible inputs.</t>
  </si>
  <si>
    <t>You will receive an error message if you do not enter exactly 4 digits.</t>
  </si>
  <si>
    <t>Name of product or group of products</t>
  </si>
  <si>
    <t>PRODCOM 2010</t>
  </si>
  <si>
    <t>http://ec.europa.eu/eurostat/ramon/nomenclatures/index.cfm?TargetUrl=LST_CLS_DLD&amp;StrNom=PRD_2010&amp;StrLanguageCode=EN&amp;StrLayoutCode=HIERARCHIC</t>
  </si>
  <si>
    <t>A list of PRODCOM 2010 codes can be found at:</t>
  </si>
  <si>
    <t>This type of sub-installation always relates to production of goods not covered by product benchmarks within the installation.</t>
  </si>
  <si>
    <t>Process emission type</t>
  </si>
  <si>
    <t>EUconst_ProcessEmissionTypes</t>
  </si>
  <si>
    <t>N2O</t>
  </si>
  <si>
    <t>PFCs</t>
  </si>
  <si>
    <t>reduction of metals compounds</t>
  </si>
  <si>
    <t>removal of impurities</t>
  </si>
  <si>
    <t>decomposition of carbonates</t>
  </si>
  <si>
    <t>Please provide here information on the greenhouse gas emissions permit (=permit issued in accordance with Articles 5 and 6 of the EU ETS Directive).</t>
  </si>
  <si>
    <t>All installations which are not incumbents according to the above criteria will be considered "New entrants" by the competent authority.</t>
  </si>
  <si>
    <t>The EPRTR is the European Pollutant Release and Transfer Register.</t>
  </si>
  <si>
    <t>Please provide the identification code of the installation in the EPRTR, if applicable:</t>
  </si>
  <si>
    <t>Synthesis gas production for POX units</t>
  </si>
  <si>
    <t>Result: Activity levels for the refinery benchmark expressed as CWT</t>
  </si>
  <si>
    <t>Uncorrected Dolime production:</t>
  </si>
  <si>
    <t>Please enter here the annual production data expressed as tonnes of lime, without correction for the composition data:</t>
  </si>
  <si>
    <t>Tool for calculating the historical activity levels for Dolime sub-installations</t>
  </si>
  <si>
    <t>Light yellow fields indicate that an input is optional.</t>
  </si>
  <si>
    <t>Umweltbundesamt</t>
  </si>
  <si>
    <t>Spain</t>
  </si>
  <si>
    <t>Sweden</t>
  </si>
  <si>
    <t>United Kingdom</t>
  </si>
  <si>
    <t>Navigation panels on top of each sheet provide hyperlinks for quick jumps to individual input sections. The first line ("Table of contents", "Previous sheet", "next sheet", "Summary") and the points "Top of sheet" and "End of sheet" are the same for all sheets. Depending on the sheet, further menu items are added. If the background colour of one of the hyperlink areas turns red, this indicates that data is missing in the related section (not in all sheets).</t>
  </si>
  <si>
    <t>EUconst_MsgSeeFirst</t>
  </si>
  <si>
    <t>Please proceed to sheet 'F_ProductBM'!</t>
  </si>
  <si>
    <t>EUconst_MsgProceedF</t>
  </si>
  <si>
    <t>Please proceed to section E.II.2</t>
  </si>
  <si>
    <t>EUconst_MsgProceedEII2</t>
  </si>
  <si>
    <t>EUconst_MsgGoOn</t>
  </si>
  <si>
    <t>Please continue with the next points below</t>
  </si>
  <si>
    <t xml:space="preserve">Production of pulp from timber or other fibrous materials </t>
  </si>
  <si>
    <t>Short fibre kraft pulp</t>
  </si>
  <si>
    <t>Adt</t>
  </si>
  <si>
    <t>Long fibre kraft pulp</t>
  </si>
  <si>
    <t>Sulphite pulp, thermo-mechanical and mechanical pulp</t>
  </si>
  <si>
    <t xml:space="preserve">Production of paper or cardboard with a production capacity exceeding 20 tonnes per day </t>
  </si>
  <si>
    <t>Newsprint</t>
  </si>
  <si>
    <t>Uncoated fine paper</t>
  </si>
  <si>
    <t>EUconst_Inconsistent</t>
  </si>
  <si>
    <t>inconsistent!</t>
  </si>
  <si>
    <t>EUconst_tCO2pkNm3</t>
  </si>
  <si>
    <t>The operator of this installation confirms that the installation is not eligible for free allocation under Article 10a of the EU ETS Directive as an incumbent.</t>
  </si>
  <si>
    <t>In case no data on the content of free MgO is available, a conservative estimate not lower than 0.5% shall be applied.</t>
  </si>
  <si>
    <t>Content of CaO</t>
  </si>
  <si>
    <t>Content of MgO</t>
  </si>
  <si>
    <t>Result: Activity levels for lime expressed as standard pure lime</t>
  </si>
  <si>
    <t>This section relates to the process emissions sub-installation of this type:</t>
  </si>
  <si>
    <t>Please confirm if waste gases are relevant for this sub-installation:</t>
  </si>
  <si>
    <t>chemical synthesis</t>
  </si>
  <si>
    <t>carbon containing materials</t>
  </si>
  <si>
    <t>Historic Activity levels and disaggregated production details</t>
  </si>
  <si>
    <t>Portugal</t>
  </si>
  <si>
    <t>Romania</t>
  </si>
  <si>
    <t>Slovakia</t>
  </si>
  <si>
    <t>Slovenia</t>
  </si>
  <si>
    <t>Unique Installation Identifier:</t>
  </si>
  <si>
    <t>Identification of the Installation</t>
  </si>
  <si>
    <t>This name should be the same as has been already used for correspondence with the competent authority.</t>
  </si>
  <si>
    <t>Under which NACE code has your company reported value added for structural business statistics?</t>
  </si>
  <si>
    <t xml:space="preserve">NACE rev 2.0 can be found here: </t>
  </si>
  <si>
    <t>Rest</t>
  </si>
  <si>
    <t>production of mechanical energy, heating or cooling (all uses excluding production of electricity);</t>
  </si>
  <si>
    <t>production of mechanical energy, heating or cooling (all uses excluding production of electricity).</t>
  </si>
  <si>
    <t>mechanical energy</t>
  </si>
  <si>
    <t>If the answers to points (a) and (b) are both negative, or if the answer to point (d) is positive, the installation can be considered as eligible for free allocation under Article 10a of the EU ETS Directive. If relevant for your installation, please confirm here that you apply for a free allocation of allowances under Article 10a:</t>
  </si>
  <si>
    <t>Total Ethylene oxide equivalents</t>
  </si>
  <si>
    <t>Installation producing Nitric Acid</t>
  </si>
  <si>
    <t>In the column "Type of entity" the following options can be selected:</t>
  </si>
  <si>
    <t>Please list this fact even if the nitric acid production is part of your own installation, not only if your installation is connected to such installation.</t>
  </si>
  <si>
    <t>Special case: Nitric acid production:</t>
  </si>
  <si>
    <t>Individual production levels of products included in this product benchmark sub-installation</t>
  </si>
  <si>
    <t xml:space="preserve">&lt;&lt;&lt; Click here to proceed to next sheet &gt;&gt;&gt; </t>
  </si>
  <si>
    <t>N.A.</t>
  </si>
  <si>
    <t>EUconst_TrueFalse</t>
  </si>
  <si>
    <t>EUconst_TrueFalseNA</t>
  </si>
  <si>
    <t>I</t>
  </si>
  <si>
    <t>Date of start of operation of the installation:</t>
  </si>
  <si>
    <t>The required data on historical production of hydrogen, ethylene and other HVC from supplemental feed expressed as tonnes, taken from IV.1.c above;</t>
  </si>
  <si>
    <t>tonnes</t>
  </si>
  <si>
    <t>-</t>
  </si>
  <si>
    <t>%</t>
  </si>
  <si>
    <t>R</t>
  </si>
  <si>
    <t>C5/C6 Isomerisation</t>
  </si>
  <si>
    <t>Asphalt Manufacture</t>
  </si>
  <si>
    <t>Polymer-Modified Asphalt Blending</t>
  </si>
  <si>
    <t>Sulphur Recovery</t>
  </si>
  <si>
    <t>Aromatic Solvent Extraction</t>
  </si>
  <si>
    <t>Hydrodealkylation</t>
  </si>
  <si>
    <t>TDP/ TDA</t>
  </si>
  <si>
    <t>Cyclohexane production</t>
  </si>
  <si>
    <t>Xylene Isomerisation</t>
  </si>
  <si>
    <t>Paraxylene production</t>
  </si>
  <si>
    <t>Metaxylene production</t>
  </si>
  <si>
    <t>Maleic anhydride production</t>
  </si>
  <si>
    <t>Ethylbenzene production</t>
  </si>
  <si>
    <t>Cumene production</t>
  </si>
  <si>
    <t>Phenol production</t>
  </si>
  <si>
    <t>The operator of this installation confirms that this report may be used by the competent authority and the European Commission.</t>
  </si>
  <si>
    <t>EUconst_Error</t>
  </si>
  <si>
    <t>ERR_</t>
  </si>
  <si>
    <t>Errors?</t>
  </si>
  <si>
    <t>BM1</t>
  </si>
  <si>
    <t>BM2</t>
  </si>
  <si>
    <t>BM3</t>
  </si>
  <si>
    <t>BM4</t>
  </si>
  <si>
    <t>BM5</t>
  </si>
  <si>
    <t>BM6</t>
  </si>
  <si>
    <t>BM7</t>
  </si>
  <si>
    <t>BM8</t>
  </si>
  <si>
    <t>BM9</t>
  </si>
  <si>
    <t>BM10</t>
  </si>
  <si>
    <t>Production or processing of ferrous metals (including ferro-alloys) where combustion units with a total rated thermal input exceeding 20 MW are operated. Processing includes, inter alia, rolling mills, re-heaters, annealing furnaces, smitheries, foundries, coating and pickling</t>
  </si>
  <si>
    <t>Important note: The reporting is done in ktonnes, but the benchmark is expressed in t CO2/CWT, where CWT is expressed in tonnes.</t>
  </si>
  <si>
    <t>Emissions</t>
  </si>
  <si>
    <t>Waste gases</t>
  </si>
  <si>
    <t>EUconst_RelevantNotRelevant</t>
  </si>
  <si>
    <t>Carbon leakage</t>
  </si>
  <si>
    <t>not exposed to carbon leakage</t>
  </si>
  <si>
    <t>EUconst_CLnonCL</t>
  </si>
  <si>
    <t>However, for waste gases a CO2 amount equivalent to natural gas used for the "technically usable energy content" is to be subtracted from the total process emissions.</t>
  </si>
  <si>
    <t>In order to determine the "technically usable energy content" the following information is needed:</t>
  </si>
  <si>
    <t>Type of waste gas:</t>
  </si>
  <si>
    <t>Net calorific value of the waste gas</t>
  </si>
  <si>
    <t>Emission factor of natural gas: 56.1 t CO2/TJ.</t>
  </si>
  <si>
    <t>Net calorific value of the waste gas;</t>
  </si>
  <si>
    <t>Optionally (for consistency checking) the process emissions associated with these waste gas amounts should be reported.</t>
  </si>
  <si>
    <t>If no further data is to be reported, there is also no need for verification of this report.</t>
  </si>
  <si>
    <t>Electricity exported</t>
  </si>
  <si>
    <t>EUconst_ConnectionTransferTypes</t>
  </si>
  <si>
    <t>Name of contact person</t>
  </si>
  <si>
    <t>Please enter here further information regarding those connected installations, if relevant:</t>
  </si>
  <si>
    <t>EUconst_ConnectionShortTypes</t>
  </si>
  <si>
    <t>Heat</t>
  </si>
  <si>
    <t>CO2</t>
  </si>
  <si>
    <t>For the aromatics benchmark, which also uses CWT, please use the specific CWT tool for aromatics below (section V of this sheet).</t>
  </si>
  <si>
    <t>This installation is considered as covered by Article 10a(3) of the EU ETS Directive:</t>
  </si>
  <si>
    <t xml:space="preserve">If the answer to (a) or (b) was positive, the answer to (c) is automatically positive. </t>
  </si>
  <si>
    <t>EUconst_ConfirmationNotEligible</t>
  </si>
  <si>
    <t>Confirmation of non-eligibility for free allocation:</t>
  </si>
  <si>
    <t>Important notes:</t>
  </si>
  <si>
    <t>EUconst_ConfirmApplicationForAlloc</t>
  </si>
  <si>
    <t>The operator of this installation confirms that an application for free allocation under Article 10a of the EU ETS Directive is hereby filed.</t>
  </si>
  <si>
    <t>Net heat exported</t>
  </si>
  <si>
    <t>Waste gas exported</t>
  </si>
  <si>
    <t>HeatEx_</t>
  </si>
  <si>
    <t>WasteGasEx_</t>
  </si>
  <si>
    <t>EUconst_CNTR_HeatExport</t>
  </si>
  <si>
    <t>EUconst_CNTR_WGExport</t>
  </si>
  <si>
    <t>FuelInput_</t>
  </si>
  <si>
    <t>EUconst_CNTR_FuelInput</t>
  </si>
  <si>
    <t>Net heat imported</t>
  </si>
  <si>
    <t>EUconst_CNTR_WGExportEF</t>
  </si>
  <si>
    <t>WasteGasExEF_</t>
  </si>
  <si>
    <t>HeatExEF_</t>
  </si>
  <si>
    <t>EUconst_CNTR_HeatExportEF</t>
  </si>
  <si>
    <t>EUconst_CNTR_HeatImport</t>
  </si>
  <si>
    <t>HeatIm_</t>
  </si>
  <si>
    <t>EUconst_CNTR_HeatImportEF</t>
  </si>
  <si>
    <t>HeatImEF_</t>
  </si>
  <si>
    <t>EUconst_CNTR_ElectricityExported</t>
  </si>
  <si>
    <t>ElecEx_</t>
  </si>
  <si>
    <t>EUconst_CNTR_WGImport</t>
  </si>
  <si>
    <t>EUconst_CNTR_WGImportEF</t>
  </si>
  <si>
    <t>WasteGasImEF_</t>
  </si>
  <si>
    <t>WasteGasIm_</t>
  </si>
  <si>
    <t>Waste gas imported</t>
  </si>
  <si>
    <t>Specific EF (imported heat)</t>
  </si>
  <si>
    <t>Specific EF (exported heat)</t>
  </si>
  <si>
    <t>xiii.</t>
  </si>
  <si>
    <t>xiv.</t>
  </si>
  <si>
    <t>xv.</t>
  </si>
  <si>
    <t>xvi.</t>
  </si>
  <si>
    <t>xvii.</t>
  </si>
  <si>
    <t>xviii.</t>
  </si>
  <si>
    <t>xix.</t>
  </si>
  <si>
    <t>xx.</t>
  </si>
  <si>
    <t>xxi.</t>
  </si>
  <si>
    <t>xxii.</t>
  </si>
  <si>
    <t>xxiii.</t>
  </si>
  <si>
    <t>EUconst_CNTR_Emissions</t>
  </si>
  <si>
    <t>make grey?</t>
  </si>
  <si>
    <t>Measurable heat import to and export from this sub-installation</t>
  </si>
  <si>
    <t>EUconst_tCO2pMWh</t>
  </si>
  <si>
    <t>Emissions attributable to heat output</t>
  </si>
  <si>
    <t>Fuel input into CHP</t>
  </si>
  <si>
    <t>Heat output from CHP</t>
  </si>
  <si>
    <t>Electricity output CHP</t>
  </si>
  <si>
    <t>EUconst_NGEFvalue</t>
  </si>
  <si>
    <t>Reference efficiencies</t>
  </si>
  <si>
    <t>Heat production</t>
  </si>
  <si>
    <t>Electricity production</t>
  </si>
  <si>
    <t>Total amount of fuel input into CHP units</t>
  </si>
  <si>
    <t>ARR</t>
  </si>
  <si>
    <t>BM value (2013-2020)</t>
  </si>
  <si>
    <t>Reporting years used:</t>
  </si>
  <si>
    <t>Reporting years (default):</t>
  </si>
  <si>
    <t>Croatia</t>
  </si>
  <si>
    <t>HR</t>
  </si>
  <si>
    <t>IC</t>
  </si>
  <si>
    <t>Croatian</t>
  </si>
  <si>
    <t>hr</t>
  </si>
  <si>
    <t>Icelandic</t>
  </si>
  <si>
    <t>ic</t>
  </si>
  <si>
    <t>Tool for calculating the emissions attributable to heat production in combined heat and power units (CHP)</t>
  </si>
  <si>
    <t>Waste gas produced</t>
  </si>
  <si>
    <t>Import or export of intermediate products covered by product benchmarks</t>
  </si>
  <si>
    <t>Exported amounts:</t>
  </si>
  <si>
    <t>Imported amounts:</t>
  </si>
  <si>
    <t>Is there any import or export of intermediate products covered by product benchmarks?</t>
  </si>
  <si>
    <t>Description of the intermediate products imported or exported</t>
  </si>
  <si>
    <t>Other than CWT?</t>
  </si>
  <si>
    <t>Print area:</t>
  </si>
  <si>
    <t>Net heat imported from nitric acid sub-installation</t>
  </si>
  <si>
    <t>Net heat imported from pulp</t>
  </si>
  <si>
    <t>Total heat imported</t>
  </si>
  <si>
    <t>Total heat exported</t>
  </si>
  <si>
    <t>Amount imported or exported</t>
  </si>
  <si>
    <t>Further source streams - 1</t>
  </si>
  <si>
    <t>Further source streams - 2</t>
  </si>
  <si>
    <t>GHG imported or exported</t>
  </si>
  <si>
    <t>Total amount of pulp produced</t>
  </si>
  <si>
    <t>Does the installation produce heat not used for electricity production?</t>
  </si>
  <si>
    <t>EUconst_CNTR_HeatImportPulp</t>
  </si>
  <si>
    <t>HeatImPulp_</t>
  </si>
  <si>
    <t>EUconst_CNTR_HeatImportNitric</t>
  </si>
  <si>
    <t>HeatImNitric_</t>
  </si>
  <si>
    <t>Does the installation produce electricity?</t>
  </si>
  <si>
    <t>CNTR_ProdElec</t>
  </si>
  <si>
    <t>EUconst_AllYears</t>
  </si>
  <si>
    <t>Please enter here the annual fuel input into the CHP unit.</t>
  </si>
  <si>
    <t>From fuel input to CHP</t>
  </si>
  <si>
    <t>From flue gas cleaning</t>
  </si>
  <si>
    <t>Total net heat imported</t>
  </si>
  <si>
    <t>Measurable heat produced from electricity</t>
  </si>
  <si>
    <t>Heat from electricity</t>
  </si>
  <si>
    <t>Waste gas balance</t>
  </si>
  <si>
    <t>Waste gases imported from other installations or entities</t>
  </si>
  <si>
    <t>Waste gases exported to other installations or entities</t>
  </si>
  <si>
    <t>Waste gases available</t>
  </si>
  <si>
    <t>Waste gases consumed within fall-back sub-installations</t>
  </si>
  <si>
    <t>Amount of waste gases consumed for the production of electricity</t>
  </si>
  <si>
    <t>Waste gases for electricity</t>
  </si>
  <si>
    <t>Plausibility check</t>
  </si>
  <si>
    <t>Difference (calculated)</t>
  </si>
  <si>
    <t>Amount of waste gases flared other than safety flaring</t>
  </si>
  <si>
    <t>Weighted emission factor</t>
  </si>
  <si>
    <t>Waste gases consumed within product benchmark sub-installations</t>
  </si>
  <si>
    <t>Type of product BM sub-installation</t>
  </si>
  <si>
    <t>Type of fall-back sub-installation</t>
  </si>
  <si>
    <t>produced outside product BM sub-installations</t>
  </si>
  <si>
    <t>Complete balance of waste gases at the installation</t>
  </si>
  <si>
    <t>(r)</t>
  </si>
  <si>
    <t>Fuel input to this sub-installation and relevant emission factor</t>
  </si>
  <si>
    <t>Information about the verifier's accreditation:</t>
  </si>
  <si>
    <t>Name of the national accreditation body:</t>
  </si>
  <si>
    <t>Waste gases produced</t>
  </si>
  <si>
    <t>Waste gases produced within the system boundaries of a product benchmark sub-installation</t>
  </si>
  <si>
    <t>Waste gases produced outside the system boundaries of a product benchmark sub-installation</t>
  </si>
  <si>
    <t>Sum of waste gases available at installation (=c+d-e)</t>
  </si>
  <si>
    <t>D.II.b !</t>
  </si>
  <si>
    <t>The name of the fall-back sub-installation is displayed automatically based on the overall list of possible fall-back installations.</t>
  </si>
  <si>
    <t>Pulp</t>
  </si>
  <si>
    <t xml:space="preserve">Usually this is the production data of the product, e.g. tonnes of grey cement clinker or tonnes of glass bottles, as defined by Annex I of the FAR. </t>
  </si>
  <si>
    <t>After these deductions of heat from the available amount, a new "eligibility ratio" is calculated (point (k)).</t>
  </si>
  <si>
    <t>Heat exports to installations covered by the ETS (section (i) below) must always be considered as heat from eligible sources, because the consumer of the heat will not have the information about eligibility of the upstream produced heat. Thus, for avoiding double counting, the heat must be deducted from the eligible amount in this installation. The amount is to be capped by the total available "eligible" heat of the installation.</t>
  </si>
  <si>
    <t>As default, it is assumed that the whole amount of heat used for electricity production is split between eligible and non-eligible inputs using the ratio calculated under (f).</t>
  </si>
  <si>
    <t>Thereafter the factor determined under (e) is corrected taking into account the remainder of eligible and non-eligible heat. This factor is used for point (m).</t>
  </si>
  <si>
    <t>This is consumption within the installation excluding for purposes listed in points (g) and (h).</t>
  </si>
  <si>
    <t>This table shows calculated heat losses (i.e. the amount of heat not covered by points g,h,k,l and m) for reasons of completeness of the heat balance.</t>
  </si>
  <si>
    <t>This result is calculated as point (o) multiplied with the corrected eligibility ratio determined under (k).</t>
  </si>
  <si>
    <t>Heat benchmark sub-installation "CL" (exposed to a significant risk of Carbon Leakage), "non-CL" (not exposed to carbon leakage risk; which includes heat exported to non-ETS installations and entities but not for district heating) and district heating sub-installation "non-CL".</t>
  </si>
  <si>
    <t>EUconst_CLEFYears</t>
  </si>
  <si>
    <t>EUconst_CLEFDistrict</t>
  </si>
  <si>
    <t>District heating sub-installation</t>
  </si>
  <si>
    <t>EUconst_AllocPrelim</t>
  </si>
  <si>
    <t>AllocPrelim_</t>
  </si>
  <si>
    <t>Distribution of fuel input to different uses</t>
  </si>
  <si>
    <t>https://eur-lex.europa.eu/eli/dir/2003/87/2018-04-08</t>
  </si>
  <si>
    <t>An installation is an incumbent if it has received a greenhouse gas emission permit for the first time on or before:</t>
  </si>
  <si>
    <t>30 June 2019 for the allocation period 2021-2025, or</t>
  </si>
  <si>
    <t>30 June 2024 for the period 2026-2030.</t>
  </si>
  <si>
    <t>Maximum</t>
  </si>
  <si>
    <t>Name of further source streams - 1:</t>
  </si>
  <si>
    <t>Name of further source streams - 2:</t>
  </si>
  <si>
    <t>If there are more than two source streams imported or exported, multiple source streams should be grouped together and respective names provided.</t>
  </si>
  <si>
    <t>Installation ID is mandatory if the connected installation is covered by the EU ETS, and if it has already been covered by the EU ETS before 30 June 2019 for the first allocation period, and before 30 June 2024 for the second allocation period.</t>
  </si>
  <si>
    <t>Types of waste gases exported:</t>
  </si>
  <si>
    <t>Types of waste gases imported:</t>
  </si>
  <si>
    <t>Types of waste gases produced:</t>
  </si>
  <si>
    <t>Directive 2003/87/EC, as amended most recently by Directive 2018/410/EU (hereinafter "the EU ETS Directive") requires Member States to allocate allowances for free to installations based on Community-wide and fully-harmonised rules (Article 10a(1)). The Directive can be downloaded from:</t>
  </si>
  <si>
    <t>"Member State" means here: State which participates in the EU ETS, i.e. EU Member States and Iceland, Norway and Liechtenstein.</t>
  </si>
  <si>
    <t>This is the ID used by the competent authority for correspondence with the installation, e.g. for free allocation in earlier periods.</t>
  </si>
  <si>
    <t>For installations which have not been included in the EU ETS before, operators are requested to contact the competent authority to receive such ID.</t>
  </si>
  <si>
    <t>Information on the greenhouse gas emissions permit:</t>
  </si>
  <si>
    <t>Identification code of the installation in the Registry:</t>
  </si>
  <si>
    <t>Unique identifier provided by the competent authority:</t>
  </si>
  <si>
    <t>Primary contact person for technical questions regarding installation data, if different from (a):</t>
  </si>
  <si>
    <t>Authorised representative of the operator in charge of this installation:</t>
  </si>
  <si>
    <t>Authorised representative of the verifier:</t>
  </si>
  <si>
    <t>This information is important for the competent authorities because changes compared to previous ETS phases may have taken place.</t>
  </si>
  <si>
    <t>The data contained in this file will be used by the competent authority for determining the free allocation pursuant to Article 10a of the EU ETS Directive, and by the European Commission for updating benchmark values. Furthermore these data will be notified to the European Commission in part or as a whole, if requested so, for the purpose of scrutinizing the national implementation measures pursuant to Article 11(1) of the EU ETS Directive.</t>
  </si>
  <si>
    <t xml:space="preserve">Note that according to Article 10(3) of the FAR an exemption from the distinction of CL and non-CL may be granted for reporting purposes. </t>
  </si>
  <si>
    <t>Only those cases are relevant, where either measurable heat, waste gases or "transferred CO2" as defined by the Monitoring and Reporting Regulation are transferred.</t>
  </si>
  <si>
    <t>transferred CO2</t>
  </si>
  <si>
    <t>Product name, or heat export other than "district heating"</t>
  </si>
  <si>
    <t>export of heat to installations or other entities (other than district heating). In this case please indicate the use of heat in that installation or entity, if known.</t>
  </si>
  <si>
    <t>Further correction factors</t>
  </si>
  <si>
    <t>For electricity production, heat consumption is split according to the ratio displayed under point (f), unless the amount of heat from non-eligible sources is manually input under (g).iii.</t>
  </si>
  <si>
    <t>For product benchmarks the total amount of measured heat is asked under (g) below. The amount of "non-eligible" heat is taken as sum of inputs in sheet "F_ProductBM", section (f).iii of each sub-installation (shown here below under (i).xii ).</t>
  </si>
  <si>
    <t>Eligibility ratio for the remaining heat calculated under (j):</t>
  </si>
  <si>
    <t>corrected eligibility ratio (=(j).ii / (j).i):</t>
  </si>
  <si>
    <t>Heat losses (=j-l-m)</t>
  </si>
  <si>
    <t>Heat losses (fraction of heat available = e)</t>
  </si>
  <si>
    <t>Compare to (f)</t>
  </si>
  <si>
    <t>The remaining eligible amount can then be attributed to the both heat benchmark sub-installations.</t>
  </si>
  <si>
    <t>Total emissions from CHP</t>
  </si>
  <si>
    <t>Emissions attributable to heat production from CHP</t>
  </si>
  <si>
    <t>FB7</t>
  </si>
  <si>
    <t>If relevant, an automatically generated message will appear here demanding the input needed for taking into account the exchangeability of fuels and electricity.</t>
  </si>
  <si>
    <t>Point xii in relation to point xi:</t>
  </si>
  <si>
    <t>Point xii in relation to point (c) above:</t>
  </si>
  <si>
    <t>Waste gas tool</t>
  </si>
  <si>
    <t>The historical activity level expressed in tonnes of ethylene oxide equivalents is calculated using the formula given in the FAR, Annex III point 8.</t>
  </si>
  <si>
    <t>This tool helps you determine the HAL (historical activity levels) for the refinery benchmark (Annex III point 1 of the FAR).</t>
  </si>
  <si>
    <t>For the definition and boundaries of each CWT function please see Annex II point 1 of the FAR.</t>
  </si>
  <si>
    <t>This tool helps you determine the HAL (historical activity levels) for the lime benchmark (Annex III point 2 of the FAR)</t>
  </si>
  <si>
    <t>This tool helps you determine the HAL (historical activity levels) for the Dolime benchmark (Annex III point 3 of the FAR). It is not to be used for "sintered dolime".</t>
  </si>
  <si>
    <t>This tool helps you determine the HAL (historical activity levels) for the aromatics benchmark (Annex III point 5 of the FAR)</t>
  </si>
  <si>
    <t>This tool helps you determine the HAL (historical activity levels) for the hydrogen benchmark (Annex III point 6 of the FAR).</t>
  </si>
  <si>
    <t>This tool helps you determine the HAL (historical activity levels) for the synthesis gas benchmark (Annex III point 7 of the FAR).</t>
  </si>
  <si>
    <t>This tool helps you determine the HAL (historical activity levels) for the ethylene oxide / ethylene glycols benchmark (Annex III point 8 of the FAR).</t>
  </si>
  <si>
    <t>Here the refinery activity level is calculated using the formula given in the FAR, Annex III point 1 (before determining the average value).</t>
  </si>
  <si>
    <t>The result of this tool is used in sheet "F_ProductBM", input line (a).ii of the appropriate sub-installation, from which the average is calculated.</t>
  </si>
  <si>
    <t>Here the corrected lime activity level is calculated using the formula given in the FAR, Annex III point 2 (before determining the average value).</t>
  </si>
  <si>
    <t>Here the corrected dolime activity level is calculated using the formula given in the FAR, Annex III point 3 (before determining the average value).</t>
  </si>
  <si>
    <t>Here the aromatics activity level is calculated using the formula given in the FAR, Annex III point 5 (before determining the average value).</t>
  </si>
  <si>
    <t>Here the corrected activity level (100% hydrogen) is calculated using the formula given in the FAR, Annex III point 6 (before determining the average value).</t>
  </si>
  <si>
    <t>Here the corrected activity level (referring to 47% H2) is calculated using the formula given in the FAR, Annex III point 7 (before determining the average value).</t>
  </si>
  <si>
    <t>This tool helps you determine the HAL (historical activity levels) for the steam cracking benchmark (Annex III point 4 of the FAR).</t>
  </si>
  <si>
    <t>Pursuant to Annex III point 4 of the FAR, the following data is required:</t>
  </si>
  <si>
    <t>Here the corrected activity level (net amount HVC) is calculated using the formula given in the FAR, Annex III point 4 (before determining the average value).</t>
  </si>
  <si>
    <t>For the definition and boundaries of each CWT function please see Annex II point 2 of the FAR.</t>
  </si>
  <si>
    <t>Important note:  In accordance with Annex II of the FAR, the units for reporting are kilotonnes throughput.</t>
  </si>
  <si>
    <t>Pursuant to Annex III point 2 of the FAR, the following data is required:</t>
  </si>
  <si>
    <t>Pursuant to Annex III point 3 of the FAR, the following data is required:</t>
  </si>
  <si>
    <t>Cogeneration tool</t>
  </si>
  <si>
    <t>Complete balance of measurable heat at the installation</t>
  </si>
  <si>
    <t>ElExch?</t>
  </si>
  <si>
    <t>Average</t>
  </si>
  <si>
    <t>Average of the historical activity levels in the baseline period</t>
  </si>
  <si>
    <t>Dont touch!</t>
  </si>
  <si>
    <t>sub-inst-No</t>
  </si>
  <si>
    <t>HAL total</t>
  </si>
  <si>
    <t>Specific EF (produced waste gas)</t>
  </si>
  <si>
    <t>Total electricity available for use in the installation (= b+c-d)</t>
  </si>
  <si>
    <t>Heat eligible for heat benchmark sub-installations</t>
  </si>
  <si>
    <t>Please enter here the direct emissions taking into account the following provisions:</t>
  </si>
  <si>
    <t>The direct emissions are monitored in line with the MP approved under the MRR, i.e. taking into account the emissions from calculation based methodologies (using source streams), measurement based methodologies (CEMS) as well as no-tier approaches (“fall-backs”).</t>
  </si>
  <si>
    <t>Control: Other emissions</t>
  </si>
  <si>
    <t>Pursuant to Annex IV, section 2.4(k), the total amount of pulp produced for the short fibre kraft pulp, long fibre kraft pulp, thermo-mechanical pulp and mechanical pulp, sulphite pulp product benchmark sub-installations should be reported.</t>
  </si>
  <si>
    <t>EmInternalSource1_</t>
  </si>
  <si>
    <t>EmInternalSource2_</t>
  </si>
  <si>
    <t>EUconst_CNTR_EmissionsIntSource1</t>
  </si>
  <si>
    <t>EUconst_CNTR_EmissionsIntSource2</t>
  </si>
  <si>
    <t>EUconst_CNTR_CO2Feedstock</t>
  </si>
  <si>
    <t>EmCO2Feedstock_</t>
  </si>
  <si>
    <t>EUconst_SumTransferCO2</t>
  </si>
  <si>
    <t>SUM_Tranfer_CO2</t>
  </si>
  <si>
    <t>Transferred CO2 exported</t>
  </si>
  <si>
    <t>Sum of direct emissions</t>
  </si>
  <si>
    <t>Total direct emissions of the installation</t>
  </si>
  <si>
    <t>Specific EF (imported waste gas)</t>
  </si>
  <si>
    <t>Specific EF (exported waste gas)</t>
  </si>
  <si>
    <t>Sub-installation level data:</t>
  </si>
  <si>
    <t xml:space="preserve">Measurable heat: where the heat is exclusively produced for one sub-installation, the emissions may be directly attributed here via the fuel’s emissions. </t>
  </si>
  <si>
    <t>make conditional?</t>
  </si>
  <si>
    <t>This is a tool for assigning fuels and emissions of CHPs for the purpose of updating the benchmark values pursuant to Annex VII, chapter 8.</t>
  </si>
  <si>
    <t>Please enter "false" here if there is no CHP relevant at your installation. If this is the case the whole tool is not relevant and will be greyed out.</t>
  </si>
  <si>
    <t>GB</t>
  </si>
  <si>
    <t>GR</t>
  </si>
  <si>
    <t>EUconst_MSlistEUTLcodes</t>
  </si>
  <si>
    <t>Are combined heat and power (CHP) units relevant?</t>
  </si>
  <si>
    <t>EUconst_CNTR_WGProduced</t>
  </si>
  <si>
    <t>WasteGasProd_</t>
  </si>
  <si>
    <t>Types of waste gases flared:</t>
  </si>
  <si>
    <t>Waste gas flared</t>
  </si>
  <si>
    <t>EUconst_CNTR_WGFlared</t>
  </si>
  <si>
    <t>WasteGasFlare_</t>
  </si>
  <si>
    <t>Heat:</t>
  </si>
  <si>
    <t>Emission factor, heat</t>
  </si>
  <si>
    <t>Default efficiencies:</t>
  </si>
  <si>
    <t>These values are dimensionless and automatically calculated from inputs in (a) to (c) above.</t>
  </si>
  <si>
    <t>Efficiencies for heat and electricity</t>
  </si>
  <si>
    <t>If no values are entered there but total emissions under (d) above, default efficiencies from (e) will be used here. Please note that this is only allowed if you provide evidence that the determination of the efficiencies is technically not feasible or would incur unreasonable costs, and values based on technical documentation (design values) of the installation are not available as well.</t>
  </si>
  <si>
    <t>Values should distinguish between emissions from fuel input and from flue gas cleaning.</t>
  </si>
  <si>
    <t>This is the final result of this tool. The values displayed here should be entered in sheets F or G for the attributable emissions for the appropriate sub-installation.</t>
  </si>
  <si>
    <t>For example, this may include attributable emissions to be taken into account for the total direct emissions, or use of the emission factor for any measurable heat imported.</t>
  </si>
  <si>
    <t>https://eur-lex.europa.eu/eli/reg_del/2015/2402/oj</t>
  </si>
  <si>
    <t>Please enter the appropriate values here. Note that the values have to be consistent with the sub-totals for import from non-ETS under point E.II.c in sheet "E_Energy flows".</t>
  </si>
  <si>
    <t>Types of waste gases consumed:</t>
  </si>
  <si>
    <t>Amounts flared</t>
  </si>
  <si>
    <t>Amounts imported</t>
  </si>
  <si>
    <t>Amounts exported</t>
  </si>
  <si>
    <t>Amounts produced</t>
  </si>
  <si>
    <t>Amounts consumed</t>
  </si>
  <si>
    <t>Specific EF (consumed waste gas)</t>
  </si>
  <si>
    <t>Specific EF (flared waste gas)</t>
  </si>
  <si>
    <t>Waste gas consumed</t>
  </si>
  <si>
    <t>EUconst_CNTR_WGConsumed</t>
  </si>
  <si>
    <t>WasteGasCons_</t>
  </si>
  <si>
    <t>Waste gas balance for this sub-installation</t>
  </si>
  <si>
    <t>Are waste gases relevant for this sub-installation?</t>
  </si>
  <si>
    <t>If the answer is "false" the whole section will be greyed out and you can continue with the next points below.</t>
  </si>
  <si>
    <t>Electricity:</t>
  </si>
  <si>
    <t>You may choose to report either as tonnes or as 1000 Nm3. The units must be consistent with those for the NCV and EF below.</t>
  </si>
  <si>
    <t>This includes all types of waste gases that are produced within the system boundaries of this sub-installation and exported from this sub-installation to any other sub-installation as well as to any other installations or entities.</t>
  </si>
  <si>
    <t>Waste gas 1</t>
  </si>
  <si>
    <t>Waste gas 2</t>
  </si>
  <si>
    <t>from section D.IV.</t>
  </si>
  <si>
    <t>Heat from waste gases: this includes measurable heat which is produced from waste gases.</t>
  </si>
  <si>
    <t>Please enter below the amount of measurable heat imported from each of the following sources:</t>
  </si>
  <si>
    <t>Net heat imported (other sources)</t>
  </si>
  <si>
    <t>Heat from product BM</t>
  </si>
  <si>
    <t>Heat from pulp</t>
  </si>
  <si>
    <t>Heat from fuel BM</t>
  </si>
  <si>
    <t>Heat from waste gases</t>
  </si>
  <si>
    <t>Tool for calculating the amount of process emissions if waste gases are produced outside product benchmarks</t>
  </si>
  <si>
    <t>This report and especially the answers given in points (a) to (f) here have no impact on possible free allocations under Article 10c of the EU ETS Directive ("Option for transitional free allocation for the modernisation of the energy sector").</t>
  </si>
  <si>
    <t>Automatic calculation (to be found in the menu Formula/Calculation options) must be turned on.</t>
  </si>
  <si>
    <t>for E.III:</t>
  </si>
  <si>
    <t>Heat benchmark and district heating sub-installations:</t>
  </si>
  <si>
    <t>Sub-total: remaining total measurable heat, potentially belonging to heat benchmark sub-installations (=e-g-h-i):</t>
  </si>
  <si>
    <t>Total amount of heat potentially part of the heat benchmark or district heating sub-installations (=l+m):</t>
  </si>
  <si>
    <t>Final result: Amount of heat attributable to heat benchmark or district heating sub-installations</t>
  </si>
  <si>
    <t>Difference (as fraction of f)</t>
  </si>
  <si>
    <t>These are auxiliary calculations for the heat balance:</t>
  </si>
  <si>
    <t>E.II.r !</t>
  </si>
  <si>
    <t>Heat from fuel BM: this includes measurable heat recovered from waste heat from fuel BM sub-installations.</t>
  </si>
  <si>
    <t>District heating</t>
  </si>
  <si>
    <t>The following data is taken automatically from sheet "E_EnergyFlows", section E.II.r. Thus, data input is mandatory there.</t>
  </si>
  <si>
    <t>CO2 (waste gas corrected)</t>
  </si>
  <si>
    <t>Please enter here the direct emissions monitored in line with the MP approved under the MRR, i.e. taking into account the emissions from calculation based methodologies (using source streams), measurement based methodologies (CEMS) as well as no-tier approaches (“fall-backs”).</t>
  </si>
  <si>
    <t>indicator for cond. format.</t>
  </si>
  <si>
    <t>Fuel input</t>
  </si>
  <si>
    <t>Fuel input attributable to heat and electricity production</t>
  </si>
  <si>
    <t>Fuel input for heat</t>
  </si>
  <si>
    <t>Fuel input for electricity</t>
  </si>
  <si>
    <t>CTRL_InputMethodFuelDistribution</t>
  </si>
  <si>
    <t>Fuel input to product BM sub-installations</t>
  </si>
  <si>
    <t>taken from E.II.r</t>
  </si>
  <si>
    <t>E.I.1.c !</t>
  </si>
  <si>
    <t>EUconst_WasteGasCorrFactor</t>
  </si>
  <si>
    <t>This concerns any waste heat recovered and eligible for a heat BM or district heating sub-installation.</t>
  </si>
  <si>
    <t>Electricity produced</t>
  </si>
  <si>
    <t>EUconst_CNTR_AttributedEmissions</t>
  </si>
  <si>
    <t>AttrEmissions_</t>
  </si>
  <si>
    <t>The term "fuel" should be understood as any source stream in accordance with the M&amp;R Regulation that is combustible and for which a net calorific value can be determined. The weighted emission factor corresponds to the accumulated emissions from the fuels divided by the total energy content.</t>
  </si>
  <si>
    <t>Periods during which the CHP is operated in heat-only or electricity-only generation mode (i.e. periods during which only one of the two products was produced) should be excluded and assignment of fuels and emissions should be calculated separately in accordance with the provisions in sections 10.1.2 and 10.1.3 of Annex VII.</t>
  </si>
  <si>
    <t>Cogeneration (1)</t>
  </si>
  <si>
    <t>Cogeneration (2)</t>
  </si>
  <si>
    <t>EUTL-List</t>
  </si>
  <si>
    <t>EUconst_CNTR_HALPulpTotal</t>
  </si>
  <si>
    <t>HALPulpTotal_</t>
  </si>
  <si>
    <t>Please note that emissions associated with imported heat might also be relevant for certain sub-installations. Where this imported heat is produced from CHPs in other installations, this tool might be relevant too, if further information on the relevant data from the supplier is known.</t>
  </si>
  <si>
    <t>Exported amounts should be entered as negative values and correspond to CO2 that is exported and not released to the atmosphere by this sub-installation.</t>
  </si>
  <si>
    <t>In order to avoid any double counting or gaps in attributed emissions when determining the updated benchmarks, Annex IV, section 2.7(d) of the FAR require you to report any import or export of intermediary products covered by any of the product benchmarks listed in Annex I of the FAR.</t>
  </si>
  <si>
    <t>As required by Annex IV, section 3.1(k) of the FAR, please provide here the amount of transferred CO2 imported from or exported to other sub-installations, installations or other entities, in line with the rules set out in the M&amp;R Regulation.</t>
  </si>
  <si>
    <t>Pursuant to Article 21 of the FAR, an amount of emissions has to be deducted from the preliminary annual allocation from product-benchmark sub-installations.</t>
  </si>
  <si>
    <t>The linear factor referred to in Article 10a(4) of the Directive is applied to allocations of installations covered by Article 10a(3) of the Directive except for any year in which those allocations are adjusted in a uniform manner pursuant to Article 10a(5) of the Directive (see also Article 16(8) of the FAR).</t>
  </si>
  <si>
    <t>Steam cracking tool part 2: Preliminary allocation (Article 19 of the FAR)</t>
  </si>
  <si>
    <t>This tool helps you determine the preliminary allocation for the steam cracking sub-installation (Article 19 of the FAR).</t>
  </si>
  <si>
    <t>The data is automatically taken from section IV.1.c above. The multipliers are taken from Article 19 of the FAR.</t>
  </si>
  <si>
    <t>Calculation based on the formula given in the FAR, Article 19.</t>
  </si>
  <si>
    <t>Vinyl chloride monomer tool: Preliminary allocation (Article 20 of the FAR)</t>
  </si>
  <si>
    <t>This tool helps you determine the preliminary allocation for the vinyl chloride monomer ("VCM") sub-installation (Article 20 of the FAR).</t>
  </si>
  <si>
    <t>Hydrogen related emissions: I.e. historical heat consumption from hydrogen combustion multiplied with the heat benchmark.</t>
  </si>
  <si>
    <t>CNTR_NACEInstallation</t>
  </si>
  <si>
    <t>CNTR_UniqueID</t>
  </si>
  <si>
    <t>Units &lt; 300h:</t>
  </si>
  <si>
    <t>Small emitter (Art. 27):</t>
  </si>
  <si>
    <t>Small emitter (Art. 27a):</t>
  </si>
  <si>
    <t>1.</t>
  </si>
  <si>
    <t>2.</t>
  </si>
  <si>
    <t>3.</t>
  </si>
  <si>
    <t>4.</t>
  </si>
  <si>
    <t>5.</t>
  </si>
  <si>
    <t>6.</t>
  </si>
  <si>
    <t>EUTL identifier, if applicable</t>
  </si>
  <si>
    <t>EUconst_BM_ARR_Range</t>
  </si>
  <si>
    <t>ARR(min)</t>
  </si>
  <si>
    <t>ARR(max)</t>
  </si>
  <si>
    <t>Benchmark value (EUA/t, min)</t>
  </si>
  <si>
    <t>Benchmark value (EUA/t, max)</t>
  </si>
  <si>
    <t>ElExch-F</t>
  </si>
  <si>
    <t>HVC-Corr</t>
  </si>
  <si>
    <t>VCM-F</t>
  </si>
  <si>
    <t>EUconst_ERR_AttrEmBMapplied</t>
  </si>
  <si>
    <t>no calculation if heatBM or fuelBM needs to be applied:</t>
  </si>
  <si>
    <t>Benchmark value (EUA/t, actual)</t>
  </si>
  <si>
    <t>EUconst_StatusOfDataCollection</t>
  </si>
  <si>
    <t>ARR (actual)</t>
  </si>
  <si>
    <t>Calculation factor for taking into account hydrogen-related emissions in vinylchloride monomer sub-installations in accordance with Article 20 of the FAR</t>
  </si>
  <si>
    <t>Amount to be added to the preliminary annual amount of allowances for steam cracking sub-installations in accordance with Article 19 of the FAR</t>
  </si>
  <si>
    <t>Baseline years (Section A.II.2)</t>
  </si>
  <si>
    <t>Data resulting from input under "Source streams" (Sheets B+C) or from Emissions summary (section D.I)</t>
  </si>
  <si>
    <t>The attribution of emissions to sub-installations can be found in the summary sheet.</t>
  </si>
  <si>
    <t>EUconst_MsgAttrEm</t>
  </si>
  <si>
    <t>Energy balance</t>
  </si>
  <si>
    <t>Efficiencies</t>
  </si>
  <si>
    <t>Cogeneration tool 1</t>
  </si>
  <si>
    <t>Cogeneration tool 2</t>
  </si>
  <si>
    <t>Special heat import</t>
  </si>
  <si>
    <t>EUconst_CNTR_FuelEF</t>
  </si>
  <si>
    <t>FuelEF_</t>
  </si>
  <si>
    <t>DirEmissions_</t>
  </si>
  <si>
    <t>EUconst_CNTR_WGProducedEF</t>
  </si>
  <si>
    <t>WasteGasProdEF_</t>
  </si>
  <si>
    <t>EUconst_CNTR_WGConsumedEF</t>
  </si>
  <si>
    <t>WasteGasConsEF_</t>
  </si>
  <si>
    <t>EUconst_CNTR_WGFlaredEF</t>
  </si>
  <si>
    <t>WasteGasFlareEF_</t>
  </si>
  <si>
    <t>Further internal source streams imported to or exported from this sub-installation</t>
  </si>
  <si>
    <t>Cogeneration tool - Section D.III</t>
  </si>
  <si>
    <t>Waste gas tool (waste gases not covered by product benchmarks) - Section D.IV</t>
  </si>
  <si>
    <t>Results</t>
  </si>
  <si>
    <t>Start of operation</t>
  </si>
  <si>
    <t>Start date</t>
  </si>
  <si>
    <t>WGflare</t>
  </si>
  <si>
    <t>Amount to be deducted from the preliminary annual amount of allowances in accordance with Article 21 of the FAR</t>
  </si>
  <si>
    <t>Electricity output from CHP</t>
  </si>
  <si>
    <t>The amount of process emissions without this subtraction is referred to as "uncorrected process emissions" below.</t>
  </si>
  <si>
    <t>This is the final result of this tool. The values displayed here should be entered in sheet G for the relevant process emissions sub-installation.</t>
  </si>
  <si>
    <t xml:space="preserve">These are the reference efficiency for heat production in a stand-alone boiler, and the reference efficiency of electricity production without cogeneration. </t>
  </si>
  <si>
    <t>Is the third sub-paragraph of Article 15(7) of the FAR relevant (i.e. has the sub-installation been operated less than one year in the baseline period)?</t>
  </si>
  <si>
    <t>Summary of heat and district heating sub-installations</t>
  </si>
  <si>
    <t>Calculation of the indicative number of allowances</t>
  </si>
  <si>
    <t>(Draft) preliminary annual number of emission allowances allocated free of charge for the first year of the period in accordance with Article 16(6) of the FAR, i.e. after application of the CL exposure factor, but before linear factor or cross-sectoral correction factor are applied.</t>
  </si>
  <si>
    <t>Amount to be deducted from the preliminary annual amount of allowances for flared waste gases from 2026 onwards in accordance with the second sub-paragraph of Article 16(5) of the FAR</t>
  </si>
  <si>
    <t>Values used for HAL calculation:</t>
  </si>
  <si>
    <t>Note that the data entered here is to be checked for double counting with deductions under product benchmark sub-installations (see sheet "F_ProductBM").</t>
  </si>
  <si>
    <t>According to Article 21 of the FAR a CO2 equivalent for non-ETS heat imports is to be deducted from preliminary allocations for product benchmarks. The data needed for that correction is input in sheet "F_ProductBM", section (d) of each sub-installation.</t>
  </si>
  <si>
    <t>This amount can be split into "eligible" and "non-eligible" heat (according to their origin, see introduction to this section above).</t>
  </si>
  <si>
    <t>Prelim Alloc Year 1 (min)</t>
  </si>
  <si>
    <t>Prelim Alloc Year 1 (max)</t>
  </si>
  <si>
    <t>Prelim Alloc Year 1 (actual)</t>
  </si>
  <si>
    <t>BM value (min/max/actual)</t>
  </si>
  <si>
    <t>Started</t>
  </si>
  <si>
    <t>Start of operation of the sub-installation</t>
  </si>
  <si>
    <t>EUconst_CNTR_IntermediateImport</t>
  </si>
  <si>
    <t>EUconst_CNTR_IntermediateExport</t>
  </si>
  <si>
    <t>IntImp_</t>
  </si>
  <si>
    <t>IntExp_</t>
  </si>
  <si>
    <t>Intermediate import:</t>
  </si>
  <si>
    <t>Intermediate export:</t>
  </si>
  <si>
    <t>Does the installation consume waste gases produced outside the boundaries of a product benchmark?</t>
  </si>
  <si>
    <t>The maximum allowed value is the eligible amount identified under point (j).ii.</t>
  </si>
  <si>
    <t>You can choose the method for entering the values in the table below under point (r). Available options are: "Absolute values" (enter TJ/year), or "percentages".</t>
  </si>
  <si>
    <t>Please identify here the amount of measurable heat which is consumed by each sub-installation, where 100% refers to the sum calculated under point (p) above.</t>
  </si>
  <si>
    <t>Information is taken from section D.IV. If relevant, you must ensure that you have entered complete data there.</t>
  </si>
  <si>
    <t>Annual activity levels:</t>
  </si>
  <si>
    <t>The navigation bar above only contains links to sub-installations that are selected as "relevant" in section A.III.2.</t>
  </si>
  <si>
    <t>=</t>
  </si>
  <si>
    <t>+</t>
  </si>
  <si>
    <t>The attributable emissions are determined as follows:</t>
  </si>
  <si>
    <t>+/-</t>
  </si>
  <si>
    <t>There are cases where the attributable emissions cannot be calculated for the draft preliminary allocation because the heat BM or fuel BM values are needed for the calculation. In such case, no values for the attributable emissions will be displayed as indicated by "not applicable (N.A.)". Those cases are:</t>
  </si>
  <si>
    <t>Electricity production (reference)</t>
  </si>
  <si>
    <t>Heat production (reference)</t>
  </si>
  <si>
    <t>Sub-installation data relevant for allocation and benchmark update purposes</t>
  </si>
  <si>
    <t>Are further imported or exported internal source streams relevant for this sub-installation?</t>
  </si>
  <si>
    <t>Amount of GHG imported or exported as feedstock</t>
  </si>
  <si>
    <t>15(7).3?</t>
  </si>
  <si>
    <t>15(7).3 HAL</t>
  </si>
  <si>
    <t>Waste gases: emissions from waste gases which are IMPORTED from other installations or sub-installations and consumed in this sub-installation, should not be included here but under point (l) below.</t>
  </si>
  <si>
    <t>Please provide a brief description of the production process with respect to the intermediate products imported or exported.</t>
  </si>
  <si>
    <t>CNTR_ExistProductSubEntries</t>
  </si>
  <si>
    <t>A summary table of attributed emissions can be found in the summary sheet (see link below).</t>
  </si>
  <si>
    <t>For entities not covered by the EU ETS, contact details are mandatory, but the Registry ID is not required.</t>
  </si>
  <si>
    <t>Installation ID used in Registry</t>
  </si>
  <si>
    <t>Default efficiencies below are for natural gas CHPs producing electricity and hot water.</t>
  </si>
  <si>
    <t>This tool exists twofold in this template and each tool should only be used for one CHP. If more CHPs are relevant, a separate template might be used to provide relevant information.</t>
  </si>
  <si>
    <t>Total CO2 emissions: the verified CO2 emissions from source streams and emission sources including from any non-sustainable biomass</t>
  </si>
  <si>
    <t>Biomass emissions: emissions from biomass, either sustainable or for which sustainability criteria do not apply, as if they were non-zero rated</t>
  </si>
  <si>
    <t>Total N2O emissions from emission sources</t>
  </si>
  <si>
    <t>Total PFC emissions from primary aluminium production</t>
  </si>
  <si>
    <t>Fuel input to product BM is the sum of direct fuel input and fuel input to measurable heat consumed by the sub-installation.</t>
  </si>
  <si>
    <t>Fuel input to fuel BM sub-installations</t>
  </si>
  <si>
    <t>The best suggested approach for filling this section is to first make the relevant entries under "F_ProductBM" and only then continue with point (i) below.</t>
  </si>
  <si>
    <t>Information is taken from section F.(l).viii. If relevant, you must ensure that you have entered complete data there.</t>
  </si>
  <si>
    <t>Information is taken from section F.(l).v. If relevant, you must ensure that you have entered complete data there.</t>
  </si>
  <si>
    <t>Please make sure that there is no double counting with (b) where imported amounts are included there.</t>
  </si>
  <si>
    <t>That amount is the amount of measurable heat imported from non-ETS installations (including any heat from nitric acid sub-installations) or entities multiplied with the heat benchmark.</t>
  </si>
  <si>
    <t>Upon entries made below, the attributable emissions are calculated in section K.III.2 of the summary sheet.</t>
  </si>
  <si>
    <t>This includes all types of waste gases that are ultimately flared other than safety flaring, either within or outside this sub-installation.</t>
  </si>
  <si>
    <t>Production levels:</t>
  </si>
  <si>
    <t>Are any measurable heat flows produced or consumed in, imported to or exported from this installation?</t>
  </si>
  <si>
    <t>Are any waste gases produced or consumed in, imported to or exported from this installation?</t>
  </si>
  <si>
    <t>Heat from pulp: this includes heat imported from sub-installations producing pulp.</t>
  </si>
  <si>
    <t>Fuel input from waste gases</t>
  </si>
  <si>
    <t>Specific EF (waste gas)</t>
  </si>
  <si>
    <t>Total fuel input</t>
  </si>
  <si>
    <t>Values entered here should include eligible emissions from any waste gases as determined in section D.IV.</t>
  </si>
  <si>
    <t>Information is taken from corresponding entries in sheet "G_Fall-back". If relevant, you must ensure that you have entered complete data there.</t>
  </si>
  <si>
    <t xml:space="preserve">Measurable heat: where the heat is exclusively produced for this sub-installation, the emissions may be directly attributed here via the fuel’s emissions. </t>
  </si>
  <si>
    <t>Fuel input from waste gases includes the corresponding energy input to produce the measurable heat used by this sub-installation.</t>
  </si>
  <si>
    <t>The term "fuel" should be understood as any source stream in accordance with the M&amp;R Regulation that is combustible and for which a net calorific value can be determined. The weighted emission factor corresponds to the accumulated emissions from the fuels, including those used to produce measurable heat, divided by the total energy content.</t>
  </si>
  <si>
    <t>Specific EF (from pulp)</t>
  </si>
  <si>
    <t>Specific EF (from product BM)</t>
  </si>
  <si>
    <t>Specific EF (from fuelBM)</t>
  </si>
  <si>
    <t>Specific EF (from waste gas)</t>
  </si>
  <si>
    <t>Under iii. and iv. the fuel input from waste gases and the corresponding emission factor has to be entered, respectively.</t>
  </si>
  <si>
    <t>EUconst_CNTR_HeatImportProduct</t>
  </si>
  <si>
    <t>EUconst_CNTR_HeatImportProductEF</t>
  </si>
  <si>
    <t>EUconst_CNTR_HeatImportPulpEF</t>
  </si>
  <si>
    <t>HeatImProd_</t>
  </si>
  <si>
    <t>HeatImProdEF_</t>
  </si>
  <si>
    <t>HeatImPulpEF_</t>
  </si>
  <si>
    <t>HeatImFuel_</t>
  </si>
  <si>
    <t>HeatImFuelEF_</t>
  </si>
  <si>
    <t>EUconst_CNTR_HeatImportFuel</t>
  </si>
  <si>
    <t>EUconst_CNTR_HeatImportFuelEF</t>
  </si>
  <si>
    <t>Total attributed emissions</t>
  </si>
  <si>
    <t>Net heat imported (other)</t>
  </si>
  <si>
    <t>Net heat imported (product BM)</t>
  </si>
  <si>
    <t>Net heat imported (pulp)</t>
  </si>
  <si>
    <t>Net heat imported (fuelBM)</t>
  </si>
  <si>
    <t>Net heat imported (waste gas)</t>
  </si>
  <si>
    <t>For attributing emissions from cogeneration (CHP) to production of heat, the "CHP tool" in section D.III. has to be used.</t>
  </si>
  <si>
    <t>This amount must be consistent with the carbon leakage status selected under point (a) above.</t>
  </si>
  <si>
    <t>These amounts are automatically calculated based on the figures input above. The formula is described in the guidance document No. 8.</t>
  </si>
  <si>
    <t>Sum of waste gases (=a+b)</t>
  </si>
  <si>
    <t>Note that entries there might relate to waste gases produced in other installations from which they are imported.</t>
  </si>
  <si>
    <t>This is to check completeness of the waste gas balance. If different from zero, please check for any inconsistencies in the values listed above.</t>
  </si>
  <si>
    <t>For product BM sub-installations, information is taken automatically from entries in sheet "F_ProductBM".</t>
  </si>
  <si>
    <t>For waste gases produced outside product BM sub-installations and flared for non-safety flaring need to be entered here.</t>
  </si>
  <si>
    <t>It this question is set to "false", entries here are not relevant and you may proceed with the next point below.</t>
  </si>
  <si>
    <t>Total energy input from fuels including from biomass and waste gases</t>
  </si>
  <si>
    <t>end of sum</t>
  </si>
  <si>
    <t>ERR_AttrEmBM_</t>
  </si>
  <si>
    <t>The navigation bar above only contains links to the relevant sub-installations listed in section A.III.1.</t>
  </si>
  <si>
    <t>value needed for conditional formatting</t>
  </si>
  <si>
    <t>EUconst_CNTR_HeatProduced</t>
  </si>
  <si>
    <t>HeatProd_</t>
  </si>
  <si>
    <t xml:space="preserve">Please enter here the measurable heat produced pursuant to section 3.2(a) of Annex IV of the FAR. </t>
  </si>
  <si>
    <t>According to Article 22 of the FAR the "direct emissions", the net amount of "imported heat" and the "relevant electricity consumption" are needed.</t>
  </si>
  <si>
    <t>For attributing fuel input from cogeneration (CHP) to production of measurable heat and electricity, the "CHP tool" in section D.III. has to be used.</t>
  </si>
  <si>
    <t>This sub-section covers the attribution of emissions related to source streams, emissions sources, import and export of measurable heat and waste gases including heat losses in accordance with section 10 of Annex VII of the FAR.</t>
  </si>
  <si>
    <t>Fall-Back sub-installation</t>
  </si>
  <si>
    <t>Intermediate products</t>
  </si>
  <si>
    <t>Transferred CO2</t>
  </si>
  <si>
    <t>Fuel input for production of measurable heat not used for product BM or electricity production</t>
  </si>
  <si>
    <t>Fuel input for electricity production</t>
  </si>
  <si>
    <t>Data provided here will impact the attributable emissions in accordance with section 10.1.5 of Annex VII of the FAR.</t>
  </si>
  <si>
    <t>The amounts displayed here reflect the calculation of preliminary annual number of allowances allocated free of charge in accordance with paragraphs 1 to 7 of Article 16 of the FAR, i.e. the factors referred to in Annex V of the FAR (referred to as "Carbon leakage factor" below) have already been applied. Pursuant to Article 16(3) of the FAR, for the district heating sub-installation this factor will be 0.3 for all years.</t>
  </si>
  <si>
    <t>Calculation in accordance with Article 16(8) of the FAR:</t>
  </si>
  <si>
    <t>CSCF</t>
  </si>
  <si>
    <t>Cross-sectoral correction factor (CSCF) in accordance with Article 14(6) of the FAR:</t>
  </si>
  <si>
    <t>In order to help operators understanding how the allocation is calculated, the PRELIMINARY allocation (i.e. allocation before application of the cross-sectoral correction factor or linear factor) is displayed below. For submission to the competent authority, no cross sectoral-correction factor is to be entered.</t>
  </si>
  <si>
    <t>Calculation in accordance with Article 16(1) to (7) of the FAR:</t>
  </si>
  <si>
    <t>Calculation of the minimum, maximum, or actual preliminary allocation?</t>
  </si>
  <si>
    <t>Unique ID for notification to the Commission:</t>
  </si>
  <si>
    <t>If the operator confirms point (e) or (f) above, it is automatically assumed that this also confirms consent to use data contained in this file.</t>
  </si>
  <si>
    <t>If several different waste gases are relevant in your installation, please submit details in separate files using this tool for more complex cases.</t>
  </si>
  <si>
    <t>This balance is mainly used for consistency checking between related entries made in the "waste gas tool" in section D.IV and the sub-installation level waste gas balances in sheets F and G.</t>
  </si>
  <si>
    <t>Disclaimer: According to Article 16(1) of the FAR, Member States are required to calculate and set the number of emission allowances allocated free of charge from 2021 onwards to each installation applying for free allocation. The results displayed here are therefore indicative only. No warranty, either expressed or implied, is provided in relation to the accuracy, completeness or reliability of the result. No rights or entitlement to a certain amount of allowances can be derived from the result displayed in this template. For correctness of calculations please see also the disclaimer in the sheet "Guidelines and conditions".</t>
  </si>
  <si>
    <t>EUconst_MinOrMaxOrActual</t>
  </si>
  <si>
    <t>Minimum</t>
  </si>
  <si>
    <t>Actual</t>
  </si>
  <si>
    <t>Data provided here will impact the attributable emissions in accordance with section 10.1.1 of Annex VII of the FAR.</t>
  </si>
  <si>
    <t>Data provided here will impact the attributable emissions in accordance with sections 10.1.2 and 10.1.3 of Annex VII of the FAR.</t>
  </si>
  <si>
    <t>Specific EF (heat export)</t>
  </si>
  <si>
    <t>Intermediate products covered by product benchmarks (Sections 1.6 and 3.1(l) of Annex IV of the FAR)</t>
  </si>
  <si>
    <t>If this field is left empty, the minimum preliminary allocation will be used as the default for all calculations below.</t>
  </si>
  <si>
    <t>The preliminary allocation of all other installations (those not covered by Article 10a(3) of the EU ETS Directive) has to be multiplied by the cross-sectoral correction factor as determined in accordance with Article 14(6) of the FAR. This factor will be calculated by the European Commission as soon as all Member States have notified their National Implementation Measures (NIMs) and the new benchmark values are published.</t>
  </si>
  <si>
    <t>For the purpose of your own information, as explained above, you can enter values for the cross-sectoral uniform correction factor in accordance with Article 10a(5) of the ETS Directive here. The default value is 1, until the Commission has published the final value in accordance with Article 14(6) of the FAR.</t>
  </si>
  <si>
    <t>Measurable heat exported: where such heat is recovered from the process and exported, no corrections should be made here. The deduction for the associated emissions will be done based on entries under point (k).v. below.</t>
  </si>
  <si>
    <t>This is the final result of this tool. The values displayed here should be entered in relevant sections in sheets E, F and G.</t>
  </si>
  <si>
    <t xml:space="preserve">The views expressed in this file represent the views of the authors and not necessarily those of the European Commission. </t>
  </si>
  <si>
    <t>Whenever a value of zero is to be reported, it should be entered rather than keeping the cell empty. If a cell is kept empty, the competent authority (CA) does not know if the value has not been reported, is irrelevant or unknown. Values needed for calculations should always be entered (especially if zero, because some formulas don't give results as long as required cells are empty).</t>
  </si>
  <si>
    <t>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EU ETS installation) to ensure that correct data is reported to the competent authority.</t>
  </si>
  <si>
    <t>The amounts displayed here reflect the calculation of the final total amount of allowances allocated free of charge in accordance with Article 16(8) of the FAR, i.e. allocation values with either the linear factor or the cross-sectoral correction factor applied as appropriate (i.e. the result of point (c) above). However, these values cannot be considered final values, because the cross-sectoral correction factor is not known yet at the time of this data collection.</t>
  </si>
  <si>
    <t>Factor to be used for calculation:</t>
  </si>
  <si>
    <t>For installations covered by Article 10a(3) of the Directive, the linear factor displayed in point (a) has to be applied for each year unless the CSCF displayed in point (b) is lower than 1. In such case, the CSCF has to be applied for any such year.</t>
  </si>
  <si>
    <t>Important note: The reporting above is done in kilotonnes, but the benchmark is expressed in t CO2/CWT, where CWT is expressed in tonnes.</t>
  </si>
  <si>
    <t>B+C.</t>
  </si>
  <si>
    <t>MSconst_RequirePermitInfo</t>
  </si>
  <si>
    <t>Note that this question applies to all installations and is not directly related to whether the installation is an "electricity generator" within the meaning of Article 3(u) of the EU ETS Directive. If the answer here is "false", entries below are optional.</t>
  </si>
  <si>
    <t>Consistency check with point (k)(i):</t>
  </si>
  <si>
    <t xml:space="preserve">The Guidance can be downloaded from: </t>
  </si>
  <si>
    <t xml:space="preserve">Please note that although some guidance is provided for each of the points below, further information should be sought in Guidance Document No. 5 ("Monitoring and Reporting  in relation to the FAR") which also includes examples. </t>
  </si>
  <si>
    <t>It is important to note that any source streams should only be listed here if they are not already covered by the direct emissions under (g) above to avoid any data gaps or double counting. Emissions associated with waste gases should NOT be listed here but under (l) below.</t>
  </si>
  <si>
    <t>Please enter here information on the so-called internal source streams, that are transferred between sub-installations, i.e. imported to or exported from this sub-installation.</t>
  </si>
  <si>
    <t>For example, if this is the "coke" sub-installation of an integrated iron&amp;steel plant, emissions associated with the consumption of coke occur in the blast furnace and should not be attributed to this (i.e. the "coke") sub-installation. Nevertheless, a part of the emissions will be included under (g) above, because coal entering the coke oven will be one of the source streams attributed there in the first step.</t>
  </si>
  <si>
    <t>The specific emission factors (EF) associated with the heat should take into account the provisions in FAR Annex VII sections 8 and 10, in particular sections 10.1.2 and 10.1.3 thereof.</t>
  </si>
  <si>
    <t>For attributing emissions from cogeneration (CHP) to production of heat, the "CHP tool" in section D.III. of this template has to be used.</t>
  </si>
  <si>
    <t>Net heat imported from pulp sub-installations</t>
  </si>
  <si>
    <t>Data provided here are only used for consistency checking and have no direct impact on either the attributable emissions or the allocation.</t>
  </si>
  <si>
    <t>Data provided here are only used for consistency checking and have no direct impact on the attributable emissions.</t>
  </si>
  <si>
    <t>However, as of 2026, allocation will be reduced with respect to flaring of waste gases other than safety flaring.</t>
  </si>
  <si>
    <t>This includes all types of waste gases that are produced outside the system boundaries of this sub-installation but imported to this sub-installation and used for the production of measurable heat, non-measurable heat (including safety flaring) or mechanical energy (other than for electricity production).</t>
  </si>
  <si>
    <t>xxiv.</t>
  </si>
  <si>
    <t>This includes electricity that is produced directly from this sub-installation as required by Annex IV, section 3.1(i) of the FAR. Any electricity that is produced via intermediate measurable heat should not be listed here but under export of measurable heat under (k).v. above.</t>
  </si>
  <si>
    <t>This section will be greyed out if this is not one of those pulp producing sub-installation. In such case, please continue with the points below.</t>
  </si>
  <si>
    <t>Note that for integrated pulp &amp; paper production special allocation rules apply (Article 16(6) of the FAR).</t>
  </si>
  <si>
    <t>Conversely, if this is the hot metal benchmark sub-installation in an integrated iron&amp;steel plant, coke needs to be listed here as ingoing/imported "internal" source stream with positive amounts.</t>
  </si>
  <si>
    <t>However, in several situations the "direct emissions" in this section are not identical to those reported under the MRR. Such situations include e.g. source streams used for the production of measurable heat, waste gases etc. In other words, care must be taken fill the sections below following strictly the instructions below in order to avoid double counting or omissions.</t>
  </si>
  <si>
    <t>In order to avoid double counting, a correction needs to be made for the coke leaving the coke sub-installation as outgoing "internal source stream". This is done by a negative value of the coke amount figure in case of "export". For giving a complete balance of the emissions of the coal entering the coke sub-installation, emissions associated with the use of coke oven gas (= a waste gas) are already covered under (g) above (as included in the emissions from coal) to the extent the gas is used within this sub-installation. Corrections to account for the exported amounts of the waste gas should not be made here, but under (l).xx. below.</t>
  </si>
  <si>
    <t>Data required for the determination of the benchmark improvement rate pursuant to Article 10a(2) of the EU ETS Directive</t>
  </si>
  <si>
    <t>Wherever fuels are used to produce measurable heat which is consumed in more than one sub-installation (e.g. a central power house at the installation, or a more complex steam network with several heat producing units), the fuels should not be included in the direct emissions of the sub-installation but under point (f).i below.</t>
  </si>
  <si>
    <t>As required by FAR Annex IV, section 2.4(a), please provide the total fuel input and a corresponding weighted emission factor taking into account the related energy content of each fuel.</t>
  </si>
  <si>
    <t>Waste gases: emissions associated with measurable heat produced from waste gases imported from other installations or sub-installations and used in this sub-installation should not be included here, but under point (f).xiii below.</t>
  </si>
  <si>
    <t>The values entered here are used for the waste gas balance in section E.III.h.</t>
  </si>
  <si>
    <t>This value is usually different from the sub-installation's activity level listed under point (a) above, as it takes into account the heat losses in addition to the net amounts of measurable heat consumed or exported to non-ETS entities, and disregards heat imports, which are to be entered under (f) below.</t>
  </si>
  <si>
    <t>Net heat imported (other sources): this includes heat imported from other installations, or, where measurable heat is consumed by more than one sub-installation, heat produced onsite and consumed within this sub-installation. Measurable heat imported from any product BM sub-installation, pulp production, measurable heat recovered from fuel BM sub-installations or from waste gases should not be included here, because separate entry fields are provided for these figures.</t>
  </si>
  <si>
    <t>Heat from product BM: this includes measurable heat exported from product BM sub-installations with the exception of measurable heat from sub-installations producing pulp production or nitric acid.</t>
  </si>
  <si>
    <t>Emissions from the combustion of waste gases should however not be included here but under point (d).iii below.</t>
  </si>
  <si>
    <t>Values for i. and ii. are automatically generated based on entries under (a) and (c) above.</t>
  </si>
  <si>
    <t>Fuel input entered under (a)</t>
  </si>
  <si>
    <t>Data is taken automatically from corresponding entries in sheets F and G in the light blue boxes under each sub-installation.</t>
  </si>
  <si>
    <t>Emissions associated with further internal source streams</t>
  </si>
  <si>
    <t>Amount of GHG imported and exported as feedstock</t>
  </si>
  <si>
    <t>Emissions associated with imported heat in accordance with sections 10.1.2 and 10.1.3 of Annex VII of the FAR</t>
  </si>
  <si>
    <t>Emissions associated with exported heat in accordance with sections 10.1.2 and 10.1.3 of Annex VII of the FAR</t>
  </si>
  <si>
    <t>Emissions associated with imported waste gases in accordance with section 10.1.5 of Annex VII of the FAR</t>
  </si>
  <si>
    <t>Emissions associated with the relevant electricity consumption for sub-installations for which the exchangeability of the fuels and electricity is relevant.</t>
  </si>
  <si>
    <t>Emissions associated with electricity produced other than via measurable heat.</t>
  </si>
  <si>
    <t>where no emission factor for imported or exported heat is applicable or known, i.e. where no such value has been entered. In such cases default values based on the heat BM will be used for calculating the attributable emissions, once known.</t>
  </si>
  <si>
    <t>where waste gases are imported. In this case the fuel BM will be used, once known.</t>
  </si>
  <si>
    <t>The value "other emissions" is displayed for control purposes. It include emissions related to electricity production, flaring other than safety flaring, and other emissions which do not lead to free allocation.</t>
  </si>
  <si>
    <t>If for at least one sub-installation "not applicable (N.A.)" is shown for any given year, the values for "other emissions" will not be shown either, in order to avoid any confusion.</t>
  </si>
  <si>
    <t>Fuel input to each sub-installation from sheets F and G:</t>
  </si>
  <si>
    <t>The historic activity level, if the third sub-paragraph of Article 15(7) applies. Note that this value will only be known after the first activity level report will be submitted.</t>
  </si>
  <si>
    <t>This figure only provides an indicative estimate of the "minimum" preliminary allocation taking into account the lowest possible benchmark value for this sub-installation. The figure is therefore only indicative and should NOT be understood as pre-judgement of the actual free allocation number to be determined by the competent authority once the updated benchmarks are available.</t>
  </si>
  <si>
    <t>The actual preliminary annual number of emission allowances taking into account the actual benchmark value for this sub-installation. For the initial NIMs this value cannot be determined, but only at a later stage, once the benchmark values for each allocation period have been published.</t>
  </si>
  <si>
    <t>Disclaimer: Please note that the values for the preliminary allocation are only indicative taking into account the minimum or maximum benchmark values as explained above. However, where the preliminary allocation also depends on the heat or fuel benchmark value (e.g. ElExch-F or non-ETS heat), which are also subject to change based on this data collection, the indicative value might not even represent the minimum or maximum preliminary number of allowances, but undergo further correction.</t>
  </si>
  <si>
    <t>Value of the benchmark according to Annex I of the FAR. For the draft preliminary application, values used are either the indicative minimum or the maximum values as shown included in each sub-installation's overview table below.</t>
  </si>
  <si>
    <t>In this section you can see a summary of preliminary allocation values for the years 2021 to 2025, or 2026 to 2030, respectively, which apply to this installation, and which are based on the data shown in the previous sections based on your entries. The displayed information does not contain any completeness checks. Therefore, the data can only be considered correct if you have ensured that the following conditions are met:</t>
  </si>
  <si>
    <t>Data has been entered for all relevant baseline years and the relevant sections in sheets F and G are filled.</t>
  </si>
  <si>
    <t>For understanding the preliminary character of this information, it is important to understand what has been taken into account in the calculation:</t>
  </si>
  <si>
    <t>Depending on your input in section A.II.2 (chosen baseline period), A.III (sub-installation data) and sheets F and G, you see in section IV of this sheet, which baseline years have been used for calculating historical activity levels ("HALs"), to which benchmarks are applied.</t>
  </si>
  <si>
    <t>As at the time of submitting the data to the competent authority the updated benchmark values are not yet available, you can get an indication of the order of magnitude of the expected allocation by selecting either the "minimum" or "maximum" benchmark values in point 1.a below.</t>
  </si>
  <si>
    <t>Based on the selection made here, the indicative minimum, maximum or actual preliminary allocation, as determined in section IV above, will be shown.</t>
  </si>
  <si>
    <t>Please note that the actual allocation can only be calculated once the new benchmark values are published. Before that, no calculations will be performed below, if "actual" is chosen.</t>
  </si>
  <si>
    <t>Carbon leakage factor for district heating</t>
  </si>
  <si>
    <t>Note: for CL exposed sectors, the CL factor is 1.0000 for all years.</t>
  </si>
  <si>
    <t>Emissions associated with exported waste gases in accordance with section 10.1.5 of Annex VII of the FAR by deducting the energy content multiplied with the emission factor of natural gas and the default correction factor of 0.667</t>
  </si>
  <si>
    <t>Is exchangeability of electricity and fuel relevant for this sub-installation?</t>
  </si>
  <si>
    <t>Calculation factor for taking into account the exchangeability of electricity and fuel in accordance with Article 22 of the FAR</t>
  </si>
  <si>
    <t xml:space="preserve">Where the heat is exclusively produced for one sub-installation and corresponding emissions therefore entered under (g) above, corresponding amounts should not be reported here as imports to avoid double counting. </t>
  </si>
  <si>
    <t>The weighted emission factor should furthermore include emissions from corresponding flue gas cleaning, if applicable.</t>
  </si>
  <si>
    <t>The installation has a heat benchmark or district heating sub-installation?</t>
  </si>
  <si>
    <t>If "TRUE" is displayed here, entries in the section are always relevant. Only where if none of these sub-installation is relevant, the question below has to be answered.</t>
  </si>
  <si>
    <t>Weighted emission factor (=c./d.)</t>
  </si>
  <si>
    <t>Data provided here will be relevant for the update of the specific pulp benchmark.</t>
  </si>
  <si>
    <t>xxv.</t>
  </si>
  <si>
    <t>xxvi.</t>
  </si>
  <si>
    <t>Transferred amount of CO2 exported from the installation, reported as negative values</t>
  </si>
  <si>
    <t>NACE code reported using NACE rev 2 classification:</t>
  </si>
  <si>
    <t>For each type of product, only one sub-installation may be chosen. Similar products which are covered by the same product benchmark in Annex I of the FAR are aggregated.</t>
  </si>
  <si>
    <t>Biomass emissions</t>
  </si>
  <si>
    <t>Heat not eligible for sub-installations with heat benchmark</t>
  </si>
  <si>
    <t>Data provided here will impact the attributable emissions in accordance with chapter 10 of Annex VII of the FAR.</t>
  </si>
  <si>
    <t>As required by Annex IV, section 2.4(a) of the FAR, please provide the total fuel input to the sub-installation and a corresponding weighted emission factor, taking into account the related energy content of each fuel which is included in the figure given under point (g), applying the same system boundaries as for point (g).</t>
  </si>
  <si>
    <t>This includes all types of waste gases that are consumed by this sub-installation for the purpose of the production of measurable heat, non-measurable heat (including safety flaring) or mechanical energy (other than for electricity production). Amounts that are flared other than safety flaring should be reported under the next point below.</t>
  </si>
  <si>
    <t>Where possible sections below are automatically filled with data entered in these sections.</t>
  </si>
  <si>
    <t>The data must also be consistent with the total net measurable heat imported entered under point (k).i below.</t>
  </si>
  <si>
    <t>For the refinery benchmark, which also uses CWT, please use the specific CWT tool for refineries above (section I of this sheet).</t>
  </si>
  <si>
    <t>For the reference efficiencies the appropriate fuel-specific values from the Commission Delegated Regulation (EU) 2015/2402 should be applied without application of the correction factors for climatic conditions in Annex III and avoided grid losses in Annex IV to that Regulation. The Regulation can be downloaded under the following link:</t>
  </si>
  <si>
    <t>Data provided here might impact the update of the specific benchmark.</t>
  </si>
  <si>
    <t>Directly attributable emissions (DirEm*) to this sub-installation</t>
  </si>
  <si>
    <t>Directly attributable emissions (DirEm*)</t>
  </si>
  <si>
    <t>This includes the total amount of heat either produced in, imported from or exported to (sub-)installations covered by the EU ETS or from installations or entities not covered by the EU ETS. The specific emission factors (EF) associated with the heat should take into account the provisions in FAR Annex VII sections 8 and 10, in particular sections 10.1.2 and 10.1.3 thereof.</t>
  </si>
  <si>
    <t>Emissions related to measurable heat produced onsite from units serving more than one sub-installation should also be entered here under "imports" instead of directly attributing the emissions via the fuel's emission factor under point (g) above. The same applies to any heat "imported" from other sub-installations.</t>
  </si>
  <si>
    <t>However, in several situations the "directly attributable emissions" in this section are not identical to those reported under the MRR. Such situations include e.g. source streams used for the production of measurable heat, waste gases etc. In other words, care must be taken when filling the sections below to follow strictly the instructions in order to avoid double counting or omissions.</t>
  </si>
  <si>
    <t>The "directly attributable emissions" are monitored in line with the monitoring plan approved under the MRR, i.e. taking into account the emissions from calculation based methodologies (using source streams), measurement based methodologies (CEMS) as well as no-tier approaches (“fall-backs”).</t>
  </si>
  <si>
    <t>Directly attributable emissions (DirEm* (MP source streams)) to this sub-installation</t>
  </si>
  <si>
    <t>Please enter here the Directly attributable emissions (DirEm* (MP source streams)) to this sub-installation taking into account the following provisions:</t>
  </si>
  <si>
    <t>"Inputs" include measurable heat from a unit onsite (e.g. a central power house at the installation, or a more complex steam network with several heat producing units) that supplies heat to more than one sub-installation. In such case, emissions should also not be attributed here but under point (k).i. below.</t>
  </si>
  <si>
    <t>Wherever fuels are used to produce measurable heat as "input" to more than one sub-installation where the heat is consumed (which includes situations with imports from and exports to other installations), the fuels should not be included in the "directly attributable emissions" of the sub-installation but under point (k) below.</t>
  </si>
  <si>
    <t>Description of the data gap</t>
  </si>
  <si>
    <t>Justification</t>
  </si>
  <si>
    <t>Article 12(2) of the FAR requires to provide justification for any data gaps and description of the method used to close them.</t>
  </si>
  <si>
    <t>Justification for any data gaps</t>
  </si>
  <si>
    <t>Affected data set (AD, EF, Heat, electricity,...)</t>
  </si>
  <si>
    <t>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t>
  </si>
  <si>
    <t>truncated to 250 characters</t>
  </si>
  <si>
    <t>Originals, not truncated</t>
  </si>
  <si>
    <t>Time period</t>
  </si>
  <si>
    <t>Data fields have not been optimized for numerical and other formats. However, sheet protection has been limited so as to allow you to use your own formats. In particular, you may decide about the number of decimal places displayed. The number of places is in principle independent from the precision of calculation. In principle the option "Precision as displayed" of MS Excel should be deactivated. For more details, consult MS Excel's "Help" function on this topic.</t>
  </si>
  <si>
    <t>If the installation is not eligible for free allocation under Article 10a of the EU ETS Directive, there is no obligation to report further detailed data in the following data sheets. It is only mandatory to complete this sheet ("A_InstallationData").</t>
  </si>
  <si>
    <t>It is mandatory to answer questions (a), (b) and (d)!</t>
  </si>
  <si>
    <t>Pursuant to the definition given in Articles 2(10) and 2(11) of the FAR, (combustible) waste gases occurring outside the boundaries of product benchmarks are considered process emissions.</t>
  </si>
  <si>
    <t>Assumptions for the different efficiency for the use of waste gas and natural gas. These assumptions are as follows: Efficiency of electricity production with natural gas is 52.5%, with waste gases 35%;</t>
  </si>
  <si>
    <t>Please enter in the table below the amount of energy consumed for each use type, or - depending on input (b) - the percentage of amount (a).</t>
  </si>
  <si>
    <t>The total direct emissions are usually identical to the values provided under point (g) below. However, in particular where waste gases are used, further corrections might be necessary, so please consider the guidance provided under point (g) below. The net imported heat is taken automatically from (k).i below.</t>
  </si>
  <si>
    <t>PRODCOM codes shall be entered in the form "nnnnnnnn", i.e. without any dots or other delimiters in between. Only if PRODCOM are not available, at least a 4-digit level NACE code should be provided in the form of "nnnn".</t>
  </si>
  <si>
    <t>NACE codes shall be entered at 4-digit level, in the form "nnnn", i.e. without any dots or other delimiters in between.</t>
  </si>
  <si>
    <t>Do not include here any heat imports from "non-eligible" sources, i.e. installations not covered by the EU ETS, or heat produced in nitric acid sub-installations.</t>
  </si>
  <si>
    <t>CWT throughput data</t>
  </si>
  <si>
    <t>Phthalic anhydride production</t>
  </si>
  <si>
    <t>Therefore the results below are multiplied with a factor of 1000, which is not explicitly mentioned in Annex III point 1 of the FAR.</t>
  </si>
  <si>
    <t>Therefore the results below are multiplied with a factor of 1000, which is not explicitly mentioned in Annex III point 5 of the FAR.</t>
  </si>
  <si>
    <t>Please note that percentages for Hydrogen content are to be expressed as Vol-%.</t>
  </si>
  <si>
    <t>Please note that percentages for hydrogen content are to be expressed as Vol-%.</t>
  </si>
  <si>
    <t>(Draft) preliminary annual number of emission allowances taking into account the highest possible benchmark value for this sub-installation. The same disclaimer as for the (min) value applies.</t>
  </si>
  <si>
    <t>Sheet "A_InstallationData" is filled completely, especially sections A.II (eligibility and baseline period) and A.III (list of sub-installations)</t>
  </si>
  <si>
    <t>The calculation takes into account, if the installation is covered by Article 10a(3) of the EU ETS Directive, i.e. if it is an electricity generator or an installation for the capture, transport or geological storage of CO2. Pursuant to Article 16(8) of the FAR, the allocation of such installations has to be corrected by applying the linear factor referred to in Article 10a(4) of the EU ETS Directive. This linear factor is taken into account here.</t>
  </si>
  <si>
    <t>Carbon leakage factor for non-CL sectors</t>
  </si>
  <si>
    <t xml:space="preserve">These Free Allocation Rules (hereinafter "the FAR") are contained in the Commission Delegated Regulation (EU) 2019/331 of 19 December 2018 determining transitional Union-wide rules for harmonised free allocation of emission allowances pursuant to Article 10a of Directive 2003/87/EC of the European Parliament and of the Council. They can be downloaded from: </t>
  </si>
  <si>
    <t>http://data.europa.eu/eli/reg_del/2019/331/oj</t>
  </si>
  <si>
    <t>https://ec.europa.eu/clima/policies/ets/allowances_en#tab-0-1</t>
  </si>
  <si>
    <t>This includes heat from any electric pumps, electric boilers, etc. This amount of heat is to be included in the data given under point (c) above. It is only contained here for completeness but not included in the balance below as this heat is non-eligible.</t>
  </si>
  <si>
    <t>Group information:</t>
  </si>
  <si>
    <t>HAL</t>
  </si>
  <si>
    <t>Preliminary activity level</t>
  </si>
  <si>
    <t>Change compared to HAL</t>
  </si>
  <si>
    <t>Actual activity level</t>
  </si>
  <si>
    <t>years op.</t>
  </si>
  <si>
    <t>prelim AL</t>
  </si>
  <si>
    <t>Preliminary adjustment</t>
  </si>
  <si>
    <t>Actual adjustment (basis for subsequent years)</t>
  </si>
  <si>
    <t>Preliminary adjustment (if relative thresholds exceeded)</t>
  </si>
  <si>
    <t>&gt;15%</t>
  </si>
  <si>
    <t>&gt;15%/5%</t>
  </si>
  <si>
    <t>Actual adjustment (if all thresholds exceeded)</t>
  </si>
  <si>
    <t>&gt;15% for next year</t>
  </si>
  <si>
    <t>Actual value</t>
  </si>
  <si>
    <t>Determination of the actual activity level adjustments including any efficiency changes</t>
  </si>
  <si>
    <t>EUconst_CNTR_HALprelim</t>
  </si>
  <si>
    <t>HALprelim_</t>
  </si>
  <si>
    <t>EUconst_CNTR_HALfinal</t>
  </si>
  <si>
    <t>HALfinal_</t>
  </si>
  <si>
    <t>Activity level reported</t>
  </si>
  <si>
    <t>EUconst_CNTR_ELEXCHprelim</t>
  </si>
  <si>
    <t>EUconst_CNTR_ELEXCHfinal</t>
  </si>
  <si>
    <t>ELEXCHfinal_</t>
  </si>
  <si>
    <t>ELEXCHprelim_</t>
  </si>
  <si>
    <t>Difference in allocation</t>
  </si>
  <si>
    <t>Preliminary allocation value</t>
  </si>
  <si>
    <t>Reporting year:</t>
  </si>
  <si>
    <t>First full year:</t>
  </si>
  <si>
    <t>Relevant:</t>
  </si>
  <si>
    <t>Base value</t>
  </si>
  <si>
    <t>Cessation date:</t>
  </si>
  <si>
    <t>Cessation year:</t>
  </si>
  <si>
    <t>Date of cessation, if relevant</t>
  </si>
  <si>
    <t>Cessation date</t>
  </si>
  <si>
    <t>EUconst_CNTR_HEATprelim</t>
  </si>
  <si>
    <t>EUconst_CNTR_HEATfinal</t>
  </si>
  <si>
    <t>HEATprelim_</t>
  </si>
  <si>
    <t>HEATfinal_</t>
  </si>
  <si>
    <t>Ceased</t>
  </si>
  <si>
    <t>EUconst_CNTR_HVCprelim</t>
  </si>
  <si>
    <t>EUconst_CNTR_HVCfinal</t>
  </si>
  <si>
    <t>HVCprelim_</t>
  </si>
  <si>
    <t>HVCfinal_</t>
  </si>
  <si>
    <t>Preliminary value</t>
  </si>
  <si>
    <t>Adjustments</t>
  </si>
  <si>
    <t>the relative thresholds (15% and 5% for subsequent changes) of the average activity level compared to the HAL</t>
  </si>
  <si>
    <t>Average annual value</t>
  </si>
  <si>
    <t>Activity level used</t>
  </si>
  <si>
    <t>2021-2025</t>
  </si>
  <si>
    <t>2026-2030</t>
  </si>
  <si>
    <t>EUconst_ReportingYears2</t>
  </si>
  <si>
    <t>Based on the values for HAL and those entered under point a) above, the average activity levels are determined here. The allocation will only be changed if all of the following thresholds in Article 5 of the ALC Regulation are exceeded:</t>
  </si>
  <si>
    <t>prelim value</t>
  </si>
  <si>
    <t>Cond. Form.</t>
  </si>
  <si>
    <t>ALC P4</t>
  </si>
  <si>
    <t>AL report Phase 4</t>
  </si>
  <si>
    <t>Draft 1 AL report Phase 4</t>
  </si>
  <si>
    <t>Draft 2 AL report Phase 4</t>
  </si>
  <si>
    <t>Draft 3 AL report Phase 4</t>
  </si>
  <si>
    <t>ALC P4 1st draft</t>
  </si>
  <si>
    <t>ALC P4 2nd draft</t>
  </si>
  <si>
    <t>ALC P4 3rd draft</t>
  </si>
  <si>
    <t>EnEff_</t>
  </si>
  <si>
    <t>EUconst_CNTR_EnEff</t>
  </si>
  <si>
    <t>EUconst_CNTR_EnEffPct</t>
  </si>
  <si>
    <t>EnEffPct_</t>
  </si>
  <si>
    <t>Determination of any activity level adjustments</t>
  </si>
  <si>
    <t>NIMs value</t>
  </si>
  <si>
    <t>(b.1)</t>
  </si>
  <si>
    <t>Based on the values for HAL and those under point a) above, the average activity levels are determined here. The allocation will only be changed if all of the following thresholds in Articles 5 and 6 of the ALC Regulation are exceeded:</t>
  </si>
  <si>
    <t>Sum of consumption</t>
  </si>
  <si>
    <t>Based on the entries above, the average annual values of the values under i. are determined here. The allocation will only be changed if the relative threshold (15% compared to NIMs value) and the absolute threshold (change leads to more than 100 allowances) set out in Article 6(4) of the ALC Regulation are exceeded.</t>
  </si>
  <si>
    <t>Activity level</t>
  </si>
  <si>
    <t>HVC</t>
  </si>
  <si>
    <t>(b.2)</t>
  </si>
  <si>
    <t>HALAdjPct_</t>
  </si>
  <si>
    <t>EUconst_CNTR_HALAdjPct</t>
  </si>
  <si>
    <t>Parent undertaking</t>
  </si>
  <si>
    <t>Subsidiary undertaking to which this installation belongs, if applicable</t>
  </si>
  <si>
    <t>EUconst_CNTR_NIMsValue</t>
  </si>
  <si>
    <t>NIMsValue_</t>
  </si>
  <si>
    <t>Share of a)</t>
  </si>
  <si>
    <t>EUconst_CNTR_VCMprelim</t>
  </si>
  <si>
    <t>EUconst_CNTR_VCMfinal</t>
  </si>
  <si>
    <t>VCMprelim_</t>
  </si>
  <si>
    <t>VCMfinal_</t>
  </si>
  <si>
    <t>Relevant reporting period</t>
  </si>
  <si>
    <t>EUconst_CNTR_HALinitial</t>
  </si>
  <si>
    <t>HALini_</t>
  </si>
  <si>
    <t>EUconst_AllocInitial</t>
  </si>
  <si>
    <t>AllocIni_</t>
  </si>
  <si>
    <t>EUconst_CNTR_HEATInitial</t>
  </si>
  <si>
    <t>HEATIni_</t>
  </si>
  <si>
    <t>EUconst_CNTR_ELEXCHInitial</t>
  </si>
  <si>
    <t>ELEXCHIni_</t>
  </si>
  <si>
    <t>EUconst_CNTR_HVCInitial</t>
  </si>
  <si>
    <t>HVCIni_</t>
  </si>
  <si>
    <t>VCMIni_</t>
  </si>
  <si>
    <t>EUconst_CNTR_VCMInitial</t>
  </si>
  <si>
    <t>Indicators for NIMs allocation:</t>
  </si>
  <si>
    <t>EUconst_CNTR_100EUA_ActivityLevel</t>
  </si>
  <si>
    <t>EUA100AL_</t>
  </si>
  <si>
    <t>EUconst_CNTR_100EUA_ElExch</t>
  </si>
  <si>
    <t>EUA100ElExch_</t>
  </si>
  <si>
    <t>EUconst_CNTR_100EUA_HEAT</t>
  </si>
  <si>
    <t>EUA100HEAT_</t>
  </si>
  <si>
    <t>EUconst_CNTR_100EUA_HVC</t>
  </si>
  <si>
    <t>EUA100HVC_</t>
  </si>
  <si>
    <t>EUconst_CNTR_100EUA_VCM</t>
  </si>
  <si>
    <t>EUA100VCM_</t>
  </si>
  <si>
    <t>Changes: Activity level</t>
  </si>
  <si>
    <t>Changes: Exchanged electricity</t>
  </si>
  <si>
    <t>Changes: Heat from non-ETS</t>
  </si>
  <si>
    <t>Changes: HVC correction</t>
  </si>
  <si>
    <t>Changes: VCM correction</t>
  </si>
  <si>
    <t>Changes: Waste gas flared</t>
  </si>
  <si>
    <t>2nd sub-period?</t>
  </si>
  <si>
    <t>EUconst_CNTR_100EUA_WGFlare</t>
  </si>
  <si>
    <t>EUA100WGFlare_</t>
  </si>
  <si>
    <t>WG flared</t>
  </si>
  <si>
    <t>Changes: No change (basis)</t>
  </si>
  <si>
    <t>MSconst_RequireEmissionTotals</t>
  </si>
  <si>
    <t>EUconst_CNTR_CARejection</t>
  </si>
  <si>
    <t>CAReject_</t>
  </si>
  <si>
    <t>MSconst_RequireSubAttrEmissions</t>
  </si>
  <si>
    <t>Initial allocation</t>
  </si>
  <si>
    <t>EUconst_LinkManual</t>
  </si>
  <si>
    <t>Manual entry</t>
  </si>
  <si>
    <t>CTRL_InputMethodNIMsvalues</t>
  </si>
  <si>
    <t>Total final free allocation</t>
  </si>
  <si>
    <t>Linear factor for new entrants</t>
  </si>
  <si>
    <t>Adjustments: waste gases flared</t>
  </si>
  <si>
    <t>Adjustments: Heat from non-ETS</t>
  </si>
  <si>
    <t>Adjustments: Electricity exchanged</t>
  </si>
  <si>
    <t>Change compared to NIMs value</t>
  </si>
  <si>
    <t>Adjustments: Efficiency improvements</t>
  </si>
  <si>
    <t>Verification report as required by Article 3(3) of the ALC Regulation (mandatory):</t>
  </si>
  <si>
    <t>(b.3)</t>
  </si>
  <si>
    <t>(b.4)</t>
  </si>
  <si>
    <t>EUconst_CNTR_RelThreshold</t>
  </si>
  <si>
    <t>RelThresh_</t>
  </si>
  <si>
    <t>Efficiency reported</t>
  </si>
  <si>
    <t>Criterion 1: Operational &gt; 2 years?</t>
  </si>
  <si>
    <t>Criterion 2: Not ceased in year before?</t>
  </si>
  <si>
    <t>Criterion 3: Relative thresholds exceeded?</t>
  </si>
  <si>
    <t>Actual values used</t>
  </si>
  <si>
    <t>Criterion 4: Difference at least 100 EUA?</t>
  </si>
  <si>
    <t>Rolling average applicability</t>
  </si>
  <si>
    <t>EUconst_CNTR_CARejectionRelevant</t>
  </si>
  <si>
    <t>CARejectRel_</t>
  </si>
  <si>
    <t>Criterion 5: CA decision relevant?</t>
  </si>
  <si>
    <t>Changes: Efficiency</t>
  </si>
  <si>
    <t>EUconst_CNTR_EnEffInitial</t>
  </si>
  <si>
    <t>EnEffIni_</t>
  </si>
  <si>
    <t>Actual adjustment of activity level</t>
  </si>
  <si>
    <t>Criterion 6: CA non-rejection?</t>
  </si>
  <si>
    <t>Latest version of the monitoring methodology plan (MMP):</t>
  </si>
  <si>
    <t>Please provide here the latest version of the MMP which sets out the monitoring methodology which is the basis for this year's report.</t>
  </si>
  <si>
    <t>As a consequence, installations which are not incumbents will be treated as new entrants in this report.</t>
  </si>
  <si>
    <t>CNTR_ReportingYear</t>
  </si>
  <si>
    <t>Year this report is submitted:</t>
  </si>
  <si>
    <t>Emission factor for fuels used for measurable heat and electricity production</t>
  </si>
  <si>
    <t>Fuel EF for electricity</t>
  </si>
  <si>
    <t>Fuel EF for measurable heat</t>
  </si>
  <si>
    <t>Year relevant?</t>
  </si>
  <si>
    <t>EUconst_CessationReason</t>
  </si>
  <si>
    <t>a) The greenhouse gas emissions permit has been withdrawn</t>
  </si>
  <si>
    <t>b) the (sub-)installation is no longer operating</t>
  </si>
  <si>
    <t>make years grey?</t>
  </si>
  <si>
    <t>Reporting year means the actual year the report is submitted. E.g. selecting year "2021" here includes data for the years 2019 and 2020.</t>
  </si>
  <si>
    <t>Reason for cessation</t>
  </si>
  <si>
    <t>IMPORTANT NOTE: This section should only be filled in by the competent authority, or by you if the competent authority instructed you to do so.</t>
  </si>
  <si>
    <t xml:space="preserve">The “group” comprises the parent undertaking and all its subsidiary undertakings (those undertakings that are controlled by the parent undertaking). </t>
  </si>
  <si>
    <t>Article 22 of Directive 2013/34/EU contains further elements characterising the relationship between a parent undertaking and a subsidiary undertaking (e.g. the parent undertaking has a majority of shareholders’ or members’ voting rights in a subsidiary undertaking, the parent undertaking has the right to appoint or remove a majority of the members of the administrative, management or supervisory board of a subsidiary undertaking and is at the same time a shareholder in or member of that subsidiary undertaking etc.)</t>
  </si>
  <si>
    <t>https://eur-lex.europa.eu/eli/dir/2013/34/oj</t>
  </si>
  <si>
    <t>Sheet A:</t>
  </si>
  <si>
    <t>Sheet B+C.:</t>
  </si>
  <si>
    <t>Sheet D:</t>
  </si>
  <si>
    <t>Sheet E:</t>
  </si>
  <si>
    <t>Sheet F:</t>
  </si>
  <si>
    <t>Sheet G:</t>
  </si>
  <si>
    <t>Sheet H:</t>
  </si>
  <si>
    <t>Contains comments in column P of any sheet?</t>
  </si>
  <si>
    <t>Average annual efficiency</t>
  </si>
  <si>
    <t>Specific energy consumption</t>
  </si>
  <si>
    <t>This input is only relevant if the installation is a "new entrant".</t>
  </si>
  <si>
    <t>Dark orange fields indicate that input is mandatory but should only be made by the competent autority, or by the operator if instructed by competent authority to do so.</t>
  </si>
  <si>
    <t>Report template for allocation to new entrants, allocation level changes and cessations for Phase 4 of the EU ETS</t>
  </si>
  <si>
    <t>Sub-installation (link)</t>
  </si>
  <si>
    <t>Sub-installation (manual)</t>
  </si>
  <si>
    <t>BM Name</t>
  </si>
  <si>
    <t>For formatting</t>
  </si>
  <si>
    <t>Relevant?</t>
  </si>
  <si>
    <t>sub (manual)</t>
  </si>
  <si>
    <t>start</t>
  </si>
  <si>
    <t>cessation</t>
  </si>
  <si>
    <t>Reason</t>
  </si>
  <si>
    <t>sub (link)</t>
  </si>
  <si>
    <t>In order to fill this information in here this template provides two options which can be selected from the drop-down list below.</t>
  </si>
  <si>
    <t>https://eur-lex.europa.eu/eli/reg_impl/2019/1842/oj</t>
  </si>
  <si>
    <t>This data collection template has been developed on behalf of the Commission by its consultants (Umweltbundesamt GmbH Austria and SQ Consult) and covers allocation level changes for new entrants, cessations of (sub)installations and activity level changes.</t>
  </si>
  <si>
    <t>Entries here are only relevant, either if you have chosen "manual entry" in section A.II, or new sub-installations started after 30 June 2019.</t>
  </si>
  <si>
    <t>Sub-installations (column E)</t>
  </si>
  <si>
    <t>Sub-installations (column G)</t>
  </si>
  <si>
    <t>Date of cessation</t>
  </si>
  <si>
    <t>Please select the reason for the cessation, if relevant.</t>
  </si>
  <si>
    <t>Carbon Leakage Status</t>
  </si>
  <si>
    <t>Initial allocation from the NIMs baseline data report file</t>
  </si>
  <si>
    <t>Note that no entries should be made in this section. It will either be filled in automatically or this section will not be relevant, depending on your selection in section A.II.</t>
  </si>
  <si>
    <t>Initial allocation (manual entries)</t>
  </si>
  <si>
    <t>Historical activity level (HAL)</t>
  </si>
  <si>
    <t>HVC-corr</t>
  </si>
  <si>
    <t>The first occurrence of that value is in the NIMs baseline data report, summary sheet K, cell F481.</t>
  </si>
  <si>
    <t>The first occurrence of that value is in the NIMs baseline data report, summary sheet K, cell G474.</t>
  </si>
  <si>
    <t>The first occurrence of that value is in the NIMs baseline data report, summary sheet K, cell H474.</t>
  </si>
  <si>
    <t>The first occurrence of that value is in the NIMs baseline data report, summary sheet K, cell I474.</t>
  </si>
  <si>
    <t>The first occurrence of that value is in the NIMs baseline data report, summary sheet K, cell J474.</t>
  </si>
  <si>
    <t>The first occurrence of that value is in the NIMs baseline data report, summary sheet K, cell K474.</t>
  </si>
  <si>
    <t>In cases where the Member State made entries of emissions optional, only the total energy input from fuels is mandatory here.</t>
  </si>
  <si>
    <t>Please enter below in line with the principles of the M&amp;R Regulation:</t>
  </si>
  <si>
    <t>Total emissions at installation level (taken from section D.I)</t>
  </si>
  <si>
    <t xml:space="preserve">The attribution of emissions to sub-installations has to be done in sheets F and G for each sub-installation, if made mandatory to report by the Member State. </t>
  </si>
  <si>
    <t>This is the net total amount of heat produced by the CHP.</t>
  </si>
  <si>
    <t>This is the net total amount of electricity (or mechanical energy, where applicable) produced by the CHP.</t>
  </si>
  <si>
    <t>Amount of waste gas flared</t>
  </si>
  <si>
    <t>The status regarding the exposure to significant risk of carbon leakage ("CL") is based on the Commission Delegated Decision (EU) 2019/708.</t>
  </si>
  <si>
    <t>converted to EUA</t>
  </si>
  <si>
    <t>Has process emissions?</t>
  </si>
  <si>
    <t>However, if process emissions sub-installations are relevant, entries are always mandatory here.</t>
  </si>
  <si>
    <t>Pursuant to Articles 6(1) and 6(2) the competent authority may reject the adjustment of free allocation. Please select TRUE here to reject any adjustment, if applicable.</t>
  </si>
  <si>
    <t>Competent Authority approval relevant?</t>
  </si>
  <si>
    <t>Competent Authority rejects adjustment?</t>
  </si>
  <si>
    <t>This decision will be based on whether it can be demonstrated that the changes in the activity level can be explained by changes in the energy efficiency.</t>
  </si>
  <si>
    <t>This is the final result taking into account any energy efficiency changes as well as the competent authorities decision, if relevant.</t>
  </si>
  <si>
    <t>Linear factor referred to in Article 10a(7) of the EU ETS Directive:</t>
  </si>
  <si>
    <t>Date the sub-installation ceased to operate, if relevant.</t>
  </si>
  <si>
    <t>Criterion 3a: Relative thresholds exceeded?</t>
  </si>
  <si>
    <t>Criterion 4a: Difference at least 100 EUA?</t>
  </si>
  <si>
    <t>Criterion 3b: Relative thresholds exceeded?</t>
  </si>
  <si>
    <t>Criterion 4b: Difference at least 100 EUA?</t>
  </si>
  <si>
    <t>Criterion 3c: Relative thresholds exceeded?</t>
  </si>
  <si>
    <t>Criterion 4c: Difference at least 100 EUA?</t>
  </si>
  <si>
    <t>Criterion 3d: Relative thresholds exceeded?</t>
  </si>
  <si>
    <t>Criterion 4d: Difference at least 100 EUA?</t>
  </si>
  <si>
    <t>Criterion 3e: Relative thresholds exceeded?</t>
  </si>
  <si>
    <t>Criterion 4e: Difference at least 100 EUA?</t>
  </si>
  <si>
    <t>Criterion 3f: Relative thresholds exceeded?</t>
  </si>
  <si>
    <t>Criterion 4f: Difference at least 100 EUA?</t>
  </si>
  <si>
    <t/>
  </si>
  <si>
    <t>It is recommended that you go through the file from start to end. There are a few functions which will guide you through the form which depend on previous input, such as cells changing colour if an input is not needed (see colour codes below). However, sometimes it is relevant to first continue data input in another sheet before going on (e.g. "H_specialBM" needs input before "F_ProductBM" can be finalised in cases where Annex III of the FAR must be applied).</t>
  </si>
  <si>
    <t>Light blue areas are dedicated for data that is mainly relevant for the attribution of emissions to sub-installations.</t>
  </si>
  <si>
    <t>Light orange areas are dedicated for sections where any allocation adjustments are determined.</t>
  </si>
  <si>
    <t>Data from the NIMs baseline data report</t>
  </si>
  <si>
    <t>Mandatory</t>
  </si>
  <si>
    <t>Optional</t>
  </si>
  <si>
    <t>CA input</t>
  </si>
  <si>
    <t>Attribution of emissions</t>
  </si>
  <si>
    <t>MS customise</t>
  </si>
  <si>
    <t>Navigation</t>
  </si>
  <si>
    <t>Olive fields indicate that inputs are based on links to external Excel files, in particular the NIMs baseline data report.</t>
  </si>
  <si>
    <t>Irrelevant</t>
  </si>
  <si>
    <t>Links to data in the NIMs file:</t>
  </si>
  <si>
    <t>Data that is used for this report:</t>
  </si>
  <si>
    <t>Step 1</t>
  </si>
  <si>
    <t>Step 2</t>
  </si>
  <si>
    <t>In order to gather the data from your specific file, in which all your NIMs data is contained, please change the file reference via the "Edit links" function in the "Data" tab of the ribbon of Excel.</t>
  </si>
  <si>
    <t>Select "Edit links" under the "Connection" or "Queries &amp; Connections" group, depending on the Excel version you use.</t>
  </si>
  <si>
    <t>Step 3</t>
  </si>
  <si>
    <t>Step 4</t>
  </si>
  <si>
    <t>You should now see NIMs data below in this sheet and can go back to section A.II and continue.</t>
  </si>
  <si>
    <t>This sheet has the same structure as the summary sheet of the "NIMs baseline data report" template and contains links to an empty template.</t>
  </si>
  <si>
    <t>In the dialog box that opened, select the link to the empty template and then click on "Change Source"</t>
  </si>
  <si>
    <t>Here the NIMs information is gathered by simply referencing your NIMs baseline data report file via the "Edit links" function in the "Data" tab of the Excel ribbon.</t>
  </si>
  <si>
    <t>Method used for NIMs data entries:</t>
  </si>
  <si>
    <t>Manual entry (if selected), or manual override where NIMs data is no longer correct:</t>
  </si>
  <si>
    <t>Further instructions can be found in the "NIMs summary" sheet of this template.</t>
  </si>
  <si>
    <t>Here you have to enter all information and data manually, just as all other information.</t>
  </si>
  <si>
    <t>Cells that contain links to the NIMs file will be greyed out.</t>
  </si>
  <si>
    <t>Cells with manual entries will be made optional, where applicable.</t>
  </si>
  <si>
    <t>IMPORTANT! Please DO NOT make manual changes in any of the cells below in this sheet.</t>
  </si>
  <si>
    <t>Please note that this only works when this present sheet is active. If you try that from any other sheet, the "Change Source" button will be inactive.</t>
  </si>
  <si>
    <t>Linear factor for installations covered by Article 10a(3)</t>
  </si>
  <si>
    <t>G.b.3.ii!</t>
  </si>
  <si>
    <t>EUconst_ERR_CADecision</t>
  </si>
  <si>
    <t>has manual entries?</t>
  </si>
  <si>
    <t>ETS coverage (f. formatting)</t>
  </si>
  <si>
    <t>If you have selected "Manual entry" in section A.II, input here is mandatory. Otherwise, this section is optional and input only necessary if the information under a) above is no longer correct.</t>
  </si>
  <si>
    <t>If you have selected "Manual entry" in section A.II, input here is mandatory. Otherwise, this section is optional, unless new sub-installations are relevant.</t>
  </si>
  <si>
    <t>If there are more than five connections, please aggregate them. This may require adjustments to sections A.V.b.</t>
  </si>
  <si>
    <t>If there are more than three connections, please aggregate them. This may require adjustments to sections A.V.b.</t>
  </si>
  <si>
    <t xml:space="preserve">This furthermore includes any heat from electricity under d) below, as well as heat from any other sources (heat pumps, solar, etc.). </t>
  </si>
  <si>
    <t>Please enter here the energy consumption attributable to each product listed under point b) above in line with the methodologies described in the MMP.</t>
  </si>
  <si>
    <t>NIMs data</t>
  </si>
  <si>
    <t>Therefore, if no PRODCOM code can be assigned to a product, then the energy efficiency rule cannot apply as the efficiency below can only be calculated if all "products" relate to the same units, usually tonnes.</t>
  </si>
  <si>
    <t>If "TRUE" is displayed here, either the average activity level dropped below -15% compared to the HAL and at the same time the energy efficiency improved by more than 15%, or vice versa. If this is the case, it is subject to the competent authority's assessment (see ii. below) whether the allocation should be adjusted or not.</t>
  </si>
  <si>
    <t>relevant? (link)</t>
  </si>
  <si>
    <t>Confirmation of eligibility for free allocation:</t>
  </si>
  <si>
    <t>Information on this activity level report</t>
  </si>
  <si>
    <t>If there is heat recovery from a fuel BM sub-installation, the recovered amount measurable heat, divided by a virtual efficiency of 90%, has to be deducted from the fuel input here and attributed to "fuel input for production of measurable heat" above, in order to avoid double counting.</t>
  </si>
  <si>
    <t>Fuel EF for total fuel input</t>
  </si>
  <si>
    <t>(b.5)</t>
  </si>
  <si>
    <t>Verifier engaged for this report:</t>
  </si>
  <si>
    <t>Name and address of the verifier:</t>
  </si>
  <si>
    <t>CNTR_SubPeriod:</t>
  </si>
  <si>
    <t>Identification code of the installation in the Registry (EUTL):</t>
  </si>
  <si>
    <t>This is usually a natural number used in the Registry (EUTL).</t>
  </si>
  <si>
    <t>Together with the Member State selected under (a), this Registry ID (unique ID) will result in the Unique ID displayed automatically in (c) below. E.g. if the installation with Registry ID 123456 is situated in Belgium, this will result in "BE000000000123456". If your installation received free allocation in the previous phase of the EU ETS, please ensure that the Unique ID is identical to the one in the previous phase.</t>
  </si>
  <si>
    <t>Reporting details</t>
  </si>
  <si>
    <t>The installation or any sub-installation has ceased operations:</t>
  </si>
  <si>
    <t>CNTR_Incumbent</t>
  </si>
  <si>
    <t>CNTR_Cessation</t>
  </si>
  <si>
    <t>Cond.
form.</t>
  </si>
  <si>
    <t>Relevant? (link)</t>
  </si>
  <si>
    <t>Relevant? (manual)</t>
  </si>
  <si>
    <t>This includes cessation of either the whole installation (pursuant to Article 26 of the FAR) or any sub-installation (pursuant to Article 5(4) of the ALC-R) since the last NIMs application, not just during the last calendar year.</t>
  </si>
  <si>
    <t>Incumbent installation</t>
  </si>
  <si>
    <t>New entrants</t>
  </si>
  <si>
    <t>Please select all relevant sub-installations that already started operation.</t>
  </si>
  <si>
    <t>This is the first day the sub-installation had an activity level above zero. This date impacts the allocation only if it is after 1 Jan 2018. Entries here are therefore only mandatory if the sub-installation started after this date.</t>
  </si>
  <si>
    <t xml:space="preserve">This is the first day the sub-installation had an activity level above zero. </t>
  </si>
  <si>
    <t>This column is not relevant for new entrants.</t>
  </si>
  <si>
    <t>If you have chosen to gather NIMs information via the link to the baseline data report in section A.II. all relevant product benchmark sub-installation appear automatically. Otherwise this column will be greyed out.</t>
  </si>
  <si>
    <t>If the sub-installation has ceased operations, this should be the last day the sub-installation had an activity level above zero.</t>
  </si>
  <si>
    <t>Select your NIMs baseline data report file in the dialog box and click on OK. Please note that updating all linked cells might take a couple of seconds.</t>
  </si>
  <si>
    <t>Step 5</t>
  </si>
  <si>
    <t>Close the "Edit links" dialog box.</t>
  </si>
  <si>
    <t>Step 6</t>
  </si>
  <si>
    <t>(optional) You may now click on "break links" in the dialog box. This will remove all external files and replace them by values.</t>
  </si>
  <si>
    <t>Please note that if you do this, all previous step can no longer be re-done.</t>
  </si>
  <si>
    <t>By default, empty fields here will be treated as a non-rejection (i.e. FALSE) in order to perform subsequent calculations in this template. You may therefore continue with the submission of the report and the CA can take a decision at a later stage, which might lead to a re-submission of the template.</t>
  </si>
  <si>
    <t>If the heat is exported, the connected installation or entity as input in sheet A_InstallationData section V can be selected.</t>
  </si>
  <si>
    <t>Prod of goods AND within inst.?</t>
  </si>
  <si>
    <t>Further guidance can be found in section 6.1 of Guidance Document 7.</t>
  </si>
  <si>
    <t>Further data from sheet A of the NIMs template:</t>
  </si>
  <si>
    <t>content of free MgO in the produced lime in each year expressed as mass-%</t>
  </si>
  <si>
    <t>content of free CaO in the produced lime in each year expressed as mass-%</t>
  </si>
  <si>
    <t>historical supplemental feed of hydrogen in each year expressed in tonnes of hydrogen</t>
  </si>
  <si>
    <t>content of free CaO in the produced dolime in each year expressed as mass-%</t>
  </si>
  <si>
    <t>content of free MgO in the produced dolime in each year expressed as mass-%</t>
  </si>
  <si>
    <t>historical supplemental feed of ethylene in each year expressed in tonnes of ethylene</t>
  </si>
  <si>
    <t>historical supplemental feed of other high value chemicals than hydrogen and ethylene in each year expressed in tonnes of HVC</t>
  </si>
  <si>
    <t>Please enter here the annual production data of hydrogen referred to historical hydrogen content in each year.</t>
  </si>
  <si>
    <t>Please enter here the historical production volume fraction of pure hydrogen in each year. This is a dimensionless figure.</t>
  </si>
  <si>
    <t>Please enter here the annual production data of synthesis gas referred to historical hydrogen content in each year.</t>
  </si>
  <si>
    <t>Please enter here the annual production data of the different products covered by this benchmark in each year.</t>
  </si>
  <si>
    <t>(c.1)</t>
  </si>
  <si>
    <t>(d.1)</t>
  </si>
  <si>
    <t>(l.1)</t>
  </si>
  <si>
    <t>Other installations in the EU of the same group (Registry ID), if applicable</t>
  </si>
  <si>
    <t>MSconst_RequireEnEffDetails</t>
  </si>
  <si>
    <t>2=mandatory; 1=optional</t>
  </si>
  <si>
    <t>the average annual activity level determined under a) increases by more than 15% compared to the historic activity level in any year</t>
  </si>
  <si>
    <t>the heat is used for "production of goods" AND "within installation" under point b) above</t>
  </si>
  <si>
    <t>(NIMs) HAL</t>
  </si>
  <si>
    <t>(NIMs) value</t>
  </si>
  <si>
    <t>Base exist?</t>
  </si>
  <si>
    <t>t / year</t>
  </si>
  <si>
    <t>Energy consumption by product to determine energy efficiency changes</t>
  </si>
  <si>
    <t>Entries here are only mandatory for all years if ALL of the following conditions apply:</t>
  </si>
  <si>
    <t>the Member State chose to make inputs mandatory by default if the conditions above are satisfied.</t>
  </si>
  <si>
    <t>Section mandatory?</t>
  </si>
  <si>
    <t>Efficiency improvement compared to base value</t>
  </si>
  <si>
    <t>It should be noted that the energy efficiency rule can only be applied in the case of heat or fuel used in the production of a specific product. Therefore, if no PRODCOM code can be assigned to a product, then this rule cannot apply.</t>
  </si>
  <si>
    <t>Activity levels</t>
  </si>
  <si>
    <t>the activity level changes are not offset by energy efficiencies changes determined under points b), b.1) and b.2) below.</t>
  </si>
  <si>
    <t>Note that in all other cases, entries are either not relevant or optional (as indicated), and will not be taken into account for the assessment of energy efficiency improvements in subsequent steps below.</t>
  </si>
  <si>
    <t>Connection</t>
  </si>
  <si>
    <t>Please list here all district heating connections.</t>
  </si>
  <si>
    <t>The specific energy consumption is determined in accordance with section 6.1 of Guidance Document 7 for values satisfying the criteria under point b.1) above.</t>
  </si>
  <si>
    <t xml:space="preserve"> </t>
  </si>
  <si>
    <t>the heat is used for "production of goods" under point b) above</t>
  </si>
  <si>
    <t>Translation from NIMs file not successful. Please select manually!</t>
  </si>
  <si>
    <t>EUconst_ERR_LinkToNIMs</t>
  </si>
  <si>
    <t>Sub-installations (column H)</t>
  </si>
  <si>
    <t>Entries here are only relevant if you have chosen either "manual entry" in section A.II, or new sub-installations started after 30 June 2019 (i.e. have not been included in the NIMs application).</t>
  </si>
  <si>
    <t>The rolling average of two years as referred to Art. 2(1) of the ALC-R for activity levels, and to Art. 6(4) for other parameters.</t>
  </si>
  <si>
    <t>If TRUE the rolling average will be calculated for any allocation adjustments. If FALSE, Art. 4(2) of the ALC-R applies.</t>
  </si>
  <si>
    <t>If FALSE the (sub)-installation has ceased in the year before and the allocation will be adjusted to zero, pursuant to Art. 5(4) of the ALC-R.</t>
  </si>
  <si>
    <t>TRUE means that the relative thresholds referred to in Art. 5 of the ALC-R are exceeded and the allocation will be adjusted, compared to the HAL.</t>
  </si>
  <si>
    <t>TRUE means that the absolute threshold referred to in Art. 5 of the ALC-R (100 EUA) is exceeded and the allocation will be adjusted.</t>
  </si>
  <si>
    <t>Pursuant to Articles 6(1) and 6(2) of the ALC-R the CA may decide on approval or rejection of allocation adjustments if energy efficiency changes exceeded 15%. TRUE means that those thresholds are exceeded and the CA may decide.</t>
  </si>
  <si>
    <t>TRUE means the CA rejected the adjustment. FALSE means an adjustment will be made if all thresholds above are exceeded.</t>
  </si>
  <si>
    <t>Preliminary annual number of emission allowances allocated free of charge for the first year of the period in accordance with Article 16(6) of the FAR, i.e. after application of the CL exposure factor and any adjustments due to the ALC-R, but before linear factor or cross-sectoral correction factor are applied.</t>
  </si>
  <si>
    <t>It is mandatory that question A.IV.1.g is answered!</t>
  </si>
  <si>
    <t>You must select at least one sub-installation!</t>
  </si>
  <si>
    <t>Initial NIMs allocation</t>
  </si>
  <si>
    <t>Section 1</t>
  </si>
  <si>
    <t>Value of the benchmark.</t>
  </si>
  <si>
    <t>Adjustments: Absolute threshold</t>
  </si>
  <si>
    <t>Absolute threshold</t>
  </si>
  <si>
    <t>NIMs value refers to the average production during the NIMs baseline period (similar to the HAL) and is only relevant for existing sub-installations in incumbent installations.</t>
  </si>
  <si>
    <t>It is mandatory that question (e) or (f) is answered!</t>
  </si>
  <si>
    <t>Calculation in accordance with Article 16(1) to (7) of the FAR and Article 5 and 6 of the ALC-R:</t>
  </si>
  <si>
    <t>Calculation in accordance with Article 16(8) of the FAR and Article 5 and 6 of the ALC-R:</t>
  </si>
  <si>
    <t>Sheets "A_InstallationData" and "B+C_SubInstallations" are filled completely.</t>
  </si>
  <si>
    <t>Data has been entered for all relevant years and the relevant sections in sheets F and G are filled.</t>
  </si>
  <si>
    <t>Error?</t>
  </si>
  <si>
    <t>Disclaimer: The results displayed here are indicative only and reflect the requirements according to Article 16(1) of the FAR and Articles 5 and 6 of the ALC-R. No warranty, either expressed or implied, is provided in relation to the accuracy, completeness or reliability of the result. No rights or entitlement to a certain amount of allowances can be derived from the result displayed in this template. For correctness of calculations please see also the disclaimer in the sheet "Guidelines and conditions".</t>
  </si>
  <si>
    <t>The amounts displayed here reflect the calculation of the final total amount of allowances allocated free of charge in accordance with Article 16(8) of the FAR and Articles 5 and 6 of the ALC-R, i.e. allocation values with either the linear factor or the cross-sectoral correction factor applied as appropriate (i.e. the result of point (c) above).</t>
  </si>
  <si>
    <t>Technical connections:</t>
  </si>
  <si>
    <t>Eligibility for free allocation (section A.IV.1):</t>
  </si>
  <si>
    <t>There can be cases where the attributable emissions cannot be calculated for the draft preliminary allocation because the heat BM or fuel BM values are needed for the calculation. In such case, no values for the attributable emissions will be displayed as indicated by "not applicable (N.A.)". Those cases are:</t>
  </si>
  <si>
    <t>Missing?</t>
  </si>
  <si>
    <t>If entries have to be made here, please carefully ensure that the rounding is consistent with the values in your NIMs baseline data report. Please note that in that baseline report rounding to the nearest tonne is only made for the allocation. For all other parameters which are to be entered here, the rounding displayed there might not be the actual digits used. It is therefore recommended to copy "values" from the NIMs in here cell by cell.</t>
  </si>
  <si>
    <t>Please enter in the table below the weighted average emission factor for all fuels, and for the fuels that are used to produce any measurable heat and electricity, respectively. Values entered here do not have any direct impact on either the allocation or the attributed emissions. They are only used for checking plausibility.</t>
  </si>
  <si>
    <t>For attributing fuel input from cogeneration (CHP) to production of measurable heat and electricity, the results of the "CHP tool" in section D.III. can be used.</t>
  </si>
  <si>
    <t>If the average annual activity level decreased by more than 15%, you can enter data here to demonstrate that this decrease can be explained by energy efficiency improvements.</t>
  </si>
  <si>
    <t>In case the whole installation ceased, please provide the date of cessation of each sub-installation in sheet B+C_SubInstallation, section I.</t>
  </si>
  <si>
    <t>Entries here are only relevant if you have chosen either "manual entry" in section A.II, or new sub-installations started after 30 June 2019 (i.e. have not been included in the NIMs application). Entries here will always override entries in column G.</t>
  </si>
  <si>
    <t>The historic activity level (HAL) will be determined automatically on entries under point a) above and entries in sheet B+C_SubInstallations. For new sub-installations, the HAL will be displayed under v. based on the first full year of operation.</t>
  </si>
  <si>
    <t>Based on the start of normal operation entered in B+C.I, the HAL will either be based on the NIMs value (displayed under ii.) or on the first year of full operation for new sub-installations (displayed under iv.).</t>
  </si>
  <si>
    <t>The following data is taken automatically from sheet "E_EnergyFlows", section E.I. Thus, data input is mandatory there.</t>
  </si>
  <si>
    <t>Result: Initial NIMs allocation parameters</t>
  </si>
  <si>
    <t>This table shows the allocation relevant parameters as for the NIMs, before any allocation changes due to the ALC-R rules. For new entrants or new sub-installations, values will always be zero here.</t>
  </si>
  <si>
    <t>EUconst_ProdBMSub</t>
  </si>
  <si>
    <t>EUconst_FallBackSub</t>
  </si>
  <si>
    <t>prepared for translation, minor bug fixes</t>
  </si>
  <si>
    <t>From here: ALC template</t>
  </si>
  <si>
    <t>#</t>
  </si>
  <si>
    <t>Automatic</t>
  </si>
  <si>
    <t>Eligibility:</t>
  </si>
  <si>
    <t>RepDetails:</t>
  </si>
  <si>
    <t>NIMsData:</t>
  </si>
  <si>
    <t>InstID:</t>
  </si>
  <si>
    <t>FurtherInfo:</t>
  </si>
  <si>
    <t>Contact:</t>
  </si>
  <si>
    <t>Verifier:</t>
  </si>
  <si>
    <t>TechConn:</t>
  </si>
  <si>
    <t>Heat tool greyed out?</t>
  </si>
  <si>
    <t>relevant? (manual)</t>
  </si>
  <si>
    <t>MSconst_RequireFuelEF</t>
  </si>
  <si>
    <t>Average annual activity level (NIMs value)</t>
  </si>
  <si>
    <t>DECLARE_ID_AnnexI</t>
  </si>
  <si>
    <t>DECLARE_ID_TypeOfEntity</t>
  </si>
  <si>
    <t>DECLARE_ID_TypeOfConnection</t>
  </si>
  <si>
    <t>DECLARE_ID_Flow</t>
  </si>
  <si>
    <t>DECLARE_ID_Eligibility</t>
  </si>
  <si>
    <t>DECLARE_ID_WasteGasSubType</t>
  </si>
  <si>
    <t>The rules for annual adjustments of allocation are contained in the Commission Implementing Regulation (EU) 2019/1842 of 31 October 2019 laying down rules for the application of Directive 2003/87/EC of the European Parliament and of the Council as regards further arrangements for the adjustments to free allocation of emission allowances due to activity level changes (hereinafter "the ALC-R”). They can be downloaded from:</t>
  </si>
  <si>
    <t>An essential element of the ALC-R is the annual data reporting in order to collect all relevant information from operators of installations needed by the Member States for determining any adjustments to the allocation.</t>
  </si>
  <si>
    <r>
      <t>Link to NIMs file</t>
    </r>
    <r>
      <rPr>
        <sz val="8"/>
        <rFont val="Calibri"/>
        <family val="2"/>
      </rPr>
      <t> </t>
    </r>
  </si>
  <si>
    <t>Some of the information that is required in this report has already been provided in the NIMs application. This concerns information about the installation (this sheet) as well as the relevant sub-installations including the allocation-relevant parameters (sheet "B+C. Sub-installations"), such as the historic activity level (HAL).</t>
  </si>
  <si>
    <t>Based on the option you have chosen, the cells in this sheet will be of the following format, where the information is contained in the NIMs summary sheet:</t>
  </si>
  <si>
    <t>Result: Technical connections</t>
  </si>
  <si>
    <r>
      <t>B+C. Sub-installations</t>
    </r>
    <r>
      <rPr>
        <sz val="8"/>
        <rFont val="Calibri"/>
        <family val="2"/>
      </rPr>
      <t> </t>
    </r>
  </si>
  <si>
    <r>
      <t>Sheet "Sub-installations</t>
    </r>
    <r>
      <rPr>
        <sz val="8"/>
        <rFont val="Calibri"/>
        <family val="2"/>
      </rPr>
      <t> </t>
    </r>
    <r>
      <rPr>
        <b/>
        <sz val="14"/>
        <rFont val="Arial"/>
        <family val="2"/>
      </rPr>
      <t>" - IDENTIFICATION OF SUB-INSTALLATIONS AND INITIAL ALLOCATION</t>
    </r>
  </si>
  <si>
    <t>Emission factor (EF)</t>
  </si>
  <si>
    <t>the absolute threshold, i.e. the change would lead to a difference in the preliminary allocation of at least 100 allowances</t>
  </si>
  <si>
    <r>
      <t>&gt;=100 EUA</t>
    </r>
    <r>
      <rPr>
        <sz val="8"/>
        <rFont val="Calibri"/>
        <family val="2"/>
      </rPr>
      <t> </t>
    </r>
    <r>
      <rPr>
        <sz val="10"/>
        <rFont val="Arial"/>
        <family val="2"/>
      </rPr>
      <t xml:space="preserve"> criterion satisfied?</t>
    </r>
  </si>
  <si>
    <r>
      <t>BMProducts</t>
    </r>
    <r>
      <rPr>
        <sz val="8"/>
        <rFont val="Calibri"/>
        <family val="2"/>
      </rPr>
      <t> </t>
    </r>
  </si>
  <si>
    <r>
      <t>A.IV.1.f!</t>
    </r>
    <r>
      <rPr>
        <sz val="8"/>
        <rFont val="Calibri"/>
        <family val="2"/>
      </rPr>
      <t> </t>
    </r>
  </si>
  <si>
    <t>final English version</t>
  </si>
  <si>
    <t>Column for comments
(e.g. any changes)</t>
  </si>
  <si>
    <t>OPTIONAL: 
Column for comments
(e.g. any changes)</t>
  </si>
  <si>
    <t>Bug-Fix (AttrEm_FallBack)</t>
  </si>
  <si>
    <t>For installations not covered by Article 10a(3), the CSCF displayed in point (c) will be applied for each year.</t>
  </si>
  <si>
    <t>BM values updated and further bug-fixes, distributed with the "ALC UBA Tool"</t>
  </si>
  <si>
    <t>"Attributed process emissions" bug fixed</t>
  </si>
  <si>
    <t>"non-CL" bug fixed</t>
  </si>
  <si>
    <t>updated to TRUE in all cases to cover all heat consumed or exported</t>
  </si>
  <si>
    <t>EnEff tool updated, ALC threshold fixed</t>
  </si>
  <si>
    <t>100EUA issue for sub starting in 2018 fixed (special version)</t>
  </si>
  <si>
    <t xml:space="preserve">1) Update 1 Jan issue as of 2022, 'ALC indicator' for 2) EnEff exemptions and for 3) New subs </t>
  </si>
  <si>
    <t>1) Update for new subs in 24/25 to report in 2026 2) soda ash BM in 2025</t>
  </si>
  <si>
    <t>This is the final version of the Allocation Level Change Template for phase 4.1 (2021-2025) of the EU ETS, dated 20 July 2020, with corrections (23 January 2026).</t>
  </si>
  <si>
    <t>Navigeringsfält:</t>
  </si>
  <si>
    <t>Nästa blad</t>
  </si>
  <si>
    <t>Sammanfattning</t>
  </si>
  <si>
    <t>Högst upp</t>
  </si>
  <si>
    <t>Längst ner</t>
  </si>
  <si>
    <t>INNEHÅLL</t>
  </si>
  <si>
    <t>Språkversion:</t>
  </si>
  <si>
    <t>Referensfilnamn:</t>
  </si>
  <si>
    <t>Information om denna fil:</t>
  </si>
  <si>
    <t>Anläggningens namn:</t>
  </si>
  <si>
    <t>Anläggningens unika identifieringsnummer:</t>
  </si>
  <si>
    <t>Om er behöriga myndighet kräver att ni lämnar in en undertecknad papperskopia av rapporten, var god använd utrymmet nedan för underskriften:</t>
  </si>
  <si>
    <t>Datum</t>
  </si>
  <si>
    <t>Namn och underskrift av juridiskt ansvarig person</t>
  </si>
  <si>
    <t>Innehållsförteckning</t>
  </si>
  <si>
    <t>Föregående blad</t>
  </si>
  <si>
    <t>RIKTLINJER OCH VILLKOR</t>
  </si>
  <si>
    <t>Allmän information om mallen</t>
  </si>
  <si>
    <t>Enligt direktiv 2003/87/EG, senast ändrat genom direktiv (EU) 2018/410 (nedan kallat ETS-direktivet) ska medlemsstaterna fördela utsläppsrätter gratis till anläggningar på grundval av fullständigt harmoniserade bestämmelser som omfattar hela unionen (artikel 10a.1). Direktivet kan laddas ner via följande länk:</t>
  </si>
  <si>
    <t>Bestämmelserna om gratis tilldelning (ibland kallade FAR) finns i tilldelningsförordningen, dvs. kommissionens delegerade förordning (EU) 2019/331 av den 19 december 2018 om fastställande av unionstäckande övergångsbestämmelser för harmoniserad gratis tilldelning av utsläppsrätter enligt artikel 10a i Europaparlamentets och rådets direktiv 2003/87/EG. Finns på:</t>
  </si>
  <si>
    <t xml:space="preserve">Synpunkterna i denna fil är upphovsmännens egna och stämmer nödvändigtvis inte överens med kommissionens synpunkter. </t>
  </si>
  <si>
    <t>Så här använder ni filen</t>
  </si>
  <si>
    <t>Automatisk beräkning (som finns under menyn Formler/Beräkningsalternativ) måste aktiveras.</t>
  </si>
  <si>
    <t>Värdet noll ska anges i stället för att cellen lämnas tom. Om en cell lämnats tom vet inte den behöriga myndigheten om värdet inte har rapporterats eller om det är irrelevant eller okänt. Värden som behövs för beräkningar bör alltid anges (särskilt värdet noll, eftersom vissa formler inte ger några resultat så länge som nödvändiga celler lämnats tomma).</t>
  </si>
  <si>
    <t>I flera fält går det att välja mellan fördefinierade värden. Man kan välja ett alternativ i ”nedrullningslistan” genom att klicka med musen på den lilla pil som visas i cellens högerkant eller trycka Alt+nedåtpil när man markerat cellen. I vissa fält kan man skriva in egen text även om det finns en nedrullningslista. Det går att göra när nedrullningslistorna innehåller tomma listposter.</t>
  </si>
  <si>
    <t>Ibland visas felmeddelanden när datainmatningar är ofullständiga. Avsaknad av felmeddelanden är ingen garanti för korrekta beräkningar då det inte alltid går att testa datans fullständighet. Om inga resultat visas i ett grönt fält kan det antas att vissa data fortfarande saknas.</t>
  </si>
  <si>
    <t>Man måste vara särskilt noga med att datan stämmer överens med de enheter som visas.</t>
  </si>
  <si>
    <t>Felmeddelandena är ofta mycket korta på grund av det begränsade utrymmet. De viktigaste meddelandena är följande:</t>
  </si>
  <si>
    <t>Det finns inte tillräckligt med data för att utföra beräkningen (t.ex. en utsläppsfaktor saknas för ett visst år).</t>
  </si>
  <si>
    <t>De valda enheterna stämmer inte överens och beräkningarna utifrån inmatningarna kommer att ge felaktiga resultat.</t>
  </si>
  <si>
    <t>Inga negativa värden är tillåtna i beräkningen.</t>
  </si>
  <si>
    <t>Hänvisningar till delar av ett dokument. Data saknas i de delar som det hänvisas till.</t>
  </si>
  <si>
    <t>Färgkoder och teckensnitt</t>
  </si>
  <si>
    <t>Fetmarkerad text:</t>
  </si>
  <si>
    <t>Denna text beskriver vilken inmatning som krävs.</t>
  </si>
  <si>
    <t>Mindre kursiv text:</t>
  </si>
  <si>
    <t xml:space="preserve">Denna text ger ytterligare förklaringar. </t>
  </si>
  <si>
    <t>Gula fält är obligatoriska inmatningsfält. Om frågan inte är relevant för anläggningen krävs dock ingen inmatning.</t>
  </si>
  <si>
    <t>Ljusgula fält innebär att inmatning vanligtvis inte behöver göras.</t>
  </si>
  <si>
    <t>Gröna fält visar automatiskt beräknade resultat. Röd text är felmeddelanden (att data saknas osv.).</t>
  </si>
  <si>
    <t>Skuggade fält innebär att ingen inmatning behövs eftersom inmatning gjorts i ett annat fält.</t>
  </si>
  <si>
    <t>Gråtonade områden ska fyllas i av medlemsstaterna innan deras egna versioner av mallen offentliggörs.</t>
  </si>
  <si>
    <t>Ljusgråa områden används för navigering och hyperlänkar.</t>
  </si>
  <si>
    <t>På navigationspanelerna högst upp på varje blad ges hyperlänkarna för att man snabbt ska kunna gå till olika inmatningsavsnitt. Första raden (”Innehållsförteckning”, ”Föregående blad”, ”Nästa blad”, ”Sammanfattning”) och enheterna ”Högst upp” och ”Längst ner” är desamma för alla blad. Beroende på vilket blad det rör sig om har ytterligare menyalternativ lagts till. Om bakgrundsfärgen på något av hyperlänksfälten blir röd saknas data i avsnittet.</t>
  </si>
  <si>
    <t>Denna mall har låsts för datainmatning förutom i de gula fälten. Av öppenhetsskäl finns dock inget lösenord. Detta innebär att alla formler kan visas. Det rekommenderas att skyddet bibehålls när filen används för datainmatning. Bladen bör endast vara oskyddade när formlernas giltighet kontrolleras. Det rekommenderas att detta görs i en separat fil.</t>
  </si>
  <si>
    <t>För att skydda formler mot oavsiktliga ändringar, som ofta leder till felaktiga och vilseledande resultat, 
är det mycket viktigt att INTE ANVÄNDA funktionerna KLIPP UT &amp; KLISTRA IN. 
Om du vill flytta data ska du först KOPIERA och KLISTRA IN dem och därefter radera oönskade data på det ursprungliga (felaktiga) stället.</t>
  </si>
  <si>
    <t>Datafälten har inte optimerats för numeriska och andra format. Bladskyddet har begränsats så att du kan använda era egna format. Framför allt kan du välja hur många decimaler som ska visas. Antalet decimaler påverkar i princip inte beräkningens exakthet. I princip bör alternativet ”Visad precision” i MS Excel avaktiveras. För mer information, se MS Excels ”Hjälp”-funktion.</t>
  </si>
  <si>
    <t>OBSERVERA: Alla formler har tagits fram med omsorg. Misstag kan dock inte helt uteslutas.
Såsom anges ovan garanteras fullständig öppenhet för att kontrollera beräkningarnas giltighet. Vare sig upphovsmännen till denna fil eller Europeiska kommissionen kan hållas ansvariga för eventuella skador till följd av felaktiga eller vilseledande beräkningsresultat.
Användaren av denna fil (dvs. verksamhetsutövaren vid en ETS-anläggning) ansvarar fullt ut för att korrekt data rapporteras till den behöriga myndigheten.</t>
  </si>
  <si>
    <t>Medlemsstatsspecifik information</t>
  </si>
  <si>
    <t>Denna rapport ska lämnas in till er behöriga myndighet på följande adress:</t>
  </si>
  <si>
    <t xml:space="preserve">
Rapporten ska lämnas in via Naturvårdsverkets e-tjänst för ändringar av tilldelning av utsläppsrätter. Under "Övriga webbplatser" finns en länk till en sida med ytterligare vägledning om e-tjänsten. Via denna sida klickar du dig sedan vidare till själva e-tjänsten.</t>
  </si>
  <si>
    <t>Informationskällor:</t>
  </si>
  <si>
    <t>EU-webbplatser:</t>
  </si>
  <si>
    <t>EU-lagstiftning:</t>
  </si>
  <si>
    <t xml:space="preserve">http://eur-lex.europa.eu/sv/index.htm </t>
  </si>
  <si>
    <t>Allmänt om ETS-systemet:</t>
  </si>
  <si>
    <t>http://ec.europa.eu/clima/policies/ets/index_sv.htm</t>
  </si>
  <si>
    <t>Övriga webbplatser:</t>
  </si>
  <si>
    <t>https://www.naturvardsverket.se/Stod-i-miljoarbetet/Vagledningar/Utslappshandel---vagledningar/Gratis-tilldelning-2021-2030/Lamna-in-handlingar/</t>
  </si>
  <si>
    <t>Hjälpcentral:</t>
  </si>
  <si>
    <t>EUETS@naturvardsverket.se</t>
  </si>
  <si>
    <t>Ytterligare riktlinjer från medlemsstaten:</t>
  </si>
  <si>
    <t xml:space="preserve">&lt;&lt;&lt; Klicka här för att gå vidare till nästa blad &gt;&gt;&gt; </t>
  </si>
  <si>
    <t>Anläggnings-ID</t>
  </si>
  <si>
    <t>Kontaktpersoner</t>
  </si>
  <si>
    <t>Kontrollör</t>
  </si>
  <si>
    <t>Ytterligare uppg. om anl.</t>
  </si>
  <si>
    <t>Stödberättigande</t>
  </si>
  <si>
    <t>Delanläggningar</t>
  </si>
  <si>
    <t>Tekniska anslutningar</t>
  </si>
  <si>
    <t>Blad ”InstallationData” – ALLMÄN INFORMATION OM RAPPORTEN</t>
  </si>
  <si>
    <t>Identifiering av anläggningen</t>
  </si>
  <si>
    <t>Allmänna upplysningar:</t>
  </si>
  <si>
    <t>Namnet bör vara det som redan har använts för korrespondens med den behöriga myndigheten.</t>
  </si>
  <si>
    <t>Medlemsstat i vilken anläggningen finns:</t>
  </si>
  <si>
    <t>Med ”medlemsstat” avses ett land som deltar i ETS-systemet, dvs. EU-medlemsstaterna samt Island, Norge och Liechtenstein.</t>
  </si>
  <si>
    <t>Anläggningens unika ID-nr (NAP-nr):</t>
  </si>
  <si>
    <t>Detta är det ID som den behöriga myndigheten använder för korrespondens med anläggningen, t.ex. för gratis tilldelning under tidigare perioder.</t>
  </si>
  <si>
    <t>När det gäller anläggningar som inte har omfattats av ETS-systemet tidigare ska verksamhetsutövarna kontakta den behöriga myndigheten för att få ett sådant ID.</t>
  </si>
  <si>
    <t xml:space="preserve">Behöriga myndigheter måste se till att det finns ett unikt identifieringsnummer innan de lämnar uppgifter till kommissionen. </t>
  </si>
  <si>
    <t>Anläggningens ID-nummer i registret:</t>
  </si>
  <si>
    <t>Unikt identifieringsnummer för anmälan till kommissionen:</t>
  </si>
  <si>
    <t>Information om tillståndet för utsläpp av växthusgaser:</t>
  </si>
  <si>
    <t>Var god ange endast information om tillståndet för utsläpp av växthusgaser (= det tillstånd som utfärdats i enlighet med artiklarna 5 och 6 i ETS-direktivet).</t>
  </si>
  <si>
    <t>Medlemsstaterna kan välja om informationen ska lämnas eller inte, om den behöriga myndigheten redan har sådan information.</t>
  </si>
  <si>
    <t>Den behöriga myndighetens namn:</t>
  </si>
  <si>
    <t>Det första tillstånd för utsläpp av växthusgaser som mottogs när anläggningen omfattades av ETS för första gången:</t>
  </si>
  <si>
    <t>Tillståndsnummer:</t>
  </si>
  <si>
    <t>Datum för utfärdande:</t>
  </si>
  <si>
    <t>Senaste uppdatering av tillståndet, i tillämpliga fall:</t>
  </si>
  <si>
    <t>Datum för idrifttagande av anläggningen:</t>
  </si>
  <si>
    <t>Detta är en befintlig anläggning:</t>
  </si>
  <si>
    <t>Anläggningen är befintlig om den har fått ett tillstånd för utsläpp av växthusgaser för första gången senast</t>
  </si>
  <si>
    <t>den 30 juni 2019 för tilldelningsperioden 2021–2025, eller</t>
  </si>
  <si>
    <t>den 30 juni 2024 för perioden 2026–2030.</t>
  </si>
  <si>
    <t>Alla anläggningar som inte är befintliga enligt kriterierna ovan kommer att betraktas som ”nya deltagare” av den behöriga myndigheten.</t>
  </si>
  <si>
    <t>Uppgifter om verksamhetsutövaren:</t>
  </si>
  <si>
    <t>Verksamhetsutövare är den (fysiska eller juridiska) person som driver eller innehar en anläggning eller, om det finns bestämmelser om detta i den nationella lagstiftningen, varje person som har fått rätten att fatta avgörande ekonomiska beslut med avseende på anläggningens tekniska funktionssätt.</t>
  </si>
  <si>
    <t>Verksamhetsutövarens namn:</t>
  </si>
  <si>
    <t>Gata, nummer:</t>
  </si>
  <si>
    <t>Postnummer:</t>
  </si>
  <si>
    <t>Ort:</t>
  </si>
  <si>
    <t>Land:</t>
  </si>
  <si>
    <t>Det behöriga ombudets namn:</t>
  </si>
  <si>
    <t>E-post:</t>
  </si>
  <si>
    <t>Tfn:</t>
  </si>
  <si>
    <t>Anläggningens adress:</t>
  </si>
  <si>
    <t>Kontaktpersoner:</t>
  </si>
  <si>
    <t>Var god ange personer som den behöriga myndigheten kan kontakta för frågor om rapporten samt för verifiering av denna.</t>
  </si>
  <si>
    <t>Behörigt ombud för verksamhetsutövaren med ansvar för anläggningen:</t>
  </si>
  <si>
    <t>Namn:</t>
  </si>
  <si>
    <t>Primär kontaktperson för tekniska frågor kring uppgifterna om anläggningen, om annan än i punkt a:</t>
  </si>
  <si>
    <t>Företagets namn:</t>
  </si>
  <si>
    <t>Kontrollörens behöriga ombud:</t>
  </si>
  <si>
    <t>Den utsedda personen bör vara bekant med rapporten. Helst ska det vara rapportens huvudkontrollör.</t>
  </si>
  <si>
    <t>E-postadress:</t>
  </si>
  <si>
    <t>Telefonnummer:</t>
  </si>
  <si>
    <t>Information om kontrollörens ackreditering:</t>
  </si>
  <si>
    <t>Ackrediterande medlemsstat:</t>
  </si>
  <si>
    <t>Namn på det nationella ackrediteringsorganet:</t>
  </si>
  <si>
    <t>Registreringsnummer som har utfärdats av ackrediteringsorganet:</t>
  </si>
  <si>
    <t>Ytterligare uppgifter om anläggningen:</t>
  </si>
  <si>
    <t>Verksamhet enligt bilaga I till ETS-direktivet:</t>
  </si>
  <si>
    <t>Denna information är viktig för de behöriga myndigheterna eftersom ändringar kan ha skett jämfört med tidigare faser i ETS.</t>
  </si>
  <si>
    <t>Var god sortera posterna i förteckningen utifrån direkta utsläpp, i möjligaste mån, så att den verksamhet som orsakar störst direkta utsläpp hamnar överst.</t>
  </si>
  <si>
    <t>Nummer</t>
  </si>
  <si>
    <t>Verksamhetens namn (bilaga I till ETS-direktivet)</t>
  </si>
  <si>
    <t>Under vilken Nace-kod har ert land rapporterat mervärde för statistik över företagsstrukturer?</t>
  </si>
  <si>
    <t>Om ni inte är säkra på vilka värden som ska anges, var god kontakta ert relevanta nationella statistikkontor.</t>
  </si>
  <si>
    <t xml:space="preserve">Nace Rev. 2 finns på följande länk: </t>
  </si>
  <si>
    <t>Nace-koder ska anges i fyrsiffrigt format, ”nnnn”, dvs. utan punkter eller andra avgränsare.</t>
  </si>
  <si>
    <t>Ett felmeddelande kommer att visas om inte exakt fyra siffror anges.</t>
  </si>
  <si>
    <t>Nace-kod som rapporterats baserat på Nace Rev. 2-klassificering:</t>
  </si>
  <si>
    <t>Var god ange anläggningens identifieringsnummer i EPRTR, i tillämpliga fall</t>
  </si>
  <si>
    <t>EPRTR är det europeiska registret över utsläpp och överföringar av föroreningar.</t>
  </si>
  <si>
    <t>Behöriga myndigheter behöver sådan information för att göra konsekvenskontroller och ändringar i miljöinformationskällor.</t>
  </si>
  <si>
    <t>Högst</t>
  </si>
  <si>
    <t>Berättigande till gratis tilldelning:</t>
  </si>
  <si>
    <t>Är anläggningen en elproducent i enlighet med artikel 3 u i direktivet?</t>
  </si>
  <si>
    <t>Definition enligt artikel 3 u: ”elproducent: en anläggning som den 1 januari 2005 eller senare har producerat el för försäljning till tredje part och i vilken ingen verksamhet som anges i bilaga I bedrivs utom förbränning av bränsle.”</t>
  </si>
  <si>
    <t>Används anläggningen för avskiljning av koldioxid, transport av koldioxid eller som lagringsplats för koldioxid?</t>
  </si>
  <si>
    <t>Artikel 10a.3 i ETS-direktivet anses omfatta anläggningen:</t>
  </si>
  <si>
    <t xml:space="preserve">Om svaret på a eller b var ja, är svaret på c per automatik positivt. </t>
  </si>
  <si>
    <t>Den linjära faktor som avses i artikel 10a.4 i direktivet tillämpas på tilldelningar till anläggningar som omfattas av artikel 10a.3 i direktivet, utom för de år då dessa tilldelningar justeras på ett enhetligt sätt i enlighet med artikel 10a.5 i direktivet (se även artikel 16.8 i FAR).</t>
  </si>
  <si>
    <t>Producerar anläggningen värme som inte används för elproduktion?</t>
  </si>
  <si>
    <t>Bekräftelse på icke-berättigande till gratis tilldelning:</t>
  </si>
  <si>
    <t>Om svaret på a eller b är positivt och om svaret på d är negativt är anläggningen inte berättigad till gratis tilldelning enligt artikel 10a i ETS-direktivet. Var god bekräfta om detta stämmer in på er anläggning:</t>
  </si>
  <si>
    <t>Viktig anmärkning:</t>
  </si>
  <si>
    <t>Om anläggningen inte är berättigad till gratis tilldelning enligt artikel 10a i ETS-direktivet finns ingen skyldighet att rapportera ytterligare utförliga uppgifter i följande datablad. Endast detta blad (”A_InstallationData”) måste fyllas i.</t>
  </si>
  <si>
    <t>Om inga ytterligare uppgifter måste rapporteras behöver inte heller rapporten verifieras.</t>
  </si>
  <si>
    <t>Denna rapport och framför allt svaren på punkterna a–f har inte någon påverkan på eventuell gratis tilldelning enligt artikel 10c i ETS-direktivet (”Möjlighet till gratis tilldelning för moderniseringen av elproduktionen under en övergångsperiod”).</t>
  </si>
  <si>
    <t>Om svaret på a och b båda är negativa, eller om svaret på d är positivt kan anläggningen anses vara berättigad till gratis tilldelning enligt artikel 10a i ETS-direktivet. Om detta stämmer in på er anläggning, var god bekräfta att ni ansöker om gratis tilldelning av utsläppsrätter enligt artikel 10a:</t>
  </si>
  <si>
    <t>Samtycke till användning av uppgifter i denna fil:</t>
  </si>
  <si>
    <t>Den behöriga myndigheten kommer att använda uppgifterna i denna fil för att besluta om gratis tilldelning i enlighet med artikel 10a i ETS-direktivet. Kommissionen kommer att använda uppgifterna för att uppdatera riktmärkesvärdena. Vidare kommer uppgifterna att delges kommissionen helt eller delvis, om så begärs, för att kommissionen ska kunna granska de nationella genomförandeåtgärderna i enlighet med artikel 11.1 i ETS-direktivet.</t>
  </si>
  <si>
    <t>Om verksamhetsutövaren bekräftar punkt e eller f ovan antas det automatiskt att detta även är en bekräftelse på samtycke till användning av uppgifterna i filen.</t>
  </si>
  <si>
    <t>Förteckning över delanläggningar</t>
  </si>
  <si>
    <t>Delanläggningar med produktriktmärke</t>
  </si>
  <si>
    <t>Var god välj de delanläggningar med produktriktmärke som är relevanta för er anläggning, i förekommande fall:</t>
  </si>
  <si>
    <t>Endast en delanläggning kan väljas per produkttyp. Liknande produkter som omfattas av samma produktriktmärke i bilaga I till FAR aggregeras.</t>
  </si>
  <si>
    <t>Var god notera att posterna måste fyllas i korrekt med tanke på alla inmatningar som senare görs om delanläggningar.</t>
  </si>
  <si>
    <t>Nr</t>
  </si>
  <si>
    <t>Produkttyp</t>
  </si>
  <si>
    <t>Start av drift</t>
  </si>
  <si>
    <t>KL-exponerad?</t>
  </si>
  <si>
    <t>Delanläggningar med ”fall-back”</t>
  </si>
  <si>
    <t>Var god ange vilka ”fall-back”-delanläggningar som är relevanta för er anläggning, i förekommande fall:</t>
  </si>
  <si>
    <t>Var god välj ett alternativ för varje typ av delanläggning, oavsett om det är relevant för er anläggning eller inte. Lämna inte de gula fälten tomma.</t>
  </si>
  <si>
    <t xml:space="preserve">Notera bestämmelsen i artikel 10.3 i FAR, nämligen att ett undantag från kravet att göra åtskillnad mellan ”KL” och ”ej KL” kan beviljas i rapporteringssyfte. </t>
  </si>
  <si>
    <t>Ett sådant undantag är tillämpligt om minst 95 % av insatsvarorna, de utgående varorna och utsläppen har någon av statusarna ”KL” eller ”ej KL”.</t>
  </si>
  <si>
    <t>Delanläggningens typ</t>
  </si>
  <si>
    <t>Förteckning över tekniska anslutningar</t>
  </si>
  <si>
    <t>Var god ange uppgifter som är relevanta för att identifiera tekniska anslutningar till er anläggning:</t>
  </si>
  <si>
    <t>Den behöriga myndigheten behöver dessa uppgifter för att säkerställa att de uppgifter som lämnats stämmer och undvika dubbelräkning av tilldelningsdata.</t>
  </si>
  <si>
    <t>Endast sådana fall är relevanta där mätbar värme, restgaser eller ”överförd koldioxid” enligt definitionen i M&amp;R-förordningen överförs.</t>
  </si>
  <si>
    <t>”Import” innebär i detta fall att något kommer in till den anläggning som denna rapport avser, och ”export” innebär att något lämnar anläggningen.</t>
  </si>
  <si>
    <t>Material- och/eller energiflöden mellan delanläggningar är inte relevanta, med undantag för värme som härrör från framställning av salpetersyra.</t>
  </si>
  <si>
    <t>I kolumnen ”Typ av enhet” kan följande alternativ väljas:</t>
  </si>
  <si>
    <t>Anläggning inom ETS-systemet</t>
  </si>
  <si>
    <t>Anläggning utanför ETS-systemet</t>
  </si>
  <si>
    <t>Anläggning som producerar salpetersyra</t>
  </si>
  <si>
    <t>Värmedistributionsnät</t>
  </si>
  <si>
    <t>Specialfall: Framställning av salpetersyra:</t>
  </si>
  <si>
    <t>Var god välj detta alternativ för att ange att er anläggning använder värme som härrör från framställning av salpetersyra.</t>
  </si>
  <si>
    <t>Var god ange detta även om framställning av salpetersyra ingår i verksamheten vid anläggningen och inte bara om er anläggning är ansluten till en sådan anläggning.</t>
  </si>
  <si>
    <t>Denna information är relevant för värmebalansen (blad ”E_EnergyFlows”, avsnitt II).</t>
  </si>
  <si>
    <t>Typer av anslutningsalternativ:</t>
  </si>
  <si>
    <t>Mätbar värme</t>
  </si>
  <si>
    <t>Restgaser</t>
  </si>
  <si>
    <t>Överförd koldioxid</t>
  </si>
  <si>
    <t>Mellanprodukter som omfattas av produktriktmärken (avsnitten 1.6 och 3.1 l i bilaga IV till FAR)</t>
  </si>
  <si>
    <t>Flödesriktningsalternativ (sett till den installation som rapporten avser):</t>
  </si>
  <si>
    <t>Import (till anläggningen)</t>
  </si>
  <si>
    <t>Export (från anläggningen)</t>
  </si>
  <si>
    <t>Anläggningens eller enhetens namn</t>
  </si>
  <si>
    <t>Typ av enhet</t>
  </si>
  <si>
    <t>Typ av anslutning</t>
  </si>
  <si>
    <t>Flödesriktning</t>
  </si>
  <si>
    <t>Var god ange ytterligare uppgifter om de anslutna anläggningarna, där så är relevant:</t>
  </si>
  <si>
    <t>Anläggningens identifieringsnummer (NAP-nr) måste anges om den anslutna anläggningen omfattas av ETS-systemet och om den gjorde detta redan före den 30 juni 2019 beträffande den första tilldelningsperioden och före den 30 juni 2024 beträffande den andra tilldelningsperioden.</t>
  </si>
  <si>
    <t>För enheter som inte omfattas av ETS-systemet måste kontaktuppgifter anges men inget identifieringsnummer (NAP-nr).</t>
  </si>
  <si>
    <t>Anläggningens ID-nummer i registret (NAP-nr)</t>
  </si>
  <si>
    <t>Kontaktpersonens namn</t>
  </si>
  <si>
    <t>e-postadress:</t>
  </si>
  <si>
    <t>telefonnummer</t>
  </si>
  <si>
    <t>Namn</t>
  </si>
  <si>
    <t>Utsläpp och energitillflöde</t>
  </si>
  <si>
    <t>Utsläppstilldelning</t>
  </si>
  <si>
    <t>Kraftvärme (1)</t>
  </si>
  <si>
    <t>Kraftvärme (2)</t>
  </si>
  <si>
    <t>Restgaser (1)</t>
  </si>
  <si>
    <t>Restgaser (2)</t>
  </si>
  <si>
    <t>Bladet ”Emissions” – TILLSKRIVNING AV UTSLÄPP</t>
  </si>
  <si>
    <t>Totala direkta utsläpp av växthusgaser och energitillförsel från bränslen</t>
  </si>
  <si>
    <t>Uppgifter på anläggningsnivå:</t>
  </si>
  <si>
    <t>Totala koldioxidutsläpp</t>
  </si>
  <si>
    <t>Utsläpp från biomassa</t>
  </si>
  <si>
    <t>Totala utsläpp av dikväveoxid</t>
  </si>
  <si>
    <t>Totala utsläpp av perfluorkarbon</t>
  </si>
  <si>
    <t>Summan av direkta utsläpp</t>
  </si>
  <si>
    <t>Överförd koldioxid för export</t>
  </si>
  <si>
    <t>Anläggningens totala direkta utsläpp</t>
  </si>
  <si>
    <t>Total energitillförsel från bränslen</t>
  </si>
  <si>
    <t>Totala koldioxidutsläpp: verifierade koldioxidutsläpp från bränsle-/materialmängder och utsläppskällor, inklusive från eventuell icke-hållbar biomassa</t>
  </si>
  <si>
    <t>Utsläpp från biomassa: antingen hållbara utsläpp eller biomassa där hållbarhetskriterierna inte gäller: som om den inte har utsläppsfaktor noll</t>
  </si>
  <si>
    <t>Totala utsläpp av dikväveoxid från utsläppskällor</t>
  </si>
  <si>
    <t>Totala utsläpp av perfluorkarbon från produktion av primärt aluminium</t>
  </si>
  <si>
    <t>Överförd mängd koldioxid som exporterats från anläggningen, angett i negativa värden</t>
  </si>
  <si>
    <t>Total energitillförsel från bränslen inklusive från biomassa och restgaser</t>
  </si>
  <si>
    <t>Tillskrivning av utsläpp till delanläggningar</t>
  </si>
  <si>
    <t>Tillskrivning till delanläggningar</t>
  </si>
  <si>
    <t>En sammanfattande tabell över tillskrivna utsläpp ges i det sammanfattande bladet (se länk nedan).</t>
  </si>
  <si>
    <t>Kraftvärmeverktyget</t>
  </si>
  <si>
    <t>Är kraftvärmeverk relevanta?</t>
  </si>
  <si>
    <t>Detta är ett verktyg för att fördela bränslen och utsläpp vid kraftvärmeproduktion i syfte att uppdatera riktmärkesvärdena enligt kapitel 8 i bilaga VII.</t>
  </si>
  <si>
    <t>Var god ange ”FALSKT” om det inte finns någon kraftvärmeenhet på er anläggning. Om så är fallet är hela verktyget irrelevant och kommer då att gråmarkeras.</t>
  </si>
  <si>
    <t>Var god notera att utsläpp i samband med importerad värme också kan vara relevant för vissa delanläggningar. Om den importerade värmen produceras från kraftvärmeenheter vid andra anläggningar kan verktyget också vara relevant, om det finns ytterligare information om de relevanta uppgifterna från leverantören.</t>
  </si>
  <si>
    <t>Mallen innehåller två uppsättningar av verktyget, och varje uppsättning bör endast användas för en kraftvärmeenhet. Om fler kraftvärmeenheter är relevanta kan en separat mall användas för att lämna viktig information.</t>
  </si>
  <si>
    <t>De perioder då kraftvärmeenheten enbart används för uppvärmning eller för elalstring (dvs. perioder då endast en av de båda produkterna framställdes) bör inte tas med och fördelningen av bränslen och utsläpp bör beräknas separat i enlighet med bestämmelserna i avsnitt 10.1.2 och 10.1.3 i bilaga VII.</t>
  </si>
  <si>
    <t>Verktyg för att beräkna utsläpp som kan tillskrivas värme vid kraftvärmeproduktion</t>
  </si>
  <si>
    <t>Total mängd insatsbränsle till kraftvärmeenheten</t>
  </si>
  <si>
    <t>Var god ange det årliga insatsbränslet till kraftvärmeenheten.</t>
  </si>
  <si>
    <t>Insatsbränsle till kraftvärmeenheten</t>
  </si>
  <si>
    <t>Värmeproduktion vid kraftvärmeenheten</t>
  </si>
  <si>
    <t>Elproduktion vid kraftvärmeenheten</t>
  </si>
  <si>
    <t>Totala utsläpp vid kraftvärmeenheten</t>
  </si>
  <si>
    <t>I värdena bör åtskillnad göras mellan utsläpp från insatsbränsle och utsläpp från rökgasrening.</t>
  </si>
  <si>
    <t>Från insatsbränsle till kraftvärmeenheten</t>
  </si>
  <si>
    <t>Från rökgasrening</t>
  </si>
  <si>
    <t>Totala utsläpp</t>
  </si>
  <si>
    <t>Standardeffektivitet:</t>
  </si>
  <si>
    <t>Värme:</t>
  </si>
  <si>
    <t>El:</t>
  </si>
  <si>
    <t>Effektivitet för värme och el</t>
  </si>
  <si>
    <t>Dessa värden är dimensionslösa och beräknas automatiskt utifrån de inmatningar som gjorts i a–c ovan.</t>
  </si>
  <si>
    <t>Om inga värden anges där men om de totala utsläppen anges i d ovan kommer standardeffektiviteten i e att användas här. Var god notera att detta endast är tillåtet om ni visar att det är tekniskt ogenomförbart eller skulle medföra orimliga kostnader att fastställa effektiviteterna och om det dessutom inte finns tillgängliga värden baserade på teknisk dokumentation (konstruktionsvärden) för anläggningen.</t>
  </si>
  <si>
    <t>Värmeproduktion</t>
  </si>
  <si>
    <t>Elproduktion</t>
  </si>
  <si>
    <t>Referenseffektiviteter</t>
  </si>
  <si>
    <t xml:space="preserve">Detta är referenseffektiviteter för värmeproduktion i en fristående panna och referenseffektiviteten för elproduktion utan kraftvärme. </t>
  </si>
  <si>
    <t>För referenseffektiviteterna ska de lämpliga bränslespecifika värdena i kommissionens delegerade förordning (EU) 2015/2402 tillämpas utan korrigeringsfaktorerna för klimatförhållanden enligt bilaga III och ej uppkomna nätförluster enligt bilaga IV till den förordningen. Förordningen kan laddas ner via följande länk:</t>
  </si>
  <si>
    <t>Utsläpp som kan tillskrivas värmeproduktion vid kraftvärmeenheten</t>
  </si>
  <si>
    <t>Detta är det slutresultat som verktyget leder till. De värden som visas här bör anges i bladen F eller G när det gäller de utsläpp som kan tillskrivas delanläggningen i fråga.</t>
  </si>
  <si>
    <t>Detta kan till exempel innebära att tillskrivningsbara utsläpp beaktas i de totala direkta utsläppen eller att utsläppsfaktorn används för eventuell importerad mätbar värme.</t>
  </si>
  <si>
    <t>Beräkningsresultaten kan endast anses vara korrekta om fullständiga och konsekventa uppgifter ges i avsnitten ovan.</t>
  </si>
  <si>
    <t>Utsläpp som kan tillskrivas värmeproduktion</t>
  </si>
  <si>
    <t>Emissionsfaktor, värme</t>
  </si>
  <si>
    <t>Insatsbränsle som kan tillskrivas värme- och elproduktion</t>
  </si>
  <si>
    <t>Detta är det slutresultat som verktyget leder till. De värden som visas här bör anges i relevanta avsnitt i bladen E, F och G.</t>
  </si>
  <si>
    <t>Insatsbränsle för värme</t>
  </si>
  <si>
    <t>Insatsbränsle för el</t>
  </si>
  <si>
    <t>Verktyg för restgaser</t>
  </si>
  <si>
    <t>Förbrukar anläggningen restgaser som produceras utanför gränserna för ett produktriktmärke?</t>
  </si>
  <si>
    <t>Enligt den definition som ges i artikel 2.10 och 2.11 i FAR betraktas processutsläpp som (förbränningsbara) restgaser som uppstår utanför gränserna för ett produktriktmärke.</t>
  </si>
  <si>
    <t>När det gäller restgaser ska dock en koldioxidmängd motsvarande den naturgas som används för det ”tekniskt användbara energiinnehållet” dras av från de totala processutsläppen.</t>
  </si>
  <si>
    <t>En mängd processutsläpp för vilken inget sådant avdrag har gjorts kallas för ”okorrigerade processutsläpp” nedan.</t>
  </si>
  <si>
    <t>För att fastställa det ”tekniskt användbara energiinnehållet” krävs följande information:</t>
  </si>
  <si>
    <t>Den mängd restgaser som används för elproduktion och för produktion av mätbar värme eller annan värme utanför delanläggningar med produktriktmärke eller som exporteras från anläggningen.</t>
  </si>
  <si>
    <t>Man kan välja om man (i konsekvenskontrollsyfte) vill rapportera processutsläppen i samband med dessa restgasmängder.</t>
  </si>
  <si>
    <t>Restgasens effektiva värmevärde.</t>
  </si>
  <si>
    <t>Antaganden om den varierande effektiviteten i användningen av restgaser och naturgas. Dessa antaganden är följande: effektiviteten i elproduktion med naturgas är 52,5 % och med restgaser 35 %.</t>
  </si>
  <si>
    <t>Utsläppsfaktorn för naturgas: 56,1 ton CO2/TJ.</t>
  </si>
  <si>
    <t>Eftersom båda eventuella delanläggningar kan beröras vid en och samma anläggning eller eftersom olika restgaser kan uppstå innehåller mallen två uppsättningar av ”restgasverktyget”.</t>
  </si>
  <si>
    <t>Verktyg för att beräkna mängden processutsläpp om restgaser produceras utanför produktriktmärken</t>
  </si>
  <si>
    <t>Detta avsnitt handlar om följande typer av delanläggningar med processutsläpp:</t>
  </si>
  <si>
    <t>Var god välj vilken av de båda delanläggningarna med processutsläpp som uppgifterna i verktyget avser.</t>
  </si>
  <si>
    <t>Produktionen och inte användningen av restgaser är relevant för att fastställa rätt delanläggning.</t>
  </si>
  <si>
    <t>Var god bekräfta om restgaser är relevanta för delanläggningen:</t>
  </si>
  <si>
    <t>Restgastyp:</t>
  </si>
  <si>
    <t>Var god ange restgastyp och vilken process som restgasen produceras från. Ange ovan en beteckning för avgasströmmen och ge en kort redogörelse av processen nedan.</t>
  </si>
  <si>
    <t>Om flera olika restgaser är relevanta för er anläggning, var god lämna uppgifter i separata filer med hjälp av detta verktyg för mer komplexa fall.</t>
  </si>
  <si>
    <t>Total mängd processutsläpp före avdrag för motsvarande tekniskt användbara energiinnehåll:</t>
  </si>
  <si>
    <t>Denna mängd måste överensstämma med den KL-status som valts i punkt a ovan.</t>
  </si>
  <si>
    <t>Okorrigerade processutsläpp</t>
  </si>
  <si>
    <t>Uppskattning av restgasutsläpp</t>
  </si>
  <si>
    <t>Var god lämna en uppskattning av den mängd utsläpp som avser använda eller exporterade restgaser. Detta är valfritt och görs endast i konsekvenskontrollsyfte.</t>
  </si>
  <si>
    <t>Denna mängd måste överensstämma med den restgasmängd som anges i punkt f nedan.</t>
  </si>
  <si>
    <t>Restgasutsläpp</t>
  </si>
  <si>
    <t>utanför produktriktmärken</t>
  </si>
  <si>
    <t>Mängden restgaser som produceras utanför delanläggningar med produktriktmärke, inklusive för export:</t>
  </si>
  <si>
    <t>Endast restgaser som används för produktion av värme eller el är relevanta. Om det rör sig om facklade restgaser är endast den mängd som avser säkerhetsfackling relevant.</t>
  </si>
  <si>
    <t>Ni kan välja att rapportera i ton eller i 1 000 Nm3 (kubikmeter under standardförhållanden). Enheterna måste stämma överens med de som används för effektivt värmevärde nedan.</t>
  </si>
  <si>
    <t>Mängden restgaser per år</t>
  </si>
  <si>
    <t>Restgasens effektiva värmevärde</t>
  </si>
  <si>
    <t>Ni kan välja att rapportera i GJ/t eller i GJ/1 000 Nm3. Enheterna måste stämma överens med de som används för mängderna ovan.</t>
  </si>
  <si>
    <t>Effektivt värmevärde</t>
  </si>
  <si>
    <t>Nödvändiga antaganden:</t>
  </si>
  <si>
    <t>Referenseffektivitet för produktion av el:</t>
  </si>
  <si>
    <t>med naturgas:</t>
  </si>
  <si>
    <t>med restgaser:</t>
  </si>
  <si>
    <t>Utsläppsfaktorn för naturgas:</t>
  </si>
  <si>
    <t>Utsläpp som ska dras av för beaktande av tekniskt användbart energiinnehåll</t>
  </si>
  <si>
    <t>Dessa siffror beräknas automatiskt utifrån de som angetts ovan. Formeln anges i vägledning 8.</t>
  </si>
  <si>
    <t>Avdrag för restgaser</t>
  </si>
  <si>
    <t>Processutsläpp beräknat med beaktande av korrigeringen för restgaser (= d – i)</t>
  </si>
  <si>
    <t>Detta är det slutresultat som verktyget ger. De värden som visas här bör anges i blad G för relevant delanläggning med processutsläpp.</t>
  </si>
  <si>
    <t>Om resultatet är negativt ska värdet noll anges.</t>
  </si>
  <si>
    <t>Resultatet av verktyget för restgaser:</t>
  </si>
  <si>
    <t>Tillskrivning av bränslen</t>
  </si>
  <si>
    <t>Värme (slutresultat)</t>
  </si>
  <si>
    <t>Elektricitet</t>
  </si>
  <si>
    <t>Bladet ”EnergyFlows” – UPPGIFTER OM ENERGITILLFÖRSEL, MÄTBAR VÄRME OCH EL</t>
  </si>
  <si>
    <t>Energitillförsel från bränslen</t>
  </si>
  <si>
    <t>Översikt och indelning i användningskategorier</t>
  </si>
  <si>
    <t>Energitillförsel från bränslen, totalt för anläggningen (utifrån blad ”D_Emissions”, avsnitt I):</t>
  </si>
  <si>
    <t>Inmatningsmetod:</t>
  </si>
  <si>
    <t>Ni kan välja metod för att ange värdena i tabellen nedan i punkt c. Tillgängliga alternativ är ”Absoluta värden” (ange TJ/år) eller ”Procentvärden”.</t>
  </si>
  <si>
    <t>Procentvärden är att föredra för snabbinmatning i enkla fall, där oftast ”100 %” eller noll ska anges.</t>
  </si>
  <si>
    <t>Allokering av insatsbränsle för olika användningsområden</t>
  </si>
  <si>
    <t>Var god ange i tabellen nedan den mängd energi som förbrukas för varje användningstyp eller – beroende på tillförselmetod (b) – i procent av mängden (a).</t>
  </si>
  <si>
    <t>Insatsbränsle för produktriktmärke är summan av det direkta insatsbränslet och insatsbränslet för mätbar värme som förbrukas av delanläggningen.</t>
  </si>
  <si>
    <t>Insatsbränsle för produktion av mätbar värme som inte används för produktriktmärke eller elproduktion.</t>
  </si>
  <si>
    <t>Insatsbränsle för delanläggningar med bränsleriktmärke</t>
  </si>
  <si>
    <t>Insatsbränsle för elproduktion</t>
  </si>
  <si>
    <t>Kraftvärmeverktyget i avsnitt D.III måste användas för att tillskriva insatsbränsle för kraftvärme till produktion av mätbar värme och el.</t>
  </si>
  <si>
    <t xml:space="preserve">Man måste vara särskilt noga med att tillskriva energitillförsel till de båda delanläggningar som är relevanta i tilldelningssyfte: </t>
  </si>
  <si>
    <t>Delanläggning med bränsleriktmärke med status ”KL” (löper avsevärd risk för koldioxidläckage) och ”ej KL” (löper inte avsevärd risk för koldioxidläckage).</t>
  </si>
  <si>
    <t>Återstoden (100 % minus den totala tillförseln) visas på raden längst ner i kontrollsyfte. Detta avser den energitillförsel som inte berättigar till tilldelning.</t>
  </si>
  <si>
    <t>Användningstyper för insatsbränsle</t>
  </si>
  <si>
    <t>Insatsbränsle för delanläggningar med produktriktmärke</t>
  </si>
  <si>
    <t>Insatsbränsle för produktion av mätbar värme</t>
  </si>
  <si>
    <t>Övrigt</t>
  </si>
  <si>
    <t>I kontrollsyfte visas allokeringen här i den enhet som ni inte har valt:</t>
  </si>
  <si>
    <t>Komplett balans av mätbar värme vid anläggningen</t>
  </si>
  <si>
    <t>Har anläggningen en delanläggning med värmeriktmärke eller en fjärrvärmedelanläggning?</t>
  </si>
  <si>
    <t>Namnet på delanläggningen med produktriktmärke visas automatiskt i inmatningsfälten i blad ”A_InstallationData”.</t>
  </si>
  <si>
    <t>Om ”SANT” visas är inmatningarna i avsnittet fortfarande relevanta. Frågan nedan måste endast besvaras om ingen av dessa delanläggningar är relevant.</t>
  </si>
  <si>
    <t>Finns eventuella värmeflöden som produceras eller förbrukas i, importeras till eller exporteras från anläggningen?</t>
  </si>
  <si>
    <t>Alla värmerelaterade uppgifter bör avse ”nettomängden mätbar värme” (dvs. värmeinnehållet i värmeflödet till användaren minus värmeinnehållet i återflödet).</t>
  </si>
  <si>
    <t>Beskrivning av använd beräkningsmetod:</t>
  </si>
  <si>
    <t>Mätbar värme behöver öronmärkas utifrån om den berättigar tilldelning eller inte, både utifrån ursprung, ”berättigande” (egenproducerad och/eller importerad från ETS-anläggningar) och ”icke-berättigande” (importerade från anläggningar eller enheter utanför ETS eller producerade av en delanläggning för salpetersyra) OCH utifrån användning, dvs. ”berättigande” (intern användning och/eller export till anläggningar utanför ETS) och ”icke-berättigande” (export till ETS-anläggningar).</t>
  </si>
  <si>
    <t>Det föreslås att metoderna rangordnas för denna öronmärkning:</t>
  </si>
  <si>
    <t>Om värmemängderna kan öronmärkas på ett tydligt sätt (eftersom värmenätanslutningarna är tydligt angivna eller på grund av ångtrycksnivåerna osv.) ska berättigande och icke-berättigande värmemängder rapporteras utifrån denna faktiska situation.</t>
  </si>
  <si>
    <t>Om detta inte går ska all användning viktas enligt tillförselkvoten (ETS-tillförsel: total tillförsel) enligt ovan.</t>
  </si>
  <si>
    <t>För denna mall ska följande steg för steg-metod användas:</t>
  </si>
  <si>
    <t>Beräkning görs av en separat balans för förbrukning av ”berättigande” och ”icke-berättigande” värme.</t>
  </si>
  <si>
    <t>När det gäller elproduktion ska värmeförbrukningen delas utifrån den kvot som anges i punkt f, om inte mängden värme från icke-berättigande källor förs in manuellt i punkt g iii.</t>
  </si>
  <si>
    <t>När det gäller produktriktmärken ska den totala mängden mätbar värme anges i punkt g nedan. Mängden ”icke-berättigande” värme betraktas som summan av införda mängder i blad ”F_ProductBM”, avsnitt f iii för varje delanläggning (visas här nedan i punkt h xii).</t>
  </si>
  <si>
    <t>Värmeexport till anläggningar som omfattas av ETS (avsnitt i nedan) ska alltid betraktas som värme från berättigande källor, eftersom värmekonsumenten inte kommer att ha information om huruvida den värme som producerats i tidigare led är berättigande eller inte. För att undvika dubbelräkning måste värmen dras av från den berättigande mängden vid anläggningen. Mängden får inte överskrida anläggningens totala tillgängliga ”berättigande” värme.</t>
  </si>
  <si>
    <t>Utifrån den återstående mängden mätbar värme måste det fastställas hur mycket som förbrukas inom anläggningen (utom för elproduktion och för delanläggningar med produktriktmärke). Den mängd ”berättigande” värme som återstår efter föregående steg är den övre gränsen.</t>
  </si>
  <si>
    <t>Efter att sådan värme dragits av från den tillgängliga mängden beräknas en ny ”berättigandekvot” (punkt k).</t>
  </si>
  <si>
    <t>Den återstående berättigande mängden kan sedan tillskrivas delanläggningarna med värmeriktmärke.</t>
  </si>
  <si>
    <t>Värmetillförsel</t>
  </si>
  <si>
    <t>Total nettomängd mätbar värme som produceras vid anläggningen:</t>
  </si>
  <si>
    <t>Inkluderar inte mätbar värme som omfattas av punkterna b, c och d. Notera att värme som produceras vid delanläggningar för salpetersyra måste rapporteras under punkt c som ”import utanför ETS”.</t>
  </si>
  <si>
    <t>Producerad mätbar värme</t>
  </si>
  <si>
    <t>Mätbar värme som importeras från anläggningar inom ETS:</t>
  </si>
  <si>
    <t>Anläggningarnas namn i nedrullningslistan har hämtats från avsnitt A.IV. Därför måste ni säkerställa att ni har angett fullständiga uppgifter där.</t>
  </si>
  <si>
    <t>Anläggningens namn</t>
  </si>
  <si>
    <t>Delsumma</t>
  </si>
  <si>
    <t>Mätbar värme som importeras från anläggningar och enheter utanför ETS (icke-berättigande för värmeriktmärke):</t>
  </si>
  <si>
    <t xml:space="preserve">Detta innefattar delanläggningar som producerar salpetersyra (välj ”Inom anläggningen” som anläggningens namn, om produktion av salpetersyra ingår i anläggningens verksamhet). </t>
  </si>
  <si>
    <t>Notera att de uppgifter som anges här ska kontrolleras mot den importerade värmen som anges för delanläggningar med produktriktmärke (se blad ”F_ProductBM”).</t>
  </si>
  <si>
    <t>Mätbar värme som produceras från el</t>
  </si>
  <si>
    <t>Detta innefattar värme från elektriska pumpar, elpannor osv. Denna mängd värme ska inkluderas i de uppgifter som lämnas i punkt c ovan. Uppgiften finns endast med här för fullständighetens skull men räknas inte med i balansen nedan.</t>
  </si>
  <si>
    <t>Värme från el</t>
  </si>
  <si>
    <t>Summa av mätbar värme vid anläggningen (= a+b+c)</t>
  </si>
  <si>
    <t>Total mätbar värme</t>
  </si>
  <si>
    <t>Kvoten mellan ”ETS-värme” och ”total värme”</t>
  </si>
  <si>
    <t>”ETS-värme” är värme som produceras vid anläggningen plus värme som importeras från ETS-anläggningar (= a+b).</t>
  </si>
  <si>
    <t xml:space="preserve">Total värme är ETS-värme plus värme som importeras från enheter och anläggningar utanför ETS (= a+b+c). </t>
  </si>
  <si>
    <t>Värmetillförselkvot (a+b)/(a+b+c):</t>
  </si>
  <si>
    <t>Icke-berättigande värme för delanläggningar med värmeriktmärke</t>
  </si>
  <si>
    <t>Innan mängden värme vid delanläggningar med värmeriktmärke kan beräknas måste den mängd som inte är berättigande för ändamålet fastställas.</t>
  </si>
  <si>
    <t>I ett första steg beaktas de icke-berättigande mängderna för värmeanvändning vid anläggningen.</t>
  </si>
  <si>
    <t xml:space="preserve">Detta är den mängd värme som används för elproduktion och den värme som förbrukas vid delanläggningar med produktriktmärke. </t>
  </si>
  <si>
    <t>Mätbar värme som används för elproduktion vid anläggningen (icke-berättigande för värmeriktmärke):</t>
  </si>
  <si>
    <t>Som standard antas att hela den mängd värme som används för elproduktion är uppdelad i berättigande och icke-berättigande utifrån den kvot som beräknas i avsnitt f.</t>
  </si>
  <si>
    <t>Om utförligare information finns (t.ex. eftersom ånga från olika källor kan särskiljas på grund av olika trycknivåer osv.) kan ni dock ange alternativa mängder för ”icke-berättigande” värme nedan. Om denna mängd överskrider den som angetts i avsnitt c iv används den högsta mängden för ytterligare beräkningar.</t>
  </si>
  <si>
    <t>Värme som används för elproduktion</t>
  </si>
  <si>
    <t>Mängd värme från källor utanför ETS</t>
  </si>
  <si>
    <t>Manuell överskrivning av (ii)</t>
  </si>
  <si>
    <t>Mätbar värme som används för delanläggningar med produktriktmärke inom anläggningen (icke-berättigande för värmeriktmärke):</t>
  </si>
  <si>
    <t>Enligt artikel 21 i FAR ska en koldioxidekvivalent för värmeimport utanför ETS dras av från den preliminära tilldelningen för produktriktmärken. De uppgifter som behövs för sådan korrigering är de i blad ”F_ProductBM”, avsnitt d för varje delanläggning.</t>
  </si>
  <si>
    <t>Därför ingår en rimlighetskontroll av sådana uppgifter.</t>
  </si>
  <si>
    <t>Värden som angetts i blad ”F_ProductBM”:</t>
  </si>
  <si>
    <t>Rimlighetskontroll:</t>
  </si>
  <si>
    <t>Var god se till att kontrollera detta avsnitt igen efter att ni har fyllt i blad ”F_ProductBM”, i tillämpliga fall, för att undvika inmatning av orimliga uppgifter.</t>
  </si>
  <si>
    <t>Den bästa metoden för att fylla i detta avsnitt är att först ange relevanta uppgifter i ”F_ProductBM” och sedan fortsätta med punkt i nedan.</t>
  </si>
  <si>
    <t>Värme utanför ETS som angetts i blad ”F_ProductBM” jämfört med totalmängden värme för alla produktriktmärken:</t>
  </si>
  <si>
    <t>Punkt xii i förhållande till punkt xi:</t>
  </si>
  <si>
    <t>Värme utanför ETS som angetts i blad ”F_ProductBM” jämfört med totalmängden värmeimport utanför ETS som angetts i punkt c:</t>
  </si>
  <si>
    <t>Punkt xii i förhållande till punkt c ovan:</t>
  </si>
  <si>
    <t>Värme som exporteras till ETS-anläggningar (icke-berättigande för värmeriktmärke):</t>
  </si>
  <si>
    <t>Denna mängd värme tilldelas värmeförbrukaren.</t>
  </si>
  <si>
    <t>Total värme som exporteras till ETS-anläggningar</t>
  </si>
  <si>
    <t>Värmeriktmärke och fjärrvärmedelanläggningar:</t>
  </si>
  <si>
    <t>Delsumma: återstående total mätbar värme, potentiellt tillhörande delanläggningar med värmeriktmärke (= e–g–h–i):</t>
  </si>
  <si>
    <t>Delsumma:</t>
  </si>
  <si>
    <t>Denna mängd kan delas upp i ”berättigande” och ”icke-berättigande” värme (efter ursprung, se inledningen till detta avsnitt ovan).</t>
  </si>
  <si>
    <t>Därefter korrigeras den faktor som fastställts i punkt e med beaktande av återstoden av berättigande och icke-berättigande värme. Denna faktor används för punkt m.</t>
  </si>
  <si>
    <t>berättigande p.g.a. ursprung:</t>
  </si>
  <si>
    <t>icke-berättigande p.g.a. ursprung:</t>
  </si>
  <si>
    <t>Berättigandekvot för återstående värme som beräknas i punkt j:</t>
  </si>
  <si>
    <t>korrigerad berättigandekvot (= j.ii/j.i):</t>
  </si>
  <si>
    <t>Nettomängd mätbar värme som förbrukas vid anläggningen och som kan ingå i värmeriktmärke:</t>
  </si>
  <si>
    <t>Detta är förbrukningen inom anläggningen utom för de ändamål som anges i punkterna g och h.</t>
  </si>
  <si>
    <t>Värme som förbrukas inom anläggningen</t>
  </si>
  <si>
    <t>Värme som exporteras till anläggningar eller enheter utanför ETS (t.ex. fjärrvärmenät):</t>
  </si>
  <si>
    <t>Namn på mottagande enhet eller anläggning</t>
  </si>
  <si>
    <t>Total värme som exporteras utanför ETS:</t>
  </si>
  <si>
    <t>Värmeförluster (= j–l–m)</t>
  </si>
  <si>
    <t>I denna tabell visas beräknade värmeförluster (dvs. mängden värme som inte omfattas av punkterna g, h, k, l och m) för att göra värmebalansen fullständig.</t>
  </si>
  <si>
    <t>Om negativa värden visas betyder detta att de värmeförbrukningsnivåer som angetts ovan överskrider mängden tillgänglig värme från produktion och import.</t>
  </si>
  <si>
    <t>Värmeförluster (beräknade)</t>
  </si>
  <si>
    <t>Värmeförluster (andel tillgänglig värme = e)</t>
  </si>
  <si>
    <t>Total mängd värme som eventuellt ingår i delanläggningar med värmeriktmärke eller fjärrvärmedelanläggningen (= l+m):</t>
  </si>
  <si>
    <t>Total värme för delanläggningar med värmeriktmärke:</t>
  </si>
  <si>
    <t>Slutresultat: Mängd värme som kan tillskrivas delanläggningar med värmeriktmärke eller fjärrvärmedelanläggningen:</t>
  </si>
  <si>
    <t>Resultatet beräknas som punkt o multiplicerat med den korrigerade behörighetskvot som fastställts i punkt k.</t>
  </si>
  <si>
    <t>Högsta tillåtna värde är den berättigande mängd som fastställts i punkt j.ii.</t>
  </si>
  <si>
    <t>Värme som kan ingå i delanläggningar med värmeriktmärke</t>
  </si>
  <si>
    <t>Uppdelning på delanläggning – tillförselmetod:</t>
  </si>
  <si>
    <t>Ni kan välja metod för att ange värdena i tabellen nedan i punkt r. Tillgängliga alternativ är ”absoluta värden” (ange TJ/år) eller ”procent”.</t>
  </si>
  <si>
    <t>Allokering till delanläggningar med värmeriktmärke utifrån risk för koldioxidläckage och till fjärrvärmedelanläggning:</t>
  </si>
  <si>
    <t>Var god ange den mängd mätbar värme som varje delanläggning förbrukar, där 100 % är summan som beräknats i punkt p ovan.</t>
  </si>
  <si>
    <t>Delanläggning med värmeriktmärke med status ”KL” (löper avsevärd risk för koldioxidläckage) och ”ej KL” (löper inte avsevärd risk för koldioxidläckage, vilket innefattar värme som exporteras till anläggningar och enheter utanför ETS men inte för fjärrvärme) och fjärrvärmedelanläggning med status ”ej KL”.</t>
  </si>
  <si>
    <t>Uppgifterna används automatiskt igen i blad ”G_Fall-back”. Inmatning krävs därför här, om detta verktyg används.</t>
  </si>
  <si>
    <t>Kontrollsiffror:</t>
  </si>
  <si>
    <t>Restgasbalans</t>
  </si>
  <si>
    <t>Komplett restgasbalans vid anläggningen</t>
  </si>
  <si>
    <t>Denna balans används framför allt för att kontrollera överensstämmelsen mellan de uppgifter som angetts i ”restgasverktyget” i avsnitt D.IV och restgasbalansen på delanläggningsnivå i bladen F och G.</t>
  </si>
  <si>
    <t>Där så är möjligt fylls nedanstående avsnitt automatiskt i med de uppgifter som angetts i dessa avsnitt.</t>
  </si>
  <si>
    <t>Finns eventuella restgaser som produceras eller förbrukas i, importeras till eller exporteras från anläggningen?</t>
  </si>
  <si>
    <t>Om svaret ”FALSKT” anges är uppgifterna här irrelevanta, och ni kan då fortsätta till nästa avsnitt nedan.</t>
  </si>
  <si>
    <t>Restgaser som produceras inom systemgränserna för en delanläggning med produktriktmärke</t>
  </si>
  <si>
    <t>Information hämtas från avsnitt F.l.v. Om detta är relevant måste ni säkerställa att ni har angett fullständiga uppgifter där.</t>
  </si>
  <si>
    <t>Delanläggning</t>
  </si>
  <si>
    <t>Restgaser som produceras utanför systemgränserna för en delanläggning med produktriktmärke</t>
  </si>
  <si>
    <t>Information hämtas från avsnitt D.IV. Om detta är relevant måste ni säkerställa att ni har angett fullständiga uppgifter där.</t>
  </si>
  <si>
    <t>Notera att de uppgifter som lämnats där kan avse restgaser som produceras vid andra anläggningar från vilka de importeras.</t>
  </si>
  <si>
    <t>från avsnitt D.IV.</t>
  </si>
  <si>
    <t>Restgas 1</t>
  </si>
  <si>
    <t>Restgas 2</t>
  </si>
  <si>
    <t>Summa av restgaser (= a+b)</t>
  </si>
  <si>
    <t>Producerade restgaser</t>
  </si>
  <si>
    <t>Restgaser som importeras från andra anläggningar eller enheter</t>
  </si>
  <si>
    <t>Var god se till att ingen dubbelräkning görs med punkt b, om importerade mängder tagits med där.</t>
  </si>
  <si>
    <t>Restgaser som exporteras från andra anläggningar eller enheter</t>
  </si>
  <si>
    <t>Summa av restgaser som finns vid anläggningen (= c+d+e)</t>
  </si>
  <si>
    <t>Tillgängliga restgaser</t>
  </si>
  <si>
    <t>Restgaser som förbrukas vid delanläggningar med produktriktmärke</t>
  </si>
  <si>
    <t>Information hämtas från avsnitt F.l.viii. Om detta är relevant måste ni säkerställa att ni har angett fullständiga uppgifter där.</t>
  </si>
  <si>
    <t>Typ av delanläggning med produktriktmärke</t>
  </si>
  <si>
    <t>Restgaser som förbrukas vid ”fall-back”-delanläggningar</t>
  </si>
  <si>
    <t>Information hämtas från motsvarande inmatningar i blad ”G_Fall-back”. Om detta är relevant måste ni säkerställa att ni har angett fullständiga uppgifter där.</t>
  </si>
  <si>
    <t>Typ av ”fall-back”-delanläggning</t>
  </si>
  <si>
    <t>Mängden restgaser som förbrukas för elproduktion</t>
  </si>
  <si>
    <t>Restgaser för elproduktion</t>
  </si>
  <si>
    <t>Mängden restgaser för fackling förutom säkerhetsfackling</t>
  </si>
  <si>
    <t>För delanläggningar med produktriktmärke hämtas information automatiskt från inmatningarna i blad ”F_ProductBM”.</t>
  </si>
  <si>
    <t>Restgaser som produceras utanför delanläggningar med produktriktmärke och som blir föremål för annan fackling än säkerhetsfackling ska anges här.</t>
  </si>
  <si>
    <t>produceras utanför delanläggningar med produktriktmärke</t>
  </si>
  <si>
    <t>Rimlighetskontroll</t>
  </si>
  <si>
    <t>Syftet är att kontrollera restgasbalansens fullständighet. Om den inte är noll, var god kontrollera om eventuella motstridiga värden angetts ovan.</t>
  </si>
  <si>
    <t>Differens (beräknad)</t>
  </si>
  <si>
    <t>Differens (som fraktion av punkt f)</t>
  </si>
  <si>
    <t>Komplett elbalans vid anläggningen</t>
  </si>
  <si>
    <t>Produceras el vid anläggningen?</t>
  </si>
  <si>
    <t>Notera att denna fråga avser alla anläggningar och att den inte direkt handlar om huruvida anläggningen är en ”elproducent” i den mening som avses i artikel 3u i ETS-direktivet. Om svaret är ”FALSKT” måste inga uppgifter lämnas.</t>
  </si>
  <si>
    <t>Total nettomängd el som produceras vid anläggningen</t>
  </si>
  <si>
    <t>Övrig elproduktion innefattar exempelvis vatten-, vind- och solkraft från expansionsturbiner och andra processer utanför ETS.</t>
  </si>
  <si>
    <t>Nettomängd el som produceras från bränslen</t>
  </si>
  <si>
    <t>Övrig elproduktion</t>
  </si>
  <si>
    <t>Total mängd el som importeras från nätet eller andra anläggningar</t>
  </si>
  <si>
    <t>Importerad el</t>
  </si>
  <si>
    <t>Total mängd el som exporteras till nätet eller andra anläggningar</t>
  </si>
  <si>
    <t>Exporterad el</t>
  </si>
  <si>
    <t>Total mängd el som finns tillgänglig för användning vid anläggningen (= b+c–d)</t>
  </si>
  <si>
    <t>El som kan användas</t>
  </si>
  <si>
    <t>Total mängd el som förbrukas vid anläggningen</t>
  </si>
  <si>
    <t>El som förbrukas vid anläggningen</t>
  </si>
  <si>
    <t>Rimlighetskontroll: Summa av eltillförsel i blad ”F_ProductBM” för utbytbarhet av el</t>
  </si>
  <si>
    <t>El som angetts som utbytbar</t>
  </si>
  <si>
    <t>Jämfört med punkt f</t>
  </si>
  <si>
    <t>Bladet ”ProductBM” – DELANLÄGGNINGSSPECIFIKA UPPGIFTER OM PRODUKTRIKTMÄRKEN</t>
  </si>
  <si>
    <t>Navigationspanelen ovan innehåller endast länkar till de relevanta delanläggningar som anges i avsnitt A.III.1.</t>
  </si>
  <si>
    <t>Historiska verksamhetsnivåer och disaggregerade produktionsuppgifter</t>
  </si>
  <si>
    <t>I denna punkt ska de ”huvudsakliga verksamhetsnivåerna” anges, dvs. de uppgifter som är direkt tillämpliga för att beräkna tilldelningen.</t>
  </si>
  <si>
    <t xml:space="preserve">Detta är i regel produktionsuppgifter för produkten, t.ex. grå cementklinker i ton eller glasflaskor i ton, i enlighet med bilaga I till FAR. </t>
  </si>
  <si>
    <t>Om ett meddelande visas i punkt iv måste dock lämpligt beräkningsverktyg användas, och resultaten kopieras automatiskt in i tabellen i punkt ii.</t>
  </si>
  <si>
    <t>Årliga verksamhetsnivåer:</t>
  </si>
  <si>
    <t>Från blad ”H_SpecialBM”:</t>
  </si>
  <si>
    <t>Värden som används för beräkning:</t>
  </si>
  <si>
    <t>Särskilda rapporteringskrav:</t>
  </si>
  <si>
    <t>Särskild information måste ges när det gäller vissa produktriktmärken (t.ex. CWT-värden). Ett automatiskt meddelande kommer att visas här, i relevanta fall.</t>
  </si>
  <si>
    <t>Andra korrigeringsfaktorer</t>
  </si>
  <si>
    <t>Utbytbarhet mellan bränsle och el:</t>
  </si>
  <si>
    <t>Ett automatiskt meddelande kommer att visas här, i relevanta fall, där ni ombeds göra den inmatning som krävs för att utbytbarheten mellan bränsle och el (ElExch-F) ska kunna beaktas.</t>
  </si>
  <si>
    <t>Enligt artikel 22 i FAR krävs ”direkta utsläpp”, nettomängd ”importerad värme” och ”relevant elförbrukning”.</t>
  </si>
  <si>
    <t>De totala direkta utsläppen är i regel identiska med de värden som anges i punkt g nedan. Ytterligare korrigeringar kan dock behöva göras, framför allt vid användning av restgaser. Var god se vägledningen i punkt g nedan. Uppgifter om nettomängd importerad värme hämtas automatiskt från punkt k.i nedan.</t>
  </si>
  <si>
    <t>Direkta utsläpp</t>
  </si>
  <si>
    <t>Nettomängd importerad värme</t>
  </si>
  <si>
    <t>Relevant elförbrukning</t>
  </si>
  <si>
    <t>Totala direkta utsläpp</t>
  </si>
  <si>
    <t>Indirekta utsläpp</t>
  </si>
  <si>
    <t>Värme som importeras från anläggningar eller enheter utanför ETS:</t>
  </si>
  <si>
    <t>Enligt artikel 21 i FAR måste en utsläppsmängd dras av från det preliminära årsantalet utsläppsrätter från delanläggningar med produktriktmärke.</t>
  </si>
  <si>
    <t>Detta är mängden mätbar värme som importeras från anläggningar utanför ETS (inklusive eventuell värme från delanläggningar för salpetersyra) eller enheter multiplicerat med värmeriktmärket.</t>
  </si>
  <si>
    <t>Var god ange relevanta värden här. Notera att värdena måste överensstämma med delsummorna för import från anläggningar och enheter utanför ETS enligt punkt E.II.c i bladet ”E_Energy flows”.</t>
  </si>
  <si>
    <t>Uppgifterna måste också överensstämma med den totala mätbara nettovärme som importeras, vilken anges i punkt k.i nedan.</t>
  </si>
  <si>
    <t>Mätbar värme som importeras från anläggningar utanför ETS:</t>
  </si>
  <si>
    <t>Konsekvenskontroll mot blad ”E_Energy flows”:</t>
  </si>
  <si>
    <t>Konsekvenskontroll mot punkt k.i:</t>
  </si>
  <si>
    <t>Produktionsuppgifter</t>
  </si>
  <si>
    <t>Identifiering av produkter som ingår i delanläggningen med produktriktmärke</t>
  </si>
  <si>
    <t>Prodcom-koder ska anges i formatet ”nnnnnnnn”, dvs. utan punkter eller andra avgränsare. Endast om Prodcom-koder inte finns ska en Nace-kod på fyra siffror anges i formatet ”nnnn”.</t>
  </si>
  <si>
    <t>En förteckning över 2010 års Prodcom-koder finns här:</t>
  </si>
  <si>
    <t>Individuella produktionsnivåer för produkter som ingår i delanläggningen med produktriktmärke</t>
  </si>
  <si>
    <t>Namn på produkt eller produktgrupp</t>
  </si>
  <si>
    <t>Summa av produktionsnivåer</t>
  </si>
  <si>
    <t>Uppgifter som krävs för att fastställa den riktmärkesrelaterade förbättringsfaktorn enligt artikel 10a.2 i ETS-direktivet</t>
  </si>
  <si>
    <t>Detta underavsnitt avser tillskrivning av utsläpp från bränsle-/materialmängder, utsläppskällor, import och export av mätbar värme och restgaser inklusive värmeförluster i enlighet med avsnitt 10 i bilaga VII till FAR.</t>
  </si>
  <si>
    <t xml:space="preserve">Var god notera att även om viss vägledning ges för varje punkt nedan bör ytterligare information inhämtas från vägledning 5 (”Monitoring and Reporting in relation to the FAR”), som också innehåller exempel. </t>
  </si>
  <si>
    <t xml:space="preserve">Vägledningen kan laddas ner via följande länk: </t>
  </si>
  <si>
    <t>Utifrån de uppgifter som anges nedan beräknas de tillskrivna utsläppen i avsnitt K.III.2 i det sammanfattande bladet "K_Summary".</t>
  </si>
  <si>
    <t>Utsläpp som direkt kan tillskrivas (DirEm* (bränsle-/materialmängder enligt övervakningsplan)) delanläggningen</t>
  </si>
  <si>
    <t>De uppgifter som anges här påverkar de utsläpp som kan tillskrivas i enlighet med avsnitt 10.1.1 i bilaga VII till FAR.</t>
  </si>
  <si>
    <t>Var god ange utsläpp som direkt kan tillskrivas (DirEm* (bränsle-/materialmängder enligt övervakningsplan)) delanläggningen med beaktande av följande bestämmelser:</t>
  </si>
  <si>
    <t>”Utsläpp som direkt kan tillskrivas” övervakas enligt den övervakningsplan som ska godkännas enligt M&amp;R-förordningen, dvs. med hänsyn tagen till de utsläpp som fastställts utifrån beräkningsbaserade metoder (med hjälp av bränsle-/materialmängder), mätbaserade metoder (Cems) och nivålösa metoder (”alternativa övervakningsmetoder”/”fall-back”).</t>
  </si>
  <si>
    <t>I flera situationer är ”utsläppen som direkt kan tillskrivas” i detta avsnitt dock inte identiska med de som ska rapporteras enligt M&amp;R-förordningen. Sådana situationer är bland annat när bränsle-/materialmängder används för produktion av mätbar värme, restgaser osv. Med andra ord måste man därför vara uppmärksam när man fyller i avsnitten nedan, så att man följer instruktionerna noggrant för att undvika dubbelräkning eller utelämnanden.</t>
  </si>
  <si>
    <t xml:space="preserve">Mätbar värme: om värmen enbart produceras för en delanläggning kan utsläppen tillskrivas direkt här via bränslets utsläpp. </t>
  </si>
  <si>
    <t>I samtliga fall där bränslen används för att producera mätbar värme som används i mer än en delanläggning där värmen förbrukas (vilket innefattar situationer med import från och export till andra anläggningar), bör bränslena inte räknas med i de ”utsläpp som direkt kan tillskrivas” delanläggningen utan tas med i punkt k nedan.</t>
  </si>
  <si>
    <t>Detta innefattar mätbar värme från en enhet på platsen (t.ex. en energicentral vid anläggningen eller ett mer komplext ångnätverk med flera värmeproducerande enheter) som ger värme till mer än en delanläggning. I ett sådant fall bör utsläppen inte heller tillskrivas här utan i punkt k.i nedan.</t>
  </si>
  <si>
    <t>Exporterad mätbar värme: inga korrigeringar bör göras här om sådan värme återvinns från processen och exporteras. Avdrag för tillhörande utsläpp görs utifrån de uppgifter som ges i punkt k.v nedan.</t>
  </si>
  <si>
    <t>Restgaser: utsläpp från restgaser som IMPORTERAS från andra anläggningar eller delanläggningar och förbrukas i denna delanläggning bör inte tas med här utan i punkt l nedan.</t>
  </si>
  <si>
    <t>Utsläpp som direkt kan tillskrivas (DirEm*)</t>
  </si>
  <si>
    <t>Insatsbränsle till delanläggningen och relevant emissionsfaktor</t>
  </si>
  <si>
    <t>I enlighet med kravet i avsnitt 2.4 a i bilaga IV till FAR, var god ange den totala bränsletillförseln till delanläggningen och motsvarande viktad emissionsfaktor, med beaktande av energiinnehållet hos varje bränsle som finns med under punkt g och med tillämpning av samma systemgränser som för punkt g.</t>
  </si>
  <si>
    <t>Med ”bränsle” avses varje bränsle-/materialmängd enligt M&amp;R-förordningen som är brännbar och för vilken ett effektivt värmevärde kan fastställas. Den viktade emissionsfaktorn motsvarar de ackumulerade bränsleutsläppen delat med det totala energiinnehållet.</t>
  </si>
  <si>
    <t>Den viktade emissionsfaktorn bör dessutom innefatta utsläpp från motsvarande rökgasrening, i tillämpliga fall.</t>
  </si>
  <si>
    <t>De uppgifter som anges här används bara för konsekvenskontroll och har ingen direkt inverkan på vare sig de utsläpp som kan tillskrivas eller tilldelningen.</t>
  </si>
  <si>
    <t>Insatsbränsle</t>
  </si>
  <si>
    <t>Viktad emissionsfaktor</t>
  </si>
  <si>
    <t>Andra interna bränsle-/materialmängder som importeras till eller exporteras från delanläggningen</t>
  </si>
  <si>
    <t>Det bör noteras att alla bränsle-/materialmängder endast bör anges här om de inte redan omfattas av de direkta utsläppen i punkt g ovan, i syfte att undvika eventuella dataluckor eller eventuell dubbelräkning. Utsläpp i samband med restgaser bör INTE anges här utan i punkt l nedan.</t>
  </si>
  <si>
    <t>Var god ange information om de så kallade interna bränsle-/materialmängderna som överförs mellan delanläggningar, dvs. importeras till eller exporteras från delanläggningen.</t>
  </si>
  <si>
    <t>Om det rör sig om en koksdelanläggning vid en integrerad järn- och stålanläggning förekommer utsläppen i samband med förbrukningen av koks i masugnen och bör därför inte tillskrivas delanläggningen (dvs. koksdelanläggningen). En del av utsläppen ska dock tas med i punkt g ovan, eftersom det kol som förs in i koksugnen kommer att vara en av de bränsle-/materialmängder som tillskrivs i ett första steg.</t>
  </si>
  <si>
    <t>För att undvika dubbelräkning måste korrigering göras för den koks som lämnar koksdelanläggningen som utgående ”intern bränsle-/materialmängd”. Detta görs genom ett negativt värde på mängden koks i händelse av ”export”. För att få en komplett balans i utsläppen från den kol som kommer in till koksdelanläggningen omfattas utsläppen i samband med användningen av koksugnsgas (= en restgas) redan av punkt g ovan (eftersom de ingår i kolutsläppen) i den mån som gasen används inom delanläggningen. Korrigeringar för att beakta exporterade mängder av restgasen bör inte göras här utan i punkt l.xx nedan.</t>
  </si>
  <si>
    <t>Omvänt innebär detta att om det rör sig om en delanläggning med råjärnsriktmärke vid en integrerad järn- och stålanläggning måste koksen anges här som en ingående/importerad ”intern” bränsle/materialmängd med positiva siffror.</t>
  </si>
  <si>
    <t>Är andra importerade eller exporterade interna bränsle-/materialmängder relevanta för delanläggningen?</t>
  </si>
  <si>
    <t>Om det finns mer än två importerade eller exporterade bränsle-/materialmängder bör de olika bränsle-/materialmängderna slås samman och namnen på var och en av dessa anges.</t>
  </si>
  <si>
    <t>Namn på andra bränsle-/materialmängder – 1:</t>
  </si>
  <si>
    <t>Andra bränsle-/materialmängder – 1</t>
  </si>
  <si>
    <t>Importerad eller exporterad mängd</t>
  </si>
  <si>
    <t>Effektivt värmevärde, i tillämpliga fall</t>
  </si>
  <si>
    <t>Kolinnehåll (viktprocent)</t>
  </si>
  <si>
    <t>Biomassahalt (som kolfraktion)</t>
  </si>
  <si>
    <t>Utsläpp (fossila, beräknade)</t>
  </si>
  <si>
    <t>Memorandumpost: Utsläpp biomassa</t>
  </si>
  <si>
    <t>Energiinnehåll (beräknat)</t>
  </si>
  <si>
    <t>Felmeddelanden (utsläpp)</t>
  </si>
  <si>
    <t>Namn på andra bränsle-/materialmängder – 2:</t>
  </si>
  <si>
    <t>Andra bränsle-/materialmängder – 2</t>
  </si>
  <si>
    <t>Mängd växthusgaser som importerats eller exporterats som råvaror</t>
  </si>
  <si>
    <t>I enlighet med kravet i avsnitt 3.1 k och 3.1 l i bilaga IV till FAR, var god ange mängden överförd koldioxid som importeras från eller exporteras till andra delanläggningar, anläggningar eller andra enheter, i enlighet med M&amp;R-förordningens regler.</t>
  </si>
  <si>
    <t>Exporterade mängder bör anges i negativa värden och motsvara den koldioxid som exporteras och som inte släpps ut i atmosfären av delanläggningen.</t>
  </si>
  <si>
    <t>Importerade eller exporterade växthusgaser</t>
  </si>
  <si>
    <t>Import till och export från delanläggningen av mätbar värme</t>
  </si>
  <si>
    <t>De uppgifter som anges här påverkar de utsläpp som kan tillskrivas i enlighet med avsnitt 10.1.2 och 10.1.3 i bilaga VII till FAR.</t>
  </si>
  <si>
    <t>Detta innefattar den totala mängd värme som produceras i, importeras från eller exporteras till (del)anläggningar inom ETS eller anläggningar eller enheter utanför ETS. De särskilda emissionsfaktorerna för värmen bör vara förenliga med bestämmelserna i avsnitten 8 och 10 i bilaga VII till FAR, särskilt avsnitt 10.1.2 och 10.1.3.</t>
  </si>
  <si>
    <t>Utsläpp avseende mätbar värme som produceras på platsen från enheter som tjänar mer än en delanläggning bör också anges här under ”import” i stället för att utsläppen direkt tillskrivs genom bränslets emissionsfaktor i punkt g ovan. Detsamma gäller för all värme som ”importeras” från andra delanläggningar.</t>
  </si>
  <si>
    <t xml:space="preserve">Om värmen endast produceras för en delanläggning och de motsvarande utsläppen därför anges i punkt g ovan, bör mängderna inte anges här som import för att undvika dubbelräkning. </t>
  </si>
  <si>
    <t>Kraftvärmeverktyget i avsnitt D.III i bladet "D_Emissions" måste användas för att tillskriva utsläpp från kraftvärme till produktion av mätbar värme.</t>
  </si>
  <si>
    <t>Total importerad värme</t>
  </si>
  <si>
    <t>Särskild emissionsfaktor (importerad värme)</t>
  </si>
  <si>
    <t>Särskild värmeimport</t>
  </si>
  <si>
    <t>Nettomängd importerad värme från massadelanläggningar</t>
  </si>
  <si>
    <t>Nettomängd importerad värme från delanläggningar för salpetersyra</t>
  </si>
  <si>
    <t>Total exporterad värme</t>
  </si>
  <si>
    <t>Nettomängd exporterad värme</t>
  </si>
  <si>
    <t>Särskild emissionsfaktor (exporterad värme)</t>
  </si>
  <si>
    <t>Delanläggningens restgasbalans</t>
  </si>
  <si>
    <t>Är restgaser relevanta för delanläggningen?</t>
  </si>
  <si>
    <t>Om svaret ”FALSKT” anges kommer hela avsnittet att gråmarkeras och ni kan gå vidare till nästa punkt nedan.</t>
  </si>
  <si>
    <t>Typer av producerade restgaser:</t>
  </si>
  <si>
    <t>Ni kan välja att rapportera i ton eller i 1 000 Nm3. Enheterna måste stämma överens med de som används för effektivt värmevärde och emissionsfaktorn nedan.</t>
  </si>
  <si>
    <t>Producerade mängder</t>
  </si>
  <si>
    <t>Producerad restgas</t>
  </si>
  <si>
    <t>Särskild emissionsfaktor (producerad restgas)</t>
  </si>
  <si>
    <t>Typer av restgaser som förbrukas:</t>
  </si>
  <si>
    <t>Detta innefattar alla restgastyper som förbrukas av delanläggningen för produktion av mätbar värme, icke-mätbar värme (inklusive för säkerhetsfackling) eller mekanisk energi (annan än för elproduktion). Mängden avgaser för fackling utom för säkerhetsfackling bör rapporteras i nästa punkt nedan.</t>
  </si>
  <si>
    <t>Förbrukade mängder</t>
  </si>
  <si>
    <t>Förbrukad restgas</t>
  </si>
  <si>
    <t>Särskild emissionsfaktor (förbrukad restgas)</t>
  </si>
  <si>
    <t>Facklade restgastyper:</t>
  </si>
  <si>
    <t>Detta innefattar alla restgastyper som i slutändan blir föremål för annan fackling än säkerhetsfackling, antingen inom eller utanför delanläggningen.</t>
  </si>
  <si>
    <t>De uppgifter som anges här används bara i konsekvenskontrollsyfte och får ingen direkt påverkan på de utsläpp som kan tillskrivas.</t>
  </si>
  <si>
    <t>Från och med 2026 kommer dock tilldelningen att minskas med avseende på annan fackling av restgaser än säkerhetsfackling.</t>
  </si>
  <si>
    <t>Facklade mängder</t>
  </si>
  <si>
    <t>Facklad restgas</t>
  </si>
  <si>
    <t>Särskild emissionsfaktor (facklad restgas)</t>
  </si>
  <si>
    <t>Importerade restgastyper:</t>
  </si>
  <si>
    <t>De uppgifter som anges här påverkar de utsläpp som kan tillskrivas i enlighet med avsnitt 10.1.5 i bilaga VII till FAR.</t>
  </si>
  <si>
    <t>Detta innefattar alla restgastyper som produceras utanför delanläggningens systemgränser men som importeras till delanläggningen och används för produktion av mätbar värme, icke-mätbar värme (inklusive för säkerhetsfackling) eller mekanisk energi (annat än för elproduktion).</t>
  </si>
  <si>
    <t>Importerade mängder</t>
  </si>
  <si>
    <t>Importerad restgas</t>
  </si>
  <si>
    <t>Särskild emissionsfaktor (importerad restgas)</t>
  </si>
  <si>
    <t>Exporterade restgastyper:</t>
  </si>
  <si>
    <t>Detta innefattar alla restgastyper som produceras inom delanläggningens systemgränser och som exporteras från delanläggningen till en annan delanläggning samt till eventuella andra anläggningar eller enheter.</t>
  </si>
  <si>
    <t>Exporterade mängder</t>
  </si>
  <si>
    <t>Exporterad restgas</t>
  </si>
  <si>
    <t>Särskild emissionsfaktor (exporterad restgas)</t>
  </si>
  <si>
    <t>De uppgifter som anges här påverkar de utsläpp som kan tillskrivas i enlighet med kapitel 10 i bilaga VII till FAR.</t>
  </si>
  <si>
    <t>Detta innefattar el som produceras direkt från delanläggningen i enlighet med avsnitt 3.1 (i) i bilaga IV till FAR. El som produceras via intermediär mätbar värme bör inte anges här utan som export av mätbar värme i punkt k.v ovan.</t>
  </si>
  <si>
    <t>Producerad el</t>
  </si>
  <si>
    <t>Total producerad massamängd</t>
  </si>
  <si>
    <t>Enligt avsnitt 2.7 k i bilaga IV till FAR ska det lämnas uppgift om den totala mängden massa som produceras för delanläggningar med produktriktmärke för kortfibrig sulfatmassa, långfibrig sulfatmassa, termomekanisk massa och mekanisk massa samt sulfitmassa.</t>
  </si>
  <si>
    <t>Avsnittet kommer att gråmarkeras om det inte rör sig om någon massaproducerande delanläggning av dessa slag. Var god gå vidare till nedanstående punkter, i sådana fall.</t>
  </si>
  <si>
    <t>De uppgifter som anges här är relevanta för uppdateringen av det särskilda riktmärket för massa.</t>
  </si>
  <si>
    <t>Import eller export av mellanprodukter som omfattas av produktriktmärken</t>
  </si>
  <si>
    <t>För att undvika eventuell dubbelräkning eller luckor i tilldelade utsläpp vid fastställandet av de uppdaterade riktmärkena ska man enligt avsnitt 2.7 d i bilaga IV till FAR ange eventuell import eller export av mellanprodukter som omfattas av något av produktriktmärkena i bilaga I till FAR.</t>
  </si>
  <si>
    <t>De uppgifter som anges här kan påverka uppdateringen av det särskilda riktmärket.</t>
  </si>
  <si>
    <t>Förekommer import eller export av mellanprodukter som omfattas av produktriktmärken?</t>
  </si>
  <si>
    <t>Importerade mängder:</t>
  </si>
  <si>
    <t>Exporterade mängder:</t>
  </si>
  <si>
    <t>Beskrivning av importerade eller exporterade mellanprodukter</t>
  </si>
  <si>
    <t>Var god ge en kort beskrivning av produktionsprocessen för importerade eller exporterade mellanprodukter</t>
  </si>
  <si>
    <t>Importerad nettovärme från massa</t>
  </si>
  <si>
    <t>Bladet ”Fall-back” – DELANLÄGGNINGSDATA OM ”FALL-BACK”-DELANLÄGGNINGAR</t>
  </si>
  <si>
    <t>Navigationspanelen ovan innehåller endast länkar till de delanläggningar som anges som ”relevanta” i avsnitt A.III.2.</t>
  </si>
  <si>
    <t>Namnet på ”fall-back”-delanläggningen visas automatiskt på grundval av den sammanställda listan över möjliga ”fall-back”-anläggningar.</t>
  </si>
  <si>
    <t>Följande uppgifter hämtas automatiskt från bladet "E_EnergyFlows", avsnitt E.II.r. Uppgifter måste därför matas in där.</t>
  </si>
  <si>
    <t>Huvudsaklig verksamhetsnivå:</t>
  </si>
  <si>
    <t>Identifiering av relevanta produkter eller tjänster med koppling till delanläggningen</t>
  </si>
  <si>
    <t>Var god ange vilka produktionsprocesser eller tjänster som är kopplade till delanläggningen. Detta kan innefatta följande:</t>
  </si>
  <si>
    <t>Produktion av varor som inte omfattas av produktriktmärken inom delanläggningen (var god ange produkttyper).</t>
  </si>
  <si>
    <t>Produktion av mekanisk energi, värmning eller kylning (alla användningssätt förutom elproduktion).</t>
  </si>
  <si>
    <t>Export av värme till anläggningar eller andra enheter (utom för fjärrvärme). I detta fall, var god ange värmeanvändningen vid anläggningen eller enheten, om denna är känd.</t>
  </si>
  <si>
    <t>Nace-koder kan användas i stället för Prodcom-koder om flera liknande produkter inom samma Nace-grupp omfattas.</t>
  </si>
  <si>
    <t>Användningstyp</t>
  </si>
  <si>
    <t>Inom anläggningen eller för export?</t>
  </si>
  <si>
    <t>Produktnamn eller annan värmeexport än ”fjärrvärme”</t>
  </si>
  <si>
    <t>Produktionsnivåer:</t>
  </si>
  <si>
    <t>Utsläpp som direkt kan tillskrivas (DirEm*) delanläggningen</t>
  </si>
  <si>
    <t>Var god ange de direkta utsläppen med hänsyn tagen till följande bestämmelser:</t>
  </si>
  <si>
    <t>Direkta utsläpp övervakas enligt den övervakningsplan som ska godkännas enligt M&amp;R-förordningen, dvs. med hänsyn tagen till de utsläpp som fastställts utifrån beräkningsbaserade metoder (med hjälp av bränsle-/materialmängder), mätbaserade metoder (Cems) och nivålösa metoder (”alternativa övervakningsmetoder”/”fall-back”)</t>
  </si>
  <si>
    <t>I flera situationer är dock ”direkta utsläpp” i detta avsnitt inte identiska med de som ska rapporteras enligt M&amp;R-förordningen. Sådana situationer är bland annat när bränsle-/materialmängder används för produktion av mätbar värme, restgaser osv. Fyll därför i avsnitten nedan genom att följa instruktionerna noggrant för att undvika dubbelräkning eller utelämnanden.</t>
  </si>
  <si>
    <t xml:space="preserve">Mätbar värme: om värmen enbart produceras för delanläggningen kan utsläppen tillskrivas direkt här via bränslets utsläpp. </t>
  </si>
  <si>
    <t>I samtliga fall där bränslen används för att producera mätbar värme som förbrukas vid mer än en delanläggning (t.ex. en energicentral vid anläggningen eller ett mer komplext ångnätverk med flera värmeproducerande enheter) bör bränslena inte räknas med i delanläggningens direkta utsläpp utan tas med i punkt f.i nedan.</t>
  </si>
  <si>
    <t>Restgaser: utsläpp i samband med mätbar värme som produceras från restgaser från andra anläggningar eller delanläggningar och används i denna delanläggning bör inte tas med här utan i punkt f.xiii nedan.</t>
  </si>
  <si>
    <t>Såsom krävs i avsnitt 2.4 a i bilaga IV till FAR, var god ange det totala insatsbränslet och en motsvarande viktad emissionsfaktor med hänsyn tagen till respektive bränsles energiinnehåll.</t>
  </si>
  <si>
    <t>Med ”bränsle” avses varje bränsle-/materialmängd enligt M&amp;R-förordningen som är brännbar och för vilken ett effektivt värmevärde kan fastställas. Den viktade emissionsfaktorn motsvarar de ackumulerade bränsleutsläppen, inklusive bränslen som används för att producera mätbar värme, delat med det totala energiinnehållet.</t>
  </si>
  <si>
    <t>Insatsbränsle från restgaser innefattar motsvarande insatsenergi för att producera mätbar värme som används vid delanläggningen.</t>
  </si>
  <si>
    <t>De värden som anges här används för att beräkna restgasbalansen i avsnitt E.III.h.</t>
  </si>
  <si>
    <t>Totalt insatsbränsle</t>
  </si>
  <si>
    <t>Insatsbränsle från restgaser</t>
  </si>
  <si>
    <t>Särskild utsläppsfaktor (restgas)</t>
  </si>
  <si>
    <t xml:space="preserve">Var god ange producerad mätbar värme i enlighet med avsnitt 3.2 a i bilaga IV till FAR. </t>
  </si>
  <si>
    <t>Detta värde skiljer sig vanligtvis från delanläggningens verksamhetsnivå enligt punkt a ovan, eftersom det innefattar värmeförluster utöver de nettomängder mätbar värme som förbrukas av eller exporteras till andra enheter utanför ETS och inte innefattar värmeimport, som ska anges i punkt f nedan.</t>
  </si>
  <si>
    <t>Importerad mätbar värme</t>
  </si>
  <si>
    <t>Var god ange den mängd mätbar värme som importeras från var och en av följande källor:</t>
  </si>
  <si>
    <t>Importerad nettovärme (andra källor): detta innefattar värme som importerats från andra anläggningar eller, om mätbar värme förbrukas vid mer än en delanläggning, den värme som produceras på platsen och förbrukas vid delanläggningen. Mätbar värme som importeras från någon delanläggning med produktriktmärke, massaframställning, mätbar värme som återvinns från delanläggningar med bränsleriktmärke eller från restgaser bör inte tas med här, eftersom separata inmatningsfält finns för sådana mängder.</t>
  </si>
  <si>
    <t>Värme från produktriktmärke Detta innefattar mätbar värme som exporteras från delanläggningar med produktriktmärke med undantag för mätbar värme från delanläggningar med massaframställning eller produktion av salpetersyra.</t>
  </si>
  <si>
    <t>Värme från massa: detta innefattar värme som importeras från delanläggningar med massaframställning.</t>
  </si>
  <si>
    <t>Värme från bränsleriktmärke: detta innefattar mätbar värme som återvinns från spillvärme från delanläggningar med bränsleriktmärke.</t>
  </si>
  <si>
    <t>Värme från restgaser: detta innefattar mätbar värme som produceras från restgaser.</t>
  </si>
  <si>
    <t>Här ska inte eventuell värmeimport från ”icke-berättigande” källor anges, dvs. anläggningar som inte omfattas av ETS-systemet eller värme som produceras vid delanläggningar för salpetersyra.</t>
  </si>
  <si>
    <t>De särskilda emissionsfaktorerna för värmen bör vara förenliga med bestämmelserna i avsnitten 8 och 10 i bilaga VII till FAR, särskilt avsnitt 10.1.2 och 10.1.3 i denna.</t>
  </si>
  <si>
    <t>Importerad nettovärme (andra källor)</t>
  </si>
  <si>
    <t>Värme från produktriktmärke</t>
  </si>
  <si>
    <t>Särskild emissionsfaktor (från produktriktmärke)</t>
  </si>
  <si>
    <t>Värme från massa</t>
  </si>
  <si>
    <t>Särskild emissionsfaktor (från massa)</t>
  </si>
  <si>
    <t>Värme från bränsleriktmärke</t>
  </si>
  <si>
    <t>Särskild emissionsfaktor (från bränsleriktmärke)</t>
  </si>
  <si>
    <t>Värme från restgaser</t>
  </si>
  <si>
    <t>Särskild emissionsfaktor (från restgas)</t>
  </si>
  <si>
    <t>Total importerad nettovärme</t>
  </si>
  <si>
    <t>Fjärrvärme</t>
  </si>
  <si>
    <t>produktion av mekanisk energi, värmning eller kylning (alla användningssätt förutom elproduktion).</t>
  </si>
  <si>
    <t>Produktnamn eller typ av tjänst</t>
  </si>
  <si>
    <t>Var god ange de direkta utsläpp som övervakas enligt den övervakningsplan som ska godkännas enligt M&amp;R-förordningen, dvs. med hänsyn tagen till de utsläpp som fastställts utifrån beräkningsbaserade metoder (med hjälp av bränsle-/materialmängder), mätbaserade metoder (Cems) och nivålösa metoder (”alternativa övervakningsmetoder”/”fall-back”).</t>
  </si>
  <si>
    <t>Utsläpp från restgasförbränning ska dock aldrig tas med här utan i punkt d.iii nedan.</t>
  </si>
  <si>
    <t>Värdena för i och ii genereras automatiskt utifrån inmatningarna i punkterna a och c ovan.</t>
  </si>
  <si>
    <t>I iii och iv ska insatsbränslet från restgaser och motsvarande utsläppsfaktor anges.</t>
  </si>
  <si>
    <t>Insatsbränsle enligt punkt a</t>
  </si>
  <si>
    <t>Viktad utsläppsfaktor (= c/d)</t>
  </si>
  <si>
    <t>Särskild emissionsfaktor (värmeexport)</t>
  </si>
  <si>
    <t>Detta innefattar all spillvärme som återvinns och är berättigande för en delanläggning med värmeriktmärke eller fjärrvärmedelanläggning.</t>
  </si>
  <si>
    <t>De värden som anges här bör innefatta berättigande utsläpp från restgaser i enlighet med avsnitt D.IV i bladet "D_Emissions"</t>
  </si>
  <si>
    <t>Delanläggningar av denna typ avser alltid produktion av varor som inte omfattas av produktriktmärken inom anläggningen.</t>
  </si>
  <si>
    <t>Typ av processutsläpp</t>
  </si>
  <si>
    <t>Bladet ”SpecialBM” – SÄRSKILDA UPPGIFTER OM VISSA PRODUKTRIKTMÄRKEN</t>
  </si>
  <si>
    <t>CWT (raffinaderiprodukter)</t>
  </si>
  <si>
    <t>Verktyg för att beräkna historiska verksamhetsnivåer för raffinaderidelanläggningar</t>
  </si>
  <si>
    <t>Med hjälp av detta verktyg kan ni fastställa de historiska verksamhetsnivåerna för raffinadeririktmärket (punkt 1 i bilaga III till FAR).</t>
  </si>
  <si>
    <t>För aromatriktmärket, där CWT också används, var god använd det särskilda CWT-verktyget för aromater nedan (avsnitt V i detta blad).</t>
  </si>
  <si>
    <t>Resultatet av verktyget kopieras automatiskt in i blad ”F_ProductBM”, inmatningsrad a.ii för delanläggningen i fråga.</t>
  </si>
  <si>
    <t>Verktygets relevans för er anläggning:</t>
  </si>
  <si>
    <t>Detta meddelande visas automatiskt på grundval av er tidigare inmatning i blad ”A_InstallationData", avsnitt A.III.1.</t>
  </si>
  <si>
    <t>CWT-genomströmningsdata</t>
  </si>
  <si>
    <t>Var god ange årlig genomströmningsdata för varje CWT-funktion.</t>
  </si>
  <si>
    <t>För definition och gränser för varje CWT-funktion, var god se punkt 1 i bilaga II till FAR.</t>
  </si>
  <si>
    <t>Följande förkortningar används för grunden:</t>
  </si>
  <si>
    <t>Nettoinmatning av färska insatsvaror</t>
  </si>
  <si>
    <t>Inmatning till reaktor (inkluderar återvinning)</t>
  </si>
  <si>
    <t>Produktinmatning</t>
  </si>
  <si>
    <t>Syntesgasproduktion för POX-enheter</t>
  </si>
  <si>
    <t>Viktig anmärkning:  I enlighet med bilaga II till FAR ska enheterna anges i kapacitet per kiloton.</t>
  </si>
  <si>
    <t>CWT-funktion</t>
  </si>
  <si>
    <t>Grund (kt/år)</t>
  </si>
  <si>
    <t>CWT-faktor</t>
  </si>
  <si>
    <t>Atmosfärisk destillation av råolja</t>
  </si>
  <si>
    <t xml:space="preserve">Vakuumdestillation </t>
  </si>
  <si>
    <t xml:space="preserve">Lösningsmedelsdeasfaltering </t>
  </si>
  <si>
    <t>Termisk krackning</t>
  </si>
  <si>
    <t xml:space="preserve">Fördröjd coking </t>
  </si>
  <si>
    <t xml:space="preserve">Coking i fluidiserad bädd </t>
  </si>
  <si>
    <t xml:space="preserve">Kokskalcinering </t>
  </si>
  <si>
    <t>Fluidiserad katalytisk krackning</t>
  </si>
  <si>
    <t xml:space="preserve">Övrig katalytisk krackning </t>
  </si>
  <si>
    <t xml:space="preserve">Vätekrackning av destillat/gasolja </t>
  </si>
  <si>
    <t xml:space="preserve">Vätekrackning av återstod </t>
  </si>
  <si>
    <t>Hydrering av nafta/bensin</t>
  </si>
  <si>
    <t xml:space="preserve">Fotogen/diesel-hydrering </t>
  </si>
  <si>
    <t xml:space="preserve">Hydrering av återstod </t>
  </si>
  <si>
    <t>Hydrering av vakuumgasolja</t>
  </si>
  <si>
    <t xml:space="preserve">Vätgasproduktion </t>
  </si>
  <si>
    <t>Katalytisk reformering</t>
  </si>
  <si>
    <t xml:space="preserve">Alkylering </t>
  </si>
  <si>
    <t>C4-isomerisering</t>
  </si>
  <si>
    <t>C5/C6-isomerisering</t>
  </si>
  <si>
    <t xml:space="preserve">Produktion av oxygenerade föreningar </t>
  </si>
  <si>
    <t xml:space="preserve">Produktion av propylen </t>
  </si>
  <si>
    <t>Produktion av asfalt</t>
  </si>
  <si>
    <t>Blandning av polymermodifierad asfalt</t>
  </si>
  <si>
    <t>Svavelåtervinning</t>
  </si>
  <si>
    <t>Lösningsmedelsextraktion av aromater (ASE)</t>
  </si>
  <si>
    <t>Hydrodealkylering</t>
  </si>
  <si>
    <t>TDP/TDA</t>
  </si>
  <si>
    <t>Produktion av cyklohexan</t>
  </si>
  <si>
    <t>Isomerisering av xylen</t>
  </si>
  <si>
    <t>Produktion av paraxylen</t>
  </si>
  <si>
    <t>Produktion av metaxylen</t>
  </si>
  <si>
    <t>Produktion av ftalsyraanhydrid</t>
  </si>
  <si>
    <t>Produktion av maleinsyraanhydrid</t>
  </si>
  <si>
    <t>Produktion av etylbensen</t>
  </si>
  <si>
    <t>Produktion av kumen</t>
  </si>
  <si>
    <t>Produktion av fenol</t>
  </si>
  <si>
    <t>Extraktion av smörjoljor</t>
  </si>
  <si>
    <t>Avvaxning av smörjoljor med lösningsmedel</t>
  </si>
  <si>
    <t>Katalytisk vaxisomerisering</t>
  </si>
  <si>
    <t xml:space="preserve">Vätekrackning av smörjoljor (lube) </t>
  </si>
  <si>
    <t xml:space="preserve">Vaxavoljning </t>
  </si>
  <si>
    <t xml:space="preserve">Hydrering av lube/vax </t>
  </si>
  <si>
    <t>Hydrering av lösningsmedel</t>
  </si>
  <si>
    <t>Fraktionering av lösningsmedel</t>
  </si>
  <si>
    <t>Molsikt för paraffiner C10+</t>
  </si>
  <si>
    <t>Partiell oxidation (POX) av rester för att få bränsle</t>
  </si>
  <si>
    <t>Partiell oxidation (POX) av rester för att få vätgas eller metanol</t>
  </si>
  <si>
    <t>Metanol från syntesgas</t>
  </si>
  <si>
    <t>Separation av luft</t>
  </si>
  <si>
    <t>Fraktionering av inköpt flytande naturgas</t>
  </si>
  <si>
    <t>Rökgasrening</t>
  </si>
  <si>
    <t>Behandling och komprimering av bränslegas för försäljning</t>
  </si>
  <si>
    <t>Avsaltning av havsvatten</t>
  </si>
  <si>
    <t>Resultat: Verksamhetsnivåer för raffinadeririktmärket uttryckt i CWT</t>
  </si>
  <si>
    <t>Raffinaderiverksamhetsnivån beräknas med hjälp av formeln i punkt 1 i bilaga III till FAR (innan genomsnittsvärdet fastställs).</t>
  </si>
  <si>
    <t>Viktig anmärkning: Rapporteringen ovan ska göras i kiloton, men riktmärket uttrycks i ton CO2/CWT, där CWT uttrycks i ton.</t>
  </si>
  <si>
    <t>Resultatet nedan multipliceras därför med en faktor på 1 000, vilket inte uttryckligen anges i punkt 1 i bilaga III till FAR.</t>
  </si>
  <si>
    <t>Resultatet av verktyget används i bladet ”F_ProductBM”, inmatningsrad a.ii för delanläggningen i fråga, och genomsnittet beräknas utifrån detta.</t>
  </si>
  <si>
    <t>Raffinaderiets verksamhetsnivå</t>
  </si>
  <si>
    <t>Kalk</t>
  </si>
  <si>
    <t>Verktyg för att beräkna historiska verksamhetsnivåer för kalkdelanläggningar</t>
  </si>
  <si>
    <t>Med hjälp av detta verktyg kan ni fastställa de historiska verksamhetsnivåerna för riktmärket för kalk (punkt 2 i bilaga III till FAR)</t>
  </si>
  <si>
    <t>Okorrigerad kalkproduktion:</t>
  </si>
  <si>
    <t>Var god ange uppgifter om den årliga produktionen uttryckt i ton kalk, utan korrigering för uppgifter om sammansättning:</t>
  </si>
  <si>
    <t>okorrigerad kalkproduktion</t>
  </si>
  <si>
    <t>Uppgifter om sammansättning:</t>
  </si>
  <si>
    <t>Enligt punkt 2 i bilaga III till FAR krävs följande uppgifter:</t>
  </si>
  <si>
    <t>halten fri CaO i den kalk som produceras för varje år under referensperioden uttryckt som viktprocent</t>
  </si>
  <si>
    <t>Om data för halten fri CaO saknas, ska en konservativ skattning på högst 85 % användas.</t>
  </si>
  <si>
    <t>halten fri MgO i den kalk som produceras för varje år under referensperioden uttryckt som viktprocent</t>
  </si>
  <si>
    <t>Om data för halten fri MgO saknas, ska en konservativ skattning på högst 0,5 % användas.</t>
  </si>
  <si>
    <t>Halt CaO</t>
  </si>
  <si>
    <t>Halt MgO</t>
  </si>
  <si>
    <t>Resultat: Verksamhetsnivåer för kalk uttryckt i kalk av standardkvalitet</t>
  </si>
  <si>
    <t>Den korrigerade kalkverksamhetsnivån beräknas med hjälp av formeln i punkt 2 i bilaga III till FAR (innan genomsnittsvärdet fastställs).</t>
  </si>
  <si>
    <t>produktion av kalk av standardkvalitet</t>
  </si>
  <si>
    <t>Verktyg för att beräkna historiska verksamhetsnivåer för dolimedelanläggningar</t>
  </si>
  <si>
    <t>Med hjälp av detta verktyg kan ni fastställa de historiska verksamhetsnivåerna för dolimeriktmärket (punkt 3 i bilaga III till FAR). Det ska inte användas för sintrad dolime.</t>
  </si>
  <si>
    <t>Okorrigerad dolimeproduktion:</t>
  </si>
  <si>
    <t>Var god ange uppgifter om den årliga produktionen uttryckt i ton dolime, utan korrigering för uppgifter om sammansättning:</t>
  </si>
  <si>
    <t>okorrigerad dolimeproduktion</t>
  </si>
  <si>
    <t>Enligt punkt 3 i bilaga III till FAR krävs följande uppgifter:</t>
  </si>
  <si>
    <t>halten fri CaO i den dolime som produceras för varje år under referensperioden uttryckt som viktprocent</t>
  </si>
  <si>
    <t>Om data för halten fri CaO saknas, ska en konservativ skattning på högst 52 % användas.</t>
  </si>
  <si>
    <t>halten fri MgO i den dolime som produceras för varje år under referensperioden uttryckt som viktprocent</t>
  </si>
  <si>
    <t>Om data för halten fri MgO saknas, ska en konservativ skattning på högst 33 % användas.</t>
  </si>
  <si>
    <t>Resultat: Verksamhetsnivåer för dolime uttryckt i dolime av standardkvalitet</t>
  </si>
  <si>
    <t>Den korrigerade dolimeverksamhetsnivån beräknas med hjälp av formeln i punkt 3 i bilaga III till FAR (innan genomsnittsvärdet fastställs).</t>
  </si>
  <si>
    <t>produktion av dolime av standardkvalitet</t>
  </si>
  <si>
    <t>Ångkrackning</t>
  </si>
  <si>
    <t>Verktyg för att beräkna historiska verksamhetsnivåer för ångkrackningsdelanläggningar</t>
  </si>
  <si>
    <t>Med hjälp av detta verktyg kan ni fastställa de historiska verksamhetsnivåerna för ångkrackningsriktmärket (punkt 4 i bilaga III till FAR).</t>
  </si>
  <si>
    <t>Total produktion av högvärdiga kemikalier (total HVC)</t>
  </si>
  <si>
    <t>Var god ange uppgifter om den årliga produktionen uttryckt i ton HVC (utan korrigering)</t>
  </si>
  <si>
    <t>Total HVC</t>
  </si>
  <si>
    <t>Uppgifter om kompletterande insatsvaror:</t>
  </si>
  <si>
    <t>Enligt punkt 4 i bilaga III till FAR krävs följande uppgifter:</t>
  </si>
  <si>
    <t>historisk användning av vätgas från kompletterande insatsvaror för varje år under referensperioden uttryckt som ton vätgas</t>
  </si>
  <si>
    <t>historisk användning av etylen från kompletterande insatsvaror för varje år under referensperioden uttryckt som ton etylen</t>
  </si>
  <si>
    <t>historisk användning av andra högvärdiga kemikalier än vätgas och etylen från kompletterande insatsvaror för varje år under referensperioden uttryckt som ton högvärdiga kemikalier</t>
  </si>
  <si>
    <t>Kompletterande insatsvaror</t>
  </si>
  <si>
    <t>Vätgas</t>
  </si>
  <si>
    <t>Etylen</t>
  </si>
  <si>
    <t>Andra HVC</t>
  </si>
  <si>
    <t>Resultat: Verksamhetsnivåer för nettomängd HVC</t>
  </si>
  <si>
    <t>Den korrigerade verksamhetsnivån (nettomängden HVC) beräknas med hjälp av formeln i punkt 4 i bilaga III till FAR (innan genomsnittsvärdet fastställs).</t>
  </si>
  <si>
    <t>Produktionsnivåer för nettomängd HVC</t>
  </si>
  <si>
    <t>Ångkrackningsverktyget del 2: Preliminär tilldelning (artikel 19 i FAR)</t>
  </si>
  <si>
    <t>Med hjälp av detta verktyg kan ni fastställa den preliminära tilldelningen för ångkrackningsdelanläggningen (artikel 19 i FAR).</t>
  </si>
  <si>
    <t>Genom verktyget fastställs den mängd som ska läggas till den preliminära årliga tilldelningen efter korrigering för elens utbytbarhet.</t>
  </si>
  <si>
    <t>De uppgifter som behövs om den historiska produktionen av vätgas, etylen och andra högvärdiga kemikalier från kompletterande insatsvaror hämtas från avsnitt IV.1.c ovan.</t>
  </si>
  <si>
    <t>Produktion av kompletterande insatsvaror:</t>
  </si>
  <si>
    <t>Uppgifterna hämtas automatiskt från avsnitt IV.1.c ovan. Multiplikatorerna tas från artikel 19 i FAR.</t>
  </si>
  <si>
    <t>Produktion av kompletterande insatsvaror</t>
  </si>
  <si>
    <t>Multiplikator
(t CO2 / t)</t>
  </si>
  <si>
    <t>Resultat: Mängd som ska tillföras den preliminära totala tilldelningen för ångkrackningsdelanläggningen</t>
  </si>
  <si>
    <t>Beräkning baserad på formeln i artikel 19 i FAR.</t>
  </si>
  <si>
    <t>Mängd för tilldelningskorrigering:</t>
  </si>
  <si>
    <t>CWT (aromater)</t>
  </si>
  <si>
    <t>Verktyg för att beräkna historiska verksamhetsnivåer för aromatdelanläggningar</t>
  </si>
  <si>
    <t>Med hjälp av detta verktyg kan ni fastställa de historiska verksamhetsnivåerna för aromatriktmärket (punkt 5 i bilaga III till FAR)</t>
  </si>
  <si>
    <t>För aromatriktmärket, där CWT också används, var god använd det särskilda CWT-verktyget för raffinaderier ovan (avsnitt I i detta blad).</t>
  </si>
  <si>
    <t>För definition och gränser för varje CWT-funktion, var god se punkt 2 i bilaga II till FAR.</t>
  </si>
  <si>
    <t>Resultat: Verksamhetsnivåer för aromatriktmärket uttryckt i CWT</t>
  </si>
  <si>
    <t>Verksamhetsnivån för aromater beräknas med hjälp av formeln i punkt 5 i bilaga III till FAR (innan genomsnittsvärdet fastställs).</t>
  </si>
  <si>
    <t>Viktig anmärkning: Rapporteringen ska göras i kiloton, men riktmärket uttrycks i ton CO2/CWT, där CWT uttrycks i ton.</t>
  </si>
  <si>
    <t>Resultatet nedan multipliceras därför med en faktor på 1 000, vilket inte uttryckligen anges i punkt 5 i bilaga III till FAR.</t>
  </si>
  <si>
    <t>Verksamhetsnivå för aromater</t>
  </si>
  <si>
    <t>Verktyg för att beräkna historiska verksamhetsnivåer för vätgasdelanläggningar</t>
  </si>
  <si>
    <t>Med hjälp av detta verktyg kan ni fastställa de historiska verksamhetsnivåerna för vätgasriktmärket (punkt 6 i bilaga III till FAR).</t>
  </si>
  <si>
    <t>Var god notera att procentandelarna för vätgasinnehåll ska uttryckas som volymprocent.</t>
  </si>
  <si>
    <t>Volym av total vätgasproduktion (okorrigerad)</t>
  </si>
  <si>
    <t>På grund av de mycket stora talen som uttrycks i m3 ska siffrorna uttryckas som 1 000 Nm3 (normalkubikmeter vid 0 °C och 101,325 kPa).</t>
  </si>
  <si>
    <t>Total vätgasproduktion</t>
  </si>
  <si>
    <t>Volymfraktion vätgas VF(H2)</t>
  </si>
  <si>
    <t xml:space="preserve">Ni kan ange siffran 95 % som ”0,95” eller ”95 %”. </t>
  </si>
  <si>
    <t>Volymfraktion vätgas</t>
  </si>
  <si>
    <t>Resultat: Verksamhetsnivåer för vätgas uttryckt i ton 100 % vätgas</t>
  </si>
  <si>
    <t>Den korrigerade verksamhetsnivån (100 % vätgas) beräknas med hjälp av formeln i punkt 6 i bilaga III till FAR (innan genomsnittsvärdet fastställs).</t>
  </si>
  <si>
    <t>Om formeln resulterar i ett negativt värde ska detta ersättas med noll.</t>
  </si>
  <si>
    <t>Vätgas (i 100 % ren vätgas)</t>
  </si>
  <si>
    <t>Syntesgas</t>
  </si>
  <si>
    <t>Verktyg för att beräkna historiska verksamhetsnivåer för syntesgasdelanläggningar</t>
  </si>
  <si>
    <t>Med hjälp av detta verktyg kan ni fastställa de historiska verksamhetsnivåerna för syntesgasriktmärket (punkt 7 i bilaga III till FAR).</t>
  </si>
  <si>
    <t>Volym av total syntesgasproduktion (okorrigerad)</t>
  </si>
  <si>
    <t>Total syntesgasproduktion</t>
  </si>
  <si>
    <t xml:space="preserve">Ni kan ange siffran 50 % som ”0,50” eller ”50 %”. </t>
  </si>
  <si>
    <t>Resultat: Verksamhetsnivåer för syntesgas uttryckt i ton med ett vätgasinnehåll på 47 %</t>
  </si>
  <si>
    <t>Den korrigerade verksamhetsnivån (47 % vätgas beräknas med hjälp av formeln i punkt 7 i bilaga III till FAR (innan genomsnittsvärdet fastställs).</t>
  </si>
  <si>
    <t>Syntesgas (47 % vätgasinnehåll)</t>
  </si>
  <si>
    <t>Etylenoxid/etylenglykoler</t>
  </si>
  <si>
    <t>Verktyg för att beräkna historiska verksamhetsnivåer för delanläggningar för etylenoxid/etylenglykoler</t>
  </si>
  <si>
    <t>Med hjälp av detta verktyg kan ni fastställa de historiska verksamhetsnivåerna för etylenoxid/etylenglykol-riktmärket (punkt 8 i bilaga III till FAR).</t>
  </si>
  <si>
    <t>Produktionsuppgifter avseende etylenoxid och etylenglykol</t>
  </si>
  <si>
    <t>I tabellen visas även de CF(EOE)-värden som används i beräkningssyfte. CF(EOE) är omvandlingsfaktorn för varje ämne relaterat till etylenoxid.</t>
  </si>
  <si>
    <t>Etylenoxid</t>
  </si>
  <si>
    <t>Monoetylenglykol</t>
  </si>
  <si>
    <t>Dietylenglykol</t>
  </si>
  <si>
    <t>Trietylenglykol</t>
  </si>
  <si>
    <t>Summa produkter</t>
  </si>
  <si>
    <t>Resultat: Verksamhetsnivåer för delanläggningen med produktriktmärke för etylenoxid och etylenglykoler</t>
  </si>
  <si>
    <t>Den historiska verksamhetsnivån uttryckt i ton etylenoxidekvivalenter beräknas med hjälp av formeln i punkt 8 i bilaga III till FAR.</t>
  </si>
  <si>
    <t>Totala etylenoxidekvivalenter</t>
  </si>
  <si>
    <t>Vinylkloridmonomer (VCM)</t>
  </si>
  <si>
    <t>Verktyg för vinylkloridmonomer: Preliminär tilldelning (artikel 20 i FAR)</t>
  </si>
  <si>
    <t>Med hjälp av detta verktyg kan ni fastställa den preliminära tilldelningen för delanläggningen för vinylkloridmonomer (VCM) (artikel 20 i FAR).</t>
  </si>
  <si>
    <t>Följande uppgifter krävs:</t>
  </si>
  <si>
    <t>Verksamhetsnivåer enligt uppgifterna i bladet ”ProductBM” avsnitt a, för relevant delanläggning:</t>
  </si>
  <si>
    <t>Direkta utsläpp som tillskrivs delanläggningen.</t>
  </si>
  <si>
    <t>Nettomängd mätbar värme som importeras av delanläggningen från andra ETS-anläggningar.</t>
  </si>
  <si>
    <t>Vätgasrelaterade utsläpp: dvs. historisk värmeförbrukning från vätgasförbränning multiplicerat med värmeriktmärket.</t>
  </si>
  <si>
    <t>Utsläppsrelaterade uppgifter:</t>
  </si>
  <si>
    <t>Var god ange de uppgifter som krävs enligt ovan.</t>
  </si>
  <si>
    <t>Nättomängd mätbar värme som importeras</t>
  </si>
  <si>
    <t>Värmeförbrukning från vätgasförbränning</t>
  </si>
  <si>
    <t>Vätgasrelaterade utsläpp</t>
  </si>
  <si>
    <t>Bladet ”MSspecific” – MEDLEMSSTATERNAS KRAV PÅ YTTERLIGARE UPPGIFTER</t>
  </si>
  <si>
    <t>Ska anges av medlemsstaten</t>
  </si>
  <si>
    <t>Bladet ”Comments” – SYNPUNKTER OCH YTTERLIGARE UPPLYSNINGAR</t>
  </si>
  <si>
    <t>Styrkande handlingar till rapporten</t>
  </si>
  <si>
    <t>Var god ange alla relevanta dokument som inges tillsammans med rapporten</t>
  </si>
  <si>
    <t>Ytterligare styrkande handlingar till rapporten kommer att krävas. Var god ange informationen i elektroniskt format när så är möjligt.</t>
  </si>
  <si>
    <t>Ni kan lämna informationen i formaten Microsoft Word, Excel, eller Adobe Acrobat.</t>
  </si>
  <si>
    <t>Kontrollera vid behov med er behöriga myndighet om andra filformat än de som nämns ovan kan godtas.</t>
  </si>
  <si>
    <t xml:space="preserve">Tydliga hänvisningar ska ges till all övrig dokumentation som lämnas och filnamnen/referensnumren ska anges nedan. </t>
  </si>
  <si>
    <t xml:space="preserve">Ni avråds från att lämna irrelevant information eftersom det då kan ta längre tid att godkänna rapporten. </t>
  </si>
  <si>
    <t>Var god ange filnamn nedan:</t>
  </si>
  <si>
    <t>Filnamn</t>
  </si>
  <si>
    <t>Dokumentbeskrivning</t>
  </si>
  <si>
    <t>Motivering till eventuella dataluckor</t>
  </si>
  <si>
    <t>Enligt artikel 12.2 i FAR ska en motivering till eventuella dataluckor lämnas och en beskrivning ges av den metod som använts för att stänga dessa.</t>
  </si>
  <si>
    <t>Berörd datamängd (verksamhetsuppgift, utsläppsfaktor, värme, el osv.)</t>
  </si>
  <si>
    <t>Beskrivning av dataluckan</t>
  </si>
  <si>
    <t>Motivering</t>
  </si>
  <si>
    <t>Andra handlingar:</t>
  </si>
  <si>
    <t>Utrymme för alla slags kompletterande uppgifter</t>
  </si>
  <si>
    <t>I utrymmet nedan kan ni ange alla uppgifter som inte har kunnat lämnas i andra blad och som ni anser vara viktiga för den behöriga myndigheten</t>
  </si>
  <si>
    <t>Uppgifter om anläggningen</t>
  </si>
  <si>
    <t>Referensperiod och berättigande</t>
  </si>
  <si>
    <t>Utsläpp och energiflöden</t>
  </si>
  <si>
    <t>Uppgifter om delanläggningen</t>
  </si>
  <si>
    <t>Preliminär tilldelning</t>
  </si>
  <si>
    <t>Bladet ”Summary” – ÖVERSIKT ÖVER DE VIKTIGASTE UPPGIFTERNA</t>
  </si>
  <si>
    <t>Allmän information (avsnitt A.I):</t>
  </si>
  <si>
    <t>Anläggningens identifieringsnummer:</t>
  </si>
  <si>
    <t>Medlemsstat:</t>
  </si>
  <si>
    <t>Kontrollör (företag):</t>
  </si>
  <si>
    <t>Har tidigare omfattats av ETS:</t>
  </si>
  <si>
    <t>Liten utsläppskälla (artikel 27):</t>
  </si>
  <si>
    <t>Befintlig anläggning:</t>
  </si>
  <si>
    <t>Sjukhus:</t>
  </si>
  <si>
    <t>Startdatum:</t>
  </si>
  <si>
    <t>Liten utsläppskälla (artikel 27a):</t>
  </si>
  <si>
    <t>Enheter &lt; 300 h:</t>
  </si>
  <si>
    <t>Nace-kod för 2010 (Nace Rev. 2):</t>
  </si>
  <si>
    <t>EPRTR-ID:</t>
  </si>
  <si>
    <t>Tekniska anslutningar (avsnitt A.IV):</t>
  </si>
  <si>
    <t>Anslutningsnamn</t>
  </si>
  <si>
    <t>EUTL-ID, om tillämpligt</t>
  </si>
  <si>
    <t>Enhetstyp</t>
  </si>
  <si>
    <t>Berättigande till gratis tilldelning (avsnitt A.II.1):</t>
  </si>
  <si>
    <t>Elproducent:</t>
  </si>
  <si>
    <t>CCS-anläggning:</t>
  </si>
  <si>
    <t>Anläggning som omfattas av artikel 10a.3 i ETS-direktivet:</t>
  </si>
  <si>
    <t>Anläggningen producerar värme:</t>
  </si>
  <si>
    <t>Anläggningen är berättigad till gratis tilldelning enligt artikel 10a i ETS-direktivet:</t>
  </si>
  <si>
    <t>Referensår (avsnitt A.II.2)</t>
  </si>
  <si>
    <t>År att beakta:</t>
  </si>
  <si>
    <t>Uppgifter från sammanfattningen av utsläppsdata (avsnitt D.I)</t>
  </si>
  <si>
    <t>Tillskrivning av utsläpp till delanläggningar (avsnitt D.II)</t>
  </si>
  <si>
    <t>Uppgifterna hämtas automatiskt från motsvarande inmatningar i bladen F och G i de ljusblå rutorna under respektive delanläggning.</t>
  </si>
  <si>
    <t>De utsläpp som kan tillskrivas fastställs enligt följande:</t>
  </si>
  <si>
    <t>Utsläpp i samband med andra interna bränsle-/materialmängder</t>
  </si>
  <si>
    <t>Utsläpp i samband med importerad värme i enlighet med avsnitt 10.1.2 och 10.1.3 i bilaga VII till FAR</t>
  </si>
  <si>
    <t>Utsläpp i samband med exporterad värme i enlighet med avsnitt 10.1.2 och 10.1.3 i bilaga VII till FAR</t>
  </si>
  <si>
    <t>Utsläpp i samband med importerade restgaser enlighet med avsnitt 10.1.5 i bilaga VII till FAR</t>
  </si>
  <si>
    <t>Utsläpp i samband med exporterade restgaser i enlighet med avsnitt 10.1.5 i bilaga VII till FAR beräknade genom avdrag för energiinnehåll multiplicerat med utsläppsfaktorn för naturgas och standardkorrigeringsfaktorn 0,667</t>
  </si>
  <si>
    <t>Utsläpp i samband med delanläggningars relevanta elförbrukning där utbytbarheten mellan bränslen och el är relevant</t>
  </si>
  <si>
    <t>Utsläpp i samband med el som produceras på annat sätt än via mätbar värme</t>
  </si>
  <si>
    <t>I vissa fall kan inte de tillskrivningsbara utsläppen beräknas för förslaget till preliminär tilldelning eftersom värme- eller bränsleriktmärkesvärden behövs för detta. I sådana fall visas inga värden för de tillskrivningsbara utsläppen och i stället anges ”ej tillämpligt”. Exempel på fall:</t>
  </si>
  <si>
    <t>Om ingen emissionsfaktor för importerad eller exporterad värme är tillämplig eller känd, dvs. om inget sådant värde har angetts. I sådana fall används standardvärden baserade på värmeriktmärket för att beräkna de tillskrivningsbara utsläppen, så snart detta är känt.</t>
  </si>
  <si>
    <t>Om restgaser importeras. I sådant fall kommer bränsleriktmärket att användas, så snart detta är känt.</t>
  </si>
  <si>
    <t>Värdet ”andra utsläpp” visas i kontrollsyfte. Det innefattar utsläpp i samband med elproduktion och fackling förutom säkerhetsfackling samt andra utsläpp som inte leder till gratis tilldelning.</t>
  </si>
  <si>
    <t>Om ”ej tillämpligt” visas för minst en delanläggning för ett visst år kommer värdena för ”andra utsläpp” inte heller att visas, i syfte att undvika förvirring.</t>
  </si>
  <si>
    <t>Uppgifter på delanläggningsnivå:</t>
  </si>
  <si>
    <t>Kontroll: Andra utsläpp</t>
  </si>
  <si>
    <t>Kraftvärmeverktyget – avsnitt D.III</t>
  </si>
  <si>
    <t>Kraftvärmeverktyg 1</t>
  </si>
  <si>
    <t>Energibalans</t>
  </si>
  <si>
    <t>Utsläpp</t>
  </si>
  <si>
    <t>Effektiviteter</t>
  </si>
  <si>
    <t>Värmeproduktion (referens)</t>
  </si>
  <si>
    <t>Elproduktion (referens)</t>
  </si>
  <si>
    <t>Resultat</t>
  </si>
  <si>
    <t>Kraftvärmeverktyg 2</t>
  </si>
  <si>
    <t>Restgasverktyget (restgaser som inte omfattas av produktriktmärken) – avsnitt D.IV</t>
  </si>
  <si>
    <t>Enhet</t>
  </si>
  <si>
    <t>Insatsenergi från bränslen – uppdelat i användningskategorier (avsnitt E.I)</t>
  </si>
  <si>
    <t>Insatsbränsle till respektive delanläggning i bladen F och G:</t>
  </si>
  <si>
    <t>Beräkning av mätbar värme (avsnitt E.II)</t>
  </si>
  <si>
    <t>Sammanfattning av värme- och fjärrvärmedelanläggningar</t>
  </si>
  <si>
    <t>Uppgifter om delanläggningar av relevans för tilldelning och riktmärkesuppdatering</t>
  </si>
  <si>
    <t>Indikativ beräkning av antalet utsläppsrätter</t>
  </si>
  <si>
    <t>Följande förkortningar används i tabellerna nedan:</t>
  </si>
  <si>
    <t>KL-risk</t>
  </si>
  <si>
    <t>Risk för koldioxidläckage. ”SANT” om delanläggningen betjänar en sektor som bedöms vara utsatt för en betydande risk för koldioxidläckage.</t>
  </si>
  <si>
    <t>RM-nummer</t>
  </si>
  <si>
    <t>Riktmärkets nummer</t>
  </si>
  <si>
    <t>I drift</t>
  </si>
  <si>
    <t>Start av drift vid anläggningen</t>
  </si>
  <si>
    <t>RM-värde</t>
  </si>
  <si>
    <t>Riktmärkesvärde enligt bilaga I till FAR. För förslaget till preliminär tilldelning används de vägledande minimivärden eller de högsta värden som angetts i översiktstabellen för respektive delanläggning nedan.</t>
  </si>
  <si>
    <t>Är artikel 15.7 tredje stycket i FAR relevant (dvs. har delanläggningen varit i drift i mindre än ett år under referensperioden)?</t>
  </si>
  <si>
    <t>Den historiska verksamhetsnivån (HAL), om artikel 15.7 tredje stycket är tillämpligt. Notera att detta värde endast kommer att vara känt efter att den första rapporten om verksamhetsnivå lämnas in.</t>
  </si>
  <si>
    <t>Är utbytbarheten mellan el och bränsle relevant för delanläggningen?</t>
  </si>
  <si>
    <t>Beräkningsfaktor för att beakta utbytbarheten mellan el och bränsle i enlighet med artikel 22 i FAR</t>
  </si>
  <si>
    <t>Värme utanför ETS</t>
  </si>
  <si>
    <t>Mängd som ska dras av från den preliminära årliga mängden utsläppsrätter i enlighet med artikel 21 i FAR</t>
  </si>
  <si>
    <t>Wgfacklad</t>
  </si>
  <si>
    <t>Mängd som ska dras av från den preliminära årliga mängden utsläppsrätter för facklade restgaser från 2026 och framåt i enlighet med artikel 16.5 andra stycket i FAR</t>
  </si>
  <si>
    <t>Mängd som ska läggas till den preliminära årliga mängden utsläppsrätter för ångkrackningsdelanläggningar i enlighet med artikel 19 i FAR</t>
  </si>
  <si>
    <t>Beräkningsfaktor för att beakta vätgasrelaterade utsläpp i delanläggningar för vinylkloridmonomer i enlighet med artikel 20 i FAR</t>
  </si>
  <si>
    <t>Genomsnitt</t>
  </si>
  <si>
    <t>Genomsnittliga historiska verksamhetsnivåer under referensperioden</t>
  </si>
  <si>
    <t>Prel. tilldelning år 1 (min.)</t>
  </si>
  <si>
    <t>(Förslag till) preliminärt årsantal utsläppsrätter som tilldelas gratis för periodens första år i enlighet med artikel 16.6 i FAR, dvs. efter tillämpningen av KL-exponeringsfaktorn men före tillämpningen av den linjära faktorn eller den sektorsövergripande korrigeringsfaktorn.</t>
  </si>
  <si>
    <t>Denna siffra ger endast en ungefärlig uppskattning av den ”lägsta” preliminära tilldelningen med hänsyn tagen till lägsta möjliga riktmärkesvärde för delanläggningen. Siffran är därför endast vägledande och bör INTE ses som någon förhandsbedömning av det faktiska antalet utsläppsrätter som tilldelas gratis på beslut av den behöriga myndigheten så snart uppdaterade riktmärken finns.</t>
  </si>
  <si>
    <t>Prel. tilldelning år 1 (max.)</t>
  </si>
  <si>
    <t>(Förslag till) preliminärt årsantal utsläppsrätter med hänsyn tagen till högsta möjliga riktmärkesvärde för delanläggningen. Samma ansvarsfriskrivning som för (min)-värdet gäller.</t>
  </si>
  <si>
    <t>Prel. tilldelning år 1 (faktisk)</t>
  </si>
  <si>
    <t>Det faktiska preliminära årsantalet utsläppsrätter med hänsyn till det faktiska riktmärkesvärdet för delanläggningen. Detta värde kan inte fastställas för de ursprungliga nationella genomförandeåtgärderna utan först senare, så snart riktmärkesvärdena för respektive tilldelningsperiod har offentliggjorts.</t>
  </si>
  <si>
    <t>Ansvarsfriskrivning: Var god notera att värdena för den preliminära tilldelningen endast är indikativa</t>
  </si>
  <si>
    <t>RM-värde (min./max./faktiskt)</t>
  </si>
  <si>
    <t>Särskilda faktorer:</t>
  </si>
  <si>
    <t>Rapporterad HAL (historisk verksamhetsnivå)</t>
  </si>
  <si>
    <t>Värden som används för HAL-beräkning:</t>
  </si>
  <si>
    <t>Totala tillskrivna utsläpp</t>
  </si>
  <si>
    <t>Mellanimport:</t>
  </si>
  <si>
    <t>Mellanexport:</t>
  </si>
  <si>
    <t>Importerad nettovärme (annat)</t>
  </si>
  <si>
    <t>Importerad nettovärme (produktriktmärke)</t>
  </si>
  <si>
    <t>Importerad nettovärme (massa)</t>
  </si>
  <si>
    <t>Importerad nettovärme (bränsleriktmärke)</t>
  </si>
  <si>
    <t>Importerad nettovärme (restgaser)</t>
  </si>
  <si>
    <t>Beräkning av preliminär årlig mängd utsläppsrätter som tilldelas gratis</t>
  </si>
  <si>
    <t>I detta avsnitt ges en sammanfattning av de preliminära tilldelningsvärden för 2021–2025 respektive 2026–2030 som är tillämpliga på anläggningen och som grundas på de uppgifter som visas i tidigare avsnitt baserat på era inmatningar. Ingen fullständighetskontroll har gjorts av den information som visas. Uppgifterna kan därför endast anses vara korrekta om ni har säkerställt att följande villkor uppfylls:</t>
  </si>
  <si>
    <t>Fullständiga uppgifter har lämnats i bladet ”A_InstallationData”, framför allt avsnitt A.II (referensperiod och berättigande) och avsnitt A.III (förteckning över delanläggningar).</t>
  </si>
  <si>
    <t>Uppgifter har lämnats för alla relevanta referensår och relevanta avsnitt i bladen F och G har fyllts i.</t>
  </si>
  <si>
    <t>Inga felmeddelanden visas i något av de relevanta avsnitten i dessa blad.</t>
  </si>
  <si>
    <t>Denna information är av preliminär art och det är därför viktigt att förstå vad som har beaktats vid beräkningen:</t>
  </si>
  <si>
    <t>Beroende på vilka uppgifter ni lämnat i avsnitt A.II.2 (vald referensperiod), A.III (uppgifter om delanläggningen) och bladen F och G ser ni i avsnitt IV i detta blad vilka referensår som har använts vid beräkningen av de historiska verksamhetsnivåer (HAL) som riktmärken tillämpas för.</t>
  </si>
  <si>
    <t>Eftersom de uppdaterade riktmärkesvärdena inte finns tillgängliga när uppgifterna lämnas till den behöriga myndigheten kan ni få en indikation på hur stor den förväntade tilldelningen kommer att bli genom att välja antingen riktmärkesvärde ”min.” eller ”max.” i punkt 1.a nedan.</t>
  </si>
  <si>
    <t>Vid beräkningen beaktas huruvida respektive delanläggning är utsatt för en betydande risk för koldioxidläckage eller inte.</t>
  </si>
  <si>
    <t>Vid beräkningen beaktas huruvida anläggningen omfattas av artikel 10a.3 i ETS-direktivet, dvs. om det är en elproducent eller en anläggning för avskiljning, transport eller geologisk lagring av koldioxid. Enligt artikel 16.8 i FAR måste tilldelningen till sådana anläggningar korrigeras genom tillämpning av den linjära faktor som avses i artikel 10a.4 i ETS-direktivet. Denna linjära faktor beaktas här.</t>
  </si>
  <si>
    <t>Den preliminära tilldelningen till alla andra anläggningar (sådana som inte omfattas av artikel 10a.3 i ETS-direktivet) ska multipliceras med den sektorsövergripande korrigeringsfaktor som fastställs i enlighet med artikel 14.6 i FAR. Denna faktor beräknas av Europeiska kommissionen så snart alla medlemsstater har kungjort sina nationella genomförandeåtgärder (NIMs) och de nya riktmärkesvärdena.</t>
  </si>
  <si>
    <t>För att göra det lättare för verksamhetsutövarna att förstå hur tilldelningen beräknas, visas nedan den PRELIMINÄRA tilldelningen (dvs. tilldelningen före tillämpning av den sektorsövergripande korrigeringsfaktorn eller den linjära faktorn). När det gäller inlagor till den behöriga myndigheten behöver ingen sektorsövergripande korrigeringsfaktor anges.</t>
  </si>
  <si>
    <t>I denna mall kan man dock ange ett värde för den sektorsövergripande korrigeringsfaktorn. Verksamhetsutövaren kan enbart använda denna funktion i upplysningssyfte. Resultaten är inte på något sätt juridiskt bindande.</t>
  </si>
  <si>
    <t>Ansvarsfriskrivning: Enligt artikel 16.1 i FAR ska medlemsstaterna beräkna och fastställa antalet utsläppsrätter som har tilldelats gratis från och med 2021 och framåt till varje anläggning som ansöker om gratis tilldelning. De resultat som visas här är därför endast vägledande. Inga garantier, vare sig uttryckliga eller underförstådda, ges med avseende på resultatets riktighet, fullständighet eller tillförlitlighet. De resultat som visas i denna mall medför ingen som helst rätt eller tillgång till en viss mängd utsläppsrätter. Se även ansvarsfriskrivningen i bladet ”Riktlinjer och villkor” för beräkningarnas riktighet.</t>
  </si>
  <si>
    <t>Total preliminär årlig mängd utsläppsrätter som tilldelas gratis:</t>
  </si>
  <si>
    <t>De mängder som visas här återspeglar beräkningen av den preliminära årliga mängden utsläppsrätter som tilldelas gratis i enlighet med artikel 16.1–7 i FAR, dvs. de faktorer som avses i bilaga V till FAR (”KL-faktorer” nedan) har redan tillämpats. Enligt artikel 16.3 i FAR ska faktorn för fjärrvärmedelanläggningen vara 0,3 för samtliga år.</t>
  </si>
  <si>
    <t>Om den beräknade preliminära årsmängden utsläppsrätter som tilldelas gratis är ett negativt värde för en delanläggning ska noll anges i stället.</t>
  </si>
  <si>
    <t>Beräkningen av den lägsta, högsta eller faktiska preliminära tilldelningen?</t>
  </si>
  <si>
    <t>Utifrån vad som väljs här kommer den ungefärliga lägsta, högsta eller faktiska preliminära tilldelningen att visas, såsom anges i avsnitt IV ovan.</t>
  </si>
  <si>
    <t>Var god notera att den faktiska tilldelningen endast kan beräknas när de nya riktmärkesvärdena har offentliggjorts. Inga beräkningar görs före detta, om ”faktiskt” har valts.</t>
  </si>
  <si>
    <t>Om fältet lämnas tomt används lägsta preliminära tilldelning som standard för alla beräkningar nedan.</t>
  </si>
  <si>
    <t>Beräkningsfaktorer:</t>
  </si>
  <si>
    <t>KL-faktor för ej KL-sektorer</t>
  </si>
  <si>
    <t>KL-faktor för fjärrvärme</t>
  </si>
  <si>
    <t>Anmärkning: KL-faktorn för KL-utsatta sektorer är 1,0000 för samtliga år.</t>
  </si>
  <si>
    <t>Beräkning i enlighet med artikel 16.1–7 i FAR:</t>
  </si>
  <si>
    <t>Total preliminär gratis tilldelning</t>
  </si>
  <si>
    <t>Vägledande förväntad slutlig mängd gratis utsläppsrätter:</t>
  </si>
  <si>
    <t>Linjär faktor enligt artikel 10a.4 i ETS-direktivet:</t>
  </si>
  <si>
    <t>Linjär faktor</t>
  </si>
  <si>
    <t>Sektorsövergripande korrigeringsfaktor (CSCF) enligt artikel 14.6 i FAR:</t>
  </si>
  <si>
    <t>I upplysningssyfte anges, såsom förklaras ovan, att ni kan ange värden för den enhetliga sektorsövergripande korrigeringsfaktorn enligt artikel 10a.5 i ETS-direktivet här. Standardvärdet är 1 tills kommissionen har offentliggjort det slutgiltiga värdet i enlighet med artikel 14.6 i FAR.</t>
  </si>
  <si>
    <t>Se till att inga uppgifter anges här när ni lämnar in denna rapport till den behöriga myndigheten för fastställande av de nationella genomförandeåtgärderna.</t>
  </si>
  <si>
    <t>Värde som används för beräkning</t>
  </si>
  <si>
    <t>Faktor som används för beräkning:</t>
  </si>
  <si>
    <t>För anläggningar som omfattas av artikel 10a.3 i direktivet måste den linjära faktor som visas i punkt a tillämpas för varje år om inte CSCF som visas i punkt c är lägre än 1. I sådana fall måste CSCF tillämpas för alla sådana år.</t>
  </si>
  <si>
    <t>För anläggningar som inte omfattas av artikel 10a.3 ska CSCF som visas i punkt c tillämpas för varje år.</t>
  </si>
  <si>
    <t>Beräkning i enlighet med artikel 16.8 i FAR:</t>
  </si>
  <si>
    <t>De mängder som visas här återspeglar beräkningen av den slutliga totala mängd utsläppsrätter som tilldelas gratis i enlighet med artikel 16.8 i FAR, dvs. tilldelningsvärden där den linjära faktorn eller den sektorsövergripande korrigeringsfaktorn tillämpas enligt vad som är lämpligt (dvs. resultatet av punkt c ovan). Dessa värden kan dock inte betraktas som slutgiltiga, eftersom den sektorsövergripande korrigeringsfaktorn ännu inte är känd när dessa uppgifter inhämtas.</t>
  </si>
  <si>
    <t>De resultat som visas här är inte på något sätt juridiskt bindande. Var god se ansvarsfriskrivningen i inledningen till detta avsnitt.</t>
  </si>
  <si>
    <t>Konstant</t>
  </si>
  <si>
    <t>Ytterligare konstanter</t>
  </si>
  <si>
    <t>Absoluta värden</t>
  </si>
  <si>
    <t>Procentvärden</t>
  </si>
  <si>
    <t>Ej tillämpligt</t>
  </si>
  <si>
    <t>Månad</t>
  </si>
  <si>
    <t>Bränsle</t>
  </si>
  <si>
    <t>Riktmärke</t>
  </si>
  <si>
    <t>Delanläggning med produktriktmärke</t>
  </si>
  <si>
    <t>”Fall-back”-delanläggning</t>
  </si>
  <si>
    <t>år</t>
  </si>
  <si>
    <t>ton</t>
  </si>
  <si>
    <t>eller</t>
  </si>
  <si>
    <t>överförd koldioxid</t>
  </si>
  <si>
    <t>Mellanprodukter</t>
  </si>
  <si>
    <t>Värme</t>
  </si>
  <si>
    <t>Inom anläggningen</t>
  </si>
  <si>
    <t>Produktion av varor</t>
  </si>
  <si>
    <t>mekanisk energi</t>
  </si>
  <si>
    <t>uppvärmning</t>
  </si>
  <si>
    <t>kylning</t>
  </si>
  <si>
    <t>okänt</t>
  </si>
  <si>
    <t>PFC</t>
  </si>
  <si>
    <t>Koldioxid (restgaskorrigerad)</t>
  </si>
  <si>
    <t>reduktion av metallföreningar</t>
  </si>
  <si>
    <t>avskiljning av orenheter</t>
  </si>
  <si>
    <t>sönderfall av karbonater</t>
  </si>
  <si>
    <t>kemiska synteser</t>
  </si>
  <si>
    <t>kol som innehåller material</t>
  </si>
  <si>
    <t>reduktion av oxider av halvmetaller eller icke-metaller</t>
  </si>
  <si>
    <t>inte relevant</t>
  </si>
  <si>
    <t>Koldioxidläckage</t>
  </si>
  <si>
    <t>ingen risk för koldioxidläckage</t>
  </si>
  <si>
    <t>GJ/1000 Nm3</t>
  </si>
  <si>
    <t>utsläppsrätter</t>
  </si>
  <si>
    <t>Verksamhetsutövaren vid anläggningen bekräftar att anläggningen inte är berättigad till gratis tilldelning enligt artikel 10a i ETS-direktivet som befintlig anläggning.</t>
  </si>
  <si>
    <t>Verksamhetsutövaren vid anläggningen bekräftar att en ansökan om gratis tilldelning enligt artikel 10a i ETS-direktivet härmed är ifylld.</t>
  </si>
  <si>
    <t>Verksamhetsutövaren vid anläggningen bekräftar att rapporten får användas av den behöriga myndigheten och Europeiska kommissionen.</t>
  </si>
  <si>
    <t>ofullständigt!</t>
  </si>
  <si>
    <t>negativt!</t>
  </si>
  <si>
    <t>inkonsekvent!</t>
  </si>
  <si>
    <t>OK</t>
  </si>
  <si>
    <t>Datum saknas!</t>
  </si>
  <si>
    <t>mätbar värme utanför ETS</t>
  </si>
  <si>
    <t>Österrike</t>
  </si>
  <si>
    <t>Belgien</t>
  </si>
  <si>
    <t>Bulgarien</t>
  </si>
  <si>
    <t>Cypern</t>
  </si>
  <si>
    <t>Kroatien</t>
  </si>
  <si>
    <t>Tjeckien</t>
  </si>
  <si>
    <t>Danmark</t>
  </si>
  <si>
    <t>Estland</t>
  </si>
  <si>
    <t>Frankrike</t>
  </si>
  <si>
    <t>Tyskland</t>
  </si>
  <si>
    <t>Grekland</t>
  </si>
  <si>
    <t>Ungern</t>
  </si>
  <si>
    <t>Island</t>
  </si>
  <si>
    <t>Irland</t>
  </si>
  <si>
    <t>Italien</t>
  </si>
  <si>
    <t>Lettland</t>
  </si>
  <si>
    <t>Litauen</t>
  </si>
  <si>
    <t>Luxemburg</t>
  </si>
  <si>
    <t>Nederländerna</t>
  </si>
  <si>
    <t>Norge</t>
  </si>
  <si>
    <t>Polen</t>
  </si>
  <si>
    <t>Rumänien</t>
  </si>
  <si>
    <t>Slovakien</t>
  </si>
  <si>
    <t>Slovenien</t>
  </si>
  <si>
    <t>Spanien</t>
  </si>
  <si>
    <t>Sverige</t>
  </si>
  <si>
    <t>Storbritannien</t>
  </si>
  <si>
    <t>Frågorna a, b och d måste besvaras!</t>
  </si>
  <si>
    <t>Minst ett delanläggningsnamn har angetts mer än en gång. Var god korrigera!</t>
  </si>
  <si>
    <t>Var god ange för varje delanläggning oavsett om det är relevant eller inte!</t>
  </si>
  <si>
    <t>Var god ange uppgifter i punkterna b och c ovan!</t>
  </si>
  <si>
    <t>Var god ange utförliga uppgifter om bränsle-/materialmängd från och med avsnitt II nedan!</t>
  </si>
  <si>
    <t>Var god fortsätt med att ange utsläppstotaler i avsnitt D.1.2 i bladet ”D_Emissions”!</t>
  </si>
  <si>
    <t>Var god ange även uppgifter i avsnitt E.II.4!</t>
  </si>
  <si>
    <t>Var god ange även uppgifter i avsnitt D.II.3.a!</t>
  </si>
  <si>
    <t xml:space="preserve">Utförliga anvisningar för datainmatning i detta verktyg finns i den första kopian av verktyget. </t>
  </si>
  <si>
    <t>Tillskrivning av utsläpp till delanläggningar anges i det sammanfattande bladet.</t>
  </si>
  <si>
    <t>Var god gå vidare till blad ”F_ProductBM”!</t>
  </si>
  <si>
    <t>Var god gå vidare till avsnitt E.II.2</t>
  </si>
  <si>
    <t>Var god gå till nästa punkt nedan</t>
  </si>
  <si>
    <t>Var god använd verktyget för utbytbar el nedan.</t>
  </si>
  <si>
    <t>Var god fortsätt till punkt d nedan.</t>
  </si>
  <si>
    <t>Om detta inte är relevant för er anläggning, fortsätt till nästa punkt.</t>
  </si>
  <si>
    <t>Datum måste anges i stigande ordning!</t>
  </si>
  <si>
    <t>Verksamhet saknas (A.I.4.a)!</t>
  </si>
  <si>
    <t>Var god fyll i uppgifter i detta avsnitt!</t>
  </si>
  <si>
    <t>Var god gå vidare till nästa delanläggning!</t>
  </si>
  <si>
    <t>Klicka här för att gå tillbaka till blad ”F_ProductBM”</t>
  </si>
  <si>
    <t>Var god fortsätt till punkterna c och d och fyll i uppgifter!</t>
  </si>
  <si>
    <t>Var god fortsätt till punkt e nedan!</t>
  </si>
  <si>
    <t>Faktiskt</t>
  </si>
  <si>
    <t>Verksamhetsförteckning</t>
  </si>
  <si>
    <t>Verksamhetens nr</t>
  </si>
  <si>
    <t>Verksamhet (bilaga I till ETS-direktivet)</t>
  </si>
  <si>
    <t>Förbränning av bränsle i anläggningar med en sammanlagd tillförd effekt på mer än 20 MW (eller ansluten för leverans till fjärrvärmenät med en sammanlagd tillförd effekt över 20 MW )</t>
  </si>
  <si>
    <t xml:space="preserve">Raffinering av mineralolja </t>
  </si>
  <si>
    <t xml:space="preserve">Produktion av koks </t>
  </si>
  <si>
    <t xml:space="preserve">Rostning och sintring, inklusive pelletering, av metallhaltig malm (inklusive sulfidmalm) </t>
  </si>
  <si>
    <t xml:space="preserve">Produktion av råjärn eller stål (primär eller sekundär smältning), inklusive utrustning för kontinuerlig gjutning, med en kapacitet som överstiger 2,5 ton per timme </t>
  </si>
  <si>
    <t>Produktion eller bearbetning av järnmetaller (inklusive ferrolegeringar) där förbränningsenheter med en sammanlagd tillförd effekt på mer än 20 MW används. Häri ingår bland annat valsverk, värmningsugnar, värmebehandlingsugnar, smedjor, gjuterier samt ytbeläggnings- och betningsenheter</t>
  </si>
  <si>
    <t xml:space="preserve">Produktion av primäraluminium </t>
  </si>
  <si>
    <t>Produktion av sekundäraluminium där förbränningsenheter med en sammanlagd tillförd effekt på mer än 20 MW används</t>
  </si>
  <si>
    <t>Produktion eller bearbetning av icke-järnmetaller, inklusive produktion av legeringar, raffinering, gjutning etc., där förbränningsenheter med en sammanlagd tillförd effekt (inklusive bränslen som används som reduktionsmedel) på mer än 20 MW används</t>
  </si>
  <si>
    <t xml:space="preserve">Produktion av cementklinker i roterugnar med en produktionskapacitet som överstiger 500 ton per dag, eller i andra typer av ugnar med en produktionskapacitet som överstiger 50 ton per dag </t>
  </si>
  <si>
    <t xml:space="preserve">Produktion av kalk eller bränning av dolomit eller magnesit i roterugnar eller i andra typer av ugnar med en produktionskapacitet som överstiger 50 ton per dag </t>
  </si>
  <si>
    <t xml:space="preserve">Tillverkning av glas inklusive glasfibrer, med en smältningskapacitet som överstiger 20 ton per dag </t>
  </si>
  <si>
    <t xml:space="preserve">Tillverkning av keramiska produkter genom bränning, i synnerhet takpannor, tegel, eldfast tegel, kakel, stengods eller porslin, med en produktionskapacitet som överstiger 75 ton per dag </t>
  </si>
  <si>
    <t xml:space="preserve">Tillverkning av isoleringsmaterial av mineralull som görs av glas, sten eller slagg, med en smältningskapacitet som överstiger 20 ton per dag </t>
  </si>
  <si>
    <t xml:space="preserve">Torkning eller bränning av gips eller framställning av gipsplattor och andra gipsprodukter, där förbränningsenheter med en sammanlagd tillförd effekt på mer än 20 MW används </t>
  </si>
  <si>
    <t xml:space="preserve">Framställning av pappersmassa av trä eller andra fibermaterial </t>
  </si>
  <si>
    <t xml:space="preserve">Framställning av papper eller kartong, där produktionskapaciteten överstiger 20 ton per dag </t>
  </si>
  <si>
    <t xml:space="preserve">Produktion av kimrök som inbegriper förkolning av organiska ämnen som oljor, tjäror, kracknings- och destillationsrester, där förbränningsenheter med en sammanlagd tillförd effekt på mer än 20 MW används </t>
  </si>
  <si>
    <t xml:space="preserve">Produktion av salpetersyra </t>
  </si>
  <si>
    <t xml:space="preserve">Produktion av adipinsyra </t>
  </si>
  <si>
    <t>Produktion av glyoxal och glyoxalsyra</t>
  </si>
  <si>
    <t xml:space="preserve">Produktion av ammoniak </t>
  </si>
  <si>
    <t xml:space="preserve">Produktion av organiska baskemikalier genom krackning, reformering, delvis eller full oxidation eller genom liknande processer, med en produktionskapacitet som överstiger 100 ton per dag </t>
  </si>
  <si>
    <t xml:space="preserve">Produktion av vätgas (H2) och syntesgas genom reformering eller partiell oxidation, med en produktionskapacitet som överstiger 25 ton per dag </t>
  </si>
  <si>
    <t xml:space="preserve">Produktion av natriumkarbonat (Na2CO3) och natriumbikarbonat (NaHCO3) </t>
  </si>
  <si>
    <t>Avskiljning av växthusgaser från anläggningar som omfattas av detta direktiv, för transport och geologisk lagring i en lagringsanläggning som är godkänd enligt direktiv 2009/31/EG</t>
  </si>
  <si>
    <t>Transport av växthusgaser via pipelines för geologisk lagring i en lagringsanläggning som är godkänd enligt direktiv 2009/31/EG</t>
  </si>
  <si>
    <t>Geologisk lagring av växthusgaser i lagringsanläggningar som är godkända enligt direktiv 2009/31/EG</t>
  </si>
  <si>
    <t>Förteckning över riktmärken</t>
  </si>
  <si>
    <t>alternativt riktmärke nr</t>
  </si>
  <si>
    <t>Produktriktmärke</t>
  </si>
  <si>
    <t>Koldioxidläckage?</t>
  </si>
  <si>
    <t>Utbytbar el</t>
  </si>
  <si>
    <t>Meddelande om särskild rapportering</t>
  </si>
  <si>
    <t>Annat än CWT?</t>
  </si>
  <si>
    <t>Pappersmassa</t>
  </si>
  <si>
    <t>Riktmärkesvärde (2013–2020)</t>
  </si>
  <si>
    <t>Riktmärkesvärde (EUA/t, max.)</t>
  </si>
  <si>
    <t>Riktmärkesvärde (EUA/t, min.)</t>
  </si>
  <si>
    <t>Riktmärkesvärde (EUA/t, faktiskt)</t>
  </si>
  <si>
    <t>Raffinaderiprodukter</t>
  </si>
  <si>
    <t>Var god använd CWT-verktyget i bladet ”SpecialBM” för att beräkna historiska verksamhetsnivåer.</t>
  </si>
  <si>
    <t>Koks</t>
  </si>
  <si>
    <t>Sintrad järnmalm</t>
  </si>
  <si>
    <t>Råjärn</t>
  </si>
  <si>
    <t>EAF-kolstål</t>
  </si>
  <si>
    <t>Höglegerat EAF-stål</t>
  </si>
  <si>
    <t>Järngjutning</t>
  </si>
  <si>
    <t>Prebake-anoder</t>
  </si>
  <si>
    <t>(Primär)aluminium</t>
  </si>
  <si>
    <t>Grå cementklinker</t>
  </si>
  <si>
    <t>Vit cementklinker</t>
  </si>
  <si>
    <t>Var god använd kalkverktyget i bladet ”SpecialBM” för att beräkna historiska verksamhetsnivåer.</t>
  </si>
  <si>
    <t>Var god använd dolimeverktyget i bladet ”SpecialBM” för att beräkna historiska verksamhetsnivåer.</t>
  </si>
  <si>
    <t>Sintrad dolime</t>
  </si>
  <si>
    <t>Flytglas</t>
  </si>
  <si>
    <t>Flaskor och burkar av ofärgat glas</t>
  </si>
  <si>
    <t>Flaskor och burkar av färgat glas</t>
  </si>
  <si>
    <t>Produkter av glasfiber</t>
  </si>
  <si>
    <t>Fasadtegel</t>
  </si>
  <si>
    <t>Marktegel</t>
  </si>
  <si>
    <t>Takpannor</t>
  </si>
  <si>
    <t>Spraytorkat pulver</t>
  </si>
  <si>
    <t>Mineralull</t>
  </si>
  <si>
    <t>Gips</t>
  </si>
  <si>
    <t>Torkat sekundärt gips</t>
  </si>
  <si>
    <t>Gipsskiva</t>
  </si>
  <si>
    <t>Kortfibrig sulfatmassa</t>
  </si>
  <si>
    <t>Notera att särskilda tilldelningsregler gäller för massa- och pappersproduktion (artikel 16.6 i FAR).</t>
  </si>
  <si>
    <t>Långfibrig sulfatmassa</t>
  </si>
  <si>
    <t>Sulfitmassa, termomekanisk massa och mekanisk massa</t>
  </si>
  <si>
    <t>Returpappersmassa</t>
  </si>
  <si>
    <t>Tidningspapper</t>
  </si>
  <si>
    <t>Obestruket finpapper</t>
  </si>
  <si>
    <t>Bestruket finpapper</t>
  </si>
  <si>
    <t>Mjukpapper</t>
  </si>
  <si>
    <t>Testliner och fluting</t>
  </si>
  <si>
    <t>Obestruken kartong</t>
  </si>
  <si>
    <t>Bestruken kartong</t>
  </si>
  <si>
    <t>Kimrök</t>
  </si>
  <si>
    <t>Salpetersyra</t>
  </si>
  <si>
    <t>Mätbar värme som levereras till andra delanläggningar ska behandlas som värme från källor utanför ETS.</t>
  </si>
  <si>
    <t>Adipinsyra</t>
  </si>
  <si>
    <t>Ammoniak</t>
  </si>
  <si>
    <t>Var god använd ångkrackningsverktyget i bladet ”SpecialBM” för att beräkna historiska verksamhetsnivåer och preliminär tilldelning.</t>
  </si>
  <si>
    <t>Aromater</t>
  </si>
  <si>
    <t>Styren</t>
  </si>
  <si>
    <t>Fenol/aceton</t>
  </si>
  <si>
    <t>Etylenoxid och etylenglykoler</t>
  </si>
  <si>
    <t>Var god använd etylenoxid/etylenglykoler-verktyget i bladet ”SpecialBM” för att beräkna historiska verksamhetsnivåer.</t>
  </si>
  <si>
    <t>Vinylkloridmonomer</t>
  </si>
  <si>
    <t>Var god använd VCM-verktyget i bladet ”SpecialBM” för att beräkna preliminär tilldelning.</t>
  </si>
  <si>
    <t>Suspensions-PVC (S-PVC)</t>
  </si>
  <si>
    <t>Emulsions-PVC (E-PVC)</t>
  </si>
  <si>
    <t>Var god använd vätgasverktyget i bladet ”SpecialBM” för att beräkna historiska verksamhetsnivåer.</t>
  </si>
  <si>
    <t>Var god använd syngasverktyget i bladet ”SpecialBM” för att beräkna historiska verksamhetsnivåer.</t>
  </si>
  <si>
    <t>Natriumkarbonat (soda)</t>
  </si>
  <si>
    <t>Förteckning över ”fall-back”-delanläggningar</t>
  </si>
  <si>
    <t>Felmeddelande</t>
  </si>
  <si>
    <t>Delanläggning med värmeriktmärke, KL</t>
  </si>
  <si>
    <t>Delanläggning med värmeriktmärke, ej KL</t>
  </si>
  <si>
    <t>Fjärrvärmedelanläggning</t>
  </si>
  <si>
    <t>Delanläggning med bränsleriktmärke, KL</t>
  </si>
  <si>
    <t>Delanläggning med bränsleriktmärke, ej KL</t>
  </si>
  <si>
    <t>Delanläggning med processutsläpp, KL</t>
  </si>
  <si>
    <t>Delanläggning med processutsläpp, ej KL</t>
  </si>
  <si>
    <t>Tidsperiod</t>
  </si>
  <si>
    <t>Rapportmall för tilldelning för nya deltagare, justerad tilldelning och nedläggning för fas 4 av ETS-systemet</t>
  </si>
  <si>
    <t>Rapporteringsår:</t>
  </si>
  <si>
    <t>Relevant rapporteringsperiod</t>
  </si>
  <si>
    <r>
      <t xml:space="preserve">Reglerna för årliga justeringar av tilldelning ingår i verksamhetsändringsförordningen, dvs. kommissionens genomförandeförordning (EU) 2019/1842 av den 31 oktober 2019 om tillämpningsföreskrifter för Europaparlamentets och rådets direktiv 2003/87/EG vad gäller ytterligare åtgärder i samband med justeringar av gratis tilldelning av utsläppsrätter på grund av förändringar av verksamhetsnivå (ibland kallade </t>
    </r>
    <r>
      <rPr>
        <i/>
        <sz val="10"/>
        <color indexed="18"/>
        <rFont val="Arial"/>
        <family val="2"/>
      </rPr>
      <t>ALC-R eller RALC</t>
    </r>
    <r>
      <rPr>
        <sz val="10"/>
        <color indexed="18"/>
        <rFont val="Arial"/>
        <family val="2"/>
      </rPr>
      <t>). Finns på:</t>
    </r>
  </si>
  <si>
    <t>En viktig beståndsdel av verksamhetsändringsförordningen är den årliga datarapporteringen som inhämtar all relevant information från verksamhetsutövarna vid anläggningarna som medlemsstaterna behöver för att beräkna justeringar av tilldelningen.</t>
  </si>
  <si>
    <t>Denna datainsamlingsmall har tagits fram av konsulter (Umweltbundesamt GmbH Austria och SQ Consult) på uppdrag av kommissionen och omfattar ändringar av tilldelningsnivåer för nya deltagare, upphörande av (del)anläggningar och ändringar av verksamhetsnivåer.</t>
  </si>
  <si>
    <t>Du bör helst gå igenom filen från början till slut. Vissa funktioner vägleder dig genom blanketten beroende på vad du har matat in tidigare, till exempel celler som ändrar färg om de inte behöver fyllas i (se färgkoder nedan). Ibland bör man dock först göra inmatningar i ett annat blad innan man går vidare (t.ex. måste ”H_specialBM” fyllas i innan ”F_ProductBM” kan färdigställas i fall där bilaga III till FAR måste tillämpas).</t>
  </si>
  <si>
    <t>Automatiska</t>
  </si>
  <si>
    <t>Irrelevanta</t>
  </si>
  <si>
    <t>Länk till referensdatarapport med NIMs-data</t>
  </si>
  <si>
    <t>Olivgröna fält indikerar att uppgifterna baseras på länkar till externa Excel-filer, särskilt referensdatarapporten för nationella genomförandeåtgärder (NIMs).</t>
  </si>
  <si>
    <t>Mörkorange fält indikerar att uppgifterna är obligatoriska men endast får fyllas i av behörig myndighet eller av verksamhetsutövaren om den behöriga myndigheten har anvisat detta.</t>
  </si>
  <si>
    <t>Tillskrivning av utsläpp</t>
  </si>
  <si>
    <t>Ljusblå områden är avsedda för uppgifter som i huvudsak är relevanta för tillskrivning av utsläpp till delanläggningar.</t>
  </si>
  <si>
    <t>Justeringar</t>
  </si>
  <si>
    <t>Ljusorange områden är avsedda för avsnitt där tilldelningsjusteringar bestäms.</t>
  </si>
  <si>
    <t>Medlemsstaternas anpassning</t>
  </si>
  <si>
    <t>Navigering</t>
  </si>
  <si>
    <t>Detta blad har samma struktur som bladet "K_Summary" i referensdatarapporten för nationella genomförandeåtgärder (NIMs) och innehåller länkar till en tom mall.</t>
  </si>
  <si>
    <t>Steg 1</t>
  </si>
  <si>
    <t>För att hämta data från referensdatarapportfilen som innehåller NIMs-data ändrar du filreferensen via funktionen ”Redigera länkar” på fliken ”Data” i aktivitetsfältet i Excel.</t>
  </si>
  <si>
    <t>Steg 2</t>
  </si>
  <si>
    <t>Välj ”Redigera länkar” under gruppen ”Anslutning” eller ”Frågor och anslutningar”, beroende på vilken version av Excel du använder.</t>
  </si>
  <si>
    <t>Steg 3</t>
  </si>
  <si>
    <t>I dialogrutan som öppnas väljer du länken till den tomma mallen och klickar sedan på ”Ändra källa”.</t>
  </si>
  <si>
    <t>Observera att detta endast fungerar när det aktuella bladet är aktivt. Om du försöker göra detta från något annat blad kommer knappen ”Ändra källa” att vara inaktiv.</t>
  </si>
  <si>
    <t>Steg 4</t>
  </si>
  <si>
    <t>Välj din referensdatarapportfil för NIMs i dialogrutan och klicka på OK. Observera att det kan ta några sekunder att uppdatera alla länkade celler.</t>
  </si>
  <si>
    <t>Steg 5</t>
  </si>
  <si>
    <t>(valfritt) Du kan nu klicka på ”bryt länk” i dialogrutan. Därmed tas alla externa filer bort och ersätts med värden.</t>
  </si>
  <si>
    <t>Observera att de föregående stegen inte längre kan upprepas om du gör detta.</t>
  </si>
  <si>
    <t>Steg 6</t>
  </si>
  <si>
    <t>Stäng dialogrutan ”Redigera länkar”.</t>
  </si>
  <si>
    <t>Nu bör du se NIMs-data nedan i det här bladet och kan återgå till avsnitt A.II och fortsätta.</t>
  </si>
  <si>
    <t>OBS! UTFÖR INGA manuella ändringar i någon av nedanstående celler i det här bladet.</t>
  </si>
  <si>
    <t>Mer data från blad A i referensdatarapporten för NIMs:</t>
  </si>
  <si>
    <t>Kolumn för kommentarer 
(till exempel eventuella ändringar)</t>
  </si>
  <si>
    <t>Rapportuppgifter</t>
  </si>
  <si>
    <t>Data om nationella genomförandeåtgärder</t>
  </si>
  <si>
    <t>Året då den här rapporten lämnades in:</t>
  </si>
  <si>
    <t>Rapporteringsår innebär året då rapporten faktiskt lämnades in. Till exempel, om ”2021” anges ingår data för åren 2019 och 2020.</t>
  </si>
  <si>
    <t>Följaktligen kommer anläggningar som inte är befintliga att betraktas som nya deltagare i den här rapporten.</t>
  </si>
  <si>
    <t>Anläggningen eller någon delanläggning har upphört med verksamheten:</t>
  </si>
  <si>
    <t>Detta omfattar upphörande av antingen hela anläggningen (enligt artikel 26 i FAR) eller någon delanläggning (enligt artikel 5.4 av verksamhetsändringsförordningen) sedan den senaste ansökan för de nationella genomförandeåtgärderna, inte endast under det senaste kalenderåret.</t>
  </si>
  <si>
    <t>Om hela anläggningen har upphört ska datumet för upphörandet anges för varje delanläggning på blad "B+C_SubInstallation", avsnitt I.</t>
  </si>
  <si>
    <t>Data från referensdatarapporten för nationella genomförandeåtgärder (NIMs)</t>
  </si>
  <si>
    <t>Delar av den obligatoriska informationen i den här rapporten har redan tillhandahållits i ansökan om fri tilldelning, s.k. information avseende de nationella genomförandeåtgärderna (NIMs). Det gäller information om anläggningen (det här bladet) samt relevanta delanläggningar, inklusive tilldelningsrelevanta parametrar (blad ”B+C_SubInstallations”), såsom historiska verksamhetsnivåer (HAL).</t>
  </si>
  <si>
    <t>För att fylla i informationen här ger mallen två alternativ som kan väljas från listrutan nedan.</t>
  </si>
  <si>
    <t>Använd metod för ifyllnad av data avseende NIMs:</t>
  </si>
  <si>
    <t>Här hämtas information avseende NIMs in genom en koppling till din referensdatarapport via funktionen ”Redigera länkar” på fliken ”Data” i aktivitetsfönstret i Excel.</t>
  </si>
  <si>
    <t>Celler med manuell inmatning är valfria där detta är tillämpligt.</t>
  </si>
  <si>
    <t>Fler anvisningar finns på bladet ”c_NIMsSummary” i den här mallen.</t>
  </si>
  <si>
    <t>Här måste du ange all information och alla data manuellt, precis som all annan information.</t>
  </si>
  <si>
    <t>Celler som innehåller länkar till filen för nationella genomförandeåtgärder är markerade i grått.</t>
  </si>
  <si>
    <t>Baserat på vald metod kommer cellerna på det här bladet att ha följande format. Data från NIMs återfinns i bladet "c-NIMsSummary":</t>
  </si>
  <si>
    <t>Länk till referensdatarapportens NIMs-data:</t>
  </si>
  <si>
    <t>Manuell inmatning (om denna metod valts) eller manuell överskrivning där NIMs-data inte längre stämmer:</t>
  </si>
  <si>
    <t>Data som används för den här rapporten:</t>
  </si>
  <si>
    <t>Numret som används i registret (EUTL) är vanligtvis samma som NAP-numret.</t>
  </si>
  <si>
    <t xml:space="preserve">Det unika identifieringsnumret visas automatiskt i c) nedan tillsammans med den medlemsstat som valts i a). En anläggning i Sverige med ID-nummer 123456 kommer till exempel att få numret ”SE000000000123456”. </t>
  </si>
  <si>
    <t>Denna uppgift är endast relevant om anläggningen är en ”ny deltagare”.</t>
  </si>
  <si>
    <t>Den senaste versionen av övervakningsmetodplanen (versionsnummer):</t>
  </si>
  <si>
    <t>Ange här den senaste versionen av övervakningsmetodplanen (ÖMP) som anger den övervakningsmetod som ligger till grund för det här årets rapport.</t>
  </si>
  <si>
    <t>Koncerninformation:</t>
  </si>
  <si>
    <t xml:space="preserve">”Koncernen” omfattar moderföretaget och alla dess dotterföretag (företag som kontrolleras av moderföretaget). </t>
  </si>
  <si>
    <t>Artikel 22 i direktiv 2013/34/EU innehåller fler element som beskriver relationen mellan ett moderföretag och ett dotterföretag (t.ex. moderföretaget har en majoritet av aktie- eller delägarrösterna i ett dotterföretag, moderföretaget har rätt att tillsätta eller avsätta en majoritet av ledamöterna i dotterföretagets förvaltnings-, lednings- eller tillsynsorgan och är samtidigt en aktieägare eller delägare i dotterföretaget osv.).</t>
  </si>
  <si>
    <t>Moderföretag</t>
  </si>
  <si>
    <t>Dotterföretag som anläggningen tillhör, i tillämpliga fall</t>
  </si>
  <si>
    <t>Andra anläggningar i EU som tillhör samma koncern (ID-nummer i registret), i tillämpliga fall</t>
  </si>
  <si>
    <t>Kontrollör som anlitas för den här rapporten:</t>
  </si>
  <si>
    <t>Kontrollörens namn och adress:</t>
  </si>
  <si>
    <t>Information om den här verksamhetsnivårapporten</t>
  </si>
  <si>
    <t>Bekräftelse om berättigande till gratis tilldelning:</t>
  </si>
  <si>
    <t>Observera att inga uppgifter ska lämnas i det här avsnittet. Den kommer antingen att fyllas i automatiskt eller så kommer det här avsnittet inte att vara tillämpligt beroende på ditt val i avsnitt A.II.</t>
  </si>
  <si>
    <t>Om du har valt ”Manuell inmatning” i avsnitt A.II är denna uppgift obligatorisk. Annars är denna uppgift valfri och endast nödvändig om informationen under a) ovan inte längre stämmer.</t>
  </si>
  <si>
    <t>Resultat: Tekniska anslutningar</t>
  </si>
  <si>
    <t>B+C. Sub-installations</t>
  </si>
  <si>
    <t>Ursprunglig tilldelning enligt nationella genomförandeåtgärder</t>
  </si>
  <si>
    <t>Bladet ”Sub-installations” – IDENTIFIERING AV DELANLÄGGNINGAR OCH URSPRUNGLIG TILLDELNING</t>
  </si>
  <si>
    <t>Delanläggningar (kolumn E)</t>
  </si>
  <si>
    <t>Befintlig anläggning</t>
  </si>
  <si>
    <t>Om du har valt att hämta in information avseende nationella genomförandeåtgärder via länken till referensdatarapporten i avsnitt A.II kommer alla relevanta delanläggningar med produktriktmärke att visas automatiskt. Annars är den här kolumnen gråmarkerad.</t>
  </si>
  <si>
    <t>Nya deltagare</t>
  </si>
  <si>
    <t>Den här kolumnen är inte relevant för nya deltagare.</t>
  </si>
  <si>
    <t>Delanläggningar (kolumn G)</t>
  </si>
  <si>
    <t>Uppgifterna här är endast relevanta om du har valt antingen ”manuell inmatning” i avsnitt A.II eller har nya delanläggningar som startats efter den 30 juni 2019 (dvs. som inte har tagits med i ansökan för de nationella genomförandeåtgärderna).</t>
  </si>
  <si>
    <t>Välj alla relevanta delanläggningar vars verksamhet redan har startat.</t>
  </si>
  <si>
    <t>Detta är den första dagen då delanläggningen hade en verksamhetsnivå över noll. Detta datum påverkar endast tilldelningen om det infaller efter den 1 januari 2018. Uppgifterna här är alltså endast obligatoriska om delanläggningens verksamhet startade efter detta datum.</t>
  </si>
  <si>
    <t xml:space="preserve">Detta är den första dagen då delanläggningen hade en verksamhetsnivå över noll. </t>
  </si>
  <si>
    <t>Datum för upphörande</t>
  </si>
  <si>
    <t>Om delanläggningens verksamhet har upphört är detta det sista datumet då delanläggningens verksamhetsnivå var över noll.</t>
  </si>
  <si>
    <t>Orsak till upphörande</t>
  </si>
  <si>
    <t>Välj orsak till upphörande om detta är relevant.</t>
  </si>
  <si>
    <t>Status för koldioxidläckage</t>
  </si>
  <si>
    <t>Statusen när det gäller exponeringen för avsevärd risk för koldioxidläckage (”KL”) baseras på kommissionens delegerade beslut (EU) 2019/708.</t>
  </si>
  <si>
    <t>Delanläggning (länk)</t>
  </si>
  <si>
    <t>Delanläggning (manuell)</t>
  </si>
  <si>
    <t>Datum för upphörande, om relevant</t>
  </si>
  <si>
    <t>Delanläggningar (kolumn H)</t>
  </si>
  <si>
    <t>Uppgifterna här är endast relevanta om du har valt antingen ”manuell inmatning” i avsnitt A.II eller nya delanläggningar som startats efter den 30 juni 2019 (dvs. som inte har tagits med i ansökan för de nationella genomförandeåtgärderna). Uppgifter här kommer alltid att skriva över uppgifter i kolumn G.</t>
  </si>
  <si>
    <t>relevant? (länk)</t>
  </si>
  <si>
    <t>relevant? (manuellt)</t>
  </si>
  <si>
    <t>Ursprunglig tilldelning</t>
  </si>
  <si>
    <t>Ursprunglig tilldelning från referensdatarapportfilen för nationella genomförandeåtgärder</t>
  </si>
  <si>
    <t>Ursprunglig tilldelning (manuell inmatning)</t>
  </si>
  <si>
    <t>Om du har valt ”Manuell inmatning” i avsnitt A.II är denna uppgift obligatorisk. I annat fall är det här avsnittet valfritt om inte nya delanläggningar är relevanta.</t>
  </si>
  <si>
    <t>Historisk verksamhetsnivå (HAL)</t>
  </si>
  <si>
    <t>Uppgifterna här är endast relevanta om du har valt antingen ”manuell inmatning” i avsnitt A.II eller nya delanläggningar som startats efter den 30 juni 2019.</t>
  </si>
  <si>
    <t>Den första förekomsten av det här värdet är i referensdatarapporten för nationella genomförandeåtgärder, sammanfattningsblad K, cell F481.</t>
  </si>
  <si>
    <t>Den första förekomsten av det här värdet är i referensdatarapporten för nationella genomförandeåtgärder, sammanfattningsblad K, cell G474.</t>
  </si>
  <si>
    <t>Den första förekomsten av det här värdet är i referensdatarapporten för nationella genomförandeåtgärder, sammanfattningsblad K, cell H474.</t>
  </si>
  <si>
    <t>Den första förekomsten av det här värdet är i referensdatarapporten för nationella genomförandeåtgärder, sammanfattningsblad K, cell I474.</t>
  </si>
  <si>
    <t>Den första förekomsten av det här värdet är i referensdatarapporten för nationella genomförandeåtgärder, sammanfattningsblad K, cell J474.</t>
  </si>
  <si>
    <t>Den första förekomsten av det här värdet är i referensdatarapporten för nationella genomförandeåtgärder, sammanfattningsblad K, cell K474.</t>
  </si>
  <si>
    <t>Om uppgifter måste lämnas här ska du försäkra dig om att avrundningen är konsekvent med värdena i din referensdatarapport för nationella genomförandeåtgärder. Observera att avrundningen i referensrapporten till närmaste ton endast gäller för tilldelningen. För samtliga andra parametrar som ska anges här är de avrundade värdena som visas där inte alltid de värden som faktiskt används. Det rekommenderas därför att ”värden” kopieras från de nationella genomförandeåtgärderna cell för cell.</t>
  </si>
  <si>
    <t>Resultat: Parametrar för ursprunglig tilldelning enligt nationella genomförandeåtgärder</t>
  </si>
  <si>
    <t>Den här tabellen visar tilldelningsrelevanta parametrar på samma sätt som för de nationella genomförandeåtgärderna, före eventuella tilldelningsändringar till följd av bestämmelserna i verksamhetsändringsförordningen. För nya deltagare eller nya delanläggningar kommer värdena alltid att vara noll här.</t>
  </si>
  <si>
    <t>Ange uppgifterna nedan i linje med M&amp;R-förordningens principer.</t>
  </si>
  <si>
    <t>I fall där uppgifter om utsläpp är valfria i medlemsstaten är endast den totala energitillförseln från bränslen obligatoriskt här.</t>
  </si>
  <si>
    <t>Om delanläggningar för processutsläpp är relevanta är uppgifterna alltid obligatoriska här.</t>
  </si>
  <si>
    <t>Totala utsläpp på anläggningsnivå (utifrån avsnitt D.I)</t>
  </si>
  <si>
    <t xml:space="preserve">Utsläppen måste tillskrivas delanläggningarna på bladen F och G för varje delanläggning om medlemsstaten gjort det obligatoriskt att rapportera detta. </t>
  </si>
  <si>
    <t>Detta är den totala nettomängden värme som produceras vid kraftvärmeenheten.</t>
  </si>
  <si>
    <t>Detta är den totala mängden el (eller mekanisk energi, i tillämpliga fall) som produceras vid kraftvärmeenheten.</t>
  </si>
  <si>
    <t>Om värme återvinns från delanläggningar med bränsleriktmärke måste den återvunna mängden mätbar värme delat med en virtuell effektivitet på 90 % dras av från insatsbränslet här och tillskrivas ”insatsbränsle för produktion av mätbar värme” ovan för att undvika dubbel bokföring.</t>
  </si>
  <si>
    <t>Emissionsfaktor för bränsle som används för produktion av mätbar värme och el</t>
  </si>
  <si>
    <t>Ange den vägda genomsnittsemissionsfaktorn för alla bränslen och för bränslen som används för att producera mätbar värme och el. Värden som anges här har inte någon direkt inverkan på tilldelningen eller de tillskrivna utsläppen. De används endast för att kontrollera rimligheten.</t>
  </si>
  <si>
    <t>Resultat från kraftvärmeverktyget i avsnitt D.III kan användas för att tillskriva insatsbränsle för kraftvärme till produktion av mätbar värme och el.</t>
  </si>
  <si>
    <t>Emissionsfaktor (EF)</t>
  </si>
  <si>
    <t>Bränsleemissionsfaktor för totalt insatsbränsle</t>
  </si>
  <si>
    <t>Bränsleemissionsfaktor för mätbar värme</t>
  </si>
  <si>
    <t>Bränsleemissionsfaktor för el</t>
  </si>
  <si>
    <t>Om det finns fler än tre anslutningar ska de sammanställas. Det kan innebära att avsnitt A.V.b måste ändras.</t>
  </si>
  <si>
    <t xml:space="preserve">Detta inkluderar dessutom all värme från el under d) nedan. </t>
  </si>
  <si>
    <t>Om det finns fler än fem anslutningar ska de sammanställas. Det kan innebära att avsnitt A.V.b måste ändras.</t>
  </si>
  <si>
    <t>VALFRITT:  
Kolumn för kommentarer 
(t.ex. eventuella ändringar)</t>
  </si>
  <si>
    <t>Verksamhetsnivåer</t>
  </si>
  <si>
    <t>Eventuella justeringar av verksamhetsnivå</t>
  </si>
  <si>
    <t>Den historiska verksamhetsnivån (HAL) kommer att bestämmas automatiskt baserat på uppgifter under punkt a) ovan och uppgifter i blad B+C_SubInstallations. För nya delanläggningar kommer HAL att visas under v) baserat på det första fullständiga verksamhetsåret.</t>
  </si>
  <si>
    <t>Baserat på värdena för HAL och värdena under punkt a) ovan bestäms de genomsnittliga verksamhetsnivåerna här. Tilldelningen kommer endast att ändras om alla följande tröskelvärden i artikel 5 i verksamhetsändringsförordningen överskrids:</t>
  </si>
  <si>
    <t>De relativa tröskelvärdena (15 % och 5 % för efterföljande ändringar) för de genomsnittliga verksamhetsnivåerna jämfört med HAL</t>
  </si>
  <si>
    <t>Det absoluta tröskelvärdet, dvs. en ändring skulle leda till en ändring av den preliminära tilldelningen på minst 100 utsläppsrätter</t>
  </si>
  <si>
    <t>Genomsnittlig årlig verksamhetsnivå</t>
  </si>
  <si>
    <t>Preliminär justering (om relativa tröskelvärden överskrids)</t>
  </si>
  <si>
    <t>Faktisk justering (grund för följande år)</t>
  </si>
  <si>
    <t>&gt;= 100 utsläppsrätter kriterium uppnått?</t>
  </si>
  <si>
    <t>Faktisk justering (om alla tröskelvärden överskrids)</t>
  </si>
  <si>
    <t>Faktiskt värde</t>
  </si>
  <si>
    <t>Baserat på uppgifterna ovan bestäms ett genomsnittligt årligt värde. Tilldelningen kommer endast att ändras om det relativa tröskelvärdet (15 % jämfört med värdet från de nationella genomförandeåtgärderna) och det absoluta tröskelvärdet (ändring leder till mer än 100 utsläppsrätter) överskrids, enligt artikel 6.4 i verksamhetsändringsförordningen.</t>
  </si>
  <si>
    <t>Justeringar: Elutbyte</t>
  </si>
  <si>
    <t>Värde (NIMs)</t>
  </si>
  <si>
    <t>Genomsnittligt årligt värde</t>
  </si>
  <si>
    <t>Justeringar: Värme från icke-ETS</t>
  </si>
  <si>
    <t>Mängd facklad restgas</t>
  </si>
  <si>
    <t>Justeringar: facklad restgas</t>
  </si>
  <si>
    <t>Baserat på när start av drift inträffade enligt avsnitt B+C.I i bladet "B+C_SubInstallations" kommer den historiska verksamhetsnivån (HAL) antingen att baseras på värdena enligt de nationella genomförandeåtgärderna (visas under ii) eller det första hela kalenderårets drift för nya delanläggningar (visas under iv).</t>
  </si>
  <si>
    <t>Baserat på värdena för historisk verksamhetsnivå (HAL) och värdena under punkt a) ovan bestäms de genomsnittliga verksamhetsnivåerna här. Tilldelningen kommer endast att ändras om alla följande tröskelvärden i artiklarna 5 och 6 i verksamhetsändringsförordningen överskrids:</t>
  </si>
  <si>
    <t>De ändrade verksamhetsnivåerna uppvägs inte av de ändringar av energieffektiviteten som fastställs i punkt b), b.1) och b.2) nedan.</t>
  </si>
  <si>
    <t>Preliminär justering</t>
  </si>
  <si>
    <t>Preliminär verksamhetsnivå</t>
  </si>
  <si>
    <t>Om värmen exporteras kan den anslutna anläggning eller enhet som angetts i avsnitt A.V i bladet ”A_InstallationData” väljas.</t>
  </si>
  <si>
    <t>Observera att energieffektivitetsregeln endast kan tillämpas på fall där värme eller bränsle används för produktion av en specifik produkt. Därför kan regeln inte tillämpas om det inte går att tilldela en PRODCOM-kod till produkten.</t>
  </si>
  <si>
    <t>Om ingen PRODCOM-kod kan tilldelas en produkt kan energieffektivitetsregeln därmed inte tillämpas, eftersom nedanstående effektivitet endast kan beräknas om alla ”produkter” är relaterade till samma enhet, vanligtvis ton.</t>
  </si>
  <si>
    <t>Värdet för de nationella genomförandeåtgärderna (NIMs-värde) hänför sig till den genomsnittliga produktionen under referensperioden för NIMs (i likhet med historisk verksamhetsnivå) och är endast relevant för existerande delanläggningar inom befintliga anläggningar.</t>
  </si>
  <si>
    <t>NIMs-värde</t>
  </si>
  <si>
    <t>Energiförbrukning per produkt för fastställande av ändrad energieffektivitet</t>
  </si>
  <si>
    <t>Ange den energiförbrukning som kan tillskrivas varje produkt under punkt b) ovan enligt metoderna som beskrivs i övervakningsmetodplanen.</t>
  </si>
  <si>
    <t>Om den genomsnittliga årliga verksamhetsnivån har minskat med mer än 15 % kan du ange uppgifter här för att visa att denna minskning kan förklaras av förbättringar av energieffektiviteten.</t>
  </si>
  <si>
    <t>Uppgifter här är endast obligatoriska för alla år om SAMTLIGA följande villkor uppfylls:</t>
  </si>
  <si>
    <t>Den genomsnittliga årliga verksamhetsnivån enligt a) har ökat med mer än 15 % jämfört med den historiska verksamhetsnivån under något år.</t>
  </si>
  <si>
    <t>Värmen används för ”produktion av varor” OCH ”inom anläggningen” enligt punkt b) ovan.</t>
  </si>
  <si>
    <t>Medlemsstaten har valt att uppgifterna ska vara obligatoriska som standard om ovanstående villkor uppfylls.</t>
  </si>
  <si>
    <t>Observera att uppgifterna i samtliga andra fall antingen inte är relevanta eller är valfria (indikeras) och kommer inte att tas i beaktande vid bedömningen av förbättrad energieffektivitet i följande steg nedan.</t>
  </si>
  <si>
    <t>Ytterligare vägledning finns i avsnitt 6.1 i vägledningsdokument 7.</t>
  </si>
  <si>
    <t>Summa förbrukning</t>
  </si>
  <si>
    <t>Andel av a)</t>
  </si>
  <si>
    <t>Specifik energiförbrukning</t>
  </si>
  <si>
    <t>Den specifika energiförbrukningen fastställs i enlighet med avsnitt 6.1 i vägledningsdokument 7 för värden som uppfyller kriterierna under punkt b.1 ovan.</t>
  </si>
  <si>
    <t>Justeringar: Effektivitetsförbättringar</t>
  </si>
  <si>
    <t>Basvärde</t>
  </si>
  <si>
    <t>Genomsnittlig årlig effektivitet</t>
  </si>
  <si>
    <t>Effektivitetsförbättringar jämfört med basvärde</t>
  </si>
  <si>
    <t>Justeringar: Absolut tröskelvärde</t>
  </si>
  <si>
    <t>Absolut tröskelvärde</t>
  </si>
  <si>
    <t>Bestämning av justering av faktisk verksamhetsnivå inklusive effektivitetsändringar</t>
  </si>
  <si>
    <t>Behövs godkännande från behörig myndighet?</t>
  </si>
  <si>
    <t>Om ”SANT” visas här har antingen den genomsnittliga verksamhetsnivån minskat med 15 % jämfört med den historiska verksamhetsnivån samtidigt som energieffektiviteten har ökat med mer än 15 %, eller tvärtom. Om detta är fallet bedömer den behöriga myndigheten (se ii nedan) huruvida tilldelningen ska justeras.</t>
  </si>
  <si>
    <t>Detta beslut bygger på huruvida det kan bevisas att ändringarna av verksamhetsnivån kan förklaras av den ändrade energieffektiviteten.</t>
  </si>
  <si>
    <t>Behörig myndighet avslår justeringen?</t>
  </si>
  <si>
    <t>VIKTIG ANMÄRKNING: Det här avsnittet är reserverat för den behöriga myndigheten, och du ska endast fylla i det om den behöriga myndigheten har anvisat detta.</t>
  </si>
  <si>
    <t>Enligt artikel 6.1 och 6.2 kan den behöriga myndigheten avslå justering av gratis tilldelning. Välj SANT här för att avslå en eventuell justering i förekommande fall.</t>
  </si>
  <si>
    <t>Som standard kommer tomma fält här att behandlas som icke-avslag (dvs. FALSKT) för att utföra de följande beräkningarna i mallen. Du kan därför fortsätta med inlämningen av rapporten. Den behöriga myndigheten kan fatta ett beslut vid ett senare tillfälle som leder till att mallen måste lämnas in på nytt.</t>
  </si>
  <si>
    <t>Detta är det slutgiltiga resultatet som tar hänsyn till eventuella ändringar av energieffektiviteten samt den behöriga myndighetens beslut, i förekommande fall.</t>
  </si>
  <si>
    <t>Faktisk verksamhetsnivå</t>
  </si>
  <si>
    <t>Ange alla fjärrvärmeanslutningar här.</t>
  </si>
  <si>
    <t>Anslutning</t>
  </si>
  <si>
    <t>Följande uppgifter hämtas automatiskt från bladet ”E_EnergyFlows”, avsnitt E.I.Uppgifter måste därför matas in där.</t>
  </si>
  <si>
    <t>Värmen används för ”produktion av varor” enligt punkt b) ovan</t>
  </si>
  <si>
    <t>Var god ange de årliga produktionsuppgifterna för vätgas avseende det historiska vätgasinnehållet för varje år.</t>
  </si>
  <si>
    <t>Var god ange den historiska produktionens volymfraktion ren vätgas för varje år. Detta är en dimensionslös siffra.</t>
  </si>
  <si>
    <t>Var god ange de årliga produktionsuppgifterna för syntesgas avseende det historiska syntesgasinnehållet för varje år.</t>
  </si>
  <si>
    <t>Var god ange de årliga produktionsuppgifterna för de olika produkter som omfattas av riktmärket för varje år.</t>
  </si>
  <si>
    <t>Verifieringsrapport enligt artikel 3.3 i verksamhetsändringsförordningen (obligatorisk):</t>
  </si>
  <si>
    <t>Innehåller kolumn P kommentarer i något blad?</t>
  </si>
  <si>
    <t>Blad A:</t>
  </si>
  <si>
    <t>Blad F:</t>
  </si>
  <si>
    <t>Blad B+C:</t>
  </si>
  <si>
    <t>Blad G:</t>
  </si>
  <si>
    <t>Blad D:</t>
  </si>
  <si>
    <t>Blad H:</t>
  </si>
  <si>
    <t>Blad E:</t>
  </si>
  <si>
    <t>Tekniska anslutningar:</t>
  </si>
  <si>
    <t>Berättigande till gratis tilldelning (avsnitt A.IV.1):</t>
  </si>
  <si>
    <t>Upphört</t>
  </si>
  <si>
    <t>Datum då delanläggningens verksamhet upphörde, om relevant.</t>
  </si>
  <si>
    <t>Riktmärkets värde.</t>
  </si>
  <si>
    <t>Det glidande medelvärdet för två år enligt artikel 2.1 i verksamhetsändringsförordningen för verksamhetsnivåer och i artikel 6.4 för andra parametrar.</t>
  </si>
  <si>
    <t>Kriterium 1: Verksam &gt;2 år?</t>
  </si>
  <si>
    <t>Om SANT beräknas det glidande medelvärdet för alla tilldelningsjusteringar. Om FALSKT tillämpas artikel 4.2 i verksamhetsändringsförordningen.</t>
  </si>
  <si>
    <t>Kriterium 2: Upphörde inte föregående år?</t>
  </si>
  <si>
    <t>Om FALSKT har (del)anläggningen upphört under föregående år och tilldelningen justeras till noll enligt artikel 5.4 i verksamhetsändringsförordningen.</t>
  </si>
  <si>
    <t>Kriterium 3a: Har relativa tröskelvärden överskridits?</t>
  </si>
  <si>
    <t>SANT innebär att de relativa tröskelvärden som avses i artikel 5 i verksamhetsändringsförordningen har överskridits och att tilldelningen justeras i förhållande till den historiska verksamhetsnivån.</t>
  </si>
  <si>
    <t>Kriterium 4a: Är skillnaden minst 100 utsläppsrätter?</t>
  </si>
  <si>
    <t>SANT innebär att de absoluta tröskelvärden som avses i artikel 5 i verksamhetsändringsförordningen (100 utsläppsrätter) har överskridits och att tilldelningen justeras.</t>
  </si>
  <si>
    <t>Kriterium 5: Kan behörig myndighet besluta?</t>
  </si>
  <si>
    <t>Enligt artikel 6.1 och 6.2 i verksamhetsändringsförordningen kan behörig myndighet besluta om att godkänna eller avslå tilldelningsjusteringarna om energieffektivitetsändringarna överskred 15 %. SANT innebär att dessa tröskelvärden har överskridits och att den behöriga myndigheten kan besluta.</t>
  </si>
  <si>
    <t>Kriterium 6: Ej avslag från behörig myndighet?</t>
  </si>
  <si>
    <t>SANT innebär att en behörig myndighet avslog justeringen. FALSKT innebär att justeringen kommer att ske om alla ovanstående tröskelvärden har överskridits.</t>
  </si>
  <si>
    <t>Preliminärt årsantal utsläppsrätter som tilldelas gratis för periodens första år i enlighet med artikel 16.6 i FAR, dvs. efter tillämpningen av KL-exponeringsfaktorn och eventuella justeringar på grund av verksamhetsändringsförordningen men före tillämpningen av den linjära faktorn eller den sektorsövergripande korrigeringsfaktorn.</t>
  </si>
  <si>
    <t>Rapporterad verksamhetsnivå</t>
  </si>
  <si>
    <t>Tillämplighet av glidande medelvärde</t>
  </si>
  <si>
    <t>Ändringar: Ingen ändring (bas)</t>
  </si>
  <si>
    <t>Preliminärt tilldelningsvärde</t>
  </si>
  <si>
    <t>Ändringar: Verksamhetsnivå</t>
  </si>
  <si>
    <t>Ändring jämfört med historik verksamhetsnivå</t>
  </si>
  <si>
    <t>Preliminärt värde</t>
  </si>
  <si>
    <t>Skillnad i tilldelning</t>
  </si>
  <si>
    <t>Ändringar: Utbytt el</t>
  </si>
  <si>
    <t>Ändring jämfört med värde enligt nationella genomförandeåtgärder</t>
  </si>
  <si>
    <t>Kriterium 3b: Har relativa tröskelvärden överskridits?</t>
  </si>
  <si>
    <t>Kriterium 4b: Är skillnaden minst 100 utsläppsrätter?</t>
  </si>
  <si>
    <t>Ändringar: Värme från icke-ETS</t>
  </si>
  <si>
    <t>Kriterium 3c: Har relativa tröskelvärden överskridits?</t>
  </si>
  <si>
    <t>Kriterium 4c: Är skillnaden minst 100 utsläppsrätter?</t>
  </si>
  <si>
    <t>Ändringar: HVC-korrigering</t>
  </si>
  <si>
    <t>Kriterium 3d: Har relativa tröskelvärden överskridits?</t>
  </si>
  <si>
    <t>Kriterium 4d: Är skillnaden minst 100 utsläppsrätter?</t>
  </si>
  <si>
    <t>Ändringar: VCM-korrigering</t>
  </si>
  <si>
    <t>Kriterium 3e: Har relativa tröskelvärden överskridits?</t>
  </si>
  <si>
    <t>Kriterium 4e: Är skillnaden minst 100 utsläppsrätter?</t>
  </si>
  <si>
    <t>Ändringar: Facklad restgas</t>
  </si>
  <si>
    <t>Kriterium 3f: Har relativa tröskelvärden överskridits?</t>
  </si>
  <si>
    <t>Kriterium 4f: Är skillnaden minst 100 utsläppsrätter?</t>
  </si>
  <si>
    <t>Faktiska använda värden</t>
  </si>
  <si>
    <t>Verksamhetsnivå</t>
  </si>
  <si>
    <t>Rapporterad effektivitet</t>
  </si>
  <si>
    <t>Kriterium 3: Har relativa tröskelvärden överskridits?</t>
  </si>
  <si>
    <t>Kriterium 4: Är skillnaden minst 100 utsläppsrätter?</t>
  </si>
  <si>
    <t>Ändringar: Effektivitet</t>
  </si>
  <si>
    <t>Faktisk justering av verksamhetsnivån</t>
  </si>
  <si>
    <t>Använd verksamhetsnivå</t>
  </si>
  <si>
    <t>Blad "A_InstallationData" och "B+C_SubInstallations" är fullständigt ifyllda..</t>
  </si>
  <si>
    <t>Uppgifter har lämnats för alla relevanta år och relevanta avsnitt i bladen "F_ProductBM" och "G_Fall-back" har fyllts i.</t>
  </si>
  <si>
    <t>Ansvarsfriskrivning: De resultat som visas här är endast indikativa och speglar kraven enligt artikel 16.1 i FAR och artiklarna 5 och 6 i verksamhetsändringsförordningen. Inga garantier, vare sig uttryckliga eller underförstådda, ges med avseende på resultatets riktighet, fullständighet eller tillförlitlighet. De resultat som visas i denna mall medför ingen som helst rätt eller tillgång till en viss mängd utsläppsrätter. Se även ansvarsfriskrivningen i bladet  ”b_Guidelines &amp; conditions” för beräkningarnas riktighet.</t>
  </si>
  <si>
    <t>Beräkning i enlighet med artikel 16.1–16.7 i FAR och artiklarna 5 och 6 i verksamhetsändringsförordningen:</t>
  </si>
  <si>
    <t>Linjär faktor för anläggningar som omfattas av artikel 10.a.3</t>
  </si>
  <si>
    <t>Linjär faktor enligt artikel 10a.7 i ETS-direktivet:</t>
  </si>
  <si>
    <t>Linjär faktor för nya deltagare</t>
  </si>
  <si>
    <t>Beräkning i enlighet med artikel 16.8 i FAR och artiklarna 5 och 6 i verksamhetsändringsförordningen:</t>
  </si>
  <si>
    <t>De mängder som visas här återspeglar beräkningen av den slutliga totala mängd utsläppsrätter som tilldelas gratis i enlighet med artikel 16.8 i FAR och artiklarna 5 och 6 i verksamhetsändrings-förordningen, dvs. tilldelningsvärden där den linjära faktorn eller den sektorsövergripande korrigeringsfaktorn tillämpas enligt vad som är lämpligt (dvs. resultatet av punkt d ovan).</t>
  </si>
  <si>
    <t>Total slutgiltig gratis tilldelning</t>
  </si>
  <si>
    <t>Manuell inmatning</t>
  </si>
  <si>
    <t>Riktmärkesprodukter</t>
  </si>
  <si>
    <t>Fråga e) eller f) måste besvaras!</t>
  </si>
  <si>
    <t>Fråga A.IV.1.g måste besvaras!</t>
  </si>
  <si>
    <t>Minst en delanläggning måste väljas!</t>
  </si>
  <si>
    <t>Översättningen från NIMs-filen misslyckades. Välj manuellt!</t>
  </si>
  <si>
    <t>a) Tillståndet för utsläpp av växthusgaser har återkallats</t>
  </si>
  <si>
    <t>b) (Del)anläggningen är inte längre i drift</t>
  </si>
  <si>
    <t>A.IV.1.f!</t>
  </si>
  <si>
    <t>Detta är slutversionen av mallen för ändring av tilldelningsnivå för fas 4.1 (2021-2025) av ETS-systemet, daterad den 20 juli 2020, med korrigieringar (23 januari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</si>
</sst>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0_ ;[Red]\-#,##0\ "/>
    <numFmt numFmtId="165" formatCode="#,##0.00_ ;[Red]\-#,##0.00\ "/>
    <numFmt numFmtId="166" formatCode="0.0000"/>
    <numFmt numFmtId="167" formatCode="0.000"/>
    <numFmt numFmtId="168" formatCode="0.0"/>
    <numFmt numFmtId="169" formatCode="0.0%"/>
    <numFmt numFmtId="170" formatCode="#,##0.000_ ;[Red]\-#,##0.000\ "/>
    <numFmt numFmtId="171" formatCode="#,##0.0000_ ;[Red]\-#,##0.0000\ "/>
    <numFmt numFmtId="172" formatCode="#,##0.000"/>
    <numFmt numFmtId="173" formatCode="#,##0_ ;\-#,##0\ "/>
    <numFmt numFmtId="174" formatCode="#,##0.0000"/>
  </numFmts>
  <fonts count="104" x14ac:knownFonts="1">
    <font>
      <sz val="10"/>
      <name val="Arial"/>
    </font>
    <font>
      <sz val="11"/>
      <color indexed="8"/>
      <name val="Calibri"/>
      <family val="2"/>
    </font>
    <font>
      <sz val="10"/>
      <name val="Arial"/>
      <family val="2"/>
    </font>
    <font>
      <b/>
      <sz val="12"/>
      <color indexed="9"/>
      <name val="Arial"/>
      <family val="2"/>
    </font>
    <font>
      <b/>
      <sz val="10"/>
      <name val="Arial"/>
      <family val="2"/>
    </font>
    <font>
      <sz val="8"/>
      <name val="Arial"/>
      <family val="2"/>
    </font>
    <font>
      <u/>
      <sz val="10"/>
      <color indexed="12"/>
      <name val="Arial"/>
      <family val="2"/>
    </font>
    <font>
      <sz val="8"/>
      <name val="Arial"/>
      <family val="2"/>
    </font>
    <font>
      <b/>
      <sz val="10"/>
      <name val="Arial"/>
      <family val="2"/>
    </font>
    <font>
      <b/>
      <sz val="14"/>
      <name val="Arial"/>
      <family val="2"/>
    </font>
    <font>
      <i/>
      <sz val="8"/>
      <color indexed="6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indexed="12"/>
      <name val="Arial"/>
      <family val="2"/>
    </font>
    <font>
      <sz val="10"/>
      <name val="Arial"/>
      <family val="2"/>
    </font>
    <font>
      <b/>
      <u/>
      <sz val="20"/>
      <color indexed="62"/>
      <name val="Arial"/>
      <family val="2"/>
    </font>
    <font>
      <b/>
      <u/>
      <sz val="10"/>
      <color indexed="62"/>
      <name val="Arial"/>
      <family val="2"/>
    </font>
    <font>
      <i/>
      <sz val="8"/>
      <color indexed="14"/>
      <name val="Arial"/>
      <family val="2"/>
    </font>
    <font>
      <b/>
      <sz val="12"/>
      <name val="Arial"/>
      <family val="2"/>
    </font>
    <font>
      <sz val="8"/>
      <name val="Arial"/>
      <family val="2"/>
    </font>
    <font>
      <b/>
      <sz val="11"/>
      <color indexed="18"/>
      <name val="Arial"/>
      <family val="2"/>
    </font>
    <font>
      <sz val="11"/>
      <name val="Arial"/>
      <family val="2"/>
    </font>
    <font>
      <sz val="10"/>
      <name val="Arial"/>
      <family val="2"/>
    </font>
    <font>
      <b/>
      <sz val="11"/>
      <name val="Arial"/>
      <family val="2"/>
    </font>
    <font>
      <b/>
      <u/>
      <sz val="10"/>
      <color indexed="12"/>
      <name val="Arial"/>
      <family val="2"/>
    </font>
    <font>
      <sz val="10"/>
      <color indexed="10"/>
      <name val="Arial"/>
      <family val="2"/>
    </font>
    <font>
      <b/>
      <i/>
      <sz val="8"/>
      <color indexed="62"/>
      <name val="Arial"/>
      <family val="2"/>
    </font>
    <font>
      <b/>
      <sz val="9"/>
      <color indexed="81"/>
      <name val="Tahoma"/>
      <family val="2"/>
    </font>
    <font>
      <b/>
      <sz val="10"/>
      <color indexed="13"/>
      <name val="Arial"/>
      <family val="2"/>
    </font>
    <font>
      <sz val="9"/>
      <name val="Tahoma"/>
      <family val="2"/>
    </font>
    <font>
      <sz val="9"/>
      <color indexed="12"/>
      <name val="Tahoma"/>
      <family val="2"/>
    </font>
    <font>
      <sz val="10"/>
      <color indexed="12"/>
      <name val="Arial"/>
      <family val="2"/>
    </font>
    <font>
      <b/>
      <sz val="10"/>
      <color indexed="10"/>
      <name val="Arial"/>
      <family val="2"/>
    </font>
    <font>
      <b/>
      <i/>
      <sz val="10"/>
      <name val="Arial"/>
      <family val="2"/>
    </font>
    <font>
      <sz val="9"/>
      <color indexed="81"/>
      <name val="Tahoma"/>
      <family val="2"/>
    </font>
    <font>
      <i/>
      <sz val="10"/>
      <color indexed="62"/>
      <name val="Arial"/>
      <family val="2"/>
    </font>
    <font>
      <b/>
      <i/>
      <sz val="10"/>
      <color indexed="62"/>
      <name val="Arial"/>
      <family val="2"/>
    </font>
    <font>
      <sz val="10"/>
      <color indexed="18"/>
      <name val="Arial"/>
      <family val="2"/>
    </font>
    <font>
      <sz val="10"/>
      <color indexed="10"/>
      <name val="Arial"/>
      <family val="2"/>
    </font>
    <font>
      <b/>
      <sz val="10"/>
      <name val="Arial"/>
      <family val="2"/>
    </font>
    <font>
      <sz val="10"/>
      <color indexed="14"/>
      <name val="Arial"/>
      <family val="2"/>
    </font>
    <font>
      <b/>
      <i/>
      <u/>
      <sz val="10"/>
      <color indexed="62"/>
      <name val="Arial"/>
      <family val="2"/>
    </font>
    <font>
      <i/>
      <sz val="10"/>
      <name val="Arial"/>
      <family val="2"/>
    </font>
    <font>
      <sz val="9"/>
      <name val="Times New Roman"/>
      <family val="1"/>
    </font>
    <font>
      <b/>
      <sz val="10"/>
      <color indexed="18"/>
      <name val="Arial"/>
      <family val="2"/>
    </font>
    <font>
      <sz val="10"/>
      <color indexed="62"/>
      <name val="Arial"/>
      <family val="2"/>
    </font>
    <font>
      <u/>
      <sz val="10"/>
      <color indexed="62"/>
      <name val="Arial"/>
      <family val="2"/>
    </font>
    <font>
      <i/>
      <u/>
      <sz val="8"/>
      <color indexed="12"/>
      <name val="Arial"/>
      <family val="2"/>
    </font>
    <font>
      <i/>
      <u/>
      <sz val="8"/>
      <color indexed="62"/>
      <name val="Arial"/>
      <family val="2"/>
    </font>
    <font>
      <sz val="10"/>
      <color indexed="62"/>
      <name val="Arial"/>
      <family val="2"/>
    </font>
    <font>
      <b/>
      <i/>
      <u/>
      <sz val="10"/>
      <color indexed="12"/>
      <name val="Arial"/>
      <family val="2"/>
    </font>
    <font>
      <b/>
      <sz val="10"/>
      <color indexed="12"/>
      <name val="Arial"/>
      <family val="2"/>
    </font>
    <font>
      <u/>
      <sz val="10"/>
      <color indexed="12"/>
      <name val="Arial"/>
      <family val="2"/>
    </font>
    <font>
      <sz val="10"/>
      <name val="Arial"/>
      <family val="2"/>
    </font>
    <font>
      <b/>
      <sz val="10"/>
      <color indexed="9"/>
      <name val="Arial"/>
      <family val="2"/>
    </font>
    <font>
      <u/>
      <sz val="8"/>
      <color indexed="12"/>
      <name val="Arial"/>
      <family val="2"/>
    </font>
    <font>
      <b/>
      <sz val="20"/>
      <color indexed="62"/>
      <name val="Arial"/>
      <family val="2"/>
    </font>
    <font>
      <sz val="9"/>
      <color indexed="81"/>
      <name val="Segoe UI"/>
      <family val="2"/>
    </font>
    <font>
      <b/>
      <sz val="18"/>
      <color indexed="62"/>
      <name val="Arial"/>
      <family val="2"/>
    </font>
    <font>
      <b/>
      <sz val="9"/>
      <name val="Arial"/>
      <family val="2"/>
    </font>
    <font>
      <b/>
      <u/>
      <sz val="8"/>
      <color indexed="12"/>
      <name val="Arial"/>
      <family val="2"/>
    </font>
    <font>
      <b/>
      <sz val="14"/>
      <color indexed="8"/>
      <name val="Calibri"/>
      <family val="2"/>
    </font>
    <font>
      <sz val="8"/>
      <name val="Calibri"/>
      <family val="2"/>
    </font>
    <font>
      <sz val="10"/>
      <color theme="1"/>
      <name val="Consolas"/>
      <family val="2"/>
    </font>
    <font>
      <sz val="10"/>
      <color rgb="FFFF0000"/>
      <name val="Arial"/>
      <family val="2"/>
    </font>
    <font>
      <b/>
      <sz val="10"/>
      <color rgb="FFFF0000"/>
      <name val="Arial"/>
      <family val="2"/>
    </font>
    <font>
      <sz val="10"/>
      <color theme="1" tint="0.499984740745262"/>
      <name val="Arial"/>
      <family val="2"/>
    </font>
    <font>
      <b/>
      <sz val="10"/>
      <color theme="1" tint="0.499984740745262"/>
      <name val="Arial"/>
      <family val="2"/>
    </font>
    <font>
      <sz val="10"/>
      <color rgb="FF000099"/>
      <name val="Arial"/>
      <family val="2"/>
    </font>
    <font>
      <b/>
      <sz val="10"/>
      <color rgb="FF000099"/>
      <name val="Arial"/>
      <family val="2"/>
    </font>
    <font>
      <b/>
      <sz val="22"/>
      <color rgb="FFFF0000"/>
      <name val="Arial"/>
      <family val="2"/>
    </font>
    <font>
      <b/>
      <i/>
      <sz val="10"/>
      <color rgb="FFFF0000"/>
      <name val="Arial"/>
      <family val="2"/>
    </font>
    <font>
      <b/>
      <i/>
      <sz val="10"/>
      <color rgb="FF333399"/>
      <name val="Arial"/>
      <family val="2"/>
    </font>
    <font>
      <b/>
      <sz val="10"/>
      <color theme="0"/>
      <name val="Arial"/>
      <family val="2"/>
    </font>
    <font>
      <b/>
      <i/>
      <sz val="10"/>
      <color theme="0"/>
      <name val="Arial"/>
      <family val="2"/>
    </font>
    <font>
      <b/>
      <u/>
      <sz val="20"/>
      <color rgb="FF333399"/>
      <name val="Arial"/>
      <family val="2"/>
    </font>
    <font>
      <b/>
      <sz val="18"/>
      <color rgb="FF333399"/>
      <name val="Arial"/>
      <family val="2"/>
    </font>
    <font>
      <sz val="10"/>
      <color rgb="FF000080"/>
      <name val="Arial"/>
      <family val="2"/>
    </font>
    <font>
      <b/>
      <sz val="12"/>
      <color rgb="FFFF0000"/>
      <name val="Arial"/>
      <family val="2"/>
    </font>
    <font>
      <sz val="10"/>
      <color rgb="FF808080"/>
      <name val="Arial"/>
      <family val="2"/>
    </font>
    <font>
      <sz val="10"/>
      <color rgb="FF333399"/>
      <name val="Arial"/>
      <family val="2"/>
    </font>
    <font>
      <b/>
      <i/>
      <sz val="8"/>
      <color rgb="FF333399"/>
      <name val="Arial"/>
      <family val="2"/>
    </font>
    <font>
      <i/>
      <sz val="8"/>
      <color rgb="FF333399"/>
      <name val="Arial"/>
      <family val="2"/>
    </font>
    <font>
      <b/>
      <sz val="12"/>
      <color rgb="FFFFFFFF"/>
      <name val="Arial"/>
      <family val="2"/>
    </font>
    <font>
      <b/>
      <sz val="11"/>
      <color rgb="FF000080"/>
      <name val="Arial"/>
      <family val="2"/>
    </font>
    <font>
      <b/>
      <sz val="10"/>
      <color rgb="FF333399"/>
      <name val="Arial"/>
      <family val="2"/>
    </font>
    <font>
      <b/>
      <i/>
      <sz val="8"/>
      <color rgb="FF000099"/>
      <name val="Arial"/>
      <family val="2"/>
    </font>
    <font>
      <i/>
      <sz val="10"/>
      <color indexed="18"/>
      <name val="Arial"/>
      <family val="2"/>
    </font>
    <font>
      <i/>
      <sz val="8"/>
      <color rgb="FF0000FF"/>
      <name val="Arial"/>
      <family val="2"/>
    </font>
  </fonts>
  <fills count="6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9"/>
        <bgColor indexed="64"/>
      </patternFill>
    </fill>
    <fill>
      <patternFill patternType="solid">
        <fgColor indexed="12"/>
        <bgColor indexed="64"/>
      </patternFill>
    </fill>
    <fill>
      <patternFill patternType="solid">
        <fgColor indexed="42"/>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44"/>
        <bgColor indexed="64"/>
      </patternFill>
    </fill>
    <fill>
      <patternFill patternType="solid">
        <fgColor indexed="57"/>
        <bgColor indexed="64"/>
      </patternFill>
    </fill>
    <fill>
      <patternFill patternType="solid">
        <fgColor indexed="22"/>
        <bgColor indexed="64"/>
      </patternFill>
    </fill>
    <fill>
      <patternFill patternType="solid">
        <fgColor indexed="11"/>
        <bgColor indexed="64"/>
      </patternFill>
    </fill>
    <fill>
      <patternFill patternType="solid">
        <fgColor indexed="27"/>
        <bgColor indexed="64"/>
      </patternFill>
    </fill>
    <fill>
      <patternFill patternType="lightUp"/>
    </fill>
    <fill>
      <patternFill patternType="lightUp">
        <bgColor indexed="9"/>
      </patternFill>
    </fill>
    <fill>
      <patternFill patternType="solid">
        <fgColor rgb="FF92D050"/>
        <bgColor indexed="64"/>
      </patternFill>
    </fill>
    <fill>
      <patternFill patternType="solid">
        <fgColor rgb="FFCCFFFF"/>
        <bgColor indexed="64"/>
      </patternFill>
    </fill>
    <fill>
      <patternFill patternType="solid">
        <fgColor rgb="FFCCFFCC"/>
        <bgColor indexed="64"/>
      </patternFill>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rgb="FFFFFFCC"/>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theme="7" tint="0.59999389629810485"/>
        <bgColor indexed="64"/>
      </patternFill>
    </fill>
    <fill>
      <patternFill patternType="solid">
        <fgColor rgb="FFFFCC99"/>
        <bgColor indexed="64"/>
      </patternFill>
    </fill>
    <fill>
      <patternFill patternType="solid">
        <fgColor theme="6" tint="0.39997558519241921"/>
        <bgColor indexed="64"/>
      </patternFill>
    </fill>
    <fill>
      <patternFill patternType="solid">
        <fgColor rgb="FFC4D79B"/>
        <bgColor indexed="64"/>
      </patternFill>
    </fill>
    <fill>
      <patternFill patternType="solid">
        <fgColor rgb="FFDCE6F1"/>
        <bgColor indexed="64"/>
      </patternFill>
    </fill>
    <fill>
      <patternFill patternType="solid">
        <fgColor rgb="FFFF3300"/>
        <bgColor indexed="64"/>
      </patternFill>
    </fill>
    <fill>
      <patternFill patternType="solid">
        <fgColor theme="3"/>
        <bgColor indexed="64"/>
      </patternFill>
    </fill>
    <fill>
      <patternFill patternType="solid">
        <fgColor rgb="FFA6A6A6"/>
        <bgColor indexed="64"/>
      </patternFill>
    </fill>
    <fill>
      <patternFill patternType="solid">
        <fgColor rgb="FFFFC000"/>
        <bgColor indexed="64"/>
      </patternFill>
    </fill>
    <fill>
      <patternFill patternType="solid">
        <fgColor rgb="FFFFFFFF"/>
        <bgColor indexed="64"/>
      </patternFill>
    </fill>
    <fill>
      <patternFill patternType="lightUp">
        <fgColor rgb="FF000000"/>
        <bgColor rgb="FFDDDDDD"/>
      </patternFill>
    </fill>
    <fill>
      <patternFill patternType="solid">
        <fgColor rgb="FFBFBFBF"/>
        <bgColor indexed="64"/>
      </patternFill>
    </fill>
    <fill>
      <patternFill patternType="solid">
        <fgColor rgb="FF0000FF"/>
        <bgColor indexed="64"/>
      </patternFill>
    </fill>
    <fill>
      <patternFill patternType="solid">
        <fgColor rgb="FF00FF00"/>
        <bgColor indexed="64"/>
      </patternFill>
    </fill>
  </fills>
  <borders count="162">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right/>
      <top/>
      <bottom style="hair">
        <color indexed="64"/>
      </bottom>
      <diagonal/>
    </border>
    <border>
      <left/>
      <right style="thin">
        <color indexed="64"/>
      </right>
      <top/>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top style="thin">
        <color indexed="64"/>
      </top>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top style="medium">
        <color indexed="64"/>
      </top>
      <bottom style="hair">
        <color indexed="64"/>
      </bottom>
      <diagonal/>
    </border>
    <border>
      <left style="thin">
        <color indexed="64"/>
      </left>
      <right style="medium">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hair">
        <color indexed="64"/>
      </top>
      <bottom style="medium">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bottom style="medium">
        <color indexed="64"/>
      </bottom>
      <diagonal/>
    </border>
    <border>
      <left style="medium">
        <color indexed="64"/>
      </left>
      <right/>
      <top/>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hair">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thin">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top style="medium">
        <color indexed="12"/>
      </top>
      <bottom/>
      <diagonal/>
    </border>
    <border>
      <left style="thin">
        <color indexed="64"/>
      </left>
      <right style="thin">
        <color indexed="64"/>
      </right>
      <top/>
      <bottom/>
      <diagonal/>
    </border>
    <border>
      <left style="thin">
        <color indexed="64"/>
      </left>
      <right style="thin">
        <color indexed="64"/>
      </right>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hair">
        <color indexed="64"/>
      </top>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medium">
        <color indexed="64"/>
      </left>
      <right/>
      <top style="hair">
        <color indexed="64"/>
      </top>
      <bottom style="hair">
        <color indexed="64"/>
      </bottom>
      <diagonal/>
    </border>
    <border>
      <left style="medium">
        <color indexed="64"/>
      </left>
      <right style="medium">
        <color indexed="64"/>
      </right>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hair">
        <color indexed="64"/>
      </left>
      <right style="hair">
        <color indexed="64"/>
      </right>
      <top style="medium">
        <color indexed="64"/>
      </top>
      <bottom/>
      <diagonal/>
    </border>
    <border>
      <left style="hair">
        <color indexed="64"/>
      </left>
      <right style="hair">
        <color indexed="64"/>
      </right>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hair">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top style="hair">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thin">
        <color indexed="64"/>
      </top>
      <bottom/>
      <diagonal/>
    </border>
    <border>
      <left style="thin">
        <color indexed="64"/>
      </left>
      <right/>
      <top style="hair">
        <color indexed="64"/>
      </top>
      <bottom/>
      <diagonal/>
    </border>
    <border>
      <left style="medium">
        <color indexed="64"/>
      </left>
      <right style="thin">
        <color indexed="64"/>
      </right>
      <top style="hair">
        <color indexed="64"/>
      </top>
      <bottom/>
      <diagonal/>
    </border>
    <border>
      <left style="thin">
        <color indexed="64"/>
      </left>
      <right style="medium">
        <color indexed="64"/>
      </right>
      <top/>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diagonal/>
    </border>
    <border>
      <left style="thin">
        <color indexed="64"/>
      </left>
      <right style="medium">
        <color indexed="64"/>
      </right>
      <top style="hair">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bottom style="medium">
        <color indexed="64"/>
      </bottom>
      <diagonal/>
    </border>
    <border>
      <left/>
      <right/>
      <top style="hair">
        <color indexed="64"/>
      </top>
      <bottom/>
      <diagonal/>
    </border>
    <border>
      <left/>
      <right style="medium">
        <color indexed="64"/>
      </right>
      <top style="hair">
        <color indexed="64"/>
      </top>
      <bottom style="thin">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thick">
        <color indexed="64"/>
      </bottom>
      <diagonal/>
    </border>
    <border>
      <left style="medium">
        <color indexed="64"/>
      </left>
      <right style="medium">
        <color indexed="64"/>
      </right>
      <top style="medium">
        <color indexed="64"/>
      </top>
      <bottom/>
      <diagonal/>
    </border>
    <border>
      <left/>
      <right style="medium">
        <color indexed="64"/>
      </right>
      <top style="hair">
        <color indexed="64"/>
      </top>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top style="hair">
        <color indexed="64"/>
      </top>
      <bottom/>
      <diagonal/>
    </border>
  </borders>
  <cellStyleXfs count="103">
    <xf numFmtId="0" fontId="0" fillId="0" borderId="0"/>
    <xf numFmtId="0" fontId="11" fillId="2" borderId="0" applyNumberFormat="0" applyBorder="0" applyAlignment="0" applyProtection="0"/>
    <xf numFmtId="0" fontId="1" fillId="2" borderId="0" applyNumberFormat="0" applyBorder="0" applyAlignment="0" applyProtection="0"/>
    <xf numFmtId="0" fontId="11" fillId="3" borderId="0" applyNumberFormat="0" applyBorder="0" applyAlignment="0" applyProtection="0"/>
    <xf numFmtId="0" fontId="1" fillId="3" borderId="0" applyNumberFormat="0" applyBorder="0" applyAlignment="0" applyProtection="0"/>
    <xf numFmtId="0" fontId="11" fillId="4" borderId="0" applyNumberFormat="0" applyBorder="0" applyAlignment="0" applyProtection="0"/>
    <xf numFmtId="0" fontId="1" fillId="4" borderId="0" applyNumberFormat="0" applyBorder="0" applyAlignment="0" applyProtection="0"/>
    <xf numFmtId="0" fontId="11" fillId="5" borderId="0" applyNumberFormat="0" applyBorder="0" applyAlignment="0" applyProtection="0"/>
    <xf numFmtId="0" fontId="1" fillId="5" borderId="0" applyNumberFormat="0" applyBorder="0" applyAlignment="0" applyProtection="0"/>
    <xf numFmtId="0" fontId="11" fillId="6" borderId="0" applyNumberFormat="0" applyBorder="0" applyAlignment="0" applyProtection="0"/>
    <xf numFmtId="0" fontId="1" fillId="6" borderId="0" applyNumberFormat="0" applyBorder="0" applyAlignment="0" applyProtection="0"/>
    <xf numFmtId="0" fontId="11" fillId="7" borderId="0" applyNumberFormat="0" applyBorder="0" applyAlignment="0" applyProtection="0"/>
    <xf numFmtId="0" fontId="1" fillId="7"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1" fillId="8" borderId="0" applyNumberFormat="0" applyBorder="0" applyAlignment="0" applyProtection="0"/>
    <xf numFmtId="0" fontId="1" fillId="8" borderId="0" applyNumberFormat="0" applyBorder="0" applyAlignment="0" applyProtection="0"/>
    <xf numFmtId="0" fontId="11" fillId="9" borderId="0" applyNumberFormat="0" applyBorder="0" applyAlignment="0" applyProtection="0"/>
    <xf numFmtId="0" fontId="1" fillId="9" borderId="0" applyNumberFormat="0" applyBorder="0" applyAlignment="0" applyProtection="0"/>
    <xf numFmtId="0" fontId="11" fillId="10" borderId="0" applyNumberFormat="0" applyBorder="0" applyAlignment="0" applyProtection="0"/>
    <xf numFmtId="0" fontId="1" fillId="10" borderId="0" applyNumberFormat="0" applyBorder="0" applyAlignment="0" applyProtection="0"/>
    <xf numFmtId="0" fontId="11" fillId="5" borderId="0" applyNumberFormat="0" applyBorder="0" applyAlignment="0" applyProtection="0"/>
    <xf numFmtId="0" fontId="1" fillId="5" borderId="0" applyNumberFormat="0" applyBorder="0" applyAlignment="0" applyProtection="0"/>
    <xf numFmtId="0" fontId="11" fillId="8" borderId="0" applyNumberFormat="0" applyBorder="0" applyAlignment="0" applyProtection="0"/>
    <xf numFmtId="0" fontId="1" fillId="8" borderId="0" applyNumberFormat="0" applyBorder="0" applyAlignment="0" applyProtection="0"/>
    <xf numFmtId="0" fontId="11" fillId="11" borderId="0" applyNumberFormat="0" applyBorder="0" applyAlignment="0" applyProtection="0"/>
    <xf numFmtId="0" fontId="1" fillId="11"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2" fillId="0" borderId="0" applyNumberFormat="0" applyFont="0" applyFill="0" applyBorder="0" applyProtection="0">
      <alignment horizontal="left" vertical="center" indent="5"/>
    </xf>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24" fillId="20" borderId="1" applyNumberFormat="0" applyAlignment="0" applyProtection="0"/>
    <xf numFmtId="0" fontId="13" fillId="3" borderId="0" applyNumberFormat="0" applyBorder="0" applyAlignment="0" applyProtection="0"/>
    <xf numFmtId="0" fontId="14" fillId="20" borderId="2" applyNumberFormat="0" applyAlignment="0" applyProtection="0"/>
    <xf numFmtId="0" fontId="14" fillId="20" borderId="2" applyNumberFormat="0" applyAlignment="0" applyProtection="0"/>
    <xf numFmtId="0" fontId="15" fillId="21" borderId="3" applyNumberFormat="0" applyAlignment="0" applyProtection="0"/>
    <xf numFmtId="0" fontId="21" fillId="7" borderId="2" applyNumberFormat="0" applyAlignment="0" applyProtection="0"/>
    <xf numFmtId="0" fontId="26" fillId="0" borderId="4" applyNumberFormat="0" applyFill="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7" fillId="4" borderId="0" applyNumberFormat="0" applyBorder="0" applyAlignment="0" applyProtection="0"/>
    <xf numFmtId="0" fontId="17" fillId="4" borderId="0" applyNumberFormat="0" applyBorder="0" applyAlignment="0" applyProtection="0"/>
    <xf numFmtId="0" fontId="18" fillId="0" borderId="5" applyNumberFormat="0" applyFill="0" applyAlignment="0" applyProtection="0"/>
    <xf numFmtId="0" fontId="19" fillId="0" borderId="6" applyNumberFormat="0" applyFill="0" applyAlignment="0" applyProtection="0"/>
    <xf numFmtId="0" fontId="20" fillId="0" borderId="7" applyNumberFormat="0" applyFill="0" applyAlignment="0" applyProtection="0"/>
    <xf numFmtId="0" fontId="20" fillId="0" borderId="0" applyNumberFormat="0" applyFill="0" applyBorder="0" applyAlignment="0" applyProtection="0"/>
    <xf numFmtId="0" fontId="21" fillId="7" borderId="2" applyNumberFormat="0" applyAlignment="0" applyProtection="0"/>
    <xf numFmtId="0" fontId="6" fillId="0" borderId="0" applyNumberFormat="0" applyFill="0" applyBorder="0" applyAlignment="0" applyProtection="0">
      <alignment vertical="top"/>
      <protection locked="0"/>
    </xf>
    <xf numFmtId="0" fontId="22" fillId="0" borderId="8" applyNumberFormat="0" applyFill="0" applyAlignment="0" applyProtection="0"/>
    <xf numFmtId="0" fontId="23" fillId="22" borderId="0" applyNumberFormat="0" applyBorder="0" applyAlignment="0" applyProtection="0"/>
    <xf numFmtId="0" fontId="2" fillId="23" borderId="9" applyNumberFormat="0" applyFont="0" applyAlignment="0" applyProtection="0"/>
    <xf numFmtId="0" fontId="1" fillId="23" borderId="9" applyNumberFormat="0" applyFont="0" applyAlignment="0" applyProtection="0"/>
    <xf numFmtId="0" fontId="24" fillId="20" borderId="1" applyNumberFormat="0" applyAlignment="0" applyProtection="0"/>
    <xf numFmtId="9" fontId="2" fillId="0" borderId="0" applyFont="0" applyFill="0" applyBorder="0" applyAlignment="0" applyProtection="0"/>
    <xf numFmtId="9" fontId="78" fillId="0" borderId="0" applyFont="0" applyFill="0" applyBorder="0" applyAlignment="0" applyProtection="0"/>
    <xf numFmtId="0" fontId="13" fillId="3" borderId="0" applyNumberFormat="0" applyBorder="0" applyAlignment="0" applyProtection="0"/>
    <xf numFmtId="0" fontId="2" fillId="0" borderId="0"/>
    <xf numFmtId="0" fontId="2" fillId="0" borderId="0"/>
    <xf numFmtId="0" fontId="78" fillId="0" borderId="0"/>
    <xf numFmtId="0" fontId="1" fillId="0" borderId="0"/>
    <xf numFmtId="0" fontId="25" fillId="0" borderId="0" applyNumberFormat="0" applyFill="0" applyBorder="0" applyAlignment="0" applyProtection="0"/>
    <xf numFmtId="0" fontId="26" fillId="0" borderId="4" applyNumberFormat="0" applyFill="0" applyAlignment="0" applyProtection="0"/>
    <xf numFmtId="0" fontId="25" fillId="0" borderId="0" applyNumberFormat="0" applyFill="0" applyBorder="0" applyAlignment="0" applyProtection="0"/>
    <xf numFmtId="0" fontId="18" fillId="0" borderId="5" applyNumberFormat="0" applyFill="0" applyAlignment="0" applyProtection="0"/>
    <xf numFmtId="0" fontId="19" fillId="0" borderId="6" applyNumberFormat="0" applyFill="0" applyAlignment="0" applyProtection="0"/>
    <xf numFmtId="0" fontId="20" fillId="0" borderId="7" applyNumberFormat="0" applyFill="0" applyAlignment="0" applyProtection="0"/>
    <xf numFmtId="0" fontId="20" fillId="0" borderId="0" applyNumberFormat="0" applyFill="0" applyBorder="0" applyAlignment="0" applyProtection="0"/>
    <xf numFmtId="0" fontId="22" fillId="0" borderId="8"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5" fillId="21" borderId="3" applyNumberFormat="0" applyAlignment="0" applyProtection="0"/>
    <xf numFmtId="4" fontId="58" fillId="0" borderId="0"/>
  </cellStyleXfs>
  <cellXfs count="2820">
    <xf numFmtId="0" fontId="0" fillId="0" borderId="0" xfId="0"/>
    <xf numFmtId="0" fontId="37" fillId="0" borderId="0" xfId="0" applyFont="1" applyAlignment="1">
      <alignment vertical="top"/>
    </xf>
    <xf numFmtId="0" fontId="37" fillId="24" borderId="0" xfId="0" applyFont="1" applyFill="1" applyAlignment="1">
      <alignment vertical="top"/>
    </xf>
    <xf numFmtId="0" fontId="0" fillId="25" borderId="0" xfId="0" applyFill="1"/>
    <xf numFmtId="0" fontId="5" fillId="25" borderId="0" xfId="0" applyFont="1" applyFill="1"/>
    <xf numFmtId="0" fontId="0" fillId="25" borderId="0" xfId="0" applyFill="1" applyAlignment="1">
      <alignment horizontal="center"/>
    </xf>
    <xf numFmtId="0" fontId="2" fillId="25" borderId="0" xfId="0" applyFont="1" applyFill="1"/>
    <xf numFmtId="0" fontId="2" fillId="24" borderId="0" xfId="0" applyFont="1" applyFill="1"/>
    <xf numFmtId="0" fontId="9" fillId="25" borderId="0" xfId="0" applyFont="1" applyFill="1" applyAlignment="1">
      <alignment vertical="top"/>
    </xf>
    <xf numFmtId="0" fontId="2" fillId="24" borderId="10" xfId="0" applyFont="1" applyFill="1" applyBorder="1" applyAlignment="1">
      <alignment horizontal="center" vertical="top"/>
    </xf>
    <xf numFmtId="0" fontId="2" fillId="24" borderId="11" xfId="0" applyFont="1" applyFill="1" applyBorder="1" applyAlignment="1">
      <alignment horizontal="center"/>
    </xf>
    <xf numFmtId="0" fontId="3" fillId="26" borderId="0" xfId="0" applyFont="1" applyFill="1" applyAlignment="1">
      <alignment horizontal="left"/>
    </xf>
    <xf numFmtId="0" fontId="3" fillId="26" borderId="0" xfId="0" applyFont="1" applyFill="1"/>
    <xf numFmtId="0" fontId="4" fillId="25" borderId="0" xfId="0" applyFont="1" applyFill="1" applyAlignment="1">
      <alignment horizontal="center" vertical="top"/>
    </xf>
    <xf numFmtId="0" fontId="4" fillId="25" borderId="0" xfId="0" applyFont="1" applyFill="1" applyAlignment="1">
      <alignment horizontal="left" vertical="top"/>
    </xf>
    <xf numFmtId="0" fontId="2" fillId="25" borderId="0" xfId="0" applyFont="1" applyFill="1" applyAlignment="1">
      <alignment vertical="top"/>
    </xf>
    <xf numFmtId="0" fontId="10" fillId="25" borderId="0" xfId="0" applyFont="1" applyFill="1" applyAlignment="1">
      <alignment horizontal="left" vertical="top"/>
    </xf>
    <xf numFmtId="0" fontId="35" fillId="25" borderId="0" xfId="0" applyFont="1" applyFill="1" applyAlignment="1">
      <alignment horizontal="center"/>
    </xf>
    <xf numFmtId="0" fontId="35" fillId="25" borderId="0" xfId="0" applyFont="1" applyFill="1"/>
    <xf numFmtId="0" fontId="37" fillId="25" borderId="0" xfId="0" applyFont="1" applyFill="1" applyAlignment="1">
      <alignment vertical="top"/>
    </xf>
    <xf numFmtId="0" fontId="0" fillId="25" borderId="0" xfId="0" applyFill="1" applyAlignment="1">
      <alignment horizontal="left" vertical="top"/>
    </xf>
    <xf numFmtId="0" fontId="37" fillId="25" borderId="12" xfId="0" applyFont="1" applyFill="1" applyBorder="1" applyAlignment="1">
      <alignment vertical="top"/>
    </xf>
    <xf numFmtId="0" fontId="37" fillId="0" borderId="13" xfId="0" applyFont="1" applyBorder="1" applyAlignment="1">
      <alignment vertical="top"/>
    </xf>
    <xf numFmtId="0" fontId="37" fillId="25" borderId="13" xfId="0" applyFont="1" applyFill="1" applyBorder="1" applyAlignment="1">
      <alignment vertical="top"/>
    </xf>
    <xf numFmtId="0" fontId="4" fillId="25" borderId="12" xfId="0" applyFont="1" applyFill="1" applyBorder="1" applyAlignment="1">
      <alignment horizontal="left" vertical="top"/>
    </xf>
    <xf numFmtId="0" fontId="37" fillId="25" borderId="14" xfId="0" applyFont="1" applyFill="1" applyBorder="1" applyAlignment="1">
      <alignment horizontal="center" vertical="top"/>
    </xf>
    <xf numFmtId="0" fontId="37" fillId="25" borderId="15" xfId="0" applyFont="1" applyFill="1" applyBorder="1" applyAlignment="1">
      <alignment horizontal="center" vertical="top"/>
    </xf>
    <xf numFmtId="0" fontId="37" fillId="25" borderId="16" xfId="0" applyFont="1" applyFill="1" applyBorder="1" applyAlignment="1">
      <alignment horizontal="center" vertical="top"/>
    </xf>
    <xf numFmtId="0" fontId="37" fillId="25" borderId="17" xfId="0" applyFont="1" applyFill="1" applyBorder="1" applyAlignment="1">
      <alignment vertical="top"/>
    </xf>
    <xf numFmtId="0" fontId="37" fillId="25" borderId="17" xfId="0" applyFont="1" applyFill="1" applyBorder="1" applyAlignment="1">
      <alignment horizontal="center" vertical="top"/>
    </xf>
    <xf numFmtId="0" fontId="4" fillId="25" borderId="12" xfId="0" applyFont="1" applyFill="1" applyBorder="1" applyAlignment="1">
      <alignment horizontal="center" vertical="top"/>
    </xf>
    <xf numFmtId="0" fontId="4" fillId="25" borderId="18" xfId="0" applyFont="1" applyFill="1" applyBorder="1" applyAlignment="1">
      <alignment horizontal="center" vertical="top"/>
    </xf>
    <xf numFmtId="0" fontId="37" fillId="25" borderId="19" xfId="0" applyFont="1" applyFill="1" applyBorder="1" applyAlignment="1">
      <alignment horizontal="center" vertical="top"/>
    </xf>
    <xf numFmtId="0" fontId="37" fillId="25" borderId="20" xfId="0" applyFont="1" applyFill="1" applyBorder="1" applyAlignment="1">
      <alignment horizontal="center" vertical="top"/>
    </xf>
    <xf numFmtId="0" fontId="37" fillId="25" borderId="21" xfId="0" applyFont="1" applyFill="1" applyBorder="1" applyAlignment="1">
      <alignment vertical="top"/>
    </xf>
    <xf numFmtId="0" fontId="37" fillId="25" borderId="22" xfId="0" applyFont="1" applyFill="1" applyBorder="1" applyAlignment="1">
      <alignment horizontal="center" vertical="top"/>
    </xf>
    <xf numFmtId="0" fontId="37" fillId="25" borderId="23" xfId="0" applyFont="1" applyFill="1" applyBorder="1" applyAlignment="1">
      <alignment horizontal="center" vertical="top"/>
    </xf>
    <xf numFmtId="0" fontId="37" fillId="25" borderId="12" xfId="0" applyFont="1" applyFill="1" applyBorder="1" applyAlignment="1">
      <alignment horizontal="center" vertical="top"/>
    </xf>
    <xf numFmtId="0" fontId="4" fillId="25" borderId="24" xfId="0" applyFont="1" applyFill="1" applyBorder="1" applyAlignment="1">
      <alignment horizontal="center" vertical="top"/>
    </xf>
    <xf numFmtId="0" fontId="4" fillId="25" borderId="0" xfId="0" applyFont="1" applyFill="1" applyAlignment="1">
      <alignment vertical="top"/>
    </xf>
    <xf numFmtId="0" fontId="4" fillId="24" borderId="0" xfId="0" applyFont="1" applyFill="1" applyAlignment="1">
      <alignment vertical="top"/>
    </xf>
    <xf numFmtId="0" fontId="4" fillId="0" borderId="0" xfId="0" applyFont="1" applyAlignment="1">
      <alignment vertical="top"/>
    </xf>
    <xf numFmtId="0" fontId="4" fillId="25" borderId="12" xfId="0" applyFont="1" applyFill="1" applyBorder="1" applyAlignment="1">
      <alignment vertical="top"/>
    </xf>
    <xf numFmtId="0" fontId="37" fillId="25" borderId="25" xfId="0" applyFont="1" applyFill="1" applyBorder="1" applyAlignment="1">
      <alignment horizontal="center" vertical="top"/>
    </xf>
    <xf numFmtId="0" fontId="37" fillId="27" borderId="13" xfId="0" applyFont="1" applyFill="1" applyBorder="1" applyAlignment="1">
      <alignment vertical="top"/>
    </xf>
    <xf numFmtId="0" fontId="37" fillId="25" borderId="0" xfId="0" applyFont="1" applyFill="1" applyAlignment="1">
      <alignment horizontal="center" vertical="top"/>
    </xf>
    <xf numFmtId="0" fontId="37" fillId="25" borderId="24" xfId="0" applyFont="1" applyFill="1" applyBorder="1" applyAlignment="1">
      <alignment horizontal="center" vertical="top"/>
    </xf>
    <xf numFmtId="0" fontId="37" fillId="25" borderId="26" xfId="0" applyFont="1" applyFill="1" applyBorder="1" applyAlignment="1">
      <alignment horizontal="center" vertical="top"/>
    </xf>
    <xf numFmtId="0" fontId="4" fillId="25" borderId="26" xfId="0" applyFont="1" applyFill="1" applyBorder="1" applyAlignment="1">
      <alignment horizontal="center" vertical="top"/>
    </xf>
    <xf numFmtId="0" fontId="37" fillId="27" borderId="20" xfId="0" applyFont="1" applyFill="1" applyBorder="1" applyAlignment="1">
      <alignment horizontal="center" vertical="top"/>
    </xf>
    <xf numFmtId="0" fontId="37" fillId="27" borderId="23" xfId="0" applyFont="1" applyFill="1" applyBorder="1" applyAlignment="1">
      <alignment horizontal="center" vertical="top"/>
    </xf>
    <xf numFmtId="0" fontId="37" fillId="27" borderId="16" xfId="0" applyFont="1" applyFill="1" applyBorder="1" applyAlignment="1">
      <alignment horizontal="center" vertical="top"/>
    </xf>
    <xf numFmtId="164" fontId="37" fillId="25" borderId="19" xfId="0" applyNumberFormat="1" applyFont="1" applyFill="1" applyBorder="1" applyAlignment="1">
      <alignment horizontal="right" vertical="top" indent="1"/>
    </xf>
    <xf numFmtId="164" fontId="37" fillId="25" borderId="20" xfId="0" applyNumberFormat="1" applyFont="1" applyFill="1" applyBorder="1" applyAlignment="1">
      <alignment horizontal="right" vertical="top" indent="1"/>
    </xf>
    <xf numFmtId="164" fontId="37" fillId="25" borderId="23" xfId="0" applyNumberFormat="1" applyFont="1" applyFill="1" applyBorder="1" applyAlignment="1">
      <alignment horizontal="right" vertical="top" indent="1"/>
    </xf>
    <xf numFmtId="0" fontId="37" fillId="27" borderId="19" xfId="0" applyFont="1" applyFill="1" applyBorder="1" applyAlignment="1">
      <alignment vertical="top"/>
    </xf>
    <xf numFmtId="0" fontId="37" fillId="27" borderId="20" xfId="0" applyFont="1" applyFill="1" applyBorder="1" applyAlignment="1">
      <alignment vertical="top"/>
    </xf>
    <xf numFmtId="0" fontId="37" fillId="0" borderId="14" xfId="0" applyFont="1" applyBorder="1" applyAlignment="1">
      <alignment vertical="top"/>
    </xf>
    <xf numFmtId="0" fontId="37" fillId="0" borderId="15" xfId="0" applyFont="1" applyBorder="1" applyAlignment="1">
      <alignment vertical="top"/>
    </xf>
    <xf numFmtId="0" fontId="37" fillId="27" borderId="14" xfId="0" applyFont="1" applyFill="1" applyBorder="1" applyAlignment="1">
      <alignment horizontal="center" vertical="top"/>
    </xf>
    <xf numFmtId="0" fontId="37" fillId="0" borderId="27" xfId="0" applyFont="1" applyBorder="1" applyAlignment="1">
      <alignment vertical="top"/>
    </xf>
    <xf numFmtId="0" fontId="37" fillId="0" borderId="28" xfId="0" applyFont="1" applyBorder="1" applyAlignment="1">
      <alignment vertical="top"/>
    </xf>
    <xf numFmtId="0" fontId="37" fillId="0" borderId="29" xfId="0" applyFont="1" applyBorder="1" applyAlignment="1">
      <alignment vertical="top"/>
    </xf>
    <xf numFmtId="0" fontId="37" fillId="0" borderId="30" xfId="0" applyFont="1" applyBorder="1" applyAlignment="1">
      <alignment vertical="top"/>
    </xf>
    <xf numFmtId="164" fontId="37" fillId="0" borderId="31" xfId="0" applyNumberFormat="1" applyFont="1" applyBorder="1" applyAlignment="1">
      <alignment vertical="top"/>
    </xf>
    <xf numFmtId="0" fontId="37" fillId="0" borderId="32" xfId="0" applyFont="1" applyBorder="1" applyAlignment="1">
      <alignment vertical="top"/>
    </xf>
    <xf numFmtId="164" fontId="37" fillId="0" borderId="33" xfId="0" applyNumberFormat="1" applyFont="1" applyBorder="1" applyAlignment="1">
      <alignment vertical="top"/>
    </xf>
    <xf numFmtId="0" fontId="37" fillId="0" borderId="34" xfId="0" applyFont="1" applyBorder="1" applyAlignment="1">
      <alignment vertical="top"/>
    </xf>
    <xf numFmtId="164" fontId="37" fillId="0" borderId="35" xfId="0" applyNumberFormat="1" applyFont="1" applyBorder="1" applyAlignment="1">
      <alignment vertical="top"/>
    </xf>
    <xf numFmtId="0" fontId="37" fillId="0" borderId="36" xfId="0" applyFont="1" applyBorder="1" applyAlignment="1">
      <alignment vertical="top"/>
    </xf>
    <xf numFmtId="0" fontId="37" fillId="0" borderId="37" xfId="0" applyFont="1" applyBorder="1" applyAlignment="1">
      <alignment vertical="top"/>
    </xf>
    <xf numFmtId="164" fontId="37" fillId="25" borderId="22" xfId="0" applyNumberFormat="1" applyFont="1" applyFill="1" applyBorder="1" applyAlignment="1">
      <alignment horizontal="right" vertical="top" indent="1"/>
    </xf>
    <xf numFmtId="0" fontId="37" fillId="0" borderId="0" xfId="0" applyFont="1" applyAlignment="1">
      <alignment horizontal="center" vertical="top"/>
    </xf>
    <xf numFmtId="0" fontId="37" fillId="0" borderId="38" xfId="0" applyFont="1" applyBorder="1" applyAlignment="1">
      <alignment vertical="top"/>
    </xf>
    <xf numFmtId="0" fontId="37" fillId="0" borderId="39" xfId="0" applyFont="1" applyBorder="1" applyAlignment="1">
      <alignment horizontal="center" vertical="top"/>
    </xf>
    <xf numFmtId="0" fontId="37" fillId="0" borderId="39" xfId="0" applyFont="1" applyBorder="1" applyAlignment="1">
      <alignment vertical="top"/>
    </xf>
    <xf numFmtId="0" fontId="37" fillId="0" borderId="40" xfId="0" applyFont="1" applyBorder="1" applyAlignment="1">
      <alignment vertical="top"/>
    </xf>
    <xf numFmtId="0" fontId="37" fillId="0" borderId="41" xfId="0" applyFont="1" applyBorder="1" applyAlignment="1">
      <alignment vertical="top"/>
    </xf>
    <xf numFmtId="0" fontId="37" fillId="0" borderId="42" xfId="0" applyFont="1" applyBorder="1" applyAlignment="1">
      <alignment vertical="top"/>
    </xf>
    <xf numFmtId="0" fontId="37" fillId="0" borderId="43" xfId="0" applyFont="1" applyBorder="1" applyAlignment="1">
      <alignment vertical="top"/>
    </xf>
    <xf numFmtId="164" fontId="37" fillId="0" borderId="44" xfId="0" applyNumberFormat="1" applyFont="1" applyBorder="1" applyAlignment="1">
      <alignment vertical="top"/>
    </xf>
    <xf numFmtId="164" fontId="37" fillId="0" borderId="45" xfId="0" applyNumberFormat="1" applyFont="1" applyBorder="1" applyAlignment="1">
      <alignment vertical="top"/>
    </xf>
    <xf numFmtId="0" fontId="37" fillId="0" borderId="46" xfId="0" applyFont="1" applyBorder="1" applyAlignment="1">
      <alignment horizontal="center" vertical="top"/>
    </xf>
    <xf numFmtId="0" fontId="37" fillId="0" borderId="18" xfId="0" applyFont="1" applyBorder="1" applyAlignment="1">
      <alignment horizontal="center" vertical="top"/>
    </xf>
    <xf numFmtId="0" fontId="37" fillId="0" borderId="47" xfId="0" applyFont="1" applyBorder="1" applyAlignment="1">
      <alignment horizontal="center" vertical="top"/>
    </xf>
    <xf numFmtId="0" fontId="37" fillId="0" borderId="46" xfId="0" applyFont="1" applyBorder="1" applyAlignment="1">
      <alignment vertical="top"/>
    </xf>
    <xf numFmtId="0" fontId="37" fillId="0" borderId="18" xfId="0" applyFont="1" applyBorder="1" applyAlignment="1">
      <alignment vertical="top"/>
    </xf>
    <xf numFmtId="0" fontId="37" fillId="0" borderId="47" xfId="0" applyFont="1" applyBorder="1" applyAlignment="1">
      <alignment vertical="top"/>
    </xf>
    <xf numFmtId="0" fontId="37" fillId="27" borderId="48" xfId="0" applyFont="1" applyFill="1" applyBorder="1" applyAlignment="1">
      <alignment vertical="top"/>
    </xf>
    <xf numFmtId="0" fontId="37" fillId="0" borderId="26" xfId="0" applyFont="1" applyBorder="1" applyAlignment="1">
      <alignment vertical="top"/>
    </xf>
    <xf numFmtId="0" fontId="37" fillId="25" borderId="26" xfId="0" applyFont="1" applyFill="1" applyBorder="1" applyAlignment="1">
      <alignment vertical="top"/>
    </xf>
    <xf numFmtId="0" fontId="37" fillId="27" borderId="25" xfId="0" applyFont="1" applyFill="1" applyBorder="1" applyAlignment="1">
      <alignment horizontal="center" vertical="top"/>
    </xf>
    <xf numFmtId="0" fontId="10" fillId="25" borderId="0" xfId="0" applyFont="1" applyFill="1" applyAlignment="1">
      <alignment horizontal="right" vertical="top"/>
    </xf>
    <xf numFmtId="0" fontId="37" fillId="0" borderId="49" xfId="0" applyFont="1" applyBorder="1" applyAlignment="1">
      <alignment vertical="top"/>
    </xf>
    <xf numFmtId="0" fontId="37" fillId="0" borderId="25" xfId="0" applyFont="1" applyBorder="1" applyAlignment="1">
      <alignment vertical="top"/>
    </xf>
    <xf numFmtId="0" fontId="37" fillId="0" borderId="26" xfId="0" applyFont="1" applyBorder="1" applyAlignment="1">
      <alignment horizontal="center" vertical="top"/>
    </xf>
    <xf numFmtId="0" fontId="37" fillId="0" borderId="50" xfId="0" applyFont="1" applyBorder="1" applyAlignment="1">
      <alignment vertical="top"/>
    </xf>
    <xf numFmtId="0" fontId="37" fillId="27" borderId="36" xfId="0" applyFont="1" applyFill="1" applyBorder="1" applyAlignment="1">
      <alignment horizontal="center" vertical="top"/>
    </xf>
    <xf numFmtId="0" fontId="37" fillId="27" borderId="51" xfId="0" applyFont="1" applyFill="1" applyBorder="1" applyAlignment="1">
      <alignment horizontal="center" vertical="top"/>
    </xf>
    <xf numFmtId="0" fontId="47" fillId="25" borderId="0" xfId="0" applyFont="1" applyFill="1" applyAlignment="1">
      <alignment vertical="top"/>
    </xf>
    <xf numFmtId="0" fontId="4" fillId="27" borderId="52" xfId="0" applyFont="1" applyFill="1" applyBorder="1" applyAlignment="1">
      <alignment vertical="top"/>
    </xf>
    <xf numFmtId="0" fontId="4" fillId="27" borderId="53" xfId="0" applyFont="1" applyFill="1" applyBorder="1" applyAlignment="1">
      <alignment vertical="top"/>
    </xf>
    <xf numFmtId="0" fontId="4" fillId="27" borderId="54" xfId="0" applyFont="1" applyFill="1" applyBorder="1" applyAlignment="1">
      <alignment vertical="top"/>
    </xf>
    <xf numFmtId="0" fontId="4" fillId="27" borderId="55" xfId="0" applyFont="1" applyFill="1" applyBorder="1" applyAlignment="1">
      <alignment vertical="top"/>
    </xf>
    <xf numFmtId="0" fontId="4" fillId="25" borderId="36" xfId="0" applyFont="1" applyFill="1" applyBorder="1" applyAlignment="1">
      <alignment vertical="top"/>
    </xf>
    <xf numFmtId="0" fontId="4" fillId="25" borderId="56" xfId="0" applyFont="1" applyFill="1" applyBorder="1" applyAlignment="1">
      <alignment vertical="top"/>
    </xf>
    <xf numFmtId="0" fontId="4" fillId="25" borderId="28" xfId="0" applyFont="1" applyFill="1" applyBorder="1" applyAlignment="1">
      <alignment vertical="top"/>
    </xf>
    <xf numFmtId="0" fontId="4" fillId="25" borderId="57" xfId="0" applyFont="1" applyFill="1" applyBorder="1" applyAlignment="1">
      <alignment vertical="top"/>
    </xf>
    <xf numFmtId="0" fontId="37" fillId="24" borderId="13" xfId="0" applyFont="1" applyFill="1" applyBorder="1" applyAlignment="1">
      <alignment vertical="top"/>
    </xf>
    <xf numFmtId="0" fontId="37" fillId="24" borderId="58" xfId="0" applyFont="1" applyFill="1" applyBorder="1" applyAlignment="1">
      <alignment vertical="top"/>
    </xf>
    <xf numFmtId="0" fontId="37" fillId="24" borderId="59" xfId="0" applyFont="1" applyFill="1" applyBorder="1" applyAlignment="1">
      <alignment vertical="top"/>
    </xf>
    <xf numFmtId="0" fontId="37" fillId="24" borderId="60" xfId="0" applyFont="1" applyFill="1" applyBorder="1" applyAlignment="1">
      <alignment vertical="top"/>
    </xf>
    <xf numFmtId="0" fontId="37" fillId="24" borderId="61" xfId="0" applyFont="1" applyFill="1" applyBorder="1" applyAlignment="1">
      <alignment vertical="top"/>
    </xf>
    <xf numFmtId="0" fontId="37" fillId="25" borderId="0" xfId="0" applyFont="1" applyFill="1" applyAlignment="1">
      <alignment vertical="top" wrapText="1"/>
    </xf>
    <xf numFmtId="0" fontId="10" fillId="25" borderId="0" xfId="0" quotePrefix="1" applyFont="1" applyFill="1" applyAlignment="1">
      <alignment horizontal="right" vertical="top"/>
    </xf>
    <xf numFmtId="0" fontId="50" fillId="25" borderId="0" xfId="0" applyFont="1" applyFill="1" applyAlignment="1">
      <alignment horizontal="left" vertical="top"/>
    </xf>
    <xf numFmtId="0" fontId="37" fillId="25" borderId="17" xfId="0" applyFont="1" applyFill="1" applyBorder="1" applyAlignment="1">
      <alignment horizontal="right" vertical="top"/>
    </xf>
    <xf numFmtId="0" fontId="37" fillId="25" borderId="25" xfId="0" quotePrefix="1" applyFont="1" applyFill="1" applyBorder="1" applyAlignment="1">
      <alignment horizontal="center" vertical="top"/>
    </xf>
    <xf numFmtId="0" fontId="37" fillId="25" borderId="11" xfId="0" applyFont="1" applyFill="1" applyBorder="1" applyAlignment="1">
      <alignment horizontal="center" vertical="top"/>
    </xf>
    <xf numFmtId="167" fontId="37" fillId="25" borderId="62" xfId="0" applyNumberFormat="1" applyFont="1" applyFill="1" applyBorder="1" applyAlignment="1">
      <alignment horizontal="center" vertical="top"/>
    </xf>
    <xf numFmtId="167" fontId="37" fillId="25" borderId="63" xfId="0" applyNumberFormat="1" applyFont="1" applyFill="1" applyBorder="1" applyAlignment="1">
      <alignment horizontal="center" vertical="top"/>
    </xf>
    <xf numFmtId="167" fontId="37" fillId="25" borderId="64" xfId="0" applyNumberFormat="1" applyFont="1" applyFill="1" applyBorder="1" applyAlignment="1">
      <alignment horizontal="center" vertical="top"/>
    </xf>
    <xf numFmtId="0" fontId="2" fillId="25" borderId="24" xfId="0" applyFont="1" applyFill="1" applyBorder="1" applyAlignment="1">
      <alignment horizontal="center" vertical="top"/>
    </xf>
    <xf numFmtId="0" fontId="4" fillId="25" borderId="12" xfId="0" applyFont="1" applyFill="1" applyBorder="1" applyAlignment="1">
      <alignment horizontal="right" vertical="top" indent="1"/>
    </xf>
    <xf numFmtId="2" fontId="37" fillId="25" borderId="15" xfId="0" applyNumberFormat="1" applyFont="1" applyFill="1" applyBorder="1" applyAlignment="1">
      <alignment horizontal="right" vertical="top" indent="1"/>
    </xf>
    <xf numFmtId="2" fontId="37" fillId="25" borderId="16" xfId="0" applyNumberFormat="1" applyFont="1" applyFill="1" applyBorder="1" applyAlignment="1">
      <alignment horizontal="right" vertical="top" indent="1"/>
    </xf>
    <xf numFmtId="0" fontId="10" fillId="25" borderId="0" xfId="0" applyFont="1" applyFill="1" applyAlignment="1">
      <alignment horizontal="right" vertical="top" indent="1"/>
    </xf>
    <xf numFmtId="2" fontId="37" fillId="25" borderId="17" xfId="0" applyNumberFormat="1" applyFont="1" applyFill="1" applyBorder="1" applyAlignment="1">
      <alignment horizontal="right" vertical="top" indent="1"/>
    </xf>
    <xf numFmtId="2" fontId="37" fillId="25" borderId="25" xfId="0" applyNumberFormat="1" applyFont="1" applyFill="1" applyBorder="1" applyAlignment="1">
      <alignment horizontal="right" vertical="top" indent="1"/>
    </xf>
    <xf numFmtId="0" fontId="2" fillId="25" borderId="25" xfId="0" applyFont="1" applyFill="1" applyBorder="1" applyAlignment="1">
      <alignment horizontal="center" vertical="top"/>
    </xf>
    <xf numFmtId="0" fontId="47" fillId="24" borderId="0" xfId="0" applyFont="1" applyFill="1" applyAlignment="1">
      <alignment vertical="top"/>
    </xf>
    <xf numFmtId="0" fontId="2" fillId="0" borderId="0" xfId="0" applyFont="1"/>
    <xf numFmtId="0" fontId="35" fillId="25" borderId="12" xfId="0" applyFont="1" applyFill="1" applyBorder="1" applyAlignment="1">
      <alignment horizontal="center"/>
    </xf>
    <xf numFmtId="0" fontId="2" fillId="25" borderId="39" xfId="0" applyFont="1" applyFill="1" applyBorder="1"/>
    <xf numFmtId="0" fontId="0" fillId="25" borderId="39" xfId="0" applyFill="1" applyBorder="1"/>
    <xf numFmtId="0" fontId="0" fillId="25" borderId="65" xfId="0" applyFill="1" applyBorder="1"/>
    <xf numFmtId="0" fontId="0" fillId="25" borderId="66" xfId="0" applyFill="1" applyBorder="1"/>
    <xf numFmtId="0" fontId="37" fillId="25" borderId="66" xfId="0" applyFont="1" applyFill="1" applyBorder="1" applyAlignment="1">
      <alignment vertical="top"/>
    </xf>
    <xf numFmtId="0" fontId="2" fillId="25" borderId="28" xfId="0" applyFont="1" applyFill="1" applyBorder="1"/>
    <xf numFmtId="0" fontId="0" fillId="25" borderId="28" xfId="0" applyFill="1" applyBorder="1"/>
    <xf numFmtId="0" fontId="0" fillId="25" borderId="57" xfId="0" applyFill="1" applyBorder="1"/>
    <xf numFmtId="0" fontId="37" fillId="0" borderId="13" xfId="0" applyFont="1" applyBorder="1" applyAlignment="1">
      <alignment horizontal="center" vertical="top"/>
    </xf>
    <xf numFmtId="0" fontId="2" fillId="0" borderId="13" xfId="0" applyFont="1" applyBorder="1" applyAlignment="1">
      <alignment vertical="top"/>
    </xf>
    <xf numFmtId="0" fontId="2" fillId="0" borderId="13" xfId="0" applyFont="1" applyBorder="1" applyAlignment="1">
      <alignment horizontal="center" vertical="top"/>
    </xf>
    <xf numFmtId="0" fontId="37" fillId="0" borderId="58" xfId="0" applyFont="1" applyBorder="1" applyAlignment="1">
      <alignment horizontal="center" vertical="top"/>
    </xf>
    <xf numFmtId="0" fontId="2" fillId="0" borderId="49" xfId="0" applyFont="1" applyBorder="1" applyAlignment="1">
      <alignment vertical="top"/>
    </xf>
    <xf numFmtId="0" fontId="2" fillId="0" borderId="58" xfId="0" applyFont="1" applyBorder="1" applyAlignment="1">
      <alignment horizontal="center" vertical="top"/>
    </xf>
    <xf numFmtId="0" fontId="2" fillId="0" borderId="58" xfId="0" applyFont="1" applyBorder="1" applyAlignment="1">
      <alignment vertical="top"/>
    </xf>
    <xf numFmtId="0" fontId="2" fillId="0" borderId="59" xfId="0" applyFont="1" applyBorder="1" applyAlignment="1">
      <alignment vertical="top"/>
    </xf>
    <xf numFmtId="0" fontId="2" fillId="0" borderId="60" xfId="0" applyFont="1" applyBorder="1" applyAlignment="1">
      <alignment vertical="top"/>
    </xf>
    <xf numFmtId="0" fontId="2" fillId="0" borderId="61" xfId="0" applyFont="1" applyBorder="1" applyAlignment="1">
      <alignment vertical="top"/>
    </xf>
    <xf numFmtId="0" fontId="4" fillId="0" borderId="57" xfId="0" applyFont="1" applyBorder="1" applyAlignment="1">
      <alignment vertical="top"/>
    </xf>
    <xf numFmtId="0" fontId="37" fillId="24" borderId="67" xfId="0" applyFont="1" applyFill="1" applyBorder="1" applyAlignment="1">
      <alignment vertical="top"/>
    </xf>
    <xf numFmtId="0" fontId="37" fillId="24" borderId="26" xfId="0" applyFont="1" applyFill="1" applyBorder="1" applyAlignment="1">
      <alignment vertical="top"/>
    </xf>
    <xf numFmtId="0" fontId="2" fillId="24" borderId="67" xfId="0" applyFont="1" applyFill="1" applyBorder="1"/>
    <xf numFmtId="0" fontId="37" fillId="24" borderId="68" xfId="0" applyFont="1" applyFill="1" applyBorder="1" applyAlignment="1">
      <alignment vertical="top"/>
    </xf>
    <xf numFmtId="0" fontId="37" fillId="24" borderId="69" xfId="0" applyFont="1" applyFill="1" applyBorder="1" applyAlignment="1">
      <alignment vertical="top"/>
    </xf>
    <xf numFmtId="0" fontId="4" fillId="0" borderId="70" xfId="0" applyFont="1" applyBorder="1" applyAlignment="1">
      <alignment horizontal="center" vertical="top"/>
    </xf>
    <xf numFmtId="0" fontId="4" fillId="0" borderId="48" xfId="0" applyFont="1" applyBorder="1" applyAlignment="1">
      <alignment horizontal="center" vertical="top"/>
    </xf>
    <xf numFmtId="0" fontId="37" fillId="27" borderId="71" xfId="0" applyFont="1" applyFill="1" applyBorder="1" applyAlignment="1">
      <alignment vertical="top"/>
    </xf>
    <xf numFmtId="0" fontId="37" fillId="27" borderId="72" xfId="0" applyFont="1" applyFill="1" applyBorder="1" applyAlignment="1">
      <alignment vertical="top"/>
    </xf>
    <xf numFmtId="0" fontId="37" fillId="24" borderId="73" xfId="0" applyFont="1" applyFill="1" applyBorder="1" applyAlignment="1">
      <alignment vertical="top"/>
    </xf>
    <xf numFmtId="0" fontId="37" fillId="25" borderId="28" xfId="0" applyFont="1" applyFill="1" applyBorder="1" applyAlignment="1">
      <alignment horizontal="center" vertical="top"/>
    </xf>
    <xf numFmtId="0" fontId="37" fillId="25" borderId="28" xfId="0" applyFont="1" applyFill="1" applyBorder="1" applyAlignment="1">
      <alignment vertical="top"/>
    </xf>
    <xf numFmtId="0" fontId="57" fillId="25" borderId="20" xfId="0" applyFont="1" applyFill="1" applyBorder="1" applyAlignment="1">
      <alignment horizontal="center" vertical="top"/>
    </xf>
    <xf numFmtId="0" fontId="2" fillId="24" borderId="13" xfId="0" applyFont="1" applyFill="1" applyBorder="1" applyAlignment="1">
      <alignment vertical="top"/>
    </xf>
    <xf numFmtId="0" fontId="40" fillId="27" borderId="13" xfId="0" applyFont="1" applyFill="1" applyBorder="1"/>
    <xf numFmtId="0" fontId="4" fillId="24" borderId="74" xfId="0" applyFont="1" applyFill="1" applyBorder="1" applyAlignment="1">
      <alignment vertical="top"/>
    </xf>
    <xf numFmtId="0" fontId="37" fillId="0" borderId="10" xfId="0" applyFont="1" applyBorder="1" applyAlignment="1">
      <alignment vertical="top"/>
    </xf>
    <xf numFmtId="0" fontId="4" fillId="0" borderId="75" xfId="0" applyFont="1" applyBorder="1" applyAlignment="1">
      <alignment vertical="top"/>
    </xf>
    <xf numFmtId="0" fontId="4" fillId="0" borderId="76" xfId="0" applyFont="1" applyBorder="1" applyAlignment="1">
      <alignment vertical="top"/>
    </xf>
    <xf numFmtId="0" fontId="4" fillId="0" borderId="76" xfId="0" applyFont="1" applyBorder="1" applyAlignment="1">
      <alignment horizontal="center" vertical="top"/>
    </xf>
    <xf numFmtId="0" fontId="4" fillId="27" borderId="76" xfId="0" applyFont="1" applyFill="1" applyBorder="1" applyAlignment="1">
      <alignment vertical="top"/>
    </xf>
    <xf numFmtId="0" fontId="4" fillId="27" borderId="77" xfId="0" applyFont="1" applyFill="1" applyBorder="1" applyAlignment="1">
      <alignment vertical="top"/>
    </xf>
    <xf numFmtId="0" fontId="37" fillId="25" borderId="26" xfId="0" quotePrefix="1" applyFont="1" applyFill="1" applyBorder="1" applyAlignment="1">
      <alignment horizontal="center" vertical="top"/>
    </xf>
    <xf numFmtId="0" fontId="37" fillId="25" borderId="0" xfId="0" applyFont="1" applyFill="1" applyAlignment="1">
      <alignment horizontal="right" vertical="top"/>
    </xf>
    <xf numFmtId="0" fontId="4" fillId="0" borderId="0" xfId="0" applyFont="1"/>
    <xf numFmtId="0" fontId="52" fillId="25" borderId="0" xfId="0" applyFont="1" applyFill="1" applyAlignment="1">
      <alignment horizontal="left" vertical="top"/>
    </xf>
    <xf numFmtId="0" fontId="0" fillId="25" borderId="0" xfId="0" applyFill="1" applyAlignment="1">
      <alignment vertical="top"/>
    </xf>
    <xf numFmtId="164" fontId="0" fillId="25" borderId="0" xfId="0" applyNumberFormat="1" applyFill="1" applyAlignment="1">
      <alignment vertical="top"/>
    </xf>
    <xf numFmtId="0" fontId="0" fillId="0" borderId="0" xfId="0" applyAlignment="1">
      <alignment wrapText="1"/>
    </xf>
    <xf numFmtId="0" fontId="39" fillId="25" borderId="0" xfId="0" applyFont="1" applyFill="1"/>
    <xf numFmtId="0" fontId="8" fillId="25" borderId="0" xfId="0" applyFont="1" applyFill="1" applyAlignment="1">
      <alignment horizontal="center" vertical="top"/>
    </xf>
    <xf numFmtId="0" fontId="8" fillId="25" borderId="0" xfId="0" applyFont="1" applyFill="1" applyAlignment="1">
      <alignment vertical="top"/>
    </xf>
    <xf numFmtId="0" fontId="2" fillId="25" borderId="0" xfId="0" applyFont="1" applyFill="1" applyAlignment="1">
      <alignment horizontal="left" vertical="top"/>
    </xf>
    <xf numFmtId="0" fontId="32" fillId="25" borderId="0" xfId="0" applyFont="1" applyFill="1" applyAlignment="1">
      <alignment vertical="top"/>
    </xf>
    <xf numFmtId="0" fontId="55" fillId="25" borderId="0" xfId="0" applyFont="1" applyFill="1" applyAlignment="1">
      <alignment vertical="top"/>
    </xf>
    <xf numFmtId="0" fontId="8" fillId="25" borderId="24" xfId="0" applyFont="1" applyFill="1" applyBorder="1" applyAlignment="1">
      <alignment vertical="top"/>
    </xf>
    <xf numFmtId="0" fontId="2" fillId="25" borderId="12" xfId="0" applyFont="1" applyFill="1" applyBorder="1" applyAlignment="1">
      <alignment vertical="top"/>
    </xf>
    <xf numFmtId="0" fontId="2" fillId="25" borderId="12" xfId="0" applyFont="1" applyFill="1" applyBorder="1"/>
    <xf numFmtId="0" fontId="2" fillId="25" borderId="12" xfId="0" applyFont="1" applyFill="1" applyBorder="1" applyAlignment="1">
      <alignment horizontal="left" vertical="top"/>
    </xf>
    <xf numFmtId="0" fontId="8" fillId="25" borderId="19" xfId="0" applyFont="1" applyFill="1" applyBorder="1" applyAlignment="1">
      <alignment horizontal="right" vertical="top" indent="1"/>
    </xf>
    <xf numFmtId="0" fontId="8" fillId="25" borderId="20" xfId="0" applyFont="1" applyFill="1" applyBorder="1" applyAlignment="1">
      <alignment horizontal="right" vertical="top" indent="1"/>
    </xf>
    <xf numFmtId="0" fontId="8" fillId="25" borderId="23" xfId="0" applyFont="1" applyFill="1" applyBorder="1" applyAlignment="1">
      <alignment horizontal="right" vertical="top" indent="1"/>
    </xf>
    <xf numFmtId="0" fontId="2" fillId="25" borderId="0" xfId="0" applyFont="1" applyFill="1" applyAlignment="1">
      <alignment horizontal="center" vertical="top"/>
    </xf>
    <xf numFmtId="0" fontId="37" fillId="28" borderId="25" xfId="0" applyFont="1" applyFill="1" applyBorder="1" applyAlignment="1" applyProtection="1">
      <alignment horizontal="center" vertical="top"/>
      <protection locked="0"/>
    </xf>
    <xf numFmtId="10" fontId="37" fillId="29" borderId="13" xfId="0" applyNumberFormat="1" applyFont="1" applyFill="1" applyBorder="1" applyAlignment="1" applyProtection="1">
      <alignment vertical="top"/>
      <protection locked="0"/>
    </xf>
    <xf numFmtId="0" fontId="4" fillId="25" borderId="78" xfId="0" applyFont="1" applyFill="1" applyBorder="1" applyAlignment="1">
      <alignment horizontal="left" vertical="top"/>
    </xf>
    <xf numFmtId="0" fontId="4" fillId="25" borderId="24" xfId="0" applyFont="1" applyFill="1" applyBorder="1" applyAlignment="1">
      <alignment horizontal="left" vertical="top"/>
    </xf>
    <xf numFmtId="0" fontId="0" fillId="30" borderId="0" xfId="0" applyFill="1"/>
    <xf numFmtId="0" fontId="4" fillId="0" borderId="12" xfId="0" applyFont="1" applyBorder="1"/>
    <xf numFmtId="0" fontId="0" fillId="0" borderId="12" xfId="0" applyBorder="1"/>
    <xf numFmtId="0" fontId="0" fillId="24" borderId="0" xfId="0" applyFill="1"/>
    <xf numFmtId="0" fontId="0" fillId="24" borderId="0" xfId="0" applyFill="1" applyAlignment="1">
      <alignment horizontal="center"/>
    </xf>
    <xf numFmtId="0" fontId="43" fillId="26" borderId="0" xfId="0" applyFont="1" applyFill="1"/>
    <xf numFmtId="0" fontId="44" fillId="24" borderId="0" xfId="0" applyFont="1" applyFill="1" applyAlignment="1">
      <alignment horizontal="left"/>
    </xf>
    <xf numFmtId="0" fontId="45" fillId="0" borderId="0" xfId="0" applyFont="1" applyAlignment="1">
      <alignment horizontal="left"/>
    </xf>
    <xf numFmtId="0" fontId="45" fillId="0" borderId="0" xfId="0" applyFont="1" applyAlignment="1">
      <alignment horizontal="left" indent="1"/>
    </xf>
    <xf numFmtId="0" fontId="26" fillId="0" borderId="12" xfId="90" applyFont="1" applyBorder="1"/>
    <xf numFmtId="0" fontId="1" fillId="0" borderId="0" xfId="90"/>
    <xf numFmtId="0" fontId="0" fillId="31" borderId="0" xfId="0" applyFill="1"/>
    <xf numFmtId="0" fontId="0" fillId="0" borderId="79" xfId="0" applyBorder="1"/>
    <xf numFmtId="0" fontId="0" fillId="30" borderId="80" xfId="0" applyFill="1" applyBorder="1"/>
    <xf numFmtId="0" fontId="0" fillId="0" borderId="81" xfId="0" applyBorder="1"/>
    <xf numFmtId="14" fontId="0" fillId="32" borderId="82" xfId="0" applyNumberFormat="1" applyFill="1" applyBorder="1" applyAlignment="1">
      <alignment horizontal="left"/>
    </xf>
    <xf numFmtId="0" fontId="0" fillId="0" borderId="83" xfId="0" applyBorder="1"/>
    <xf numFmtId="0" fontId="0" fillId="31" borderId="84" xfId="0" applyFill="1" applyBorder="1"/>
    <xf numFmtId="0" fontId="0" fillId="0" borderId="85" xfId="0" applyBorder="1"/>
    <xf numFmtId="0" fontId="0" fillId="33" borderId="86" xfId="0" applyFill="1" applyBorder="1"/>
    <xf numFmtId="0" fontId="37" fillId="27" borderId="43" xfId="0" applyFont="1" applyFill="1" applyBorder="1" applyAlignment="1">
      <alignment vertical="top"/>
    </xf>
    <xf numFmtId="0" fontId="37" fillId="27" borderId="28" xfId="0" applyFont="1" applyFill="1" applyBorder="1" applyAlignment="1">
      <alignment vertical="top"/>
    </xf>
    <xf numFmtId="0" fontId="37" fillId="27" borderId="71" xfId="0" applyFont="1" applyFill="1" applyBorder="1" applyAlignment="1">
      <alignment horizontal="center" vertical="top"/>
    </xf>
    <xf numFmtId="0" fontId="37" fillId="27" borderId="65" xfId="0" applyFont="1" applyFill="1" applyBorder="1" applyAlignment="1">
      <alignment vertical="top"/>
    </xf>
    <xf numFmtId="0" fontId="37" fillId="27" borderId="39" xfId="0" applyFont="1" applyFill="1" applyBorder="1" applyAlignment="1">
      <alignment vertical="top"/>
    </xf>
    <xf numFmtId="0" fontId="37" fillId="27" borderId="60" xfId="0" applyFont="1" applyFill="1" applyBorder="1" applyAlignment="1">
      <alignment horizontal="center" vertical="top"/>
    </xf>
    <xf numFmtId="0" fontId="37" fillId="27" borderId="60" xfId="0" applyFont="1" applyFill="1" applyBorder="1" applyAlignment="1">
      <alignment vertical="top"/>
    </xf>
    <xf numFmtId="0" fontId="37" fillId="27" borderId="61" xfId="0" applyFont="1" applyFill="1" applyBorder="1" applyAlignment="1">
      <alignment vertical="top"/>
    </xf>
    <xf numFmtId="0" fontId="4" fillId="27" borderId="74" xfId="0" applyFont="1" applyFill="1" applyBorder="1" applyAlignment="1">
      <alignment vertical="top"/>
    </xf>
    <xf numFmtId="0" fontId="37" fillId="24" borderId="38" xfId="0" applyFont="1" applyFill="1" applyBorder="1" applyAlignment="1">
      <alignment vertical="top"/>
    </xf>
    <xf numFmtId="0" fontId="6" fillId="25" borderId="0" xfId="78" applyFill="1" applyAlignment="1" applyProtection="1"/>
    <xf numFmtId="0" fontId="0" fillId="25" borderId="87" xfId="0" applyFill="1" applyBorder="1"/>
    <xf numFmtId="0" fontId="59" fillId="25" borderId="0" xfId="0" applyFont="1" applyFill="1" applyAlignment="1">
      <alignment horizontal="center" vertical="top"/>
    </xf>
    <xf numFmtId="0" fontId="2" fillId="34" borderId="13" xfId="0" applyFont="1" applyFill="1" applyBorder="1" applyAlignment="1">
      <alignment vertical="top"/>
    </xf>
    <xf numFmtId="0" fontId="2" fillId="34" borderId="60" xfId="0" applyFont="1" applyFill="1" applyBorder="1" applyAlignment="1">
      <alignment vertical="top"/>
    </xf>
    <xf numFmtId="3" fontId="37" fillId="28" borderId="64" xfId="0" applyNumberFormat="1" applyFont="1" applyFill="1" applyBorder="1" applyAlignment="1" applyProtection="1">
      <alignment vertical="top"/>
      <protection locked="0"/>
    </xf>
    <xf numFmtId="3" fontId="37" fillId="28" borderId="63" xfId="0" applyNumberFormat="1" applyFont="1" applyFill="1" applyBorder="1" applyAlignment="1" applyProtection="1">
      <alignment vertical="top"/>
      <protection locked="0"/>
    </xf>
    <xf numFmtId="171" fontId="37" fillId="28" borderId="13" xfId="0" applyNumberFormat="1" applyFont="1" applyFill="1" applyBorder="1" applyAlignment="1" applyProtection="1">
      <alignment vertical="top"/>
      <protection locked="0"/>
    </xf>
    <xf numFmtId="170" fontId="37" fillId="28" borderId="64" xfId="0" applyNumberFormat="1" applyFont="1" applyFill="1" applyBorder="1" applyAlignment="1" applyProtection="1">
      <alignment vertical="top"/>
      <protection locked="0"/>
    </xf>
    <xf numFmtId="170" fontId="37" fillId="28" borderId="63" xfId="0" applyNumberFormat="1" applyFont="1" applyFill="1" applyBorder="1" applyAlignment="1" applyProtection="1">
      <alignment vertical="top"/>
      <protection locked="0"/>
    </xf>
    <xf numFmtId="164" fontId="37" fillId="27" borderId="88" xfId="0" applyNumberFormat="1" applyFont="1" applyFill="1" applyBorder="1" applyAlignment="1">
      <alignment vertical="top"/>
    </xf>
    <xf numFmtId="164" fontId="37" fillId="28" borderId="88" xfId="0" applyNumberFormat="1" applyFont="1" applyFill="1" applyBorder="1" applyAlignment="1" applyProtection="1">
      <alignment vertical="top"/>
      <protection locked="0"/>
    </xf>
    <xf numFmtId="3" fontId="37" fillId="28" borderId="13" xfId="0" applyNumberFormat="1" applyFont="1" applyFill="1" applyBorder="1" applyAlignment="1" applyProtection="1">
      <alignment vertical="top"/>
      <protection locked="0"/>
    </xf>
    <xf numFmtId="172" fontId="37" fillId="28" borderId="64" xfId="0" applyNumberFormat="1" applyFont="1" applyFill="1" applyBorder="1" applyAlignment="1" applyProtection="1">
      <alignment vertical="top"/>
      <protection locked="0"/>
    </xf>
    <xf numFmtId="172" fontId="37" fillId="28" borderId="63" xfId="0" applyNumberFormat="1" applyFont="1" applyFill="1" applyBorder="1" applyAlignment="1" applyProtection="1">
      <alignment vertical="top"/>
      <protection locked="0"/>
    </xf>
    <xf numFmtId="172" fontId="37" fillId="28" borderId="89" xfId="0" applyNumberFormat="1" applyFont="1" applyFill="1" applyBorder="1" applyAlignment="1" applyProtection="1">
      <alignment vertical="top"/>
      <protection locked="0"/>
    </xf>
    <xf numFmtId="172" fontId="37" fillId="28" borderId="13" xfId="0" applyNumberFormat="1" applyFont="1" applyFill="1" applyBorder="1" applyAlignment="1" applyProtection="1">
      <alignment vertical="top"/>
      <protection locked="0"/>
    </xf>
    <xf numFmtId="165" fontId="37" fillId="27" borderId="64" xfId="84" applyNumberFormat="1" applyFont="1" applyFill="1" applyBorder="1" applyAlignment="1" applyProtection="1">
      <alignment vertical="top"/>
    </xf>
    <xf numFmtId="165" fontId="37" fillId="27" borderId="62" xfId="84" applyNumberFormat="1" applyFont="1" applyFill="1" applyBorder="1" applyAlignment="1" applyProtection="1">
      <alignment vertical="top"/>
    </xf>
    <xf numFmtId="3" fontId="37" fillId="27" borderId="64" xfId="0" applyNumberFormat="1" applyFont="1" applyFill="1" applyBorder="1" applyAlignment="1">
      <alignment vertical="top"/>
    </xf>
    <xf numFmtId="3" fontId="37" fillId="28" borderId="62" xfId="0" applyNumberFormat="1" applyFont="1" applyFill="1" applyBorder="1" applyAlignment="1" applyProtection="1">
      <alignment vertical="top"/>
      <protection locked="0"/>
    </xf>
    <xf numFmtId="165" fontId="37" fillId="28" borderId="52" xfId="0" applyNumberFormat="1" applyFont="1" applyFill="1" applyBorder="1" applyAlignment="1" applyProtection="1">
      <alignment vertical="top"/>
      <protection locked="0"/>
    </xf>
    <xf numFmtId="165" fontId="37" fillId="28" borderId="53" xfId="0" applyNumberFormat="1" applyFont="1" applyFill="1" applyBorder="1" applyAlignment="1" applyProtection="1">
      <alignment vertical="top"/>
      <protection locked="0"/>
    </xf>
    <xf numFmtId="165" fontId="37" fillId="28" borderId="90" xfId="0" applyNumberFormat="1" applyFont="1" applyFill="1" applyBorder="1" applyAlignment="1" applyProtection="1">
      <alignment vertical="top"/>
      <protection locked="0"/>
    </xf>
    <xf numFmtId="165" fontId="37" fillId="28" borderId="91" xfId="0" applyNumberFormat="1" applyFont="1" applyFill="1" applyBorder="1" applyAlignment="1" applyProtection="1">
      <alignment vertical="top"/>
      <protection locked="0"/>
    </xf>
    <xf numFmtId="165" fontId="4" fillId="27" borderId="13" xfId="0" applyNumberFormat="1" applyFont="1" applyFill="1" applyBorder="1" applyAlignment="1">
      <alignment vertical="top"/>
    </xf>
    <xf numFmtId="165" fontId="37" fillId="27" borderId="13" xfId="84" applyNumberFormat="1" applyFont="1" applyFill="1" applyBorder="1" applyAlignment="1" applyProtection="1">
      <alignment vertical="top"/>
    </xf>
    <xf numFmtId="165" fontId="37" fillId="27" borderId="11" xfId="0" applyNumberFormat="1" applyFont="1" applyFill="1" applyBorder="1" applyAlignment="1">
      <alignment vertical="top"/>
    </xf>
    <xf numFmtId="165" fontId="37" fillId="27" borderId="26" xfId="0" applyNumberFormat="1" applyFont="1" applyFill="1" applyBorder="1" applyAlignment="1">
      <alignment vertical="top"/>
    </xf>
    <xf numFmtId="165" fontId="37" fillId="27" borderId="13" xfId="0" applyNumberFormat="1" applyFont="1" applyFill="1" applyBorder="1" applyAlignment="1">
      <alignment vertical="top"/>
    </xf>
    <xf numFmtId="165" fontId="37" fillId="29" borderId="13" xfId="0" applyNumberFormat="1" applyFont="1" applyFill="1" applyBorder="1" applyAlignment="1" applyProtection="1">
      <alignment vertical="top"/>
      <protection locked="0"/>
    </xf>
    <xf numFmtId="165" fontId="37" fillId="28" borderId="13" xfId="0" applyNumberFormat="1" applyFont="1" applyFill="1" applyBorder="1" applyAlignment="1" applyProtection="1">
      <alignment vertical="top"/>
      <protection locked="0"/>
    </xf>
    <xf numFmtId="165" fontId="4" fillId="27" borderId="53" xfId="0" applyNumberFormat="1" applyFont="1" applyFill="1" applyBorder="1" applyAlignment="1">
      <alignment vertical="top"/>
    </xf>
    <xf numFmtId="165" fontId="4" fillId="27" borderId="55" xfId="0" applyNumberFormat="1" applyFont="1" applyFill="1" applyBorder="1" applyAlignment="1">
      <alignment vertical="top"/>
    </xf>
    <xf numFmtId="165" fontId="37" fillId="27" borderId="92" xfId="0" applyNumberFormat="1" applyFont="1" applyFill="1" applyBorder="1" applyAlignment="1">
      <alignment vertical="top"/>
    </xf>
    <xf numFmtId="164" fontId="37" fillId="28" borderId="64" xfId="0" applyNumberFormat="1" applyFont="1" applyFill="1" applyBorder="1" applyAlignment="1" applyProtection="1">
      <alignment vertical="top"/>
      <protection locked="0"/>
    </xf>
    <xf numFmtId="164" fontId="37" fillId="28" borderId="62" xfId="0" applyNumberFormat="1" applyFont="1" applyFill="1" applyBorder="1" applyAlignment="1" applyProtection="1">
      <alignment vertical="top"/>
      <protection locked="0"/>
    </xf>
    <xf numFmtId="164" fontId="37" fillId="27" borderId="64" xfId="0" applyNumberFormat="1" applyFont="1" applyFill="1" applyBorder="1" applyAlignment="1">
      <alignment vertical="top"/>
    </xf>
    <xf numFmtId="165" fontId="37" fillId="27" borderId="63" xfId="0" applyNumberFormat="1" applyFont="1" applyFill="1" applyBorder="1" applyAlignment="1">
      <alignment vertical="top"/>
    </xf>
    <xf numFmtId="164" fontId="37" fillId="27" borderId="13" xfId="0" applyNumberFormat="1" applyFont="1" applyFill="1" applyBorder="1" applyAlignment="1">
      <alignment vertical="top"/>
    </xf>
    <xf numFmtId="164" fontId="37" fillId="28" borderId="13" xfId="0" applyNumberFormat="1" applyFont="1" applyFill="1" applyBorder="1" applyAlignment="1" applyProtection="1">
      <alignment vertical="top"/>
      <protection locked="0"/>
    </xf>
    <xf numFmtId="165" fontId="37" fillId="28" borderId="11" xfId="0" applyNumberFormat="1" applyFont="1" applyFill="1" applyBorder="1" applyAlignment="1" applyProtection="1">
      <alignment vertical="top"/>
      <protection locked="0"/>
    </xf>
    <xf numFmtId="165" fontId="37" fillId="28" borderId="89" xfId="0" applyNumberFormat="1" applyFont="1" applyFill="1" applyBorder="1" applyAlignment="1" applyProtection="1">
      <alignment vertical="top"/>
      <protection locked="0"/>
    </xf>
    <xf numFmtId="164" fontId="57" fillId="27" borderId="92" xfId="0" applyNumberFormat="1" applyFont="1" applyFill="1" applyBorder="1" applyAlignment="1">
      <alignment vertical="top"/>
    </xf>
    <xf numFmtId="164" fontId="37" fillId="27" borderId="89" xfId="0" applyNumberFormat="1" applyFont="1" applyFill="1" applyBorder="1" applyAlignment="1">
      <alignment vertical="top"/>
    </xf>
    <xf numFmtId="165" fontId="37" fillId="27" borderId="89" xfId="0" applyNumberFormat="1" applyFont="1" applyFill="1" applyBorder="1" applyAlignment="1">
      <alignment vertical="top"/>
    </xf>
    <xf numFmtId="165" fontId="37" fillId="27" borderId="64" xfId="0" applyNumberFormat="1" applyFont="1" applyFill="1" applyBorder="1" applyAlignment="1">
      <alignment vertical="top"/>
    </xf>
    <xf numFmtId="165" fontId="37" fillId="27" borderId="62" xfId="0" applyNumberFormat="1" applyFont="1" applyFill="1" applyBorder="1" applyAlignment="1">
      <alignment vertical="top"/>
    </xf>
    <xf numFmtId="165" fontId="37" fillId="28" borderId="64" xfId="0" applyNumberFormat="1" applyFont="1" applyFill="1" applyBorder="1" applyAlignment="1" applyProtection="1">
      <alignment vertical="top"/>
      <protection locked="0"/>
    </xf>
    <xf numFmtId="165" fontId="37" fillId="28" borderId="93" xfId="0" applyNumberFormat="1" applyFont="1" applyFill="1" applyBorder="1" applyAlignment="1" applyProtection="1">
      <alignment vertical="top"/>
      <protection locked="0"/>
    </xf>
    <xf numFmtId="165" fontId="37" fillId="28" borderId="63" xfId="0" applyNumberFormat="1" applyFont="1" applyFill="1" applyBorder="1" applyAlignment="1" applyProtection="1">
      <alignment vertical="top"/>
      <protection locked="0"/>
    </xf>
    <xf numFmtId="165" fontId="37" fillId="28" borderId="62" xfId="0" applyNumberFormat="1" applyFont="1" applyFill="1" applyBorder="1" applyAlignment="1" applyProtection="1">
      <alignment vertical="top"/>
      <protection locked="0"/>
    </xf>
    <xf numFmtId="165" fontId="37" fillId="27" borderId="94" xfId="0" applyNumberFormat="1" applyFont="1" applyFill="1" applyBorder="1" applyAlignment="1">
      <alignment vertical="top"/>
    </xf>
    <xf numFmtId="164" fontId="37" fillId="27" borderId="62" xfId="0" applyNumberFormat="1" applyFont="1" applyFill="1" applyBorder="1" applyAlignment="1">
      <alignment vertical="top"/>
    </xf>
    <xf numFmtId="165" fontId="37" fillId="28" borderId="23" xfId="0" applyNumberFormat="1" applyFont="1" applyFill="1" applyBorder="1" applyAlignment="1" applyProtection="1">
      <alignment vertical="top"/>
      <protection locked="0"/>
    </xf>
    <xf numFmtId="165" fontId="37" fillId="28" borderId="20" xfId="0" applyNumberFormat="1" applyFont="1" applyFill="1" applyBorder="1" applyAlignment="1" applyProtection="1">
      <alignment vertical="top"/>
      <protection locked="0"/>
    </xf>
    <xf numFmtId="165" fontId="37" fillId="28" borderId="19" xfId="0" applyNumberFormat="1" applyFont="1" applyFill="1" applyBorder="1" applyAlignment="1" applyProtection="1">
      <alignment vertical="top"/>
      <protection locked="0"/>
    </xf>
    <xf numFmtId="164" fontId="37" fillId="25" borderId="23" xfId="0" applyNumberFormat="1" applyFont="1" applyFill="1" applyBorder="1" applyAlignment="1">
      <alignment horizontal="right" vertical="top"/>
    </xf>
    <xf numFmtId="164" fontId="37" fillId="25" borderId="20" xfId="0" applyNumberFormat="1" applyFont="1" applyFill="1" applyBorder="1" applyAlignment="1">
      <alignment horizontal="right" vertical="top"/>
    </xf>
    <xf numFmtId="164" fontId="37" fillId="25" borderId="19" xfId="0" applyNumberFormat="1" applyFont="1" applyFill="1" applyBorder="1" applyAlignment="1">
      <alignment horizontal="right" vertical="top"/>
    </xf>
    <xf numFmtId="0" fontId="2" fillId="25" borderId="0" xfId="0" applyFont="1" applyFill="1" applyAlignment="1">
      <alignment horizontal="right" vertical="top"/>
    </xf>
    <xf numFmtId="0" fontId="2" fillId="25" borderId="0" xfId="0" applyFont="1" applyFill="1" applyAlignment="1">
      <alignment horizontal="right" indent="1"/>
    </xf>
    <xf numFmtId="0" fontId="2" fillId="25" borderId="0" xfId="0" applyFont="1" applyFill="1" applyAlignment="1">
      <alignment horizontal="right" vertical="top" indent="1"/>
    </xf>
    <xf numFmtId="0" fontId="0" fillId="25" borderId="0" xfId="0" applyFill="1" applyAlignment="1">
      <alignment horizontal="right"/>
    </xf>
    <xf numFmtId="0" fontId="37" fillId="24" borderId="95" xfId="0" applyFont="1" applyFill="1" applyBorder="1" applyAlignment="1">
      <alignment vertical="top"/>
    </xf>
    <xf numFmtId="0" fontId="37" fillId="24" borderId="13" xfId="0" applyFont="1" applyFill="1" applyBorder="1" applyAlignment="1">
      <alignment horizontal="center" vertical="top"/>
    </xf>
    <xf numFmtId="0" fontId="37" fillId="24" borderId="96" xfId="0" applyFont="1" applyFill="1" applyBorder="1" applyAlignment="1">
      <alignment vertical="top"/>
    </xf>
    <xf numFmtId="0" fontId="37" fillId="24" borderId="74" xfId="0" applyFont="1" applyFill="1" applyBorder="1" applyAlignment="1">
      <alignment horizontal="center" vertical="top"/>
    </xf>
    <xf numFmtId="0" fontId="4" fillId="24" borderId="13" xfId="0" applyFont="1" applyFill="1" applyBorder="1" applyAlignment="1">
      <alignment horizontal="center" vertical="top"/>
    </xf>
    <xf numFmtId="0" fontId="2" fillId="24" borderId="13" xfId="0" applyFont="1" applyFill="1" applyBorder="1"/>
    <xf numFmtId="165" fontId="37" fillId="27" borderId="53" xfId="0" applyNumberFormat="1" applyFont="1" applyFill="1" applyBorder="1" applyAlignment="1">
      <alignment vertical="top"/>
    </xf>
    <xf numFmtId="0" fontId="31" fillId="25" borderId="0" xfId="0" applyFont="1" applyFill="1"/>
    <xf numFmtId="0" fontId="30" fillId="25" borderId="0" xfId="0" applyFont="1" applyFill="1"/>
    <xf numFmtId="0" fontId="47" fillId="0" borderId="0" xfId="0" applyFont="1" applyAlignment="1">
      <alignment vertical="top"/>
    </xf>
    <xf numFmtId="164" fontId="37" fillId="27" borderId="62" xfId="0" applyNumberFormat="1" applyFont="1" applyFill="1" applyBorder="1" applyAlignment="1">
      <alignment horizontal="right" vertical="top"/>
    </xf>
    <xf numFmtId="164" fontId="57" fillId="27" borderId="63" xfId="0" applyNumberFormat="1" applyFont="1" applyFill="1" applyBorder="1" applyAlignment="1">
      <alignment horizontal="right" vertical="top"/>
    </xf>
    <xf numFmtId="164" fontId="37" fillId="27" borderId="63" xfId="0" applyNumberFormat="1" applyFont="1" applyFill="1" applyBorder="1" applyAlignment="1">
      <alignment horizontal="right" vertical="top"/>
    </xf>
    <xf numFmtId="164" fontId="37" fillId="27" borderId="92" xfId="0" applyNumberFormat="1" applyFont="1" applyFill="1" applyBorder="1" applyAlignment="1">
      <alignment horizontal="right" vertical="top"/>
    </xf>
    <xf numFmtId="0" fontId="0" fillId="25" borderId="0" xfId="0" applyFill="1" applyAlignment="1">
      <alignment horizontal="center" vertical="top"/>
    </xf>
    <xf numFmtId="0" fontId="37" fillId="24" borderId="97" xfId="0" applyFont="1" applyFill="1" applyBorder="1" applyAlignment="1">
      <alignment vertical="top"/>
    </xf>
    <xf numFmtId="0" fontId="2" fillId="24" borderId="0" xfId="0" applyFont="1" applyFill="1" applyAlignment="1">
      <alignment horizontal="right"/>
    </xf>
    <xf numFmtId="0" fontId="2" fillId="24" borderId="0" xfId="0" applyFont="1" applyFill="1" applyAlignment="1">
      <alignment horizontal="center"/>
    </xf>
    <xf numFmtId="0" fontId="4" fillId="25" borderId="18" xfId="0" applyFont="1" applyFill="1" applyBorder="1" applyAlignment="1">
      <alignment horizontal="right" indent="1"/>
    </xf>
    <xf numFmtId="0" fontId="54" fillId="25" borderId="24" xfId="0" applyFont="1" applyFill="1" applyBorder="1" applyAlignment="1">
      <alignment horizontal="right" wrapText="1"/>
    </xf>
    <xf numFmtId="0" fontId="4" fillId="25" borderId="18" xfId="0" applyFont="1" applyFill="1" applyBorder="1" applyAlignment="1">
      <alignment horizontal="right" wrapText="1"/>
    </xf>
    <xf numFmtId="0" fontId="37" fillId="27" borderId="74" xfId="0" applyFont="1" applyFill="1" applyBorder="1" applyAlignment="1">
      <alignment vertical="top"/>
    </xf>
    <xf numFmtId="0" fontId="4" fillId="25" borderId="24" xfId="0" applyFont="1" applyFill="1" applyBorder="1" applyAlignment="1">
      <alignment horizontal="right"/>
    </xf>
    <xf numFmtId="0" fontId="37" fillId="27" borderId="32" xfId="0" applyFont="1" applyFill="1" applyBorder="1" applyAlignment="1">
      <alignment vertical="top"/>
    </xf>
    <xf numFmtId="0" fontId="37" fillId="27" borderId="34" xfId="0" applyFont="1" applyFill="1" applyBorder="1" applyAlignment="1">
      <alignment vertical="top"/>
    </xf>
    <xf numFmtId="0" fontId="37" fillId="27" borderId="37" xfId="0" applyFont="1" applyFill="1" applyBorder="1" applyAlignment="1">
      <alignment vertical="top"/>
    </xf>
    <xf numFmtId="0" fontId="37" fillId="0" borderId="98" xfId="0" applyFont="1" applyBorder="1" applyAlignment="1">
      <alignment vertical="top"/>
    </xf>
    <xf numFmtId="0" fontId="4" fillId="25" borderId="88" xfId="0" applyFont="1" applyFill="1" applyBorder="1" applyAlignment="1">
      <alignment horizontal="right" vertical="top"/>
    </xf>
    <xf numFmtId="0" fontId="4" fillId="25" borderId="99" xfId="0" applyFont="1" applyFill="1" applyBorder="1" applyAlignment="1">
      <alignment horizontal="center" vertical="top" wrapText="1"/>
    </xf>
    <xf numFmtId="0" fontId="41" fillId="25" borderId="0" xfId="0" applyFont="1" applyFill="1" applyAlignment="1">
      <alignment vertical="center"/>
    </xf>
    <xf numFmtId="0" fontId="37" fillId="24" borderId="0" xfId="0" applyFont="1" applyFill="1" applyAlignment="1">
      <alignment horizontal="center" vertical="center"/>
    </xf>
    <xf numFmtId="0" fontId="0" fillId="25" borderId="0" xfId="0" applyFill="1" applyAlignment="1">
      <alignment horizontal="center" vertical="center"/>
    </xf>
    <xf numFmtId="0" fontId="2" fillId="25" borderId="0" xfId="0" applyFont="1" applyFill="1" applyAlignment="1">
      <alignment horizontal="center" vertical="center"/>
    </xf>
    <xf numFmtId="0" fontId="2" fillId="24" borderId="0" xfId="0" applyFont="1" applyFill="1" applyAlignment="1">
      <alignment horizontal="center" vertical="center"/>
    </xf>
    <xf numFmtId="0" fontId="37" fillId="0" borderId="71" xfId="0" applyFont="1" applyBorder="1" applyAlignment="1">
      <alignment vertical="top"/>
    </xf>
    <xf numFmtId="0" fontId="28" fillId="25" borderId="0" xfId="0" applyFont="1" applyFill="1" applyAlignment="1">
      <alignment horizontal="center" vertical="top"/>
    </xf>
    <xf numFmtId="0" fontId="4" fillId="25" borderId="0" xfId="78" applyFont="1" applyFill="1" applyBorder="1" applyAlignment="1" applyProtection="1">
      <alignment vertical="top"/>
    </xf>
    <xf numFmtId="0" fontId="6" fillId="25" borderId="0" xfId="78" applyFill="1" applyBorder="1" applyAlignment="1" applyProtection="1">
      <alignment horizontal="center" vertical="top"/>
    </xf>
    <xf numFmtId="0" fontId="0" fillId="25" borderId="100" xfId="0" applyFill="1" applyBorder="1" applyAlignment="1">
      <alignment vertical="top"/>
    </xf>
    <xf numFmtId="0" fontId="0" fillId="25" borderId="51" xfId="0" applyFill="1" applyBorder="1" applyAlignment="1">
      <alignment vertical="top"/>
    </xf>
    <xf numFmtId="0" fontId="0" fillId="25" borderId="70" xfId="0" applyFill="1" applyBorder="1" applyAlignment="1">
      <alignment vertical="top"/>
    </xf>
    <xf numFmtId="0" fontId="0" fillId="27" borderId="51" xfId="0" applyFill="1" applyBorder="1" applyAlignment="1">
      <alignment vertical="top"/>
    </xf>
    <xf numFmtId="0" fontId="0" fillId="27" borderId="101" xfId="0" applyFill="1" applyBorder="1" applyAlignment="1">
      <alignment vertical="top"/>
    </xf>
    <xf numFmtId="0" fontId="0" fillId="25" borderId="65" xfId="0" applyFill="1" applyBorder="1" applyAlignment="1">
      <alignment vertical="top"/>
    </xf>
    <xf numFmtId="0" fontId="0" fillId="25" borderId="39" xfId="0" applyFill="1" applyBorder="1" applyAlignment="1">
      <alignment vertical="top"/>
    </xf>
    <xf numFmtId="0" fontId="0" fillId="25" borderId="47" xfId="0" applyFill="1" applyBorder="1" applyAlignment="1">
      <alignment vertical="top"/>
    </xf>
    <xf numFmtId="0" fontId="0" fillId="27" borderId="39" xfId="0" applyFill="1" applyBorder="1" applyAlignment="1">
      <alignment vertical="top"/>
    </xf>
    <xf numFmtId="0" fontId="0" fillId="27" borderId="40" xfId="0" applyFill="1" applyBorder="1" applyAlignment="1">
      <alignment vertical="top"/>
    </xf>
    <xf numFmtId="0" fontId="0" fillId="25" borderId="12" xfId="0" applyFill="1" applyBorder="1" applyAlignment="1">
      <alignment vertical="top"/>
    </xf>
    <xf numFmtId="0" fontId="4" fillId="25" borderId="99" xfId="0" applyFont="1" applyFill="1" applyBorder="1" applyAlignment="1">
      <alignment horizontal="right" vertical="top"/>
    </xf>
    <xf numFmtId="0" fontId="2" fillId="24" borderId="0" xfId="0" applyFont="1" applyFill="1" applyAlignment="1">
      <alignment vertical="top"/>
    </xf>
    <xf numFmtId="0" fontId="2" fillId="38" borderId="0" xfId="0" applyFont="1" applyFill="1"/>
    <xf numFmtId="0" fontId="37" fillId="24" borderId="18" xfId="0" applyFont="1" applyFill="1" applyBorder="1" applyAlignment="1">
      <alignment horizontal="center" vertical="top"/>
    </xf>
    <xf numFmtId="164" fontId="2" fillId="27" borderId="13" xfId="0" applyNumberFormat="1" applyFont="1" applyFill="1" applyBorder="1" applyAlignment="1">
      <alignment vertical="top"/>
    </xf>
    <xf numFmtId="0" fontId="37" fillId="24" borderId="102" xfId="0" applyFont="1" applyFill="1" applyBorder="1" applyAlignment="1">
      <alignment horizontal="center" vertical="top"/>
    </xf>
    <xf numFmtId="0" fontId="37" fillId="24" borderId="24" xfId="0" applyFont="1" applyFill="1" applyBorder="1" applyAlignment="1">
      <alignment horizontal="center" vertical="top"/>
    </xf>
    <xf numFmtId="0" fontId="37" fillId="39" borderId="0" xfId="0" applyFont="1" applyFill="1" applyAlignment="1">
      <alignment vertical="top"/>
    </xf>
    <xf numFmtId="0" fontId="4" fillId="25" borderId="11" xfId="0" applyFont="1" applyFill="1" applyBorder="1" applyAlignment="1">
      <alignment horizontal="right" vertical="top"/>
    </xf>
    <xf numFmtId="165" fontId="37" fillId="40" borderId="13" xfId="0" applyNumberFormat="1" applyFont="1" applyFill="1" applyBorder="1" applyAlignment="1">
      <alignment vertical="top"/>
    </xf>
    <xf numFmtId="0" fontId="37" fillId="41" borderId="19" xfId="0" applyFont="1" applyFill="1" applyBorder="1" applyAlignment="1">
      <alignment horizontal="center" vertical="top"/>
    </xf>
    <xf numFmtId="0" fontId="37" fillId="41" borderId="20" xfId="0" applyFont="1" applyFill="1" applyBorder="1" applyAlignment="1">
      <alignment horizontal="center" vertical="top"/>
    </xf>
    <xf numFmtId="0" fontId="37" fillId="41" borderId="23" xfId="0" applyFont="1" applyFill="1" applyBorder="1" applyAlignment="1">
      <alignment horizontal="center" vertical="top"/>
    </xf>
    <xf numFmtId="0" fontId="37" fillId="39" borderId="13" xfId="0" applyFont="1" applyFill="1" applyBorder="1" applyAlignment="1">
      <alignment vertical="top"/>
    </xf>
    <xf numFmtId="0" fontId="0" fillId="0" borderId="0" xfId="0" applyAlignment="1">
      <alignment vertical="top" wrapText="1"/>
    </xf>
    <xf numFmtId="165" fontId="37" fillId="42" borderId="64" xfId="0" applyNumberFormat="1" applyFont="1" applyFill="1" applyBorder="1" applyAlignment="1" applyProtection="1">
      <alignment vertical="top"/>
      <protection locked="0"/>
    </xf>
    <xf numFmtId="0" fontId="2" fillId="25" borderId="25" xfId="0" quotePrefix="1" applyFont="1" applyFill="1" applyBorder="1" applyAlignment="1">
      <alignment horizontal="center" vertical="top"/>
    </xf>
    <xf numFmtId="0" fontId="0" fillId="43" borderId="0" xfId="0" applyFill="1"/>
    <xf numFmtId="0" fontId="37" fillId="43" borderId="0" xfId="0" applyFont="1" applyFill="1" applyAlignment="1">
      <alignment vertical="top"/>
    </xf>
    <xf numFmtId="0" fontId="4" fillId="43" borderId="18" xfId="0" applyFont="1" applyFill="1" applyBorder="1" applyAlignment="1">
      <alignment horizontal="center" vertical="top"/>
    </xf>
    <xf numFmtId="0" fontId="4" fillId="43" borderId="88" xfId="0" applyFont="1" applyFill="1" applyBorder="1" applyAlignment="1">
      <alignment horizontal="right" vertical="top"/>
    </xf>
    <xf numFmtId="0" fontId="2" fillId="43" borderId="26" xfId="0" applyFont="1" applyFill="1" applyBorder="1" applyAlignment="1">
      <alignment horizontal="center" vertical="top"/>
    </xf>
    <xf numFmtId="0" fontId="37" fillId="43" borderId="26" xfId="0" applyFont="1" applyFill="1" applyBorder="1" applyAlignment="1">
      <alignment horizontal="center" vertical="top"/>
    </xf>
    <xf numFmtId="0" fontId="37" fillId="43" borderId="19" xfId="0" applyFont="1" applyFill="1" applyBorder="1" applyAlignment="1">
      <alignment horizontal="center" vertical="top"/>
    </xf>
    <xf numFmtId="0" fontId="0" fillId="43" borderId="57" xfId="0" applyFill="1" applyBorder="1"/>
    <xf numFmtId="0" fontId="0" fillId="43" borderId="28" xfId="0" applyFill="1" applyBorder="1"/>
    <xf numFmtId="0" fontId="2" fillId="43" borderId="28" xfId="0" applyFont="1" applyFill="1" applyBorder="1"/>
    <xf numFmtId="0" fontId="2" fillId="43" borderId="30" xfId="0" applyFont="1" applyFill="1" applyBorder="1"/>
    <xf numFmtId="0" fontId="0" fillId="43" borderId="66" xfId="0" applyFill="1" applyBorder="1"/>
    <xf numFmtId="0" fontId="37" fillId="43" borderId="66" xfId="0" applyFont="1" applyFill="1" applyBorder="1" applyAlignment="1">
      <alignment vertical="top"/>
    </xf>
    <xf numFmtId="0" fontId="37" fillId="43" borderId="38" xfId="0" applyFont="1" applyFill="1" applyBorder="1" applyAlignment="1">
      <alignment vertical="top"/>
    </xf>
    <xf numFmtId="0" fontId="4" fillId="43" borderId="0" xfId="0" applyFont="1" applyFill="1" applyAlignment="1">
      <alignment horizontal="center" vertical="top"/>
    </xf>
    <xf numFmtId="0" fontId="2" fillId="43" borderId="38" xfId="0" applyFont="1" applyFill="1" applyBorder="1"/>
    <xf numFmtId="0" fontId="2" fillId="43" borderId="0" xfId="0" applyFont="1" applyFill="1"/>
    <xf numFmtId="0" fontId="2" fillId="43" borderId="0" xfId="0" applyFont="1" applyFill="1" applyAlignment="1">
      <alignment horizontal="right"/>
    </xf>
    <xf numFmtId="0" fontId="0" fillId="43" borderId="65" xfId="0" applyFill="1" applyBorder="1"/>
    <xf numFmtId="0" fontId="0" fillId="43" borderId="39" xfId="0" applyFill="1" applyBorder="1"/>
    <xf numFmtId="0" fontId="2" fillId="43" borderId="39" xfId="0" applyFont="1" applyFill="1" applyBorder="1"/>
    <xf numFmtId="0" fontId="2" fillId="43" borderId="40" xfId="0" applyFont="1" applyFill="1" applyBorder="1"/>
    <xf numFmtId="165" fontId="2" fillId="40" borderId="13" xfId="0" applyNumberFormat="1" applyFont="1" applyFill="1" applyBorder="1" applyAlignment="1">
      <alignment vertical="top"/>
    </xf>
    <xf numFmtId="165" fontId="37" fillId="42" borderId="13" xfId="0" applyNumberFormat="1" applyFont="1" applyFill="1" applyBorder="1" applyAlignment="1" applyProtection="1">
      <alignment vertical="top"/>
      <protection locked="0"/>
    </xf>
    <xf numFmtId="165" fontId="37" fillId="42" borderId="62" xfId="0" applyNumberFormat="1" applyFont="1" applyFill="1" applyBorder="1" applyAlignment="1" applyProtection="1">
      <alignment vertical="top"/>
      <protection locked="0"/>
    </xf>
    <xf numFmtId="0" fontId="37" fillId="43" borderId="23" xfId="0" applyFont="1" applyFill="1" applyBorder="1" applyAlignment="1">
      <alignment horizontal="center" vertical="top"/>
    </xf>
    <xf numFmtId="0" fontId="0" fillId="44" borderId="13" xfId="0" applyFill="1" applyBorder="1" applyAlignment="1">
      <alignment wrapText="1"/>
    </xf>
    <xf numFmtId="0" fontId="0" fillId="39" borderId="13" xfId="0" applyFill="1" applyBorder="1" applyAlignment="1">
      <alignment wrapText="1"/>
    </xf>
    <xf numFmtId="0" fontId="46" fillId="39" borderId="13" xfId="0" applyFont="1" applyFill="1" applyBorder="1" applyAlignment="1">
      <alignment wrapText="1"/>
    </xf>
    <xf numFmtId="0" fontId="44" fillId="39" borderId="13" xfId="0" applyFont="1" applyFill="1" applyBorder="1" applyAlignment="1">
      <alignment horizontal="left"/>
    </xf>
    <xf numFmtId="0" fontId="0" fillId="39" borderId="13" xfId="0" applyFill="1" applyBorder="1"/>
    <xf numFmtId="0" fontId="0" fillId="39" borderId="13" xfId="0" applyFill="1" applyBorder="1" applyAlignment="1">
      <alignment horizontal="center"/>
    </xf>
    <xf numFmtId="0" fontId="46" fillId="39" borderId="13" xfId="0" applyFont="1" applyFill="1" applyBorder="1"/>
    <xf numFmtId="0" fontId="40" fillId="39" borderId="13" xfId="0" applyFont="1" applyFill="1" applyBorder="1"/>
    <xf numFmtId="0" fontId="37" fillId="39" borderId="13" xfId="0" applyFont="1" applyFill="1" applyBorder="1" applyAlignment="1">
      <alignment horizontal="left" vertical="top"/>
    </xf>
    <xf numFmtId="0" fontId="37" fillId="39" borderId="13" xfId="0" applyFont="1" applyFill="1" applyBorder="1" applyAlignment="1">
      <alignment horizontal="center" vertical="top"/>
    </xf>
    <xf numFmtId="166" fontId="0" fillId="44" borderId="13" xfId="0" applyNumberFormat="1" applyFill="1" applyBorder="1"/>
    <xf numFmtId="10" fontId="68" fillId="44" borderId="13" xfId="84" applyNumberFormat="1" applyFont="1" applyFill="1" applyBorder="1" applyProtection="1"/>
    <xf numFmtId="0" fontId="4" fillId="0" borderId="67" xfId="0" applyFont="1" applyBorder="1"/>
    <xf numFmtId="0" fontId="4" fillId="0" borderId="25" xfId="0" applyFont="1" applyBorder="1"/>
    <xf numFmtId="14" fontId="0" fillId="32" borderId="10" xfId="0" applyNumberFormat="1" applyFill="1" applyBorder="1" applyAlignment="1">
      <alignment horizontal="center"/>
    </xf>
    <xf numFmtId="0" fontId="0" fillId="27" borderId="10" xfId="0" applyFill="1" applyBorder="1"/>
    <xf numFmtId="0" fontId="2" fillId="27" borderId="103" xfId="0" applyFont="1" applyFill="1" applyBorder="1"/>
    <xf numFmtId="14" fontId="0" fillId="32" borderId="88" xfId="0" applyNumberFormat="1" applyFill="1" applyBorder="1" applyAlignment="1">
      <alignment horizontal="center"/>
    </xf>
    <xf numFmtId="0" fontId="0" fillId="27" borderId="88" xfId="0" applyFill="1" applyBorder="1"/>
    <xf numFmtId="0" fontId="2" fillId="27" borderId="99" xfId="0" applyFont="1" applyFill="1" applyBorder="1"/>
    <xf numFmtId="14" fontId="0" fillId="32" borderId="11" xfId="0" applyNumberFormat="1" applyFill="1" applyBorder="1" applyAlignment="1">
      <alignment horizontal="center"/>
    </xf>
    <xf numFmtId="0" fontId="0" fillId="27" borderId="78" xfId="0" applyFill="1" applyBorder="1"/>
    <xf numFmtId="0" fontId="2" fillId="33" borderId="0" xfId="0" applyFont="1" applyFill="1" applyAlignment="1">
      <alignment horizontal="left" vertical="top" wrapText="1"/>
    </xf>
    <xf numFmtId="0" fontId="0" fillId="27" borderId="11" xfId="0" applyFill="1" applyBorder="1"/>
    <xf numFmtId="0" fontId="2" fillId="30" borderId="0" xfId="0" applyFont="1" applyFill="1"/>
    <xf numFmtId="0" fontId="2" fillId="39" borderId="0" xfId="0" applyFont="1" applyFill="1"/>
    <xf numFmtId="167" fontId="0" fillId="39" borderId="13" xfId="0" applyNumberFormat="1" applyFill="1" applyBorder="1"/>
    <xf numFmtId="165" fontId="37" fillId="40" borderId="63" xfId="0" applyNumberFormat="1" applyFont="1" applyFill="1" applyBorder="1" applyAlignment="1">
      <alignment vertical="top"/>
    </xf>
    <xf numFmtId="165" fontId="37" fillId="24" borderId="0" xfId="0" applyNumberFormat="1" applyFont="1" applyFill="1" applyAlignment="1">
      <alignment vertical="top"/>
    </xf>
    <xf numFmtId="165" fontId="37" fillId="40" borderId="10" xfId="0" applyNumberFormat="1" applyFont="1" applyFill="1" applyBorder="1" applyAlignment="1">
      <alignment vertical="top"/>
    </xf>
    <xf numFmtId="0" fontId="4" fillId="43" borderId="12" xfId="0" applyFont="1" applyFill="1" applyBorder="1" applyAlignment="1">
      <alignment horizontal="center" vertical="top"/>
    </xf>
    <xf numFmtId="0" fontId="2" fillId="43" borderId="0" xfId="0" applyFont="1" applyFill="1" applyAlignment="1">
      <alignment horizontal="right" vertical="top"/>
    </xf>
    <xf numFmtId="0" fontId="2" fillId="28" borderId="13" xfId="0" applyFont="1" applyFill="1" applyBorder="1" applyAlignment="1" applyProtection="1">
      <alignment horizontal="center" vertical="top"/>
      <protection locked="0"/>
    </xf>
    <xf numFmtId="0" fontId="2" fillId="43" borderId="38" xfId="0" applyFont="1" applyFill="1" applyBorder="1" applyAlignment="1">
      <alignment horizontal="left"/>
    </xf>
    <xf numFmtId="0" fontId="0" fillId="35" borderId="0" xfId="0" applyFill="1"/>
    <xf numFmtId="0" fontId="0" fillId="35" borderId="0" xfId="0" applyFill="1" applyAlignment="1">
      <alignment horizontal="center"/>
    </xf>
    <xf numFmtId="164" fontId="2" fillId="27" borderId="13" xfId="0" applyNumberFormat="1" applyFont="1" applyFill="1" applyBorder="1" applyAlignment="1">
      <alignment horizontal="right" vertical="top"/>
    </xf>
    <xf numFmtId="0" fontId="4" fillId="25" borderId="0" xfId="0" applyFont="1" applyFill="1" applyAlignment="1">
      <alignment horizontal="right" vertical="top"/>
    </xf>
    <xf numFmtId="0" fontId="2" fillId="39" borderId="13" xfId="0" applyFont="1" applyFill="1" applyBorder="1" applyAlignment="1">
      <alignment horizontal="left" vertical="top"/>
    </xf>
    <xf numFmtId="0" fontId="37" fillId="43" borderId="15" xfId="0" applyFont="1" applyFill="1" applyBorder="1" applyAlignment="1">
      <alignment horizontal="center" vertical="top"/>
    </xf>
    <xf numFmtId="0" fontId="37" fillId="43" borderId="20" xfId="0" applyFont="1" applyFill="1" applyBorder="1" applyAlignment="1">
      <alignment horizontal="center" vertical="top"/>
    </xf>
    <xf numFmtId="0" fontId="37" fillId="43" borderId="22" xfId="0" applyFont="1" applyFill="1" applyBorder="1" applyAlignment="1">
      <alignment horizontal="center" vertical="top"/>
    </xf>
    <xf numFmtId="0" fontId="57" fillId="43" borderId="104" xfId="0" applyFont="1" applyFill="1" applyBorder="1" applyAlignment="1">
      <alignment horizontal="center" vertical="top"/>
    </xf>
    <xf numFmtId="0" fontId="37" fillId="43" borderId="16" xfId="0" applyFont="1" applyFill="1" applyBorder="1" applyAlignment="1">
      <alignment horizontal="center" vertical="top"/>
    </xf>
    <xf numFmtId="0" fontId="37" fillId="43" borderId="102" xfId="0" applyFont="1" applyFill="1" applyBorder="1" applyAlignment="1">
      <alignment vertical="top"/>
    </xf>
    <xf numFmtId="165" fontId="37" fillId="27" borderId="88" xfId="0" applyNumberFormat="1" applyFont="1" applyFill="1" applyBorder="1" applyAlignment="1">
      <alignment vertical="top"/>
    </xf>
    <xf numFmtId="165" fontId="37" fillId="42" borderId="63" xfId="0" applyNumberFormat="1" applyFont="1" applyFill="1" applyBorder="1" applyAlignment="1" applyProtection="1">
      <alignment vertical="top"/>
      <protection locked="0"/>
    </xf>
    <xf numFmtId="49" fontId="37" fillId="42" borderId="105" xfId="0" applyNumberFormat="1" applyFont="1" applyFill="1" applyBorder="1" applyAlignment="1" applyProtection="1">
      <alignment horizontal="center" vertical="top"/>
      <protection locked="0"/>
    </xf>
    <xf numFmtId="49" fontId="37" fillId="42" borderId="106" xfId="0" applyNumberFormat="1" applyFont="1" applyFill="1" applyBorder="1" applyAlignment="1" applyProtection="1">
      <alignment horizontal="center" vertical="top"/>
      <protection locked="0"/>
    </xf>
    <xf numFmtId="49" fontId="37" fillId="42" borderId="94" xfId="0" applyNumberFormat="1" applyFont="1" applyFill="1" applyBorder="1" applyAlignment="1" applyProtection="1">
      <alignment horizontal="center" vertical="top"/>
      <protection locked="0"/>
    </xf>
    <xf numFmtId="0" fontId="4" fillId="25" borderId="100" xfId="0" applyFont="1" applyFill="1" applyBorder="1" applyAlignment="1">
      <alignment vertical="top"/>
    </xf>
    <xf numFmtId="0" fontId="4" fillId="25" borderId="51" xfId="0" applyFont="1" applyFill="1" applyBorder="1" applyAlignment="1">
      <alignment vertical="top"/>
    </xf>
    <xf numFmtId="0" fontId="4" fillId="27" borderId="91" xfId="0" applyFont="1" applyFill="1" applyBorder="1" applyAlignment="1">
      <alignment vertical="top"/>
    </xf>
    <xf numFmtId="0" fontId="4" fillId="27" borderId="90" xfId="0" applyFont="1" applyFill="1" applyBorder="1" applyAlignment="1">
      <alignment vertical="top"/>
    </xf>
    <xf numFmtId="0" fontId="4" fillId="25" borderId="107" xfId="0" applyFont="1" applyFill="1" applyBorder="1" applyAlignment="1">
      <alignment vertical="top"/>
    </xf>
    <xf numFmtId="0" fontId="4" fillId="25" borderId="15" xfId="0" applyFont="1" applyFill="1" applyBorder="1" applyAlignment="1">
      <alignment vertical="top"/>
    </xf>
    <xf numFmtId="0" fontId="4" fillId="0" borderId="20" xfId="0" applyFont="1" applyBorder="1" applyAlignment="1">
      <alignment horizontal="center" vertical="top"/>
    </xf>
    <xf numFmtId="0" fontId="4" fillId="27" borderId="63" xfId="0" applyFont="1" applyFill="1" applyBorder="1" applyAlignment="1">
      <alignment vertical="top"/>
    </xf>
    <xf numFmtId="0" fontId="4" fillId="27" borderId="93" xfId="0" applyFont="1" applyFill="1" applyBorder="1" applyAlignment="1">
      <alignment vertical="top"/>
    </xf>
    <xf numFmtId="0" fontId="37" fillId="27" borderId="15" xfId="0" applyFont="1" applyFill="1" applyBorder="1" applyAlignment="1">
      <alignment horizontal="center" vertical="top"/>
    </xf>
    <xf numFmtId="0" fontId="2" fillId="24" borderId="74" xfId="0" applyFont="1" applyFill="1" applyBorder="1" applyAlignment="1">
      <alignment vertical="top"/>
    </xf>
    <xf numFmtId="0" fontId="37" fillId="42" borderId="63" xfId="0" applyFont="1" applyFill="1" applyBorder="1" applyAlignment="1" applyProtection="1">
      <alignment horizontal="center" vertical="top"/>
      <protection locked="0"/>
    </xf>
    <xf numFmtId="0" fontId="37" fillId="42" borderId="64" xfId="0" applyFont="1" applyFill="1" applyBorder="1" applyAlignment="1" applyProtection="1">
      <alignment horizontal="center" vertical="top"/>
      <protection locked="0"/>
    </xf>
    <xf numFmtId="0" fontId="2" fillId="0" borderId="29" xfId="0" applyFont="1" applyBorder="1" applyAlignment="1">
      <alignment vertical="top"/>
    </xf>
    <xf numFmtId="0" fontId="37" fillId="43" borderId="24" xfId="0" applyFont="1" applyFill="1" applyBorder="1" applyAlignment="1">
      <alignment horizontal="center" vertical="top"/>
    </xf>
    <xf numFmtId="0" fontId="2" fillId="25" borderId="26" xfId="0" applyFont="1" applyFill="1" applyBorder="1" applyAlignment="1">
      <alignment horizontal="center" vertical="top"/>
    </xf>
    <xf numFmtId="0" fontId="2" fillId="39" borderId="13" xfId="0" applyFont="1" applyFill="1" applyBorder="1"/>
    <xf numFmtId="0" fontId="2" fillId="24" borderId="13" xfId="0" applyFont="1" applyFill="1" applyBorder="1" applyAlignment="1">
      <alignment horizontal="center"/>
    </xf>
    <xf numFmtId="0" fontId="2" fillId="0" borderId="0" xfId="0" applyFont="1" applyAlignment="1">
      <alignment vertical="top"/>
    </xf>
    <xf numFmtId="166" fontId="37" fillId="24" borderId="0" xfId="0" applyNumberFormat="1" applyFont="1" applyFill="1" applyAlignment="1">
      <alignment vertical="top"/>
    </xf>
    <xf numFmtId="0" fontId="0" fillId="38" borderId="0" xfId="0" applyFill="1"/>
    <xf numFmtId="0" fontId="2" fillId="25" borderId="19" xfId="0" applyFont="1" applyFill="1" applyBorder="1" applyAlignment="1">
      <alignment horizontal="center" vertical="top"/>
    </xf>
    <xf numFmtId="3" fontId="2" fillId="40" borderId="62" xfId="0" applyNumberFormat="1" applyFont="1" applyFill="1" applyBorder="1" applyAlignment="1">
      <alignment vertical="top"/>
    </xf>
    <xf numFmtId="3" fontId="2" fillId="40" borderId="19" xfId="0" applyNumberFormat="1" applyFont="1" applyFill="1" applyBorder="1" applyAlignment="1">
      <alignment vertical="top"/>
    </xf>
    <xf numFmtId="0" fontId="2" fillId="25" borderId="20" xfId="0" applyFont="1" applyFill="1" applyBorder="1" applyAlignment="1">
      <alignment horizontal="center" vertical="top"/>
    </xf>
    <xf numFmtId="4" fontId="2" fillId="40" borderId="63" xfId="0" applyNumberFormat="1" applyFont="1" applyFill="1" applyBorder="1" applyAlignment="1">
      <alignment vertical="top"/>
    </xf>
    <xf numFmtId="0" fontId="2" fillId="25" borderId="23" xfId="0" applyFont="1" applyFill="1" applyBorder="1" applyAlignment="1">
      <alignment horizontal="center" vertical="top"/>
    </xf>
    <xf numFmtId="3" fontId="2" fillId="27" borderId="64" xfId="0" applyNumberFormat="1" applyFont="1" applyFill="1" applyBorder="1" applyAlignment="1">
      <alignment vertical="top"/>
    </xf>
    <xf numFmtId="3" fontId="2" fillId="27" borderId="23" xfId="0" applyNumberFormat="1" applyFont="1" applyFill="1" applyBorder="1" applyAlignment="1">
      <alignment vertical="top"/>
    </xf>
    <xf numFmtId="0" fontId="2" fillId="27" borderId="26" xfId="0" applyFont="1" applyFill="1" applyBorder="1" applyAlignment="1">
      <alignment vertical="top"/>
    </xf>
    <xf numFmtId="0" fontId="4" fillId="27" borderId="26" xfId="0" applyFont="1" applyFill="1" applyBorder="1" applyAlignment="1">
      <alignment vertical="top"/>
    </xf>
    <xf numFmtId="0" fontId="0" fillId="39" borderId="0" xfId="0" applyFill="1"/>
    <xf numFmtId="165" fontId="37" fillId="42" borderId="105" xfId="0" applyNumberFormat="1" applyFont="1" applyFill="1" applyBorder="1" applyAlignment="1" applyProtection="1">
      <alignment vertical="top"/>
      <protection locked="0"/>
    </xf>
    <xf numFmtId="165" fontId="37" fillId="42" borderId="106" xfId="0" applyNumberFormat="1" applyFont="1" applyFill="1" applyBorder="1" applyAlignment="1" applyProtection="1">
      <alignment vertical="top"/>
      <protection locked="0"/>
    </xf>
    <xf numFmtId="165" fontId="37" fillId="42" borderId="94" xfId="0" applyNumberFormat="1" applyFont="1" applyFill="1" applyBorder="1" applyAlignment="1" applyProtection="1">
      <alignment vertical="top"/>
      <protection locked="0"/>
    </xf>
    <xf numFmtId="0" fontId="37" fillId="24" borderId="108" xfId="0" applyFont="1" applyFill="1" applyBorder="1" applyAlignment="1">
      <alignment vertical="top"/>
    </xf>
    <xf numFmtId="0" fontId="2" fillId="24" borderId="108" xfId="0" applyFont="1" applyFill="1" applyBorder="1"/>
    <xf numFmtId="0" fontId="4" fillId="25" borderId="25" xfId="0" applyFont="1" applyFill="1" applyBorder="1" applyAlignment="1">
      <alignment horizontal="center" vertical="top"/>
    </xf>
    <xf numFmtId="0" fontId="37" fillId="41" borderId="24" xfId="0" applyFont="1" applyFill="1" applyBorder="1" applyAlignment="1">
      <alignment horizontal="center" vertical="top"/>
    </xf>
    <xf numFmtId="165" fontId="37" fillId="42" borderId="11" xfId="0" applyNumberFormat="1" applyFont="1" applyFill="1" applyBorder="1" applyAlignment="1" applyProtection="1">
      <alignment vertical="top"/>
      <protection locked="0"/>
    </xf>
    <xf numFmtId="0" fontId="0" fillId="25" borderId="107" xfId="0" applyFill="1" applyBorder="1" applyAlignment="1">
      <alignment vertical="top"/>
    </xf>
    <xf numFmtId="0" fontId="0" fillId="25" borderId="15" xfId="0" applyFill="1" applyBorder="1" applyAlignment="1">
      <alignment vertical="top"/>
    </xf>
    <xf numFmtId="0" fontId="0" fillId="25" borderId="20" xfId="0" applyFill="1" applyBorder="1" applyAlignment="1">
      <alignment vertical="top"/>
    </xf>
    <xf numFmtId="0" fontId="0" fillId="27" borderId="15" xfId="0" applyFill="1" applyBorder="1" applyAlignment="1">
      <alignment vertical="top"/>
    </xf>
    <xf numFmtId="0" fontId="0" fillId="27" borderId="34" xfId="0" applyFill="1" applyBorder="1" applyAlignment="1">
      <alignment vertical="top"/>
    </xf>
    <xf numFmtId="0" fontId="0" fillId="25" borderId="36" xfId="0" applyFill="1" applyBorder="1" applyAlignment="1">
      <alignment vertical="top"/>
    </xf>
    <xf numFmtId="0" fontId="0" fillId="25" borderId="48" xfId="0" applyFill="1" applyBorder="1" applyAlignment="1">
      <alignment vertical="top"/>
    </xf>
    <xf numFmtId="0" fontId="0" fillId="40" borderId="36" xfId="0" applyFill="1" applyBorder="1" applyAlignment="1">
      <alignment vertical="top"/>
    </xf>
    <xf numFmtId="0" fontId="0" fillId="40" borderId="37" xfId="0" applyFill="1" applyBorder="1" applyAlignment="1">
      <alignment vertical="top"/>
    </xf>
    <xf numFmtId="0" fontId="2" fillId="25" borderId="56" xfId="0" applyFont="1" applyFill="1" applyBorder="1"/>
    <xf numFmtId="0" fontId="4" fillId="25" borderId="24" xfId="0" applyFont="1" applyFill="1" applyBorder="1" applyAlignment="1">
      <alignment horizontal="right" vertical="top"/>
    </xf>
    <xf numFmtId="0" fontId="41" fillId="41" borderId="0" xfId="0" quotePrefix="1" applyFont="1" applyFill="1" applyAlignment="1">
      <alignment horizontal="right" vertical="top" wrapText="1"/>
    </xf>
    <xf numFmtId="0" fontId="2" fillId="39" borderId="10" xfId="0" applyFont="1" applyFill="1" applyBorder="1" applyAlignment="1">
      <alignment horizontal="center" vertical="top"/>
    </xf>
    <xf numFmtId="0" fontId="2" fillId="39" borderId="11" xfId="0" applyFont="1" applyFill="1" applyBorder="1" applyAlignment="1">
      <alignment horizontal="center"/>
    </xf>
    <xf numFmtId="0" fontId="37" fillId="39" borderId="73" xfId="0" applyFont="1" applyFill="1" applyBorder="1" applyAlignment="1">
      <alignment vertical="top"/>
    </xf>
    <xf numFmtId="0" fontId="37" fillId="39" borderId="95" xfId="0" applyFont="1" applyFill="1" applyBorder="1" applyAlignment="1">
      <alignment vertical="top"/>
    </xf>
    <xf numFmtId="0" fontId="37" fillId="39" borderId="68" xfId="0" applyFont="1" applyFill="1" applyBorder="1" applyAlignment="1">
      <alignment vertical="top"/>
    </xf>
    <xf numFmtId="0" fontId="2" fillId="39" borderId="74" xfId="0" applyFont="1" applyFill="1" applyBorder="1" applyAlignment="1">
      <alignment vertical="top"/>
    </xf>
    <xf numFmtId="0" fontId="37" fillId="39" borderId="73" xfId="0" applyFont="1" applyFill="1" applyBorder="1" applyAlignment="1">
      <alignment horizontal="center" vertical="top"/>
    </xf>
    <xf numFmtId="0" fontId="37" fillId="39" borderId="109" xfId="0" applyFont="1" applyFill="1" applyBorder="1" applyAlignment="1">
      <alignment horizontal="center" vertical="top"/>
    </xf>
    <xf numFmtId="0" fontId="37" fillId="39" borderId="95" xfId="0" applyFont="1" applyFill="1" applyBorder="1" applyAlignment="1">
      <alignment horizontal="center" vertical="top"/>
    </xf>
    <xf numFmtId="0" fontId="37" fillId="39" borderId="110" xfId="0" applyFont="1" applyFill="1" applyBorder="1" applyAlignment="1">
      <alignment horizontal="center" vertical="top"/>
    </xf>
    <xf numFmtId="0" fontId="37" fillId="39" borderId="68" xfId="0" applyFont="1" applyFill="1" applyBorder="1" applyAlignment="1">
      <alignment horizontal="center" vertical="top"/>
    </xf>
    <xf numFmtId="0" fontId="37" fillId="39" borderId="111" xfId="0" applyFont="1" applyFill="1" applyBorder="1" applyAlignment="1">
      <alignment horizontal="center" vertical="top"/>
    </xf>
    <xf numFmtId="0" fontId="37" fillId="39" borderId="112" xfId="0" applyFont="1" applyFill="1" applyBorder="1" applyAlignment="1">
      <alignment vertical="top"/>
    </xf>
    <xf numFmtId="0" fontId="37" fillId="39" borderId="113" xfId="0" applyFont="1" applyFill="1" applyBorder="1" applyAlignment="1">
      <alignment vertical="top"/>
    </xf>
    <xf numFmtId="0" fontId="37" fillId="39" borderId="0" xfId="0" applyFont="1" applyFill="1" applyAlignment="1">
      <alignment horizontal="center" vertical="top"/>
    </xf>
    <xf numFmtId="164" fontId="37" fillId="39" borderId="73" xfId="0" applyNumberFormat="1" applyFont="1" applyFill="1" applyBorder="1" applyAlignment="1">
      <alignment horizontal="center" vertical="top"/>
    </xf>
    <xf numFmtId="0" fontId="37" fillId="44" borderId="73" xfId="0" applyFont="1" applyFill="1" applyBorder="1" applyAlignment="1">
      <alignment vertical="top"/>
    </xf>
    <xf numFmtId="0" fontId="4" fillId="39" borderId="74" xfId="0" quotePrefix="1" applyFont="1" applyFill="1" applyBorder="1" applyAlignment="1">
      <alignment horizontal="center"/>
    </xf>
    <xf numFmtId="0" fontId="37" fillId="39" borderId="25" xfId="0" applyFont="1" applyFill="1" applyBorder="1" applyAlignment="1">
      <alignment vertical="top"/>
    </xf>
    <xf numFmtId="0" fontId="2" fillId="25" borderId="13" xfId="0" applyFont="1" applyFill="1" applyBorder="1" applyAlignment="1">
      <alignment horizontal="center" vertical="top"/>
    </xf>
    <xf numFmtId="0" fontId="2" fillId="25" borderId="13" xfId="0" applyFont="1" applyFill="1" applyBorder="1" applyAlignment="1">
      <alignment horizontal="right" vertical="top"/>
    </xf>
    <xf numFmtId="0" fontId="2" fillId="27" borderId="67" xfId="0" applyFont="1" applyFill="1" applyBorder="1" applyAlignment="1">
      <alignment vertical="top"/>
    </xf>
    <xf numFmtId="0" fontId="2" fillId="27" borderId="25" xfId="0" applyFont="1" applyFill="1" applyBorder="1" applyAlignment="1">
      <alignment vertical="top"/>
    </xf>
    <xf numFmtId="0" fontId="2" fillId="27" borderId="13" xfId="0" applyFont="1" applyFill="1" applyBorder="1" applyAlignment="1">
      <alignment horizontal="center" vertical="top"/>
    </xf>
    <xf numFmtId="0" fontId="2" fillId="27" borderId="13" xfId="0" applyFont="1" applyFill="1" applyBorder="1" applyAlignment="1">
      <alignment horizontal="right" vertical="top"/>
    </xf>
    <xf numFmtId="0" fontId="2" fillId="25" borderId="24" xfId="0" applyFont="1" applyFill="1" applyBorder="1" applyAlignment="1">
      <alignment vertical="top"/>
    </xf>
    <xf numFmtId="0" fontId="2" fillId="25" borderId="67" xfId="0" applyFont="1" applyFill="1" applyBorder="1" applyAlignment="1">
      <alignment vertical="top"/>
    </xf>
    <xf numFmtId="0" fontId="2" fillId="25" borderId="25" xfId="0" applyFont="1" applyFill="1" applyBorder="1" applyAlignment="1">
      <alignment vertical="top"/>
    </xf>
    <xf numFmtId="0" fontId="2" fillId="25" borderId="26" xfId="0" applyFont="1" applyFill="1" applyBorder="1" applyAlignment="1">
      <alignment vertical="top"/>
    </xf>
    <xf numFmtId="0" fontId="2" fillId="25" borderId="103" xfId="0" applyFont="1" applyFill="1" applyBorder="1" applyAlignment="1">
      <alignment vertical="top"/>
    </xf>
    <xf numFmtId="164" fontId="4" fillId="27" borderId="114" xfId="0" applyNumberFormat="1" applyFont="1" applyFill="1" applyBorder="1" applyAlignment="1">
      <alignment vertical="top"/>
    </xf>
    <xf numFmtId="0" fontId="0" fillId="43" borderId="38" xfId="0" applyFill="1" applyBorder="1" applyAlignment="1">
      <alignment vertical="top"/>
    </xf>
    <xf numFmtId="0" fontId="2" fillId="43" borderId="38" xfId="0" applyFont="1" applyFill="1" applyBorder="1" applyAlignment="1">
      <alignment vertical="top"/>
    </xf>
    <xf numFmtId="0" fontId="79" fillId="27" borderId="13" xfId="0" applyFont="1" applyFill="1" applyBorder="1" applyAlignment="1">
      <alignment horizontal="left" vertical="top"/>
    </xf>
    <xf numFmtId="0" fontId="0" fillId="41" borderId="0" xfId="0" applyFill="1"/>
    <xf numFmtId="0" fontId="2" fillId="25" borderId="18" xfId="0" applyFont="1" applyFill="1" applyBorder="1" applyAlignment="1">
      <alignment horizontal="center" vertical="top"/>
    </xf>
    <xf numFmtId="0" fontId="4" fillId="25" borderId="115" xfId="0" applyFont="1" applyFill="1" applyBorder="1" applyAlignment="1">
      <alignment horizontal="center" vertical="top"/>
    </xf>
    <xf numFmtId="164" fontId="4" fillId="27" borderId="76" xfId="0" applyNumberFormat="1" applyFont="1" applyFill="1" applyBorder="1" applyAlignment="1">
      <alignment horizontal="right" vertical="top"/>
    </xf>
    <xf numFmtId="165" fontId="4" fillId="27" borderId="76" xfId="0" applyNumberFormat="1" applyFont="1" applyFill="1" applyBorder="1" applyAlignment="1">
      <alignment horizontal="right" vertical="top"/>
    </xf>
    <xf numFmtId="164" fontId="4" fillId="27" borderId="77" xfId="0" applyNumberFormat="1" applyFont="1" applyFill="1" applyBorder="1" applyAlignment="1">
      <alignment horizontal="right" vertical="top"/>
    </xf>
    <xf numFmtId="165" fontId="4" fillId="27" borderId="77" xfId="0" applyNumberFormat="1" applyFont="1" applyFill="1" applyBorder="1" applyAlignment="1">
      <alignment horizontal="right" vertical="top"/>
    </xf>
    <xf numFmtId="164" fontId="37" fillId="27" borderId="26" xfId="0" applyNumberFormat="1" applyFont="1" applyFill="1" applyBorder="1" applyAlignment="1">
      <alignment horizontal="right" vertical="top"/>
    </xf>
    <xf numFmtId="164" fontId="37" fillId="27" borderId="13" xfId="0" applyNumberFormat="1" applyFont="1" applyFill="1" applyBorder="1" applyAlignment="1">
      <alignment horizontal="right" vertical="top"/>
    </xf>
    <xf numFmtId="164" fontId="37" fillId="27" borderId="69" xfId="0" applyNumberFormat="1" applyFont="1" applyFill="1" applyBorder="1" applyAlignment="1">
      <alignment horizontal="right" vertical="top"/>
    </xf>
    <xf numFmtId="164" fontId="37" fillId="27" borderId="60" xfId="0" applyNumberFormat="1" applyFont="1" applyFill="1" applyBorder="1" applyAlignment="1">
      <alignment horizontal="right" vertical="top"/>
    </xf>
    <xf numFmtId="0" fontId="37" fillId="24" borderId="116" xfId="0" applyFont="1" applyFill="1" applyBorder="1" applyAlignment="1">
      <alignment vertical="top"/>
    </xf>
    <xf numFmtId="0" fontId="37" fillId="41" borderId="0" xfId="0" applyFont="1" applyFill="1" applyAlignment="1">
      <alignment vertical="top"/>
    </xf>
    <xf numFmtId="0" fontId="2" fillId="41" borderId="0" xfId="0" applyFont="1" applyFill="1" applyAlignment="1">
      <alignment vertical="top"/>
    </xf>
    <xf numFmtId="0" fontId="2" fillId="43" borderId="38" xfId="0" applyFont="1" applyFill="1" applyBorder="1" applyAlignment="1">
      <alignment horizontal="left" vertical="top"/>
    </xf>
    <xf numFmtId="165" fontId="37" fillId="40" borderId="62" xfId="0" applyNumberFormat="1" applyFont="1" applyFill="1" applyBorder="1" applyAlignment="1">
      <alignment vertical="top"/>
    </xf>
    <xf numFmtId="165" fontId="37" fillId="40" borderId="64" xfId="0" applyNumberFormat="1" applyFont="1" applyFill="1" applyBorder="1" applyAlignment="1">
      <alignment vertical="top"/>
    </xf>
    <xf numFmtId="0" fontId="2" fillId="25" borderId="18" xfId="0" applyFont="1" applyFill="1" applyBorder="1" applyAlignment="1">
      <alignment horizontal="right" vertical="top"/>
    </xf>
    <xf numFmtId="171" fontId="37" fillId="27" borderId="13" xfId="0" applyNumberFormat="1" applyFont="1" applyFill="1" applyBorder="1" applyAlignment="1">
      <alignment vertical="top"/>
    </xf>
    <xf numFmtId="0" fontId="37" fillId="39" borderId="67" xfId="0" applyFont="1" applyFill="1" applyBorder="1" applyAlignment="1">
      <alignment vertical="top"/>
    </xf>
    <xf numFmtId="0" fontId="2" fillId="24" borderId="95" xfId="0" applyFont="1" applyFill="1" applyBorder="1" applyAlignment="1">
      <alignment vertical="top"/>
    </xf>
    <xf numFmtId="0" fontId="2" fillId="24" borderId="68" xfId="0" applyFont="1" applyFill="1" applyBorder="1" applyAlignment="1">
      <alignment vertical="top"/>
    </xf>
    <xf numFmtId="0" fontId="37" fillId="39" borderId="108" xfId="0" applyFont="1" applyFill="1" applyBorder="1" applyAlignment="1">
      <alignment vertical="top"/>
    </xf>
    <xf numFmtId="0" fontId="37" fillId="39" borderId="10" xfId="0" applyFont="1" applyFill="1" applyBorder="1" applyAlignment="1">
      <alignment horizontal="center" vertical="top"/>
    </xf>
    <xf numFmtId="0" fontId="37" fillId="39" borderId="88" xfId="0" applyFont="1" applyFill="1" applyBorder="1" applyAlignment="1">
      <alignment horizontal="center" vertical="top"/>
    </xf>
    <xf numFmtId="0" fontId="37" fillId="39" borderId="11" xfId="0" applyFont="1" applyFill="1" applyBorder="1" applyAlignment="1">
      <alignment horizontal="center" vertical="top"/>
    </xf>
    <xf numFmtId="0" fontId="4" fillId="25" borderId="0" xfId="0" quotePrefix="1" applyFont="1" applyFill="1" applyAlignment="1">
      <alignment horizontal="center" vertical="top"/>
    </xf>
    <xf numFmtId="0" fontId="37" fillId="44" borderId="68" xfId="0" applyFont="1" applyFill="1" applyBorder="1" applyAlignment="1">
      <alignment vertical="top"/>
    </xf>
    <xf numFmtId="0" fontId="37" fillId="41" borderId="14" xfId="0" applyFont="1" applyFill="1" applyBorder="1" applyAlignment="1">
      <alignment horizontal="center" vertical="top"/>
    </xf>
    <xf numFmtId="0" fontId="37" fillId="41" borderId="15" xfId="0" applyFont="1" applyFill="1" applyBorder="1" applyAlignment="1">
      <alignment horizontal="center" vertical="top"/>
    </xf>
    <xf numFmtId="0" fontId="37" fillId="41" borderId="16" xfId="0" applyFont="1" applyFill="1" applyBorder="1" applyAlignment="1">
      <alignment horizontal="center" vertical="top"/>
    </xf>
    <xf numFmtId="0" fontId="37" fillId="41" borderId="0" xfId="0" applyFont="1" applyFill="1" applyAlignment="1">
      <alignment horizontal="center" vertical="center"/>
    </xf>
    <xf numFmtId="0" fontId="2" fillId="24" borderId="0" xfId="0" applyFont="1" applyFill="1" applyAlignment="1">
      <alignment horizontal="right" vertical="top"/>
    </xf>
    <xf numFmtId="0" fontId="37" fillId="45" borderId="64" xfId="0" applyFont="1" applyFill="1" applyBorder="1" applyAlignment="1" applyProtection="1">
      <alignment horizontal="center" vertical="top"/>
      <protection locked="0"/>
    </xf>
    <xf numFmtId="0" fontId="37" fillId="44" borderId="74" xfId="0" applyFont="1" applyFill="1" applyBorder="1" applyAlignment="1">
      <alignment vertical="top"/>
    </xf>
    <xf numFmtId="0" fontId="37" fillId="24" borderId="117" xfId="0" applyFont="1" applyFill="1" applyBorder="1" applyAlignment="1">
      <alignment horizontal="center" vertical="top"/>
    </xf>
    <xf numFmtId="0" fontId="37" fillId="41" borderId="22" xfId="0" applyFont="1" applyFill="1" applyBorder="1" applyAlignment="1">
      <alignment horizontal="center" vertical="top"/>
    </xf>
    <xf numFmtId="0" fontId="37" fillId="41" borderId="104" xfId="0" applyFont="1" applyFill="1" applyBorder="1" applyAlignment="1">
      <alignment horizontal="center" vertical="top"/>
    </xf>
    <xf numFmtId="0" fontId="37" fillId="41" borderId="48" xfId="0" applyFont="1" applyFill="1" applyBorder="1" applyAlignment="1">
      <alignment horizontal="center" vertical="top"/>
    </xf>
    <xf numFmtId="0" fontId="4" fillId="41" borderId="70" xfId="0" applyFont="1" applyFill="1" applyBorder="1" applyAlignment="1">
      <alignment horizontal="center" vertical="top"/>
    </xf>
    <xf numFmtId="0" fontId="4" fillId="41" borderId="48" xfId="0" applyFont="1" applyFill="1" applyBorder="1" applyAlignment="1">
      <alignment horizontal="center" vertical="top"/>
    </xf>
    <xf numFmtId="0" fontId="2" fillId="41" borderId="19" xfId="0" applyFont="1" applyFill="1" applyBorder="1" applyAlignment="1">
      <alignment horizontal="center" vertical="top"/>
    </xf>
    <xf numFmtId="0" fontId="2" fillId="27" borderId="26" xfId="0" applyFont="1" applyFill="1" applyBorder="1" applyAlignment="1">
      <alignment horizontal="center" vertical="top"/>
    </xf>
    <xf numFmtId="165" fontId="2" fillId="28" borderId="13" xfId="0" applyNumberFormat="1" applyFont="1" applyFill="1" applyBorder="1" applyAlignment="1" applyProtection="1">
      <alignment vertical="top"/>
      <protection locked="0"/>
    </xf>
    <xf numFmtId="0" fontId="2" fillId="27" borderId="24" xfId="0" applyFont="1" applyFill="1" applyBorder="1" applyAlignment="1">
      <alignment horizontal="center" vertical="top"/>
    </xf>
    <xf numFmtId="0" fontId="2" fillId="39" borderId="73" xfId="0" applyFont="1" applyFill="1" applyBorder="1" applyAlignment="1">
      <alignment vertical="top"/>
    </xf>
    <xf numFmtId="165" fontId="2" fillId="28" borderId="63" xfId="0" applyNumberFormat="1" applyFont="1" applyFill="1" applyBorder="1" applyAlignment="1" applyProtection="1">
      <alignment vertical="top"/>
      <protection locked="0"/>
    </xf>
    <xf numFmtId="0" fontId="2" fillId="39" borderId="68" xfId="0" applyFont="1" applyFill="1" applyBorder="1" applyAlignment="1">
      <alignment vertical="top"/>
    </xf>
    <xf numFmtId="0" fontId="4" fillId="27" borderId="70" xfId="0" applyFont="1" applyFill="1" applyBorder="1" applyAlignment="1">
      <alignment horizontal="center" vertical="top"/>
    </xf>
    <xf numFmtId="165" fontId="4" fillId="28" borderId="91" xfId="0" applyNumberFormat="1" applyFont="1" applyFill="1" applyBorder="1" applyAlignment="1" applyProtection="1">
      <alignment vertical="top"/>
      <protection locked="0"/>
    </xf>
    <xf numFmtId="165" fontId="4" fillId="28" borderId="90" xfId="0" applyNumberFormat="1" applyFont="1" applyFill="1" applyBorder="1" applyAlignment="1" applyProtection="1">
      <alignment vertical="top"/>
      <protection locked="0"/>
    </xf>
    <xf numFmtId="0" fontId="4" fillId="27" borderId="48" xfId="0" applyFont="1" applyFill="1" applyBorder="1" applyAlignment="1">
      <alignment horizontal="center" vertical="top"/>
    </xf>
    <xf numFmtId="165" fontId="4" fillId="28" borderId="53" xfId="0" applyNumberFormat="1" applyFont="1" applyFill="1" applyBorder="1" applyAlignment="1" applyProtection="1">
      <alignment vertical="top"/>
      <protection locked="0"/>
    </xf>
    <xf numFmtId="165" fontId="4" fillId="28" borderId="52" xfId="0" applyNumberFormat="1" applyFont="1" applyFill="1" applyBorder="1" applyAlignment="1" applyProtection="1">
      <alignment vertical="top"/>
      <protection locked="0"/>
    </xf>
    <xf numFmtId="165" fontId="2" fillId="27" borderId="11" xfId="0" applyNumberFormat="1" applyFont="1" applyFill="1" applyBorder="1" applyAlignment="1">
      <alignment vertical="top"/>
    </xf>
    <xf numFmtId="165" fontId="4" fillId="27" borderId="91" xfId="0" applyNumberFormat="1" applyFont="1" applyFill="1" applyBorder="1" applyAlignment="1">
      <alignment vertical="top"/>
    </xf>
    <xf numFmtId="165" fontId="4" fillId="27" borderId="90" xfId="0" applyNumberFormat="1" applyFont="1" applyFill="1" applyBorder="1" applyAlignment="1">
      <alignment vertical="top"/>
    </xf>
    <xf numFmtId="165" fontId="4" fillId="27" borderId="52" xfId="0" applyNumberFormat="1" applyFont="1" applyFill="1" applyBorder="1" applyAlignment="1">
      <alignment vertical="top"/>
    </xf>
    <xf numFmtId="0" fontId="2" fillId="39" borderId="108" xfId="0" applyFont="1" applyFill="1" applyBorder="1" applyAlignment="1">
      <alignment vertical="top"/>
    </xf>
    <xf numFmtId="0" fontId="2" fillId="39" borderId="108" xfId="0" applyFont="1" applyFill="1" applyBorder="1"/>
    <xf numFmtId="0" fontId="2" fillId="25" borderId="0" xfId="0" quotePrefix="1" applyFont="1" applyFill="1" applyAlignment="1">
      <alignment horizontal="right" vertical="top"/>
    </xf>
    <xf numFmtId="165" fontId="37" fillId="45" borderId="13" xfId="0" applyNumberFormat="1" applyFont="1" applyFill="1" applyBorder="1" applyAlignment="1" applyProtection="1">
      <alignment vertical="top"/>
      <protection locked="0"/>
    </xf>
    <xf numFmtId="0" fontId="37" fillId="24" borderId="49" xfId="0" applyFont="1" applyFill="1" applyBorder="1" applyAlignment="1">
      <alignment vertical="top"/>
    </xf>
    <xf numFmtId="0" fontId="37" fillId="24" borderId="66" xfId="0" applyFont="1" applyFill="1" applyBorder="1" applyAlignment="1">
      <alignment vertical="top"/>
    </xf>
    <xf numFmtId="0" fontId="37" fillId="44" borderId="95" xfId="0" applyFont="1" applyFill="1" applyBorder="1" applyAlignment="1">
      <alignment vertical="top"/>
    </xf>
    <xf numFmtId="10" fontId="37" fillId="41" borderId="13" xfId="0" applyNumberFormat="1" applyFont="1" applyFill="1" applyBorder="1" applyAlignment="1">
      <alignment vertical="top"/>
    </xf>
    <xf numFmtId="0" fontId="2" fillId="44" borderId="73" xfId="0" applyFont="1" applyFill="1" applyBorder="1" applyAlignment="1">
      <alignment vertical="top"/>
    </xf>
    <xf numFmtId="0" fontId="2" fillId="44" borderId="68" xfId="0" applyFont="1" applyFill="1" applyBorder="1" applyAlignment="1">
      <alignment vertical="top"/>
    </xf>
    <xf numFmtId="0" fontId="4" fillId="46" borderId="114" xfId="0" applyFont="1" applyFill="1" applyBorder="1"/>
    <xf numFmtId="0" fontId="0" fillId="46" borderId="74" xfId="0" applyFill="1" applyBorder="1"/>
    <xf numFmtId="0" fontId="0" fillId="46" borderId="0" xfId="0" applyFill="1" applyAlignment="1">
      <alignment horizontal="center" vertical="center" wrapText="1"/>
    </xf>
    <xf numFmtId="0" fontId="4" fillId="46" borderId="74" xfId="0" applyFont="1" applyFill="1" applyBorder="1"/>
    <xf numFmtId="0" fontId="2" fillId="0" borderId="71" xfId="0" applyFont="1" applyBorder="1" applyAlignment="1">
      <alignment vertical="top"/>
    </xf>
    <xf numFmtId="0" fontId="37" fillId="40" borderId="19" xfId="0" applyFont="1" applyFill="1" applyBorder="1" applyAlignment="1">
      <alignment horizontal="center" vertical="top"/>
    </xf>
    <xf numFmtId="0" fontId="37" fillId="40" borderId="20" xfId="0" applyFont="1" applyFill="1" applyBorder="1" applyAlignment="1">
      <alignment horizontal="center" vertical="top"/>
    </xf>
    <xf numFmtId="0" fontId="37" fillId="40" borderId="48" xfId="0" applyFont="1" applyFill="1" applyBorder="1" applyAlignment="1">
      <alignment horizontal="center" vertical="top"/>
    </xf>
    <xf numFmtId="0" fontId="48" fillId="40" borderId="25" xfId="0" applyFont="1" applyFill="1" applyBorder="1" applyAlignment="1">
      <alignment vertical="top"/>
    </xf>
    <xf numFmtId="0" fontId="37" fillId="40" borderId="0" xfId="0" applyFont="1" applyFill="1" applyAlignment="1">
      <alignment vertical="top"/>
    </xf>
    <xf numFmtId="0" fontId="37" fillId="40" borderId="39" xfId="0" applyFont="1" applyFill="1" applyBorder="1" applyAlignment="1">
      <alignment vertical="top"/>
    </xf>
    <xf numFmtId="0" fontId="37" fillId="40" borderId="88" xfId="0" applyFont="1" applyFill="1" applyBorder="1" applyAlignment="1">
      <alignment vertical="top"/>
    </xf>
    <xf numFmtId="0" fontId="37" fillId="40" borderId="118" xfId="0" applyFont="1" applyFill="1" applyBorder="1" applyAlignment="1">
      <alignment vertical="top"/>
    </xf>
    <xf numFmtId="0" fontId="2" fillId="42" borderId="62" xfId="0" applyFont="1" applyFill="1" applyBorder="1" applyAlignment="1" applyProtection="1">
      <alignment horizontal="center" vertical="top"/>
      <protection locked="0"/>
    </xf>
    <xf numFmtId="0" fontId="2" fillId="39" borderId="13" xfId="0" applyFont="1" applyFill="1" applyBorder="1" applyAlignment="1">
      <alignment vertical="top"/>
    </xf>
    <xf numFmtId="49" fontId="2" fillId="25" borderId="0" xfId="0" applyNumberFormat="1" applyFont="1" applyFill="1" applyAlignment="1">
      <alignment horizontal="left" vertical="top"/>
    </xf>
    <xf numFmtId="0" fontId="2" fillId="40" borderId="13" xfId="0" applyFont="1" applyFill="1" applyBorder="1" applyAlignment="1">
      <alignment horizontal="right" vertical="top"/>
    </xf>
    <xf numFmtId="10" fontId="37" fillId="24" borderId="0" xfId="0" applyNumberFormat="1" applyFont="1" applyFill="1" applyAlignment="1">
      <alignment vertical="top"/>
    </xf>
    <xf numFmtId="10" fontId="68" fillId="41" borderId="13" xfId="84" applyNumberFormat="1" applyFont="1" applyFill="1" applyBorder="1" applyProtection="1"/>
    <xf numFmtId="0" fontId="2" fillId="24" borderId="57" xfId="0" applyFont="1" applyFill="1" applyBorder="1"/>
    <xf numFmtId="0" fontId="4" fillId="24" borderId="28" xfId="0" applyFont="1" applyFill="1" applyBorder="1" applyAlignment="1">
      <alignment vertical="top"/>
    </xf>
    <xf numFmtId="0" fontId="4" fillId="24" borderId="30" xfId="0" applyFont="1" applyFill="1" applyBorder="1" applyAlignment="1">
      <alignment vertical="top"/>
    </xf>
    <xf numFmtId="0" fontId="4" fillId="24" borderId="59" xfId="0" applyFont="1" applyFill="1" applyBorder="1" applyAlignment="1">
      <alignment horizontal="left"/>
    </xf>
    <xf numFmtId="0" fontId="2" fillId="25" borderId="67" xfId="0" applyFont="1" applyFill="1" applyBorder="1" applyAlignment="1">
      <alignment horizontal="right" vertical="top"/>
    </xf>
    <xf numFmtId="0" fontId="2" fillId="39" borderId="13" xfId="0" applyFont="1" applyFill="1" applyBorder="1" applyAlignment="1">
      <alignment wrapText="1"/>
    </xf>
    <xf numFmtId="3" fontId="2" fillId="42" borderId="62" xfId="0" applyNumberFormat="1" applyFont="1" applyFill="1" applyBorder="1" applyAlignment="1" applyProtection="1">
      <alignment vertical="top"/>
      <protection locked="0"/>
    </xf>
    <xf numFmtId="3" fontId="2" fillId="42" borderId="19" xfId="0" applyNumberFormat="1" applyFont="1" applyFill="1" applyBorder="1" applyAlignment="1" applyProtection="1">
      <alignment vertical="top"/>
      <protection locked="0"/>
    </xf>
    <xf numFmtId="3" fontId="4" fillId="27" borderId="114" xfId="0" applyNumberFormat="1" applyFont="1" applyFill="1" applyBorder="1" applyAlignment="1">
      <alignment vertical="top"/>
    </xf>
    <xf numFmtId="0" fontId="2" fillId="25" borderId="119" xfId="0" applyFont="1" applyFill="1" applyBorder="1" applyAlignment="1">
      <alignment vertical="top"/>
    </xf>
    <xf numFmtId="0" fontId="2" fillId="25" borderId="69" xfId="0" applyFont="1" applyFill="1" applyBorder="1" applyAlignment="1">
      <alignment vertical="top"/>
    </xf>
    <xf numFmtId="0" fontId="35" fillId="25" borderId="0" xfId="0" applyFont="1" applyFill="1" applyAlignment="1">
      <alignment vertical="top"/>
    </xf>
    <xf numFmtId="0" fontId="2" fillId="27" borderId="13" xfId="0" applyFont="1" applyFill="1" applyBorder="1" applyAlignment="1">
      <alignment vertical="top"/>
    </xf>
    <xf numFmtId="10" fontId="37" fillId="40" borderId="13" xfId="0" applyNumberFormat="1" applyFont="1" applyFill="1" applyBorder="1" applyAlignment="1">
      <alignment vertical="top"/>
    </xf>
    <xf numFmtId="0" fontId="2" fillId="24" borderId="10" xfId="0" applyFont="1" applyFill="1" applyBorder="1"/>
    <xf numFmtId="0" fontId="2" fillId="43" borderId="0" xfId="0" applyFont="1" applyFill="1" applyAlignment="1">
      <alignment vertical="top"/>
    </xf>
    <xf numFmtId="0" fontId="2" fillId="43" borderId="23" xfId="0" applyFont="1" applyFill="1" applyBorder="1" applyAlignment="1">
      <alignment horizontal="center" vertical="top"/>
    </xf>
    <xf numFmtId="0" fontId="4" fillId="43" borderId="11" xfId="0" applyFont="1" applyFill="1" applyBorder="1" applyAlignment="1">
      <alignment horizontal="right" vertical="top"/>
    </xf>
    <xf numFmtId="0" fontId="37" fillId="40" borderId="13" xfId="0" applyFont="1" applyFill="1" applyBorder="1" applyAlignment="1">
      <alignment vertical="top"/>
    </xf>
    <xf numFmtId="0" fontId="2" fillId="25" borderId="14" xfId="0" quotePrefix="1" applyFont="1" applyFill="1" applyBorder="1" applyAlignment="1">
      <alignment horizontal="center" vertical="top"/>
    </xf>
    <xf numFmtId="171" fontId="37" fillId="27" borderId="62" xfId="0" applyNumberFormat="1" applyFont="1" applyFill="1" applyBorder="1" applyAlignment="1">
      <alignment vertical="top"/>
    </xf>
    <xf numFmtId="0" fontId="2" fillId="25" borderId="16" xfId="0" quotePrefix="1" applyFont="1" applyFill="1" applyBorder="1" applyAlignment="1">
      <alignment horizontal="center" vertical="top"/>
    </xf>
    <xf numFmtId="171" fontId="37" fillId="27" borderId="64" xfId="0" applyNumberFormat="1" applyFont="1" applyFill="1" applyBorder="1" applyAlignment="1">
      <alignment vertical="top"/>
    </xf>
    <xf numFmtId="10" fontId="37" fillId="40" borderId="62" xfId="0" applyNumberFormat="1" applyFont="1" applyFill="1" applyBorder="1" applyAlignment="1">
      <alignment vertical="top"/>
    </xf>
    <xf numFmtId="10" fontId="37" fillId="40" borderId="64" xfId="0" applyNumberFormat="1" applyFont="1" applyFill="1" applyBorder="1" applyAlignment="1">
      <alignment vertical="top"/>
    </xf>
    <xf numFmtId="0" fontId="37" fillId="41" borderId="25" xfId="0" applyFont="1" applyFill="1" applyBorder="1" applyAlignment="1">
      <alignment horizontal="center" vertical="top"/>
    </xf>
    <xf numFmtId="0" fontId="2" fillId="24" borderId="0" xfId="0" applyFont="1" applyFill="1" applyAlignment="1">
      <alignment vertical="center"/>
    </xf>
    <xf numFmtId="0" fontId="0" fillId="25" borderId="0" xfId="0" applyFill="1" applyAlignment="1">
      <alignment vertical="center"/>
    </xf>
    <xf numFmtId="0" fontId="2" fillId="41" borderId="0" xfId="0" applyFont="1" applyFill="1" applyAlignment="1">
      <alignment vertical="center"/>
    </xf>
    <xf numFmtId="0" fontId="37" fillId="39" borderId="10" xfId="0" applyFont="1" applyFill="1" applyBorder="1" applyAlignment="1">
      <alignment horizontal="center" vertical="top" wrapText="1"/>
    </xf>
    <xf numFmtId="0" fontId="2" fillId="39" borderId="10" xfId="0" applyFont="1" applyFill="1" applyBorder="1" applyAlignment="1">
      <alignment vertical="top"/>
    </xf>
    <xf numFmtId="0" fontId="37" fillId="39" borderId="60" xfId="0" applyFont="1" applyFill="1" applyBorder="1" applyAlignment="1">
      <alignment horizontal="center" vertical="top"/>
    </xf>
    <xf numFmtId="0" fontId="2" fillId="0" borderId="98" xfId="0" applyFont="1" applyBorder="1" applyAlignment="1">
      <alignment vertical="top"/>
    </xf>
    <xf numFmtId="164" fontId="2" fillId="40" borderId="67" xfId="0" applyNumberFormat="1" applyFont="1" applyFill="1" applyBorder="1" applyAlignment="1">
      <alignment horizontal="right" vertical="top"/>
    </xf>
    <xf numFmtId="14" fontId="2" fillId="40" borderId="13" xfId="0" applyNumberFormat="1" applyFont="1" applyFill="1" applyBorder="1" applyAlignment="1">
      <alignment horizontal="right" vertical="top"/>
    </xf>
    <xf numFmtId="0" fontId="37" fillId="25" borderId="21" xfId="0" applyFont="1" applyFill="1" applyBorder="1" applyAlignment="1">
      <alignment horizontal="center" vertical="top"/>
    </xf>
    <xf numFmtId="165" fontId="2" fillId="27" borderId="88" xfId="0" applyNumberFormat="1" applyFont="1" applyFill="1" applyBorder="1" applyAlignment="1">
      <alignment vertical="top"/>
    </xf>
    <xf numFmtId="0" fontId="37" fillId="25" borderId="41" xfId="0" applyFont="1" applyFill="1" applyBorder="1" applyAlignment="1">
      <alignment horizontal="center" vertical="top"/>
    </xf>
    <xf numFmtId="0" fontId="37" fillId="25" borderId="120" xfId="0" applyFont="1" applyFill="1" applyBorder="1" applyAlignment="1">
      <alignment horizontal="center" vertical="top"/>
    </xf>
    <xf numFmtId="165" fontId="37" fillId="40" borderId="19" xfId="0" applyNumberFormat="1" applyFont="1" applyFill="1" applyBorder="1" applyAlignment="1">
      <alignment vertical="top"/>
    </xf>
    <xf numFmtId="165" fontId="37" fillId="40" borderId="20" xfId="0" applyNumberFormat="1" applyFont="1" applyFill="1" applyBorder="1" applyAlignment="1">
      <alignment vertical="top"/>
    </xf>
    <xf numFmtId="165" fontId="37" fillId="40" borderId="23" xfId="0" applyNumberFormat="1" applyFont="1" applyFill="1" applyBorder="1" applyAlignment="1">
      <alignment vertical="top"/>
    </xf>
    <xf numFmtId="165" fontId="37" fillId="40" borderId="89" xfId="0" applyNumberFormat="1" applyFont="1" applyFill="1" applyBorder="1" applyAlignment="1">
      <alignment vertical="top"/>
    </xf>
    <xf numFmtId="0" fontId="4" fillId="25" borderId="110" xfId="0" applyFont="1" applyFill="1" applyBorder="1" applyAlignment="1">
      <alignment vertical="top"/>
    </xf>
    <xf numFmtId="0" fontId="4" fillId="25" borderId="25" xfId="0" applyFont="1" applyFill="1" applyBorder="1" applyAlignment="1">
      <alignment vertical="top"/>
    </xf>
    <xf numFmtId="0" fontId="4" fillId="0" borderId="26" xfId="0" applyFont="1" applyBorder="1" applyAlignment="1">
      <alignment horizontal="center" vertical="top"/>
    </xf>
    <xf numFmtId="0" fontId="4" fillId="25" borderId="109" xfId="0" applyFont="1" applyFill="1" applyBorder="1" applyAlignment="1">
      <alignment vertical="top"/>
    </xf>
    <xf numFmtId="0" fontId="4" fillId="25" borderId="41" xfId="0" applyFont="1" applyFill="1" applyBorder="1" applyAlignment="1">
      <alignment vertical="top"/>
    </xf>
    <xf numFmtId="0" fontId="4" fillId="0" borderId="46" xfId="0" applyFont="1" applyBorder="1" applyAlignment="1">
      <alignment horizontal="center" vertical="top"/>
    </xf>
    <xf numFmtId="0" fontId="4" fillId="25" borderId="111" xfId="0" applyFont="1" applyFill="1" applyBorder="1" applyAlignment="1">
      <alignment vertical="top"/>
    </xf>
    <xf numFmtId="0" fontId="4" fillId="25" borderId="120" xfId="0" applyFont="1" applyFill="1" applyBorder="1" applyAlignment="1">
      <alignment vertical="top"/>
    </xf>
    <xf numFmtId="0" fontId="4" fillId="0" borderId="69" xfId="0" applyFont="1" applyBorder="1" applyAlignment="1">
      <alignment horizontal="center" vertical="top"/>
    </xf>
    <xf numFmtId="165" fontId="37" fillId="40" borderId="11" xfId="0" applyNumberFormat="1" applyFont="1" applyFill="1" applyBorder="1" applyAlignment="1">
      <alignment vertical="top"/>
    </xf>
    <xf numFmtId="0" fontId="10" fillId="41" borderId="0" xfId="0" applyFont="1" applyFill="1" applyAlignment="1">
      <alignment vertical="top"/>
    </xf>
    <xf numFmtId="171" fontId="2" fillId="27" borderId="13" xfId="0" applyNumberFormat="1" applyFont="1" applyFill="1" applyBorder="1" applyAlignment="1">
      <alignment horizontal="right" vertical="top"/>
    </xf>
    <xf numFmtId="0" fontId="2" fillId="24" borderId="13" xfId="0" applyFont="1" applyFill="1" applyBorder="1" applyAlignment="1">
      <alignment horizontal="center" vertical="top"/>
    </xf>
    <xf numFmtId="167" fontId="37" fillId="24" borderId="0" xfId="0" applyNumberFormat="1" applyFont="1" applyFill="1" applyAlignment="1">
      <alignment vertical="top"/>
    </xf>
    <xf numFmtId="0" fontId="4" fillId="24" borderId="13" xfId="0" applyFont="1" applyFill="1" applyBorder="1" applyAlignment="1">
      <alignment horizontal="left"/>
    </xf>
    <xf numFmtId="0" fontId="10" fillId="25" borderId="0" xfId="0" quotePrefix="1" applyFont="1" applyFill="1" applyAlignment="1">
      <alignment horizontal="right" vertical="top" wrapText="1"/>
    </xf>
    <xf numFmtId="164" fontId="37" fillId="27" borderId="67" xfId="0" applyNumberFormat="1" applyFont="1" applyFill="1" applyBorder="1" applyAlignment="1">
      <alignment vertical="top"/>
    </xf>
    <xf numFmtId="164" fontId="37" fillId="27" borderId="49" xfId="0" applyNumberFormat="1" applyFont="1" applyFill="1" applyBorder="1" applyAlignment="1">
      <alignment vertical="top"/>
    </xf>
    <xf numFmtId="165" fontId="37" fillId="42" borderId="117" xfId="0" applyNumberFormat="1" applyFont="1" applyFill="1" applyBorder="1" applyAlignment="1" applyProtection="1">
      <alignment vertical="top"/>
      <protection locked="0"/>
    </xf>
    <xf numFmtId="165" fontId="37" fillId="28" borderId="67" xfId="0" applyNumberFormat="1" applyFont="1" applyFill="1" applyBorder="1" applyAlignment="1" applyProtection="1">
      <alignment vertical="top"/>
      <protection locked="0"/>
    </xf>
    <xf numFmtId="165" fontId="37" fillId="28" borderId="49" xfId="0" applyNumberFormat="1" applyFont="1" applyFill="1" applyBorder="1" applyAlignment="1" applyProtection="1">
      <alignment vertical="top"/>
      <protection locked="0"/>
    </xf>
    <xf numFmtId="0" fontId="2" fillId="24" borderId="67" xfId="0" applyFont="1" applyFill="1" applyBorder="1" applyAlignment="1">
      <alignment vertical="top"/>
    </xf>
    <xf numFmtId="0" fontId="4" fillId="25" borderId="78" xfId="0" applyFont="1" applyFill="1" applyBorder="1" applyAlignment="1">
      <alignment horizontal="right" vertical="top"/>
    </xf>
    <xf numFmtId="172" fontId="37" fillId="28" borderId="67" xfId="0" applyNumberFormat="1" applyFont="1" applyFill="1" applyBorder="1" applyAlignment="1" applyProtection="1">
      <alignment vertical="top"/>
      <protection locked="0"/>
    </xf>
    <xf numFmtId="172" fontId="37" fillId="28" borderId="121" xfId="0" applyNumberFormat="1" applyFont="1" applyFill="1" applyBorder="1" applyAlignment="1" applyProtection="1">
      <alignment vertical="top"/>
      <protection locked="0"/>
    </xf>
    <xf numFmtId="172" fontId="37" fillId="28" borderId="106" xfId="0" applyNumberFormat="1" applyFont="1" applyFill="1" applyBorder="1" applyAlignment="1" applyProtection="1">
      <alignment vertical="top"/>
      <protection locked="0"/>
    </xf>
    <xf numFmtId="172" fontId="37" fillId="28" borderId="94" xfId="0" applyNumberFormat="1" applyFont="1" applyFill="1" applyBorder="1" applyAlignment="1" applyProtection="1">
      <alignment vertical="top"/>
      <protection locked="0"/>
    </xf>
    <xf numFmtId="172" fontId="37" fillId="28" borderId="49" xfId="0" applyNumberFormat="1" applyFont="1" applyFill="1" applyBorder="1" applyAlignment="1" applyProtection="1">
      <alignment vertical="top"/>
      <protection locked="0"/>
    </xf>
    <xf numFmtId="172" fontId="37" fillId="28" borderId="122" xfId="0" applyNumberFormat="1" applyFont="1" applyFill="1" applyBorder="1" applyAlignment="1" applyProtection="1">
      <alignment vertical="top"/>
      <protection locked="0"/>
    </xf>
    <xf numFmtId="172" fontId="37" fillId="28" borderId="33" xfId="0" applyNumberFormat="1" applyFont="1" applyFill="1" applyBorder="1" applyAlignment="1" applyProtection="1">
      <alignment vertical="top"/>
      <protection locked="0"/>
    </xf>
    <xf numFmtId="172" fontId="37" fillId="28" borderId="123" xfId="0" applyNumberFormat="1" applyFont="1" applyFill="1" applyBorder="1" applyAlignment="1" applyProtection="1">
      <alignment vertical="top"/>
      <protection locked="0"/>
    </xf>
    <xf numFmtId="164" fontId="37" fillId="27" borderId="105" xfId="0" applyNumberFormat="1" applyFont="1" applyFill="1" applyBorder="1" applyAlignment="1">
      <alignment vertical="top"/>
    </xf>
    <xf numFmtId="164" fontId="37" fillId="27" borderId="99" xfId="0" applyNumberFormat="1" applyFont="1" applyFill="1" applyBorder="1" applyAlignment="1">
      <alignment vertical="top"/>
    </xf>
    <xf numFmtId="164" fontId="37" fillId="27" borderId="94" xfId="0" applyNumberFormat="1" applyFont="1" applyFill="1" applyBorder="1" applyAlignment="1">
      <alignment vertical="top"/>
    </xf>
    <xf numFmtId="164" fontId="37" fillId="28" borderId="105" xfId="0" applyNumberFormat="1" applyFont="1" applyFill="1" applyBorder="1" applyAlignment="1" applyProtection="1">
      <alignment vertical="top"/>
      <protection locked="0"/>
    </xf>
    <xf numFmtId="164" fontId="37" fillId="28" borderId="99" xfId="0" applyNumberFormat="1" applyFont="1" applyFill="1" applyBorder="1" applyAlignment="1" applyProtection="1">
      <alignment vertical="top"/>
      <protection locked="0"/>
    </xf>
    <xf numFmtId="164" fontId="37" fillId="28" borderId="94" xfId="0" applyNumberFormat="1" applyFont="1" applyFill="1" applyBorder="1" applyAlignment="1" applyProtection="1">
      <alignment vertical="top"/>
      <protection locked="0"/>
    </xf>
    <xf numFmtId="164" fontId="37" fillId="27" borderId="31" xfId="0" applyNumberFormat="1" applyFont="1" applyFill="1" applyBorder="1" applyAlignment="1">
      <alignment vertical="top"/>
    </xf>
    <xf numFmtId="164" fontId="37" fillId="27" borderId="44" xfId="0" applyNumberFormat="1" applyFont="1" applyFill="1" applyBorder="1" applyAlignment="1">
      <alignment vertical="top"/>
    </xf>
    <xf numFmtId="164" fontId="37" fillId="27" borderId="123" xfId="0" applyNumberFormat="1" applyFont="1" applyFill="1" applyBorder="1" applyAlignment="1">
      <alignment vertical="top"/>
    </xf>
    <xf numFmtId="164" fontId="37" fillId="28" borderId="31" xfId="0" applyNumberFormat="1" applyFont="1" applyFill="1" applyBorder="1" applyAlignment="1" applyProtection="1">
      <alignment vertical="top"/>
      <protection locked="0"/>
    </xf>
    <xf numFmtId="164" fontId="37" fillId="28" borderId="44" xfId="0" applyNumberFormat="1" applyFont="1" applyFill="1" applyBorder="1" applyAlignment="1" applyProtection="1">
      <alignment vertical="top"/>
      <protection locked="0"/>
    </xf>
    <xf numFmtId="164" fontId="37" fillId="28" borderId="123" xfId="0" applyNumberFormat="1" applyFont="1" applyFill="1" applyBorder="1" applyAlignment="1" applyProtection="1">
      <alignment vertical="top"/>
      <protection locked="0"/>
    </xf>
    <xf numFmtId="171" fontId="37" fillId="28" borderId="67" xfId="0" applyNumberFormat="1" applyFont="1" applyFill="1" applyBorder="1" applyAlignment="1" applyProtection="1">
      <alignment vertical="top"/>
      <protection locked="0"/>
    </xf>
    <xf numFmtId="165" fontId="37" fillId="27" borderId="67" xfId="0" applyNumberFormat="1" applyFont="1" applyFill="1" applyBorder="1" applyAlignment="1">
      <alignment vertical="top"/>
    </xf>
    <xf numFmtId="165" fontId="37" fillId="27" borderId="49" xfId="0" applyNumberFormat="1" applyFont="1" applyFill="1" applyBorder="1" applyAlignment="1">
      <alignment vertical="top"/>
    </xf>
    <xf numFmtId="3" fontId="37" fillId="28" borderId="105" xfId="0" applyNumberFormat="1" applyFont="1" applyFill="1" applyBorder="1" applyAlignment="1" applyProtection="1">
      <alignment vertical="top"/>
      <protection locked="0"/>
    </xf>
    <xf numFmtId="3" fontId="37" fillId="28" borderId="106" xfId="0" applyNumberFormat="1" applyFont="1" applyFill="1" applyBorder="1" applyAlignment="1" applyProtection="1">
      <alignment vertical="top"/>
      <protection locked="0"/>
    </xf>
    <xf numFmtId="3" fontId="37" fillId="28" borderId="94" xfId="0" applyNumberFormat="1" applyFont="1" applyFill="1" applyBorder="1" applyAlignment="1" applyProtection="1">
      <alignment vertical="top"/>
      <protection locked="0"/>
    </xf>
    <xf numFmtId="3" fontId="37" fillId="27" borderId="94" xfId="0" applyNumberFormat="1" applyFont="1" applyFill="1" applyBorder="1" applyAlignment="1">
      <alignment vertical="top"/>
    </xf>
    <xf numFmtId="165" fontId="37" fillId="40" borderId="121" xfId="0" applyNumberFormat="1" applyFont="1" applyFill="1" applyBorder="1" applyAlignment="1">
      <alignment vertical="top"/>
    </xf>
    <xf numFmtId="0" fontId="2" fillId="39" borderId="102" xfId="0" applyFont="1" applyFill="1" applyBorder="1" applyAlignment="1">
      <alignment horizontal="center" vertical="top"/>
    </xf>
    <xf numFmtId="0" fontId="2" fillId="39" borderId="24" xfId="0" applyFont="1" applyFill="1" applyBorder="1" applyAlignment="1">
      <alignment horizontal="center" vertical="top"/>
    </xf>
    <xf numFmtId="0" fontId="2" fillId="27" borderId="46" xfId="0" applyFont="1" applyFill="1" applyBorder="1" applyAlignment="1">
      <alignment horizontal="center" vertical="top"/>
    </xf>
    <xf numFmtId="165" fontId="2" fillId="27" borderId="71" xfId="0" applyNumberFormat="1" applyFont="1" applyFill="1" applyBorder="1" applyAlignment="1">
      <alignment vertical="top"/>
    </xf>
    <xf numFmtId="165" fontId="2" fillId="28" borderId="71" xfId="0" applyNumberFormat="1" applyFont="1" applyFill="1" applyBorder="1" applyAlignment="1" applyProtection="1">
      <alignment vertical="top"/>
      <protection locked="0"/>
    </xf>
    <xf numFmtId="0" fontId="2" fillId="28" borderId="10" xfId="0" applyFont="1" applyFill="1" applyBorder="1" applyAlignment="1" applyProtection="1">
      <alignment horizontal="center" vertical="top"/>
      <protection locked="0"/>
    </xf>
    <xf numFmtId="0" fontId="2" fillId="28" borderId="13" xfId="0" applyFont="1" applyFill="1" applyBorder="1" applyAlignment="1" applyProtection="1">
      <alignment vertical="top"/>
      <protection locked="0"/>
    </xf>
    <xf numFmtId="0" fontId="2" fillId="41" borderId="96" xfId="0" applyFont="1" applyFill="1" applyBorder="1" applyAlignment="1">
      <alignment vertical="top"/>
    </xf>
    <xf numFmtId="0" fontId="4" fillId="43" borderId="25" xfId="0" applyFont="1" applyFill="1" applyBorder="1" applyAlignment="1">
      <alignment horizontal="center" vertical="top"/>
    </xf>
    <xf numFmtId="0" fontId="4" fillId="24" borderId="0" xfId="0" applyFont="1" applyFill="1"/>
    <xf numFmtId="0" fontId="2" fillId="24" borderId="0" xfId="0" applyFont="1" applyFill="1" applyAlignment="1">
      <alignment vertical="top" wrapText="1"/>
    </xf>
    <xf numFmtId="0" fontId="0" fillId="25" borderId="0" xfId="0" applyFill="1" applyAlignment="1">
      <alignment wrapText="1"/>
    </xf>
    <xf numFmtId="0" fontId="2" fillId="24" borderId="0" xfId="0" applyFont="1" applyFill="1" applyAlignment="1">
      <alignment wrapText="1"/>
    </xf>
    <xf numFmtId="0" fontId="4" fillId="24" borderId="0" xfId="0" applyFont="1" applyFill="1" applyAlignment="1">
      <alignment horizontal="right" vertical="top"/>
    </xf>
    <xf numFmtId="171" fontId="2" fillId="25" borderId="13" xfId="0" applyNumberFormat="1" applyFont="1" applyFill="1" applyBorder="1" applyAlignment="1">
      <alignment vertical="top"/>
    </xf>
    <xf numFmtId="0" fontId="2" fillId="25" borderId="39" xfId="0" applyFont="1" applyFill="1" applyBorder="1" applyAlignment="1">
      <alignment horizontal="center" vertical="top"/>
    </xf>
    <xf numFmtId="164" fontId="2" fillId="27" borderId="60" xfId="0" applyNumberFormat="1" applyFont="1" applyFill="1" applyBorder="1" applyAlignment="1">
      <alignment vertical="top"/>
    </xf>
    <xf numFmtId="164" fontId="2" fillId="27" borderId="11" xfId="0" applyNumberFormat="1" applyFont="1" applyFill="1" applyBorder="1" applyAlignment="1">
      <alignment vertical="top"/>
    </xf>
    <xf numFmtId="164" fontId="4" fillId="27" borderId="11" xfId="0" applyNumberFormat="1" applyFont="1" applyFill="1" applyBorder="1" applyAlignment="1">
      <alignment vertical="top"/>
    </xf>
    <xf numFmtId="171" fontId="2" fillId="27" borderId="13" xfId="0" applyNumberFormat="1" applyFont="1" applyFill="1" applyBorder="1" applyAlignment="1">
      <alignment vertical="top"/>
    </xf>
    <xf numFmtId="0" fontId="38" fillId="40" borderId="74" xfId="0" applyFont="1" applyFill="1" applyBorder="1" applyAlignment="1">
      <alignment vertical="top"/>
    </xf>
    <xf numFmtId="0" fontId="35" fillId="40" borderId="74" xfId="0" applyFont="1" applyFill="1" applyBorder="1" applyAlignment="1">
      <alignment horizontal="center"/>
    </xf>
    <xf numFmtId="0" fontId="2" fillId="25" borderId="47" xfId="0" applyFont="1" applyFill="1" applyBorder="1" applyAlignment="1">
      <alignment horizontal="center" vertical="top"/>
    </xf>
    <xf numFmtId="164" fontId="2" fillId="27" borderId="10" xfId="0" applyNumberFormat="1" applyFont="1" applyFill="1" applyBorder="1" applyAlignment="1">
      <alignment vertical="top"/>
    </xf>
    <xf numFmtId="0" fontId="37" fillId="40" borderId="105" xfId="0" applyFont="1" applyFill="1" applyBorder="1" applyAlignment="1">
      <alignment vertical="top"/>
    </xf>
    <xf numFmtId="0" fontId="37" fillId="0" borderId="14" xfId="0" applyFont="1" applyBorder="1" applyAlignment="1">
      <alignment horizontal="center" vertical="top"/>
    </xf>
    <xf numFmtId="0" fontId="37" fillId="40" borderId="106" xfId="0" applyFont="1" applyFill="1" applyBorder="1" applyAlignment="1">
      <alignment vertical="top"/>
    </xf>
    <xf numFmtId="0" fontId="37" fillId="0" borderId="15" xfId="0" applyFont="1" applyBorder="1" applyAlignment="1">
      <alignment horizontal="center" vertical="top"/>
    </xf>
    <xf numFmtId="0" fontId="37" fillId="40" borderId="124" xfId="0" applyFont="1" applyFill="1" applyBorder="1" applyAlignment="1">
      <alignment vertical="top"/>
    </xf>
    <xf numFmtId="0" fontId="37" fillId="0" borderId="36" xfId="0" applyFont="1" applyBorder="1" applyAlignment="1">
      <alignment horizontal="center" vertical="top"/>
    </xf>
    <xf numFmtId="14" fontId="37" fillId="40" borderId="62" xfId="0" applyNumberFormat="1" applyFont="1" applyFill="1" applyBorder="1" applyAlignment="1">
      <alignment horizontal="center" vertical="top"/>
    </xf>
    <xf numFmtId="14" fontId="37" fillId="40" borderId="63" xfId="0" applyNumberFormat="1" applyFont="1" applyFill="1" applyBorder="1" applyAlignment="1">
      <alignment horizontal="center" vertical="top"/>
    </xf>
    <xf numFmtId="14" fontId="37" fillId="40" borderId="53" xfId="0" applyNumberFormat="1" applyFont="1" applyFill="1" applyBorder="1" applyAlignment="1">
      <alignment horizontal="center" vertical="top"/>
    </xf>
    <xf numFmtId="4" fontId="4" fillId="40" borderId="75" xfId="0" applyNumberFormat="1" applyFont="1" applyFill="1" applyBorder="1" applyAlignment="1">
      <alignment vertical="top"/>
    </xf>
    <xf numFmtId="4" fontId="4" fillId="40" borderId="76" xfId="0" applyNumberFormat="1" applyFont="1" applyFill="1" applyBorder="1" applyAlignment="1">
      <alignment vertical="top"/>
    </xf>
    <xf numFmtId="4" fontId="4" fillId="40" borderId="77" xfId="0" applyNumberFormat="1" applyFont="1" applyFill="1" applyBorder="1" applyAlignment="1">
      <alignment vertical="top"/>
    </xf>
    <xf numFmtId="4" fontId="2" fillId="43" borderId="0" xfId="0" applyNumberFormat="1" applyFont="1" applyFill="1" applyAlignment="1">
      <alignment horizontal="right" vertical="top"/>
    </xf>
    <xf numFmtId="4" fontId="2" fillId="40" borderId="62" xfId="0" applyNumberFormat="1" applyFont="1" applyFill="1" applyBorder="1" applyAlignment="1">
      <alignment vertical="top"/>
    </xf>
    <xf numFmtId="4" fontId="2" fillId="40" borderId="64" xfId="0" applyNumberFormat="1" applyFont="1" applyFill="1" applyBorder="1" applyAlignment="1">
      <alignment vertical="top"/>
    </xf>
    <xf numFmtId="4" fontId="2" fillId="43" borderId="0" xfId="0" applyNumberFormat="1" applyFont="1" applyFill="1" applyAlignment="1">
      <alignment vertical="top"/>
    </xf>
    <xf numFmtId="4" fontId="2" fillId="40" borderId="13" xfId="0" applyNumberFormat="1" applyFont="1" applyFill="1" applyBorder="1" applyAlignment="1">
      <alignment vertical="top"/>
    </xf>
    <xf numFmtId="0" fontId="4" fillId="43" borderId="24" xfId="0" applyFont="1" applyFill="1" applyBorder="1" applyAlignment="1">
      <alignment horizontal="right" vertical="top"/>
    </xf>
    <xf numFmtId="0" fontId="4" fillId="43" borderId="18" xfId="0" applyFont="1" applyFill="1" applyBorder="1" applyAlignment="1">
      <alignment horizontal="right" vertical="top"/>
    </xf>
    <xf numFmtId="0" fontId="10" fillId="25" borderId="0" xfId="0" applyFont="1" applyFill="1" applyAlignment="1">
      <alignment vertical="top" wrapText="1"/>
    </xf>
    <xf numFmtId="0" fontId="4" fillId="24" borderId="0" xfId="0" applyFont="1" applyFill="1" applyAlignment="1">
      <alignment horizontal="left"/>
    </xf>
    <xf numFmtId="165" fontId="37" fillId="45" borderId="11" xfId="0" applyNumberFormat="1" applyFont="1" applyFill="1" applyBorder="1" applyAlignment="1" applyProtection="1">
      <alignment vertical="top"/>
      <protection locked="0"/>
    </xf>
    <xf numFmtId="0" fontId="2" fillId="41" borderId="0" xfId="0" applyFont="1" applyFill="1" applyAlignment="1">
      <alignment horizontal="right" vertical="top"/>
    </xf>
    <xf numFmtId="0" fontId="2" fillId="45" borderId="13" xfId="0" applyFont="1" applyFill="1" applyBorder="1" applyAlignment="1" applyProtection="1">
      <alignment horizontal="center" vertical="top"/>
      <protection locked="0"/>
    </xf>
    <xf numFmtId="4" fontId="37" fillId="40" borderId="13" xfId="0" applyNumberFormat="1" applyFont="1" applyFill="1" applyBorder="1" applyAlignment="1">
      <alignment vertical="top"/>
    </xf>
    <xf numFmtId="4" fontId="37" fillId="40" borderId="62" xfId="0" applyNumberFormat="1" applyFont="1" applyFill="1" applyBorder="1" applyAlignment="1">
      <alignment vertical="top"/>
    </xf>
    <xf numFmtId="4" fontId="37" fillId="40" borderId="63" xfId="0" applyNumberFormat="1" applyFont="1" applyFill="1" applyBorder="1" applyAlignment="1">
      <alignment vertical="top"/>
    </xf>
    <xf numFmtId="4" fontId="37" fillId="40" borderId="64" xfId="0" applyNumberFormat="1" applyFont="1" applyFill="1" applyBorder="1" applyAlignment="1">
      <alignment vertical="top"/>
    </xf>
    <xf numFmtId="4" fontId="37" fillId="27" borderId="13" xfId="84" applyNumberFormat="1" applyFont="1" applyFill="1" applyBorder="1" applyAlignment="1" applyProtection="1">
      <alignment vertical="top"/>
    </xf>
    <xf numFmtId="4" fontId="37" fillId="40" borderId="89" xfId="0" applyNumberFormat="1" applyFont="1" applyFill="1" applyBorder="1" applyAlignment="1">
      <alignment vertical="top"/>
    </xf>
    <xf numFmtId="4" fontId="37" fillId="27" borderId="11" xfId="0" applyNumberFormat="1" applyFont="1" applyFill="1" applyBorder="1" applyAlignment="1">
      <alignment vertical="top"/>
    </xf>
    <xf numFmtId="4" fontId="4" fillId="27" borderId="13" xfId="0" applyNumberFormat="1" applyFont="1" applyFill="1" applyBorder="1" applyAlignment="1">
      <alignment vertical="top"/>
    </xf>
    <xf numFmtId="4" fontId="2" fillId="27" borderId="71" xfId="0" applyNumberFormat="1" applyFont="1" applyFill="1" applyBorder="1" applyAlignment="1">
      <alignment vertical="top"/>
    </xf>
    <xf numFmtId="4" fontId="2" fillId="27" borderId="72" xfId="0" applyNumberFormat="1" applyFont="1" applyFill="1" applyBorder="1" applyAlignment="1">
      <alignment vertical="top"/>
    </xf>
    <xf numFmtId="4" fontId="2" fillId="27" borderId="58" xfId="0" applyNumberFormat="1" applyFont="1" applyFill="1" applyBorder="1" applyAlignment="1">
      <alignment vertical="top"/>
    </xf>
    <xf numFmtId="4" fontId="2" fillId="27" borderId="60" xfId="0" applyNumberFormat="1" applyFont="1" applyFill="1" applyBorder="1" applyAlignment="1">
      <alignment vertical="top"/>
    </xf>
    <xf numFmtId="4" fontId="2" fillId="27" borderId="61" xfId="0" applyNumberFormat="1" applyFont="1" applyFill="1" applyBorder="1" applyAlignment="1">
      <alignment vertical="top"/>
    </xf>
    <xf numFmtId="0" fontId="79" fillId="25" borderId="25" xfId="0" applyFont="1" applyFill="1" applyBorder="1" applyAlignment="1">
      <alignment horizontal="left" vertical="top"/>
    </xf>
    <xf numFmtId="0" fontId="0" fillId="41" borderId="0" xfId="0" applyFill="1" applyAlignment="1">
      <alignment vertical="top"/>
    </xf>
    <xf numFmtId="0" fontId="2" fillId="35" borderId="0" xfId="88" applyFill="1" applyAlignment="1">
      <alignment horizontal="right" vertical="top"/>
    </xf>
    <xf numFmtId="0" fontId="2" fillId="24" borderId="0" xfId="0" applyFont="1" applyFill="1" applyAlignment="1">
      <alignment horizontal="center" vertical="top"/>
    </xf>
    <xf numFmtId="0" fontId="5" fillId="25" borderId="0" xfId="0" applyFont="1" applyFill="1" applyAlignment="1">
      <alignment vertical="top"/>
    </xf>
    <xf numFmtId="0" fontId="6" fillId="24" borderId="0" xfId="78" applyFill="1" applyAlignment="1" applyProtection="1">
      <alignment vertical="top"/>
    </xf>
    <xf numFmtId="0" fontId="2" fillId="24" borderId="88" xfId="0" applyFont="1" applyFill="1" applyBorder="1" applyAlignment="1">
      <alignment horizontal="center" vertical="top"/>
    </xf>
    <xf numFmtId="0" fontId="3" fillId="26" borderId="0" xfId="0" applyFont="1" applyFill="1" applyAlignment="1">
      <alignment horizontal="left" vertical="top"/>
    </xf>
    <xf numFmtId="0" fontId="35" fillId="25" borderId="0" xfId="0" applyFont="1" applyFill="1" applyAlignment="1">
      <alignment horizontal="center" vertical="top"/>
    </xf>
    <xf numFmtId="0" fontId="2" fillId="24" borderId="57" xfId="0" applyFont="1" applyFill="1" applyBorder="1" applyAlignment="1">
      <alignment vertical="top"/>
    </xf>
    <xf numFmtId="0" fontId="4" fillId="24" borderId="59" xfId="0" applyFont="1" applyFill="1" applyBorder="1" applyAlignment="1">
      <alignment horizontal="left" vertical="top"/>
    </xf>
    <xf numFmtId="0" fontId="4" fillId="25" borderId="11" xfId="0" applyFont="1" applyFill="1" applyBorder="1" applyAlignment="1">
      <alignment horizontal="center" vertical="top"/>
    </xf>
    <xf numFmtId="0" fontId="0" fillId="43" borderId="57" xfId="0" applyFill="1" applyBorder="1" applyAlignment="1">
      <alignment vertical="top"/>
    </xf>
    <xf numFmtId="0" fontId="0" fillId="43" borderId="28" xfId="0" applyFill="1" applyBorder="1" applyAlignment="1">
      <alignment vertical="top"/>
    </xf>
    <xf numFmtId="0" fontId="2" fillId="43" borderId="28" xfId="0" applyFont="1" applyFill="1" applyBorder="1" applyAlignment="1">
      <alignment vertical="top"/>
    </xf>
    <xf numFmtId="0" fontId="2" fillId="43" borderId="30" xfId="0" applyFont="1" applyFill="1" applyBorder="1" applyAlignment="1">
      <alignment vertical="top"/>
    </xf>
    <xf numFmtId="0" fontId="0" fillId="43" borderId="66" xfId="0" applyFill="1" applyBorder="1" applyAlignment="1">
      <alignment vertical="top"/>
    </xf>
    <xf numFmtId="0" fontId="0" fillId="43" borderId="0" xfId="0" applyFill="1" applyAlignment="1">
      <alignment vertical="top"/>
    </xf>
    <xf numFmtId="0" fontId="0" fillId="43" borderId="65" xfId="0" applyFill="1" applyBorder="1" applyAlignment="1">
      <alignment vertical="top"/>
    </xf>
    <xf numFmtId="0" fontId="0" fillId="43" borderId="39" xfId="0" applyFill="1" applyBorder="1" applyAlignment="1">
      <alignment vertical="top"/>
    </xf>
    <xf numFmtId="0" fontId="2" fillId="43" borderId="39" xfId="0" applyFont="1" applyFill="1" applyBorder="1" applyAlignment="1">
      <alignment vertical="top"/>
    </xf>
    <xf numFmtId="0" fontId="2" fillId="43" borderId="40" xfId="0" applyFont="1" applyFill="1" applyBorder="1" applyAlignment="1">
      <alignment vertical="top"/>
    </xf>
    <xf numFmtId="0" fontId="0" fillId="25" borderId="87" xfId="0" applyFill="1" applyBorder="1" applyAlignment="1">
      <alignment vertical="top"/>
    </xf>
    <xf numFmtId="0" fontId="2" fillId="25" borderId="109" xfId="0" applyFont="1" applyFill="1" applyBorder="1" applyAlignment="1">
      <alignment horizontal="left" vertical="top"/>
    </xf>
    <xf numFmtId="0" fontId="2" fillId="25" borderId="42" xfId="0" applyFont="1" applyFill="1" applyBorder="1" applyAlignment="1">
      <alignment horizontal="right" vertical="top"/>
    </xf>
    <xf numFmtId="0" fontId="2" fillId="25" borderId="50" xfId="0" applyFont="1" applyFill="1" applyBorder="1" applyAlignment="1">
      <alignment vertical="top"/>
    </xf>
    <xf numFmtId="0" fontId="2" fillId="25" borderId="125" xfId="0" applyFont="1" applyFill="1" applyBorder="1" applyAlignment="1">
      <alignment vertical="top"/>
    </xf>
    <xf numFmtId="2" fontId="2" fillId="27" borderId="110" xfId="0" applyNumberFormat="1" applyFont="1" applyFill="1" applyBorder="1" applyAlignment="1">
      <alignment horizontal="right" vertical="top" indent="1"/>
    </xf>
    <xf numFmtId="2" fontId="2" fillId="27" borderId="111" xfId="0" applyNumberFormat="1" applyFont="1" applyFill="1" applyBorder="1" applyAlignment="1">
      <alignment horizontal="right" vertical="top" indent="1"/>
    </xf>
    <xf numFmtId="166" fontId="2" fillId="47" borderId="0" xfId="0" applyNumberFormat="1" applyFont="1" applyFill="1" applyAlignment="1">
      <alignment vertical="top"/>
    </xf>
    <xf numFmtId="10" fontId="68" fillId="44" borderId="67" xfId="84" applyNumberFormat="1" applyFont="1" applyFill="1" applyBorder="1" applyProtection="1"/>
    <xf numFmtId="167" fontId="0" fillId="39" borderId="26" xfId="0" applyNumberFormat="1" applyFill="1" applyBorder="1"/>
    <xf numFmtId="0" fontId="2" fillId="44" borderId="10" xfId="0" applyFont="1" applyFill="1" applyBorder="1" applyAlignment="1">
      <alignment wrapText="1"/>
    </xf>
    <xf numFmtId="10" fontId="68" fillId="41" borderId="67" xfId="84" applyNumberFormat="1" applyFont="1" applyFill="1" applyBorder="1" applyProtection="1"/>
    <xf numFmtId="0" fontId="0" fillId="44" borderId="10" xfId="0" applyFill="1" applyBorder="1" applyAlignment="1">
      <alignment wrapText="1"/>
    </xf>
    <xf numFmtId="10" fontId="68" fillId="41" borderId="95" xfId="84" applyNumberFormat="1" applyFont="1" applyFill="1" applyBorder="1" applyProtection="1"/>
    <xf numFmtId="10" fontId="68" fillId="41" borderId="68" xfId="84" applyNumberFormat="1" applyFont="1" applyFill="1" applyBorder="1" applyProtection="1"/>
    <xf numFmtId="0" fontId="4" fillId="25" borderId="24" xfId="0" applyFont="1" applyFill="1" applyBorder="1" applyAlignment="1">
      <alignment wrapText="1"/>
    </xf>
    <xf numFmtId="0" fontId="80" fillId="26" borderId="0" xfId="0" applyFont="1" applyFill="1"/>
    <xf numFmtId="0" fontId="52" fillId="25" borderId="0" xfId="0" applyFont="1" applyFill="1" applyAlignment="1">
      <alignment horizontal="left" vertical="top" wrapText="1"/>
    </xf>
    <xf numFmtId="0" fontId="40" fillId="25" borderId="0" xfId="0" applyFont="1" applyFill="1" applyAlignment="1">
      <alignment horizontal="left" vertical="top" wrapText="1"/>
    </xf>
    <xf numFmtId="0" fontId="0" fillId="25" borderId="0" xfId="0" applyFill="1" applyAlignment="1">
      <alignment horizontal="left" vertical="top" wrapText="1"/>
    </xf>
    <xf numFmtId="0" fontId="33" fillId="25" borderId="0" xfId="0" applyFont="1" applyFill="1" applyAlignment="1">
      <alignment horizontal="left" vertical="top" wrapText="1"/>
    </xf>
    <xf numFmtId="0" fontId="52" fillId="25" borderId="67" xfId="0" applyFont="1" applyFill="1" applyBorder="1" applyAlignment="1">
      <alignment horizontal="left" vertical="top" wrapText="1"/>
    </xf>
    <xf numFmtId="0" fontId="2" fillId="25" borderId="0" xfId="0" applyFont="1" applyFill="1" applyAlignment="1">
      <alignment horizontal="left" vertical="top" wrapText="1"/>
    </xf>
    <xf numFmtId="0" fontId="51" fillId="25" borderId="0" xfId="0" applyFont="1" applyFill="1" applyAlignment="1">
      <alignment horizontal="left" vertical="top" wrapText="1"/>
    </xf>
    <xf numFmtId="0" fontId="41" fillId="25" borderId="0" xfId="0" applyFont="1" applyFill="1" applyAlignment="1">
      <alignment horizontal="left" vertical="top" wrapText="1"/>
    </xf>
    <xf numFmtId="0" fontId="10" fillId="25" borderId="0" xfId="0" applyFont="1" applyFill="1" applyAlignment="1">
      <alignment horizontal="left" vertical="top" wrapText="1"/>
    </xf>
    <xf numFmtId="0" fontId="3" fillId="26" borderId="0" xfId="0" applyFont="1" applyFill="1" applyAlignment="1">
      <alignment horizontal="left" vertical="top" wrapText="1"/>
    </xf>
    <xf numFmtId="0" fontId="9" fillId="25" borderId="0" xfId="0" applyFont="1" applyFill="1" applyAlignment="1">
      <alignment horizontal="left" vertical="top" wrapText="1"/>
    </xf>
    <xf numFmtId="0" fontId="4" fillId="25" borderId="0" xfId="0" applyFont="1" applyFill="1" applyAlignment="1">
      <alignment horizontal="left" vertical="top" wrapText="1"/>
    </xf>
    <xf numFmtId="0" fontId="37" fillId="25" borderId="13" xfId="0" applyFont="1" applyFill="1" applyBorder="1" applyAlignment="1">
      <alignment horizontal="left" vertical="top" wrapText="1"/>
    </xf>
    <xf numFmtId="0" fontId="4" fillId="25" borderId="78" xfId="0" applyFont="1" applyFill="1" applyBorder="1" applyAlignment="1">
      <alignment horizontal="left" vertical="top" wrapText="1"/>
    </xf>
    <xf numFmtId="0" fontId="4" fillId="25" borderId="99" xfId="0" applyFont="1" applyFill="1" applyBorder="1" applyAlignment="1">
      <alignment horizontal="left" vertical="top" wrapText="1"/>
    </xf>
    <xf numFmtId="0" fontId="4" fillId="25" borderId="12" xfId="0" applyFont="1" applyFill="1" applyBorder="1" applyAlignment="1">
      <alignment horizontal="left" vertical="top" wrapText="1"/>
    </xf>
    <xf numFmtId="0" fontId="35" fillId="25" borderId="12" xfId="0" applyFont="1" applyFill="1" applyBorder="1" applyAlignment="1">
      <alignment horizontal="left" vertical="top" wrapText="1"/>
    </xf>
    <xf numFmtId="0" fontId="2" fillId="25" borderId="13" xfId="0" applyFont="1" applyFill="1" applyBorder="1" applyAlignment="1">
      <alignment horizontal="left" vertical="top"/>
    </xf>
    <xf numFmtId="0" fontId="35" fillId="25" borderId="0" xfId="0" applyFont="1" applyFill="1" applyAlignment="1">
      <alignment horizontal="left" vertical="top" wrapText="1"/>
    </xf>
    <xf numFmtId="0" fontId="2" fillId="25" borderId="11" xfId="0" applyFont="1" applyFill="1" applyBorder="1" applyAlignment="1">
      <alignment horizontal="left" vertical="top"/>
    </xf>
    <xf numFmtId="0" fontId="9" fillId="25" borderId="0" xfId="0" applyFont="1" applyFill="1" applyAlignment="1">
      <alignment horizontal="left" vertical="top"/>
    </xf>
    <xf numFmtId="0" fontId="0" fillId="25" borderId="100" xfId="0" applyFill="1" applyBorder="1" applyAlignment="1">
      <alignment horizontal="left" vertical="top"/>
    </xf>
    <xf numFmtId="0" fontId="0" fillId="25" borderId="65" xfId="0" applyFill="1" applyBorder="1" applyAlignment="1">
      <alignment horizontal="left" vertical="top"/>
    </xf>
    <xf numFmtId="0" fontId="0" fillId="25" borderId="107" xfId="0" applyFill="1" applyBorder="1" applyAlignment="1">
      <alignment horizontal="left" vertical="top"/>
    </xf>
    <xf numFmtId="0" fontId="0" fillId="25" borderId="21" xfId="0" applyFill="1" applyBorder="1" applyAlignment="1">
      <alignment horizontal="left" vertical="top" wrapText="1"/>
    </xf>
    <xf numFmtId="0" fontId="61" fillId="25" borderId="0" xfId="0" applyFont="1" applyFill="1" applyAlignment="1">
      <alignment horizontal="left" vertical="top" wrapText="1"/>
    </xf>
    <xf numFmtId="0" fontId="60" fillId="25" borderId="0" xfId="0" applyFont="1" applyFill="1" applyAlignment="1">
      <alignment horizontal="left" vertical="top" wrapText="1"/>
    </xf>
    <xf numFmtId="0" fontId="10" fillId="25" borderId="12" xfId="0" applyFont="1" applyFill="1" applyBorder="1" applyAlignment="1">
      <alignment horizontal="left" vertical="top" wrapText="1"/>
    </xf>
    <xf numFmtId="0" fontId="60" fillId="25" borderId="99" xfId="0" applyFont="1" applyFill="1" applyBorder="1" applyAlignment="1">
      <alignment horizontal="left" vertical="top" wrapText="1"/>
    </xf>
    <xf numFmtId="0" fontId="0" fillId="48" borderId="103" xfId="0" applyFill="1" applyBorder="1" applyAlignment="1">
      <alignment horizontal="left" vertical="top" wrapText="1"/>
    </xf>
    <xf numFmtId="0" fontId="8" fillId="25" borderId="0" xfId="0" applyFont="1" applyFill="1" applyAlignment="1">
      <alignment horizontal="left" vertical="top" wrapText="1"/>
    </xf>
    <xf numFmtId="0" fontId="8" fillId="25" borderId="12" xfId="0" applyFont="1" applyFill="1" applyBorder="1" applyAlignment="1">
      <alignment horizontal="left" vertical="top" wrapText="1"/>
    </xf>
    <xf numFmtId="0" fontId="2" fillId="25" borderId="14" xfId="0" applyFont="1" applyFill="1" applyBorder="1" applyAlignment="1">
      <alignment horizontal="left" vertical="top" wrapText="1"/>
    </xf>
    <xf numFmtId="0" fontId="2" fillId="25" borderId="16" xfId="0" applyFont="1" applyFill="1" applyBorder="1" applyAlignment="1">
      <alignment horizontal="left" vertical="top" wrapText="1"/>
    </xf>
    <xf numFmtId="0" fontId="2" fillId="25" borderId="15" xfId="0" applyFont="1" applyFill="1" applyBorder="1" applyAlignment="1">
      <alignment horizontal="left" vertical="top" wrapText="1"/>
    </xf>
    <xf numFmtId="0" fontId="8" fillId="25" borderId="24" xfId="0" applyFont="1" applyFill="1" applyBorder="1" applyAlignment="1">
      <alignment horizontal="left" vertical="top"/>
    </xf>
    <xf numFmtId="0" fontId="56" fillId="25" borderId="0" xfId="0" applyFont="1" applyFill="1" applyAlignment="1">
      <alignment horizontal="left" vertical="top" wrapText="1"/>
    </xf>
    <xf numFmtId="0" fontId="37" fillId="25" borderId="14" xfId="0" applyFont="1" applyFill="1" applyBorder="1" applyAlignment="1">
      <alignment horizontal="left" vertical="top" wrapText="1"/>
    </xf>
    <xf numFmtId="0" fontId="57" fillId="25" borderId="15" xfId="0" applyFont="1" applyFill="1" applyBorder="1" applyAlignment="1">
      <alignment horizontal="left" vertical="top" wrapText="1"/>
    </xf>
    <xf numFmtId="0" fontId="37" fillId="25" borderId="15" xfId="0" applyFont="1" applyFill="1" applyBorder="1" applyAlignment="1">
      <alignment horizontal="left" vertical="top" wrapText="1"/>
    </xf>
    <xf numFmtId="0" fontId="37" fillId="25" borderId="16" xfId="0" applyFont="1" applyFill="1" applyBorder="1" applyAlignment="1">
      <alignment horizontal="left" vertical="top" wrapText="1"/>
    </xf>
    <xf numFmtId="0" fontId="2" fillId="25" borderId="21" xfId="0" applyFont="1" applyFill="1" applyBorder="1" applyAlignment="1">
      <alignment horizontal="left" vertical="top" wrapText="1"/>
    </xf>
    <xf numFmtId="0" fontId="4" fillId="25" borderId="114" xfId="0" applyFont="1" applyFill="1" applyBorder="1" applyAlignment="1">
      <alignment horizontal="left" vertical="top" wrapText="1"/>
    </xf>
    <xf numFmtId="0" fontId="2" fillId="25" borderId="18" xfId="0" applyFont="1" applyFill="1" applyBorder="1" applyAlignment="1">
      <alignment horizontal="left" vertical="top"/>
    </xf>
    <xf numFmtId="0" fontId="37" fillId="25" borderId="25" xfId="0" applyFont="1" applyFill="1" applyBorder="1" applyAlignment="1">
      <alignment horizontal="left" vertical="top" wrapText="1"/>
    </xf>
    <xf numFmtId="0" fontId="37" fillId="41" borderId="0" xfId="0" applyFont="1" applyFill="1" applyAlignment="1">
      <alignment horizontal="left" vertical="top" wrapText="1"/>
    </xf>
    <xf numFmtId="0" fontId="37" fillId="25" borderId="17" xfId="0" applyFont="1" applyFill="1" applyBorder="1" applyAlignment="1">
      <alignment horizontal="left" vertical="top"/>
    </xf>
    <xf numFmtId="0" fontId="2" fillId="25" borderId="17" xfId="0" applyFont="1" applyFill="1" applyBorder="1" applyAlignment="1">
      <alignment horizontal="left" vertical="top" wrapText="1"/>
    </xf>
    <xf numFmtId="0" fontId="4" fillId="46" borderId="57" xfId="0" applyFont="1" applyFill="1" applyBorder="1" applyAlignment="1">
      <alignment horizontal="left" vertical="top" wrapText="1"/>
    </xf>
    <xf numFmtId="0" fontId="37" fillId="27" borderId="25" xfId="0" applyFont="1" applyFill="1" applyBorder="1" applyAlignment="1">
      <alignment horizontal="left" vertical="top" wrapText="1"/>
    </xf>
    <xf numFmtId="0" fontId="35" fillId="43" borderId="0" xfId="0" applyFont="1" applyFill="1" applyAlignment="1">
      <alignment horizontal="left" vertical="top" wrapText="1"/>
    </xf>
    <xf numFmtId="0" fontId="37" fillId="25" borderId="17" xfId="0" applyFont="1" applyFill="1" applyBorder="1" applyAlignment="1">
      <alignment horizontal="left" vertical="top" wrapText="1"/>
    </xf>
    <xf numFmtId="0" fontId="54" fillId="25" borderId="12" xfId="0" applyFont="1" applyFill="1" applyBorder="1" applyAlignment="1">
      <alignment horizontal="left" vertical="top" wrapText="1"/>
    </xf>
    <xf numFmtId="0" fontId="2" fillId="25" borderId="78" xfId="0" applyFont="1" applyFill="1" applyBorder="1" applyAlignment="1">
      <alignment horizontal="left" vertical="top" wrapText="1"/>
    </xf>
    <xf numFmtId="0" fontId="35" fillId="25" borderId="0" xfId="0" applyFont="1" applyFill="1" applyAlignment="1">
      <alignment horizontal="left" vertical="top"/>
    </xf>
    <xf numFmtId="0" fontId="2" fillId="25" borderId="25" xfId="0" applyFont="1" applyFill="1" applyBorder="1" applyAlignment="1">
      <alignment horizontal="left" vertical="top"/>
    </xf>
    <xf numFmtId="0" fontId="4" fillId="25" borderId="18" xfId="0" applyFont="1" applyFill="1" applyBorder="1" applyAlignment="1">
      <alignment horizontal="left" vertical="top"/>
    </xf>
    <xf numFmtId="0" fontId="10" fillId="25" borderId="17" xfId="0" applyFont="1" applyFill="1" applyBorder="1" applyAlignment="1">
      <alignment horizontal="left" vertical="top" wrapText="1"/>
    </xf>
    <xf numFmtId="0" fontId="10" fillId="25" borderId="15" xfId="0" applyFont="1" applyFill="1" applyBorder="1" applyAlignment="1">
      <alignment horizontal="left" vertical="top"/>
    </xf>
    <xf numFmtId="0" fontId="10" fillId="25" borderId="15" xfId="0" applyFont="1" applyFill="1" applyBorder="1" applyAlignment="1">
      <alignment horizontal="left" vertical="top" wrapText="1"/>
    </xf>
    <xf numFmtId="0" fontId="10" fillId="49" borderId="15" xfId="0" applyFont="1" applyFill="1" applyBorder="1" applyAlignment="1">
      <alignment horizontal="left" vertical="top" wrapText="1"/>
    </xf>
    <xf numFmtId="0" fontId="2" fillId="25" borderId="67" xfId="0" applyFont="1" applyFill="1" applyBorder="1" applyAlignment="1">
      <alignment horizontal="left" vertical="top"/>
    </xf>
    <xf numFmtId="0" fontId="37" fillId="24" borderId="0" xfId="0" applyFont="1" applyFill="1" applyAlignment="1">
      <alignment horizontal="left" vertical="top"/>
    </xf>
    <xf numFmtId="0" fontId="2" fillId="24" borderId="0" xfId="0" applyFont="1" applyFill="1" applyAlignment="1">
      <alignment horizontal="left" vertical="top"/>
    </xf>
    <xf numFmtId="0" fontId="4" fillId="25" borderId="78" xfId="0" applyFont="1" applyFill="1" applyBorder="1" applyAlignment="1">
      <alignment wrapText="1"/>
    </xf>
    <xf numFmtId="0" fontId="0" fillId="42" borderId="67" xfId="0" applyFill="1" applyBorder="1" applyProtection="1">
      <protection locked="0"/>
    </xf>
    <xf numFmtId="0" fontId="26" fillId="0" borderId="12" xfId="90" applyFont="1" applyBorder="1" applyAlignment="1">
      <alignment vertical="top"/>
    </xf>
    <xf numFmtId="0" fontId="1" fillId="0" borderId="0" xfId="90" applyAlignment="1">
      <alignment vertical="top"/>
    </xf>
    <xf numFmtId="0" fontId="4" fillId="46" borderId="74" xfId="0" applyFont="1" applyFill="1" applyBorder="1" applyAlignment="1">
      <alignment horizontal="left" vertical="top"/>
    </xf>
    <xf numFmtId="0" fontId="4" fillId="34" borderId="114" xfId="0" applyFont="1" applyFill="1" applyBorder="1" applyAlignment="1">
      <alignment horizontal="left" vertical="top" wrapText="1"/>
    </xf>
    <xf numFmtId="0" fontId="4" fillId="25" borderId="18" xfId="0" applyFont="1" applyFill="1" applyBorder="1" applyAlignment="1">
      <alignment horizontal="left" vertical="top" wrapText="1"/>
    </xf>
    <xf numFmtId="0" fontId="4" fillId="0" borderId="11" xfId="0" applyFont="1" applyBorder="1" applyAlignment="1">
      <alignment horizontal="left" vertical="top" wrapText="1"/>
    </xf>
    <xf numFmtId="0" fontId="54" fillId="25" borderId="78" xfId="0" applyFont="1" applyFill="1" applyBorder="1" applyAlignment="1">
      <alignment horizontal="left" vertical="top" wrapText="1"/>
    </xf>
    <xf numFmtId="0" fontId="4" fillId="0" borderId="78" xfId="0" applyFont="1" applyBorder="1" applyAlignment="1">
      <alignment horizontal="left" vertical="top" wrapText="1"/>
    </xf>
    <xf numFmtId="0" fontId="69" fillId="26" borderId="76" xfId="0" applyFont="1" applyFill="1" applyBorder="1" applyAlignment="1">
      <alignment horizontal="left" vertical="top"/>
    </xf>
    <xf numFmtId="0" fontId="2" fillId="25" borderId="26" xfId="0" applyFont="1" applyFill="1" applyBorder="1" applyAlignment="1">
      <alignment horizontal="left" vertical="top" wrapText="1"/>
    </xf>
    <xf numFmtId="0" fontId="4" fillId="25" borderId="25" xfId="0" applyFont="1" applyFill="1" applyBorder="1" applyAlignment="1">
      <alignment horizontal="left" vertical="top" wrapText="1"/>
    </xf>
    <xf numFmtId="0" fontId="4" fillId="25" borderId="41" xfId="0" applyFont="1" applyFill="1" applyBorder="1" applyAlignment="1">
      <alignment horizontal="left" vertical="top" wrapText="1"/>
    </xf>
    <xf numFmtId="0" fontId="2" fillId="0" borderId="14" xfId="0" applyFont="1" applyBorder="1" applyAlignment="1">
      <alignment horizontal="left" vertical="top" wrapText="1"/>
    </xf>
    <xf numFmtId="0" fontId="2" fillId="0" borderId="15" xfId="0" applyFont="1" applyBorder="1" applyAlignment="1">
      <alignment horizontal="left" vertical="top" wrapText="1"/>
    </xf>
    <xf numFmtId="0" fontId="4" fillId="25" borderId="11" xfId="0" applyFont="1" applyFill="1" applyBorder="1" applyAlignment="1">
      <alignment horizontal="left" vertical="top" wrapText="1"/>
    </xf>
    <xf numFmtId="0" fontId="48" fillId="34" borderId="114" xfId="0" applyFont="1" applyFill="1" applyBorder="1" applyAlignment="1">
      <alignment horizontal="left" vertical="top" wrapText="1"/>
    </xf>
    <xf numFmtId="0" fontId="4" fillId="0" borderId="12" xfId="0" applyFont="1" applyBorder="1" applyAlignment="1">
      <alignment horizontal="left" vertical="top"/>
    </xf>
    <xf numFmtId="0" fontId="0" fillId="24" borderId="0" xfId="0" applyFill="1" applyAlignment="1">
      <alignment horizontal="left" vertical="top"/>
    </xf>
    <xf numFmtId="0" fontId="2" fillId="39" borderId="0" xfId="0" applyFont="1" applyFill="1" applyAlignment="1">
      <alignment horizontal="left" vertical="top"/>
    </xf>
    <xf numFmtId="0" fontId="43" fillId="26" borderId="0" xfId="0" applyFont="1" applyFill="1" applyAlignment="1">
      <alignment horizontal="left" vertical="top"/>
    </xf>
    <xf numFmtId="0" fontId="44" fillId="24" borderId="0" xfId="0" applyFont="1" applyFill="1" applyAlignment="1">
      <alignment horizontal="left" vertical="top"/>
    </xf>
    <xf numFmtId="0" fontId="0" fillId="39" borderId="13" xfId="0" applyFill="1" applyBorder="1" applyAlignment="1">
      <alignment horizontal="left" vertical="top" wrapText="1"/>
    </xf>
    <xf numFmtId="0" fontId="46" fillId="39" borderId="13" xfId="0" applyFont="1" applyFill="1" applyBorder="1" applyAlignment="1">
      <alignment horizontal="left" vertical="top" wrapText="1"/>
    </xf>
    <xf numFmtId="0" fontId="0" fillId="44" borderId="13" xfId="0" applyFill="1" applyBorder="1" applyAlignment="1">
      <alignment horizontal="left" vertical="top" wrapText="1"/>
    </xf>
    <xf numFmtId="0" fontId="2" fillId="39" borderId="13" xfId="0" applyFont="1" applyFill="1" applyBorder="1" applyAlignment="1">
      <alignment horizontal="left" vertical="top" wrapText="1"/>
    </xf>
    <xf numFmtId="0" fontId="0" fillId="39" borderId="13" xfId="0" applyFill="1" applyBorder="1" applyAlignment="1">
      <alignment horizontal="left" vertical="top"/>
    </xf>
    <xf numFmtId="0" fontId="40" fillId="39" borderId="13" xfId="0" applyFont="1" applyFill="1" applyBorder="1" applyAlignment="1">
      <alignment horizontal="left" vertical="top"/>
    </xf>
    <xf numFmtId="0" fontId="2" fillId="25" borderId="30" xfId="0" applyFont="1" applyFill="1" applyBorder="1"/>
    <xf numFmtId="0" fontId="2" fillId="25" borderId="38" xfId="0" applyFont="1" applyFill="1" applyBorder="1"/>
    <xf numFmtId="0" fontId="2" fillId="25" borderId="40" xfId="0" applyFont="1" applyFill="1" applyBorder="1"/>
    <xf numFmtId="0" fontId="0" fillId="0" borderId="0" xfId="0" applyAlignment="1">
      <alignment vertical="top"/>
    </xf>
    <xf numFmtId="0" fontId="2" fillId="43" borderId="0" xfId="0" applyFont="1" applyFill="1" applyAlignment="1">
      <alignment horizontal="left" vertical="top"/>
    </xf>
    <xf numFmtId="0" fontId="4" fillId="43" borderId="0" xfId="0" applyFont="1" applyFill="1" applyAlignment="1">
      <alignment horizontal="left" vertical="top"/>
    </xf>
    <xf numFmtId="173" fontId="4" fillId="27" borderId="76" xfId="0" applyNumberFormat="1" applyFont="1" applyFill="1" applyBorder="1" applyAlignment="1">
      <alignment horizontal="right" vertical="top"/>
    </xf>
    <xf numFmtId="173" fontId="4" fillId="27" borderId="77" xfId="0" applyNumberFormat="1" applyFont="1" applyFill="1" applyBorder="1" applyAlignment="1">
      <alignment horizontal="right" vertical="top"/>
    </xf>
    <xf numFmtId="173" fontId="2" fillId="28" borderId="62" xfId="0" applyNumberFormat="1" applyFont="1" applyFill="1" applyBorder="1" applyAlignment="1" applyProtection="1">
      <alignment horizontal="right" vertical="top"/>
      <protection locked="0"/>
    </xf>
    <xf numFmtId="173" fontId="57" fillId="28" borderId="63" xfId="0" applyNumberFormat="1" applyFont="1" applyFill="1" applyBorder="1" applyAlignment="1" applyProtection="1">
      <alignment horizontal="right" vertical="top"/>
      <protection locked="0"/>
    </xf>
    <xf numFmtId="173" fontId="2" fillId="28" borderId="63" xfId="0" applyNumberFormat="1" applyFont="1" applyFill="1" applyBorder="1" applyAlignment="1" applyProtection="1">
      <alignment horizontal="right" vertical="top"/>
      <protection locked="0"/>
    </xf>
    <xf numFmtId="173" fontId="2" fillId="28" borderId="92" xfId="0" applyNumberFormat="1" applyFont="1" applyFill="1" applyBorder="1" applyAlignment="1" applyProtection="1">
      <alignment horizontal="right" vertical="top"/>
      <protection locked="0"/>
    </xf>
    <xf numFmtId="173" fontId="2" fillId="27" borderId="13" xfId="0" applyNumberFormat="1" applyFont="1" applyFill="1" applyBorder="1" applyAlignment="1">
      <alignment horizontal="right" vertical="top"/>
    </xf>
    <xf numFmtId="173" fontId="4" fillId="27" borderId="13" xfId="0" applyNumberFormat="1" applyFont="1" applyFill="1" applyBorder="1" applyAlignment="1">
      <alignment horizontal="right" vertical="top"/>
    </xf>
    <xf numFmtId="173" fontId="2" fillId="28" borderId="88" xfId="0" applyNumberFormat="1" applyFont="1" applyFill="1" applyBorder="1" applyAlignment="1" applyProtection="1">
      <alignment horizontal="right" vertical="top"/>
      <protection locked="0"/>
    </xf>
    <xf numFmtId="173" fontId="4" fillId="28" borderId="76" xfId="0" applyNumberFormat="1" applyFont="1" applyFill="1" applyBorder="1" applyAlignment="1" applyProtection="1">
      <alignment horizontal="right" vertical="top"/>
      <protection locked="0"/>
    </xf>
    <xf numFmtId="173" fontId="4" fillId="28" borderId="77" xfId="0" applyNumberFormat="1" applyFont="1" applyFill="1" applyBorder="1" applyAlignment="1" applyProtection="1">
      <alignment horizontal="right" vertical="top"/>
      <protection locked="0"/>
    </xf>
    <xf numFmtId="0" fontId="2" fillId="40" borderId="13" xfId="0" applyFont="1" applyFill="1" applyBorder="1" applyAlignment="1">
      <alignment vertical="top"/>
    </xf>
    <xf numFmtId="0" fontId="0" fillId="0" borderId="12" xfId="0" applyBorder="1" applyAlignment="1">
      <alignment vertical="top" wrapText="1"/>
    </xf>
    <xf numFmtId="0" fontId="4" fillId="25" borderId="12" xfId="0" applyFont="1" applyFill="1" applyBorder="1" applyAlignment="1">
      <alignment vertical="top" wrapText="1"/>
    </xf>
    <xf numFmtId="0" fontId="37" fillId="25" borderId="25" xfId="0" applyFont="1" applyFill="1" applyBorder="1" applyAlignment="1">
      <alignment vertical="top" wrapText="1"/>
    </xf>
    <xf numFmtId="0" fontId="37" fillId="25" borderId="14" xfId="0" applyFont="1" applyFill="1" applyBorder="1" applyAlignment="1">
      <alignment vertical="top" wrapText="1"/>
    </xf>
    <xf numFmtId="0" fontId="2" fillId="40" borderId="25" xfId="0" applyFont="1" applyFill="1" applyBorder="1" applyAlignment="1">
      <alignment horizontal="center" vertical="top"/>
    </xf>
    <xf numFmtId="0" fontId="79" fillId="25" borderId="0" xfId="0" applyFont="1" applyFill="1" applyAlignment="1">
      <alignment vertical="top"/>
    </xf>
    <xf numFmtId="0" fontId="37" fillId="41" borderId="12" xfId="0" applyFont="1" applyFill="1" applyBorder="1" applyAlignment="1">
      <alignment horizontal="center" vertical="top"/>
    </xf>
    <xf numFmtId="3" fontId="2" fillId="40" borderId="13" xfId="0" applyNumberFormat="1" applyFont="1" applyFill="1" applyBorder="1" applyAlignment="1">
      <alignment vertical="top" shrinkToFit="1"/>
    </xf>
    <xf numFmtId="164" fontId="2" fillId="28" borderId="13" xfId="0" applyNumberFormat="1" applyFont="1" applyFill="1" applyBorder="1" applyAlignment="1" applyProtection="1">
      <alignment vertical="top" shrinkToFit="1"/>
      <protection locked="0"/>
    </xf>
    <xf numFmtId="164" fontId="37" fillId="27" borderId="13" xfId="0" applyNumberFormat="1" applyFont="1" applyFill="1" applyBorder="1" applyAlignment="1">
      <alignment vertical="top" shrinkToFit="1"/>
    </xf>
    <xf numFmtId="0" fontId="2" fillId="25" borderId="15" xfId="0" applyFont="1" applyFill="1" applyBorder="1" applyAlignment="1">
      <alignment vertical="top" wrapText="1"/>
    </xf>
    <xf numFmtId="0" fontId="2" fillId="25" borderId="16" xfId="0" applyFont="1" applyFill="1" applyBorder="1" applyAlignment="1">
      <alignment vertical="top" wrapText="1"/>
    </xf>
    <xf numFmtId="0" fontId="2" fillId="25" borderId="14" xfId="0" applyFont="1" applyFill="1" applyBorder="1" applyAlignment="1">
      <alignment vertical="top" wrapText="1"/>
    </xf>
    <xf numFmtId="166" fontId="0" fillId="40" borderId="13" xfId="0" applyNumberFormat="1" applyFill="1" applyBorder="1" applyAlignment="1">
      <alignment vertical="top"/>
    </xf>
    <xf numFmtId="174" fontId="2" fillId="40" borderId="10" xfId="0" applyNumberFormat="1" applyFont="1" applyFill="1" applyBorder="1" applyAlignment="1">
      <alignment vertical="top" shrinkToFit="1"/>
    </xf>
    <xf numFmtId="174" fontId="2" fillId="40" borderId="13" xfId="0" applyNumberFormat="1" applyFont="1" applyFill="1" applyBorder="1" applyAlignment="1">
      <alignment vertical="top" shrinkToFit="1"/>
    </xf>
    <xf numFmtId="0" fontId="0" fillId="25" borderId="25" xfId="0" applyFill="1" applyBorder="1" applyAlignment="1">
      <alignment vertical="top"/>
    </xf>
    <xf numFmtId="0" fontId="2" fillId="25" borderId="26" xfId="0" quotePrefix="1" applyFont="1" applyFill="1" applyBorder="1" applyAlignment="1">
      <alignment horizontal="center" vertical="top"/>
    </xf>
    <xf numFmtId="0" fontId="2" fillId="25" borderId="25" xfId="0" applyFont="1" applyFill="1" applyBorder="1" applyAlignment="1">
      <alignment vertical="top" wrapText="1"/>
    </xf>
    <xf numFmtId="0" fontId="37" fillId="25" borderId="15" xfId="0" applyFont="1" applyFill="1" applyBorder="1" applyAlignment="1">
      <alignment vertical="top" wrapText="1"/>
    </xf>
    <xf numFmtId="0" fontId="4" fillId="25" borderId="41" xfId="0" applyFont="1" applyFill="1" applyBorder="1" applyAlignment="1">
      <alignment vertical="center" wrapText="1"/>
    </xf>
    <xf numFmtId="0" fontId="0" fillId="0" borderId="41" xfId="0" applyBorder="1" applyAlignment="1">
      <alignment vertical="center" wrapText="1"/>
    </xf>
    <xf numFmtId="0" fontId="79" fillId="24" borderId="13" xfId="0" applyFont="1" applyFill="1" applyBorder="1" applyAlignment="1">
      <alignment horizontal="center" vertical="top"/>
    </xf>
    <xf numFmtId="0" fontId="2" fillId="39" borderId="0" xfId="0" applyFont="1" applyFill="1" applyAlignment="1">
      <alignment vertical="top"/>
    </xf>
    <xf numFmtId="169" fontId="2" fillId="40" borderId="13" xfId="0" applyNumberFormat="1" applyFont="1" applyFill="1" applyBorder="1" applyAlignment="1">
      <alignment vertical="top" shrinkToFit="1"/>
    </xf>
    <xf numFmtId="169" fontId="2" fillId="40" borderId="13" xfId="84" applyNumberFormat="1" applyFont="1" applyFill="1" applyBorder="1" applyAlignment="1" applyProtection="1">
      <alignment vertical="top" shrinkToFit="1"/>
    </xf>
    <xf numFmtId="166" fontId="2" fillId="24" borderId="0" xfId="0" applyNumberFormat="1" applyFont="1" applyFill="1" applyAlignment="1">
      <alignment vertical="top"/>
    </xf>
    <xf numFmtId="3" fontId="2" fillId="24" borderId="0" xfId="0" applyNumberFormat="1" applyFont="1" applyFill="1"/>
    <xf numFmtId="0" fontId="81" fillId="25" borderId="0" xfId="0" applyFont="1" applyFill="1" applyAlignment="1">
      <alignment vertical="top"/>
    </xf>
    <xf numFmtId="0" fontId="81" fillId="41" borderId="0" xfId="0" applyFont="1" applyFill="1" applyAlignment="1">
      <alignment vertical="top"/>
    </xf>
    <xf numFmtId="164" fontId="81" fillId="27" borderId="13" xfId="0" applyNumberFormat="1" applyFont="1" applyFill="1" applyBorder="1" applyAlignment="1">
      <alignment horizontal="right" vertical="top"/>
    </xf>
    <xf numFmtId="0" fontId="2" fillId="25" borderId="14" xfId="0" applyFont="1" applyFill="1" applyBorder="1" applyAlignment="1">
      <alignment vertical="top"/>
    </xf>
    <xf numFmtId="0" fontId="81" fillId="41" borderId="14" xfId="0" applyFont="1" applyFill="1" applyBorder="1" applyAlignment="1">
      <alignment vertical="top"/>
    </xf>
    <xf numFmtId="164" fontId="2" fillId="27" borderId="62" xfId="0" applyNumberFormat="1" applyFont="1" applyFill="1" applyBorder="1" applyAlignment="1">
      <alignment horizontal="right" vertical="top"/>
    </xf>
    <xf numFmtId="0" fontId="2" fillId="25" borderId="15" xfId="0" applyFont="1" applyFill="1" applyBorder="1" applyAlignment="1">
      <alignment vertical="top"/>
    </xf>
    <xf numFmtId="0" fontId="81" fillId="41" borderId="15" xfId="0" applyFont="1" applyFill="1" applyBorder="1" applyAlignment="1">
      <alignment vertical="top"/>
    </xf>
    <xf numFmtId="164" fontId="2" fillId="40" borderId="63" xfId="0" applyNumberFormat="1" applyFont="1" applyFill="1" applyBorder="1" applyAlignment="1">
      <alignment horizontal="right" vertical="top"/>
    </xf>
    <xf numFmtId="0" fontId="2" fillId="25" borderId="16" xfId="0" applyFont="1" applyFill="1" applyBorder="1" applyAlignment="1">
      <alignment vertical="top"/>
    </xf>
    <xf numFmtId="0" fontId="81" fillId="41" borderId="16" xfId="0" applyFont="1" applyFill="1" applyBorder="1" applyAlignment="1">
      <alignment vertical="top"/>
    </xf>
    <xf numFmtId="0" fontId="2" fillId="25" borderId="67" xfId="0" applyFont="1" applyFill="1" applyBorder="1" applyAlignment="1">
      <alignment horizontal="center" vertical="top"/>
    </xf>
    <xf numFmtId="164" fontId="2" fillId="27" borderId="13" xfId="0" applyNumberFormat="1" applyFont="1" applyFill="1" applyBorder="1" applyAlignment="1">
      <alignment horizontal="center" vertical="top"/>
    </xf>
    <xf numFmtId="0" fontId="2" fillId="25" borderId="14" xfId="0" applyFont="1" applyFill="1" applyBorder="1" applyAlignment="1">
      <alignment horizontal="center" vertical="top"/>
    </xf>
    <xf numFmtId="0" fontId="2" fillId="25" borderId="15" xfId="0" applyFont="1" applyFill="1" applyBorder="1" applyAlignment="1">
      <alignment horizontal="center" vertical="top"/>
    </xf>
    <xf numFmtId="0" fontId="2" fillId="25" borderId="15" xfId="0" quotePrefix="1" applyFont="1" applyFill="1" applyBorder="1" applyAlignment="1">
      <alignment horizontal="center" vertical="top"/>
    </xf>
    <xf numFmtId="0" fontId="2" fillId="25" borderId="16" xfId="0" applyFont="1" applyFill="1" applyBorder="1" applyAlignment="1">
      <alignment horizontal="center" vertical="top"/>
    </xf>
    <xf numFmtId="171" fontId="2" fillId="27" borderId="11" xfId="0" applyNumberFormat="1" applyFont="1" applyFill="1" applyBorder="1" applyAlignment="1">
      <alignment horizontal="right" vertical="top"/>
    </xf>
    <xf numFmtId="171" fontId="2" fillId="27" borderId="63" xfId="0" applyNumberFormat="1" applyFont="1" applyFill="1" applyBorder="1" applyAlignment="1">
      <alignment horizontal="right" vertical="top"/>
    </xf>
    <xf numFmtId="169" fontId="2" fillId="40" borderId="10" xfId="84" applyNumberFormat="1" applyFont="1" applyFill="1" applyBorder="1" applyAlignment="1" applyProtection="1">
      <alignment vertical="top" shrinkToFit="1"/>
    </xf>
    <xf numFmtId="0" fontId="2" fillId="25" borderId="57" xfId="0" applyFont="1" applyFill="1" applyBorder="1" applyAlignment="1">
      <alignment vertical="top"/>
    </xf>
    <xf numFmtId="0" fontId="2" fillId="25" borderId="28" xfId="0" applyFont="1" applyFill="1" applyBorder="1" applyAlignment="1">
      <alignment vertical="top"/>
    </xf>
    <xf numFmtId="0" fontId="81" fillId="41" borderId="28" xfId="0" applyFont="1" applyFill="1" applyBorder="1" applyAlignment="1">
      <alignment vertical="top"/>
    </xf>
    <xf numFmtId="0" fontId="2" fillId="25" borderId="30" xfId="0" applyFont="1" applyFill="1" applyBorder="1" applyAlignment="1">
      <alignment vertical="top"/>
    </xf>
    <xf numFmtId="0" fontId="2" fillId="25" borderId="66" xfId="0" applyFont="1" applyFill="1" applyBorder="1" applyAlignment="1">
      <alignment vertical="top"/>
    </xf>
    <xf numFmtId="0" fontId="4" fillId="25" borderId="126" xfId="0" applyFont="1" applyFill="1" applyBorder="1" applyAlignment="1">
      <alignment horizontal="right" vertical="top"/>
    </xf>
    <xf numFmtId="164" fontId="2" fillId="27" borderId="58" xfId="0" applyNumberFormat="1" applyFont="1" applyFill="1" applyBorder="1" applyAlignment="1">
      <alignment horizontal="right" vertical="top"/>
    </xf>
    <xf numFmtId="0" fontId="2" fillId="25" borderId="38" xfId="0" applyFont="1" applyFill="1" applyBorder="1" applyAlignment="1">
      <alignment vertical="top"/>
    </xf>
    <xf numFmtId="164" fontId="2" fillId="40" borderId="93" xfId="0" applyNumberFormat="1" applyFont="1" applyFill="1" applyBorder="1" applyAlignment="1">
      <alignment horizontal="right" vertical="top"/>
    </xf>
    <xf numFmtId="171" fontId="2" fillId="27" borderId="93" xfId="0" applyNumberFormat="1" applyFont="1" applyFill="1" applyBorder="1" applyAlignment="1">
      <alignment horizontal="right" vertical="top"/>
    </xf>
    <xf numFmtId="171" fontId="2" fillId="27" borderId="126" xfId="0" applyNumberFormat="1" applyFont="1" applyFill="1" applyBorder="1" applyAlignment="1">
      <alignment horizontal="right" vertical="top"/>
    </xf>
    <xf numFmtId="0" fontId="2" fillId="25" borderId="65" xfId="0" applyFont="1" applyFill="1" applyBorder="1" applyAlignment="1">
      <alignment vertical="top"/>
    </xf>
    <xf numFmtId="0" fontId="2" fillId="25" borderId="39" xfId="0" applyFont="1" applyFill="1" applyBorder="1" applyAlignment="1">
      <alignment vertical="top"/>
    </xf>
    <xf numFmtId="0" fontId="2" fillId="25" borderId="40" xfId="0" applyFont="1" applyFill="1" applyBorder="1" applyAlignment="1">
      <alignment vertical="top"/>
    </xf>
    <xf numFmtId="164" fontId="81" fillId="40" borderId="63" xfId="0" applyNumberFormat="1" applyFont="1" applyFill="1" applyBorder="1" applyAlignment="1">
      <alignment horizontal="right" vertical="top"/>
    </xf>
    <xf numFmtId="0" fontId="71" fillId="25" borderId="0" xfId="0" applyFont="1" applyFill="1" applyAlignment="1">
      <alignment vertical="center"/>
    </xf>
    <xf numFmtId="0" fontId="30" fillId="25" borderId="0" xfId="0" applyFont="1" applyFill="1" applyAlignment="1">
      <alignment vertical="center"/>
    </xf>
    <xf numFmtId="0" fontId="79" fillId="25" borderId="0" xfId="0" applyFont="1" applyFill="1"/>
    <xf numFmtId="14" fontId="2" fillId="24" borderId="13" xfId="0" applyNumberFormat="1" applyFont="1" applyFill="1" applyBorder="1" applyAlignment="1">
      <alignment horizontal="center" vertical="top"/>
    </xf>
    <xf numFmtId="0" fontId="37" fillId="24" borderId="0" xfId="0" applyFont="1" applyFill="1" applyAlignment="1">
      <alignment vertical="center"/>
    </xf>
    <xf numFmtId="0" fontId="37" fillId="25" borderId="0" xfId="0" applyFont="1" applyFill="1" applyAlignment="1">
      <alignment vertical="center"/>
    </xf>
    <xf numFmtId="0" fontId="2" fillId="25" borderId="0" xfId="0" applyFont="1" applyFill="1" applyAlignment="1">
      <alignment vertical="center"/>
    </xf>
    <xf numFmtId="0" fontId="37" fillId="39" borderId="0" xfId="0" applyFont="1" applyFill="1" applyAlignment="1">
      <alignment vertical="center"/>
    </xf>
    <xf numFmtId="0" fontId="37" fillId="41" borderId="0" xfId="0" applyFont="1" applyFill="1" applyAlignment="1">
      <alignment vertical="center"/>
    </xf>
    <xf numFmtId="164" fontId="2" fillId="28" borderId="67" xfId="0" applyNumberFormat="1" applyFont="1" applyFill="1" applyBorder="1" applyAlignment="1" applyProtection="1">
      <alignment vertical="top" shrinkToFit="1"/>
      <protection locked="0"/>
    </xf>
    <xf numFmtId="164" fontId="37" fillId="27" borderId="67" xfId="0" applyNumberFormat="1" applyFont="1" applyFill="1" applyBorder="1" applyAlignment="1">
      <alignment vertical="top" shrinkToFit="1"/>
    </xf>
    <xf numFmtId="0" fontId="4" fillId="25" borderId="44" xfId="0" applyFont="1" applyFill="1" applyBorder="1" applyAlignment="1">
      <alignment horizontal="right" vertical="top"/>
    </xf>
    <xf numFmtId="164" fontId="2" fillId="28" borderId="49" xfId="0" applyNumberFormat="1" applyFont="1" applyFill="1" applyBorder="1" applyAlignment="1" applyProtection="1">
      <alignment vertical="top" shrinkToFit="1"/>
      <protection locked="0"/>
    </xf>
    <xf numFmtId="164" fontId="37" fillId="27" borderId="49" xfId="0" applyNumberFormat="1" applyFont="1" applyFill="1" applyBorder="1" applyAlignment="1">
      <alignment vertical="top" shrinkToFit="1"/>
    </xf>
    <xf numFmtId="3" fontId="2" fillId="40" borderId="67" xfId="0" applyNumberFormat="1" applyFont="1" applyFill="1" applyBorder="1" applyAlignment="1">
      <alignment vertical="top"/>
    </xf>
    <xf numFmtId="169" fontId="2" fillId="40" borderId="127" xfId="84" applyNumberFormat="1" applyFont="1" applyFill="1" applyBorder="1" applyAlignment="1" applyProtection="1">
      <alignment vertical="top" shrinkToFit="1"/>
    </xf>
    <xf numFmtId="169" fontId="2" fillId="40" borderId="49" xfId="0" applyNumberFormat="1" applyFont="1" applyFill="1" applyBorder="1" applyAlignment="1">
      <alignment vertical="top" shrinkToFit="1"/>
    </xf>
    <xf numFmtId="3" fontId="2" fillId="40" borderId="49" xfId="0" applyNumberFormat="1" applyFont="1" applyFill="1" applyBorder="1" applyAlignment="1">
      <alignment vertical="top" shrinkToFit="1"/>
    </xf>
    <xf numFmtId="0" fontId="2" fillId="40" borderId="49" xfId="0" applyFont="1" applyFill="1" applyBorder="1" applyAlignment="1">
      <alignment vertical="top"/>
    </xf>
    <xf numFmtId="3" fontId="2" fillId="42" borderId="105" xfId="0" applyNumberFormat="1" applyFont="1" applyFill="1" applyBorder="1" applyAlignment="1" applyProtection="1">
      <alignment vertical="top"/>
      <protection locked="0"/>
    </xf>
    <xf numFmtId="4" fontId="2" fillId="40" borderId="106" xfId="0" applyNumberFormat="1" applyFont="1" applyFill="1" applyBorder="1" applyAlignment="1">
      <alignment vertical="top"/>
    </xf>
    <xf numFmtId="165" fontId="37" fillId="42" borderId="78" xfId="0" applyNumberFormat="1" applyFont="1" applyFill="1" applyBorder="1" applyAlignment="1" applyProtection="1">
      <alignment vertical="top"/>
      <protection locked="0"/>
    </xf>
    <xf numFmtId="3" fontId="2" fillId="40" borderId="105" xfId="0" applyNumberFormat="1" applyFont="1" applyFill="1" applyBorder="1" applyAlignment="1">
      <alignment vertical="top"/>
    </xf>
    <xf numFmtId="3" fontId="2" fillId="27" borderId="94" xfId="0" applyNumberFormat="1" applyFont="1" applyFill="1" applyBorder="1" applyAlignment="1">
      <alignment vertical="top"/>
    </xf>
    <xf numFmtId="166" fontId="0" fillId="40" borderId="67" xfId="0" applyNumberFormat="1" applyFill="1" applyBorder="1" applyAlignment="1">
      <alignment vertical="top"/>
    </xf>
    <xf numFmtId="0" fontId="4" fillId="25" borderId="18" xfId="0" applyFont="1" applyFill="1" applyBorder="1" applyAlignment="1">
      <alignment horizontal="right" vertical="top"/>
    </xf>
    <xf numFmtId="4" fontId="2" fillId="40" borderId="20" xfId="0" applyNumberFormat="1" applyFont="1" applyFill="1" applyBorder="1" applyAlignment="1">
      <alignment vertical="top"/>
    </xf>
    <xf numFmtId="165" fontId="37" fillId="42" borderId="24" xfId="0" applyNumberFormat="1" applyFont="1" applyFill="1" applyBorder="1" applyAlignment="1" applyProtection="1">
      <alignment vertical="top"/>
      <protection locked="0"/>
    </xf>
    <xf numFmtId="166" fontId="0" fillId="40" borderId="26" xfId="0" applyNumberFormat="1" applyFill="1" applyBorder="1" applyAlignment="1">
      <alignment vertical="top"/>
    </xf>
    <xf numFmtId="3" fontId="2" fillId="42" borderId="31" xfId="0" applyNumberFormat="1" applyFont="1" applyFill="1" applyBorder="1" applyAlignment="1" applyProtection="1">
      <alignment vertical="top"/>
      <protection locked="0"/>
    </xf>
    <xf numFmtId="4" fontId="2" fillId="40" borderId="33" xfId="0" applyNumberFormat="1" applyFont="1" applyFill="1" applyBorder="1" applyAlignment="1">
      <alignment vertical="top"/>
    </xf>
    <xf numFmtId="3" fontId="2" fillId="40" borderId="31" xfId="0" applyNumberFormat="1" applyFont="1" applyFill="1" applyBorder="1" applyAlignment="1">
      <alignment vertical="top"/>
    </xf>
    <xf numFmtId="3" fontId="2" fillId="27" borderId="123" xfId="0" applyNumberFormat="1" applyFont="1" applyFill="1" applyBorder="1" applyAlignment="1">
      <alignment vertical="top"/>
    </xf>
    <xf numFmtId="0" fontId="0" fillId="25" borderId="44" xfId="0" applyFill="1" applyBorder="1" applyAlignment="1">
      <alignment vertical="top"/>
    </xf>
    <xf numFmtId="166" fontId="0" fillId="40" borderId="49" xfId="0" applyNumberFormat="1" applyFill="1" applyBorder="1" applyAlignment="1">
      <alignment vertical="top"/>
    </xf>
    <xf numFmtId="174" fontId="2" fillId="40" borderId="67" xfId="0" applyNumberFormat="1" applyFont="1" applyFill="1" applyBorder="1" applyAlignment="1">
      <alignment vertical="top"/>
    </xf>
    <xf numFmtId="174" fontId="2" fillId="40" borderId="127" xfId="0" applyNumberFormat="1" applyFont="1" applyFill="1" applyBorder="1" applyAlignment="1">
      <alignment vertical="top" shrinkToFit="1"/>
    </xf>
    <xf numFmtId="169" fontId="2" fillId="40" borderId="49" xfId="84" applyNumberFormat="1" applyFont="1" applyFill="1" applyBorder="1" applyAlignment="1" applyProtection="1">
      <alignment vertical="top" shrinkToFit="1"/>
    </xf>
    <xf numFmtId="174" fontId="2" fillId="40" borderId="49" xfId="0" applyNumberFormat="1" applyFont="1" applyFill="1" applyBorder="1" applyAlignment="1">
      <alignment vertical="top" shrinkToFit="1"/>
    </xf>
    <xf numFmtId="165" fontId="37" fillId="27" borderId="105" xfId="84" applyNumberFormat="1" applyFont="1" applyFill="1" applyBorder="1" applyAlignment="1" applyProtection="1">
      <alignment vertical="top"/>
    </xf>
    <xf numFmtId="165" fontId="37" fillId="27" borderId="94" xfId="84" applyNumberFormat="1" applyFont="1" applyFill="1" applyBorder="1" applyAlignment="1" applyProtection="1">
      <alignment vertical="top"/>
    </xf>
    <xf numFmtId="165" fontId="37" fillId="27" borderId="31" xfId="84" applyNumberFormat="1" applyFont="1" applyFill="1" applyBorder="1" applyAlignment="1" applyProtection="1">
      <alignment vertical="top"/>
    </xf>
    <xf numFmtId="165" fontId="37" fillId="27" borderId="123" xfId="84" applyNumberFormat="1" applyFont="1" applyFill="1" applyBorder="1" applyAlignment="1" applyProtection="1">
      <alignment vertical="top"/>
    </xf>
    <xf numFmtId="0" fontId="2" fillId="34" borderId="58" xfId="0" applyFont="1" applyFill="1" applyBorder="1" applyAlignment="1">
      <alignment vertical="top"/>
    </xf>
    <xf numFmtId="0" fontId="2" fillId="34" borderId="61" xfId="0" applyFont="1" applyFill="1" applyBorder="1" applyAlignment="1">
      <alignment vertical="top"/>
    </xf>
    <xf numFmtId="4" fontId="2" fillId="40" borderId="67" xfId="0" applyNumberFormat="1" applyFont="1" applyFill="1" applyBorder="1" applyAlignment="1">
      <alignment vertical="top"/>
    </xf>
    <xf numFmtId="4" fontId="2" fillId="40" borderId="49" xfId="0" applyNumberFormat="1" applyFont="1" applyFill="1" applyBorder="1" applyAlignment="1">
      <alignment vertical="top" shrinkToFit="1"/>
    </xf>
    <xf numFmtId="4" fontId="2" fillId="40" borderId="13" xfId="0" applyNumberFormat="1" applyFont="1" applyFill="1" applyBorder="1" applyAlignment="1">
      <alignment vertical="top" shrinkToFit="1"/>
    </xf>
    <xf numFmtId="4" fontId="2" fillId="40" borderId="127" xfId="0" applyNumberFormat="1" applyFont="1" applyFill="1" applyBorder="1" applyAlignment="1">
      <alignment vertical="top" shrinkToFit="1"/>
    </xf>
    <xf numFmtId="4" fontId="2" fillId="40" borderId="10" xfId="0" applyNumberFormat="1" applyFont="1" applyFill="1" applyBorder="1" applyAlignment="1">
      <alignment vertical="top" shrinkToFit="1"/>
    </xf>
    <xf numFmtId="0" fontId="37" fillId="25" borderId="67" xfId="0" applyFont="1" applyFill="1" applyBorder="1" applyAlignment="1">
      <alignment vertical="top" wrapText="1"/>
    </xf>
    <xf numFmtId="0" fontId="4" fillId="25" borderId="78" xfId="0" applyFont="1" applyFill="1" applyBorder="1" applyAlignment="1">
      <alignment vertical="top" wrapText="1"/>
    </xf>
    <xf numFmtId="0" fontId="4" fillId="25" borderId="0" xfId="0" applyFont="1" applyFill="1" applyAlignment="1">
      <alignment vertical="top" wrapText="1"/>
    </xf>
    <xf numFmtId="0" fontId="4" fillId="25" borderId="0" xfId="0" applyFont="1" applyFill="1" applyAlignment="1">
      <alignment vertical="center" wrapText="1"/>
    </xf>
    <xf numFmtId="0" fontId="0" fillId="0" borderId="0" xfId="0" applyAlignment="1">
      <alignment vertical="center" wrapText="1"/>
    </xf>
    <xf numFmtId="0" fontId="0" fillId="0" borderId="18" xfId="0" applyBorder="1" applyAlignment="1">
      <alignment vertical="top" wrapText="1"/>
    </xf>
    <xf numFmtId="0" fontId="37" fillId="41" borderId="0" xfId="0" applyFont="1" applyFill="1" applyAlignment="1">
      <alignment vertical="top" wrapText="1"/>
    </xf>
    <xf numFmtId="0" fontId="0" fillId="0" borderId="12" xfId="0" applyBorder="1" applyAlignment="1">
      <alignment vertical="center" wrapText="1"/>
    </xf>
    <xf numFmtId="0" fontId="37" fillId="25" borderId="25" xfId="0" applyFont="1" applyFill="1" applyBorder="1" applyAlignment="1">
      <alignment vertical="center" wrapText="1"/>
    </xf>
    <xf numFmtId="0" fontId="37" fillId="41" borderId="12" xfId="0" applyFont="1" applyFill="1" applyBorder="1" applyAlignment="1">
      <alignment vertical="top" wrapText="1"/>
    </xf>
    <xf numFmtId="0" fontId="37" fillId="27" borderId="106" xfId="0" applyFont="1" applyFill="1" applyBorder="1" applyAlignment="1">
      <alignment vertical="top" wrapText="1"/>
    </xf>
    <xf numFmtId="0" fontId="37" fillId="27" borderId="105" xfId="0" applyFont="1" applyFill="1" applyBorder="1" applyAlignment="1">
      <alignment vertical="top" wrapText="1"/>
    </xf>
    <xf numFmtId="0" fontId="37" fillId="27" borderId="94" xfId="0" applyFont="1" applyFill="1" applyBorder="1" applyAlignment="1">
      <alignment vertical="top" wrapText="1"/>
    </xf>
    <xf numFmtId="0" fontId="79" fillId="39" borderId="13" xfId="0" applyFont="1" applyFill="1" applyBorder="1" applyAlignment="1">
      <alignment horizontal="center" vertical="top"/>
    </xf>
    <xf numFmtId="0" fontId="2" fillId="40" borderId="67" xfId="0" applyFont="1" applyFill="1" applyBorder="1" applyAlignment="1">
      <alignment vertical="top"/>
    </xf>
    <xf numFmtId="0" fontId="2" fillId="40" borderId="26" xfId="0" applyFont="1" applyFill="1" applyBorder="1" applyAlignment="1">
      <alignment vertical="top"/>
    </xf>
    <xf numFmtId="0" fontId="2" fillId="24" borderId="76" xfId="0" applyFont="1" applyFill="1" applyBorder="1" applyAlignment="1">
      <alignment horizontal="center" vertical="top"/>
    </xf>
    <xf numFmtId="0" fontId="2" fillId="24" borderId="77" xfId="0" applyFont="1" applyFill="1" applyBorder="1" applyAlignment="1">
      <alignment horizontal="center" vertical="top"/>
    </xf>
    <xf numFmtId="0" fontId="37" fillId="24" borderId="47" xfId="0" applyFont="1" applyFill="1" applyBorder="1" applyAlignment="1">
      <alignment vertical="top"/>
    </xf>
    <xf numFmtId="14" fontId="2" fillId="40" borderId="13" xfId="0" applyNumberFormat="1" applyFont="1" applyFill="1" applyBorder="1" applyAlignment="1">
      <alignment horizontal="center" vertical="top"/>
    </xf>
    <xf numFmtId="164" fontId="2" fillId="27" borderId="128" xfId="0" applyNumberFormat="1" applyFont="1" applyFill="1" applyBorder="1" applyAlignment="1">
      <alignment horizontal="right" vertical="top"/>
    </xf>
    <xf numFmtId="0" fontId="2" fillId="42" borderId="105" xfId="0" applyFont="1" applyFill="1" applyBorder="1" applyAlignment="1" applyProtection="1">
      <alignment vertical="top" wrapText="1"/>
      <protection locked="0"/>
    </xf>
    <xf numFmtId="0" fontId="2" fillId="42" borderId="106" xfId="0" applyFont="1" applyFill="1" applyBorder="1" applyAlignment="1" applyProtection="1">
      <alignment vertical="top" wrapText="1"/>
      <protection locked="0"/>
    </xf>
    <xf numFmtId="0" fontId="37" fillId="42" borderId="106" xfId="0" applyFont="1" applyFill="1" applyBorder="1" applyAlignment="1" applyProtection="1">
      <alignment vertical="top" wrapText="1"/>
      <protection locked="0"/>
    </xf>
    <xf numFmtId="0" fontId="37" fillId="42" borderId="94" xfId="0" applyFont="1" applyFill="1" applyBorder="1" applyAlignment="1" applyProtection="1">
      <alignment vertical="top" wrapText="1"/>
      <protection locked="0"/>
    </xf>
    <xf numFmtId="0" fontId="37" fillId="24" borderId="88" xfId="0" applyFont="1" applyFill="1" applyBorder="1" applyAlignment="1">
      <alignment vertical="top"/>
    </xf>
    <xf numFmtId="0" fontId="2" fillId="24" borderId="71" xfId="0" applyFont="1" applyFill="1" applyBorder="1" applyAlignment="1">
      <alignment horizontal="center" vertical="top"/>
    </xf>
    <xf numFmtId="0" fontId="2" fillId="24" borderId="72" xfId="0" applyFont="1" applyFill="1" applyBorder="1" applyAlignment="1">
      <alignment horizontal="center" vertical="top"/>
    </xf>
    <xf numFmtId="0" fontId="2" fillId="24" borderId="46" xfId="0" applyFont="1" applyFill="1" applyBorder="1" applyAlignment="1">
      <alignment horizontal="center" vertical="top"/>
    </xf>
    <xf numFmtId="0" fontId="2" fillId="24" borderId="103" xfId="0" applyFont="1" applyFill="1" applyBorder="1" applyAlignment="1">
      <alignment vertical="top"/>
    </xf>
    <xf numFmtId="0" fontId="37" fillId="24" borderId="43" xfId="0" applyFont="1" applyFill="1" applyBorder="1" applyAlignment="1">
      <alignment vertical="top"/>
    </xf>
    <xf numFmtId="0" fontId="37" fillId="24" borderId="71" xfId="0" applyFont="1" applyFill="1" applyBorder="1" applyAlignment="1">
      <alignment vertical="top"/>
    </xf>
    <xf numFmtId="0" fontId="37" fillId="24" borderId="72" xfId="0" applyFont="1" applyFill="1" applyBorder="1" applyAlignment="1">
      <alignment vertical="top"/>
    </xf>
    <xf numFmtId="0" fontId="37" fillId="44" borderId="43" xfId="0" applyFont="1" applyFill="1" applyBorder="1" applyAlignment="1">
      <alignment vertical="top"/>
    </xf>
    <xf numFmtId="0" fontId="2" fillId="24" borderId="49" xfId="0" applyFont="1" applyFill="1" applyBorder="1"/>
    <xf numFmtId="0" fontId="2" fillId="24" borderId="58" xfId="0" applyFont="1" applyFill="1" applyBorder="1"/>
    <xf numFmtId="0" fontId="2" fillId="24" borderId="59" xfId="0" applyFont="1" applyFill="1" applyBorder="1"/>
    <xf numFmtId="0" fontId="2" fillId="24" borderId="60" xfId="0" applyFont="1" applyFill="1" applyBorder="1"/>
    <xf numFmtId="0" fontId="2" fillId="24" borderId="61" xfId="0" applyFont="1" applyFill="1" applyBorder="1"/>
    <xf numFmtId="0" fontId="4" fillId="25" borderId="117" xfId="0" applyFont="1" applyFill="1" applyBorder="1" applyAlignment="1">
      <alignment horizontal="right" vertical="top"/>
    </xf>
    <xf numFmtId="0" fontId="2" fillId="24" borderId="66" xfId="0" applyFont="1" applyFill="1" applyBorder="1"/>
    <xf numFmtId="0" fontId="2" fillId="24" borderId="38" xfId="0" applyFont="1" applyFill="1" applyBorder="1"/>
    <xf numFmtId="0" fontId="4" fillId="24" borderId="11" xfId="0" applyFont="1" applyFill="1" applyBorder="1" applyAlignment="1">
      <alignment vertical="top"/>
    </xf>
    <xf numFmtId="174" fontId="4" fillId="40" borderId="75" xfId="0" applyNumberFormat="1" applyFont="1" applyFill="1" applyBorder="1" applyAlignment="1">
      <alignment vertical="top"/>
    </xf>
    <xf numFmtId="174" fontId="4" fillId="40" borderId="76" xfId="0" applyNumberFormat="1" applyFont="1" applyFill="1" applyBorder="1" applyAlignment="1">
      <alignment vertical="top"/>
    </xf>
    <xf numFmtId="174" fontId="4" fillId="40" borderId="77" xfId="0" applyNumberFormat="1" applyFont="1" applyFill="1" applyBorder="1" applyAlignment="1">
      <alignment vertical="top"/>
    </xf>
    <xf numFmtId="3" fontId="4" fillId="40" borderId="75" xfId="0" applyNumberFormat="1" applyFont="1" applyFill="1" applyBorder="1" applyAlignment="1">
      <alignment vertical="top"/>
    </xf>
    <xf numFmtId="3" fontId="4" fillId="40" borderId="76" xfId="0" applyNumberFormat="1" applyFont="1" applyFill="1" applyBorder="1" applyAlignment="1">
      <alignment vertical="top"/>
    </xf>
    <xf numFmtId="3" fontId="4" fillId="40" borderId="77" xfId="0" applyNumberFormat="1" applyFont="1" applyFill="1" applyBorder="1" applyAlignment="1">
      <alignment vertical="top"/>
    </xf>
    <xf numFmtId="164" fontId="37" fillId="28" borderId="67" xfId="0" applyNumberFormat="1" applyFont="1" applyFill="1" applyBorder="1" applyAlignment="1" applyProtection="1">
      <alignment vertical="top"/>
      <protection locked="0"/>
    </xf>
    <xf numFmtId="164" fontId="37" fillId="28" borderId="49" xfId="0" applyNumberFormat="1" applyFont="1" applyFill="1" applyBorder="1" applyAlignment="1" applyProtection="1">
      <alignment vertical="top"/>
      <protection locked="0"/>
    </xf>
    <xf numFmtId="0" fontId="4" fillId="24" borderId="71" xfId="0" applyFont="1" applyFill="1" applyBorder="1" applyAlignment="1">
      <alignment vertical="top"/>
    </xf>
    <xf numFmtId="0" fontId="4" fillId="24" borderId="72" xfId="0" applyFont="1" applyFill="1" applyBorder="1" applyAlignment="1">
      <alignment vertical="top"/>
    </xf>
    <xf numFmtId="0" fontId="2" fillId="24" borderId="66" xfId="0" applyFont="1" applyFill="1" applyBorder="1" applyAlignment="1">
      <alignment horizontal="right" vertical="top"/>
    </xf>
    <xf numFmtId="0" fontId="2" fillId="24" borderId="58" xfId="0" applyFont="1" applyFill="1" applyBorder="1" applyAlignment="1">
      <alignment horizontal="center" vertical="top"/>
    </xf>
    <xf numFmtId="0" fontId="37" fillId="24" borderId="66" xfId="0" applyFont="1" applyFill="1" applyBorder="1" applyAlignment="1">
      <alignment horizontal="right" vertical="top"/>
    </xf>
    <xf numFmtId="0" fontId="2" fillId="24" borderId="65" xfId="0" applyFont="1" applyFill="1" applyBorder="1" applyAlignment="1">
      <alignment horizontal="right" vertical="top"/>
    </xf>
    <xf numFmtId="4" fontId="2" fillId="39" borderId="60" xfId="0" applyNumberFormat="1" applyFont="1" applyFill="1" applyBorder="1" applyAlignment="1">
      <alignment vertical="top"/>
    </xf>
    <xf numFmtId="4" fontId="2" fillId="39" borderId="61" xfId="0" applyNumberFormat="1" applyFont="1" applyFill="1" applyBorder="1" applyAlignment="1">
      <alignment vertical="top"/>
    </xf>
    <xf numFmtId="0" fontId="2" fillId="39" borderId="59" xfId="0" applyFont="1" applyFill="1" applyBorder="1" applyAlignment="1">
      <alignment vertical="top"/>
    </xf>
    <xf numFmtId="0" fontId="2" fillId="24" borderId="66" xfId="0" applyFont="1" applyFill="1" applyBorder="1" applyAlignment="1">
      <alignment vertical="top"/>
    </xf>
    <xf numFmtId="0" fontId="4" fillId="24" borderId="126" xfId="0" applyFont="1" applyFill="1" applyBorder="1" applyAlignment="1">
      <alignment vertical="top"/>
    </xf>
    <xf numFmtId="0" fontId="2" fillId="24" borderId="66" xfId="0" applyFont="1" applyFill="1" applyBorder="1" applyAlignment="1">
      <alignment horizontal="right" vertical="top" indent="1"/>
    </xf>
    <xf numFmtId="0" fontId="2" fillId="24" borderId="129" xfId="0" applyFont="1" applyFill="1" applyBorder="1" applyAlignment="1">
      <alignment horizontal="center" vertical="top"/>
    </xf>
    <xf numFmtId="0" fontId="2" fillId="39" borderId="38" xfId="0" applyFont="1" applyFill="1" applyBorder="1" applyAlignment="1">
      <alignment vertical="top"/>
    </xf>
    <xf numFmtId="3" fontId="2" fillId="39" borderId="60" xfId="0" applyNumberFormat="1" applyFont="1" applyFill="1" applyBorder="1" applyAlignment="1">
      <alignment vertical="top"/>
    </xf>
    <xf numFmtId="3" fontId="2" fillId="39" borderId="61" xfId="0" applyNumberFormat="1" applyFont="1" applyFill="1" applyBorder="1" applyAlignment="1">
      <alignment vertical="top"/>
    </xf>
    <xf numFmtId="0" fontId="4" fillId="25" borderId="12" xfId="0" applyFont="1" applyFill="1" applyBorder="1" applyAlignment="1">
      <alignment wrapText="1"/>
    </xf>
    <xf numFmtId="0" fontId="54" fillId="25" borderId="12" xfId="0" applyFont="1" applyFill="1" applyBorder="1" applyAlignment="1">
      <alignment horizontal="center" wrapText="1"/>
    </xf>
    <xf numFmtId="0" fontId="4" fillId="25" borderId="12" xfId="0" applyFont="1" applyFill="1" applyBorder="1" applyAlignment="1">
      <alignment horizontal="center"/>
    </xf>
    <xf numFmtId="0" fontId="4" fillId="25" borderId="11" xfId="0" applyFont="1" applyFill="1" applyBorder="1" applyAlignment="1">
      <alignment horizontal="right"/>
    </xf>
    <xf numFmtId="0" fontId="4" fillId="25" borderId="78" xfId="0" applyFont="1" applyFill="1" applyBorder="1" applyAlignment="1">
      <alignment horizontal="right"/>
    </xf>
    <xf numFmtId="0" fontId="4" fillId="25" borderId="117" xfId="0" applyFont="1" applyFill="1" applyBorder="1" applyAlignment="1">
      <alignment horizontal="right"/>
    </xf>
    <xf numFmtId="169" fontId="4" fillId="40" borderId="75" xfId="0" applyNumberFormat="1" applyFont="1" applyFill="1" applyBorder="1" applyAlignment="1">
      <alignment vertical="top"/>
    </xf>
    <xf numFmtId="169" fontId="4" fillId="40" borderId="76" xfId="0" applyNumberFormat="1" applyFont="1" applyFill="1" applyBorder="1" applyAlignment="1">
      <alignment vertical="top"/>
    </xf>
    <xf numFmtId="169" fontId="4" fillId="40" borderId="77" xfId="0" applyNumberFormat="1" applyFont="1" applyFill="1" applyBorder="1" applyAlignment="1">
      <alignment vertical="top"/>
    </xf>
    <xf numFmtId="0" fontId="10" fillId="41" borderId="0" xfId="0" quotePrefix="1" applyFont="1" applyFill="1" applyAlignment="1">
      <alignment horizontal="right" vertical="top" wrapText="1"/>
    </xf>
    <xf numFmtId="0" fontId="4" fillId="43" borderId="99" xfId="0" applyFont="1" applyFill="1" applyBorder="1" applyAlignment="1">
      <alignment horizontal="right" vertical="top"/>
    </xf>
    <xf numFmtId="0" fontId="4" fillId="43" borderId="44" xfId="0" applyFont="1" applyFill="1" applyBorder="1" applyAlignment="1">
      <alignment horizontal="right" vertical="top"/>
    </xf>
    <xf numFmtId="165" fontId="37" fillId="45" borderId="67" xfId="0" applyNumberFormat="1" applyFont="1" applyFill="1" applyBorder="1" applyAlignment="1" applyProtection="1">
      <alignment vertical="top"/>
      <protection locked="0"/>
    </xf>
    <xf numFmtId="165" fontId="37" fillId="42" borderId="31" xfId="0" applyNumberFormat="1" applyFont="1" applyFill="1" applyBorder="1" applyAlignment="1" applyProtection="1">
      <alignment vertical="top"/>
      <protection locked="0"/>
    </xf>
    <xf numFmtId="165" fontId="37" fillId="40" borderId="67" xfId="0" applyNumberFormat="1" applyFont="1" applyFill="1" applyBorder="1" applyAlignment="1">
      <alignment vertical="top"/>
    </xf>
    <xf numFmtId="165" fontId="37" fillId="40" borderId="103" xfId="0" applyNumberFormat="1" applyFont="1" applyFill="1" applyBorder="1" applyAlignment="1">
      <alignment vertical="top"/>
    </xf>
    <xf numFmtId="164" fontId="37" fillId="27" borderId="121" xfId="0" applyNumberFormat="1" applyFont="1" applyFill="1" applyBorder="1" applyAlignment="1">
      <alignment vertical="top"/>
    </xf>
    <xf numFmtId="164" fontId="57" fillId="27" borderId="130" xfId="0" applyNumberFormat="1" applyFont="1" applyFill="1" applyBorder="1" applyAlignment="1">
      <alignment vertical="top"/>
    </xf>
    <xf numFmtId="0" fontId="79" fillId="27" borderId="67" xfId="0" applyFont="1" applyFill="1" applyBorder="1" applyAlignment="1">
      <alignment horizontal="left" vertical="top"/>
    </xf>
    <xf numFmtId="165" fontId="37" fillId="42" borderId="123" xfId="0" applyNumberFormat="1" applyFont="1" applyFill="1" applyBorder="1" applyAlignment="1" applyProtection="1">
      <alignment vertical="top"/>
      <protection locked="0"/>
    </xf>
    <xf numFmtId="165" fontId="37" fillId="40" borderId="49" xfId="0" applyNumberFormat="1" applyFont="1" applyFill="1" applyBorder="1" applyAlignment="1">
      <alignment vertical="top"/>
    </xf>
    <xf numFmtId="165" fontId="37" fillId="40" borderId="127" xfId="0" applyNumberFormat="1" applyFont="1" applyFill="1" applyBorder="1" applyAlignment="1">
      <alignment vertical="top"/>
    </xf>
    <xf numFmtId="165" fontId="37" fillId="45" borderId="49" xfId="0" applyNumberFormat="1" applyFont="1" applyFill="1" applyBorder="1" applyAlignment="1" applyProtection="1">
      <alignment vertical="top"/>
      <protection locked="0"/>
    </xf>
    <xf numFmtId="164" fontId="37" fillId="27" borderId="122" xfId="0" applyNumberFormat="1" applyFont="1" applyFill="1" applyBorder="1" applyAlignment="1">
      <alignment vertical="top"/>
    </xf>
    <xf numFmtId="164" fontId="57" fillId="27" borderId="131" xfId="0" applyNumberFormat="1" applyFont="1" applyFill="1" applyBorder="1" applyAlignment="1">
      <alignment vertical="top"/>
    </xf>
    <xf numFmtId="165" fontId="37" fillId="27" borderId="123" xfId="0" applyNumberFormat="1" applyFont="1" applyFill="1" applyBorder="1" applyAlignment="1">
      <alignment vertical="top"/>
    </xf>
    <xf numFmtId="0" fontId="79" fillId="27" borderId="49" xfId="0" applyFont="1" applyFill="1" applyBorder="1" applyAlignment="1">
      <alignment horizontal="left" vertical="top"/>
    </xf>
    <xf numFmtId="165" fontId="37" fillId="42" borderId="33" xfId="0" applyNumberFormat="1" applyFont="1" applyFill="1" applyBorder="1" applyAlignment="1" applyProtection="1">
      <alignment vertical="top"/>
      <protection locked="0"/>
    </xf>
    <xf numFmtId="0" fontId="2" fillId="39" borderId="0" xfId="0" applyFont="1" applyFill="1" applyAlignment="1">
      <alignment vertical="center"/>
    </xf>
    <xf numFmtId="0" fontId="4" fillId="39" borderId="74" xfId="0" applyFont="1" applyFill="1" applyBorder="1" applyAlignment="1">
      <alignment horizontal="center" vertical="center"/>
    </xf>
    <xf numFmtId="169" fontId="37" fillId="24" borderId="0" xfId="84" applyNumberFormat="1" applyFont="1" applyFill="1" applyBorder="1" applyAlignment="1" applyProtection="1">
      <alignment vertical="top"/>
    </xf>
    <xf numFmtId="164" fontId="2" fillId="42" borderId="13" xfId="0" applyNumberFormat="1" applyFont="1" applyFill="1" applyBorder="1" applyAlignment="1" applyProtection="1">
      <alignment vertical="top" shrinkToFit="1"/>
      <protection locked="0"/>
    </xf>
    <xf numFmtId="164" fontId="37" fillId="40" borderId="13" xfId="0" applyNumberFormat="1" applyFont="1" applyFill="1" applyBorder="1" applyAlignment="1">
      <alignment vertical="top" shrinkToFit="1"/>
    </xf>
    <xf numFmtId="0" fontId="2" fillId="44" borderId="75" xfId="0" applyFont="1" applyFill="1" applyBorder="1"/>
    <xf numFmtId="0" fontId="2" fillId="44" borderId="76" xfId="0" applyFont="1" applyFill="1" applyBorder="1"/>
    <xf numFmtId="0" fontId="2" fillId="44" borderId="77" xfId="0" applyFont="1" applyFill="1" applyBorder="1"/>
    <xf numFmtId="174" fontId="2" fillId="40" borderId="103" xfId="0" applyNumberFormat="1" applyFont="1" applyFill="1" applyBorder="1" applyAlignment="1">
      <alignment vertical="top" shrinkToFit="1"/>
    </xf>
    <xf numFmtId="0" fontId="0" fillId="41" borderId="0" xfId="0" applyFill="1" applyAlignment="1">
      <alignment vertical="center"/>
    </xf>
    <xf numFmtId="164" fontId="2" fillId="27" borderId="49" xfId="0" applyNumberFormat="1" applyFont="1" applyFill="1" applyBorder="1" applyAlignment="1">
      <alignment horizontal="right" vertical="top"/>
    </xf>
    <xf numFmtId="171" fontId="2" fillId="27" borderId="49" xfId="0" applyNumberFormat="1" applyFont="1" applyFill="1" applyBorder="1" applyAlignment="1">
      <alignment horizontal="right" vertical="top"/>
    </xf>
    <xf numFmtId="171" fontId="2" fillId="40" borderId="67" xfId="0" applyNumberFormat="1" applyFont="1" applyFill="1" applyBorder="1" applyAlignment="1">
      <alignment horizontal="right" vertical="top"/>
    </xf>
    <xf numFmtId="165" fontId="37" fillId="25" borderId="28" xfId="0" applyNumberFormat="1" applyFont="1" applyFill="1" applyBorder="1" applyAlignment="1">
      <alignment vertical="top"/>
    </xf>
    <xf numFmtId="0" fontId="2" fillId="25" borderId="67" xfId="0" applyFont="1" applyFill="1" applyBorder="1" applyAlignment="1">
      <alignment vertical="top" wrapText="1"/>
    </xf>
    <xf numFmtId="0" fontId="4" fillId="25" borderId="88" xfId="0" applyFont="1" applyFill="1" applyBorder="1" applyAlignment="1">
      <alignment horizontal="center" wrapText="1"/>
    </xf>
    <xf numFmtId="0" fontId="4" fillId="25" borderId="88" xfId="0" applyFont="1" applyFill="1" applyBorder="1" applyAlignment="1">
      <alignment horizontal="center"/>
    </xf>
    <xf numFmtId="0" fontId="4" fillId="41" borderId="88" xfId="0" applyFont="1" applyFill="1" applyBorder="1" applyAlignment="1">
      <alignment horizontal="center"/>
    </xf>
    <xf numFmtId="0" fontId="10" fillId="43" borderId="0" xfId="0" applyFont="1" applyFill="1" applyAlignment="1">
      <alignment vertical="top"/>
    </xf>
    <xf numFmtId="0" fontId="10" fillId="43" borderId="0" xfId="0" quotePrefix="1" applyFont="1" applyFill="1" applyAlignment="1">
      <alignment horizontal="right" vertical="top" wrapText="1"/>
    </xf>
    <xf numFmtId="0" fontId="4" fillId="43" borderId="132" xfId="0" applyFont="1" applyFill="1" applyBorder="1" applyAlignment="1">
      <alignment horizontal="right" vertical="top"/>
    </xf>
    <xf numFmtId="164" fontId="37" fillId="27" borderId="133" xfId="0" applyNumberFormat="1" applyFont="1" applyFill="1" applyBorder="1" applyAlignment="1">
      <alignment vertical="top"/>
    </xf>
    <xf numFmtId="164" fontId="57" fillId="27" borderId="134" xfId="0" applyNumberFormat="1" applyFont="1" applyFill="1" applyBorder="1" applyAlignment="1">
      <alignment vertical="top"/>
    </xf>
    <xf numFmtId="165" fontId="37" fillId="27" borderId="135" xfId="0" applyNumberFormat="1" applyFont="1" applyFill="1" applyBorder="1" applyAlignment="1">
      <alignment vertical="top"/>
    </xf>
    <xf numFmtId="0" fontId="79" fillId="27" borderId="58" xfId="0" applyFont="1" applyFill="1" applyBorder="1" applyAlignment="1">
      <alignment horizontal="left" vertical="top"/>
    </xf>
    <xf numFmtId="165" fontId="37" fillId="45" borderId="58" xfId="0" applyNumberFormat="1" applyFont="1" applyFill="1" applyBorder="1" applyAlignment="1" applyProtection="1">
      <alignment vertical="top"/>
      <protection locked="0"/>
    </xf>
    <xf numFmtId="165" fontId="37" fillId="40" borderId="129" xfId="0" applyNumberFormat="1" applyFont="1" applyFill="1" applyBorder="1" applyAlignment="1">
      <alignment vertical="top"/>
    </xf>
    <xf numFmtId="165" fontId="37" fillId="40" borderId="58" xfId="0" applyNumberFormat="1" applyFont="1" applyFill="1" applyBorder="1" applyAlignment="1">
      <alignment vertical="top"/>
    </xf>
    <xf numFmtId="0" fontId="2" fillId="43" borderId="38" xfId="0" applyFont="1" applyFill="1" applyBorder="1" applyAlignment="1">
      <alignment horizontal="right" vertical="top"/>
    </xf>
    <xf numFmtId="0" fontId="0" fillId="43" borderId="38" xfId="0" applyFill="1" applyBorder="1"/>
    <xf numFmtId="0" fontId="81" fillId="41" borderId="25" xfId="0" applyFont="1" applyFill="1" applyBorder="1" applyAlignment="1">
      <alignment vertical="top"/>
    </xf>
    <xf numFmtId="164" fontId="81" fillId="27" borderId="49" xfId="0" applyNumberFormat="1" applyFont="1" applyFill="1" applyBorder="1" applyAlignment="1">
      <alignment horizontal="right" vertical="top"/>
    </xf>
    <xf numFmtId="4" fontId="2" fillId="40" borderId="105" xfId="0" applyNumberFormat="1" applyFont="1" applyFill="1" applyBorder="1" applyAlignment="1">
      <alignment vertical="top"/>
    </xf>
    <xf numFmtId="4" fontId="2" fillId="40" borderId="94" xfId="0" applyNumberFormat="1" applyFont="1" applyFill="1" applyBorder="1" applyAlignment="1">
      <alignment vertical="top"/>
    </xf>
    <xf numFmtId="0" fontId="4" fillId="43" borderId="0" xfId="0" applyFont="1" applyFill="1" applyAlignment="1">
      <alignment horizontal="right" vertical="top"/>
    </xf>
    <xf numFmtId="4" fontId="4" fillId="40" borderId="136" xfId="0" applyNumberFormat="1" applyFont="1" applyFill="1" applyBorder="1" applyAlignment="1">
      <alignment vertical="top"/>
    </xf>
    <xf numFmtId="0" fontId="82" fillId="25" borderId="12" xfId="0" applyFont="1" applyFill="1" applyBorder="1" applyAlignment="1">
      <alignment horizontal="center" vertical="top"/>
    </xf>
    <xf numFmtId="4" fontId="2" fillId="40" borderId="49" xfId="0" applyNumberFormat="1" applyFont="1" applyFill="1" applyBorder="1" applyAlignment="1">
      <alignment vertical="top"/>
    </xf>
    <xf numFmtId="4" fontId="2" fillId="40" borderId="31" xfId="0" applyNumberFormat="1" applyFont="1" applyFill="1" applyBorder="1" applyAlignment="1">
      <alignment vertical="top"/>
    </xf>
    <xf numFmtId="4" fontId="2" fillId="40" borderId="123" xfId="0" applyNumberFormat="1" applyFont="1" applyFill="1" applyBorder="1" applyAlignment="1">
      <alignment vertical="top"/>
    </xf>
    <xf numFmtId="164" fontId="2" fillId="27" borderId="31" xfId="0" applyNumberFormat="1" applyFont="1" applyFill="1" applyBorder="1" applyAlignment="1">
      <alignment horizontal="right" vertical="top"/>
    </xf>
    <xf numFmtId="164" fontId="2" fillId="40" borderId="33" xfId="0" applyNumberFormat="1" applyFont="1" applyFill="1" applyBorder="1" applyAlignment="1">
      <alignment horizontal="right" vertical="top"/>
    </xf>
    <xf numFmtId="171" fontId="2" fillId="27" borderId="33" xfId="0" applyNumberFormat="1" applyFont="1" applyFill="1" applyBorder="1" applyAlignment="1">
      <alignment horizontal="right" vertical="top"/>
    </xf>
    <xf numFmtId="171" fontId="2" fillId="27" borderId="117" xfId="0" applyNumberFormat="1" applyFont="1" applyFill="1" applyBorder="1" applyAlignment="1">
      <alignment horizontal="right" vertical="top"/>
    </xf>
    <xf numFmtId="164" fontId="81" fillId="40" borderId="33" xfId="0" applyNumberFormat="1" applyFont="1" applyFill="1" applyBorder="1" applyAlignment="1">
      <alignment horizontal="right" vertical="top"/>
    </xf>
    <xf numFmtId="0" fontId="2" fillId="44" borderId="13" xfId="0" applyFont="1" applyFill="1" applyBorder="1" applyAlignment="1">
      <alignment horizontal="center" vertical="top"/>
    </xf>
    <xf numFmtId="49" fontId="2" fillId="42" borderId="105" xfId="0" applyNumberFormat="1" applyFont="1" applyFill="1" applyBorder="1" applyAlignment="1" applyProtection="1">
      <alignment horizontal="center" vertical="top"/>
      <protection locked="0"/>
    </xf>
    <xf numFmtId="0" fontId="2" fillId="41" borderId="25" xfId="0" quotePrefix="1" applyFont="1" applyFill="1" applyBorder="1" applyAlignment="1">
      <alignment horizontal="center" vertical="top"/>
    </xf>
    <xf numFmtId="169" fontId="4" fillId="27" borderId="49" xfId="84" applyNumberFormat="1" applyFont="1" applyFill="1" applyBorder="1" applyAlignment="1" applyProtection="1">
      <alignment horizontal="right" vertical="top"/>
    </xf>
    <xf numFmtId="169" fontId="4" fillId="27" borderId="13" xfId="84" applyNumberFormat="1" applyFont="1" applyFill="1" applyBorder="1" applyAlignment="1" applyProtection="1">
      <alignment horizontal="right" vertical="top"/>
    </xf>
    <xf numFmtId="169" fontId="4" fillId="27" borderId="58" xfId="84" applyNumberFormat="1" applyFont="1" applyFill="1" applyBorder="1" applyAlignment="1" applyProtection="1">
      <alignment horizontal="right" vertical="top"/>
    </xf>
    <xf numFmtId="0" fontId="79" fillId="24" borderId="43" xfId="0" applyFont="1" applyFill="1" applyBorder="1" applyAlignment="1">
      <alignment horizontal="center" vertical="top"/>
    </xf>
    <xf numFmtId="0" fontId="79" fillId="24" borderId="71" xfId="0" applyFont="1" applyFill="1" applyBorder="1" applyAlignment="1">
      <alignment horizontal="center" vertical="top"/>
    </xf>
    <xf numFmtId="0" fontId="79" fillId="44" borderId="71" xfId="0" applyFont="1" applyFill="1" applyBorder="1" applyAlignment="1">
      <alignment horizontal="center" vertical="top"/>
    </xf>
    <xf numFmtId="0" fontId="79" fillId="39" borderId="71" xfId="0" applyFont="1" applyFill="1" applyBorder="1" applyAlignment="1">
      <alignment horizontal="center" vertical="top"/>
    </xf>
    <xf numFmtId="0" fontId="79" fillId="39" borderId="72" xfId="0" applyFont="1" applyFill="1" applyBorder="1" applyAlignment="1">
      <alignment horizontal="center" vertical="top"/>
    </xf>
    <xf numFmtId="0" fontId="79" fillId="24" borderId="49" xfId="0" applyFont="1" applyFill="1" applyBorder="1" applyAlignment="1">
      <alignment horizontal="center" vertical="top"/>
    </xf>
    <xf numFmtId="0" fontId="79" fillId="39" borderId="58" xfId="0" applyFont="1" applyFill="1" applyBorder="1" applyAlignment="1">
      <alignment horizontal="center" vertical="top"/>
    </xf>
    <xf numFmtId="0" fontId="79" fillId="24" borderId="59" xfId="0" applyFont="1" applyFill="1" applyBorder="1" applyAlignment="1">
      <alignment horizontal="center" vertical="top"/>
    </xf>
    <xf numFmtId="0" fontId="79" fillId="24" borderId="60" xfId="0" applyFont="1" applyFill="1" applyBorder="1" applyAlignment="1">
      <alignment horizontal="center" vertical="top"/>
    </xf>
    <xf numFmtId="0" fontId="79" fillId="39" borderId="60" xfId="0" applyFont="1" applyFill="1" applyBorder="1" applyAlignment="1">
      <alignment horizontal="center" vertical="top"/>
    </xf>
    <xf numFmtId="0" fontId="79" fillId="39" borderId="61" xfId="0" applyFont="1" applyFill="1" applyBorder="1" applyAlignment="1">
      <alignment horizontal="center" vertical="top"/>
    </xf>
    <xf numFmtId="0" fontId="79" fillId="24" borderId="58" xfId="0" applyFont="1" applyFill="1" applyBorder="1" applyAlignment="1">
      <alignment horizontal="center" vertical="top"/>
    </xf>
    <xf numFmtId="0" fontId="79" fillId="24" borderId="61" xfId="0" applyFont="1" applyFill="1" applyBorder="1" applyAlignment="1">
      <alignment horizontal="center" vertical="top"/>
    </xf>
    <xf numFmtId="0" fontId="2" fillId="24" borderId="25" xfId="0" applyFont="1" applyFill="1" applyBorder="1" applyAlignment="1">
      <alignment vertical="top"/>
    </xf>
    <xf numFmtId="166" fontId="37" fillId="24" borderId="43" xfId="0" applyNumberFormat="1" applyFont="1" applyFill="1" applyBorder="1" applyAlignment="1">
      <alignment vertical="top"/>
    </xf>
    <xf numFmtId="166" fontId="37" fillId="24" borderId="49" xfId="0" applyNumberFormat="1" applyFont="1" applyFill="1" applyBorder="1" applyAlignment="1">
      <alignment vertical="top"/>
    </xf>
    <xf numFmtId="166" fontId="37" fillId="24" borderId="59" xfId="0" applyNumberFormat="1" applyFont="1" applyFill="1" applyBorder="1" applyAlignment="1">
      <alignment vertical="top"/>
    </xf>
    <xf numFmtId="0" fontId="37" fillId="24" borderId="0" xfId="0" applyFont="1" applyFill="1"/>
    <xf numFmtId="0" fontId="37" fillId="25" borderId="0" xfId="0" applyFont="1" applyFill="1"/>
    <xf numFmtId="0" fontId="4" fillId="25" borderId="0" xfId="0" applyFont="1" applyFill="1" applyAlignment="1">
      <alignment horizontal="center"/>
    </xf>
    <xf numFmtId="0" fontId="4" fillId="25" borderId="24" xfId="0" applyFont="1" applyFill="1" applyBorder="1" applyAlignment="1">
      <alignment horizontal="center"/>
    </xf>
    <xf numFmtId="0" fontId="4" fillId="25" borderId="88" xfId="0" applyFont="1" applyFill="1" applyBorder="1" applyAlignment="1">
      <alignment horizontal="right"/>
    </xf>
    <xf numFmtId="0" fontId="37" fillId="39" borderId="0" xfId="0" applyFont="1" applyFill="1"/>
    <xf numFmtId="0" fontId="37" fillId="41" borderId="0" xfId="0" applyFont="1" applyFill="1"/>
    <xf numFmtId="0" fontId="37" fillId="44" borderId="13" xfId="0" applyFont="1" applyFill="1" applyBorder="1" applyAlignment="1">
      <alignment vertical="top"/>
    </xf>
    <xf numFmtId="0" fontId="0" fillId="40" borderId="13" xfId="0" applyFill="1" applyBorder="1" applyAlignment="1">
      <alignment horizontal="center"/>
    </xf>
    <xf numFmtId="0" fontId="0" fillId="25" borderId="19" xfId="0" applyFill="1" applyBorder="1" applyAlignment="1">
      <alignment horizontal="center"/>
    </xf>
    <xf numFmtId="0" fontId="0" fillId="25" borderId="20" xfId="0" applyFill="1" applyBorder="1" applyAlignment="1">
      <alignment horizontal="center"/>
    </xf>
    <xf numFmtId="0" fontId="0" fillId="25" borderId="23" xfId="0" applyFill="1" applyBorder="1" applyAlignment="1">
      <alignment horizontal="center"/>
    </xf>
    <xf numFmtId="0" fontId="4" fillId="25" borderId="99" xfId="0" applyFont="1" applyFill="1" applyBorder="1" applyAlignment="1">
      <alignment horizontal="center" vertical="top"/>
    </xf>
    <xf numFmtId="0" fontId="4" fillId="25" borderId="88" xfId="0" applyFont="1" applyFill="1" applyBorder="1" applyAlignment="1">
      <alignment horizontal="center" vertical="top"/>
    </xf>
    <xf numFmtId="0" fontId="37" fillId="25" borderId="25" xfId="0" applyFont="1" applyFill="1" applyBorder="1" applyAlignment="1">
      <alignment vertical="top"/>
    </xf>
    <xf numFmtId="0" fontId="4" fillId="25" borderId="99" xfId="0" applyFont="1" applyFill="1" applyBorder="1" applyAlignment="1">
      <alignment horizontal="right"/>
    </xf>
    <xf numFmtId="0" fontId="4" fillId="25" borderId="44" xfId="0" applyFont="1" applyFill="1" applyBorder="1" applyAlignment="1">
      <alignment horizontal="right"/>
    </xf>
    <xf numFmtId="0" fontId="37" fillId="43" borderId="25" xfId="0" applyFont="1" applyFill="1" applyBorder="1" applyAlignment="1">
      <alignment horizontal="center" vertical="top"/>
    </xf>
    <xf numFmtId="0" fontId="2" fillId="40" borderId="36" xfId="0" applyFont="1" applyFill="1" applyBorder="1"/>
    <xf numFmtId="0" fontId="4" fillId="39" borderId="0" xfId="0" applyFont="1" applyFill="1"/>
    <xf numFmtId="164" fontId="81" fillId="27" borderId="31" xfId="0" applyNumberFormat="1" applyFont="1" applyFill="1" applyBorder="1" applyAlignment="1">
      <alignment horizontal="right" vertical="top"/>
    </xf>
    <xf numFmtId="164" fontId="81" fillId="27" borderId="62" xfId="0" applyNumberFormat="1" applyFont="1" applyFill="1" applyBorder="1" applyAlignment="1">
      <alignment horizontal="right" vertical="top"/>
    </xf>
    <xf numFmtId="171" fontId="81" fillId="27" borderId="33" xfId="0" applyNumberFormat="1" applyFont="1" applyFill="1" applyBorder="1" applyAlignment="1">
      <alignment horizontal="right" vertical="top"/>
    </xf>
    <xf numFmtId="171" fontId="81" fillId="27" borderId="63" xfId="0" applyNumberFormat="1" applyFont="1" applyFill="1" applyBorder="1" applyAlignment="1">
      <alignment horizontal="right" vertical="top"/>
    </xf>
    <xf numFmtId="171" fontId="81" fillId="27" borderId="117" xfId="0" applyNumberFormat="1" applyFont="1" applyFill="1" applyBorder="1" applyAlignment="1">
      <alignment horizontal="right" vertical="top"/>
    </xf>
    <xf numFmtId="171" fontId="81" fillId="27" borderId="11" xfId="0" applyNumberFormat="1" applyFont="1" applyFill="1" applyBorder="1" applyAlignment="1">
      <alignment horizontal="right" vertical="top"/>
    </xf>
    <xf numFmtId="3" fontId="2" fillId="40" borderId="127" xfId="0" applyNumberFormat="1" applyFont="1" applyFill="1" applyBorder="1" applyAlignment="1">
      <alignment vertical="top" shrinkToFit="1"/>
    </xf>
    <xf numFmtId="3" fontId="2" fillId="40" borderId="10" xfId="0" applyNumberFormat="1" applyFont="1" applyFill="1" applyBorder="1" applyAlignment="1">
      <alignment vertical="top" shrinkToFit="1"/>
    </xf>
    <xf numFmtId="164" fontId="2" fillId="24" borderId="13" xfId="0" applyNumberFormat="1" applyFont="1" applyFill="1" applyBorder="1" applyAlignment="1">
      <alignment vertical="top"/>
    </xf>
    <xf numFmtId="3" fontId="2" fillId="40" borderId="58" xfId="0" applyNumberFormat="1" applyFont="1" applyFill="1" applyBorder="1" applyAlignment="1">
      <alignment vertical="top" shrinkToFit="1"/>
    </xf>
    <xf numFmtId="169" fontId="2" fillId="40" borderId="129" xfId="84" applyNumberFormat="1" applyFont="1" applyFill="1" applyBorder="1" applyAlignment="1" applyProtection="1">
      <alignment vertical="top" shrinkToFit="1"/>
    </xf>
    <xf numFmtId="169" fontId="2" fillId="40" borderId="58" xfId="0" applyNumberFormat="1" applyFont="1" applyFill="1" applyBorder="1" applyAlignment="1">
      <alignment vertical="top" shrinkToFit="1"/>
    </xf>
    <xf numFmtId="0" fontId="2" fillId="40" borderId="58" xfId="0" applyFont="1" applyFill="1" applyBorder="1" applyAlignment="1">
      <alignment vertical="top"/>
    </xf>
    <xf numFmtId="174" fontId="2" fillId="40" borderId="129" xfId="0" applyNumberFormat="1" applyFont="1" applyFill="1" applyBorder="1" applyAlignment="1">
      <alignment vertical="top" shrinkToFit="1"/>
    </xf>
    <xf numFmtId="169" fontId="2" fillId="40" borderId="58" xfId="84" applyNumberFormat="1" applyFont="1" applyFill="1" applyBorder="1" applyAlignment="1" applyProtection="1">
      <alignment vertical="top" shrinkToFit="1"/>
    </xf>
    <xf numFmtId="174" fontId="2" fillId="40" borderId="58" xfId="0" applyNumberFormat="1" applyFont="1" applyFill="1" applyBorder="1" applyAlignment="1">
      <alignment vertical="top" shrinkToFit="1"/>
    </xf>
    <xf numFmtId="4" fontId="2" fillId="40" borderId="129" xfId="0" applyNumberFormat="1" applyFont="1" applyFill="1" applyBorder="1" applyAlignment="1">
      <alignment vertical="top" shrinkToFit="1"/>
    </xf>
    <xf numFmtId="4" fontId="2" fillId="40" borderId="58" xfId="0" applyNumberFormat="1" applyFont="1" applyFill="1" applyBorder="1" applyAlignment="1">
      <alignment vertical="top" shrinkToFit="1"/>
    </xf>
    <xf numFmtId="3" fontId="2" fillId="40" borderId="129" xfId="0" applyNumberFormat="1" applyFont="1" applyFill="1" applyBorder="1" applyAlignment="1">
      <alignment vertical="top" shrinkToFit="1"/>
    </xf>
    <xf numFmtId="0" fontId="4" fillId="50" borderId="0" xfId="0" applyFont="1" applyFill="1" applyAlignment="1">
      <alignment horizontal="center" vertical="top"/>
    </xf>
    <xf numFmtId="0" fontId="4" fillId="50" borderId="78" xfId="0" applyFont="1" applyFill="1" applyBorder="1" applyAlignment="1">
      <alignment horizontal="center" vertical="top"/>
    </xf>
    <xf numFmtId="0" fontId="4" fillId="50" borderId="88" xfId="0" applyFont="1" applyFill="1" applyBorder="1" applyAlignment="1">
      <alignment horizontal="right" vertical="top"/>
    </xf>
    <xf numFmtId="0" fontId="2" fillId="50" borderId="25" xfId="0" applyFont="1" applyFill="1" applyBorder="1" applyAlignment="1">
      <alignment vertical="top"/>
    </xf>
    <xf numFmtId="0" fontId="2" fillId="50" borderId="25" xfId="0" applyFont="1" applyFill="1" applyBorder="1" applyAlignment="1">
      <alignment horizontal="center" vertical="top"/>
    </xf>
    <xf numFmtId="0" fontId="2" fillId="50" borderId="25" xfId="0" quotePrefix="1" applyFont="1" applyFill="1" applyBorder="1" applyAlignment="1">
      <alignment horizontal="center" vertical="top"/>
    </xf>
    <xf numFmtId="0" fontId="4" fillId="50" borderId="12" xfId="0" applyFont="1" applyFill="1" applyBorder="1" applyAlignment="1">
      <alignment vertical="top"/>
    </xf>
    <xf numFmtId="169" fontId="2" fillId="50" borderId="25" xfId="0" applyNumberFormat="1" applyFont="1" applyFill="1" applyBorder="1" applyAlignment="1">
      <alignment vertical="top"/>
    </xf>
    <xf numFmtId="0" fontId="37" fillId="50" borderId="0" xfId="0" applyFont="1" applyFill="1" applyAlignment="1">
      <alignment vertical="top"/>
    </xf>
    <xf numFmtId="9" fontId="2" fillId="50" borderId="25" xfId="0" applyNumberFormat="1" applyFont="1" applyFill="1" applyBorder="1" applyAlignment="1">
      <alignment vertical="top"/>
    </xf>
    <xf numFmtId="0" fontId="2" fillId="50" borderId="57" xfId="0" applyFont="1" applyFill="1" applyBorder="1" applyAlignment="1">
      <alignment vertical="top"/>
    </xf>
    <xf numFmtId="0" fontId="10" fillId="50" borderId="28" xfId="0" applyFont="1" applyFill="1" applyBorder="1" applyAlignment="1">
      <alignment vertical="top" wrapText="1"/>
    </xf>
    <xf numFmtId="0" fontId="0" fillId="50" borderId="28" xfId="0" applyFill="1" applyBorder="1" applyAlignment="1">
      <alignment vertical="top" wrapText="1"/>
    </xf>
    <xf numFmtId="0" fontId="0" fillId="50" borderId="30" xfId="0" applyFill="1" applyBorder="1" applyAlignment="1">
      <alignment vertical="top" wrapText="1"/>
    </xf>
    <xf numFmtId="0" fontId="2" fillId="50" borderId="66" xfId="0" applyFont="1" applyFill="1" applyBorder="1" applyAlignment="1">
      <alignment vertical="top"/>
    </xf>
    <xf numFmtId="0" fontId="4" fillId="50" borderId="0" xfId="0" applyFont="1" applyFill="1" applyAlignment="1">
      <alignment vertical="top"/>
    </xf>
    <xf numFmtId="0" fontId="2" fillId="50" borderId="0" xfId="0" applyFont="1" applyFill="1" applyAlignment="1">
      <alignment vertical="top"/>
    </xf>
    <xf numFmtId="0" fontId="4" fillId="50" borderId="132" xfId="0" applyFont="1" applyFill="1" applyBorder="1" applyAlignment="1">
      <alignment horizontal="right" vertical="top"/>
    </xf>
    <xf numFmtId="0" fontId="2" fillId="50" borderId="66" xfId="0" applyFont="1" applyFill="1" applyBorder="1" applyAlignment="1">
      <alignment horizontal="right" vertical="top"/>
    </xf>
    <xf numFmtId="0" fontId="37" fillId="50" borderId="38" xfId="0" applyFont="1" applyFill="1" applyBorder="1" applyAlignment="1">
      <alignment vertical="top"/>
    </xf>
    <xf numFmtId="0" fontId="2" fillId="50" borderId="38" xfId="0" applyFont="1" applyFill="1" applyBorder="1" applyAlignment="1">
      <alignment vertical="top"/>
    </xf>
    <xf numFmtId="0" fontId="0" fillId="50" borderId="65" xfId="0" applyFill="1" applyBorder="1"/>
    <xf numFmtId="0" fontId="0" fillId="50" borderId="39" xfId="0" applyFill="1" applyBorder="1"/>
    <xf numFmtId="0" fontId="2" fillId="50" borderId="39" xfId="0" applyFont="1" applyFill="1" applyBorder="1"/>
    <xf numFmtId="0" fontId="2" fillId="50" borderId="40" xfId="0" applyFont="1" applyFill="1" applyBorder="1"/>
    <xf numFmtId="0" fontId="4" fillId="50" borderId="11" xfId="0" applyFont="1" applyFill="1" applyBorder="1" applyAlignment="1">
      <alignment horizontal="right" vertical="top"/>
    </xf>
    <xf numFmtId="0" fontId="4" fillId="50" borderId="78" xfId="0" applyFont="1" applyFill="1" applyBorder="1" applyAlignment="1">
      <alignment horizontal="right" vertical="top"/>
    </xf>
    <xf numFmtId="0" fontId="4" fillId="50" borderId="117" xfId="0" applyFont="1" applyFill="1" applyBorder="1" applyAlignment="1">
      <alignment horizontal="right" vertical="top"/>
    </xf>
    <xf numFmtId="0" fontId="0" fillId="50" borderId="66" xfId="0" applyFill="1" applyBorder="1"/>
    <xf numFmtId="0" fontId="0" fillId="50" borderId="0" xfId="0" applyFill="1"/>
    <xf numFmtId="0" fontId="4" fillId="50" borderId="126" xfId="0" applyFont="1" applyFill="1" applyBorder="1" applyAlignment="1">
      <alignment horizontal="right" vertical="top"/>
    </xf>
    <xf numFmtId="0" fontId="2" fillId="50" borderId="66" xfId="0" applyFont="1" applyFill="1" applyBorder="1"/>
    <xf numFmtId="164" fontId="37" fillId="27" borderId="58" xfId="0" applyNumberFormat="1" applyFont="1" applyFill="1" applyBorder="1" applyAlignment="1">
      <alignment vertical="top"/>
    </xf>
    <xf numFmtId="0" fontId="2" fillId="50" borderId="0" xfId="0" applyFont="1" applyFill="1"/>
    <xf numFmtId="0" fontId="2" fillId="50" borderId="38" xfId="0" applyFont="1" applyFill="1" applyBorder="1"/>
    <xf numFmtId="0" fontId="0" fillId="50" borderId="57" xfId="0" applyFill="1" applyBorder="1" applyAlignment="1">
      <alignment vertical="top"/>
    </xf>
    <xf numFmtId="0" fontId="0" fillId="50" borderId="28" xfId="0" applyFill="1" applyBorder="1" applyAlignment="1">
      <alignment vertical="top"/>
    </xf>
    <xf numFmtId="0" fontId="4" fillId="50" borderId="28" xfId="0" applyFont="1" applyFill="1" applyBorder="1" applyAlignment="1">
      <alignment vertical="top" wrapText="1"/>
    </xf>
    <xf numFmtId="0" fontId="2" fillId="50" borderId="28" xfId="0" applyFont="1" applyFill="1" applyBorder="1" applyAlignment="1">
      <alignment vertical="top"/>
    </xf>
    <xf numFmtId="0" fontId="2" fillId="50" borderId="30" xfId="0" applyFont="1" applyFill="1" applyBorder="1" applyAlignment="1">
      <alignment vertical="top"/>
    </xf>
    <xf numFmtId="0" fontId="4" fillId="50" borderId="44" xfId="0" applyFont="1" applyFill="1" applyBorder="1" applyAlignment="1">
      <alignment horizontal="right" vertical="top"/>
    </xf>
    <xf numFmtId="0" fontId="0" fillId="50" borderId="65" xfId="0" applyFill="1" applyBorder="1" applyAlignment="1">
      <alignment vertical="top"/>
    </xf>
    <xf numFmtId="0" fontId="0" fillId="50" borderId="39" xfId="0" applyFill="1" applyBorder="1" applyAlignment="1">
      <alignment vertical="top"/>
    </xf>
    <xf numFmtId="0" fontId="4" fillId="50" borderId="39" xfId="0" applyFont="1" applyFill="1" applyBorder="1" applyAlignment="1">
      <alignment vertical="top" wrapText="1"/>
    </xf>
    <xf numFmtId="0" fontId="2" fillId="50" borderId="39" xfId="0" applyFont="1" applyFill="1" applyBorder="1" applyAlignment="1">
      <alignment vertical="top"/>
    </xf>
    <xf numFmtId="0" fontId="2" fillId="50" borderId="40" xfId="0" applyFont="1" applyFill="1" applyBorder="1" applyAlignment="1">
      <alignment vertical="top"/>
    </xf>
    <xf numFmtId="0" fontId="37" fillId="50" borderId="65" xfId="0" applyFont="1" applyFill="1" applyBorder="1" applyAlignment="1">
      <alignment vertical="top"/>
    </xf>
    <xf numFmtId="0" fontId="37" fillId="50" borderId="39" xfId="0" applyFont="1" applyFill="1" applyBorder="1" applyAlignment="1">
      <alignment vertical="top"/>
    </xf>
    <xf numFmtId="0" fontId="47" fillId="50" borderId="39" xfId="0" applyFont="1" applyFill="1" applyBorder="1" applyAlignment="1">
      <alignment vertical="top"/>
    </xf>
    <xf numFmtId="0" fontId="37" fillId="50" borderId="40" xfId="0" applyFont="1" applyFill="1" applyBorder="1" applyAlignment="1">
      <alignment vertical="top"/>
    </xf>
    <xf numFmtId="0" fontId="10" fillId="50" borderId="28" xfId="0" quotePrefix="1" applyFont="1" applyFill="1" applyBorder="1" applyAlignment="1">
      <alignment horizontal="right" vertical="top" wrapText="1"/>
    </xf>
    <xf numFmtId="0" fontId="2" fillId="50" borderId="28" xfId="0" applyFont="1" applyFill="1" applyBorder="1" applyAlignment="1">
      <alignment vertical="top" wrapText="1"/>
    </xf>
    <xf numFmtId="0" fontId="2" fillId="50" borderId="30" xfId="0" applyFont="1" applyFill="1" applyBorder="1" applyAlignment="1">
      <alignment vertical="top" wrapText="1"/>
    </xf>
    <xf numFmtId="0" fontId="2" fillId="50" borderId="21" xfId="0" applyFont="1" applyFill="1" applyBorder="1" applyAlignment="1">
      <alignment vertical="top"/>
    </xf>
    <xf numFmtId="0" fontId="2" fillId="50" borderId="65" xfId="0" applyFont="1" applyFill="1" applyBorder="1" applyAlignment="1">
      <alignment vertical="top"/>
    </xf>
    <xf numFmtId="0" fontId="2" fillId="50" borderId="21" xfId="0" quotePrefix="1" applyFont="1" applyFill="1" applyBorder="1" applyAlignment="1">
      <alignment horizontal="center" vertical="top"/>
    </xf>
    <xf numFmtId="169" fontId="2" fillId="50" borderId="21" xfId="0" applyNumberFormat="1" applyFont="1" applyFill="1" applyBorder="1" applyAlignment="1">
      <alignment vertical="top"/>
    </xf>
    <xf numFmtId="0" fontId="37" fillId="50" borderId="57" xfId="0" applyFont="1" applyFill="1" applyBorder="1" applyAlignment="1">
      <alignment vertical="top"/>
    </xf>
    <xf numFmtId="0" fontId="37" fillId="50" borderId="28" xfId="0" applyFont="1" applyFill="1" applyBorder="1" applyAlignment="1">
      <alignment vertical="top"/>
    </xf>
    <xf numFmtId="0" fontId="47" fillId="50" borderId="28" xfId="0" applyFont="1" applyFill="1" applyBorder="1" applyAlignment="1">
      <alignment vertical="top"/>
    </xf>
    <xf numFmtId="0" fontId="37" fillId="50" borderId="30" xfId="0" applyFont="1" applyFill="1" applyBorder="1" applyAlignment="1">
      <alignment vertical="top"/>
    </xf>
    <xf numFmtId="0" fontId="0" fillId="50" borderId="40" xfId="0" applyFill="1" applyBorder="1"/>
    <xf numFmtId="0" fontId="4" fillId="50" borderId="66" xfId="0" applyFont="1" applyFill="1" applyBorder="1" applyAlignment="1">
      <alignment horizontal="center" vertical="top"/>
    </xf>
    <xf numFmtId="165" fontId="2" fillId="42" borderId="106" xfId="0" applyNumberFormat="1" applyFont="1" applyFill="1" applyBorder="1" applyAlignment="1" applyProtection="1">
      <alignment vertical="top"/>
      <protection locked="0"/>
    </xf>
    <xf numFmtId="165" fontId="2" fillId="42" borderId="105" xfId="0" applyNumberFormat="1" applyFont="1" applyFill="1" applyBorder="1" applyAlignment="1" applyProtection="1">
      <alignment vertical="top"/>
      <protection locked="0"/>
    </xf>
    <xf numFmtId="0" fontId="2" fillId="25" borderId="13" xfId="0" applyFont="1" applyFill="1" applyBorder="1" applyAlignment="1">
      <alignment vertical="top"/>
    </xf>
    <xf numFmtId="171" fontId="2" fillId="41" borderId="13" xfId="0" applyNumberFormat="1" applyFont="1" applyFill="1" applyBorder="1" applyAlignment="1">
      <alignment vertical="top"/>
    </xf>
    <xf numFmtId="165" fontId="37" fillId="45" borderId="78" xfId="0" applyNumberFormat="1" applyFont="1" applyFill="1" applyBorder="1" applyAlignment="1" applyProtection="1">
      <alignment vertical="top"/>
      <protection locked="0"/>
    </xf>
    <xf numFmtId="165" fontId="37" fillId="45" borderId="117" xfId="0" applyNumberFormat="1" applyFont="1" applyFill="1" applyBorder="1" applyAlignment="1" applyProtection="1">
      <alignment vertical="top"/>
      <protection locked="0"/>
    </xf>
    <xf numFmtId="165" fontId="37" fillId="45" borderId="126" xfId="0" applyNumberFormat="1" applyFont="1" applyFill="1" applyBorder="1" applyAlignment="1" applyProtection="1">
      <alignment vertical="top"/>
      <protection locked="0"/>
    </xf>
    <xf numFmtId="165" fontId="37" fillId="45" borderId="62" xfId="0" applyNumberFormat="1" applyFont="1" applyFill="1" applyBorder="1" applyAlignment="1" applyProtection="1">
      <alignment vertical="top"/>
      <protection locked="0"/>
    </xf>
    <xf numFmtId="165" fontId="37" fillId="45" borderId="105" xfId="0" applyNumberFormat="1" applyFont="1" applyFill="1" applyBorder="1" applyAlignment="1" applyProtection="1">
      <alignment vertical="top"/>
      <protection locked="0"/>
    </xf>
    <xf numFmtId="165" fontId="37" fillId="45" borderId="31" xfId="0" applyNumberFormat="1" applyFont="1" applyFill="1" applyBorder="1" applyAlignment="1" applyProtection="1">
      <alignment vertical="top"/>
      <protection locked="0"/>
    </xf>
    <xf numFmtId="165" fontId="37" fillId="45" borderId="128" xfId="0" applyNumberFormat="1" applyFont="1" applyFill="1" applyBorder="1" applyAlignment="1" applyProtection="1">
      <alignment vertical="top"/>
      <protection locked="0"/>
    </xf>
    <xf numFmtId="165" fontId="37" fillId="45" borderId="63" xfId="0" applyNumberFormat="1" applyFont="1" applyFill="1" applyBorder="1" applyAlignment="1" applyProtection="1">
      <alignment vertical="top"/>
      <protection locked="0"/>
    </xf>
    <xf numFmtId="165" fontId="37" fillId="45" borderId="106" xfId="0" applyNumberFormat="1" applyFont="1" applyFill="1" applyBorder="1" applyAlignment="1" applyProtection="1">
      <alignment vertical="top"/>
      <protection locked="0"/>
    </xf>
    <xf numFmtId="165" fontId="37" fillId="45" borderId="33" xfId="0" applyNumberFormat="1" applyFont="1" applyFill="1" applyBorder="1" applyAlignment="1" applyProtection="1">
      <alignment vertical="top"/>
      <protection locked="0"/>
    </xf>
    <xf numFmtId="165" fontId="37" fillId="45" borderId="93" xfId="0" applyNumberFormat="1" applyFont="1" applyFill="1" applyBorder="1" applyAlignment="1" applyProtection="1">
      <alignment vertical="top"/>
      <protection locked="0"/>
    </xf>
    <xf numFmtId="165" fontId="37" fillId="45" borderId="64" xfId="0" applyNumberFormat="1" applyFont="1" applyFill="1" applyBorder="1" applyAlignment="1" applyProtection="1">
      <alignment vertical="top"/>
      <protection locked="0"/>
    </xf>
    <xf numFmtId="165" fontId="37" fillId="45" borderId="94" xfId="0" applyNumberFormat="1" applyFont="1" applyFill="1" applyBorder="1" applyAlignment="1" applyProtection="1">
      <alignment vertical="top"/>
      <protection locked="0"/>
    </xf>
    <xf numFmtId="165" fontId="37" fillId="45" borderId="123" xfId="0" applyNumberFormat="1" applyFont="1" applyFill="1" applyBorder="1" applyAlignment="1" applyProtection="1">
      <alignment vertical="top"/>
      <protection locked="0"/>
    </xf>
    <xf numFmtId="165" fontId="37" fillId="45" borderId="135" xfId="0" applyNumberFormat="1" applyFont="1" applyFill="1" applyBorder="1" applyAlignment="1" applyProtection="1">
      <alignment vertical="top"/>
      <protection locked="0"/>
    </xf>
    <xf numFmtId="165" fontId="37" fillId="45" borderId="10" xfId="0" applyNumberFormat="1" applyFont="1" applyFill="1" applyBorder="1" applyAlignment="1" applyProtection="1">
      <alignment vertical="top"/>
      <protection locked="0"/>
    </xf>
    <xf numFmtId="165" fontId="37" fillId="45" borderId="103" xfId="0" applyNumberFormat="1" applyFont="1" applyFill="1" applyBorder="1" applyAlignment="1" applyProtection="1">
      <alignment vertical="top"/>
      <protection locked="0"/>
    </xf>
    <xf numFmtId="165" fontId="37" fillId="45" borderId="127" xfId="0" applyNumberFormat="1" applyFont="1" applyFill="1" applyBorder="1" applyAlignment="1" applyProtection="1">
      <alignment vertical="top"/>
      <protection locked="0"/>
    </xf>
    <xf numFmtId="165" fontId="37" fillId="45" borderId="129" xfId="0" applyNumberFormat="1" applyFont="1" applyFill="1" applyBorder="1" applyAlignment="1" applyProtection="1">
      <alignment vertical="top"/>
      <protection locked="0"/>
    </xf>
    <xf numFmtId="0" fontId="37" fillId="45" borderId="14" xfId="0" applyFont="1" applyFill="1" applyBorder="1" applyAlignment="1" applyProtection="1">
      <alignment horizontal="center" vertical="top"/>
      <protection locked="0"/>
    </xf>
    <xf numFmtId="165" fontId="2" fillId="45" borderId="13" xfId="0" applyNumberFormat="1" applyFont="1" applyFill="1" applyBorder="1" applyAlignment="1" applyProtection="1">
      <alignment vertical="top"/>
      <protection locked="0"/>
    </xf>
    <xf numFmtId="165" fontId="2" fillId="45" borderId="67" xfId="0" applyNumberFormat="1" applyFont="1" applyFill="1" applyBorder="1" applyAlignment="1" applyProtection="1">
      <alignment vertical="top"/>
      <protection locked="0"/>
    </xf>
    <xf numFmtId="165" fontId="2" fillId="45" borderId="49" xfId="0" applyNumberFormat="1" applyFont="1" applyFill="1" applyBorder="1" applyAlignment="1" applyProtection="1">
      <alignment vertical="top"/>
      <protection locked="0"/>
    </xf>
    <xf numFmtId="165" fontId="2" fillId="45" borderId="58" xfId="0" applyNumberFormat="1" applyFont="1" applyFill="1" applyBorder="1" applyAlignment="1" applyProtection="1">
      <alignment vertical="top"/>
      <protection locked="0"/>
    </xf>
    <xf numFmtId="164" fontId="37" fillId="45" borderId="62" xfId="0" applyNumberFormat="1" applyFont="1" applyFill="1" applyBorder="1" applyAlignment="1" applyProtection="1">
      <alignment vertical="top"/>
      <protection locked="0"/>
    </xf>
    <xf numFmtId="164" fontId="37" fillId="45" borderId="105" xfId="0" applyNumberFormat="1" applyFont="1" applyFill="1" applyBorder="1" applyAlignment="1" applyProtection="1">
      <alignment vertical="top"/>
      <protection locked="0"/>
    </xf>
    <xf numFmtId="164" fontId="37" fillId="45" borderId="31" xfId="0" applyNumberFormat="1" applyFont="1" applyFill="1" applyBorder="1" applyAlignment="1" applyProtection="1">
      <alignment vertical="top"/>
      <protection locked="0"/>
    </xf>
    <xf numFmtId="164" fontId="37" fillId="45" borderId="128" xfId="0" applyNumberFormat="1" applyFont="1" applyFill="1" applyBorder="1" applyAlignment="1" applyProtection="1">
      <alignment vertical="top"/>
      <protection locked="0"/>
    </xf>
    <xf numFmtId="164" fontId="37" fillId="45" borderId="64" xfId="0" applyNumberFormat="1" applyFont="1" applyFill="1" applyBorder="1" applyAlignment="1" applyProtection="1">
      <alignment vertical="top"/>
      <protection locked="0"/>
    </xf>
    <xf numFmtId="164" fontId="37" fillId="45" borderId="94" xfId="0" applyNumberFormat="1" applyFont="1" applyFill="1" applyBorder="1" applyAlignment="1" applyProtection="1">
      <alignment vertical="top"/>
      <protection locked="0"/>
    </xf>
    <xf numFmtId="164" fontId="37" fillId="45" borderId="123" xfId="0" applyNumberFormat="1" applyFont="1" applyFill="1" applyBorder="1" applyAlignment="1" applyProtection="1">
      <alignment vertical="top"/>
      <protection locked="0"/>
    </xf>
    <xf numFmtId="164" fontId="37" fillId="45" borderId="135" xfId="0" applyNumberFormat="1" applyFont="1" applyFill="1" applyBorder="1" applyAlignment="1" applyProtection="1">
      <alignment vertical="top"/>
      <protection locked="0"/>
    </xf>
    <xf numFmtId="165" fontId="37" fillId="40" borderId="122" xfId="0" applyNumberFormat="1" applyFont="1" applyFill="1" applyBorder="1" applyAlignment="1">
      <alignment vertical="top"/>
    </xf>
    <xf numFmtId="0" fontId="2" fillId="24" borderId="38" xfId="0" applyFont="1" applyFill="1" applyBorder="1" applyAlignment="1">
      <alignment vertical="top"/>
    </xf>
    <xf numFmtId="0" fontId="2" fillId="24" borderId="59" xfId="0" applyFont="1" applyFill="1" applyBorder="1" applyAlignment="1">
      <alignment vertical="top"/>
    </xf>
    <xf numFmtId="0" fontId="2" fillId="24" borderId="60" xfId="0" applyFont="1" applyFill="1" applyBorder="1" applyAlignment="1">
      <alignment vertical="top"/>
    </xf>
    <xf numFmtId="0" fontId="2" fillId="24" borderId="61" xfId="0" applyFont="1" applyFill="1" applyBorder="1" applyAlignment="1">
      <alignment vertical="top"/>
    </xf>
    <xf numFmtId="0" fontId="2" fillId="25" borderId="99" xfId="0" applyFont="1" applyFill="1" applyBorder="1" applyAlignment="1">
      <alignment vertical="top"/>
    </xf>
    <xf numFmtId="0" fontId="4" fillId="39" borderId="75" xfId="0" applyFont="1" applyFill="1" applyBorder="1" applyAlignment="1">
      <alignment vertical="top"/>
    </xf>
    <xf numFmtId="0" fontId="4" fillId="39" borderId="115" xfId="0" applyFont="1" applyFill="1" applyBorder="1" applyAlignment="1">
      <alignment vertical="top"/>
    </xf>
    <xf numFmtId="0" fontId="4" fillId="39" borderId="96" xfId="0" applyFont="1" applyFill="1" applyBorder="1" applyAlignment="1">
      <alignment vertical="top"/>
    </xf>
    <xf numFmtId="0" fontId="2" fillId="39" borderId="13" xfId="0" applyFont="1" applyFill="1" applyBorder="1" applyAlignment="1">
      <alignment horizontal="center" vertical="top"/>
    </xf>
    <xf numFmtId="0" fontId="4" fillId="39" borderId="88" xfId="0" applyFont="1" applyFill="1" applyBorder="1" applyAlignment="1">
      <alignment horizontal="right" vertical="top"/>
    </xf>
    <xf numFmtId="173" fontId="57" fillId="39" borderId="63" xfId="0" applyNumberFormat="1" applyFont="1" applyFill="1" applyBorder="1" applyAlignment="1">
      <alignment horizontal="right" vertical="top"/>
    </xf>
    <xf numFmtId="173" fontId="37" fillId="39" borderId="63" xfId="0" applyNumberFormat="1" applyFont="1" applyFill="1" applyBorder="1" applyAlignment="1">
      <alignment horizontal="right" vertical="top"/>
    </xf>
    <xf numFmtId="173" fontId="37" fillId="39" borderId="92" xfId="0" applyNumberFormat="1" applyFont="1" applyFill="1" applyBorder="1" applyAlignment="1">
      <alignment horizontal="right" vertical="top"/>
    </xf>
    <xf numFmtId="173" fontId="4" fillId="39" borderId="76" xfId="0" applyNumberFormat="1" applyFont="1" applyFill="1" applyBorder="1" applyAlignment="1">
      <alignment horizontal="right" vertical="top"/>
    </xf>
    <xf numFmtId="173" fontId="4" fillId="39" borderId="77" xfId="0" applyNumberFormat="1" applyFont="1" applyFill="1" applyBorder="1" applyAlignment="1">
      <alignment horizontal="right" vertical="top"/>
    </xf>
    <xf numFmtId="173" fontId="37" fillId="39" borderId="137" xfId="0" applyNumberFormat="1" applyFont="1" applyFill="1" applyBorder="1" applyAlignment="1">
      <alignment horizontal="right" vertical="top"/>
    </xf>
    <xf numFmtId="173" fontId="37" fillId="39" borderId="91" xfId="0" applyNumberFormat="1" applyFont="1" applyFill="1" applyBorder="1" applyAlignment="1">
      <alignment horizontal="right" vertical="top"/>
    </xf>
    <xf numFmtId="173" fontId="37" fillId="39" borderId="90" xfId="0" applyNumberFormat="1" applyFont="1" applyFill="1" applyBorder="1" applyAlignment="1">
      <alignment horizontal="right" vertical="top"/>
    </xf>
    <xf numFmtId="173" fontId="57" fillId="39" borderId="33" xfId="0" applyNumberFormat="1" applyFont="1" applyFill="1" applyBorder="1" applyAlignment="1">
      <alignment horizontal="right" vertical="top"/>
    </xf>
    <xf numFmtId="173" fontId="57" fillId="39" borderId="93" xfId="0" applyNumberFormat="1" applyFont="1" applyFill="1" applyBorder="1" applyAlignment="1">
      <alignment horizontal="right" vertical="top"/>
    </xf>
    <xf numFmtId="173" fontId="37" fillId="39" borderId="33" xfId="0" applyNumberFormat="1" applyFont="1" applyFill="1" applyBorder="1" applyAlignment="1">
      <alignment horizontal="right" vertical="top"/>
    </xf>
    <xf numFmtId="173" fontId="37" fillId="39" borderId="93" xfId="0" applyNumberFormat="1" applyFont="1" applyFill="1" applyBorder="1" applyAlignment="1">
      <alignment horizontal="right" vertical="top"/>
    </xf>
    <xf numFmtId="173" fontId="37" fillId="39" borderId="131" xfId="0" applyNumberFormat="1" applyFont="1" applyFill="1" applyBorder="1" applyAlignment="1">
      <alignment horizontal="right" vertical="top"/>
    </xf>
    <xf numFmtId="173" fontId="37" fillId="39" borderId="134" xfId="0" applyNumberFormat="1" applyFont="1" applyFill="1" applyBorder="1" applyAlignment="1">
      <alignment horizontal="right" vertical="top"/>
    </xf>
    <xf numFmtId="173" fontId="4" fillId="39" borderId="75" xfId="0" applyNumberFormat="1" applyFont="1" applyFill="1" applyBorder="1" applyAlignment="1">
      <alignment horizontal="right" vertical="top"/>
    </xf>
    <xf numFmtId="173" fontId="37" fillId="39" borderId="45" xfId="0" applyNumberFormat="1" applyFont="1" applyFill="1" applyBorder="1" applyAlignment="1">
      <alignment horizontal="right" vertical="top"/>
    </xf>
    <xf numFmtId="173" fontId="37" fillId="39" borderId="47" xfId="0" applyNumberFormat="1" applyFont="1" applyFill="1" applyBorder="1" applyAlignment="1">
      <alignment horizontal="right" vertical="top"/>
    </xf>
    <xf numFmtId="173" fontId="37" fillId="39" borderId="118" xfId="0" applyNumberFormat="1" applyFont="1" applyFill="1" applyBorder="1" applyAlignment="1">
      <alignment horizontal="right" vertical="top"/>
    </xf>
    <xf numFmtId="173" fontId="37" fillId="39" borderId="138" xfId="0" applyNumberFormat="1" applyFont="1" applyFill="1" applyBorder="1" applyAlignment="1">
      <alignment horizontal="right" vertical="top"/>
    </xf>
    <xf numFmtId="173" fontId="37" fillId="39" borderId="75" xfId="0" applyNumberFormat="1" applyFont="1" applyFill="1" applyBorder="1" applyAlignment="1">
      <alignment horizontal="right" vertical="top"/>
    </xf>
    <xf numFmtId="173" fontId="37" fillId="39" borderId="115" xfId="0" applyNumberFormat="1" applyFont="1" applyFill="1" applyBorder="1" applyAlignment="1">
      <alignment horizontal="right" vertical="top"/>
    </xf>
    <xf numFmtId="173" fontId="37" fillId="39" borderId="76" xfId="0" applyNumberFormat="1" applyFont="1" applyFill="1" applyBorder="1" applyAlignment="1">
      <alignment horizontal="right" vertical="top"/>
    </xf>
    <xf numFmtId="173" fontId="37" fillId="39" borderId="77" xfId="0" applyNumberFormat="1" applyFont="1" applyFill="1" applyBorder="1" applyAlignment="1">
      <alignment horizontal="right" vertical="top"/>
    </xf>
    <xf numFmtId="0" fontId="73" fillId="25" borderId="0" xfId="0" applyFont="1" applyFill="1" applyAlignment="1">
      <alignment vertical="center"/>
    </xf>
    <xf numFmtId="0" fontId="2" fillId="45" borderId="13" xfId="0" applyFont="1" applyFill="1" applyBorder="1" applyAlignment="1" applyProtection="1">
      <alignment vertical="top"/>
      <protection locked="0"/>
    </xf>
    <xf numFmtId="0" fontId="37" fillId="44" borderId="72" xfId="0" applyFont="1" applyFill="1" applyBorder="1" applyAlignment="1">
      <alignment vertical="top"/>
    </xf>
    <xf numFmtId="0" fontId="37" fillId="40" borderId="67" xfId="0" applyFont="1" applyFill="1" applyBorder="1" applyAlignment="1">
      <alignment vertical="top"/>
    </xf>
    <xf numFmtId="0" fontId="37" fillId="40" borderId="49" xfId="0" applyFont="1" applyFill="1" applyBorder="1" applyAlignment="1">
      <alignment vertical="top"/>
    </xf>
    <xf numFmtId="0" fontId="4" fillId="25" borderId="14" xfId="0" applyFont="1" applyFill="1" applyBorder="1" applyAlignment="1">
      <alignment horizontal="center" vertical="top"/>
    </xf>
    <xf numFmtId="0" fontId="82" fillId="25" borderId="14" xfId="0" applyFont="1" applyFill="1" applyBorder="1" applyAlignment="1">
      <alignment horizontal="center" vertical="top"/>
    </xf>
    <xf numFmtId="169" fontId="2" fillId="27" borderId="31" xfId="84" applyNumberFormat="1" applyFont="1" applyFill="1" applyBorder="1" applyAlignment="1" applyProtection="1">
      <alignment horizontal="right" vertical="top"/>
    </xf>
    <xf numFmtId="169" fontId="2" fillId="27" borderId="62" xfId="84" applyNumberFormat="1" applyFont="1" applyFill="1" applyBorder="1" applyAlignment="1" applyProtection="1">
      <alignment horizontal="right" vertical="top"/>
    </xf>
    <xf numFmtId="0" fontId="4" fillId="25" borderId="15" xfId="0" applyFont="1" applyFill="1" applyBorder="1" applyAlignment="1">
      <alignment horizontal="center" vertical="top"/>
    </xf>
    <xf numFmtId="0" fontId="82" fillId="25" borderId="15" xfId="0" applyFont="1" applyFill="1" applyBorder="1" applyAlignment="1">
      <alignment horizontal="center" vertical="top"/>
    </xf>
    <xf numFmtId="0" fontId="2" fillId="40" borderId="16" xfId="0" applyFont="1" applyFill="1" applyBorder="1" applyAlignment="1">
      <alignment horizontal="center" vertical="top"/>
    </xf>
    <xf numFmtId="164" fontId="2" fillId="27" borderId="123" xfId="0" applyNumberFormat="1" applyFont="1" applyFill="1" applyBorder="1" applyAlignment="1">
      <alignment horizontal="right" vertical="top"/>
    </xf>
    <xf numFmtId="164" fontId="2" fillId="27" borderId="64" xfId="0" applyNumberFormat="1" applyFont="1" applyFill="1" applyBorder="1" applyAlignment="1">
      <alignment horizontal="right" vertical="top"/>
    </xf>
    <xf numFmtId="0" fontId="2" fillId="25" borderId="12" xfId="0" applyFont="1" applyFill="1" applyBorder="1" applyAlignment="1">
      <alignment horizontal="center" vertical="top"/>
    </xf>
    <xf numFmtId="0" fontId="2" fillId="25" borderId="17" xfId="0" applyFont="1" applyFill="1" applyBorder="1" applyAlignment="1">
      <alignment vertical="top"/>
    </xf>
    <xf numFmtId="0" fontId="81" fillId="41" borderId="17" xfId="0" applyFont="1" applyFill="1" applyBorder="1" applyAlignment="1">
      <alignment vertical="top"/>
    </xf>
    <xf numFmtId="0" fontId="2" fillId="25" borderId="17" xfId="0" quotePrefix="1" applyFont="1" applyFill="1" applyBorder="1" applyAlignment="1">
      <alignment horizontal="center" vertical="top"/>
    </xf>
    <xf numFmtId="171" fontId="81" fillId="27" borderId="122" xfId="0" applyNumberFormat="1" applyFont="1" applyFill="1" applyBorder="1" applyAlignment="1">
      <alignment horizontal="right" vertical="top"/>
    </xf>
    <xf numFmtId="171" fontId="81" fillId="27" borderId="89" xfId="0" applyNumberFormat="1" applyFont="1" applyFill="1" applyBorder="1" applyAlignment="1">
      <alignment horizontal="right" vertical="top"/>
    </xf>
    <xf numFmtId="164" fontId="2" fillId="40" borderId="123" xfId="0" applyNumberFormat="1" applyFont="1" applyFill="1" applyBorder="1" applyAlignment="1">
      <alignment horizontal="right" vertical="top"/>
    </xf>
    <xf numFmtId="164" fontId="2" fillId="40" borderId="64" xfId="0" applyNumberFormat="1" applyFont="1" applyFill="1" applyBorder="1" applyAlignment="1">
      <alignment horizontal="right" vertical="top"/>
    </xf>
    <xf numFmtId="0" fontId="35" fillId="25" borderId="57" xfId="0" applyFont="1" applyFill="1" applyBorder="1" applyAlignment="1">
      <alignment horizontal="center"/>
    </xf>
    <xf numFmtId="0" fontId="35" fillId="25" borderId="28" xfId="0" applyFont="1" applyFill="1" applyBorder="1" applyAlignment="1">
      <alignment horizontal="center"/>
    </xf>
    <xf numFmtId="0" fontId="35" fillId="25" borderId="30" xfId="0" applyFont="1" applyFill="1" applyBorder="1" applyAlignment="1">
      <alignment horizontal="center"/>
    </xf>
    <xf numFmtId="0" fontId="35" fillId="25" borderId="66" xfId="0" applyFont="1" applyFill="1" applyBorder="1" applyAlignment="1">
      <alignment horizontal="center"/>
    </xf>
    <xf numFmtId="0" fontId="4" fillId="25" borderId="132" xfId="0" applyFont="1" applyFill="1" applyBorder="1" applyAlignment="1">
      <alignment horizontal="right" vertical="top"/>
    </xf>
    <xf numFmtId="0" fontId="35" fillId="25" borderId="38" xfId="0" applyFont="1" applyFill="1" applyBorder="1" applyAlignment="1">
      <alignment horizontal="center"/>
    </xf>
    <xf numFmtId="164" fontId="81" fillId="27" borderId="58" xfId="0" applyNumberFormat="1" applyFont="1" applyFill="1" applyBorder="1" applyAlignment="1">
      <alignment horizontal="right" vertical="top"/>
    </xf>
    <xf numFmtId="164" fontId="81" fillId="27" borderId="128" xfId="0" applyNumberFormat="1" applyFont="1" applyFill="1" applyBorder="1" applyAlignment="1">
      <alignment horizontal="right" vertical="top"/>
    </xf>
    <xf numFmtId="164" fontId="81" fillId="40" borderId="93" xfId="0" applyNumberFormat="1" applyFont="1" applyFill="1" applyBorder="1" applyAlignment="1">
      <alignment horizontal="right" vertical="top"/>
    </xf>
    <xf numFmtId="171" fontId="81" fillId="27" borderId="93" xfId="0" applyNumberFormat="1" applyFont="1" applyFill="1" applyBorder="1" applyAlignment="1">
      <alignment horizontal="right" vertical="top"/>
    </xf>
    <xf numFmtId="171" fontId="81" fillId="27" borderId="126" xfId="0" applyNumberFormat="1" applyFont="1" applyFill="1" applyBorder="1" applyAlignment="1">
      <alignment horizontal="right" vertical="top"/>
    </xf>
    <xf numFmtId="169" fontId="2" fillId="27" borderId="128" xfId="84" applyNumberFormat="1" applyFont="1" applyFill="1" applyBorder="1" applyAlignment="1" applyProtection="1">
      <alignment horizontal="right" vertical="top"/>
    </xf>
    <xf numFmtId="164" fontId="2" fillId="27" borderId="135" xfId="0" applyNumberFormat="1" applyFont="1" applyFill="1" applyBorder="1" applyAlignment="1">
      <alignment horizontal="right" vertical="top"/>
    </xf>
    <xf numFmtId="164" fontId="2" fillId="40" borderId="135" xfId="0" applyNumberFormat="1" applyFont="1" applyFill="1" applyBorder="1" applyAlignment="1">
      <alignment horizontal="right" vertical="top"/>
    </xf>
    <xf numFmtId="171" fontId="81" fillId="27" borderId="133" xfId="0" applyNumberFormat="1" applyFont="1" applyFill="1" applyBorder="1" applyAlignment="1">
      <alignment horizontal="right" vertical="top"/>
    </xf>
    <xf numFmtId="0" fontId="35" fillId="25" borderId="65" xfId="0" applyFont="1" applyFill="1" applyBorder="1" applyAlignment="1">
      <alignment horizontal="center"/>
    </xf>
    <xf numFmtId="0" fontId="81" fillId="25" borderId="39" xfId="0" applyFont="1" applyFill="1" applyBorder="1" applyAlignment="1">
      <alignment vertical="top"/>
    </xf>
    <xf numFmtId="0" fontId="2" fillId="39" borderId="13" xfId="0" applyFont="1" applyFill="1" applyBorder="1" applyAlignment="1">
      <alignment vertical="center"/>
    </xf>
    <xf numFmtId="165" fontId="2" fillId="27" borderId="123" xfId="0" applyNumberFormat="1" applyFont="1" applyFill="1" applyBorder="1" applyAlignment="1">
      <alignment horizontal="right" vertical="top"/>
    </xf>
    <xf numFmtId="165" fontId="2" fillId="27" borderId="64" xfId="0" applyNumberFormat="1" applyFont="1" applyFill="1" applyBorder="1" applyAlignment="1">
      <alignment horizontal="right" vertical="top"/>
    </xf>
    <xf numFmtId="165" fontId="2" fillId="27" borderId="135" xfId="0" applyNumberFormat="1" applyFont="1" applyFill="1" applyBorder="1" applyAlignment="1">
      <alignment horizontal="right" vertical="top"/>
    </xf>
    <xf numFmtId="171" fontId="2" fillId="27" borderId="123" xfId="0" applyNumberFormat="1" applyFont="1" applyFill="1" applyBorder="1" applyAlignment="1">
      <alignment horizontal="right" vertical="top"/>
    </xf>
    <xf numFmtId="171" fontId="2" fillId="27" borderId="64" xfId="0" applyNumberFormat="1" applyFont="1" applyFill="1" applyBorder="1" applyAlignment="1">
      <alignment horizontal="right" vertical="top"/>
    </xf>
    <xf numFmtId="171" fontId="2" fillId="27" borderId="135" xfId="0" applyNumberFormat="1" applyFont="1" applyFill="1" applyBorder="1" applyAlignment="1">
      <alignment horizontal="right" vertical="top"/>
    </xf>
    <xf numFmtId="165" fontId="81" fillId="27" borderId="67" xfId="0" applyNumberFormat="1" applyFont="1" applyFill="1" applyBorder="1" applyAlignment="1">
      <alignment horizontal="right" vertical="top"/>
    </xf>
    <xf numFmtId="165" fontId="2" fillId="27" borderId="49" xfId="0" applyNumberFormat="1" applyFont="1" applyFill="1" applyBorder="1" applyAlignment="1">
      <alignment horizontal="right" vertical="top"/>
    </xf>
    <xf numFmtId="165" fontId="2" fillId="40" borderId="67" xfId="0" applyNumberFormat="1" applyFont="1" applyFill="1" applyBorder="1" applyAlignment="1">
      <alignment horizontal="right" vertical="top"/>
    </xf>
    <xf numFmtId="165" fontId="2" fillId="27" borderId="13" xfId="0" applyNumberFormat="1" applyFont="1" applyFill="1" applyBorder="1" applyAlignment="1">
      <alignment horizontal="right" vertical="top"/>
    </xf>
    <xf numFmtId="165" fontId="81" fillId="27" borderId="49" xfId="0" applyNumberFormat="1" applyFont="1" applyFill="1" applyBorder="1" applyAlignment="1">
      <alignment horizontal="right" vertical="top"/>
    </xf>
    <xf numFmtId="165" fontId="2" fillId="27" borderId="58" xfId="0" applyNumberFormat="1" applyFont="1" applyFill="1" applyBorder="1" applyAlignment="1">
      <alignment horizontal="right" vertical="top"/>
    </xf>
    <xf numFmtId="165" fontId="81" fillId="27" borderId="13" xfId="0" applyNumberFormat="1" applyFont="1" applyFill="1" applyBorder="1" applyAlignment="1">
      <alignment horizontal="right" vertical="top"/>
    </xf>
    <xf numFmtId="171" fontId="81" fillId="27" borderId="67" xfId="0" applyNumberFormat="1" applyFont="1" applyFill="1" applyBorder="1" applyAlignment="1">
      <alignment horizontal="right" vertical="top"/>
    </xf>
    <xf numFmtId="169" fontId="2" fillId="27" borderId="33" xfId="84" applyNumberFormat="1" applyFont="1" applyFill="1" applyBorder="1" applyAlignment="1" applyProtection="1">
      <alignment horizontal="right" vertical="top"/>
    </xf>
    <xf numFmtId="169" fontId="2" fillId="27" borderId="63" xfId="84" applyNumberFormat="1" applyFont="1" applyFill="1" applyBorder="1" applyAlignment="1" applyProtection="1">
      <alignment horizontal="right" vertical="top"/>
    </xf>
    <xf numFmtId="169" fontId="2" fillId="27" borderId="93" xfId="84" applyNumberFormat="1" applyFont="1" applyFill="1" applyBorder="1" applyAlignment="1" applyProtection="1">
      <alignment horizontal="right" vertical="top"/>
    </xf>
    <xf numFmtId="0" fontId="83" fillId="25" borderId="15" xfId="0" applyFont="1" applyFill="1" applyBorder="1" applyAlignment="1">
      <alignment vertical="top"/>
    </xf>
    <xf numFmtId="0" fontId="83" fillId="25" borderId="25" xfId="0" applyFont="1" applyFill="1" applyBorder="1" applyAlignment="1">
      <alignment vertical="top"/>
    </xf>
    <xf numFmtId="0" fontId="83" fillId="27" borderId="33" xfId="0" applyFont="1" applyFill="1" applyBorder="1" applyAlignment="1">
      <alignment horizontal="center" vertical="top"/>
    </xf>
    <xf numFmtId="0" fontId="83" fillId="27" borderId="63" xfId="0" applyFont="1" applyFill="1" applyBorder="1" applyAlignment="1">
      <alignment horizontal="center" vertical="top"/>
    </xf>
    <xf numFmtId="0" fontId="83" fillId="27" borderId="93" xfId="0" applyFont="1" applyFill="1" applyBorder="1" applyAlignment="1">
      <alignment horizontal="center" vertical="top"/>
    </xf>
    <xf numFmtId="0" fontId="84" fillId="25" borderId="15" xfId="0" applyFont="1" applyFill="1" applyBorder="1" applyAlignment="1">
      <alignment horizontal="center" vertical="top"/>
    </xf>
    <xf numFmtId="0" fontId="83" fillId="25" borderId="25" xfId="0" quotePrefix="1" applyFont="1" applyFill="1" applyBorder="1" applyAlignment="1">
      <alignment horizontal="center" vertical="top"/>
    </xf>
    <xf numFmtId="0" fontId="83" fillId="41" borderId="25" xfId="0" applyFont="1" applyFill="1" applyBorder="1" applyAlignment="1">
      <alignment vertical="top"/>
    </xf>
    <xf numFmtId="0" fontId="83" fillId="27" borderId="49" xfId="0" applyFont="1" applyFill="1" applyBorder="1" applyAlignment="1">
      <alignment horizontal="center" vertical="top"/>
    </xf>
    <xf numFmtId="0" fontId="83" fillId="27" borderId="13" xfId="0" applyFont="1" applyFill="1" applyBorder="1" applyAlignment="1">
      <alignment horizontal="center" vertical="top"/>
    </xf>
    <xf numFmtId="0" fontId="83" fillId="27" borderId="58" xfId="0" applyFont="1" applyFill="1" applyBorder="1" applyAlignment="1">
      <alignment horizontal="center" vertical="top"/>
    </xf>
    <xf numFmtId="0" fontId="2" fillId="25" borderId="17" xfId="0" applyFont="1" applyFill="1" applyBorder="1" applyAlignment="1">
      <alignment horizontal="center" vertical="top"/>
    </xf>
    <xf numFmtId="164" fontId="2" fillId="27" borderId="122" xfId="0" applyNumberFormat="1" applyFont="1" applyFill="1" applyBorder="1" applyAlignment="1">
      <alignment horizontal="right" vertical="top"/>
    </xf>
    <xf numFmtId="164" fontId="2" fillId="27" borderId="89" xfId="0" applyNumberFormat="1" applyFont="1" applyFill="1" applyBorder="1" applyAlignment="1">
      <alignment horizontal="right" vertical="top"/>
    </xf>
    <xf numFmtId="164" fontId="2" fillId="27" borderId="133" xfId="0" applyNumberFormat="1" applyFont="1" applyFill="1" applyBorder="1" applyAlignment="1">
      <alignment horizontal="right" vertical="top"/>
    </xf>
    <xf numFmtId="0" fontId="2" fillId="25" borderId="139" xfId="0" applyFont="1" applyFill="1" applyBorder="1" applyAlignment="1">
      <alignment vertical="top"/>
    </xf>
    <xf numFmtId="0" fontId="2" fillId="25" borderId="139" xfId="0" applyFont="1" applyFill="1" applyBorder="1" applyAlignment="1">
      <alignment horizontal="center" vertical="top"/>
    </xf>
    <xf numFmtId="0" fontId="81" fillId="41" borderId="139" xfId="0" applyFont="1" applyFill="1" applyBorder="1" applyAlignment="1">
      <alignment vertical="top"/>
    </xf>
    <xf numFmtId="164" fontId="81" fillId="40" borderId="131" xfId="0" applyNumberFormat="1" applyFont="1" applyFill="1" applyBorder="1" applyAlignment="1">
      <alignment horizontal="right" vertical="top"/>
    </xf>
    <xf numFmtId="164" fontId="81" fillId="40" borderId="92" xfId="0" applyNumberFormat="1" applyFont="1" applyFill="1" applyBorder="1" applyAlignment="1">
      <alignment horizontal="right" vertical="top"/>
    </xf>
    <xf numFmtId="164" fontId="81" fillId="40" borderId="134" xfId="0" applyNumberFormat="1" applyFont="1" applyFill="1" applyBorder="1" applyAlignment="1">
      <alignment horizontal="right" vertical="top"/>
    </xf>
    <xf numFmtId="171" fontId="2" fillId="27" borderId="31" xfId="0" applyNumberFormat="1" applyFont="1" applyFill="1" applyBorder="1" applyAlignment="1">
      <alignment horizontal="right" vertical="top"/>
    </xf>
    <xf numFmtId="171" fontId="2" fillId="27" borderId="62" xfId="0" applyNumberFormat="1" applyFont="1" applyFill="1" applyBorder="1" applyAlignment="1">
      <alignment horizontal="right" vertical="top"/>
    </xf>
    <xf numFmtId="171" fontId="2" fillId="27" borderId="128" xfId="0" applyNumberFormat="1" applyFont="1" applyFill="1" applyBorder="1" applyAlignment="1">
      <alignment horizontal="right" vertical="top"/>
    </xf>
    <xf numFmtId="0" fontId="4" fillId="25" borderId="17" xfId="0" applyFont="1" applyFill="1" applyBorder="1" applyAlignment="1">
      <alignment horizontal="center" vertical="top"/>
    </xf>
    <xf numFmtId="0" fontId="2" fillId="40" borderId="14" xfId="0" applyFont="1" applyFill="1" applyBorder="1" applyAlignment="1">
      <alignment horizontal="center" vertical="top"/>
    </xf>
    <xf numFmtId="0" fontId="84" fillId="25" borderId="17" xfId="0" applyFont="1" applyFill="1" applyBorder="1" applyAlignment="1">
      <alignment horizontal="center" vertical="top"/>
    </xf>
    <xf numFmtId="164" fontId="2" fillId="40" borderId="31" xfId="0" applyNumberFormat="1" applyFont="1" applyFill="1" applyBorder="1" applyAlignment="1">
      <alignment horizontal="right" vertical="top"/>
    </xf>
    <xf numFmtId="164" fontId="2" fillId="40" borderId="62" xfId="0" applyNumberFormat="1" applyFont="1" applyFill="1" applyBorder="1" applyAlignment="1">
      <alignment horizontal="right" vertical="top"/>
    </xf>
    <xf numFmtId="164" fontId="2" fillId="40" borderId="128" xfId="0" applyNumberFormat="1" applyFont="1" applyFill="1" applyBorder="1" applyAlignment="1">
      <alignment horizontal="right" vertical="top"/>
    </xf>
    <xf numFmtId="0" fontId="2" fillId="25" borderId="139" xfId="0" quotePrefix="1" applyFont="1" applyFill="1" applyBorder="1" applyAlignment="1">
      <alignment horizontal="center" vertical="top"/>
    </xf>
    <xf numFmtId="171" fontId="81" fillId="27" borderId="131" xfId="0" applyNumberFormat="1" applyFont="1" applyFill="1" applyBorder="1" applyAlignment="1">
      <alignment horizontal="right" vertical="top"/>
    </xf>
    <xf numFmtId="171" fontId="81" fillId="27" borderId="92" xfId="0" applyNumberFormat="1" applyFont="1" applyFill="1" applyBorder="1" applyAlignment="1">
      <alignment horizontal="right" vertical="top"/>
    </xf>
    <xf numFmtId="171" fontId="81" fillId="27" borderId="134" xfId="0" applyNumberFormat="1" applyFont="1" applyFill="1" applyBorder="1" applyAlignment="1">
      <alignment horizontal="right" vertical="top"/>
    </xf>
    <xf numFmtId="0" fontId="2" fillId="43" borderId="57" xfId="0" applyFont="1" applyFill="1" applyBorder="1" applyAlignment="1">
      <alignment horizontal="right" vertical="top"/>
    </xf>
    <xf numFmtId="0" fontId="2" fillId="43" borderId="28" xfId="0" applyFont="1" applyFill="1" applyBorder="1" applyAlignment="1">
      <alignment horizontal="right" vertical="top"/>
    </xf>
    <xf numFmtId="0" fontId="2" fillId="43" borderId="66" xfId="0" applyFont="1" applyFill="1" applyBorder="1" applyAlignment="1">
      <alignment horizontal="right" vertical="top"/>
    </xf>
    <xf numFmtId="4" fontId="2" fillId="43" borderId="38" xfId="0" applyNumberFormat="1" applyFont="1" applyFill="1" applyBorder="1" applyAlignment="1">
      <alignment horizontal="right" vertical="top"/>
    </xf>
    <xf numFmtId="4" fontId="2" fillId="40" borderId="128" xfId="0" applyNumberFormat="1" applyFont="1" applyFill="1" applyBorder="1" applyAlignment="1">
      <alignment vertical="top"/>
    </xf>
    <xf numFmtId="4" fontId="2" fillId="40" borderId="135" xfId="0" applyNumberFormat="1" applyFont="1" applyFill="1" applyBorder="1" applyAlignment="1">
      <alignment vertical="top"/>
    </xf>
    <xf numFmtId="4" fontId="2" fillId="43" borderId="38" xfId="0" applyNumberFormat="1" applyFont="1" applyFill="1" applyBorder="1" applyAlignment="1">
      <alignment vertical="top"/>
    </xf>
    <xf numFmtId="4" fontId="2" fillId="40" borderId="58" xfId="0" applyNumberFormat="1" applyFont="1" applyFill="1" applyBorder="1" applyAlignment="1">
      <alignment vertical="top"/>
    </xf>
    <xf numFmtId="0" fontId="2" fillId="43" borderId="65" xfId="0" applyFont="1" applyFill="1" applyBorder="1" applyAlignment="1">
      <alignment horizontal="left" vertical="top"/>
    </xf>
    <xf numFmtId="0" fontId="2" fillId="43" borderId="39" xfId="0" applyFont="1" applyFill="1" applyBorder="1" applyAlignment="1">
      <alignment horizontal="left" vertical="top"/>
    </xf>
    <xf numFmtId="0" fontId="2" fillId="43" borderId="39" xfId="0" applyFont="1" applyFill="1" applyBorder="1" applyAlignment="1">
      <alignment horizontal="right" vertical="top"/>
    </xf>
    <xf numFmtId="165" fontId="2" fillId="27" borderId="31" xfId="0" applyNumberFormat="1" applyFont="1" applyFill="1" applyBorder="1" applyAlignment="1">
      <alignment horizontal="right" vertical="top"/>
    </xf>
    <xf numFmtId="165" fontId="2" fillId="27" borderId="62" xfId="0" applyNumberFormat="1" applyFont="1" applyFill="1" applyBorder="1" applyAlignment="1">
      <alignment horizontal="right" vertical="top"/>
    </xf>
    <xf numFmtId="165" fontId="2" fillId="27" borderId="128" xfId="0" applyNumberFormat="1" applyFont="1" applyFill="1" applyBorder="1" applyAlignment="1">
      <alignment horizontal="right" vertical="top"/>
    </xf>
    <xf numFmtId="165" fontId="81" fillId="27" borderId="58" xfId="0" applyNumberFormat="1" applyFont="1" applyFill="1" applyBorder="1" applyAlignment="1">
      <alignment horizontal="right" vertical="top"/>
    </xf>
    <xf numFmtId="0" fontId="83" fillId="25" borderId="14" xfId="0" applyFont="1" applyFill="1" applyBorder="1" applyAlignment="1">
      <alignment vertical="top"/>
    </xf>
    <xf numFmtId="0" fontId="84" fillId="25" borderId="14" xfId="0" applyFont="1" applyFill="1" applyBorder="1" applyAlignment="1">
      <alignment horizontal="center" vertical="top"/>
    </xf>
    <xf numFmtId="0" fontId="83" fillId="27" borderId="31" xfId="0" applyFont="1" applyFill="1" applyBorder="1" applyAlignment="1">
      <alignment horizontal="center" vertical="top"/>
    </xf>
    <xf numFmtId="0" fontId="83" fillId="27" borderId="62" xfId="0" applyFont="1" applyFill="1" applyBorder="1" applyAlignment="1">
      <alignment horizontal="center" vertical="top"/>
    </xf>
    <xf numFmtId="0" fontId="83" fillId="27" borderId="128" xfId="0" applyFont="1" applyFill="1" applyBorder="1" applyAlignment="1">
      <alignment horizontal="center" vertical="top"/>
    </xf>
    <xf numFmtId="0" fontId="83" fillId="25" borderId="16" xfId="0" applyFont="1" applyFill="1" applyBorder="1" applyAlignment="1">
      <alignment vertical="top"/>
    </xf>
    <xf numFmtId="0" fontId="84" fillId="25" borderId="16" xfId="0" applyFont="1" applyFill="1" applyBorder="1" applyAlignment="1">
      <alignment horizontal="center" vertical="top"/>
    </xf>
    <xf numFmtId="0" fontId="83" fillId="27" borderId="123" xfId="0" applyFont="1" applyFill="1" applyBorder="1" applyAlignment="1">
      <alignment horizontal="center" vertical="top"/>
    </xf>
    <xf numFmtId="0" fontId="83" fillId="27" borderId="64" xfId="0" applyFont="1" applyFill="1" applyBorder="1" applyAlignment="1">
      <alignment horizontal="center" vertical="top"/>
    </xf>
    <xf numFmtId="0" fontId="83" fillId="27" borderId="135" xfId="0" applyFont="1" applyFill="1" applyBorder="1" applyAlignment="1">
      <alignment horizontal="center" vertical="top"/>
    </xf>
    <xf numFmtId="0" fontId="83" fillId="25" borderId="14" xfId="0" applyFont="1" applyFill="1" applyBorder="1" applyAlignment="1">
      <alignment horizontal="left"/>
    </xf>
    <xf numFmtId="0" fontId="35" fillId="25" borderId="14" xfId="0" applyFont="1" applyFill="1" applyBorder="1" applyAlignment="1">
      <alignment horizontal="center"/>
    </xf>
    <xf numFmtId="0" fontId="35" fillId="25" borderId="16" xfId="0" applyFont="1" applyFill="1" applyBorder="1" applyAlignment="1">
      <alignment horizontal="center"/>
    </xf>
    <xf numFmtId="164" fontId="81" fillId="41" borderId="50" xfId="0" applyNumberFormat="1" applyFont="1" applyFill="1" applyBorder="1" applyAlignment="1">
      <alignment horizontal="right" vertical="top"/>
    </xf>
    <xf numFmtId="0" fontId="2" fillId="41" borderId="14" xfId="0" quotePrefix="1" applyFont="1" applyFill="1" applyBorder="1" applyAlignment="1">
      <alignment horizontal="center" vertical="top"/>
    </xf>
    <xf numFmtId="0" fontId="2" fillId="41" borderId="16" xfId="0" quotePrefix="1" applyFont="1" applyFill="1" applyBorder="1" applyAlignment="1">
      <alignment horizontal="center" vertical="top"/>
    </xf>
    <xf numFmtId="0" fontId="81" fillId="41" borderId="39" xfId="0" applyFont="1" applyFill="1" applyBorder="1" applyAlignment="1">
      <alignment vertical="top"/>
    </xf>
    <xf numFmtId="0" fontId="2" fillId="43" borderId="65" xfId="0" applyFont="1" applyFill="1" applyBorder="1" applyAlignment="1">
      <alignment horizontal="right" vertical="top"/>
    </xf>
    <xf numFmtId="0" fontId="2" fillId="24" borderId="11" xfId="0" applyFont="1" applyFill="1" applyBorder="1" applyAlignment="1">
      <alignment vertical="top"/>
    </xf>
    <xf numFmtId="0" fontId="2" fillId="25" borderId="32" xfId="0" applyFont="1" applyFill="1" applyBorder="1" applyAlignment="1">
      <alignment vertical="top"/>
    </xf>
    <xf numFmtId="0" fontId="2" fillId="25" borderId="140" xfId="0" applyFont="1" applyFill="1" applyBorder="1" applyAlignment="1">
      <alignment vertical="top"/>
    </xf>
    <xf numFmtId="169" fontId="2" fillId="27" borderId="123" xfId="84" applyNumberFormat="1" applyFont="1" applyFill="1" applyBorder="1" applyAlignment="1" applyProtection="1">
      <alignment horizontal="right" vertical="top"/>
    </xf>
    <xf numFmtId="169" fontId="2" fillId="27" borderId="64" xfId="84" applyNumberFormat="1" applyFont="1" applyFill="1" applyBorder="1" applyAlignment="1" applyProtection="1">
      <alignment horizontal="right" vertical="top"/>
    </xf>
    <xf numFmtId="169" fontId="2" fillId="27" borderId="135" xfId="84" applyNumberFormat="1" applyFont="1" applyFill="1" applyBorder="1" applyAlignment="1" applyProtection="1">
      <alignment horizontal="right" vertical="top"/>
    </xf>
    <xf numFmtId="0" fontId="2" fillId="41" borderId="14" xfId="0" applyFont="1" applyFill="1" applyBorder="1" applyAlignment="1">
      <alignment horizontal="center" vertical="top"/>
    </xf>
    <xf numFmtId="0" fontId="2" fillId="41" borderId="16" xfId="0" applyFont="1" applyFill="1" applyBorder="1" applyAlignment="1">
      <alignment horizontal="center" vertical="top"/>
    </xf>
    <xf numFmtId="0" fontId="2" fillId="39" borderId="0" xfId="0" applyFont="1" applyFill="1" applyAlignment="1">
      <alignment horizontal="right"/>
    </xf>
    <xf numFmtId="14" fontId="2" fillId="28" borderId="141" xfId="0" applyNumberFormat="1" applyFont="1" applyFill="1" applyBorder="1" applyAlignment="1" applyProtection="1">
      <alignment horizontal="center" vertical="top"/>
      <protection locked="0"/>
    </xf>
    <xf numFmtId="14" fontId="2" fillId="28" borderId="142" xfId="0" applyNumberFormat="1" applyFont="1" applyFill="1" applyBorder="1" applyAlignment="1" applyProtection="1">
      <alignment horizontal="center" vertical="top"/>
      <protection locked="0"/>
    </xf>
    <xf numFmtId="14" fontId="2" fillId="28" borderId="33" xfId="0" applyNumberFormat="1" applyFont="1" applyFill="1" applyBorder="1" applyAlignment="1" applyProtection="1">
      <alignment horizontal="center" vertical="top"/>
      <protection locked="0"/>
    </xf>
    <xf numFmtId="14" fontId="2" fillId="28" borderId="35" xfId="0" applyNumberFormat="1" applyFont="1" applyFill="1" applyBorder="1" applyAlignment="1" applyProtection="1">
      <alignment horizontal="center" vertical="top"/>
      <protection locked="0"/>
    </xf>
    <xf numFmtId="14" fontId="2" fillId="28" borderId="93" xfId="0" applyNumberFormat="1" applyFont="1" applyFill="1" applyBorder="1" applyAlignment="1" applyProtection="1">
      <alignment horizontal="left" vertical="top"/>
      <protection locked="0"/>
    </xf>
    <xf numFmtId="14" fontId="2" fillId="28" borderId="52" xfId="0" applyNumberFormat="1" applyFont="1" applyFill="1" applyBorder="1" applyAlignment="1" applyProtection="1">
      <alignment horizontal="left" vertical="top"/>
      <protection locked="0"/>
    </xf>
    <xf numFmtId="14" fontId="2" fillId="28" borderId="143" xfId="0" applyNumberFormat="1" applyFont="1" applyFill="1" applyBorder="1" applyAlignment="1" applyProtection="1">
      <alignment horizontal="center" vertical="top"/>
      <protection locked="0"/>
    </xf>
    <xf numFmtId="14" fontId="2" fillId="28" borderId="122" xfId="0" applyNumberFormat="1" applyFont="1" applyFill="1" applyBorder="1" applyAlignment="1" applyProtection="1">
      <alignment horizontal="center" vertical="top"/>
      <protection locked="0"/>
    </xf>
    <xf numFmtId="14" fontId="2" fillId="28" borderId="133" xfId="0" applyNumberFormat="1" applyFont="1" applyFill="1" applyBorder="1" applyAlignment="1" applyProtection="1">
      <alignment horizontal="left" vertical="top"/>
      <protection locked="0"/>
    </xf>
    <xf numFmtId="0" fontId="4" fillId="0" borderId="74" xfId="0" applyFont="1" applyBorder="1" applyAlignment="1">
      <alignment wrapText="1"/>
    </xf>
    <xf numFmtId="0" fontId="4" fillId="0" borderId="75" xfId="0" applyFont="1" applyBorder="1" applyAlignment="1">
      <alignment wrapText="1"/>
    </xf>
    <xf numFmtId="0" fontId="4" fillId="0" borderId="77" xfId="0" applyFont="1" applyBorder="1" applyAlignment="1">
      <alignment wrapText="1"/>
    </xf>
    <xf numFmtId="0" fontId="37" fillId="28" borderId="141" xfId="0" applyFont="1" applyFill="1" applyBorder="1" applyAlignment="1" applyProtection="1">
      <alignment horizontal="center" vertical="top"/>
      <protection locked="0"/>
    </xf>
    <xf numFmtId="0" fontId="37" fillId="28" borderId="144" xfId="0" applyFont="1" applyFill="1" applyBorder="1" applyAlignment="1" applyProtection="1">
      <alignment horizontal="center" vertical="top"/>
      <protection locked="0"/>
    </xf>
    <xf numFmtId="0" fontId="37" fillId="28" borderId="142" xfId="0" applyFont="1" applyFill="1" applyBorder="1" applyAlignment="1" applyProtection="1">
      <alignment horizontal="center" vertical="top"/>
      <protection locked="0"/>
    </xf>
    <xf numFmtId="0" fontId="37" fillId="28" borderId="143" xfId="0" applyFont="1" applyFill="1" applyBorder="1" applyAlignment="1" applyProtection="1">
      <alignment horizontal="center" vertical="top"/>
      <protection locked="0"/>
    </xf>
    <xf numFmtId="0" fontId="37" fillId="27" borderId="141" xfId="0" applyFont="1" applyFill="1" applyBorder="1" applyAlignment="1">
      <alignment horizontal="center" vertical="top"/>
    </xf>
    <xf numFmtId="0" fontId="37" fillId="27" borderId="142" xfId="0" applyFont="1" applyFill="1" applyBorder="1" applyAlignment="1">
      <alignment horizontal="center" vertical="top"/>
    </xf>
    <xf numFmtId="0" fontId="37" fillId="27" borderId="143" xfId="0" applyFont="1" applyFill="1" applyBorder="1" applyAlignment="1">
      <alignment horizontal="center" vertical="top"/>
    </xf>
    <xf numFmtId="0" fontId="4" fillId="25" borderId="74" xfId="0" applyFont="1" applyFill="1" applyBorder="1" applyAlignment="1">
      <alignment horizontal="center" wrapText="1"/>
    </xf>
    <xf numFmtId="0" fontId="37" fillId="25" borderId="141" xfId="0" applyFont="1" applyFill="1" applyBorder="1" applyAlignment="1">
      <alignment horizontal="center" vertical="top"/>
    </xf>
    <xf numFmtId="0" fontId="37" fillId="25" borderId="142" xfId="0" applyFont="1" applyFill="1" applyBorder="1" applyAlignment="1">
      <alignment horizontal="center" vertical="top"/>
    </xf>
    <xf numFmtId="0" fontId="37" fillId="25" borderId="143" xfId="0" applyFont="1" applyFill="1" applyBorder="1" applyAlignment="1">
      <alignment horizontal="center" vertical="top"/>
    </xf>
    <xf numFmtId="0" fontId="54" fillId="25" borderId="74" xfId="0" applyFont="1" applyFill="1" applyBorder="1" applyAlignment="1">
      <alignment wrapText="1"/>
    </xf>
    <xf numFmtId="3" fontId="37" fillId="28" borderId="67" xfId="0" applyNumberFormat="1" applyFont="1" applyFill="1" applyBorder="1" applyAlignment="1" applyProtection="1">
      <alignment vertical="top"/>
      <protection locked="0"/>
    </xf>
    <xf numFmtId="3" fontId="37" fillId="28" borderId="49" xfId="0" applyNumberFormat="1" applyFont="1" applyFill="1" applyBorder="1" applyAlignment="1" applyProtection="1">
      <alignment vertical="top"/>
      <protection locked="0"/>
    </xf>
    <xf numFmtId="0" fontId="37" fillId="41" borderId="16" xfId="0" applyFont="1" applyFill="1" applyBorder="1" applyAlignment="1">
      <alignment vertical="top" wrapText="1"/>
    </xf>
    <xf numFmtId="0" fontId="0" fillId="41" borderId="0" xfId="0" applyFill="1" applyAlignment="1">
      <alignment horizontal="center"/>
    </xf>
    <xf numFmtId="0" fontId="37" fillId="40" borderId="15" xfId="0" applyFont="1" applyFill="1" applyBorder="1" applyAlignment="1">
      <alignment horizontal="center" vertical="top"/>
    </xf>
    <xf numFmtId="0" fontId="37" fillId="40" borderId="16" xfId="0" applyFont="1" applyFill="1" applyBorder="1" applyAlignment="1">
      <alignment horizontal="center" vertical="top"/>
    </xf>
    <xf numFmtId="0" fontId="2" fillId="42" borderId="14" xfId="0" applyFont="1" applyFill="1" applyBorder="1" applyAlignment="1" applyProtection="1">
      <alignment horizontal="center" vertical="top"/>
      <protection locked="0"/>
    </xf>
    <xf numFmtId="14" fontId="2" fillId="45" borderId="13" xfId="0" applyNumberFormat="1" applyFont="1" applyFill="1" applyBorder="1" applyAlignment="1" applyProtection="1">
      <alignment horizontal="left" vertical="top"/>
      <protection locked="0"/>
    </xf>
    <xf numFmtId="0" fontId="2" fillId="39" borderId="0" xfId="0" applyFont="1" applyFill="1" applyAlignment="1">
      <alignment horizontal="right" vertical="top"/>
    </xf>
    <xf numFmtId="0" fontId="4" fillId="25" borderId="0" xfId="0" applyFont="1" applyFill="1" applyAlignment="1">
      <alignment horizontal="center" vertical="center"/>
    </xf>
    <xf numFmtId="0" fontId="2" fillId="44" borderId="13" xfId="0" applyFont="1" applyFill="1" applyBorder="1" applyAlignment="1">
      <alignment vertical="top"/>
    </xf>
    <xf numFmtId="164" fontId="37" fillId="45" borderId="13" xfId="0" applyNumberFormat="1" applyFont="1" applyFill="1" applyBorder="1" applyAlignment="1" applyProtection="1">
      <alignment vertical="top"/>
      <protection locked="0"/>
    </xf>
    <xf numFmtId="164" fontId="37" fillId="45" borderId="58" xfId="0" applyNumberFormat="1" applyFont="1" applyFill="1" applyBorder="1" applyAlignment="1" applyProtection="1">
      <alignment vertical="top"/>
      <protection locked="0"/>
    </xf>
    <xf numFmtId="0" fontId="37" fillId="24" borderId="18" xfId="0" applyFont="1" applyFill="1" applyBorder="1" applyAlignment="1">
      <alignment vertical="top"/>
    </xf>
    <xf numFmtId="174" fontId="2" fillId="40" borderId="13" xfId="0" applyNumberFormat="1" applyFont="1" applyFill="1" applyBorder="1" applyAlignment="1">
      <alignment vertical="center" shrinkToFit="1"/>
    </xf>
    <xf numFmtId="166" fontId="2" fillId="40" borderId="13" xfId="0" applyNumberFormat="1" applyFont="1" applyFill="1" applyBorder="1" applyAlignment="1">
      <alignment vertical="center"/>
    </xf>
    <xf numFmtId="166" fontId="2" fillId="40" borderId="67" xfId="0" applyNumberFormat="1" applyFont="1" applyFill="1" applyBorder="1" applyAlignment="1">
      <alignment vertical="center"/>
    </xf>
    <xf numFmtId="166" fontId="37" fillId="40" borderId="49" xfId="0" applyNumberFormat="1" applyFont="1" applyFill="1" applyBorder="1" applyAlignment="1">
      <alignment vertical="center"/>
    </xf>
    <xf numFmtId="166" fontId="37" fillId="40" borderId="13" xfId="0" applyNumberFormat="1" applyFont="1" applyFill="1" applyBorder="1" applyAlignment="1">
      <alignment vertical="center"/>
    </xf>
    <xf numFmtId="0" fontId="2" fillId="39" borderId="0" xfId="0" applyFont="1" applyFill="1" applyAlignment="1">
      <alignment horizontal="center" vertical="top"/>
    </xf>
    <xf numFmtId="0" fontId="37" fillId="25" borderId="57" xfId="0" applyFont="1" applyFill="1" applyBorder="1" applyAlignment="1">
      <alignment vertical="top"/>
    </xf>
    <xf numFmtId="0" fontId="37" fillId="25" borderId="30" xfId="0" applyFont="1" applyFill="1" applyBorder="1" applyAlignment="1">
      <alignment vertical="top"/>
    </xf>
    <xf numFmtId="0" fontId="37" fillId="25" borderId="38" xfId="0" applyFont="1" applyFill="1" applyBorder="1" applyAlignment="1">
      <alignment vertical="top"/>
    </xf>
    <xf numFmtId="0" fontId="0" fillId="25" borderId="38" xfId="0" applyFill="1" applyBorder="1"/>
    <xf numFmtId="0" fontId="37" fillId="25" borderId="65" xfId="0" applyFont="1" applyFill="1" applyBorder="1" applyAlignment="1">
      <alignment vertical="top"/>
    </xf>
    <xf numFmtId="0" fontId="37" fillId="25" borderId="39" xfId="0" applyFont="1" applyFill="1" applyBorder="1" applyAlignment="1">
      <alignment vertical="top"/>
    </xf>
    <xf numFmtId="0" fontId="37" fillId="25" borderId="40" xfId="0" applyFont="1" applyFill="1" applyBorder="1" applyAlignment="1">
      <alignment vertical="top"/>
    </xf>
    <xf numFmtId="0" fontId="41" fillId="25" borderId="0" xfId="0" applyFont="1" applyFill="1" applyAlignment="1">
      <alignment vertical="top" wrapText="1"/>
    </xf>
    <xf numFmtId="0" fontId="2" fillId="39" borderId="10" xfId="0" applyFont="1" applyFill="1" applyBorder="1" applyAlignment="1">
      <alignment horizontal="center" vertical="top" wrapText="1"/>
    </xf>
    <xf numFmtId="0" fontId="37" fillId="39" borderId="73" xfId="0" applyFont="1" applyFill="1" applyBorder="1" applyAlignment="1">
      <alignment horizontal="left" vertical="top"/>
    </xf>
    <xf numFmtId="0" fontId="37" fillId="39" borderId="95" xfId="0" applyFont="1" applyFill="1" applyBorder="1" applyAlignment="1">
      <alignment horizontal="left" vertical="top"/>
    </xf>
    <xf numFmtId="0" fontId="37" fillId="39" borderId="68" xfId="0" applyFont="1" applyFill="1" applyBorder="1" applyAlignment="1">
      <alignment horizontal="left" vertical="top"/>
    </xf>
    <xf numFmtId="0" fontId="37" fillId="40" borderId="62" xfId="0" applyFont="1" applyFill="1" applyBorder="1" applyAlignment="1">
      <alignment horizontal="center"/>
    </xf>
    <xf numFmtId="4" fontId="37" fillId="24" borderId="71" xfId="0" applyNumberFormat="1" applyFont="1" applyFill="1" applyBorder="1" applyAlignment="1">
      <alignment vertical="top"/>
    </xf>
    <xf numFmtId="0" fontId="2" fillId="45" borderId="13" xfId="0" applyFont="1" applyFill="1" applyBorder="1" applyAlignment="1" applyProtection="1">
      <alignment horizontal="left" vertical="top"/>
      <protection locked="0"/>
    </xf>
    <xf numFmtId="0" fontId="0" fillId="40" borderId="63" xfId="0" applyFill="1" applyBorder="1" applyAlignment="1">
      <alignment horizontal="center"/>
    </xf>
    <xf numFmtId="0" fontId="0" fillId="40" borderId="64" xfId="0" applyFill="1" applyBorder="1" applyAlignment="1">
      <alignment horizontal="center"/>
    </xf>
    <xf numFmtId="0" fontId="0" fillId="0" borderId="62" xfId="0" applyBorder="1" applyAlignment="1">
      <alignment horizontal="center"/>
    </xf>
    <xf numFmtId="0" fontId="0" fillId="0" borderId="63" xfId="0" applyBorder="1" applyAlignment="1">
      <alignment horizontal="center"/>
    </xf>
    <xf numFmtId="0" fontId="0" fillId="0" borderId="64" xfId="0" applyBorder="1" applyAlignment="1">
      <alignment horizontal="center"/>
    </xf>
    <xf numFmtId="164" fontId="2" fillId="27" borderId="92" xfId="0" applyNumberFormat="1" applyFont="1" applyFill="1" applyBorder="1" applyAlignment="1">
      <alignment horizontal="right" vertical="top"/>
    </xf>
    <xf numFmtId="164" fontId="2" fillId="27" borderId="26" xfId="0" applyNumberFormat="1" applyFont="1" applyFill="1" applyBorder="1" applyAlignment="1">
      <alignment horizontal="right" vertical="top"/>
    </xf>
    <xf numFmtId="164" fontId="2" fillId="27" borderId="69" xfId="0" applyNumberFormat="1" applyFont="1" applyFill="1" applyBorder="1" applyAlignment="1">
      <alignment horizontal="right" vertical="top"/>
    </xf>
    <xf numFmtId="164" fontId="2" fillId="27" borderId="60" xfId="0" applyNumberFormat="1" applyFont="1" applyFill="1" applyBorder="1" applyAlignment="1">
      <alignment horizontal="right" vertical="top"/>
    </xf>
    <xf numFmtId="165" fontId="2" fillId="27" borderId="62" xfId="0" applyNumberFormat="1" applyFont="1" applyFill="1" applyBorder="1" applyAlignment="1">
      <alignment vertical="top"/>
    </xf>
    <xf numFmtId="0" fontId="2" fillId="41" borderId="22" xfId="0" applyFont="1" applyFill="1" applyBorder="1" applyAlignment="1">
      <alignment horizontal="center" vertical="top"/>
    </xf>
    <xf numFmtId="165" fontId="2" fillId="27" borderId="89" xfId="0" applyNumberFormat="1" applyFont="1" applyFill="1" applyBorder="1" applyAlignment="1">
      <alignment vertical="top"/>
    </xf>
    <xf numFmtId="0" fontId="2" fillId="41" borderId="24" xfId="0" applyFont="1" applyFill="1" applyBorder="1" applyAlignment="1">
      <alignment horizontal="center" vertical="top"/>
    </xf>
    <xf numFmtId="165" fontId="2" fillId="27" borderId="64" xfId="0" applyNumberFormat="1" applyFont="1" applyFill="1" applyBorder="1" applyAlignment="1">
      <alignment vertical="top"/>
    </xf>
    <xf numFmtId="0" fontId="2" fillId="41" borderId="104" xfId="0" applyFont="1" applyFill="1" applyBorder="1" applyAlignment="1">
      <alignment horizontal="center" vertical="top"/>
    </xf>
    <xf numFmtId="165" fontId="2" fillId="27" borderId="92" xfId="0" applyNumberFormat="1" applyFont="1" applyFill="1" applyBorder="1" applyAlignment="1">
      <alignment vertical="top"/>
    </xf>
    <xf numFmtId="0" fontId="2" fillId="41" borderId="20" xfId="0" applyFont="1" applyFill="1" applyBorder="1" applyAlignment="1">
      <alignment horizontal="center" vertical="top"/>
    </xf>
    <xf numFmtId="165" fontId="2" fillId="27" borderId="63" xfId="0" applyNumberFormat="1" applyFont="1" applyFill="1" applyBorder="1" applyAlignment="1">
      <alignment vertical="top"/>
    </xf>
    <xf numFmtId="0" fontId="2" fillId="41" borderId="48" xfId="0" applyFont="1" applyFill="1" applyBorder="1" applyAlignment="1">
      <alignment horizontal="center" vertical="top"/>
    </xf>
    <xf numFmtId="165" fontId="2" fillId="27" borderId="53" xfId="0" applyNumberFormat="1" applyFont="1" applyFill="1" applyBorder="1" applyAlignment="1">
      <alignment vertical="top"/>
    </xf>
    <xf numFmtId="0" fontId="2" fillId="41" borderId="23" xfId="0" applyFont="1" applyFill="1" applyBorder="1" applyAlignment="1">
      <alignment horizontal="center" vertical="top"/>
    </xf>
    <xf numFmtId="171" fontId="2" fillId="27" borderId="62" xfId="0" applyNumberFormat="1" applyFont="1" applyFill="1" applyBorder="1" applyAlignment="1">
      <alignment vertical="top"/>
    </xf>
    <xf numFmtId="171" fontId="2" fillId="27" borderId="64" xfId="0" applyNumberFormat="1" applyFont="1" applyFill="1" applyBorder="1" applyAlignment="1">
      <alignment vertical="top"/>
    </xf>
    <xf numFmtId="10" fontId="2" fillId="40" borderId="62" xfId="0" applyNumberFormat="1" applyFont="1" applyFill="1" applyBorder="1" applyAlignment="1">
      <alignment vertical="top"/>
    </xf>
    <xf numFmtId="10" fontId="2" fillId="40" borderId="64" xfId="0" applyNumberFormat="1" applyFont="1" applyFill="1" applyBorder="1" applyAlignment="1">
      <alignment vertical="top"/>
    </xf>
    <xf numFmtId="0" fontId="2" fillId="41" borderId="25" xfId="0" applyFont="1" applyFill="1" applyBorder="1" applyAlignment="1">
      <alignment horizontal="center" vertical="top"/>
    </xf>
    <xf numFmtId="0" fontId="2" fillId="25" borderId="17" xfId="0" applyFont="1" applyFill="1" applyBorder="1" applyAlignment="1">
      <alignment horizontal="right" vertical="top"/>
    </xf>
    <xf numFmtId="10" fontId="2" fillId="40" borderId="13" xfId="0" applyNumberFormat="1" applyFont="1" applyFill="1" applyBorder="1" applyAlignment="1">
      <alignment vertical="top"/>
    </xf>
    <xf numFmtId="0" fontId="2" fillId="25" borderId="21" xfId="0" applyFont="1" applyFill="1" applyBorder="1" applyAlignment="1">
      <alignment horizontal="center" vertical="top"/>
    </xf>
    <xf numFmtId="0" fontId="2" fillId="25" borderId="41" xfId="0" applyFont="1" applyFill="1" applyBorder="1" applyAlignment="1">
      <alignment horizontal="center" vertical="top"/>
    </xf>
    <xf numFmtId="0" fontId="2" fillId="25" borderId="120" xfId="0" applyFont="1" applyFill="1" applyBorder="1" applyAlignment="1">
      <alignment horizontal="center" vertical="top"/>
    </xf>
    <xf numFmtId="165" fontId="2" fillId="40" borderId="62" xfId="0" applyNumberFormat="1" applyFont="1" applyFill="1" applyBorder="1" applyAlignment="1">
      <alignment vertical="top"/>
    </xf>
    <xf numFmtId="165" fontId="2" fillId="40" borderId="63" xfId="0" applyNumberFormat="1" applyFont="1" applyFill="1" applyBorder="1" applyAlignment="1">
      <alignment vertical="top"/>
    </xf>
    <xf numFmtId="165" fontId="2" fillId="40" borderId="64" xfId="0" applyNumberFormat="1" applyFont="1" applyFill="1" applyBorder="1" applyAlignment="1">
      <alignment vertical="top"/>
    </xf>
    <xf numFmtId="165" fontId="2" fillId="40" borderId="19" xfId="0" applyNumberFormat="1" applyFont="1" applyFill="1" applyBorder="1" applyAlignment="1">
      <alignment vertical="top"/>
    </xf>
    <xf numFmtId="165" fontId="2" fillId="40" borderId="20" xfId="0" applyNumberFormat="1" applyFont="1" applyFill="1" applyBorder="1" applyAlignment="1">
      <alignment vertical="top"/>
    </xf>
    <xf numFmtId="165" fontId="2" fillId="40" borderId="23" xfId="0" applyNumberFormat="1" applyFont="1" applyFill="1" applyBorder="1" applyAlignment="1">
      <alignment vertical="top"/>
    </xf>
    <xf numFmtId="165" fontId="2" fillId="27" borderId="26" xfId="0" applyNumberFormat="1" applyFont="1" applyFill="1" applyBorder="1" applyAlignment="1">
      <alignment vertical="top"/>
    </xf>
    <xf numFmtId="4" fontId="2" fillId="27" borderId="13" xfId="84" applyNumberFormat="1" applyFont="1" applyFill="1" applyBorder="1" applyAlignment="1" applyProtection="1">
      <alignment vertical="top"/>
    </xf>
    <xf numFmtId="165" fontId="2" fillId="27" borderId="13" xfId="84" applyNumberFormat="1" applyFont="1" applyFill="1" applyBorder="1" applyAlignment="1" applyProtection="1">
      <alignment vertical="top"/>
    </xf>
    <xf numFmtId="4" fontId="2" fillId="40" borderId="89" xfId="0" applyNumberFormat="1" applyFont="1" applyFill="1" applyBorder="1" applyAlignment="1">
      <alignment vertical="top"/>
    </xf>
    <xf numFmtId="165" fontId="2" fillId="40" borderId="89" xfId="0" applyNumberFormat="1" applyFont="1" applyFill="1" applyBorder="1" applyAlignment="1">
      <alignment vertical="top"/>
    </xf>
    <xf numFmtId="4" fontId="2" fillId="27" borderId="11" xfId="0" applyNumberFormat="1" applyFont="1" applyFill="1" applyBorder="1" applyAlignment="1">
      <alignment vertical="top"/>
    </xf>
    <xf numFmtId="0" fontId="2" fillId="25" borderId="99" xfId="0" applyFont="1" applyFill="1" applyBorder="1"/>
    <xf numFmtId="165" fontId="2" fillId="40" borderId="11" xfId="0" applyNumberFormat="1" applyFont="1" applyFill="1" applyBorder="1" applyAlignment="1">
      <alignment vertical="top"/>
    </xf>
    <xf numFmtId="0" fontId="2" fillId="27" borderId="67" xfId="0" applyFont="1" applyFill="1" applyBorder="1" applyAlignment="1">
      <alignment horizontal="right" vertical="top"/>
    </xf>
    <xf numFmtId="166" fontId="2" fillId="27" borderId="110" xfId="0" applyNumberFormat="1" applyFont="1" applyFill="1" applyBorder="1" applyAlignment="1">
      <alignment horizontal="right" vertical="top" indent="1"/>
    </xf>
    <xf numFmtId="0" fontId="2" fillId="41" borderId="26" xfId="0" applyFont="1" applyFill="1" applyBorder="1" applyAlignment="1">
      <alignment vertical="top"/>
    </xf>
    <xf numFmtId="166" fontId="2" fillId="27" borderId="13" xfId="0" applyNumberFormat="1" applyFont="1" applyFill="1" applyBorder="1" applyAlignment="1">
      <alignment vertical="top"/>
    </xf>
    <xf numFmtId="166" fontId="2" fillId="27" borderId="111" xfId="0" applyNumberFormat="1" applyFont="1" applyFill="1" applyBorder="1" applyAlignment="1">
      <alignment horizontal="right" vertical="top" indent="1"/>
    </xf>
    <xf numFmtId="0" fontId="4" fillId="25" borderId="13" xfId="0" applyFont="1" applyFill="1" applyBorder="1" applyAlignment="1">
      <alignment horizontal="center" vertical="top"/>
    </xf>
    <xf numFmtId="0" fontId="2" fillId="25" borderId="0" xfId="0" applyFont="1" applyFill="1" applyAlignment="1">
      <alignment horizontal="right" vertical="top" wrapText="1"/>
    </xf>
    <xf numFmtId="0" fontId="2" fillId="27" borderId="96" xfId="0" applyFont="1" applyFill="1" applyBorder="1" applyAlignment="1">
      <alignment vertical="top"/>
    </xf>
    <xf numFmtId="0" fontId="2" fillId="43" borderId="19" xfId="0" applyFont="1" applyFill="1" applyBorder="1" applyAlignment="1">
      <alignment horizontal="center" vertical="top"/>
    </xf>
    <xf numFmtId="0" fontId="2" fillId="41" borderId="0" xfId="87" applyFill="1" applyAlignment="1">
      <alignment vertical="top"/>
    </xf>
    <xf numFmtId="0" fontId="2" fillId="0" borderId="0" xfId="87" applyAlignment="1">
      <alignment vertical="top"/>
    </xf>
    <xf numFmtId="0" fontId="2" fillId="41" borderId="0" xfId="87" applyFill="1" applyAlignment="1">
      <alignment vertical="top" wrapText="1"/>
    </xf>
    <xf numFmtId="0" fontId="2" fillId="41" borderId="0" xfId="87" applyFill="1" applyAlignment="1">
      <alignment vertical="center"/>
    </xf>
    <xf numFmtId="0" fontId="2" fillId="25" borderId="28" xfId="0" applyFont="1" applyFill="1" applyBorder="1" applyAlignment="1">
      <alignment horizontal="center" vertical="top"/>
    </xf>
    <xf numFmtId="164" fontId="2" fillId="27" borderId="71" xfId="0" applyNumberFormat="1" applyFont="1" applyFill="1" applyBorder="1" applyAlignment="1">
      <alignment vertical="top"/>
    </xf>
    <xf numFmtId="0" fontId="4" fillId="25" borderId="145" xfId="0" applyFont="1" applyFill="1" applyBorder="1" applyAlignment="1">
      <alignment horizontal="center" vertical="top"/>
    </xf>
    <xf numFmtId="0" fontId="4" fillId="25" borderId="108" xfId="0" applyFont="1" applyFill="1" applyBorder="1" applyAlignment="1">
      <alignment horizontal="center" vertical="top"/>
    </xf>
    <xf numFmtId="164" fontId="81" fillId="27" borderId="146" xfId="0" applyNumberFormat="1" applyFont="1" applyFill="1" applyBorder="1" applyAlignment="1">
      <alignment horizontal="right" vertical="top"/>
    </xf>
    <xf numFmtId="164" fontId="81" fillId="27" borderId="143" xfId="0" applyNumberFormat="1" applyFont="1" applyFill="1" applyBorder="1" applyAlignment="1">
      <alignment horizontal="right" vertical="top"/>
    </xf>
    <xf numFmtId="164" fontId="81" fillId="27" borderId="141" xfId="0" applyNumberFormat="1" applyFont="1" applyFill="1" applyBorder="1" applyAlignment="1">
      <alignment horizontal="right" vertical="top"/>
    </xf>
    <xf numFmtId="171" fontId="81" fillId="27" borderId="141" xfId="0" applyNumberFormat="1" applyFont="1" applyFill="1" applyBorder="1" applyAlignment="1">
      <alignment horizontal="right" vertical="top"/>
    </xf>
    <xf numFmtId="171" fontId="81" fillId="27" borderId="145" xfId="0" applyNumberFormat="1" applyFont="1" applyFill="1" applyBorder="1" applyAlignment="1">
      <alignment horizontal="right" vertical="top"/>
    </xf>
    <xf numFmtId="164" fontId="81" fillId="40" borderId="95" xfId="0" applyNumberFormat="1" applyFont="1" applyFill="1" applyBorder="1" applyAlignment="1">
      <alignment horizontal="right" vertical="top"/>
    </xf>
    <xf numFmtId="0" fontId="41" fillId="25" borderId="139" xfId="0" applyFont="1" applyFill="1" applyBorder="1" applyAlignment="1">
      <alignment horizontal="left" vertical="top" wrapText="1"/>
    </xf>
    <xf numFmtId="0" fontId="2" fillId="39" borderId="0" xfId="87" applyFill="1" applyAlignment="1">
      <alignment vertical="top"/>
    </xf>
    <xf numFmtId="0" fontId="2" fillId="39" borderId="0" xfId="87" applyFill="1" applyAlignment="1">
      <alignment vertical="top" wrapText="1"/>
    </xf>
    <xf numFmtId="0" fontId="2" fillId="39" borderId="0" xfId="87" applyFill="1" applyAlignment="1">
      <alignment vertical="center"/>
    </xf>
    <xf numFmtId="0" fontId="85" fillId="25" borderId="0" xfId="0" applyFont="1" applyFill="1" applyAlignment="1">
      <alignment horizontal="center" vertical="center" wrapText="1"/>
    </xf>
    <xf numFmtId="0" fontId="2" fillId="41" borderId="14" xfId="0" applyFont="1" applyFill="1" applyBorder="1" applyAlignment="1">
      <alignment horizontal="left" vertical="top"/>
    </xf>
    <xf numFmtId="0" fontId="10" fillId="43" borderId="0" xfId="0" quotePrefix="1" applyFont="1" applyFill="1" applyAlignment="1">
      <alignment horizontal="left" vertical="top" wrapText="1"/>
    </xf>
    <xf numFmtId="0" fontId="4" fillId="39" borderId="0" xfId="0" applyFont="1" applyFill="1" applyAlignment="1">
      <alignment horizontal="left" vertical="top"/>
    </xf>
    <xf numFmtId="0" fontId="86" fillId="25" borderId="0" xfId="0" applyFont="1" applyFill="1"/>
    <xf numFmtId="0" fontId="86" fillId="25" borderId="38" xfId="0" applyFont="1" applyFill="1" applyBorder="1"/>
    <xf numFmtId="0" fontId="41" fillId="41" borderId="139" xfId="0" quotePrefix="1" applyFont="1" applyFill="1" applyBorder="1" applyAlignment="1">
      <alignment horizontal="right" vertical="top" wrapText="1"/>
    </xf>
    <xf numFmtId="0" fontId="41" fillId="41" borderId="17" xfId="0" quotePrefix="1" applyFont="1" applyFill="1" applyBorder="1" applyAlignment="1">
      <alignment horizontal="right" vertical="top" wrapText="1"/>
    </xf>
    <xf numFmtId="0" fontId="10" fillId="41" borderId="147" xfId="0" applyFont="1" applyFill="1" applyBorder="1" applyAlignment="1">
      <alignment horizontal="left" vertical="top" wrapText="1"/>
    </xf>
    <xf numFmtId="164" fontId="81" fillId="40" borderId="49" xfId="0" applyNumberFormat="1" applyFont="1" applyFill="1" applyBorder="1" applyAlignment="1">
      <alignment horizontal="right" vertical="top"/>
    </xf>
    <xf numFmtId="0" fontId="2" fillId="24" borderId="43" xfId="0" applyFont="1" applyFill="1" applyBorder="1" applyAlignment="1">
      <alignment vertical="top"/>
    </xf>
    <xf numFmtId="0" fontId="2" fillId="24" borderId="71" xfId="0" applyFont="1" applyFill="1" applyBorder="1" applyAlignment="1">
      <alignment vertical="top"/>
    </xf>
    <xf numFmtId="0" fontId="2" fillId="24" borderId="72" xfId="0" applyFont="1" applyFill="1" applyBorder="1" applyAlignment="1">
      <alignment vertical="top"/>
    </xf>
    <xf numFmtId="14" fontId="2" fillId="40" borderId="13" xfId="0" applyNumberFormat="1" applyFont="1" applyFill="1" applyBorder="1" applyAlignment="1">
      <alignment horizontal="left" vertical="top"/>
    </xf>
    <xf numFmtId="0" fontId="81" fillId="51" borderId="143" xfId="0" applyFont="1" applyFill="1" applyBorder="1" applyAlignment="1">
      <alignment horizontal="center" vertical="top"/>
    </xf>
    <xf numFmtId="0" fontId="81" fillId="51" borderId="141" xfId="0" applyFont="1" applyFill="1" applyBorder="1" applyAlignment="1">
      <alignment horizontal="center" vertical="top"/>
    </xf>
    <xf numFmtId="0" fontId="81" fillId="51" borderId="144" xfId="0" applyFont="1" applyFill="1" applyBorder="1" applyAlignment="1">
      <alignment horizontal="center" vertical="top"/>
    </xf>
    <xf numFmtId="0" fontId="81" fillId="51" borderId="142" xfId="0" applyFont="1" applyFill="1" applyBorder="1" applyAlignment="1">
      <alignment horizontal="center" vertical="top"/>
    </xf>
    <xf numFmtId="0" fontId="2" fillId="39" borderId="0" xfId="0" applyFont="1" applyFill="1" applyAlignment="1">
      <alignment horizontal="center"/>
    </xf>
    <xf numFmtId="14" fontId="37" fillId="0" borderId="0" xfId="0" applyNumberFormat="1" applyFont="1" applyAlignment="1">
      <alignment vertical="top"/>
    </xf>
    <xf numFmtId="0" fontId="2" fillId="25" borderId="11" xfId="0" applyFont="1" applyFill="1" applyBorder="1" applyAlignment="1">
      <alignment horizontal="center" wrapText="1"/>
    </xf>
    <xf numFmtId="0" fontId="2" fillId="41" borderId="11" xfId="0" applyFont="1" applyFill="1" applyBorder="1" applyAlignment="1">
      <alignment horizontal="center" wrapText="1"/>
    </xf>
    <xf numFmtId="0" fontId="2" fillId="41" borderId="11" xfId="0" applyFont="1" applyFill="1" applyBorder="1" applyAlignment="1">
      <alignment horizontal="center"/>
    </xf>
    <xf numFmtId="0" fontId="2" fillId="25" borderId="11" xfId="0" quotePrefix="1" applyFont="1" applyFill="1" applyBorder="1" applyAlignment="1">
      <alignment horizontal="center"/>
    </xf>
    <xf numFmtId="169" fontId="37" fillId="27" borderId="67" xfId="84" applyNumberFormat="1" applyFont="1" applyFill="1" applyBorder="1" applyAlignment="1" applyProtection="1">
      <alignment vertical="top"/>
    </xf>
    <xf numFmtId="169" fontId="37" fillId="27" borderId="49" xfId="84" applyNumberFormat="1" applyFont="1" applyFill="1" applyBorder="1" applyAlignment="1" applyProtection="1">
      <alignment horizontal="right" vertical="top"/>
    </xf>
    <xf numFmtId="169" fontId="37" fillId="27" borderId="67" xfId="84" applyNumberFormat="1" applyFont="1" applyFill="1" applyBorder="1" applyAlignment="1" applyProtection="1">
      <alignment horizontal="right" vertical="top"/>
    </xf>
    <xf numFmtId="169" fontId="37" fillId="27" borderId="13" xfId="84" applyNumberFormat="1" applyFont="1" applyFill="1" applyBorder="1" applyAlignment="1" applyProtection="1">
      <alignment horizontal="right" vertical="top"/>
    </xf>
    <xf numFmtId="0" fontId="2" fillId="41" borderId="15" xfId="0" applyFont="1" applyFill="1" applyBorder="1" applyAlignment="1">
      <alignment horizontal="center" vertical="top"/>
    </xf>
    <xf numFmtId="0" fontId="2" fillId="40" borderId="25" xfId="0" applyFont="1" applyFill="1" applyBorder="1" applyAlignment="1">
      <alignment horizontal="center" vertical="center"/>
    </xf>
    <xf numFmtId="0" fontId="37" fillId="44" borderId="11" xfId="0" applyFont="1" applyFill="1" applyBorder="1" applyAlignment="1">
      <alignment horizontal="center" vertical="top"/>
    </xf>
    <xf numFmtId="0" fontId="2" fillId="39" borderId="0" xfId="0" applyFont="1" applyFill="1" applyAlignment="1">
      <alignment horizontal="right" vertical="top" wrapText="1"/>
    </xf>
    <xf numFmtId="3" fontId="0" fillId="40" borderId="62" xfId="0" applyNumberFormat="1" applyFill="1" applyBorder="1" applyAlignment="1">
      <alignment horizontal="center" shrinkToFit="1"/>
    </xf>
    <xf numFmtId="4" fontId="0" fillId="40" borderId="62" xfId="0" applyNumberFormat="1" applyFill="1" applyBorder="1" applyAlignment="1">
      <alignment horizontal="center" shrinkToFit="1"/>
    </xf>
    <xf numFmtId="3" fontId="0" fillId="40" borderId="63" xfId="0" applyNumberFormat="1" applyFill="1" applyBorder="1" applyAlignment="1">
      <alignment horizontal="center" shrinkToFit="1"/>
    </xf>
    <xf numFmtId="4" fontId="0" fillId="40" borderId="63" xfId="0" applyNumberFormat="1" applyFill="1" applyBorder="1" applyAlignment="1">
      <alignment horizontal="center" shrinkToFit="1"/>
    </xf>
    <xf numFmtId="3" fontId="0" fillId="40" borderId="64" xfId="0" applyNumberFormat="1" applyFill="1" applyBorder="1" applyAlignment="1">
      <alignment horizontal="center" shrinkToFit="1"/>
    </xf>
    <xf numFmtId="4" fontId="0" fillId="40" borderId="64" xfId="0" applyNumberFormat="1" applyFill="1" applyBorder="1" applyAlignment="1">
      <alignment horizontal="center" shrinkToFit="1"/>
    </xf>
    <xf numFmtId="3" fontId="0" fillId="42" borderId="62" xfId="0" applyNumberFormat="1" applyFill="1" applyBorder="1" applyAlignment="1" applyProtection="1">
      <alignment horizontal="center" shrinkToFit="1"/>
      <protection locked="0"/>
    </xf>
    <xf numFmtId="4" fontId="0" fillId="42" borderId="62" xfId="0" applyNumberFormat="1" applyFill="1" applyBorder="1" applyAlignment="1" applyProtection="1">
      <alignment horizontal="center" shrinkToFit="1"/>
      <protection locked="0"/>
    </xf>
    <xf numFmtId="3" fontId="0" fillId="42" borderId="63" xfId="0" applyNumberFormat="1" applyFill="1" applyBorder="1" applyAlignment="1" applyProtection="1">
      <alignment horizontal="center" shrinkToFit="1"/>
      <protection locked="0"/>
    </xf>
    <xf numFmtId="4" fontId="0" fillId="42" borderId="63" xfId="0" applyNumberFormat="1" applyFill="1" applyBorder="1" applyAlignment="1" applyProtection="1">
      <alignment horizontal="center" shrinkToFit="1"/>
      <protection locked="0"/>
    </xf>
    <xf numFmtId="3" fontId="0" fillId="42" borderId="64" xfId="0" applyNumberFormat="1" applyFill="1" applyBorder="1" applyAlignment="1" applyProtection="1">
      <alignment horizontal="center" shrinkToFit="1"/>
      <protection locked="0"/>
    </xf>
    <xf numFmtId="4" fontId="0" fillId="42" borderId="64" xfId="0" applyNumberFormat="1" applyFill="1" applyBorder="1" applyAlignment="1" applyProtection="1">
      <alignment horizontal="center" shrinkToFit="1"/>
      <protection locked="0"/>
    </xf>
    <xf numFmtId="166" fontId="37" fillId="42" borderId="62" xfId="0" applyNumberFormat="1" applyFont="1" applyFill="1" applyBorder="1" applyAlignment="1" applyProtection="1">
      <alignment horizontal="center" vertical="top" shrinkToFit="1"/>
      <protection locked="0"/>
    </xf>
    <xf numFmtId="166" fontId="37" fillId="42" borderId="63" xfId="0" applyNumberFormat="1" applyFont="1" applyFill="1" applyBorder="1" applyAlignment="1" applyProtection="1">
      <alignment horizontal="center" vertical="top" shrinkToFit="1"/>
      <protection locked="0"/>
    </xf>
    <xf numFmtId="166" fontId="37" fillId="42" borderId="64" xfId="0" applyNumberFormat="1" applyFont="1" applyFill="1" applyBorder="1" applyAlignment="1" applyProtection="1">
      <alignment horizontal="center" vertical="top" shrinkToFit="1"/>
      <protection locked="0"/>
    </xf>
    <xf numFmtId="3" fontId="81" fillId="51" borderId="62" xfId="0" applyNumberFormat="1" applyFont="1" applyFill="1" applyBorder="1" applyAlignment="1">
      <alignment horizontal="center" shrinkToFit="1"/>
    </xf>
    <xf numFmtId="4" fontId="81" fillId="51" borderId="62" xfId="0" applyNumberFormat="1" applyFont="1" applyFill="1" applyBorder="1" applyAlignment="1">
      <alignment horizontal="center" shrinkToFit="1"/>
    </xf>
    <xf numFmtId="3" fontId="81" fillId="51" borderId="63" xfId="0" applyNumberFormat="1" applyFont="1" applyFill="1" applyBorder="1" applyAlignment="1">
      <alignment horizontal="center" shrinkToFit="1"/>
    </xf>
    <xf numFmtId="4" fontId="81" fillId="51" borderId="63" xfId="0" applyNumberFormat="1" applyFont="1" applyFill="1" applyBorder="1" applyAlignment="1">
      <alignment horizontal="center" shrinkToFit="1"/>
    </xf>
    <xf numFmtId="3" fontId="81" fillId="51" borderId="64" xfId="0" applyNumberFormat="1" applyFont="1" applyFill="1" applyBorder="1" applyAlignment="1">
      <alignment horizontal="center" shrinkToFit="1"/>
    </xf>
    <xf numFmtId="4" fontId="81" fillId="51" borderId="64" xfId="0" applyNumberFormat="1" applyFont="1" applyFill="1" applyBorder="1" applyAlignment="1">
      <alignment horizontal="center" shrinkToFit="1"/>
    </xf>
    <xf numFmtId="166" fontId="81" fillId="51" borderId="62" xfId="0" applyNumberFormat="1" applyFont="1" applyFill="1" applyBorder="1" applyAlignment="1">
      <alignment horizontal="center" vertical="top" shrinkToFit="1"/>
    </xf>
    <xf numFmtId="166" fontId="81" fillId="51" borderId="63" xfId="0" applyNumberFormat="1" applyFont="1" applyFill="1" applyBorder="1" applyAlignment="1">
      <alignment horizontal="center" vertical="top" shrinkToFit="1"/>
    </xf>
    <xf numFmtId="166" fontId="81" fillId="51" borderId="64" xfId="0" applyNumberFormat="1" applyFont="1" applyFill="1" applyBorder="1" applyAlignment="1">
      <alignment horizontal="center" vertical="top" shrinkToFit="1"/>
    </xf>
    <xf numFmtId="0" fontId="0" fillId="39" borderId="0" xfId="0" applyFill="1" applyAlignment="1">
      <alignment vertical="center"/>
    </xf>
    <xf numFmtId="0" fontId="41" fillId="25" borderId="17" xfId="0" applyFont="1" applyFill="1" applyBorder="1" applyAlignment="1">
      <alignment vertical="top" wrapText="1"/>
    </xf>
    <xf numFmtId="0" fontId="41" fillId="25" borderId="17" xfId="0" applyFont="1" applyFill="1" applyBorder="1" applyAlignment="1">
      <alignment horizontal="left" vertical="top" wrapText="1"/>
    </xf>
    <xf numFmtId="164" fontId="2" fillId="25" borderId="19" xfId="0" applyNumberFormat="1" applyFont="1" applyFill="1" applyBorder="1" applyAlignment="1">
      <alignment horizontal="right" vertical="top" indent="1"/>
    </xf>
    <xf numFmtId="164" fontId="2" fillId="25" borderId="20" xfId="0" applyNumberFormat="1" applyFont="1" applyFill="1" applyBorder="1" applyAlignment="1">
      <alignment horizontal="right" vertical="top" indent="1"/>
    </xf>
    <xf numFmtId="164" fontId="2" fillId="25" borderId="23" xfId="0" applyNumberFormat="1" applyFont="1" applyFill="1" applyBorder="1" applyAlignment="1">
      <alignment horizontal="right" vertical="top" indent="1"/>
    </xf>
    <xf numFmtId="0" fontId="2" fillId="25" borderId="21" xfId="0" applyFont="1" applyFill="1" applyBorder="1" applyAlignment="1">
      <alignment vertical="top"/>
    </xf>
    <xf numFmtId="164" fontId="2" fillId="25" borderId="22" xfId="0" applyNumberFormat="1" applyFont="1" applyFill="1" applyBorder="1" applyAlignment="1">
      <alignment horizontal="right" vertical="top" indent="1"/>
    </xf>
    <xf numFmtId="0" fontId="2" fillId="41" borderId="148" xfId="87" applyFill="1" applyBorder="1" applyAlignment="1">
      <alignment vertical="top"/>
    </xf>
    <xf numFmtId="0" fontId="81" fillId="52" borderId="13" xfId="0" applyFont="1" applyFill="1" applyBorder="1" applyAlignment="1">
      <alignment horizontal="left" vertical="top"/>
    </xf>
    <xf numFmtId="164" fontId="81" fillId="39" borderId="62" xfId="0" applyNumberFormat="1" applyFont="1" applyFill="1" applyBorder="1" applyAlignment="1">
      <alignment horizontal="right" vertical="top"/>
    </xf>
    <xf numFmtId="164" fontId="81" fillId="39" borderId="89" xfId="0" applyNumberFormat="1" applyFont="1" applyFill="1" applyBorder="1" applyAlignment="1">
      <alignment horizontal="right" vertical="top"/>
    </xf>
    <xf numFmtId="164" fontId="81" fillId="39" borderId="63" xfId="0" applyNumberFormat="1" applyFont="1" applyFill="1" applyBorder="1" applyAlignment="1">
      <alignment horizontal="right" vertical="top"/>
    </xf>
    <xf numFmtId="171" fontId="81" fillId="39" borderId="63" xfId="0" applyNumberFormat="1" applyFont="1" applyFill="1" applyBorder="1" applyAlignment="1">
      <alignment horizontal="right" vertical="top"/>
    </xf>
    <xf numFmtId="171" fontId="81" fillId="39" borderId="11" xfId="0" applyNumberFormat="1" applyFont="1" applyFill="1" applyBorder="1" applyAlignment="1">
      <alignment horizontal="right" vertical="top"/>
    </xf>
    <xf numFmtId="164" fontId="81" fillId="39" borderId="13" xfId="0" applyNumberFormat="1" applyFont="1" applyFill="1" applyBorder="1" applyAlignment="1">
      <alignment horizontal="right" vertical="top"/>
    </xf>
    <xf numFmtId="0" fontId="0" fillId="50" borderId="50" xfId="0" applyFill="1" applyBorder="1" applyAlignment="1">
      <alignment vertical="top"/>
    </xf>
    <xf numFmtId="14" fontId="0" fillId="25" borderId="0" xfId="0" applyNumberFormat="1" applyFill="1"/>
    <xf numFmtId="0" fontId="2" fillId="44" borderId="11" xfId="0" applyFont="1" applyFill="1" applyBorder="1" applyAlignment="1">
      <alignment horizontal="center" vertical="top"/>
    </xf>
    <xf numFmtId="0" fontId="37" fillId="39" borderId="11" xfId="0" applyFont="1" applyFill="1" applyBorder="1" applyAlignment="1">
      <alignment vertical="top"/>
    </xf>
    <xf numFmtId="0" fontId="4" fillId="39" borderId="13" xfId="0" applyFont="1" applyFill="1" applyBorder="1" applyAlignment="1">
      <alignment vertical="top"/>
    </xf>
    <xf numFmtId="0" fontId="37" fillId="43" borderId="16" xfId="0" applyFont="1" applyFill="1" applyBorder="1" applyAlignment="1">
      <alignment vertical="top" wrapText="1"/>
    </xf>
    <xf numFmtId="0" fontId="37" fillId="43" borderId="14" xfId="0" applyFont="1" applyFill="1" applyBorder="1" applyAlignment="1">
      <alignment vertical="top" wrapText="1"/>
    </xf>
    <xf numFmtId="0" fontId="87" fillId="25" borderId="0" xfId="0" applyFont="1" applyFill="1" applyAlignment="1">
      <alignment vertical="top" wrapText="1"/>
    </xf>
    <xf numFmtId="0" fontId="79" fillId="44" borderId="43" xfId="0" applyFont="1" applyFill="1" applyBorder="1" applyAlignment="1">
      <alignment horizontal="center" vertical="top"/>
    </xf>
    <xf numFmtId="165" fontId="37" fillId="42" borderId="67" xfId="0" applyNumberFormat="1" applyFont="1" applyFill="1" applyBorder="1" applyAlignment="1" applyProtection="1">
      <alignment vertical="top"/>
      <protection locked="0"/>
    </xf>
    <xf numFmtId="165" fontId="37" fillId="42" borderId="49" xfId="0" applyNumberFormat="1" applyFont="1" applyFill="1" applyBorder="1" applyAlignment="1" applyProtection="1">
      <alignment vertical="top"/>
      <protection locked="0"/>
    </xf>
    <xf numFmtId="0" fontId="4" fillId="41" borderId="12" xfId="0" applyFont="1" applyFill="1" applyBorder="1" applyAlignment="1">
      <alignment vertical="top"/>
    </xf>
    <xf numFmtId="0" fontId="0" fillId="41" borderId="12" xfId="0" applyFill="1" applyBorder="1" applyAlignment="1">
      <alignment vertical="top" wrapText="1"/>
    </xf>
    <xf numFmtId="0" fontId="4" fillId="41" borderId="12" xfId="0" applyFont="1" applyFill="1" applyBorder="1" applyAlignment="1">
      <alignment horizontal="center" vertical="top"/>
    </xf>
    <xf numFmtId="0" fontId="4" fillId="41" borderId="88" xfId="0" applyFont="1" applyFill="1" applyBorder="1" applyAlignment="1">
      <alignment horizontal="right" vertical="top"/>
    </xf>
    <xf numFmtId="0" fontId="4" fillId="41" borderId="99" xfId="0" applyFont="1" applyFill="1" applyBorder="1" applyAlignment="1">
      <alignment horizontal="right" vertical="top"/>
    </xf>
    <xf numFmtId="0" fontId="4" fillId="41" borderId="44" xfId="0" applyFont="1" applyFill="1" applyBorder="1" applyAlignment="1">
      <alignment horizontal="right" vertical="top"/>
    </xf>
    <xf numFmtId="0" fontId="4" fillId="41" borderId="11" xfId="0" applyFont="1" applyFill="1" applyBorder="1" applyAlignment="1">
      <alignment horizontal="right" vertical="top"/>
    </xf>
    <xf numFmtId="0" fontId="37" fillId="43" borderId="25" xfId="0" applyFont="1" applyFill="1" applyBorder="1" applyAlignment="1">
      <alignment vertical="top" wrapText="1"/>
    </xf>
    <xf numFmtId="0" fontId="4" fillId="43" borderId="12" xfId="0" applyFont="1" applyFill="1" applyBorder="1" applyAlignment="1">
      <alignment vertical="top" wrapText="1"/>
    </xf>
    <xf numFmtId="0" fontId="0" fillId="43" borderId="12" xfId="0" applyFill="1" applyBorder="1" applyAlignment="1">
      <alignment vertical="top" wrapText="1"/>
    </xf>
    <xf numFmtId="0" fontId="2" fillId="53" borderId="0" xfId="0" applyFont="1" applyFill="1" applyAlignment="1">
      <alignment vertical="top"/>
    </xf>
    <xf numFmtId="0" fontId="2" fillId="53" borderId="57" xfId="0" applyFont="1" applyFill="1" applyBorder="1" applyAlignment="1">
      <alignment vertical="top"/>
    </xf>
    <xf numFmtId="0" fontId="2" fillId="53" borderId="66" xfId="0" applyFont="1" applyFill="1" applyBorder="1" applyAlignment="1">
      <alignment vertical="top"/>
    </xf>
    <xf numFmtId="0" fontId="2" fillId="53" borderId="65" xfId="0" applyFont="1" applyFill="1" applyBorder="1" applyAlignment="1">
      <alignment vertical="top"/>
    </xf>
    <xf numFmtId="0" fontId="4" fillId="43" borderId="126" xfId="0" applyFont="1" applyFill="1" applyBorder="1" applyAlignment="1">
      <alignment horizontal="right" vertical="top"/>
    </xf>
    <xf numFmtId="0" fontId="0" fillId="39" borderId="87" xfId="0" applyFill="1" applyBorder="1" applyAlignment="1">
      <alignment vertical="top"/>
    </xf>
    <xf numFmtId="0" fontId="0" fillId="44" borderId="13" xfId="0" applyFill="1" applyBorder="1" applyAlignment="1">
      <alignment vertical="top"/>
    </xf>
    <xf numFmtId="0" fontId="88" fillId="54" borderId="49" xfId="0" applyFont="1" applyFill="1" applyBorder="1" applyAlignment="1" applyProtection="1">
      <alignment vertical="top"/>
      <protection locked="0"/>
    </xf>
    <xf numFmtId="0" fontId="88" fillId="54" borderId="13" xfId="0" applyFont="1" applyFill="1" applyBorder="1" applyAlignment="1" applyProtection="1">
      <alignment vertical="top"/>
      <protection locked="0"/>
    </xf>
    <xf numFmtId="0" fontId="88" fillId="54" borderId="58" xfId="0" applyFont="1" applyFill="1" applyBorder="1" applyAlignment="1" applyProtection="1">
      <alignment vertical="top"/>
      <protection locked="0"/>
    </xf>
    <xf numFmtId="166" fontId="37" fillId="40" borderId="62" xfId="0" applyNumberFormat="1" applyFont="1" applyFill="1" applyBorder="1" applyAlignment="1">
      <alignment horizontal="center" vertical="top" shrinkToFit="1"/>
    </xf>
    <xf numFmtId="166" fontId="37" fillId="40" borderId="63" xfId="0" applyNumberFormat="1" applyFont="1" applyFill="1" applyBorder="1" applyAlignment="1">
      <alignment horizontal="center" vertical="top" shrinkToFit="1"/>
    </xf>
    <xf numFmtId="166" fontId="37" fillId="40" borderId="64" xfId="0" applyNumberFormat="1" applyFont="1" applyFill="1" applyBorder="1" applyAlignment="1">
      <alignment horizontal="center" vertical="top" shrinkToFit="1"/>
    </xf>
    <xf numFmtId="0" fontId="37" fillId="36" borderId="103" xfId="0" applyFont="1" applyFill="1" applyBorder="1" applyAlignment="1">
      <alignment vertical="top"/>
    </xf>
    <xf numFmtId="0" fontId="37" fillId="36" borderId="21" xfId="0" applyFont="1" applyFill="1" applyBorder="1" applyAlignment="1">
      <alignment vertical="top"/>
    </xf>
    <xf numFmtId="0" fontId="37" fillId="36" borderId="102" xfId="0" applyFont="1" applyFill="1" applyBorder="1" applyAlignment="1">
      <alignment horizontal="center" vertical="top"/>
    </xf>
    <xf numFmtId="0" fontId="37" fillId="36" borderId="99" xfId="0" applyFont="1" applyFill="1" applyBorder="1" applyAlignment="1">
      <alignment vertical="top"/>
    </xf>
    <xf numFmtId="0" fontId="37" fillId="36" borderId="0" xfId="0" applyFont="1" applyFill="1" applyAlignment="1">
      <alignment vertical="top"/>
    </xf>
    <xf numFmtId="0" fontId="37" fillId="36" borderId="18" xfId="0" applyFont="1" applyFill="1" applyBorder="1" applyAlignment="1">
      <alignment horizontal="center" vertical="top"/>
    </xf>
    <xf numFmtId="0" fontId="37" fillId="36" borderId="78" xfId="0" applyFont="1" applyFill="1" applyBorder="1" applyAlignment="1">
      <alignment vertical="top"/>
    </xf>
    <xf numFmtId="0" fontId="37" fillId="36" borderId="12" xfId="0" applyFont="1" applyFill="1" applyBorder="1" applyAlignment="1">
      <alignment vertical="top"/>
    </xf>
    <xf numFmtId="0" fontId="37" fillId="36" borderId="24" xfId="0" applyFont="1" applyFill="1" applyBorder="1" applyAlignment="1">
      <alignment horizontal="center" vertical="top"/>
    </xf>
    <xf numFmtId="165" fontId="2" fillId="42" borderId="13" xfId="0" applyNumberFormat="1" applyFont="1" applyFill="1" applyBorder="1" applyAlignment="1" applyProtection="1">
      <alignment vertical="top"/>
      <protection locked="0"/>
    </xf>
    <xf numFmtId="49" fontId="2" fillId="42" borderId="106" xfId="0" applyNumberFormat="1" applyFont="1" applyFill="1" applyBorder="1" applyAlignment="1" applyProtection="1">
      <alignment horizontal="center" vertical="top"/>
      <protection locked="0"/>
    </xf>
    <xf numFmtId="165" fontId="2" fillId="40" borderId="58" xfId="0" applyNumberFormat="1" applyFont="1" applyFill="1" applyBorder="1" applyAlignment="1">
      <alignment vertical="top"/>
    </xf>
    <xf numFmtId="165" fontId="2" fillId="42" borderId="33" xfId="0" applyNumberFormat="1" applyFont="1" applyFill="1" applyBorder="1" applyAlignment="1" applyProtection="1">
      <alignment vertical="top"/>
      <protection locked="0"/>
    </xf>
    <xf numFmtId="166" fontId="2" fillId="40" borderId="67" xfId="0" applyNumberFormat="1" applyFont="1" applyFill="1" applyBorder="1" applyAlignment="1">
      <alignment horizontal="right" vertical="top"/>
    </xf>
    <xf numFmtId="2" fontId="2" fillId="40" borderId="67" xfId="0" applyNumberFormat="1" applyFont="1" applyFill="1" applyBorder="1" applyAlignment="1">
      <alignment horizontal="right" vertical="top"/>
    </xf>
    <xf numFmtId="168" fontId="2" fillId="40" borderId="67" xfId="0" applyNumberFormat="1" applyFont="1" applyFill="1" applyBorder="1" applyAlignment="1">
      <alignment horizontal="right" vertical="top"/>
    </xf>
    <xf numFmtId="0" fontId="4" fillId="39" borderId="11" xfId="0" applyFont="1" applyFill="1" applyBorder="1" applyAlignment="1">
      <alignment horizontal="left" vertical="top" wrapText="1"/>
    </xf>
    <xf numFmtId="0" fontId="2" fillId="41" borderId="0" xfId="0" applyFont="1" applyFill="1"/>
    <xf numFmtId="0" fontId="2" fillId="44" borderId="13" xfId="0" applyFont="1" applyFill="1" applyBorder="1"/>
    <xf numFmtId="0" fontId="37" fillId="42" borderId="62" xfId="0" applyFont="1" applyFill="1" applyBorder="1" applyAlignment="1" applyProtection="1">
      <alignment horizontal="center" vertical="top"/>
      <protection locked="0"/>
    </xf>
    <xf numFmtId="0" fontId="2" fillId="44" borderId="49" xfId="0" applyFont="1" applyFill="1" applyBorder="1" applyAlignment="1">
      <alignment vertical="top"/>
    </xf>
    <xf numFmtId="3" fontId="2" fillId="39" borderId="13" xfId="0" applyNumberFormat="1" applyFont="1" applyFill="1" applyBorder="1" applyAlignment="1">
      <alignment vertical="top"/>
    </xf>
    <xf numFmtId="174" fontId="2" fillId="39" borderId="13" xfId="0" applyNumberFormat="1" applyFont="1" applyFill="1" applyBorder="1" applyAlignment="1">
      <alignment vertical="top"/>
    </xf>
    <xf numFmtId="4" fontId="2" fillId="39" borderId="13" xfId="0" applyNumberFormat="1" applyFont="1" applyFill="1" applyBorder="1" applyAlignment="1">
      <alignment vertical="top"/>
    </xf>
    <xf numFmtId="0" fontId="2" fillId="44" borderId="75" xfId="0" applyFont="1" applyFill="1" applyBorder="1" applyAlignment="1">
      <alignment horizontal="center" vertical="top"/>
    </xf>
    <xf numFmtId="0" fontId="2" fillId="39" borderId="58" xfId="0" applyFont="1" applyFill="1" applyBorder="1" applyAlignment="1">
      <alignment vertical="top"/>
    </xf>
    <xf numFmtId="0" fontId="2" fillId="39" borderId="60" xfId="0" applyFont="1" applyFill="1" applyBorder="1" applyAlignment="1">
      <alignment vertical="top"/>
    </xf>
    <xf numFmtId="0" fontId="2" fillId="39" borderId="61" xfId="0" applyFont="1" applyFill="1" applyBorder="1" applyAlignment="1">
      <alignment vertical="top"/>
    </xf>
    <xf numFmtId="4" fontId="2" fillId="39" borderId="58" xfId="0" applyNumberFormat="1" applyFont="1" applyFill="1" applyBorder="1" applyAlignment="1">
      <alignment vertical="top"/>
    </xf>
    <xf numFmtId="174" fontId="2" fillId="39" borderId="58" xfId="0" applyNumberFormat="1" applyFont="1" applyFill="1" applyBorder="1" applyAlignment="1">
      <alignment vertical="top"/>
    </xf>
    <xf numFmtId="3" fontId="2" fillId="39" borderId="58" xfId="0" applyNumberFormat="1" applyFont="1" applyFill="1" applyBorder="1" applyAlignment="1">
      <alignment vertical="top"/>
    </xf>
    <xf numFmtId="0" fontId="79" fillId="44" borderId="75" xfId="0" applyFont="1" applyFill="1" applyBorder="1" applyAlignment="1">
      <alignment vertical="top"/>
    </xf>
    <xf numFmtId="0" fontId="79" fillId="44" borderId="76" xfId="0" applyFont="1" applyFill="1" applyBorder="1" applyAlignment="1">
      <alignment vertical="top"/>
    </xf>
    <xf numFmtId="0" fontId="79" fillId="44" borderId="77" xfId="0" applyFont="1" applyFill="1" applyBorder="1" applyAlignment="1">
      <alignment vertical="top"/>
    </xf>
    <xf numFmtId="0" fontId="81" fillId="39" borderId="59" xfId="0" applyFont="1" applyFill="1" applyBorder="1" applyAlignment="1">
      <alignment vertical="top"/>
    </xf>
    <xf numFmtId="0" fontId="2" fillId="44" borderId="43" xfId="0" applyFont="1" applyFill="1" applyBorder="1" applyAlignment="1">
      <alignment horizontal="center" vertical="top"/>
    </xf>
    <xf numFmtId="0" fontId="0" fillId="39" borderId="87" xfId="0" applyFill="1" applyBorder="1"/>
    <xf numFmtId="0" fontId="2" fillId="42" borderId="13" xfId="0" applyFont="1" applyFill="1" applyBorder="1" applyAlignment="1" applyProtection="1">
      <alignment horizontal="center" vertical="top"/>
      <protection locked="0"/>
    </xf>
    <xf numFmtId="10" fontId="37" fillId="42" borderId="13" xfId="0" applyNumberFormat="1" applyFont="1" applyFill="1" applyBorder="1" applyAlignment="1" applyProtection="1">
      <alignment vertical="top"/>
      <protection locked="0"/>
    </xf>
    <xf numFmtId="0" fontId="0" fillId="46" borderId="0" xfId="0" applyFill="1" applyAlignment="1">
      <alignment horizontal="center" vertical="top" wrapText="1"/>
    </xf>
    <xf numFmtId="0" fontId="39" fillId="46" borderId="0" xfId="78" applyFont="1" applyFill="1" applyBorder="1" applyAlignment="1" applyProtection="1">
      <alignment horizontal="center" vertical="top" wrapText="1"/>
    </xf>
    <xf numFmtId="0" fontId="0" fillId="48" borderId="0" xfId="0" applyFill="1" applyAlignment="1">
      <alignment horizontal="left" vertical="top" wrapText="1"/>
    </xf>
    <xf numFmtId="0" fontId="4" fillId="43" borderId="25" xfId="0" applyFont="1" applyFill="1" applyBorder="1" applyAlignment="1">
      <alignment vertical="top" wrapText="1"/>
    </xf>
    <xf numFmtId="0" fontId="2" fillId="43" borderId="25" xfId="0" applyFont="1" applyFill="1" applyBorder="1" applyAlignment="1">
      <alignment vertical="top" wrapText="1"/>
    </xf>
    <xf numFmtId="0" fontId="2" fillId="43" borderId="14" xfId="0" applyFont="1" applyFill="1" applyBorder="1" applyAlignment="1">
      <alignment vertical="top" wrapText="1"/>
    </xf>
    <xf numFmtId="0" fontId="2" fillId="43" borderId="16" xfId="0" applyFont="1" applyFill="1" applyBorder="1" applyAlignment="1">
      <alignment vertical="top" wrapText="1"/>
    </xf>
    <xf numFmtId="0" fontId="2" fillId="40" borderId="26" xfId="0" applyFont="1" applyFill="1" applyBorder="1" applyAlignment="1">
      <alignment horizontal="center" vertical="top"/>
    </xf>
    <xf numFmtId="0" fontId="2" fillId="41" borderId="16" xfId="0" applyFont="1" applyFill="1" applyBorder="1" applyAlignment="1">
      <alignment vertical="top" wrapText="1"/>
    </xf>
    <xf numFmtId="0" fontId="2" fillId="41" borderId="25" xfId="0" applyFont="1" applyFill="1" applyBorder="1" applyAlignment="1">
      <alignment vertical="top" wrapText="1"/>
    </xf>
    <xf numFmtId="0" fontId="2" fillId="41" borderId="25" xfId="0" applyFont="1" applyFill="1" applyBorder="1" applyAlignment="1">
      <alignment horizontal="left" vertical="top" wrapText="1"/>
    </xf>
    <xf numFmtId="0" fontId="2" fillId="41" borderId="12" xfId="0" applyFont="1" applyFill="1" applyBorder="1" applyAlignment="1">
      <alignment horizontal="left" vertical="top" wrapText="1"/>
    </xf>
    <xf numFmtId="0" fontId="2" fillId="41" borderId="0" xfId="0" applyFont="1" applyFill="1" applyAlignment="1">
      <alignment horizontal="left" vertical="top" wrapText="1"/>
    </xf>
    <xf numFmtId="0" fontId="2" fillId="41" borderId="12" xfId="0" applyFont="1" applyFill="1" applyBorder="1" applyAlignment="1">
      <alignment vertical="top" wrapText="1"/>
    </xf>
    <xf numFmtId="0" fontId="2" fillId="40" borderId="13" xfId="0" applyFont="1" applyFill="1" applyBorder="1" applyAlignment="1">
      <alignment horizontal="left" vertical="top"/>
    </xf>
    <xf numFmtId="0" fontId="10" fillId="41" borderId="0" xfId="0" applyFont="1" applyFill="1" applyAlignment="1">
      <alignment horizontal="left" vertical="top" wrapText="1"/>
    </xf>
    <xf numFmtId="0" fontId="10" fillId="41" borderId="38" xfId="0" applyFont="1" applyFill="1" applyBorder="1" applyAlignment="1">
      <alignment horizontal="left" vertical="top" wrapText="1"/>
    </xf>
    <xf numFmtId="49" fontId="2" fillId="42" borderId="105" xfId="0" applyNumberFormat="1" applyFont="1" applyFill="1" applyBorder="1" applyAlignment="1" applyProtection="1">
      <alignment horizontal="left" vertical="top"/>
      <protection locked="0"/>
    </xf>
    <xf numFmtId="49" fontId="37" fillId="42" borderId="106" xfId="0" applyNumberFormat="1" applyFont="1" applyFill="1" applyBorder="1" applyAlignment="1" applyProtection="1">
      <alignment horizontal="left" vertical="top"/>
      <protection locked="0"/>
    </xf>
    <xf numFmtId="0" fontId="2" fillId="40" borderId="13" xfId="0" applyFont="1" applyFill="1" applyBorder="1" applyAlignment="1">
      <alignment horizontal="center" vertical="top"/>
    </xf>
    <xf numFmtId="49" fontId="37" fillId="42" borderId="94" xfId="0" applyNumberFormat="1" applyFont="1" applyFill="1" applyBorder="1" applyAlignment="1" applyProtection="1">
      <alignment horizontal="left" vertical="top"/>
      <protection locked="0"/>
    </xf>
    <xf numFmtId="0" fontId="10" fillId="41" borderId="17" xfId="0" applyFont="1" applyFill="1" applyBorder="1" applyAlignment="1">
      <alignment horizontal="left" vertical="top" wrapText="1"/>
    </xf>
    <xf numFmtId="0" fontId="4" fillId="41" borderId="88" xfId="0" applyFont="1" applyFill="1" applyBorder="1" applyAlignment="1">
      <alignment horizontal="center" wrapText="1"/>
    </xf>
    <xf numFmtId="0" fontId="4" fillId="43" borderId="12" xfId="0" applyFont="1" applyFill="1" applyBorder="1" applyAlignment="1">
      <alignment horizontal="left" vertical="top" wrapText="1"/>
    </xf>
    <xf numFmtId="0" fontId="4" fillId="43" borderId="0" xfId="0" applyFont="1" applyFill="1" applyAlignment="1">
      <alignment horizontal="left" vertical="top" wrapText="1"/>
    </xf>
    <xf numFmtId="0" fontId="10" fillId="43" borderId="0" xfId="0" applyFont="1" applyFill="1" applyAlignment="1">
      <alignment horizontal="left" vertical="top" wrapText="1"/>
    </xf>
    <xf numFmtId="0" fontId="41" fillId="43" borderId="0" xfId="0" applyFont="1" applyFill="1" applyAlignment="1">
      <alignment horizontal="left" vertical="top" wrapText="1"/>
    </xf>
    <xf numFmtId="0" fontId="2" fillId="43" borderId="25" xfId="0" applyFont="1" applyFill="1" applyBorder="1" applyAlignment="1">
      <alignment horizontal="left" vertical="top" wrapText="1"/>
    </xf>
    <xf numFmtId="0" fontId="2" fillId="43" borderId="14" xfId="0" applyFont="1" applyFill="1" applyBorder="1" applyAlignment="1">
      <alignment horizontal="left" vertical="top" wrapText="1"/>
    </xf>
    <xf numFmtId="0" fontId="37" fillId="43" borderId="14" xfId="0" applyFont="1" applyFill="1" applyBorder="1" applyAlignment="1">
      <alignment horizontal="left" vertical="top" wrapText="1"/>
    </xf>
    <xf numFmtId="0" fontId="57" fillId="43" borderId="15" xfId="0" applyFont="1" applyFill="1" applyBorder="1" applyAlignment="1">
      <alignment horizontal="left" vertical="top" wrapText="1"/>
    </xf>
    <xf numFmtId="0" fontId="37" fillId="43" borderId="16" xfId="0" applyFont="1" applyFill="1" applyBorder="1" applyAlignment="1">
      <alignment horizontal="left" vertical="top" wrapText="1"/>
    </xf>
    <xf numFmtId="0" fontId="37" fillId="43" borderId="21" xfId="0" applyFont="1" applyFill="1" applyBorder="1" applyAlignment="1">
      <alignment horizontal="left" vertical="top" wrapText="1"/>
    </xf>
    <xf numFmtId="0" fontId="37" fillId="43" borderId="15" xfId="0" applyFont="1" applyFill="1" applyBorder="1" applyAlignment="1">
      <alignment horizontal="left" vertical="top" wrapText="1"/>
    </xf>
    <xf numFmtId="0" fontId="10" fillId="43" borderId="0" xfId="0" applyFont="1" applyFill="1" applyAlignment="1">
      <alignment vertical="top" wrapText="1"/>
    </xf>
    <xf numFmtId="0" fontId="4" fillId="43" borderId="0" xfId="0" applyFont="1" applyFill="1" applyAlignment="1">
      <alignment vertical="top" wrapText="1"/>
    </xf>
    <xf numFmtId="0" fontId="0" fillId="43" borderId="0" xfId="0" applyFill="1" applyAlignment="1">
      <alignment vertical="top" wrapText="1"/>
    </xf>
    <xf numFmtId="0" fontId="0" fillId="43" borderId="38" xfId="0" applyFill="1" applyBorder="1" applyAlignment="1">
      <alignment vertical="top" wrapText="1"/>
    </xf>
    <xf numFmtId="0" fontId="4" fillId="43" borderId="38" xfId="0" applyFont="1" applyFill="1" applyBorder="1" applyAlignment="1">
      <alignment vertical="top" wrapText="1"/>
    </xf>
    <xf numFmtId="0" fontId="89" fillId="55" borderId="0" xfId="0" quotePrefix="1" applyFont="1" applyFill="1" applyAlignment="1">
      <alignment horizontal="left" vertical="top" wrapText="1"/>
    </xf>
    <xf numFmtId="0" fontId="10" fillId="43" borderId="38" xfId="0" applyFont="1" applyFill="1" applyBorder="1" applyAlignment="1">
      <alignment vertical="top" wrapText="1"/>
    </xf>
    <xf numFmtId="0" fontId="4" fillId="43" borderId="25" xfId="0" applyFont="1" applyFill="1" applyBorder="1" applyAlignment="1">
      <alignment horizontal="left" vertical="top" wrapText="1"/>
    </xf>
    <xf numFmtId="0" fontId="2" fillId="43" borderId="12" xfId="0" applyFont="1" applyFill="1" applyBorder="1" applyAlignment="1">
      <alignment horizontal="left" vertical="top" wrapText="1"/>
    </xf>
    <xf numFmtId="0" fontId="0" fillId="56" borderId="0" xfId="0" applyFill="1"/>
    <xf numFmtId="0" fontId="76" fillId="57" borderId="0" xfId="90" applyFont="1" applyFill="1" applyAlignment="1">
      <alignment vertical="top"/>
    </xf>
    <xf numFmtId="165" fontId="2" fillId="45" borderId="62" xfId="0" applyNumberFormat="1" applyFont="1" applyFill="1" applyBorder="1" applyAlignment="1" applyProtection="1">
      <alignment vertical="top"/>
      <protection locked="0"/>
    </xf>
    <xf numFmtId="165" fontId="2" fillId="45" borderId="63" xfId="0" applyNumberFormat="1" applyFont="1" applyFill="1" applyBorder="1" applyAlignment="1" applyProtection="1">
      <alignment vertical="top"/>
      <protection locked="0"/>
    </xf>
    <xf numFmtId="165" fontId="2" fillId="45" borderId="64" xfId="0" applyNumberFormat="1" applyFont="1" applyFill="1" applyBorder="1" applyAlignment="1" applyProtection="1">
      <alignment vertical="top"/>
      <protection locked="0"/>
    </xf>
    <xf numFmtId="0" fontId="90" fillId="58" borderId="0" xfId="0" applyFont="1" applyFill="1" applyAlignment="1">
      <alignment vertical="center" wrapText="1"/>
    </xf>
    <xf numFmtId="0" fontId="91" fillId="58" borderId="0" xfId="0" applyFont="1" applyFill="1" applyAlignment="1">
      <alignment vertical="center"/>
    </xf>
    <xf numFmtId="0" fontId="2" fillId="58" borderId="114" xfId="0" applyFont="1" applyFill="1" applyBorder="1" applyAlignment="1">
      <alignment vertical="center"/>
    </xf>
    <xf numFmtId="0" fontId="92" fillId="58" borderId="0" xfId="0" applyFont="1" applyFill="1" applyAlignment="1">
      <alignment vertical="center" wrapText="1"/>
    </xf>
    <xf numFmtId="0" fontId="6" fillId="39" borderId="0" xfId="78" applyFill="1" applyAlignment="1" applyProtection="1">
      <alignment vertical="center" wrapText="1"/>
    </xf>
    <xf numFmtId="0" fontId="93" fillId="39" borderId="0" xfId="0" applyFont="1" applyFill="1" applyAlignment="1">
      <alignment vertical="center" wrapText="1"/>
    </xf>
    <xf numFmtId="0" fontId="2" fillId="40" borderId="114" xfId="0" applyFont="1" applyFill="1" applyBorder="1" applyAlignment="1">
      <alignment vertical="center" wrapText="1"/>
    </xf>
    <xf numFmtId="0" fontId="2" fillId="59" borderId="65" xfId="0" applyFont="1" applyFill="1" applyBorder="1" applyAlignment="1">
      <alignment vertical="center" wrapText="1"/>
    </xf>
    <xf numFmtId="0" fontId="94" fillId="52" borderId="65" xfId="0" applyFont="1" applyFill="1" applyBorder="1" applyAlignment="1">
      <alignment vertical="center" wrapText="1"/>
    </xf>
    <xf numFmtId="0" fontId="95" fillId="58" borderId="0" xfId="0" applyFont="1" applyFill="1" applyAlignment="1">
      <alignment vertical="center" wrapText="1"/>
    </xf>
    <xf numFmtId="0" fontId="2" fillId="53" borderId="30" xfId="0" applyFont="1" applyFill="1" applyBorder="1" applyAlignment="1">
      <alignment vertical="center" wrapText="1"/>
    </xf>
    <xf numFmtId="0" fontId="2" fillId="50" borderId="38" xfId="0" applyFont="1" applyFill="1" applyBorder="1" applyAlignment="1">
      <alignment vertical="center"/>
    </xf>
    <xf numFmtId="0" fontId="2" fillId="56" borderId="0" xfId="0" applyFont="1" applyFill="1" applyAlignment="1">
      <alignment vertical="center" wrapText="1"/>
    </xf>
    <xf numFmtId="0" fontId="2" fillId="60" borderId="0" xfId="0" applyFont="1" applyFill="1" applyAlignment="1">
      <alignment vertical="center" wrapText="1"/>
    </xf>
    <xf numFmtId="0" fontId="87" fillId="58" borderId="0" xfId="0" applyFont="1" applyFill="1" applyAlignment="1">
      <alignment vertical="center" wrapText="1"/>
    </xf>
    <xf numFmtId="0" fontId="96" fillId="58" borderId="0" xfId="0" applyFont="1" applyFill="1" applyAlignment="1">
      <alignment vertical="center" wrapText="1"/>
    </xf>
    <xf numFmtId="0" fontId="97" fillId="58" borderId="0" xfId="0" applyFont="1" applyFill="1" applyAlignment="1">
      <alignment vertical="center" wrapText="1"/>
    </xf>
    <xf numFmtId="0" fontId="6" fillId="60" borderId="0" xfId="78" applyFill="1" applyAlignment="1" applyProtection="1">
      <alignment vertical="center" wrapText="1"/>
    </xf>
    <xf numFmtId="0" fontId="86" fillId="58" borderId="0" xfId="0" applyFont="1" applyFill="1" applyAlignment="1">
      <alignment vertical="center"/>
    </xf>
    <xf numFmtId="0" fontId="9" fillId="58" borderId="0" xfId="0" applyFont="1" applyFill="1" applyAlignment="1">
      <alignment vertical="center" wrapText="1"/>
    </xf>
    <xf numFmtId="0" fontId="74" fillId="60" borderId="149" xfId="0" applyFont="1" applyFill="1" applyBorder="1" applyAlignment="1">
      <alignment vertical="center" wrapText="1"/>
    </xf>
    <xf numFmtId="0" fontId="6" fillId="60" borderId="74" xfId="78" applyFill="1" applyBorder="1" applyAlignment="1" applyProtection="1">
      <alignment vertical="center" wrapText="1"/>
    </xf>
    <xf numFmtId="0" fontId="6" fillId="60" borderId="116" xfId="78" applyFill="1" applyBorder="1" applyAlignment="1" applyProtection="1">
      <alignment vertical="center" wrapText="1"/>
    </xf>
    <xf numFmtId="0" fontId="4" fillId="58" borderId="0" xfId="0" applyFont="1" applyFill="1" applyAlignment="1">
      <alignment vertical="center" wrapText="1"/>
    </xf>
    <xf numFmtId="0" fontId="98" fillId="61" borderId="0" xfId="0" applyFont="1" applyFill="1" applyAlignment="1">
      <alignment vertical="center" wrapText="1"/>
    </xf>
    <xf numFmtId="0" fontId="97" fillId="58" borderId="28" xfId="0" applyFont="1" applyFill="1" applyBorder="1" applyAlignment="1">
      <alignment vertical="center" wrapText="1"/>
    </xf>
    <xf numFmtId="0" fontId="5" fillId="58" borderId="0" xfId="0" applyFont="1" applyFill="1" applyAlignment="1">
      <alignment vertical="center" wrapText="1"/>
    </xf>
    <xf numFmtId="0" fontId="6" fillId="58" borderId="0" xfId="78" applyFill="1" applyAlignment="1" applyProtection="1">
      <alignment vertical="center" wrapText="1"/>
    </xf>
    <xf numFmtId="0" fontId="2" fillId="58" borderId="74" xfId="0" applyFont="1" applyFill="1" applyBorder="1" applyAlignment="1">
      <alignment vertical="center" wrapText="1"/>
    </xf>
    <xf numFmtId="0" fontId="2" fillId="58" borderId="65" xfId="0" applyFont="1" applyFill="1" applyBorder="1" applyAlignment="1">
      <alignment vertical="center" wrapText="1"/>
    </xf>
    <xf numFmtId="0" fontId="2" fillId="58" borderId="116" xfId="0" applyFont="1" applyFill="1" applyBorder="1" applyAlignment="1">
      <alignment vertical="center" wrapText="1"/>
    </xf>
    <xf numFmtId="0" fontId="99" fillId="58" borderId="0" xfId="0" applyFont="1" applyFill="1" applyAlignment="1">
      <alignment vertical="center" wrapText="1"/>
    </xf>
    <xf numFmtId="0" fontId="4" fillId="60" borderId="57" xfId="0" applyFont="1" applyFill="1" applyBorder="1" applyAlignment="1">
      <alignment vertical="center" wrapText="1"/>
    </xf>
    <xf numFmtId="0" fontId="96" fillId="58" borderId="39" xfId="0" applyFont="1" applyFill="1" applyBorder="1" applyAlignment="1">
      <alignment vertical="center" wrapText="1"/>
    </xf>
    <xf numFmtId="0" fontId="97" fillId="58" borderId="39" xfId="0" applyFont="1" applyFill="1" applyBorder="1" applyAlignment="1">
      <alignment vertical="center" wrapText="1"/>
    </xf>
    <xf numFmtId="0" fontId="4" fillId="58" borderId="65" xfId="0" applyFont="1" applyFill="1" applyBorder="1" applyAlignment="1">
      <alignment vertical="center" wrapText="1"/>
    </xf>
    <xf numFmtId="0" fontId="4" fillId="0" borderId="116" xfId="0" applyFont="1" applyBorder="1" applyAlignment="1">
      <alignment vertical="center" wrapText="1"/>
    </xf>
    <xf numFmtId="0" fontId="4" fillId="58" borderId="116" xfId="0" applyFont="1" applyFill="1" applyBorder="1" applyAlignment="1">
      <alignment vertical="center" wrapText="1"/>
    </xf>
    <xf numFmtId="0" fontId="4" fillId="58" borderId="108" xfId="0" applyFont="1" applyFill="1" applyBorder="1" applyAlignment="1">
      <alignment vertical="center" wrapText="1"/>
    </xf>
    <xf numFmtId="0" fontId="96" fillId="58" borderId="28" xfId="0" applyFont="1" applyFill="1" applyBorder="1" applyAlignment="1">
      <alignment vertical="center" wrapText="1"/>
    </xf>
    <xf numFmtId="0" fontId="100" fillId="58" borderId="0" xfId="0" applyFont="1" applyFill="1" applyAlignment="1">
      <alignment vertical="center" wrapText="1"/>
    </xf>
    <xf numFmtId="0" fontId="4" fillId="58" borderId="39" xfId="0" applyFont="1" applyFill="1" applyBorder="1" applyAlignment="1">
      <alignment vertical="center" wrapText="1"/>
    </xf>
    <xf numFmtId="0" fontId="2" fillId="58" borderId="39" xfId="0" applyFont="1" applyFill="1" applyBorder="1" applyAlignment="1">
      <alignment vertical="center" wrapText="1"/>
    </xf>
    <xf numFmtId="0" fontId="4" fillId="50" borderId="65" xfId="0" applyFont="1" applyFill="1" applyBorder="1" applyAlignment="1">
      <alignment vertical="center"/>
    </xf>
    <xf numFmtId="0" fontId="2" fillId="50" borderId="39" xfId="0" applyFont="1" applyFill="1" applyBorder="1" applyAlignment="1">
      <alignment vertical="center"/>
    </xf>
    <xf numFmtId="0" fontId="4" fillId="50" borderId="39" xfId="0" applyFont="1" applyFill="1" applyBorder="1" applyAlignment="1">
      <alignment vertical="center"/>
    </xf>
    <xf numFmtId="0" fontId="4" fillId="50" borderId="0" xfId="0" applyFont="1" applyFill="1" applyAlignment="1">
      <alignment vertical="center"/>
    </xf>
    <xf numFmtId="0" fontId="2" fillId="53" borderId="97" xfId="0" applyFont="1" applyFill="1" applyBorder="1" applyAlignment="1">
      <alignment vertical="center" wrapText="1"/>
    </xf>
    <xf numFmtId="0" fontId="4" fillId="50" borderId="39" xfId="0" applyFont="1" applyFill="1" applyBorder="1" applyAlignment="1">
      <alignment vertical="center" wrapText="1"/>
    </xf>
    <xf numFmtId="0" fontId="2" fillId="50" borderId="97" xfId="0" applyFont="1" applyFill="1" applyBorder="1" applyAlignment="1">
      <alignment vertical="center"/>
    </xf>
    <xf numFmtId="0" fontId="4" fillId="58" borderId="66" xfId="0" applyFont="1" applyFill="1" applyBorder="1" applyAlignment="1">
      <alignment vertical="center"/>
    </xf>
    <xf numFmtId="0" fontId="2" fillId="58" borderId="114" xfId="0" applyFont="1" applyFill="1" applyBorder="1" applyAlignment="1">
      <alignment vertical="center" wrapText="1"/>
    </xf>
    <xf numFmtId="0" fontId="4" fillId="50" borderId="0" xfId="0" applyFont="1" applyFill="1" applyAlignment="1">
      <alignment vertical="center" wrapText="1"/>
    </xf>
    <xf numFmtId="0" fontId="97" fillId="50" borderId="0" xfId="0" applyFont="1" applyFill="1" applyAlignment="1">
      <alignment vertical="center" wrapText="1"/>
    </xf>
    <xf numFmtId="0" fontId="96" fillId="50" borderId="0" xfId="0" applyFont="1" applyFill="1" applyAlignment="1">
      <alignment vertical="center" wrapText="1"/>
    </xf>
    <xf numFmtId="0" fontId="4" fillId="58" borderId="0" xfId="0" applyFont="1" applyFill="1" applyAlignment="1">
      <alignment vertical="center"/>
    </xf>
    <xf numFmtId="0" fontId="2" fillId="58" borderId="0" xfId="0" applyFont="1" applyFill="1" applyAlignment="1">
      <alignment vertical="center"/>
    </xf>
    <xf numFmtId="0" fontId="97" fillId="58" borderId="97" xfId="0" applyFont="1" applyFill="1" applyBorder="1" applyAlignment="1">
      <alignment vertical="center"/>
    </xf>
    <xf numFmtId="0" fontId="101" fillId="58" borderId="39" xfId="0" applyFont="1" applyFill="1" applyBorder="1" applyAlignment="1">
      <alignment vertical="center" wrapText="1"/>
    </xf>
    <xf numFmtId="0" fontId="2" fillId="58" borderId="39" xfId="0" applyFont="1" applyFill="1" applyBorder="1" applyAlignment="1">
      <alignment vertical="center"/>
    </xf>
    <xf numFmtId="0" fontId="4" fillId="58" borderId="39" xfId="0" applyFont="1" applyFill="1" applyBorder="1" applyAlignment="1">
      <alignment vertical="center"/>
    </xf>
    <xf numFmtId="0" fontId="2" fillId="58" borderId="97" xfId="0" applyFont="1" applyFill="1" applyBorder="1" applyAlignment="1">
      <alignment vertical="center"/>
    </xf>
    <xf numFmtId="0" fontId="83" fillId="58" borderId="39" xfId="0" applyFont="1" applyFill="1" applyBorder="1" applyAlignment="1">
      <alignment vertical="center"/>
    </xf>
    <xf numFmtId="0" fontId="48" fillId="62" borderId="114" xfId="0" applyFont="1" applyFill="1" applyBorder="1" applyAlignment="1">
      <alignment vertical="center" wrapText="1"/>
    </xf>
    <xf numFmtId="0" fontId="2" fillId="58" borderId="116" xfId="0" applyFont="1" applyFill="1" applyBorder="1" applyAlignment="1">
      <alignment vertical="center"/>
    </xf>
    <xf numFmtId="167" fontId="80" fillId="44" borderId="13" xfId="0" applyNumberFormat="1" applyFont="1" applyFill="1" applyBorder="1"/>
    <xf numFmtId="168" fontId="80" fillId="44" borderId="13" xfId="0" applyNumberFormat="1" applyFont="1" applyFill="1" applyBorder="1"/>
    <xf numFmtId="10" fontId="79" fillId="44" borderId="73" xfId="84" applyNumberFormat="1" applyFont="1" applyFill="1" applyBorder="1" applyProtection="1"/>
    <xf numFmtId="10" fontId="79" fillId="44" borderId="95" xfId="84" applyNumberFormat="1" applyFont="1" applyFill="1" applyBorder="1" applyProtection="1"/>
    <xf numFmtId="10" fontId="79" fillId="44" borderId="68" xfId="84" applyNumberFormat="1" applyFont="1" applyFill="1" applyBorder="1" applyProtection="1"/>
    <xf numFmtId="0" fontId="4" fillId="24" borderId="69" xfId="0" applyFont="1" applyFill="1" applyBorder="1" applyAlignment="1">
      <alignment horizontal="left" vertical="top"/>
    </xf>
    <xf numFmtId="0" fontId="2" fillId="0" borderId="0" xfId="87" applyAlignment="1">
      <alignment horizontal="right" vertical="top"/>
    </xf>
    <xf numFmtId="0" fontId="37" fillId="0" borderId="0" xfId="0" applyFont="1" applyAlignment="1">
      <alignment horizontal="right" vertical="top"/>
    </xf>
    <xf numFmtId="0" fontId="37" fillId="62" borderId="0" xfId="0" applyFont="1" applyFill="1" applyAlignment="1">
      <alignment vertical="top"/>
    </xf>
    <xf numFmtId="0" fontId="4" fillId="62" borderId="0" xfId="0" applyFont="1" applyFill="1" applyAlignment="1">
      <alignment vertical="top"/>
    </xf>
    <xf numFmtId="0" fontId="37" fillId="62" borderId="57" xfId="0" applyFont="1" applyFill="1" applyBorder="1" applyAlignment="1">
      <alignment vertical="top"/>
    </xf>
    <xf numFmtId="0" fontId="37" fillId="62" borderId="28" xfId="0" applyFont="1" applyFill="1" applyBorder="1" applyAlignment="1">
      <alignment vertical="top"/>
    </xf>
    <xf numFmtId="0" fontId="37" fillId="62" borderId="30" xfId="0" applyFont="1" applyFill="1" applyBorder="1" applyAlignment="1">
      <alignment vertical="top"/>
    </xf>
    <xf numFmtId="0" fontId="37" fillId="62" borderId="66" xfId="0" applyFont="1" applyFill="1" applyBorder="1" applyAlignment="1">
      <alignment vertical="top"/>
    </xf>
    <xf numFmtId="0" fontId="37" fillId="62" borderId="38" xfId="0" applyFont="1" applyFill="1" applyBorder="1" applyAlignment="1">
      <alignment vertical="top"/>
    </xf>
    <xf numFmtId="0" fontId="37" fillId="62" borderId="65" xfId="0" applyFont="1" applyFill="1" applyBorder="1" applyAlignment="1">
      <alignment vertical="top"/>
    </xf>
    <xf numFmtId="0" fontId="37" fillId="62" borderId="39" xfId="0" applyFont="1" applyFill="1" applyBorder="1" applyAlignment="1">
      <alignment vertical="top"/>
    </xf>
    <xf numFmtId="0" fontId="37" fillId="62" borderId="40" xfId="0" applyFont="1" applyFill="1" applyBorder="1" applyAlignment="1">
      <alignment vertical="top"/>
    </xf>
    <xf numFmtId="0" fontId="2" fillId="62" borderId="0" xfId="0" applyFont="1" applyFill="1" applyAlignment="1">
      <alignment vertical="top"/>
    </xf>
    <xf numFmtId="0" fontId="4" fillId="40" borderId="74" xfId="0" applyFont="1" applyFill="1" applyBorder="1" applyAlignment="1">
      <alignment horizontal="center" vertical="top"/>
    </xf>
    <xf numFmtId="0" fontId="2" fillId="39" borderId="13" xfId="87" applyFill="1" applyBorder="1" applyAlignment="1">
      <alignment vertical="top"/>
    </xf>
    <xf numFmtId="0" fontId="39" fillId="46" borderId="74" xfId="78" applyFont="1" applyFill="1" applyBorder="1" applyAlignment="1" applyProtection="1">
      <alignment horizontal="center" vertical="top" wrapText="1"/>
    </xf>
    <xf numFmtId="0" fontId="0" fillId="46" borderId="28" xfId="0" applyFill="1" applyBorder="1" applyAlignment="1">
      <alignment horizontal="center" vertical="top" wrapText="1"/>
    </xf>
    <xf numFmtId="0" fontId="2" fillId="41" borderId="0" xfId="0" applyFont="1" applyFill="1" applyAlignment="1">
      <alignment vertical="top" wrapText="1"/>
    </xf>
    <xf numFmtId="0" fontId="37" fillId="29" borderId="0" xfId="0" applyFont="1" applyFill="1" applyAlignment="1" applyProtection="1">
      <alignment vertical="top"/>
      <protection locked="0"/>
    </xf>
    <xf numFmtId="2" fontId="37" fillId="24" borderId="71" xfId="0" applyNumberFormat="1" applyFont="1" applyFill="1" applyBorder="1" applyAlignment="1">
      <alignment vertical="top"/>
    </xf>
    <xf numFmtId="2" fontId="37" fillId="24" borderId="72" xfId="0" applyNumberFormat="1" applyFont="1" applyFill="1" applyBorder="1" applyAlignment="1">
      <alignment vertical="top"/>
    </xf>
    <xf numFmtId="2" fontId="37" fillId="24" borderId="13" xfId="0" applyNumberFormat="1" applyFont="1" applyFill="1" applyBorder="1" applyAlignment="1">
      <alignment vertical="top"/>
    </xf>
    <xf numFmtId="2" fontId="37" fillId="24" borderId="58" xfId="0" applyNumberFormat="1" applyFont="1" applyFill="1" applyBorder="1" applyAlignment="1">
      <alignment vertical="top"/>
    </xf>
    <xf numFmtId="2" fontId="37" fillId="24" borderId="60" xfId="0" applyNumberFormat="1" applyFont="1" applyFill="1" applyBorder="1" applyAlignment="1">
      <alignment vertical="top"/>
    </xf>
    <xf numFmtId="2" fontId="37" fillId="24" borderId="61" xfId="0" applyNumberFormat="1" applyFont="1" applyFill="1" applyBorder="1" applyAlignment="1">
      <alignment vertical="top"/>
    </xf>
    <xf numFmtId="166" fontId="37" fillId="24" borderId="74" xfId="0" applyNumberFormat="1" applyFont="1" applyFill="1" applyBorder="1" applyAlignment="1">
      <alignment vertical="top"/>
    </xf>
    <xf numFmtId="0" fontId="79" fillId="39" borderId="0" xfId="0" applyFont="1" applyFill="1" applyAlignment="1">
      <alignment vertical="top"/>
    </xf>
    <xf numFmtId="0" fontId="0" fillId="27" borderId="74" xfId="0" applyFill="1" applyBorder="1"/>
    <xf numFmtId="0" fontId="2" fillId="25" borderId="13" xfId="0" applyFont="1" applyFill="1" applyBorder="1" applyAlignment="1">
      <alignment horizontal="left" vertical="top" wrapText="1"/>
    </xf>
    <xf numFmtId="0" fontId="2" fillId="43" borderId="16" xfId="0" applyFont="1" applyFill="1" applyBorder="1" applyAlignment="1">
      <alignment horizontal="left" vertical="top" wrapText="1"/>
    </xf>
    <xf numFmtId="0" fontId="2" fillId="48" borderId="103" xfId="0" applyFont="1" applyFill="1" applyBorder="1" applyAlignment="1">
      <alignment horizontal="left" vertical="top" wrapText="1"/>
    </xf>
    <xf numFmtId="0" fontId="6" fillId="48" borderId="0" xfId="78" applyFill="1" applyAlignment="1" applyProtection="1">
      <alignment horizontal="left" vertical="top" wrapText="1"/>
    </xf>
    <xf numFmtId="0" fontId="2" fillId="25" borderId="25" xfId="0" applyFont="1" applyFill="1" applyBorder="1" applyAlignment="1">
      <alignment horizontal="left" vertical="top" wrapText="1"/>
    </xf>
    <xf numFmtId="0" fontId="2" fillId="25" borderId="17" xfId="0" applyFont="1" applyFill="1" applyBorder="1" applyAlignment="1">
      <alignment horizontal="left" vertical="top"/>
    </xf>
    <xf numFmtId="0" fontId="2" fillId="27" borderId="25" xfId="0" applyFont="1" applyFill="1" applyBorder="1" applyAlignment="1">
      <alignment horizontal="left" vertical="top" wrapText="1"/>
    </xf>
    <xf numFmtId="0" fontId="2" fillId="43" borderId="15" xfId="0" applyFont="1" applyFill="1" applyBorder="1" applyAlignment="1">
      <alignment horizontal="left" vertical="top" wrapText="1"/>
    </xf>
    <xf numFmtId="0" fontId="2" fillId="43" borderId="21" xfId="0" applyFont="1" applyFill="1" applyBorder="1" applyAlignment="1">
      <alignment horizontal="left" vertical="top" wrapText="1"/>
    </xf>
    <xf numFmtId="0" fontId="28" fillId="39" borderId="13" xfId="0" applyFont="1" applyFill="1" applyBorder="1" applyAlignment="1">
      <alignment horizontal="left" vertical="top" wrapText="1"/>
    </xf>
    <xf numFmtId="0" fontId="103" fillId="60" borderId="0" xfId="0" applyFont="1" applyFill="1" applyAlignment="1">
      <alignment vertical="center" wrapText="1"/>
    </xf>
    <xf numFmtId="0" fontId="6" fillId="25" borderId="0" xfId="78" applyFill="1" applyBorder="1" applyAlignment="1" applyProtection="1">
      <alignment vertical="top" wrapText="1"/>
    </xf>
    <xf numFmtId="0" fontId="6" fillId="25" borderId="0" xfId="78" applyFill="1" applyBorder="1" applyAlignment="1" applyProtection="1">
      <alignment vertical="top"/>
    </xf>
    <xf numFmtId="0" fontId="4" fillId="25" borderId="0" xfId="78" applyFont="1" applyFill="1" applyBorder="1" applyAlignment="1" applyProtection="1">
      <alignment vertical="top"/>
    </xf>
    <xf numFmtId="0" fontId="4" fillId="0" borderId="0" xfId="0" applyFont="1" applyAlignment="1">
      <alignment vertical="top"/>
    </xf>
    <xf numFmtId="0" fontId="6" fillId="0" borderId="0" xfId="78" applyBorder="1" applyAlignment="1" applyProtection="1">
      <alignment vertical="top"/>
    </xf>
    <xf numFmtId="0" fontId="0" fillId="46" borderId="149" xfId="0" applyFill="1" applyBorder="1" applyAlignment="1">
      <alignment horizontal="center" vertical="center" wrapText="1"/>
    </xf>
    <xf numFmtId="0" fontId="0" fillId="46" borderId="108" xfId="0" applyFill="1" applyBorder="1" applyAlignment="1">
      <alignment horizontal="center" vertical="center" wrapText="1"/>
    </xf>
    <xf numFmtId="0" fontId="0" fillId="46" borderId="116" xfId="0" applyFill="1" applyBorder="1" applyAlignment="1">
      <alignment horizontal="center" vertical="center" wrapText="1"/>
    </xf>
    <xf numFmtId="0" fontId="39" fillId="46" borderId="74" xfId="78" applyFont="1" applyFill="1" applyBorder="1" applyAlignment="1" applyProtection="1">
      <alignment horizontal="center" vertical="top" wrapText="1"/>
    </xf>
    <xf numFmtId="0" fontId="0" fillId="46" borderId="66" xfId="0" applyFill="1" applyBorder="1" applyAlignment="1">
      <alignment horizontal="center" vertical="top" wrapText="1"/>
    </xf>
    <xf numFmtId="0" fontId="0" fillId="46" borderId="0" xfId="0" applyFill="1" applyAlignment="1">
      <alignment horizontal="center" vertical="top" wrapText="1"/>
    </xf>
    <xf numFmtId="0" fontId="0" fillId="46" borderId="28" xfId="0" applyFill="1" applyBorder="1" applyAlignment="1">
      <alignment horizontal="center" vertical="top" wrapText="1"/>
    </xf>
    <xf numFmtId="0" fontId="0" fillId="0" borderId="0" xfId="0" applyAlignment="1">
      <alignment vertical="top"/>
    </xf>
    <xf numFmtId="0" fontId="0" fillId="25" borderId="21" xfId="0" applyFill="1" applyBorder="1" applyAlignment="1">
      <alignment horizontal="center" vertical="top" wrapText="1"/>
    </xf>
    <xf numFmtId="0" fontId="0" fillId="0" borderId="21" xfId="0" applyBorder="1" applyAlignment="1">
      <alignment vertical="top" wrapText="1"/>
    </xf>
    <xf numFmtId="0" fontId="4" fillId="25" borderId="0" xfId="0" applyFont="1" applyFill="1" applyAlignment="1">
      <alignment vertical="top" wrapText="1"/>
    </xf>
    <xf numFmtId="0" fontId="29" fillId="25" borderId="0" xfId="0" applyFont="1" applyFill="1" applyAlignment="1">
      <alignment vertical="top" wrapText="1"/>
    </xf>
    <xf numFmtId="0" fontId="6" fillId="25" borderId="0" xfId="78" applyFill="1" applyBorder="1" applyAlignment="1" applyProtection="1">
      <alignment horizontal="left" vertical="top"/>
    </xf>
    <xf numFmtId="0" fontId="6" fillId="0" borderId="0" xfId="78" applyBorder="1" applyAlignment="1" applyProtection="1">
      <alignment horizontal="left" vertical="top"/>
    </xf>
    <xf numFmtId="0" fontId="30" fillId="25" borderId="0" xfId="0" applyFont="1" applyFill="1" applyAlignment="1">
      <alignment horizontal="left" vertical="center" wrapText="1"/>
    </xf>
    <xf numFmtId="0" fontId="39" fillId="46" borderId="57" xfId="78" applyFont="1" applyFill="1" applyBorder="1" applyAlignment="1" applyProtection="1">
      <alignment horizontal="center" vertical="top" wrapText="1"/>
    </xf>
    <xf numFmtId="0" fontId="39" fillId="46" borderId="28" xfId="78" applyFont="1" applyFill="1" applyBorder="1" applyAlignment="1" applyProtection="1">
      <alignment horizontal="center" vertical="top" wrapText="1"/>
    </xf>
    <xf numFmtId="0" fontId="39" fillId="46" borderId="30" xfId="78" applyFont="1" applyFill="1" applyBorder="1" applyAlignment="1" applyProtection="1">
      <alignment horizontal="center" vertical="top" wrapText="1"/>
    </xf>
    <xf numFmtId="0" fontId="39" fillId="46" borderId="66" xfId="78" applyFont="1" applyFill="1" applyBorder="1" applyAlignment="1" applyProtection="1">
      <alignment horizontal="center" vertical="top" wrapText="1"/>
    </xf>
    <xf numFmtId="0" fontId="39" fillId="46" borderId="0" xfId="78" applyFont="1" applyFill="1" applyBorder="1" applyAlignment="1" applyProtection="1">
      <alignment horizontal="center" vertical="top" wrapText="1"/>
    </xf>
    <xf numFmtId="0" fontId="39" fillId="46" borderId="38" xfId="78" applyFont="1" applyFill="1" applyBorder="1" applyAlignment="1" applyProtection="1">
      <alignment horizontal="center" vertical="top" wrapText="1"/>
    </xf>
    <xf numFmtId="0" fontId="6" fillId="0" borderId="0" xfId="78" applyAlignment="1" applyProtection="1">
      <alignment vertical="top"/>
    </xf>
    <xf numFmtId="0" fontId="0" fillId="46" borderId="57" xfId="0" applyFill="1" applyBorder="1" applyAlignment="1">
      <alignment horizontal="center" vertical="top" wrapText="1"/>
    </xf>
    <xf numFmtId="0" fontId="71" fillId="25" borderId="114" xfId="0" applyFont="1" applyFill="1" applyBorder="1" applyAlignment="1">
      <alignment horizontal="center" vertical="center"/>
    </xf>
    <xf numFmtId="0" fontId="71" fillId="25" borderId="97" xfId="0" applyFont="1" applyFill="1" applyBorder="1" applyAlignment="1">
      <alignment horizontal="center" vertical="center"/>
    </xf>
    <xf numFmtId="0" fontId="71" fillId="25" borderId="96" xfId="0" applyFont="1" applyFill="1" applyBorder="1" applyAlignment="1">
      <alignment horizontal="center" vertical="center"/>
    </xf>
    <xf numFmtId="0" fontId="52" fillId="25" borderId="0" xfId="0" applyFont="1" applyFill="1" applyAlignment="1">
      <alignment horizontal="left" vertical="top" wrapText="1"/>
    </xf>
    <xf numFmtId="0" fontId="0" fillId="0" borderId="0" xfId="0" applyAlignment="1">
      <alignment horizontal="left" vertical="top" wrapText="1"/>
    </xf>
    <xf numFmtId="0" fontId="4" fillId="34" borderId="114" xfId="0" applyFont="1" applyFill="1" applyBorder="1" applyAlignment="1">
      <alignment horizontal="left" vertical="center" wrapText="1"/>
    </xf>
    <xf numFmtId="0" fontId="4" fillId="34" borderId="97" xfId="0" applyFont="1" applyFill="1" applyBorder="1" applyAlignment="1">
      <alignment horizontal="left" vertical="center" wrapText="1"/>
    </xf>
    <xf numFmtId="0" fontId="0" fillId="0" borderId="0" xfId="0" applyAlignment="1">
      <alignment vertical="top" wrapText="1"/>
    </xf>
    <xf numFmtId="0" fontId="0" fillId="25" borderId="0" xfId="0" applyFill="1" applyAlignment="1">
      <alignment vertical="top" wrapText="1"/>
    </xf>
    <xf numFmtId="0" fontId="33" fillId="25" borderId="0" xfId="0" applyFont="1" applyFill="1" applyAlignment="1">
      <alignment vertical="top" wrapText="1"/>
    </xf>
    <xf numFmtId="0" fontId="0" fillId="48" borderId="103" xfId="0" applyFill="1" applyBorder="1" applyAlignment="1">
      <alignment horizontal="center" vertical="top" wrapText="1"/>
    </xf>
    <xf numFmtId="0" fontId="0" fillId="48" borderId="21" xfId="0" applyFill="1" applyBorder="1" applyAlignment="1">
      <alignment horizontal="center" vertical="top" wrapText="1"/>
    </xf>
    <xf numFmtId="0" fontId="0" fillId="48" borderId="102" xfId="0" applyFill="1" applyBorder="1" applyAlignment="1">
      <alignment horizontal="center" vertical="top" wrapText="1"/>
    </xf>
    <xf numFmtId="0" fontId="0" fillId="48" borderId="99" xfId="0" applyFill="1" applyBorder="1" applyAlignment="1">
      <alignment horizontal="center" vertical="top" wrapText="1"/>
    </xf>
    <xf numFmtId="0" fontId="0" fillId="48" borderId="0" xfId="0" applyFill="1" applyAlignment="1">
      <alignment horizontal="center" vertical="top" wrapText="1"/>
    </xf>
    <xf numFmtId="0" fontId="0" fillId="48" borderId="18" xfId="0" applyFill="1" applyBorder="1" applyAlignment="1">
      <alignment horizontal="center" vertical="top" wrapText="1"/>
    </xf>
    <xf numFmtId="0" fontId="0" fillId="48" borderId="78" xfId="0" applyFill="1" applyBorder="1" applyAlignment="1">
      <alignment horizontal="center" vertical="top" wrapText="1"/>
    </xf>
    <xf numFmtId="0" fontId="0" fillId="48" borderId="12" xfId="0" applyFill="1" applyBorder="1" applyAlignment="1">
      <alignment horizontal="center" vertical="top" wrapText="1"/>
    </xf>
    <xf numFmtId="0" fontId="0" fillId="48" borderId="24" xfId="0" applyFill="1" applyBorder="1" applyAlignment="1">
      <alignment horizontal="center" vertical="top" wrapText="1"/>
    </xf>
    <xf numFmtId="0" fontId="3" fillId="26" borderId="0" xfId="0" applyFont="1" applyFill="1" applyAlignment="1">
      <alignment vertical="top" wrapText="1"/>
    </xf>
    <xf numFmtId="0" fontId="60" fillId="25" borderId="0" xfId="0" applyFont="1" applyFill="1" applyAlignment="1">
      <alignment vertical="top" wrapText="1"/>
    </xf>
    <xf numFmtId="0" fontId="2" fillId="43" borderId="102" xfId="0" quotePrefix="1" applyFont="1" applyFill="1" applyBorder="1" applyAlignment="1">
      <alignment horizontal="center" vertical="top" wrapText="1"/>
    </xf>
    <xf numFmtId="0" fontId="2" fillId="43" borderId="103" xfId="0" quotePrefix="1" applyFont="1" applyFill="1" applyBorder="1" applyAlignment="1">
      <alignment horizontal="center" vertical="top" wrapText="1"/>
    </xf>
    <xf numFmtId="0" fontId="2" fillId="50" borderId="18" xfId="0" applyFont="1" applyFill="1" applyBorder="1" applyAlignment="1">
      <alignment horizontal="center" vertical="top"/>
    </xf>
    <xf numFmtId="0" fontId="2" fillId="50" borderId="99" xfId="0" applyFont="1" applyFill="1" applyBorder="1" applyAlignment="1">
      <alignment horizontal="center" vertical="top"/>
    </xf>
    <xf numFmtId="0" fontId="2" fillId="48" borderId="0" xfId="0" applyFont="1" applyFill="1" applyAlignment="1">
      <alignment horizontal="center" vertical="top" wrapText="1"/>
    </xf>
    <xf numFmtId="0" fontId="2" fillId="46" borderId="0" xfId="0" applyFont="1" applyFill="1" applyAlignment="1">
      <alignment horizontal="center" vertical="top" wrapText="1"/>
    </xf>
    <xf numFmtId="0" fontId="2" fillId="37" borderId="67" xfId="0" applyFont="1" applyFill="1" applyBorder="1" applyAlignment="1">
      <alignment horizontal="center" vertical="top" wrapText="1"/>
    </xf>
    <xf numFmtId="0" fontId="2" fillId="0" borderId="26" xfId="0" applyFont="1" applyBorder="1" applyAlignment="1">
      <alignment horizontal="center" vertical="top" wrapText="1"/>
    </xf>
    <xf numFmtId="0" fontId="2" fillId="28" borderId="67" xfId="0" applyFont="1" applyFill="1" applyBorder="1" applyAlignment="1" applyProtection="1">
      <alignment horizontal="center" vertical="top" wrapText="1"/>
      <protection locked="0"/>
    </xf>
    <xf numFmtId="0" fontId="2" fillId="0" borderId="26" xfId="0" applyFont="1" applyBorder="1" applyAlignment="1" applyProtection="1">
      <alignment horizontal="center" vertical="top" wrapText="1"/>
      <protection locked="0"/>
    </xf>
    <xf numFmtId="164" fontId="2" fillId="29" borderId="67" xfId="0" applyNumberFormat="1" applyFont="1" applyFill="1" applyBorder="1" applyAlignment="1" applyProtection="1">
      <alignment horizontal="center" vertical="top" wrapText="1"/>
      <protection locked="0"/>
    </xf>
    <xf numFmtId="0" fontId="0" fillId="48" borderId="0" xfId="0" applyFill="1" applyAlignment="1">
      <alignment horizontal="left" vertical="top" wrapText="1"/>
    </xf>
    <xf numFmtId="0" fontId="6" fillId="25" borderId="0" xfId="78" applyFill="1" applyAlignment="1" applyProtection="1">
      <alignment vertical="top" wrapText="1"/>
    </xf>
    <xf numFmtId="0" fontId="33" fillId="25" borderId="0" xfId="0" applyFont="1" applyFill="1" applyAlignment="1">
      <alignment horizontal="left" vertical="top" wrapText="1"/>
    </xf>
    <xf numFmtId="0" fontId="6" fillId="46" borderId="0" xfId="78" applyFill="1" applyAlignment="1" applyProtection="1">
      <alignment vertical="top"/>
    </xf>
    <xf numFmtId="0" fontId="6" fillId="24" borderId="0" xfId="78" applyNumberFormat="1" applyFill="1" applyAlignment="1" applyProtection="1">
      <alignment horizontal="left" vertical="top" wrapText="1"/>
    </xf>
    <xf numFmtId="0" fontId="6" fillId="24" borderId="0" xfId="78" applyFill="1" applyAlignment="1" applyProtection="1">
      <alignment horizontal="left" vertical="top" wrapText="1"/>
    </xf>
    <xf numFmtId="0" fontId="60" fillId="25" borderId="99" xfId="0" applyFont="1" applyFill="1" applyBorder="1" applyAlignment="1">
      <alignment vertical="top" wrapText="1"/>
    </xf>
    <xf numFmtId="0" fontId="61" fillId="25" borderId="0" xfId="0" applyFont="1" applyFill="1" applyAlignment="1">
      <alignment vertical="top" wrapText="1"/>
    </xf>
    <xf numFmtId="0" fontId="52" fillId="25" borderId="67" xfId="0" applyFont="1" applyFill="1" applyBorder="1" applyAlignment="1">
      <alignment horizontal="left" vertical="top" wrapText="1"/>
    </xf>
    <xf numFmtId="0" fontId="0" fillId="0" borderId="25" xfId="0" applyBorder="1" applyAlignment="1">
      <alignment horizontal="left" vertical="top" wrapText="1"/>
    </xf>
    <xf numFmtId="0" fontId="88" fillId="54" borderId="13" xfId="0" applyFont="1" applyFill="1" applyBorder="1" applyAlignment="1" applyProtection="1">
      <alignment horizontal="center" vertical="top"/>
      <protection locked="0"/>
    </xf>
    <xf numFmtId="0" fontId="10" fillId="25" borderId="12" xfId="0" applyFont="1" applyFill="1" applyBorder="1" applyAlignment="1">
      <alignment vertical="top" wrapText="1"/>
    </xf>
    <xf numFmtId="0" fontId="0" fillId="0" borderId="12" xfId="0" applyBorder="1" applyAlignment="1">
      <alignment vertical="top" wrapText="1"/>
    </xf>
    <xf numFmtId="164" fontId="2" fillId="27" borderId="67" xfId="0" applyNumberFormat="1" applyFont="1" applyFill="1" applyBorder="1" applyAlignment="1">
      <alignment horizontal="center" vertical="top" wrapText="1"/>
    </xf>
    <xf numFmtId="0" fontId="40" fillId="25" borderId="0" xfId="0" applyFont="1" applyFill="1" applyAlignment="1">
      <alignment horizontal="left" vertical="top" wrapText="1"/>
    </xf>
    <xf numFmtId="0" fontId="40" fillId="0" borderId="0" xfId="0" applyFont="1" applyAlignment="1">
      <alignment horizontal="left" vertical="top" wrapText="1"/>
    </xf>
    <xf numFmtId="0" fontId="9" fillId="25" borderId="0" xfId="0" applyFont="1" applyFill="1" applyAlignment="1">
      <alignment vertical="top" wrapText="1"/>
    </xf>
    <xf numFmtId="0" fontId="0" fillId="25" borderId="0" xfId="0" applyFill="1" applyAlignment="1">
      <alignment horizontal="left" vertical="top" wrapText="1"/>
    </xf>
    <xf numFmtId="0" fontId="93" fillId="24" borderId="0" xfId="0" applyFont="1" applyFill="1" applyAlignment="1">
      <alignment horizontal="left" vertical="top" wrapText="1"/>
    </xf>
    <xf numFmtId="0" fontId="6" fillId="25" borderId="0" xfId="78" applyFill="1" applyAlignment="1" applyProtection="1">
      <alignment horizontal="left" vertical="top"/>
    </xf>
    <xf numFmtId="0" fontId="6" fillId="0" borderId="0" xfId="78" applyAlignment="1" applyProtection="1">
      <alignment horizontal="left" vertical="top"/>
    </xf>
    <xf numFmtId="0" fontId="81" fillId="51" borderId="67" xfId="0" applyFont="1" applyFill="1" applyBorder="1" applyAlignment="1">
      <alignment horizontal="center" vertical="top" wrapText="1"/>
    </xf>
    <xf numFmtId="0" fontId="81" fillId="51" borderId="26" xfId="0" applyFont="1" applyFill="1" applyBorder="1" applyAlignment="1">
      <alignment horizontal="center" vertical="top" wrapText="1"/>
    </xf>
    <xf numFmtId="49" fontId="4" fillId="40" borderId="106" xfId="0" applyNumberFormat="1" applyFont="1" applyFill="1" applyBorder="1" applyAlignment="1">
      <alignment vertical="top"/>
    </xf>
    <xf numFmtId="49" fontId="4" fillId="40" borderId="20" xfId="0" applyNumberFormat="1" applyFont="1" applyFill="1" applyBorder="1" applyAlignment="1">
      <alignment vertical="top"/>
    </xf>
    <xf numFmtId="0" fontId="2" fillId="40" borderId="106" xfId="0" applyFont="1" applyFill="1" applyBorder="1" applyAlignment="1">
      <alignment horizontal="left" vertical="top"/>
    </xf>
    <xf numFmtId="0" fontId="2" fillId="40" borderId="20" xfId="0" applyFont="1" applyFill="1" applyBorder="1" applyAlignment="1">
      <alignment horizontal="left" vertical="top"/>
    </xf>
    <xf numFmtId="0" fontId="2" fillId="40" borderId="15" xfId="0" applyFont="1" applyFill="1" applyBorder="1" applyAlignment="1">
      <alignment horizontal="left" vertical="top"/>
    </xf>
    <xf numFmtId="49" fontId="2" fillId="40" borderId="106" xfId="0" applyNumberFormat="1" applyFont="1" applyFill="1" applyBorder="1" applyAlignment="1">
      <alignment horizontal="left" vertical="top"/>
    </xf>
    <xf numFmtId="49" fontId="2" fillId="40" borderId="15" xfId="0" applyNumberFormat="1" applyFont="1" applyFill="1" applyBorder="1" applyAlignment="1">
      <alignment horizontal="left" vertical="top"/>
    </xf>
    <xf numFmtId="49" fontId="4" fillId="40" borderId="94" xfId="0" applyNumberFormat="1" applyFont="1" applyFill="1" applyBorder="1" applyAlignment="1">
      <alignment vertical="top"/>
    </xf>
    <xf numFmtId="49" fontId="4" fillId="40" borderId="23" xfId="0" applyNumberFormat="1" applyFont="1" applyFill="1" applyBorder="1" applyAlignment="1">
      <alignment vertical="top"/>
    </xf>
    <xf numFmtId="0" fontId="2" fillId="40" borderId="94" xfId="0" applyFont="1" applyFill="1" applyBorder="1" applyAlignment="1">
      <alignment horizontal="left" vertical="top"/>
    </xf>
    <xf numFmtId="0" fontId="2" fillId="40" borderId="23" xfId="0" applyFont="1" applyFill="1" applyBorder="1" applyAlignment="1">
      <alignment horizontal="left" vertical="top"/>
    </xf>
    <xf numFmtId="0" fontId="2" fillId="40" borderId="16" xfId="0" applyFont="1" applyFill="1" applyBorder="1" applyAlignment="1">
      <alignment horizontal="left" vertical="top"/>
    </xf>
    <xf numFmtId="49" fontId="2" fillId="40" borderId="94" xfId="0" applyNumberFormat="1" applyFont="1" applyFill="1" applyBorder="1" applyAlignment="1">
      <alignment horizontal="left" vertical="top"/>
    </xf>
    <xf numFmtId="49" fontId="2" fillId="40" borderId="16" xfId="0" applyNumberFormat="1" applyFont="1" applyFill="1" applyBorder="1" applyAlignment="1">
      <alignment horizontal="left" vertical="top"/>
    </xf>
    <xf numFmtId="0" fontId="4" fillId="40" borderId="105" xfId="0" applyFont="1" applyFill="1" applyBorder="1" applyAlignment="1">
      <alignment vertical="top"/>
    </xf>
    <xf numFmtId="0" fontId="4" fillId="40" borderId="19" xfId="0" applyFont="1" applyFill="1" applyBorder="1" applyAlignment="1">
      <alignment vertical="top"/>
    </xf>
    <xf numFmtId="0" fontId="2" fillId="40" borderId="105" xfId="0" applyFont="1" applyFill="1" applyBorder="1" applyAlignment="1">
      <alignment horizontal="left" vertical="top"/>
    </xf>
    <xf numFmtId="0" fontId="2" fillId="40" borderId="19" xfId="0" applyFont="1" applyFill="1" applyBorder="1" applyAlignment="1">
      <alignment horizontal="left" vertical="top"/>
    </xf>
    <xf numFmtId="0" fontId="2" fillId="40" borderId="14" xfId="0" applyFont="1" applyFill="1" applyBorder="1" applyAlignment="1">
      <alignment horizontal="left" vertical="top"/>
    </xf>
    <xf numFmtId="0" fontId="0" fillId="40" borderId="23" xfId="0" applyFill="1" applyBorder="1" applyAlignment="1">
      <alignment horizontal="left" vertical="top"/>
    </xf>
    <xf numFmtId="0" fontId="2" fillId="40" borderId="94" xfId="0" applyFont="1" applyFill="1" applyBorder="1" applyAlignment="1">
      <alignment vertical="top"/>
    </xf>
    <xf numFmtId="0" fontId="0" fillId="40" borderId="16" xfId="0" applyFill="1" applyBorder="1" applyAlignment="1">
      <alignment vertical="top"/>
    </xf>
    <xf numFmtId="0" fontId="0" fillId="40" borderId="20" xfId="0" applyFill="1" applyBorder="1" applyAlignment="1">
      <alignment horizontal="left" vertical="top"/>
    </xf>
    <xf numFmtId="0" fontId="2" fillId="40" borderId="106" xfId="0" applyFont="1" applyFill="1" applyBorder="1" applyAlignment="1">
      <alignment vertical="top"/>
    </xf>
    <xf numFmtId="0" fontId="0" fillId="40" borderId="15" xfId="0" applyFill="1" applyBorder="1" applyAlignment="1">
      <alignment vertical="top"/>
    </xf>
    <xf numFmtId="0" fontId="4" fillId="25" borderId="78" xfId="0" applyFont="1" applyFill="1" applyBorder="1" applyAlignment="1">
      <alignment wrapText="1"/>
    </xf>
    <xf numFmtId="0" fontId="0" fillId="0" borderId="24" xfId="0" applyBorder="1" applyAlignment="1">
      <alignment wrapText="1"/>
    </xf>
    <xf numFmtId="0" fontId="4" fillId="0" borderId="78" xfId="0" applyFont="1" applyBorder="1" applyAlignment="1">
      <alignment wrapText="1"/>
    </xf>
    <xf numFmtId="0" fontId="0" fillId="0" borderId="12" xfId="0" applyBorder="1" applyAlignment="1">
      <alignment wrapText="1"/>
    </xf>
    <xf numFmtId="0" fontId="4" fillId="25" borderId="12" xfId="0" applyFont="1" applyFill="1" applyBorder="1" applyAlignment="1">
      <alignment wrapText="1"/>
    </xf>
    <xf numFmtId="0" fontId="2" fillId="25" borderId="14" xfId="0" applyFont="1" applyFill="1" applyBorder="1" applyAlignment="1">
      <alignment vertical="top" wrapText="1"/>
    </xf>
    <xf numFmtId="0" fontId="0" fillId="0" borderId="14" xfId="0" applyBorder="1" applyAlignment="1">
      <alignment vertical="top" wrapText="1"/>
    </xf>
    <xf numFmtId="0" fontId="0" fillId="0" borderId="19" xfId="0" applyBorder="1" applyAlignment="1">
      <alignment vertical="top" wrapText="1"/>
    </xf>
    <xf numFmtId="0" fontId="2" fillId="25" borderId="15" xfId="0" applyFont="1" applyFill="1" applyBorder="1" applyAlignment="1">
      <alignment vertical="top" wrapText="1"/>
    </xf>
    <xf numFmtId="0" fontId="0" fillId="0" borderId="15" xfId="0" applyBorder="1" applyAlignment="1">
      <alignment vertical="top" wrapText="1"/>
    </xf>
    <xf numFmtId="0" fontId="0" fillId="0" borderId="20" xfId="0" applyBorder="1" applyAlignment="1">
      <alignment vertical="top" wrapText="1"/>
    </xf>
    <xf numFmtId="0" fontId="2" fillId="25" borderId="16" xfId="0" applyFont="1" applyFill="1" applyBorder="1" applyAlignment="1">
      <alignment vertical="top" wrapText="1"/>
    </xf>
    <xf numFmtId="0" fontId="0" fillId="0" borderId="16" xfId="0" applyBorder="1" applyAlignment="1">
      <alignment vertical="top" wrapText="1"/>
    </xf>
    <xf numFmtId="0" fontId="0" fillId="0" borderId="23" xfId="0" applyBorder="1" applyAlignment="1">
      <alignment vertical="top" wrapText="1"/>
    </xf>
    <xf numFmtId="0" fontId="0" fillId="40" borderId="19" xfId="0" applyFill="1" applyBorder="1" applyAlignment="1">
      <alignment horizontal="left" vertical="top"/>
    </xf>
    <xf numFmtId="0" fontId="2" fillId="40" borderId="105" xfId="0" applyFont="1" applyFill="1" applyBorder="1" applyAlignment="1">
      <alignment vertical="top"/>
    </xf>
    <xf numFmtId="0" fontId="0" fillId="40" borderId="14" xfId="0" applyFill="1" applyBorder="1" applyAlignment="1">
      <alignment vertical="top"/>
    </xf>
    <xf numFmtId="0" fontId="35" fillId="25" borderId="0" xfId="0" applyFont="1" applyFill="1" applyAlignment="1">
      <alignment vertical="top" wrapText="1"/>
    </xf>
    <xf numFmtId="0" fontId="2" fillId="25" borderId="0" xfId="0" applyFont="1" applyFill="1" applyAlignment="1">
      <alignment horizontal="right" vertical="top" wrapText="1"/>
    </xf>
    <xf numFmtId="0" fontId="0" fillId="0" borderId="0" xfId="0" applyAlignment="1">
      <alignment horizontal="right" vertical="top" wrapText="1"/>
    </xf>
    <xf numFmtId="0" fontId="0" fillId="0" borderId="18" xfId="0" applyBorder="1" applyAlignment="1">
      <alignment horizontal="right" vertical="top" wrapText="1"/>
    </xf>
    <xf numFmtId="0" fontId="2" fillId="40" borderId="67" xfId="0" applyFont="1" applyFill="1" applyBorder="1" applyAlignment="1">
      <alignment horizontal="left" vertical="top"/>
    </xf>
    <xf numFmtId="0" fontId="2" fillId="40" borderId="25" xfId="0" applyFont="1" applyFill="1" applyBorder="1" applyAlignment="1">
      <alignment horizontal="left" vertical="top"/>
    </xf>
    <xf numFmtId="0" fontId="2" fillId="40" borderId="26" xfId="0" applyFont="1" applyFill="1" applyBorder="1" applyAlignment="1">
      <alignment horizontal="left" vertical="top"/>
    </xf>
    <xf numFmtId="0" fontId="0" fillId="0" borderId="18" xfId="0" applyBorder="1" applyAlignment="1">
      <alignment vertical="top" wrapText="1"/>
    </xf>
    <xf numFmtId="0" fontId="10" fillId="25" borderId="0" xfId="0" applyFont="1" applyFill="1" applyAlignment="1">
      <alignment vertical="top" wrapText="1"/>
    </xf>
    <xf numFmtId="0" fontId="4" fillId="25" borderId="12" xfId="0" applyFont="1" applyFill="1" applyBorder="1" applyAlignment="1">
      <alignment horizontal="left" vertical="top" wrapText="1"/>
    </xf>
    <xf numFmtId="0" fontId="4" fillId="25" borderId="24" xfId="0" applyFont="1" applyFill="1" applyBorder="1" applyAlignment="1">
      <alignment horizontal="left" vertical="top" wrapText="1"/>
    </xf>
    <xf numFmtId="0" fontId="2" fillId="25" borderId="13" xfId="0" applyFont="1" applyFill="1" applyBorder="1" applyAlignment="1">
      <alignment horizontal="left" vertical="top"/>
    </xf>
    <xf numFmtId="0" fontId="2" fillId="25" borderId="10" xfId="0" applyFont="1" applyFill="1" applyBorder="1" applyAlignment="1">
      <alignment horizontal="left" vertical="top"/>
    </xf>
    <xf numFmtId="0" fontId="2" fillId="25" borderId="71" xfId="0" applyFont="1" applyFill="1" applyBorder="1" applyAlignment="1">
      <alignment horizontal="left" vertical="top"/>
    </xf>
    <xf numFmtId="0" fontId="4" fillId="25" borderId="18" xfId="0" applyFont="1" applyFill="1" applyBorder="1" applyAlignment="1">
      <alignment vertical="top" wrapText="1"/>
    </xf>
    <xf numFmtId="0" fontId="2" fillId="25" borderId="60" xfId="0" applyFont="1" applyFill="1" applyBorder="1" applyAlignment="1">
      <alignment horizontal="left" vertical="top"/>
    </xf>
    <xf numFmtId="0" fontId="2" fillId="25" borderId="11" xfId="0" applyFont="1" applyFill="1" applyBorder="1" applyAlignment="1">
      <alignment horizontal="left" vertical="top"/>
    </xf>
    <xf numFmtId="0" fontId="41" fillId="25" borderId="0" xfId="0" applyFont="1" applyFill="1" applyAlignment="1">
      <alignment vertical="top" wrapText="1"/>
    </xf>
    <xf numFmtId="0" fontId="4" fillId="0" borderId="0" xfId="0" applyFont="1" applyAlignment="1">
      <alignment vertical="top" wrapText="1"/>
    </xf>
    <xf numFmtId="0" fontId="4" fillId="25" borderId="0" xfId="0" applyFont="1" applyFill="1" applyAlignment="1">
      <alignment horizontal="left" vertical="top"/>
    </xf>
    <xf numFmtId="0" fontId="4" fillId="25" borderId="18" xfId="0" applyFont="1" applyFill="1" applyBorder="1" applyAlignment="1">
      <alignment horizontal="left" vertical="top"/>
    </xf>
    <xf numFmtId="0" fontId="4" fillId="43" borderId="25" xfId="0" applyFont="1" applyFill="1" applyBorder="1" applyAlignment="1">
      <alignment vertical="top" wrapText="1"/>
    </xf>
    <xf numFmtId="0" fontId="10" fillId="41" borderId="0" xfId="0" applyFont="1" applyFill="1" applyAlignment="1">
      <alignment horizontal="left" vertical="top" wrapText="1"/>
    </xf>
    <xf numFmtId="0" fontId="48" fillId="34" borderId="114" xfId="0" applyFont="1" applyFill="1" applyBorder="1" applyAlignment="1">
      <alignment horizontal="left" vertical="center" wrapText="1"/>
    </xf>
    <xf numFmtId="0" fontId="48" fillId="34" borderId="97" xfId="0" applyFont="1" applyFill="1" applyBorder="1" applyAlignment="1">
      <alignment horizontal="left" vertical="center" wrapText="1"/>
    </xf>
    <xf numFmtId="0" fontId="48" fillId="34" borderId="96" xfId="0" applyFont="1" applyFill="1" applyBorder="1" applyAlignment="1">
      <alignment horizontal="left" vertical="center" wrapText="1"/>
    </xf>
    <xf numFmtId="0" fontId="35" fillId="25" borderId="0" xfId="0" applyFont="1" applyFill="1" applyAlignment="1">
      <alignment horizontal="left" vertical="top" wrapText="1"/>
    </xf>
    <xf numFmtId="0" fontId="2" fillId="43" borderId="25" xfId="0" applyFont="1" applyFill="1" applyBorder="1" applyAlignment="1">
      <alignment vertical="top" wrapText="1"/>
    </xf>
    <xf numFmtId="0" fontId="35" fillId="25" borderId="18" xfId="0" applyFont="1" applyFill="1" applyBorder="1" applyAlignment="1">
      <alignment vertical="top" wrapText="1"/>
    </xf>
    <xf numFmtId="0" fontId="38" fillId="27" borderId="67" xfId="0" applyFont="1" applyFill="1" applyBorder="1" applyAlignment="1">
      <alignment horizontal="left" vertical="top" wrapText="1"/>
    </xf>
    <xf numFmtId="0" fontId="38" fillId="27" borderId="25" xfId="0" applyFont="1" applyFill="1" applyBorder="1" applyAlignment="1">
      <alignment horizontal="left" vertical="top" wrapText="1"/>
    </xf>
    <xf numFmtId="0" fontId="38" fillId="27" borderId="50" xfId="0" applyFont="1" applyFill="1" applyBorder="1" applyAlignment="1">
      <alignment horizontal="left" vertical="top" wrapText="1"/>
    </xf>
    <xf numFmtId="0" fontId="38" fillId="27" borderId="114" xfId="0" applyFont="1" applyFill="1" applyBorder="1" applyAlignment="1">
      <alignment horizontal="center"/>
    </xf>
    <xf numFmtId="0" fontId="38" fillId="27" borderId="96" xfId="0" applyFont="1" applyFill="1" applyBorder="1" applyAlignment="1">
      <alignment horizontal="center"/>
    </xf>
    <xf numFmtId="0" fontId="2" fillId="43" borderId="14" xfId="0" applyFont="1" applyFill="1" applyBorder="1" applyAlignment="1">
      <alignment vertical="top" wrapText="1"/>
    </xf>
    <xf numFmtId="0" fontId="2" fillId="43" borderId="16" xfId="0" applyFont="1" applyFill="1" applyBorder="1" applyAlignment="1">
      <alignment vertical="top" wrapText="1"/>
    </xf>
    <xf numFmtId="0" fontId="2" fillId="40" borderId="25" xfId="0" applyFont="1" applyFill="1" applyBorder="1" applyAlignment="1">
      <alignment vertical="top" wrapText="1"/>
    </xf>
    <xf numFmtId="0" fontId="38" fillId="27" borderId="67" xfId="0" applyFont="1" applyFill="1" applyBorder="1" applyAlignment="1">
      <alignment vertical="top" wrapText="1"/>
    </xf>
    <xf numFmtId="0" fontId="38" fillId="27" borderId="25" xfId="0" applyFont="1" applyFill="1" applyBorder="1" applyAlignment="1">
      <alignment vertical="top" wrapText="1"/>
    </xf>
    <xf numFmtId="0" fontId="38" fillId="27" borderId="26" xfId="0" applyFont="1" applyFill="1" applyBorder="1" applyAlignment="1">
      <alignment vertical="top" wrapText="1"/>
    </xf>
    <xf numFmtId="0" fontId="10" fillId="25" borderId="15" xfId="0" applyFont="1" applyFill="1" applyBorder="1" applyAlignment="1">
      <alignment vertical="top"/>
    </xf>
    <xf numFmtId="0" fontId="10" fillId="25" borderId="15" xfId="0" applyFont="1" applyFill="1" applyBorder="1" applyAlignment="1">
      <alignment vertical="top" wrapText="1"/>
    </xf>
    <xf numFmtId="0" fontId="10" fillId="41" borderId="0" xfId="0" applyFont="1" applyFill="1" applyAlignment="1">
      <alignment vertical="top" wrapText="1"/>
    </xf>
    <xf numFmtId="0" fontId="10" fillId="25" borderId="17" xfId="0" applyFont="1" applyFill="1" applyBorder="1" applyAlignment="1">
      <alignment vertical="top" wrapText="1"/>
    </xf>
    <xf numFmtId="0" fontId="0" fillId="0" borderId="15" xfId="0" applyBorder="1" applyAlignment="1">
      <alignment vertical="top"/>
    </xf>
    <xf numFmtId="0" fontId="2" fillId="40" borderId="16" xfId="0" applyFont="1" applyFill="1" applyBorder="1" applyAlignment="1">
      <alignment horizontal="left" vertical="top" wrapText="1"/>
    </xf>
    <xf numFmtId="0" fontId="2" fillId="25" borderId="12" xfId="0" applyFont="1" applyFill="1" applyBorder="1" applyAlignment="1">
      <alignment vertical="center" wrapText="1"/>
    </xf>
    <xf numFmtId="0" fontId="0" fillId="0" borderId="12" xfId="0" applyBorder="1" applyAlignment="1">
      <alignment vertical="center" wrapText="1"/>
    </xf>
    <xf numFmtId="0" fontId="4" fillId="25" borderId="0" xfId="0" applyFont="1" applyFill="1" applyAlignment="1">
      <alignment vertical="center" wrapText="1"/>
    </xf>
    <xf numFmtId="0" fontId="0" fillId="0" borderId="0" xfId="0" applyAlignment="1">
      <alignment vertical="center" wrapText="1"/>
    </xf>
    <xf numFmtId="0" fontId="2" fillId="25" borderId="25" xfId="0" applyFont="1" applyFill="1" applyBorder="1" applyAlignment="1">
      <alignment vertical="center" wrapText="1"/>
    </xf>
    <xf numFmtId="0" fontId="0" fillId="0" borderId="25" xfId="0" applyBorder="1" applyAlignment="1">
      <alignment vertical="center" wrapText="1"/>
    </xf>
    <xf numFmtId="0" fontId="35" fillId="25" borderId="0" xfId="0" applyFont="1" applyFill="1" applyAlignment="1">
      <alignment vertical="center" wrapText="1"/>
    </xf>
    <xf numFmtId="0" fontId="4" fillId="25" borderId="0" xfId="0" applyFont="1" applyFill="1" applyAlignment="1">
      <alignment horizontal="left" vertical="top" wrapText="1"/>
    </xf>
    <xf numFmtId="0" fontId="4" fillId="25" borderId="18" xfId="0" applyFont="1" applyFill="1" applyBorder="1" applyAlignment="1">
      <alignment horizontal="left" vertical="top" wrapText="1"/>
    </xf>
    <xf numFmtId="0" fontId="2" fillId="40" borderId="67" xfId="0" applyFont="1" applyFill="1" applyBorder="1" applyAlignment="1">
      <alignment horizontal="center" vertical="top"/>
    </xf>
    <xf numFmtId="0" fontId="2" fillId="40" borderId="26" xfId="0" applyFont="1" applyFill="1" applyBorder="1" applyAlignment="1">
      <alignment horizontal="center" vertical="top"/>
    </xf>
    <xf numFmtId="0" fontId="2" fillId="41" borderId="16" xfId="0" applyFont="1" applyFill="1" applyBorder="1" applyAlignment="1">
      <alignment vertical="top" wrapText="1"/>
    </xf>
    <xf numFmtId="0" fontId="4" fillId="25" borderId="12" xfId="0" applyFont="1" applyFill="1" applyBorder="1" applyAlignment="1">
      <alignment vertical="center" wrapText="1"/>
    </xf>
    <xf numFmtId="0" fontId="2" fillId="40" borderId="14" xfId="0" applyFont="1" applyFill="1" applyBorder="1" applyAlignment="1">
      <alignment horizontal="left" vertical="top" wrapText="1"/>
    </xf>
    <xf numFmtId="0" fontId="2" fillId="40" borderId="15" xfId="0" applyFont="1" applyFill="1" applyBorder="1" applyAlignment="1">
      <alignment horizontal="left" vertical="top" wrapText="1"/>
    </xf>
    <xf numFmtId="0" fontId="2" fillId="40" borderId="14" xfId="0" applyFont="1" applyFill="1" applyBorder="1" applyAlignment="1">
      <alignment horizontal="left" vertical="center" wrapText="1"/>
    </xf>
    <xf numFmtId="0" fontId="2" fillId="40" borderId="15" xfId="0" applyFont="1" applyFill="1" applyBorder="1" applyAlignment="1">
      <alignment horizontal="left" vertical="center" wrapText="1"/>
    </xf>
    <xf numFmtId="0" fontId="2" fillId="40" borderId="16" xfId="0" applyFont="1" applyFill="1" applyBorder="1" applyAlignment="1">
      <alignment horizontal="left" vertical="center" wrapText="1"/>
    </xf>
    <xf numFmtId="0" fontId="2" fillId="0" borderId="14" xfId="0" applyFont="1" applyBorder="1" applyAlignment="1">
      <alignment vertical="center" wrapText="1"/>
    </xf>
    <xf numFmtId="0" fontId="2" fillId="0" borderId="15" xfId="0" applyFont="1" applyBorder="1" applyAlignment="1">
      <alignment vertical="center" wrapText="1"/>
    </xf>
    <xf numFmtId="0" fontId="2" fillId="41" borderId="25" xfId="0" applyFont="1" applyFill="1" applyBorder="1" applyAlignment="1">
      <alignment vertical="top" wrapText="1"/>
    </xf>
    <xf numFmtId="0" fontId="0" fillId="0" borderId="25" xfId="0" applyBorder="1" applyAlignment="1">
      <alignment vertical="top" wrapText="1"/>
    </xf>
    <xf numFmtId="0" fontId="2" fillId="40" borderId="17" xfId="0" applyFont="1" applyFill="1" applyBorder="1" applyAlignment="1">
      <alignment horizontal="left" vertical="top"/>
    </xf>
    <xf numFmtId="0" fontId="2" fillId="25" borderId="14" xfId="0" applyFont="1" applyFill="1" applyBorder="1" applyAlignment="1">
      <alignment vertical="center" wrapText="1"/>
    </xf>
    <xf numFmtId="0" fontId="0" fillId="0" borderId="14" xfId="0" applyBorder="1" applyAlignment="1">
      <alignment vertical="center" wrapText="1"/>
    </xf>
    <xf numFmtId="0" fontId="2" fillId="25" borderId="16" xfId="0" applyFont="1" applyFill="1" applyBorder="1" applyAlignment="1">
      <alignment vertical="center" wrapText="1"/>
    </xf>
    <xf numFmtId="0" fontId="0" fillId="0" borderId="16" xfId="0" applyBorder="1" applyAlignment="1">
      <alignment vertical="center" wrapText="1"/>
    </xf>
    <xf numFmtId="0" fontId="4" fillId="25" borderId="25" xfId="0" applyFont="1" applyFill="1" applyBorder="1" applyAlignment="1">
      <alignment vertical="center" wrapText="1"/>
    </xf>
    <xf numFmtId="0" fontId="4" fillId="25" borderId="25" xfId="0" applyFont="1" applyFill="1" applyBorder="1" applyAlignment="1">
      <alignment vertical="top" wrapText="1"/>
    </xf>
    <xf numFmtId="0" fontId="2" fillId="25" borderId="17" xfId="0" applyFont="1" applyFill="1" applyBorder="1" applyAlignment="1">
      <alignment vertical="top" wrapText="1"/>
    </xf>
    <xf numFmtId="0" fontId="2" fillId="41" borderId="25" xfId="0" applyFont="1" applyFill="1" applyBorder="1" applyAlignment="1">
      <alignment horizontal="left" vertical="top" wrapText="1"/>
    </xf>
    <xf numFmtId="0" fontId="2" fillId="41" borderId="12" xfId="0" applyFont="1" applyFill="1" applyBorder="1" applyAlignment="1">
      <alignment horizontal="left" vertical="top" wrapText="1"/>
    </xf>
    <xf numFmtId="0" fontId="2" fillId="41" borderId="0" xfId="0" applyFont="1" applyFill="1" applyAlignment="1">
      <alignment horizontal="left" vertical="top" wrapText="1"/>
    </xf>
    <xf numFmtId="0" fontId="4" fillId="25" borderId="100" xfId="0" applyFont="1" applyFill="1" applyBorder="1" applyAlignment="1">
      <alignment vertical="center" wrapText="1"/>
    </xf>
    <xf numFmtId="0" fontId="0" fillId="0" borderId="51" xfId="0" applyBorder="1" applyAlignment="1">
      <alignment vertical="center" wrapText="1"/>
    </xf>
    <xf numFmtId="0" fontId="4" fillId="25" borderId="56" xfId="0" applyFont="1" applyFill="1" applyBorder="1" applyAlignment="1">
      <alignment vertical="center" wrapText="1"/>
    </xf>
    <xf numFmtId="0" fontId="0" fillId="0" borderId="36" xfId="0" applyBorder="1" applyAlignment="1">
      <alignment vertical="center" wrapText="1"/>
    </xf>
    <xf numFmtId="0" fontId="36" fillId="40" borderId="67" xfId="0" applyFont="1" applyFill="1" applyBorder="1" applyAlignment="1">
      <alignment horizontal="left"/>
    </xf>
    <xf numFmtId="0" fontId="36" fillId="40" borderId="25" xfId="0" applyFont="1" applyFill="1" applyBorder="1" applyAlignment="1">
      <alignment horizontal="left"/>
    </xf>
    <xf numFmtId="0" fontId="36" fillId="40" borderId="26" xfId="0" applyFont="1" applyFill="1" applyBorder="1" applyAlignment="1">
      <alignment horizontal="left"/>
    </xf>
    <xf numFmtId="0" fontId="4" fillId="25" borderId="12" xfId="0" applyFont="1" applyFill="1" applyBorder="1" applyAlignment="1">
      <alignment vertical="top" wrapText="1"/>
    </xf>
    <xf numFmtId="0" fontId="2" fillId="25" borderId="36" xfId="0" applyFont="1" applyFill="1" applyBorder="1" applyAlignment="1">
      <alignment vertical="top" wrapText="1"/>
    </xf>
    <xf numFmtId="0" fontId="4" fillId="25" borderId="100" xfId="0" applyFont="1" applyFill="1" applyBorder="1" applyAlignment="1">
      <alignment vertical="top" wrapText="1"/>
    </xf>
    <xf numFmtId="0" fontId="0" fillId="0" borderId="51" xfId="0" applyBorder="1" applyAlignment="1">
      <alignment vertical="top" wrapText="1"/>
    </xf>
    <xf numFmtId="0" fontId="4" fillId="25" borderId="56" xfId="0" applyFont="1" applyFill="1" applyBorder="1" applyAlignment="1">
      <alignment vertical="top" wrapText="1"/>
    </xf>
    <xf numFmtId="0" fontId="0" fillId="0" borderId="36" xfId="0" applyBorder="1" applyAlignment="1">
      <alignment vertical="top" wrapText="1"/>
    </xf>
    <xf numFmtId="0" fontId="2" fillId="41" borderId="12" xfId="0" applyFont="1" applyFill="1" applyBorder="1" applyAlignment="1">
      <alignment vertical="top" wrapText="1"/>
    </xf>
    <xf numFmtId="0" fontId="4" fillId="25" borderId="51" xfId="0" applyFont="1" applyFill="1" applyBorder="1" applyAlignment="1">
      <alignment vertical="top" wrapText="1"/>
    </xf>
    <xf numFmtId="0" fontId="4" fillId="25" borderId="36" xfId="0" applyFont="1" applyFill="1" applyBorder="1" applyAlignment="1">
      <alignment vertical="top" wrapText="1"/>
    </xf>
    <xf numFmtId="0" fontId="2" fillId="40" borderId="14" xfId="0" applyFont="1" applyFill="1" applyBorder="1" applyAlignment="1">
      <alignment vertical="top" wrapText="1"/>
    </xf>
    <xf numFmtId="0" fontId="57" fillId="25" borderId="15" xfId="0" applyFont="1" applyFill="1" applyBorder="1" applyAlignment="1">
      <alignment vertical="top" wrapText="1"/>
    </xf>
    <xf numFmtId="0" fontId="2" fillId="25" borderId="21" xfId="0" applyFont="1" applyFill="1" applyBorder="1" applyAlignment="1">
      <alignment vertical="top" wrapText="1"/>
    </xf>
    <xf numFmtId="0" fontId="4" fillId="25" borderId="114" xfId="0" applyFont="1" applyFill="1" applyBorder="1" applyAlignment="1">
      <alignment vertical="top" wrapText="1"/>
    </xf>
    <xf numFmtId="0" fontId="4" fillId="25" borderId="97" xfId="0" applyFont="1" applyFill="1" applyBorder="1" applyAlignment="1">
      <alignment vertical="top" wrapText="1"/>
    </xf>
    <xf numFmtId="0" fontId="2" fillId="27" borderId="67" xfId="0" applyFont="1" applyFill="1" applyBorder="1" applyAlignment="1">
      <alignment vertical="top" wrapText="1"/>
    </xf>
    <xf numFmtId="0" fontId="0" fillId="0" borderId="26" xfId="0" applyBorder="1" applyAlignment="1">
      <alignment vertical="top" wrapText="1"/>
    </xf>
    <xf numFmtId="0" fontId="2" fillId="27" borderId="67" xfId="0" applyFont="1" applyFill="1" applyBorder="1" applyAlignment="1">
      <alignment horizontal="left" vertical="top" wrapText="1"/>
    </xf>
    <xf numFmtId="0" fontId="0" fillId="0" borderId="26" xfId="0" applyBorder="1" applyAlignment="1">
      <alignment horizontal="left" vertical="top" wrapText="1"/>
    </xf>
    <xf numFmtId="0" fontId="2" fillId="27" borderId="26" xfId="0" applyFont="1" applyFill="1" applyBorder="1" applyAlignment="1">
      <alignment vertical="top" wrapText="1"/>
    </xf>
    <xf numFmtId="0" fontId="2" fillId="25" borderId="18" xfId="0" applyFont="1" applyFill="1" applyBorder="1" applyAlignment="1">
      <alignment horizontal="left" vertical="top" wrapText="1"/>
    </xf>
    <xf numFmtId="0" fontId="2" fillId="41" borderId="0" xfId="0" applyFont="1" applyFill="1" applyAlignment="1">
      <alignment vertical="top" wrapText="1"/>
    </xf>
    <xf numFmtId="0" fontId="0" fillId="0" borderId="38" xfId="0" applyBorder="1" applyAlignment="1">
      <alignment vertical="top" wrapText="1"/>
    </xf>
    <xf numFmtId="0" fontId="2" fillId="40" borderId="13" xfId="0" applyFont="1" applyFill="1" applyBorder="1" applyAlignment="1">
      <alignment horizontal="left" vertical="top"/>
    </xf>
    <xf numFmtId="49" fontId="2" fillId="40" borderId="13" xfId="0" applyNumberFormat="1" applyFont="1" applyFill="1" applyBorder="1" applyAlignment="1">
      <alignment horizontal="left" vertical="top"/>
    </xf>
    <xf numFmtId="0" fontId="2" fillId="25" borderId="78" xfId="0" applyFont="1" applyFill="1" applyBorder="1" applyAlignment="1">
      <alignment vertical="top" wrapText="1"/>
    </xf>
    <xf numFmtId="0" fontId="2" fillId="25" borderId="24" xfId="0" applyFont="1" applyFill="1" applyBorder="1" applyAlignment="1">
      <alignment vertical="top" wrapText="1"/>
    </xf>
    <xf numFmtId="0" fontId="51" fillId="41" borderId="0" xfId="0" applyFont="1" applyFill="1" applyAlignment="1">
      <alignment horizontal="left" vertical="top" wrapText="1"/>
    </xf>
    <xf numFmtId="0" fontId="51" fillId="41" borderId="38" xfId="0" applyFont="1" applyFill="1" applyBorder="1" applyAlignment="1">
      <alignment horizontal="left" vertical="top" wrapText="1"/>
    </xf>
    <xf numFmtId="0" fontId="86" fillId="25" borderId="0" xfId="0" applyFont="1" applyFill="1" applyAlignment="1">
      <alignment horizontal="left"/>
    </xf>
    <xf numFmtId="0" fontId="41" fillId="41" borderId="0" xfId="0" applyFont="1" applyFill="1" applyAlignment="1">
      <alignment horizontal="left" vertical="top" wrapText="1"/>
    </xf>
    <xf numFmtId="0" fontId="41" fillId="41" borderId="38" xfId="0" applyFont="1" applyFill="1" applyBorder="1" applyAlignment="1">
      <alignment horizontal="left" vertical="top" wrapText="1"/>
    </xf>
    <xf numFmtId="0" fontId="10" fillId="41" borderId="0" xfId="0" applyFont="1" applyFill="1" applyAlignment="1">
      <alignment horizontal="center" vertical="top" wrapText="1"/>
    </xf>
    <xf numFmtId="0" fontId="10" fillId="41" borderId="38" xfId="0" applyFont="1" applyFill="1" applyBorder="1" applyAlignment="1">
      <alignment horizontal="left" vertical="top" wrapText="1"/>
    </xf>
    <xf numFmtId="0" fontId="75" fillId="46" borderId="0" xfId="78" applyFont="1" applyFill="1" applyBorder="1" applyAlignment="1" applyProtection="1">
      <alignment horizontal="left" vertical="center" wrapText="1"/>
    </xf>
    <xf numFmtId="0" fontId="75" fillId="46" borderId="38" xfId="78" applyFont="1" applyFill="1" applyBorder="1" applyAlignment="1" applyProtection="1">
      <alignment horizontal="left" vertical="center" wrapText="1"/>
    </xf>
    <xf numFmtId="0" fontId="2" fillId="27" borderId="10" xfId="0" applyFont="1" applyFill="1" applyBorder="1" applyAlignment="1">
      <alignment horizontal="left" vertical="top"/>
    </xf>
    <xf numFmtId="49" fontId="2" fillId="40" borderId="26" xfId="0" applyNumberFormat="1" applyFont="1" applyFill="1" applyBorder="1" applyAlignment="1">
      <alignment horizontal="left" vertical="top"/>
    </xf>
    <xf numFmtId="49" fontId="4" fillId="52" borderId="106" xfId="0" applyNumberFormat="1" applyFont="1" applyFill="1" applyBorder="1" applyAlignment="1">
      <alignment vertical="top"/>
    </xf>
    <xf numFmtId="49" fontId="4" fillId="52" borderId="20" xfId="0" applyNumberFormat="1" applyFont="1" applyFill="1" applyBorder="1" applyAlignment="1">
      <alignment vertical="top"/>
    </xf>
    <xf numFmtId="0" fontId="2" fillId="52" borderId="106" xfId="0" applyFont="1" applyFill="1" applyBorder="1" applyAlignment="1">
      <alignment horizontal="left" vertical="top"/>
    </xf>
    <xf numFmtId="0" fontId="2" fillId="52" borderId="20" xfId="0" applyFont="1" applyFill="1" applyBorder="1" applyAlignment="1">
      <alignment horizontal="left" vertical="top"/>
    </xf>
    <xf numFmtId="0" fontId="2" fillId="52" borderId="15" xfId="0" applyFont="1" applyFill="1" applyBorder="1" applyAlignment="1">
      <alignment horizontal="left" vertical="top"/>
    </xf>
    <xf numFmtId="49" fontId="2" fillId="52" borderId="106" xfId="0" applyNumberFormat="1" applyFont="1" applyFill="1" applyBorder="1" applyAlignment="1">
      <alignment horizontal="left" vertical="top"/>
    </xf>
    <xf numFmtId="49" fontId="2" fillId="52" borderId="15" xfId="0" applyNumberFormat="1" applyFont="1" applyFill="1" applyBorder="1" applyAlignment="1">
      <alignment horizontal="left" vertical="top"/>
    </xf>
    <xf numFmtId="49" fontId="4" fillId="52" borderId="94" xfId="0" applyNumberFormat="1" applyFont="1" applyFill="1" applyBorder="1" applyAlignment="1">
      <alignment vertical="top"/>
    </xf>
    <xf numFmtId="49" fontId="4" fillId="52" borderId="23" xfId="0" applyNumberFormat="1" applyFont="1" applyFill="1" applyBorder="1" applyAlignment="1">
      <alignment vertical="top"/>
    </xf>
    <xf numFmtId="0" fontId="2" fillId="52" borderId="94" xfId="0" applyFont="1" applyFill="1" applyBorder="1" applyAlignment="1">
      <alignment horizontal="left" vertical="top"/>
    </xf>
    <xf numFmtId="0" fontId="2" fillId="52" borderId="23" xfId="0" applyFont="1" applyFill="1" applyBorder="1" applyAlignment="1">
      <alignment horizontal="left" vertical="top"/>
    </xf>
    <xf numFmtId="0" fontId="2" fillId="52" borderId="16" xfId="0" applyFont="1" applyFill="1" applyBorder="1" applyAlignment="1">
      <alignment horizontal="left" vertical="top"/>
    </xf>
    <xf numFmtId="49" fontId="2" fillId="52" borderId="94" xfId="0" applyNumberFormat="1" applyFont="1" applyFill="1" applyBorder="1" applyAlignment="1">
      <alignment horizontal="left" vertical="top"/>
    </xf>
    <xf numFmtId="49" fontId="2" fillId="52" borderId="16" xfId="0" applyNumberFormat="1" applyFont="1" applyFill="1" applyBorder="1" applyAlignment="1">
      <alignment horizontal="left" vertical="top"/>
    </xf>
    <xf numFmtId="0" fontId="4" fillId="0" borderId="0" xfId="0" applyFont="1" applyAlignment="1">
      <alignment horizontal="left" vertical="top" wrapText="1"/>
    </xf>
    <xf numFmtId="0" fontId="37" fillId="28" borderId="106" xfId="0" applyFont="1" applyFill="1" applyBorder="1" applyAlignment="1" applyProtection="1">
      <alignment vertical="top"/>
      <protection locked="0"/>
    </xf>
    <xf numFmtId="0" fontId="0" fillId="0" borderId="20" xfId="0" applyBorder="1" applyAlignment="1" applyProtection="1">
      <alignment vertical="top"/>
      <protection locked="0"/>
    </xf>
    <xf numFmtId="0" fontId="37" fillId="42" borderId="106" xfId="0" applyFont="1" applyFill="1" applyBorder="1" applyAlignment="1" applyProtection="1">
      <alignment horizontal="left" vertical="top"/>
      <protection locked="0"/>
    </xf>
    <xf numFmtId="0" fontId="37" fillId="42" borderId="20" xfId="0" applyFont="1" applyFill="1" applyBorder="1" applyAlignment="1" applyProtection="1">
      <alignment horizontal="left" vertical="top"/>
      <protection locked="0"/>
    </xf>
    <xf numFmtId="0" fontId="37" fillId="42" borderId="15" xfId="0" applyFont="1" applyFill="1" applyBorder="1" applyAlignment="1" applyProtection="1">
      <alignment horizontal="left" vertical="top"/>
      <protection locked="0"/>
    </xf>
    <xf numFmtId="49" fontId="4" fillId="28" borderId="94" xfId="0" applyNumberFormat="1" applyFont="1" applyFill="1" applyBorder="1" applyAlignment="1" applyProtection="1">
      <alignment vertical="top"/>
      <protection locked="0"/>
    </xf>
    <xf numFmtId="49" fontId="4" fillId="28" borderId="23" xfId="0" applyNumberFormat="1" applyFont="1" applyFill="1" applyBorder="1" applyAlignment="1" applyProtection="1">
      <alignment vertical="top"/>
      <protection locked="0"/>
    </xf>
    <xf numFmtId="0" fontId="4" fillId="52" borderId="105" xfId="0" applyFont="1" applyFill="1" applyBorder="1" applyAlignment="1">
      <alignment vertical="top"/>
    </xf>
    <xf numFmtId="0" fontId="4" fillId="52" borderId="19" xfId="0" applyFont="1" applyFill="1" applyBorder="1" applyAlignment="1">
      <alignment vertical="top"/>
    </xf>
    <xf numFmtId="0" fontId="2" fillId="52" borderId="105" xfId="0" applyFont="1" applyFill="1" applyBorder="1" applyAlignment="1">
      <alignment horizontal="left" vertical="top"/>
    </xf>
    <xf numFmtId="0" fontId="2" fillId="52" borderId="19" xfId="0" applyFont="1" applyFill="1" applyBorder="1" applyAlignment="1">
      <alignment horizontal="left" vertical="top"/>
    </xf>
    <xf numFmtId="0" fontId="2" fillId="52" borderId="14" xfId="0" applyFont="1" applyFill="1" applyBorder="1" applyAlignment="1">
      <alignment horizontal="left" vertical="top"/>
    </xf>
    <xf numFmtId="0" fontId="0" fillId="52" borderId="20" xfId="0" applyFill="1" applyBorder="1" applyAlignment="1">
      <alignment horizontal="left" vertical="top"/>
    </xf>
    <xf numFmtId="0" fontId="2" fillId="52" borderId="106" xfId="0" applyFont="1" applyFill="1" applyBorder="1" applyAlignment="1">
      <alignment vertical="top"/>
    </xf>
    <xf numFmtId="0" fontId="0" fillId="52" borderId="15" xfId="0" applyFill="1" applyBorder="1" applyAlignment="1">
      <alignment vertical="top"/>
    </xf>
    <xf numFmtId="0" fontId="0" fillId="52" borderId="23" xfId="0" applyFill="1" applyBorder="1" applyAlignment="1">
      <alignment horizontal="left" vertical="top"/>
    </xf>
    <xf numFmtId="0" fontId="2" fillId="52" borderId="94" xfId="0" applyFont="1" applyFill="1" applyBorder="1" applyAlignment="1">
      <alignment vertical="top"/>
    </xf>
    <xf numFmtId="0" fontId="0" fillId="52" borderId="16" xfId="0" applyFill="1" applyBorder="1" applyAlignment="1">
      <alignment vertical="top"/>
    </xf>
    <xf numFmtId="0" fontId="2" fillId="52" borderId="105" xfId="0" applyFont="1" applyFill="1" applyBorder="1" applyAlignment="1">
      <alignment vertical="top"/>
    </xf>
    <xf numFmtId="0" fontId="0" fillId="52" borderId="14" xfId="0" applyFill="1" applyBorder="1" applyAlignment="1">
      <alignment vertical="top"/>
    </xf>
    <xf numFmtId="49" fontId="2" fillId="40" borderId="20" xfId="0" applyNumberFormat="1" applyFont="1" applyFill="1" applyBorder="1" applyAlignment="1">
      <alignment horizontal="left" vertical="top"/>
    </xf>
    <xf numFmtId="49" fontId="2" fillId="40" borderId="23" xfId="0" applyNumberFormat="1" applyFont="1" applyFill="1" applyBorder="1" applyAlignment="1">
      <alignment horizontal="left" vertical="top"/>
    </xf>
    <xf numFmtId="0" fontId="82" fillId="51" borderId="67" xfId="0" applyFont="1" applyFill="1" applyBorder="1" applyAlignment="1">
      <alignment horizontal="left" vertical="top"/>
    </xf>
    <xf numFmtId="0" fontId="82" fillId="51" borderId="26" xfId="0" applyFont="1" applyFill="1" applyBorder="1" applyAlignment="1">
      <alignment horizontal="left" vertical="top"/>
    </xf>
    <xf numFmtId="0" fontId="40" fillId="27" borderId="0" xfId="0" applyFont="1" applyFill="1" applyAlignment="1">
      <alignment vertical="top" wrapText="1"/>
    </xf>
    <xf numFmtId="0" fontId="51" fillId="25" borderId="0" xfId="0" applyFont="1" applyFill="1" applyAlignment="1">
      <alignment horizontal="left" vertical="top" wrapText="1"/>
    </xf>
    <xf numFmtId="0" fontId="81" fillId="51" borderId="13" xfId="0" applyFont="1" applyFill="1" applyBorder="1" applyAlignment="1">
      <alignment horizontal="center" vertical="top"/>
    </xf>
    <xf numFmtId="49" fontId="2" fillId="45" borderId="13" xfId="0" applyNumberFormat="1" applyFont="1" applyFill="1" applyBorder="1" applyAlignment="1" applyProtection="1">
      <alignment horizontal="center" vertical="top"/>
      <protection locked="0"/>
    </xf>
    <xf numFmtId="0" fontId="37" fillId="28" borderId="67" xfId="0" applyFont="1" applyFill="1" applyBorder="1" applyAlignment="1" applyProtection="1">
      <alignment horizontal="left" vertical="top"/>
      <protection locked="0"/>
    </xf>
    <xf numFmtId="0" fontId="37" fillId="28" borderId="25" xfId="0" applyFont="1" applyFill="1" applyBorder="1" applyAlignment="1" applyProtection="1">
      <alignment horizontal="left" vertical="top"/>
      <protection locked="0"/>
    </xf>
    <xf numFmtId="0" fontId="37" fillId="28" borderId="26" xfId="0" applyFont="1" applyFill="1" applyBorder="1" applyAlignment="1" applyProtection="1">
      <alignment horizontal="left" vertical="top"/>
      <protection locked="0"/>
    </xf>
    <xf numFmtId="0" fontId="63" fillId="25" borderId="0" xfId="0" applyFont="1" applyFill="1" applyAlignment="1">
      <alignment horizontal="left" vertical="top" wrapText="1"/>
    </xf>
    <xf numFmtId="0" fontId="2" fillId="40" borderId="15" xfId="0" applyFont="1" applyFill="1" applyBorder="1" applyAlignment="1">
      <alignment vertical="top"/>
    </xf>
    <xf numFmtId="0" fontId="2" fillId="40" borderId="20" xfId="0" applyFont="1" applyFill="1" applyBorder="1" applyAlignment="1">
      <alignment vertical="top"/>
    </xf>
    <xf numFmtId="0" fontId="2" fillId="25" borderId="13" xfId="0" applyFont="1" applyFill="1" applyBorder="1" applyAlignment="1">
      <alignment horizontal="left" vertical="top" wrapText="1"/>
    </xf>
    <xf numFmtId="0" fontId="2" fillId="25" borderId="67" xfId="0" applyFont="1" applyFill="1" applyBorder="1" applyAlignment="1">
      <alignment horizontal="left" vertical="top" wrapText="1"/>
    </xf>
    <xf numFmtId="0" fontId="81" fillId="51" borderId="94" xfId="0" applyFont="1" applyFill="1" applyBorder="1" applyAlignment="1">
      <alignment horizontal="left" vertical="top"/>
    </xf>
    <xf numFmtId="0" fontId="81" fillId="51" borderId="16" xfId="0" applyFont="1" applyFill="1" applyBorder="1" applyAlignment="1">
      <alignment horizontal="left" vertical="top"/>
    </xf>
    <xf numFmtId="0" fontId="81" fillId="51" borderId="23" xfId="0" applyFont="1" applyFill="1" applyBorder="1" applyAlignment="1">
      <alignment horizontal="left" vertical="top"/>
    </xf>
    <xf numFmtId="49" fontId="2" fillId="42" borderId="63" xfId="0" applyNumberFormat="1" applyFont="1" applyFill="1" applyBorder="1" applyAlignment="1" applyProtection="1">
      <alignment horizontal="left" vertical="top"/>
      <protection locked="0"/>
    </xf>
    <xf numFmtId="0" fontId="70" fillId="25" borderId="0" xfId="78" applyFont="1" applyFill="1" applyAlignment="1" applyProtection="1">
      <alignment vertical="center" wrapText="1"/>
    </xf>
    <xf numFmtId="0" fontId="5" fillId="0" borderId="0" xfId="0" applyFont="1" applyAlignment="1">
      <alignment vertical="center" wrapText="1"/>
    </xf>
    <xf numFmtId="0" fontId="2" fillId="25" borderId="20" xfId="0" applyFont="1" applyFill="1" applyBorder="1" applyAlignment="1">
      <alignment vertical="top" wrapText="1"/>
    </xf>
    <xf numFmtId="49" fontId="2" fillId="28" borderId="94" xfId="0" applyNumberFormat="1" applyFont="1" applyFill="1" applyBorder="1" applyAlignment="1" applyProtection="1">
      <alignment horizontal="left" vertical="top"/>
      <protection locked="0"/>
    </xf>
    <xf numFmtId="49" fontId="2" fillId="0" borderId="16" xfId="0" applyNumberFormat="1" applyFont="1" applyBorder="1" applyAlignment="1" applyProtection="1">
      <alignment horizontal="left" vertical="top"/>
      <protection locked="0"/>
    </xf>
    <xf numFmtId="49" fontId="2" fillId="0" borderId="23" xfId="0" applyNumberFormat="1" applyFont="1" applyBorder="1" applyAlignment="1" applyProtection="1">
      <alignment horizontal="left" vertical="top"/>
      <protection locked="0"/>
    </xf>
    <xf numFmtId="0" fontId="0" fillId="0" borderId="17" xfId="0" applyBorder="1" applyAlignment="1">
      <alignment vertical="top" wrapText="1"/>
    </xf>
    <xf numFmtId="0" fontId="0" fillId="0" borderId="22" xfId="0" applyBorder="1" applyAlignment="1">
      <alignment vertical="top" wrapText="1"/>
    </xf>
    <xf numFmtId="49" fontId="2" fillId="40" borderId="121" xfId="0" applyNumberFormat="1" applyFont="1" applyFill="1" applyBorder="1" applyAlignment="1">
      <alignment horizontal="left" vertical="top"/>
    </xf>
    <xf numFmtId="49" fontId="2" fillId="40" borderId="17" xfId="0" applyNumberFormat="1" applyFont="1" applyFill="1" applyBorder="1" applyAlignment="1">
      <alignment horizontal="left" vertical="top"/>
    </xf>
    <xf numFmtId="49" fontId="2" fillId="40" borderId="22" xfId="0" applyNumberFormat="1" applyFont="1" applyFill="1" applyBorder="1" applyAlignment="1">
      <alignment horizontal="left" vertical="top"/>
    </xf>
    <xf numFmtId="0" fontId="81" fillId="51" borderId="105" xfId="0" applyFont="1" applyFill="1" applyBorder="1" applyAlignment="1">
      <alignment horizontal="left" vertical="top"/>
    </xf>
    <xf numFmtId="0" fontId="81" fillId="51" borderId="14" xfId="0" applyFont="1" applyFill="1" applyBorder="1" applyAlignment="1">
      <alignment horizontal="left" vertical="top"/>
    </xf>
    <xf numFmtId="0" fontId="81" fillId="51" borderId="19" xfId="0" applyFont="1" applyFill="1" applyBorder="1" applyAlignment="1">
      <alignment horizontal="left" vertical="top"/>
    </xf>
    <xf numFmtId="49" fontId="2" fillId="42" borderId="62" xfId="0" applyNumberFormat="1" applyFont="1" applyFill="1" applyBorder="1" applyAlignment="1" applyProtection="1">
      <alignment horizontal="left" vertical="top"/>
      <protection locked="0"/>
    </xf>
    <xf numFmtId="49" fontId="2" fillId="29" borderId="94" xfId="0" applyNumberFormat="1" applyFont="1" applyFill="1" applyBorder="1" applyAlignment="1" applyProtection="1">
      <alignment horizontal="left" vertical="top"/>
      <protection locked="0"/>
    </xf>
    <xf numFmtId="49" fontId="2" fillId="29" borderId="16" xfId="0" applyNumberFormat="1" applyFont="1" applyFill="1" applyBorder="1" applyAlignment="1" applyProtection="1">
      <alignment horizontal="left" vertical="top"/>
      <protection locked="0"/>
    </xf>
    <xf numFmtId="49" fontId="2" fillId="29" borderId="23" xfId="0" applyNumberFormat="1" applyFont="1" applyFill="1" applyBorder="1" applyAlignment="1" applyProtection="1">
      <alignment horizontal="left" vertical="top"/>
      <protection locked="0"/>
    </xf>
    <xf numFmtId="49" fontId="2" fillId="42" borderId="105" xfId="0" applyNumberFormat="1" applyFont="1" applyFill="1" applyBorder="1" applyAlignment="1" applyProtection="1">
      <alignment horizontal="left" vertical="top"/>
      <protection locked="0"/>
    </xf>
    <xf numFmtId="49" fontId="2" fillId="0" borderId="14" xfId="0" applyNumberFormat="1" applyFont="1" applyBorder="1" applyAlignment="1" applyProtection="1">
      <alignment horizontal="left" vertical="top"/>
      <protection locked="0"/>
    </xf>
    <xf numFmtId="49" fontId="2" fillId="0" borderId="19" xfId="0" applyNumberFormat="1" applyFont="1" applyBorder="1" applyAlignment="1" applyProtection="1">
      <alignment horizontal="left" vertical="top"/>
      <protection locked="0"/>
    </xf>
    <xf numFmtId="49" fontId="2" fillId="42" borderId="13" xfId="0" applyNumberFormat="1" applyFont="1" applyFill="1" applyBorder="1" applyAlignment="1" applyProtection="1">
      <alignment horizontal="left" vertical="top"/>
      <protection locked="0"/>
    </xf>
    <xf numFmtId="49" fontId="2" fillId="0" borderId="13" xfId="0" applyNumberFormat="1" applyFont="1" applyBorder="1" applyAlignment="1" applyProtection="1">
      <alignment horizontal="left" vertical="top"/>
      <protection locked="0"/>
    </xf>
    <xf numFmtId="0" fontId="2" fillId="25" borderId="13" xfId="0" applyFont="1" applyFill="1" applyBorder="1" applyAlignment="1">
      <alignment vertical="top" wrapText="1"/>
    </xf>
    <xf numFmtId="0" fontId="0" fillId="0" borderId="13" xfId="0" applyBorder="1" applyAlignment="1">
      <alignment vertical="top" wrapText="1"/>
    </xf>
    <xf numFmtId="0" fontId="2" fillId="40" borderId="16" xfId="0" applyFont="1" applyFill="1" applyBorder="1" applyAlignment="1">
      <alignment vertical="top"/>
    </xf>
    <xf numFmtId="0" fontId="2" fillId="40" borderId="23" xfId="0" applyFont="1" applyFill="1" applyBorder="1" applyAlignment="1">
      <alignment vertical="top"/>
    </xf>
    <xf numFmtId="0" fontId="0" fillId="52" borderId="19" xfId="0" applyFill="1" applyBorder="1" applyAlignment="1">
      <alignment horizontal="left" vertical="top"/>
    </xf>
    <xf numFmtId="0" fontId="81" fillId="51" borderId="106" xfId="0" applyFont="1" applyFill="1" applyBorder="1" applyAlignment="1">
      <alignment horizontal="left" vertical="top"/>
    </xf>
    <xf numFmtId="0" fontId="81" fillId="51" borderId="15" xfId="0" applyFont="1" applyFill="1" applyBorder="1" applyAlignment="1">
      <alignment horizontal="left" vertical="top"/>
    </xf>
    <xf numFmtId="0" fontId="81" fillId="51" borderId="20" xfId="0" applyFont="1" applyFill="1" applyBorder="1" applyAlignment="1">
      <alignment horizontal="left" vertical="top"/>
    </xf>
    <xf numFmtId="49" fontId="2" fillId="28" borderId="106" xfId="0" applyNumberFormat="1" applyFont="1" applyFill="1" applyBorder="1" applyAlignment="1" applyProtection="1">
      <alignment horizontal="left" vertical="top"/>
      <protection locked="0"/>
    </xf>
    <xf numFmtId="49" fontId="2" fillId="0" borderId="15" xfId="0" applyNumberFormat="1" applyFont="1" applyBorder="1" applyAlignment="1" applyProtection="1">
      <alignment horizontal="left" vertical="top"/>
      <protection locked="0"/>
    </xf>
    <xf numFmtId="49" fontId="2" fillId="0" borderId="20" xfId="0" applyNumberFormat="1" applyFont="1" applyBorder="1" applyAlignment="1" applyProtection="1">
      <alignment horizontal="left" vertical="top"/>
      <protection locked="0"/>
    </xf>
    <xf numFmtId="0" fontId="37" fillId="42" borderId="94" xfId="0" applyFont="1" applyFill="1" applyBorder="1" applyAlignment="1" applyProtection="1">
      <alignment horizontal="left" vertical="top"/>
      <protection locked="0"/>
    </xf>
    <xf numFmtId="0" fontId="37" fillId="42" borderId="16" xfId="0" applyFont="1" applyFill="1" applyBorder="1" applyAlignment="1" applyProtection="1">
      <alignment horizontal="left" vertical="top"/>
      <protection locked="0"/>
    </xf>
    <xf numFmtId="0" fontId="37" fillId="42" borderId="23" xfId="0" applyFont="1" applyFill="1" applyBorder="1" applyAlignment="1" applyProtection="1">
      <alignment horizontal="left" vertical="top"/>
      <protection locked="0"/>
    </xf>
    <xf numFmtId="0" fontId="2" fillId="42" borderId="94" xfId="0" applyFont="1" applyFill="1" applyBorder="1" applyAlignment="1" applyProtection="1">
      <alignment horizontal="left" vertical="top"/>
      <protection locked="0"/>
    </xf>
    <xf numFmtId="49" fontId="37" fillId="42" borderId="106" xfId="0" applyNumberFormat="1" applyFont="1" applyFill="1" applyBorder="1" applyAlignment="1" applyProtection="1">
      <alignment horizontal="left" vertical="top"/>
      <protection locked="0"/>
    </xf>
    <xf numFmtId="49" fontId="37" fillId="42" borderId="20" xfId="0" applyNumberFormat="1" applyFont="1" applyFill="1" applyBorder="1" applyAlignment="1" applyProtection="1">
      <alignment horizontal="left" vertical="top"/>
      <protection locked="0"/>
    </xf>
    <xf numFmtId="0" fontId="37" fillId="28" borderId="94" xfId="0" applyFont="1" applyFill="1" applyBorder="1" applyAlignment="1" applyProtection="1">
      <alignment vertical="top"/>
      <protection locked="0"/>
    </xf>
    <xf numFmtId="0" fontId="0" fillId="0" borderId="23" xfId="0" applyBorder="1" applyAlignment="1" applyProtection="1">
      <alignment vertical="top"/>
      <protection locked="0"/>
    </xf>
    <xf numFmtId="0" fontId="0" fillId="0" borderId="20" xfId="0" applyBorder="1" applyAlignment="1" applyProtection="1">
      <alignment horizontal="left" vertical="top"/>
      <protection locked="0"/>
    </xf>
    <xf numFmtId="0" fontId="37" fillId="28" borderId="105" xfId="0" applyFont="1" applyFill="1" applyBorder="1" applyAlignment="1" applyProtection="1">
      <alignment vertical="top"/>
      <protection locked="0"/>
    </xf>
    <xf numFmtId="0" fontId="0" fillId="0" borderId="19" xfId="0" applyBorder="1" applyAlignment="1" applyProtection="1">
      <alignment vertical="top"/>
      <protection locked="0"/>
    </xf>
    <xf numFmtId="49" fontId="4" fillId="28" borderId="106" xfId="0" applyNumberFormat="1" applyFont="1" applyFill="1" applyBorder="1" applyAlignment="1" applyProtection="1">
      <alignment vertical="top"/>
      <protection locked="0"/>
    </xf>
    <xf numFmtId="49" fontId="4" fillId="28" borderId="20" xfId="0" applyNumberFormat="1" applyFont="1" applyFill="1" applyBorder="1" applyAlignment="1" applyProtection="1">
      <alignment vertical="top"/>
      <protection locked="0"/>
    </xf>
    <xf numFmtId="0" fontId="4" fillId="40" borderId="67" xfId="0" applyFont="1" applyFill="1" applyBorder="1" applyAlignment="1">
      <alignment horizontal="left" vertical="top"/>
    </xf>
    <xf numFmtId="0" fontId="4" fillId="40" borderId="26" xfId="0" applyFont="1" applyFill="1" applyBorder="1" applyAlignment="1">
      <alignment horizontal="left" vertical="top"/>
    </xf>
    <xf numFmtId="0" fontId="74" fillId="46" borderId="149" xfId="78" applyFont="1" applyFill="1" applyBorder="1" applyAlignment="1" applyProtection="1">
      <alignment horizontal="center" vertical="center" wrapText="1"/>
    </xf>
    <xf numFmtId="0" fontId="74" fillId="46" borderId="108" xfId="78" applyFont="1" applyFill="1" applyBorder="1" applyAlignment="1" applyProtection="1">
      <alignment horizontal="center" vertical="center" wrapText="1"/>
    </xf>
    <xf numFmtId="0" fontId="74" fillId="46" borderId="116" xfId="78" applyFont="1" applyFill="1" applyBorder="1" applyAlignment="1" applyProtection="1">
      <alignment horizontal="center" vertical="center" wrapText="1"/>
    </xf>
    <xf numFmtId="49" fontId="2" fillId="29" borderId="105" xfId="0" applyNumberFormat="1" applyFont="1" applyFill="1" applyBorder="1" applyAlignment="1" applyProtection="1">
      <alignment horizontal="left" vertical="top"/>
      <protection locked="0"/>
    </xf>
    <xf numFmtId="49" fontId="2" fillId="29" borderId="14" xfId="0" applyNumberFormat="1" applyFont="1" applyFill="1" applyBorder="1" applyAlignment="1" applyProtection="1">
      <alignment horizontal="left" vertical="top"/>
      <protection locked="0"/>
    </xf>
    <xf numFmtId="49" fontId="2" fillId="29" borderId="19" xfId="0" applyNumberFormat="1" applyFont="1" applyFill="1" applyBorder="1" applyAlignment="1" applyProtection="1">
      <alignment horizontal="left" vertical="top"/>
      <protection locked="0"/>
    </xf>
    <xf numFmtId="0" fontId="2" fillId="25" borderId="23" xfId="0" applyFont="1" applyFill="1" applyBorder="1" applyAlignment="1">
      <alignment vertical="top" wrapText="1"/>
    </xf>
    <xf numFmtId="0" fontId="2" fillId="40" borderId="14" xfId="0" applyFont="1" applyFill="1" applyBorder="1"/>
    <xf numFmtId="0" fontId="2" fillId="40" borderId="19" xfId="0" applyFont="1" applyFill="1" applyBorder="1"/>
    <xf numFmtId="0" fontId="8" fillId="25" borderId="12" xfId="0" applyFont="1" applyFill="1" applyBorder="1" applyAlignment="1">
      <alignment vertical="top" wrapText="1"/>
    </xf>
    <xf numFmtId="0" fontId="2" fillId="40" borderId="13" xfId="0" applyFont="1" applyFill="1" applyBorder="1" applyAlignment="1">
      <alignment horizontal="center" vertical="top"/>
    </xf>
    <xf numFmtId="0" fontId="2" fillId="28" borderId="106" xfId="0" applyFont="1" applyFill="1" applyBorder="1" applyAlignment="1" applyProtection="1">
      <alignment vertical="top"/>
      <protection locked="0"/>
    </xf>
    <xf numFmtId="0" fontId="2" fillId="28" borderId="15" xfId="0" applyFont="1" applyFill="1" applyBorder="1" applyAlignment="1" applyProtection="1">
      <alignment vertical="top"/>
      <protection locked="0"/>
    </xf>
    <xf numFmtId="0" fontId="2" fillId="28" borderId="20" xfId="0" applyFont="1" applyFill="1" applyBorder="1" applyAlignment="1" applyProtection="1">
      <alignment vertical="top"/>
      <protection locked="0"/>
    </xf>
    <xf numFmtId="0" fontId="81" fillId="51" borderId="105" xfId="0" applyFont="1" applyFill="1" applyBorder="1" applyAlignment="1">
      <alignment vertical="top"/>
    </xf>
    <xf numFmtId="0" fontId="81" fillId="51" borderId="14" xfId="0" applyFont="1" applyFill="1" applyBorder="1"/>
    <xf numFmtId="0" fontId="81" fillId="51" borderId="19" xfId="0" applyFont="1" applyFill="1" applyBorder="1"/>
    <xf numFmtId="0" fontId="81" fillId="51" borderId="106" xfId="0" applyFont="1" applyFill="1" applyBorder="1" applyAlignment="1">
      <alignment vertical="top"/>
    </xf>
    <xf numFmtId="0" fontId="81" fillId="51" borderId="15" xfId="0" applyFont="1" applyFill="1" applyBorder="1" applyAlignment="1">
      <alignment vertical="top"/>
    </xf>
    <xf numFmtId="0" fontId="81" fillId="51" borderId="20" xfId="0" applyFont="1" applyFill="1" applyBorder="1" applyAlignment="1">
      <alignment vertical="top"/>
    </xf>
    <xf numFmtId="49" fontId="2" fillId="28" borderId="13" xfId="0" applyNumberFormat="1" applyFont="1" applyFill="1" applyBorder="1" applyAlignment="1" applyProtection="1">
      <alignment horizontal="center" vertical="top"/>
      <protection locked="0"/>
    </xf>
    <xf numFmtId="0" fontId="2" fillId="28" borderId="94" xfId="0" applyFont="1" applyFill="1" applyBorder="1" applyAlignment="1" applyProtection="1">
      <alignment vertical="top"/>
      <protection locked="0"/>
    </xf>
    <xf numFmtId="0" fontId="2" fillId="28" borderId="16" xfId="0" applyFont="1" applyFill="1" applyBorder="1" applyAlignment="1" applyProtection="1">
      <alignment vertical="top"/>
      <protection locked="0"/>
    </xf>
    <xf numFmtId="0" fontId="2" fillId="28" borderId="23" xfId="0" applyFont="1" applyFill="1" applyBorder="1" applyAlignment="1" applyProtection="1">
      <alignment vertical="top"/>
      <protection locked="0"/>
    </xf>
    <xf numFmtId="0" fontId="81" fillId="51" borderId="94" xfId="0" applyFont="1" applyFill="1" applyBorder="1" applyAlignment="1">
      <alignment vertical="top"/>
    </xf>
    <xf numFmtId="0" fontId="81" fillId="51" borderId="16" xfId="0" applyFont="1" applyFill="1" applyBorder="1" applyAlignment="1">
      <alignment vertical="top"/>
    </xf>
    <xf numFmtId="0" fontId="81" fillId="51" borderId="23" xfId="0" applyFont="1" applyFill="1" applyBorder="1" applyAlignment="1">
      <alignment vertical="top"/>
    </xf>
    <xf numFmtId="0" fontId="2" fillId="28" borderId="105" xfId="0" applyFont="1" applyFill="1" applyBorder="1" applyAlignment="1" applyProtection="1">
      <alignment vertical="top"/>
      <protection locked="0"/>
    </xf>
    <xf numFmtId="0" fontId="2" fillId="0" borderId="14" xfId="0" applyFont="1" applyBorder="1" applyProtection="1">
      <protection locked="0"/>
    </xf>
    <xf numFmtId="0" fontId="2" fillId="0" borderId="19" xfId="0" applyFont="1" applyBorder="1" applyProtection="1">
      <protection locked="0"/>
    </xf>
    <xf numFmtId="0" fontId="8" fillId="25" borderId="0" xfId="0" applyFont="1" applyFill="1" applyAlignment="1">
      <alignment vertical="top" wrapText="1"/>
    </xf>
    <xf numFmtId="0" fontId="0" fillId="0" borderId="0" xfId="0" applyAlignment="1">
      <alignment wrapText="1"/>
    </xf>
    <xf numFmtId="0" fontId="81" fillId="51" borderId="67" xfId="0" applyFont="1" applyFill="1" applyBorder="1" applyAlignment="1">
      <alignment horizontal="left" vertical="top"/>
    </xf>
    <xf numFmtId="0" fontId="81" fillId="51" borderId="25" xfId="0" applyFont="1" applyFill="1" applyBorder="1" applyAlignment="1">
      <alignment horizontal="left" vertical="top"/>
    </xf>
    <xf numFmtId="0" fontId="81" fillId="51" borderId="26" xfId="0" applyFont="1" applyFill="1" applyBorder="1" applyAlignment="1">
      <alignment horizontal="left" vertical="top"/>
    </xf>
    <xf numFmtId="0" fontId="4" fillId="46" borderId="57" xfId="0" applyFont="1" applyFill="1" applyBorder="1" applyAlignment="1">
      <alignment horizontal="center" vertical="center" wrapText="1"/>
    </xf>
    <xf numFmtId="0" fontId="29" fillId="46" borderId="28" xfId="0" applyFont="1" applyFill="1" applyBorder="1" applyAlignment="1">
      <alignment horizontal="center" vertical="center" wrapText="1"/>
    </xf>
    <xf numFmtId="0" fontId="29" fillId="46" borderId="30" xfId="0" applyFont="1" applyFill="1" applyBorder="1" applyAlignment="1">
      <alignment horizontal="center" vertical="center" wrapText="1"/>
    </xf>
    <xf numFmtId="0" fontId="0" fillId="46" borderId="66" xfId="0" applyFill="1" applyBorder="1" applyAlignment="1">
      <alignment horizontal="center" vertical="center" wrapText="1"/>
    </xf>
    <xf numFmtId="0" fontId="0" fillId="46" borderId="0" xfId="0" applyFill="1" applyAlignment="1">
      <alignment horizontal="center" vertical="center" wrapText="1"/>
    </xf>
    <xf numFmtId="0" fontId="0" fillId="46" borderId="38" xfId="0" applyFill="1" applyBorder="1" applyAlignment="1">
      <alignment horizontal="center" vertical="center" wrapText="1"/>
    </xf>
    <xf numFmtId="0" fontId="0" fillId="46" borderId="65" xfId="0" applyFill="1" applyBorder="1" applyAlignment="1">
      <alignment horizontal="center" vertical="center" wrapText="1"/>
    </xf>
    <xf numFmtId="0" fontId="0" fillId="46" borderId="39" xfId="0" applyFill="1" applyBorder="1" applyAlignment="1">
      <alignment horizontal="center" vertical="center" wrapText="1"/>
    </xf>
    <xf numFmtId="0" fontId="0" fillId="46" borderId="40" xfId="0" applyFill="1" applyBorder="1" applyAlignment="1">
      <alignment horizontal="center" vertical="center" wrapText="1"/>
    </xf>
    <xf numFmtId="0" fontId="39" fillId="46" borderId="116" xfId="78" applyFont="1" applyFill="1" applyBorder="1" applyAlignment="1" applyProtection="1">
      <alignment horizontal="center" vertical="top" wrapText="1"/>
    </xf>
    <xf numFmtId="0" fontId="6" fillId="46" borderId="151" xfId="78" applyFill="1" applyBorder="1" applyAlignment="1" applyProtection="1">
      <alignment horizontal="center" vertical="top" wrapText="1"/>
    </xf>
    <xf numFmtId="0" fontId="6" fillId="46" borderId="152" xfId="78" applyFill="1" applyBorder="1" applyAlignment="1" applyProtection="1">
      <alignment horizontal="center" vertical="top" wrapText="1"/>
    </xf>
    <xf numFmtId="0" fontId="6" fillId="46" borderId="83" xfId="78" applyFill="1" applyBorder="1" applyAlignment="1" applyProtection="1">
      <alignment horizontal="center" vertical="top" wrapText="1"/>
    </xf>
    <xf numFmtId="0" fontId="6" fillId="46" borderId="153" xfId="78" applyFill="1" applyBorder="1" applyAlignment="1" applyProtection="1">
      <alignment horizontal="center" vertical="top" wrapText="1"/>
    </xf>
    <xf numFmtId="0" fontId="39" fillId="46" borderId="96" xfId="78" applyFont="1" applyFill="1" applyBorder="1" applyAlignment="1" applyProtection="1">
      <alignment horizontal="center" vertical="top" wrapText="1"/>
    </xf>
    <xf numFmtId="0" fontId="4" fillId="46" borderId="114" xfId="0" applyFont="1" applyFill="1" applyBorder="1" applyAlignment="1">
      <alignment horizontal="center"/>
    </xf>
    <xf numFmtId="0" fontId="4" fillId="46" borderId="96" xfId="0" applyFont="1" applyFill="1" applyBorder="1" applyAlignment="1">
      <alignment horizontal="center"/>
    </xf>
    <xf numFmtId="0" fontId="9" fillId="28" borderId="114" xfId="0" applyFont="1" applyFill="1" applyBorder="1" applyAlignment="1" applyProtection="1">
      <alignment horizontal="center" vertical="center"/>
      <protection locked="0"/>
    </xf>
    <xf numFmtId="0" fontId="9" fillId="28" borderId="97" xfId="0" applyFont="1" applyFill="1" applyBorder="1" applyAlignment="1" applyProtection="1">
      <alignment horizontal="center" vertical="center"/>
      <protection locked="0"/>
    </xf>
    <xf numFmtId="0" fontId="9" fillId="28" borderId="96" xfId="0" applyFont="1" applyFill="1" applyBorder="1" applyAlignment="1" applyProtection="1">
      <alignment horizontal="center" vertical="center"/>
      <protection locked="0"/>
    </xf>
    <xf numFmtId="0" fontId="5" fillId="41" borderId="0" xfId="0" applyFont="1" applyFill="1" applyAlignment="1">
      <alignment horizontal="right" vertical="top" wrapText="1"/>
    </xf>
    <xf numFmtId="0" fontId="5" fillId="41" borderId="18" xfId="0" applyFont="1" applyFill="1" applyBorder="1" applyAlignment="1">
      <alignment horizontal="right" vertical="top" wrapText="1"/>
    </xf>
    <xf numFmtId="0" fontId="2" fillId="51" borderId="13" xfId="0" applyFont="1" applyFill="1" applyBorder="1" applyAlignment="1">
      <alignment horizontal="center" vertical="top"/>
    </xf>
    <xf numFmtId="0" fontId="4" fillId="28" borderId="114" xfId="0" applyFont="1" applyFill="1" applyBorder="1" applyAlignment="1" applyProtection="1">
      <alignment horizontal="center" vertical="top"/>
      <protection locked="0"/>
    </xf>
    <xf numFmtId="0" fontId="4" fillId="28" borderId="97" xfId="0" applyFont="1" applyFill="1" applyBorder="1" applyAlignment="1" applyProtection="1">
      <alignment horizontal="center" vertical="top"/>
      <protection locked="0"/>
    </xf>
    <xf numFmtId="0" fontId="4" fillId="28" borderId="96" xfId="0" applyFont="1" applyFill="1" applyBorder="1" applyAlignment="1" applyProtection="1">
      <alignment horizontal="center" vertical="top"/>
      <protection locked="0"/>
    </xf>
    <xf numFmtId="0" fontId="10" fillId="41" borderId="139" xfId="0" applyFont="1" applyFill="1" applyBorder="1" applyAlignment="1">
      <alignment horizontal="left" vertical="top" wrapText="1"/>
    </xf>
    <xf numFmtId="0" fontId="10" fillId="41" borderId="150" xfId="0" applyFont="1" applyFill="1" applyBorder="1" applyAlignment="1">
      <alignment horizontal="left" vertical="top" wrapText="1"/>
    </xf>
    <xf numFmtId="0" fontId="2" fillId="42" borderId="67" xfId="0" applyFont="1" applyFill="1" applyBorder="1" applyAlignment="1" applyProtection="1">
      <alignment horizontal="left" vertical="top"/>
      <protection locked="0"/>
    </xf>
    <xf numFmtId="0" fontId="2" fillId="42" borderId="25" xfId="0" applyFont="1" applyFill="1" applyBorder="1" applyAlignment="1" applyProtection="1">
      <alignment horizontal="left" vertical="top"/>
      <protection locked="0"/>
    </xf>
    <xf numFmtId="0" fontId="2" fillId="42" borderId="26" xfId="0" applyFont="1" applyFill="1" applyBorder="1" applyAlignment="1" applyProtection="1">
      <alignment horizontal="left" vertical="top"/>
      <protection locked="0"/>
    </xf>
    <xf numFmtId="49" fontId="2" fillId="40" borderId="67" xfId="0" applyNumberFormat="1" applyFont="1" applyFill="1" applyBorder="1" applyAlignment="1">
      <alignment horizontal="left" vertical="top"/>
    </xf>
    <xf numFmtId="0" fontId="2" fillId="25" borderId="0" xfId="0" applyFont="1" applyFill="1" applyAlignment="1">
      <alignment vertical="top" wrapText="1"/>
    </xf>
    <xf numFmtId="0" fontId="81" fillId="52" borderId="67" xfId="0" applyFont="1" applyFill="1" applyBorder="1" applyAlignment="1">
      <alignment horizontal="left" vertical="top"/>
    </xf>
    <xf numFmtId="0" fontId="81" fillId="52" borderId="25" xfId="0" applyFont="1" applyFill="1" applyBorder="1" applyAlignment="1">
      <alignment horizontal="left" vertical="top"/>
    </xf>
    <xf numFmtId="0" fontId="81" fillId="52" borderId="26" xfId="0" applyFont="1" applyFill="1" applyBorder="1" applyAlignment="1">
      <alignment horizontal="left" vertical="top"/>
    </xf>
    <xf numFmtId="0" fontId="2" fillId="25" borderId="0" xfId="0" applyFont="1" applyFill="1" applyAlignment="1">
      <alignment horizontal="left" vertical="top" wrapText="1"/>
    </xf>
    <xf numFmtId="0" fontId="4" fillId="28" borderId="67" xfId="0" applyFont="1" applyFill="1" applyBorder="1" applyAlignment="1" applyProtection="1">
      <alignment horizontal="left" vertical="top"/>
      <protection locked="0"/>
    </xf>
    <xf numFmtId="0" fontId="4" fillId="28" borderId="26" xfId="0" applyFont="1" applyFill="1" applyBorder="1" applyAlignment="1" applyProtection="1">
      <alignment horizontal="left" vertical="top"/>
      <protection locked="0"/>
    </xf>
    <xf numFmtId="0" fontId="2" fillId="28" borderId="67" xfId="0" applyFont="1" applyFill="1" applyBorder="1" applyAlignment="1" applyProtection="1">
      <alignment horizontal="left" vertical="top" wrapText="1"/>
      <protection locked="0"/>
    </xf>
    <xf numFmtId="0" fontId="2" fillId="28" borderId="25" xfId="0" applyFont="1" applyFill="1" applyBorder="1" applyAlignment="1" applyProtection="1">
      <alignment horizontal="left" vertical="top" wrapText="1"/>
      <protection locked="0"/>
    </xf>
    <xf numFmtId="0" fontId="2" fillId="28" borderId="26" xfId="0" applyFont="1" applyFill="1" applyBorder="1" applyAlignment="1" applyProtection="1">
      <alignment horizontal="left" vertical="top" wrapText="1"/>
      <protection locked="0"/>
    </xf>
    <xf numFmtId="0" fontId="37" fillId="40" borderId="67" xfId="0" applyFont="1" applyFill="1" applyBorder="1" applyAlignment="1">
      <alignment horizontal="left" vertical="top"/>
    </xf>
    <xf numFmtId="0" fontId="37" fillId="40" borderId="25" xfId="0" applyFont="1" applyFill="1" applyBorder="1" applyAlignment="1">
      <alignment horizontal="left" vertical="top"/>
    </xf>
    <xf numFmtId="0" fontId="37" fillId="40" borderId="26" xfId="0" applyFont="1" applyFill="1" applyBorder="1" applyAlignment="1">
      <alignment horizontal="left" vertical="top"/>
    </xf>
    <xf numFmtId="49" fontId="37" fillId="42" borderId="105" xfId="0" applyNumberFormat="1" applyFont="1" applyFill="1" applyBorder="1" applyAlignment="1" applyProtection="1">
      <alignment horizontal="left" vertical="top"/>
      <protection locked="0"/>
    </xf>
    <xf numFmtId="49" fontId="37" fillId="42" borderId="19" xfId="0" applyNumberFormat="1" applyFont="1" applyFill="1" applyBorder="1" applyAlignment="1" applyProtection="1">
      <alignment horizontal="left" vertical="top"/>
      <protection locked="0"/>
    </xf>
    <xf numFmtId="0" fontId="2" fillId="42" borderId="105" xfId="0" applyFont="1" applyFill="1" applyBorder="1" applyAlignment="1" applyProtection="1">
      <alignment horizontal="left" vertical="top"/>
      <protection locked="0"/>
    </xf>
    <xf numFmtId="0" fontId="37" fillId="42" borderId="19" xfId="0" applyFont="1" applyFill="1" applyBorder="1" applyAlignment="1" applyProtection="1">
      <alignment horizontal="left" vertical="top"/>
      <protection locked="0"/>
    </xf>
    <xf numFmtId="0" fontId="37" fillId="42" borderId="105" xfId="0" applyFont="1" applyFill="1" applyBorder="1" applyAlignment="1" applyProtection="1">
      <alignment horizontal="left" vertical="top"/>
      <protection locked="0"/>
    </xf>
    <xf numFmtId="0" fontId="37" fillId="42" borderId="14" xfId="0" applyFont="1" applyFill="1" applyBorder="1" applyAlignment="1" applyProtection="1">
      <alignment horizontal="left" vertical="top"/>
      <protection locked="0"/>
    </xf>
    <xf numFmtId="0" fontId="4" fillId="25" borderId="99" xfId="0" applyFont="1" applyFill="1" applyBorder="1" applyAlignment="1">
      <alignment wrapText="1"/>
    </xf>
    <xf numFmtId="0" fontId="0" fillId="0" borderId="18" xfId="0" applyBorder="1" applyAlignment="1">
      <alignment wrapText="1"/>
    </xf>
    <xf numFmtId="0" fontId="2" fillId="42" borderId="106" xfId="0" applyFont="1" applyFill="1" applyBorder="1" applyAlignment="1" applyProtection="1">
      <alignment horizontal="left" vertical="top"/>
      <protection locked="0"/>
    </xf>
    <xf numFmtId="49" fontId="37" fillId="42" borderId="94" xfId="0" applyNumberFormat="1" applyFont="1" applyFill="1" applyBorder="1" applyAlignment="1" applyProtection="1">
      <alignment horizontal="left" vertical="top"/>
      <protection locked="0"/>
    </xf>
    <xf numFmtId="49" fontId="37" fillId="42" borderId="23" xfId="0" applyNumberFormat="1" applyFont="1" applyFill="1" applyBorder="1" applyAlignment="1" applyProtection="1">
      <alignment horizontal="left" vertical="top"/>
      <protection locked="0"/>
    </xf>
    <xf numFmtId="0" fontId="0" fillId="0" borderId="23" xfId="0" applyBorder="1" applyAlignment="1" applyProtection="1">
      <alignment horizontal="left" vertical="top"/>
      <protection locked="0"/>
    </xf>
    <xf numFmtId="49" fontId="4" fillId="28" borderId="105" xfId="0" applyNumberFormat="1" applyFont="1" applyFill="1" applyBorder="1" applyAlignment="1" applyProtection="1">
      <alignment vertical="top"/>
      <protection locked="0"/>
    </xf>
    <xf numFmtId="49" fontId="4" fillId="28" borderId="19" xfId="0" applyNumberFormat="1" applyFont="1" applyFill="1" applyBorder="1" applyAlignment="1" applyProtection="1">
      <alignment vertical="top"/>
      <protection locked="0"/>
    </xf>
    <xf numFmtId="0" fontId="0" fillId="0" borderId="19" xfId="0" applyBorder="1" applyAlignment="1" applyProtection="1">
      <alignment horizontal="left" vertical="top"/>
      <protection locked="0"/>
    </xf>
    <xf numFmtId="0" fontId="56" fillId="25" borderId="0" xfId="0" applyFont="1" applyFill="1" applyAlignment="1">
      <alignment vertical="top" wrapText="1"/>
    </xf>
    <xf numFmtId="0" fontId="2" fillId="25" borderId="19" xfId="0" applyFont="1" applyFill="1" applyBorder="1" applyAlignment="1">
      <alignment vertical="top" wrapText="1"/>
    </xf>
    <xf numFmtId="49" fontId="2" fillId="42" borderId="64" xfId="0" applyNumberFormat="1" applyFont="1" applyFill="1" applyBorder="1" applyAlignment="1" applyProtection="1">
      <alignment horizontal="left" vertical="top"/>
      <protection locked="0"/>
    </xf>
    <xf numFmtId="49" fontId="2" fillId="29" borderId="106" xfId="0" applyNumberFormat="1" applyFont="1" applyFill="1" applyBorder="1" applyAlignment="1" applyProtection="1">
      <alignment horizontal="left" vertical="top"/>
      <protection locked="0"/>
    </xf>
    <xf numFmtId="49" fontId="2" fillId="29" borderId="15" xfId="0" applyNumberFormat="1" applyFont="1" applyFill="1" applyBorder="1" applyAlignment="1" applyProtection="1">
      <alignment horizontal="left" vertical="top"/>
      <protection locked="0"/>
    </xf>
    <xf numFmtId="49" fontId="2" fillId="29" borderId="20" xfId="0" applyNumberFormat="1" applyFont="1" applyFill="1" applyBorder="1" applyAlignment="1" applyProtection="1">
      <alignment horizontal="left" vertical="top"/>
      <protection locked="0"/>
    </xf>
    <xf numFmtId="49" fontId="2" fillId="28" borderId="67" xfId="0" applyNumberFormat="1" applyFont="1" applyFill="1" applyBorder="1" applyAlignment="1" applyProtection="1">
      <alignment horizontal="left" vertical="top"/>
      <protection locked="0"/>
    </xf>
    <xf numFmtId="49" fontId="2" fillId="0" borderId="25" xfId="0" applyNumberFormat="1" applyFont="1" applyBorder="1" applyAlignment="1" applyProtection="1">
      <alignment horizontal="left" vertical="top"/>
      <protection locked="0"/>
    </xf>
    <xf numFmtId="49" fontId="2" fillId="0" borderId="26" xfId="0" applyNumberFormat="1" applyFont="1" applyBorder="1" applyAlignment="1" applyProtection="1">
      <alignment horizontal="left" vertical="top"/>
      <protection locked="0"/>
    </xf>
    <xf numFmtId="0" fontId="10" fillId="40" borderId="13" xfId="0" applyFont="1" applyFill="1" applyBorder="1" applyAlignment="1">
      <alignment horizontal="center" vertical="top" wrapText="1"/>
    </xf>
    <xf numFmtId="0" fontId="4" fillId="25" borderId="38" xfId="0" applyFont="1" applyFill="1" applyBorder="1" applyAlignment="1">
      <alignment horizontal="left" vertical="top" wrapText="1"/>
    </xf>
    <xf numFmtId="0" fontId="2" fillId="25" borderId="67" xfId="0" applyFont="1" applyFill="1" applyBorder="1" applyAlignment="1">
      <alignment horizontal="left" wrapText="1"/>
    </xf>
    <xf numFmtId="0" fontId="2" fillId="25" borderId="25" xfId="0" applyFont="1" applyFill="1" applyBorder="1" applyAlignment="1">
      <alignment horizontal="left" wrapText="1"/>
    </xf>
    <xf numFmtId="0" fontId="2" fillId="25" borderId="26" xfId="0" applyFont="1" applyFill="1" applyBorder="1" applyAlignment="1">
      <alignment horizontal="left" wrapText="1"/>
    </xf>
    <xf numFmtId="0" fontId="10" fillId="42" borderId="13" xfId="0" applyFont="1" applyFill="1" applyBorder="1" applyAlignment="1" applyProtection="1">
      <alignment horizontal="center" vertical="top" wrapText="1"/>
      <protection locked="0"/>
    </xf>
    <xf numFmtId="0" fontId="4" fillId="28" borderId="114" xfId="0" applyFont="1" applyFill="1" applyBorder="1" applyAlignment="1" applyProtection="1">
      <alignment horizontal="center"/>
      <protection locked="0"/>
    </xf>
    <xf numFmtId="0" fontId="4" fillId="28" borderId="97" xfId="0" applyFont="1" applyFill="1" applyBorder="1" applyAlignment="1" applyProtection="1">
      <alignment horizontal="center"/>
      <protection locked="0"/>
    </xf>
    <xf numFmtId="0" fontId="4" fillId="28" borderId="96" xfId="0" applyFont="1" applyFill="1" applyBorder="1" applyAlignment="1" applyProtection="1">
      <alignment horizontal="center"/>
      <protection locked="0"/>
    </xf>
    <xf numFmtId="0" fontId="0" fillId="0" borderId="18" xfId="0" applyBorder="1" applyAlignment="1">
      <alignment vertical="center" wrapText="1"/>
    </xf>
    <xf numFmtId="0" fontId="81" fillId="51" borderId="94" xfId="0" applyFont="1" applyFill="1" applyBorder="1" applyAlignment="1">
      <alignment horizontal="left" wrapText="1"/>
    </xf>
    <xf numFmtId="0" fontId="81" fillId="51" borderId="23" xfId="0" applyFont="1" applyFill="1" applyBorder="1" applyAlignment="1">
      <alignment horizontal="left" wrapText="1"/>
    </xf>
    <xf numFmtId="0" fontId="37" fillId="40" borderId="106" xfId="0" applyFont="1" applyFill="1" applyBorder="1" applyAlignment="1">
      <alignment horizontal="left" wrapText="1"/>
    </xf>
    <xf numFmtId="0" fontId="0" fillId="0" borderId="15" xfId="0" applyBorder="1" applyAlignment="1">
      <alignment horizontal="left" wrapText="1"/>
    </xf>
    <xf numFmtId="0" fontId="0" fillId="0" borderId="20" xfId="0" applyBorder="1" applyAlignment="1">
      <alignment horizontal="left" wrapText="1"/>
    </xf>
    <xf numFmtId="0" fontId="81" fillId="51" borderId="106" xfId="0" applyFont="1" applyFill="1" applyBorder="1" applyAlignment="1">
      <alignment horizontal="left"/>
    </xf>
    <xf numFmtId="0" fontId="81" fillId="51" borderId="15" xfId="0" applyFont="1" applyFill="1" applyBorder="1" applyAlignment="1">
      <alignment horizontal="left"/>
    </xf>
    <xf numFmtId="0" fontId="0" fillId="0" borderId="20" xfId="0" applyBorder="1" applyAlignment="1">
      <alignment horizontal="left"/>
    </xf>
    <xf numFmtId="0" fontId="37" fillId="40" borderId="106" xfId="0" applyFont="1" applyFill="1" applyBorder="1" applyAlignment="1">
      <alignment horizontal="left"/>
    </xf>
    <xf numFmtId="0" fontId="0" fillId="0" borderId="15" xfId="0" applyBorder="1" applyAlignment="1">
      <alignment horizontal="left"/>
    </xf>
    <xf numFmtId="0" fontId="41" fillId="25" borderId="139" xfId="0" applyFont="1" applyFill="1" applyBorder="1" applyAlignment="1">
      <alignment horizontal="left" vertical="top" wrapText="1"/>
    </xf>
    <xf numFmtId="0" fontId="37" fillId="25" borderId="106" xfId="0" applyFont="1" applyFill="1" applyBorder="1" applyAlignment="1">
      <alignment horizontal="left"/>
    </xf>
    <xf numFmtId="0" fontId="37" fillId="25" borderId="94" xfId="0" applyFont="1" applyFill="1" applyBorder="1" applyAlignment="1">
      <alignment horizontal="left" wrapText="1"/>
    </xf>
    <xf numFmtId="0" fontId="0" fillId="0" borderId="140" xfId="0" applyBorder="1" applyAlignment="1">
      <alignment horizontal="left" wrapText="1"/>
    </xf>
    <xf numFmtId="0" fontId="40" fillId="27" borderId="67" xfId="0" applyFont="1" applyFill="1" applyBorder="1" applyAlignment="1">
      <alignment vertical="top" wrapText="1"/>
    </xf>
    <xf numFmtId="0" fontId="40" fillId="0" borderId="25" xfId="0" applyFont="1" applyBorder="1" applyAlignment="1">
      <alignment vertical="top" wrapText="1"/>
    </xf>
    <xf numFmtId="0" fontId="40" fillId="0" borderId="26" xfId="0" applyFont="1" applyBorder="1" applyAlignment="1">
      <alignment vertical="top" wrapText="1"/>
    </xf>
    <xf numFmtId="0" fontId="37" fillId="40" borderId="105" xfId="0" applyFont="1" applyFill="1" applyBorder="1" applyAlignment="1">
      <alignment horizontal="left" wrapText="1"/>
    </xf>
    <xf numFmtId="0" fontId="37" fillId="40" borderId="14" xfId="0" applyFont="1" applyFill="1" applyBorder="1" applyAlignment="1">
      <alignment horizontal="left" wrapText="1"/>
    </xf>
    <xf numFmtId="0" fontId="0" fillId="0" borderId="19" xfId="0" applyBorder="1" applyAlignment="1">
      <alignment horizontal="left" wrapText="1"/>
    </xf>
    <xf numFmtId="0" fontId="4" fillId="25" borderId="99" xfId="0" applyFont="1" applyFill="1" applyBorder="1" applyAlignment="1">
      <alignment horizontal="left" wrapText="1"/>
    </xf>
    <xf numFmtId="0" fontId="4" fillId="25" borderId="0" xfId="0" applyFont="1" applyFill="1" applyAlignment="1">
      <alignment horizontal="left" wrapText="1"/>
    </xf>
    <xf numFmtId="0" fontId="4" fillId="25" borderId="18" xfId="0" applyFont="1" applyFill="1" applyBorder="1" applyAlignment="1">
      <alignment horizontal="left" wrapText="1"/>
    </xf>
    <xf numFmtId="0" fontId="4" fillId="25" borderId="78" xfId="0" applyFont="1" applyFill="1" applyBorder="1" applyAlignment="1">
      <alignment horizontal="left" wrapText="1"/>
    </xf>
    <xf numFmtId="0" fontId="4" fillId="25" borderId="12" xfId="0" applyFont="1" applyFill="1" applyBorder="1" applyAlignment="1">
      <alignment horizontal="left" wrapText="1"/>
    </xf>
    <xf numFmtId="0" fontId="4" fillId="25" borderId="24" xfId="0" applyFont="1" applyFill="1" applyBorder="1" applyAlignment="1">
      <alignment horizontal="left" wrapText="1"/>
    </xf>
    <xf numFmtId="0" fontId="37" fillId="28" borderId="106" xfId="0" applyFont="1" applyFill="1" applyBorder="1" applyAlignment="1" applyProtection="1">
      <alignment horizontal="left" wrapText="1"/>
      <protection locked="0"/>
    </xf>
    <xf numFmtId="0" fontId="0" fillId="0" borderId="34" xfId="0" applyBorder="1" applyAlignment="1" applyProtection="1">
      <alignment horizontal="left" wrapText="1"/>
      <protection locked="0"/>
    </xf>
    <xf numFmtId="0" fontId="81" fillId="51" borderId="105" xfId="0" applyFont="1" applyFill="1" applyBorder="1" applyAlignment="1">
      <alignment horizontal="left" wrapText="1"/>
    </xf>
    <xf numFmtId="0" fontId="81" fillId="51" borderId="19" xfId="0" applyFont="1" applyFill="1" applyBorder="1" applyAlignment="1">
      <alignment horizontal="left" wrapText="1"/>
    </xf>
    <xf numFmtId="0" fontId="81" fillId="51" borderId="106" xfId="0" applyFont="1" applyFill="1" applyBorder="1" applyAlignment="1">
      <alignment horizontal="left" wrapText="1"/>
    </xf>
    <xf numFmtId="0" fontId="81" fillId="51" borderId="20" xfId="0" applyFont="1" applyFill="1" applyBorder="1" applyAlignment="1">
      <alignment horizontal="left" wrapText="1"/>
    </xf>
    <xf numFmtId="0" fontId="37" fillId="25" borderId="106" xfId="0" applyFont="1" applyFill="1" applyBorder="1" applyAlignment="1">
      <alignment horizontal="left" wrapText="1"/>
    </xf>
    <xf numFmtId="0" fontId="0" fillId="0" borderId="34" xfId="0" applyBorder="1" applyAlignment="1">
      <alignment horizontal="left" wrapText="1"/>
    </xf>
    <xf numFmtId="0" fontId="40" fillId="27" borderId="107" xfId="0" applyFont="1" applyFill="1" applyBorder="1" applyAlignment="1">
      <alignment horizontal="left" vertical="top"/>
    </xf>
    <xf numFmtId="0" fontId="0" fillId="0" borderId="15" xfId="0" applyBorder="1" applyAlignment="1">
      <alignment horizontal="left" vertical="top"/>
    </xf>
    <xf numFmtId="0" fontId="37" fillId="28" borderId="105" xfId="0" applyFont="1" applyFill="1" applyBorder="1" applyAlignment="1" applyProtection="1">
      <alignment horizontal="left" wrapText="1"/>
      <protection locked="0"/>
    </xf>
    <xf numFmtId="0" fontId="37" fillId="28" borderId="32" xfId="0" applyFont="1" applyFill="1" applyBorder="1" applyAlignment="1" applyProtection="1">
      <alignment horizontal="left" wrapText="1"/>
      <protection locked="0"/>
    </xf>
    <xf numFmtId="0" fontId="40" fillId="27" borderId="158" xfId="0" applyFont="1" applyFill="1" applyBorder="1" applyAlignment="1">
      <alignment horizontal="left" vertical="top"/>
    </xf>
    <xf numFmtId="0" fontId="0" fillId="0" borderId="16" xfId="0" applyBorder="1" applyAlignment="1">
      <alignment horizontal="left" vertical="top"/>
    </xf>
    <xf numFmtId="0" fontId="37" fillId="28" borderId="94" xfId="0" applyFont="1" applyFill="1" applyBorder="1" applyAlignment="1" applyProtection="1">
      <alignment horizontal="left" wrapText="1"/>
      <protection locked="0"/>
    </xf>
    <xf numFmtId="0" fontId="0" fillId="0" borderId="140" xfId="0" applyBorder="1" applyAlignment="1" applyProtection="1">
      <alignment horizontal="left" wrapText="1"/>
      <protection locked="0"/>
    </xf>
    <xf numFmtId="0" fontId="54" fillId="25" borderId="78" xfId="0" applyFont="1" applyFill="1" applyBorder="1" applyAlignment="1">
      <alignment horizontal="left" wrapText="1"/>
    </xf>
    <xf numFmtId="0" fontId="54" fillId="25" borderId="156" xfId="0" applyFont="1" applyFill="1" applyBorder="1" applyAlignment="1">
      <alignment horizontal="left" wrapText="1"/>
    </xf>
    <xf numFmtId="0" fontId="10" fillId="41" borderId="17" xfId="0" applyFont="1" applyFill="1" applyBorder="1" applyAlignment="1">
      <alignment horizontal="left" vertical="top" wrapText="1"/>
    </xf>
    <xf numFmtId="0" fontId="0" fillId="0" borderId="24" xfId="0" applyBorder="1" applyAlignment="1">
      <alignment horizontal="left" wrapText="1"/>
    </xf>
    <xf numFmtId="0" fontId="4" fillId="41" borderId="88" xfId="0" applyFont="1" applyFill="1" applyBorder="1" applyAlignment="1">
      <alignment horizontal="center" wrapText="1"/>
    </xf>
    <xf numFmtId="0" fontId="4" fillId="25" borderId="11" xfId="0" applyFont="1" applyFill="1" applyBorder="1" applyAlignment="1">
      <alignment horizontal="center" wrapText="1"/>
    </xf>
    <xf numFmtId="0" fontId="41" fillId="41" borderId="0" xfId="0" applyFont="1" applyFill="1" applyAlignment="1">
      <alignment horizontal="left" vertical="center" wrapText="1"/>
    </xf>
    <xf numFmtId="0" fontId="4" fillId="25" borderId="156" xfId="0" applyFont="1" applyFill="1" applyBorder="1" applyAlignment="1">
      <alignment horizontal="left" wrapText="1"/>
    </xf>
    <xf numFmtId="0" fontId="37" fillId="25" borderId="94" xfId="0" applyFont="1" applyFill="1" applyBorder="1" applyAlignment="1">
      <alignment horizontal="left"/>
    </xf>
    <xf numFmtId="0" fontId="0" fillId="0" borderId="16" xfId="0" applyBorder="1" applyAlignment="1">
      <alignment horizontal="left"/>
    </xf>
    <xf numFmtId="0" fontId="0" fillId="0" borderId="23" xfId="0" applyBorder="1" applyAlignment="1">
      <alignment horizontal="left"/>
    </xf>
    <xf numFmtId="0" fontId="37" fillId="40" borderId="94" xfId="0" applyFont="1" applyFill="1" applyBorder="1" applyAlignment="1">
      <alignment horizontal="left"/>
    </xf>
    <xf numFmtId="0" fontId="37" fillId="25" borderId="105" xfId="0" applyFont="1" applyFill="1" applyBorder="1" applyAlignment="1">
      <alignment horizontal="left"/>
    </xf>
    <xf numFmtId="0" fontId="0" fillId="0" borderId="14" xfId="0" applyBorder="1" applyAlignment="1">
      <alignment horizontal="left"/>
    </xf>
    <xf numFmtId="0" fontId="0" fillId="0" borderId="19" xfId="0" applyBorder="1" applyAlignment="1">
      <alignment horizontal="left"/>
    </xf>
    <xf numFmtId="0" fontId="53" fillId="27" borderId="78" xfId="0" applyFont="1" applyFill="1" applyBorder="1" applyAlignment="1">
      <alignment horizontal="left" vertical="top"/>
    </xf>
    <xf numFmtId="0" fontId="53" fillId="27" borderId="12" xfId="0" applyFont="1" applyFill="1" applyBorder="1" applyAlignment="1">
      <alignment horizontal="left" vertical="top"/>
    </xf>
    <xf numFmtId="0" fontId="53" fillId="27" borderId="24" xfId="0" applyFont="1" applyFill="1" applyBorder="1" applyAlignment="1">
      <alignment horizontal="left" vertical="top"/>
    </xf>
    <xf numFmtId="0" fontId="81" fillId="51" borderId="105" xfId="0" applyFont="1" applyFill="1" applyBorder="1" applyAlignment="1">
      <alignment horizontal="left"/>
    </xf>
    <xf numFmtId="0" fontId="81" fillId="51" borderId="14" xfId="0" applyFont="1" applyFill="1" applyBorder="1" applyAlignment="1">
      <alignment horizontal="left"/>
    </xf>
    <xf numFmtId="0" fontId="81" fillId="51" borderId="19" xfId="0" applyFont="1" applyFill="1" applyBorder="1" applyAlignment="1">
      <alignment horizontal="left"/>
    </xf>
    <xf numFmtId="0" fontId="81" fillId="51" borderId="94" xfId="0" applyFont="1" applyFill="1" applyBorder="1" applyAlignment="1">
      <alignment horizontal="left"/>
    </xf>
    <xf numFmtId="0" fontId="81" fillId="51" borderId="16" xfId="0" applyFont="1" applyFill="1" applyBorder="1" applyAlignment="1">
      <alignment horizontal="left"/>
    </xf>
    <xf numFmtId="0" fontId="37" fillId="40" borderId="105" xfId="0" applyFont="1" applyFill="1" applyBorder="1" applyAlignment="1">
      <alignment horizontal="left"/>
    </xf>
    <xf numFmtId="0" fontId="37" fillId="40" borderId="14" xfId="0" applyFont="1" applyFill="1" applyBorder="1" applyAlignment="1">
      <alignment horizontal="left"/>
    </xf>
    <xf numFmtId="0" fontId="37" fillId="40" borderId="19" xfId="0" applyFont="1" applyFill="1" applyBorder="1" applyAlignment="1">
      <alignment horizontal="left"/>
    </xf>
    <xf numFmtId="0" fontId="0" fillId="0" borderId="16" xfId="0" applyBorder="1" applyAlignment="1">
      <alignment horizontal="left" wrapText="1"/>
    </xf>
    <xf numFmtId="0" fontId="0" fillId="0" borderId="23" xfId="0" applyBorder="1" applyAlignment="1">
      <alignment horizontal="left" wrapText="1"/>
    </xf>
    <xf numFmtId="0" fontId="37" fillId="25" borderId="105" xfId="0" applyFont="1" applyFill="1" applyBorder="1" applyAlignment="1">
      <alignment horizontal="left" wrapText="1"/>
    </xf>
    <xf numFmtId="0" fontId="0" fillId="0" borderId="32" xfId="0" applyBorder="1" applyAlignment="1">
      <alignment horizontal="left" wrapText="1"/>
    </xf>
    <xf numFmtId="0" fontId="37" fillId="40" borderId="94" xfId="0" applyFont="1" applyFill="1" applyBorder="1" applyAlignment="1">
      <alignment horizontal="left" wrapText="1"/>
    </xf>
    <xf numFmtId="0" fontId="37" fillId="25" borderId="14" xfId="0" applyFont="1" applyFill="1" applyBorder="1" applyAlignment="1">
      <alignment horizontal="left" wrapText="1"/>
    </xf>
    <xf numFmtId="0" fontId="6" fillId="46" borderId="154" xfId="78" applyFill="1" applyBorder="1" applyAlignment="1" applyProtection="1">
      <alignment horizontal="center" vertical="top" wrapText="1"/>
    </xf>
    <xf numFmtId="0" fontId="6" fillId="46" borderId="155" xfId="78" applyFill="1" applyBorder="1" applyAlignment="1" applyProtection="1">
      <alignment horizontal="center" vertical="top" wrapText="1"/>
    </xf>
    <xf numFmtId="0" fontId="40" fillId="27" borderId="78" xfId="0" applyFont="1" applyFill="1" applyBorder="1" applyAlignment="1">
      <alignment horizontal="left" vertical="top"/>
    </xf>
    <xf numFmtId="0" fontId="40" fillId="27" borderId="12" xfId="0" applyFont="1" applyFill="1" applyBorder="1" applyAlignment="1">
      <alignment horizontal="left" vertical="top"/>
    </xf>
    <xf numFmtId="0" fontId="40" fillId="27" borderId="24" xfId="0" applyFont="1" applyFill="1" applyBorder="1" applyAlignment="1">
      <alignment horizontal="left" vertical="top"/>
    </xf>
    <xf numFmtId="0" fontId="40" fillId="27" borderId="157" xfId="0" applyFont="1" applyFill="1" applyBorder="1" applyAlignment="1">
      <alignment horizontal="left" vertical="top"/>
    </xf>
    <xf numFmtId="0" fontId="40" fillId="27" borderId="14" xfId="0" applyFont="1" applyFill="1" applyBorder="1" applyAlignment="1">
      <alignment horizontal="left" vertical="top"/>
    </xf>
    <xf numFmtId="0" fontId="57" fillId="25" borderId="15" xfId="0" applyFont="1" applyFill="1" applyBorder="1" applyAlignment="1">
      <alignment horizontal="left" vertical="top" wrapText="1"/>
    </xf>
    <xf numFmtId="0" fontId="0" fillId="0" borderId="15" xfId="0" applyBorder="1" applyAlignment="1">
      <alignment horizontal="left" vertical="top" wrapText="1"/>
    </xf>
    <xf numFmtId="0" fontId="39" fillId="46" borderId="0" xfId="78" applyFont="1" applyFill="1" applyAlignment="1" applyProtection="1">
      <alignment vertical="top" wrapText="1"/>
    </xf>
    <xf numFmtId="0" fontId="36" fillId="28" borderId="67" xfId="0" applyFont="1" applyFill="1" applyBorder="1" applyAlignment="1" applyProtection="1">
      <alignment horizontal="left"/>
      <protection locked="0"/>
    </xf>
    <xf numFmtId="0" fontId="36" fillId="28" borderId="25" xfId="0" applyFont="1" applyFill="1" applyBorder="1" applyAlignment="1" applyProtection="1">
      <alignment horizontal="left"/>
      <protection locked="0"/>
    </xf>
    <xf numFmtId="0" fontId="36" fillId="28" borderId="26" xfId="0" applyFont="1" applyFill="1" applyBorder="1" applyAlignment="1" applyProtection="1">
      <alignment horizontal="left"/>
      <protection locked="0"/>
    </xf>
    <xf numFmtId="0" fontId="6" fillId="25" borderId="0" xfId="78" applyFill="1" applyAlignment="1" applyProtection="1">
      <alignment horizontal="left" vertical="top" wrapText="1"/>
    </xf>
    <xf numFmtId="0" fontId="39" fillId="46" borderId="0" xfId="78" applyFont="1" applyFill="1" applyAlignment="1" applyProtection="1">
      <alignment horizontal="left" vertical="top" wrapText="1"/>
    </xf>
    <xf numFmtId="0" fontId="37" fillId="25" borderId="14" xfId="0" applyFont="1" applyFill="1" applyBorder="1" applyAlignment="1">
      <alignment horizontal="left" vertical="top" wrapText="1"/>
    </xf>
    <xf numFmtId="0" fontId="0" fillId="0" borderId="14" xfId="0" applyBorder="1" applyAlignment="1">
      <alignment horizontal="left" vertical="top" wrapText="1"/>
    </xf>
    <xf numFmtId="0" fontId="37" fillId="25" borderId="15" xfId="0" applyFont="1" applyFill="1" applyBorder="1" applyAlignment="1">
      <alignment horizontal="left" vertical="top" wrapText="1"/>
    </xf>
    <xf numFmtId="0" fontId="37" fillId="41" borderId="16" xfId="0" applyFont="1" applyFill="1" applyBorder="1" applyAlignment="1">
      <alignment horizontal="left" vertical="top" wrapText="1"/>
    </xf>
    <xf numFmtId="0" fontId="0" fillId="0" borderId="16" xfId="0" applyBorder="1" applyAlignment="1">
      <alignment horizontal="left" vertical="top" wrapText="1"/>
    </xf>
    <xf numFmtId="0" fontId="2" fillId="25" borderId="120" xfId="0" applyFont="1" applyFill="1" applyBorder="1" applyAlignment="1">
      <alignment horizontal="left" vertical="top" wrapText="1"/>
    </xf>
    <xf numFmtId="0" fontId="0" fillId="0" borderId="120" xfId="0" applyBorder="1" applyAlignment="1">
      <alignment horizontal="left" vertical="top" wrapText="1"/>
    </xf>
    <xf numFmtId="0" fontId="4" fillId="25" borderId="114" xfId="0" applyFont="1" applyFill="1" applyBorder="1" applyAlignment="1">
      <alignment horizontal="left" vertical="top" wrapText="1"/>
    </xf>
    <xf numFmtId="0" fontId="0" fillId="0" borderId="97" xfId="0" applyBorder="1" applyAlignment="1">
      <alignment horizontal="left" vertical="top" wrapText="1"/>
    </xf>
    <xf numFmtId="0" fontId="100" fillId="25" borderId="0" xfId="0" applyFont="1" applyFill="1" applyAlignment="1">
      <alignment horizontal="left" vertical="top" wrapText="1"/>
    </xf>
    <xf numFmtId="0" fontId="38" fillId="28" borderId="67" xfId="0" applyFont="1" applyFill="1" applyBorder="1" applyAlignment="1" applyProtection="1">
      <alignment horizontal="left"/>
      <protection locked="0"/>
    </xf>
    <xf numFmtId="0" fontId="38" fillId="28" borderId="25" xfId="0" applyFont="1" applyFill="1" applyBorder="1" applyAlignment="1" applyProtection="1">
      <alignment horizontal="left"/>
      <protection locked="0"/>
    </xf>
    <xf numFmtId="0" fontId="38" fillId="28" borderId="26" xfId="0" applyFont="1" applyFill="1" applyBorder="1" applyAlignment="1" applyProtection="1">
      <alignment horizontal="left"/>
      <protection locked="0"/>
    </xf>
    <xf numFmtId="0" fontId="37" fillId="25" borderId="25" xfId="0" applyFont="1" applyFill="1" applyBorder="1" applyAlignment="1">
      <alignment horizontal="left" vertical="top" wrapText="1"/>
    </xf>
    <xf numFmtId="0" fontId="0" fillId="0" borderId="12" xfId="0" applyBorder="1" applyAlignment="1">
      <alignment horizontal="left" vertical="top" wrapText="1"/>
    </xf>
    <xf numFmtId="0" fontId="2" fillId="25" borderId="17" xfId="0" applyFont="1" applyFill="1" applyBorder="1" applyAlignment="1">
      <alignment horizontal="left" vertical="top" wrapText="1"/>
    </xf>
    <xf numFmtId="0" fontId="2" fillId="25" borderId="22" xfId="0" applyFont="1" applyFill="1" applyBorder="1" applyAlignment="1">
      <alignment horizontal="left" vertical="top" wrapText="1"/>
    </xf>
    <xf numFmtId="0" fontId="2" fillId="28" borderId="67" xfId="0" applyFont="1" applyFill="1" applyBorder="1" applyAlignment="1" applyProtection="1">
      <alignment horizontal="left" vertical="top"/>
      <protection locked="0"/>
    </xf>
    <xf numFmtId="0" fontId="2" fillId="0" borderId="25" xfId="0" applyFont="1" applyBorder="1" applyAlignment="1" applyProtection="1">
      <alignment horizontal="left" vertical="top"/>
      <protection locked="0"/>
    </xf>
    <xf numFmtId="0" fontId="2" fillId="0" borderId="26" xfId="0" applyFont="1" applyBorder="1" applyAlignment="1" applyProtection="1">
      <alignment horizontal="left" vertical="top"/>
      <protection locked="0"/>
    </xf>
    <xf numFmtId="0" fontId="2" fillId="28" borderId="103" xfId="0" applyFont="1" applyFill="1" applyBorder="1" applyAlignment="1" applyProtection="1">
      <alignment horizontal="left" vertical="top" wrapText="1"/>
      <protection locked="0"/>
    </xf>
    <xf numFmtId="0" fontId="2" fillId="0" borderId="21" xfId="0" applyFont="1" applyBorder="1" applyAlignment="1" applyProtection="1">
      <alignment horizontal="left" vertical="top" wrapText="1"/>
      <protection locked="0"/>
    </xf>
    <xf numFmtId="0" fontId="2" fillId="0" borderId="102" xfId="0" applyFont="1" applyBorder="1" applyAlignment="1" applyProtection="1">
      <alignment horizontal="left" vertical="top" wrapText="1"/>
      <protection locked="0"/>
    </xf>
    <xf numFmtId="0" fontId="2" fillId="0" borderId="78" xfId="0" applyFont="1" applyBorder="1" applyAlignment="1" applyProtection="1">
      <alignment horizontal="left" vertical="top" wrapText="1"/>
      <protection locked="0"/>
    </xf>
    <xf numFmtId="0" fontId="2" fillId="0" borderId="12" xfId="0" applyFont="1" applyBorder="1" applyAlignment="1" applyProtection="1">
      <alignment horizontal="left" vertical="top" wrapText="1"/>
      <protection locked="0"/>
    </xf>
    <xf numFmtId="0" fontId="2" fillId="0" borderId="24" xfId="0" applyFont="1" applyBorder="1" applyAlignment="1" applyProtection="1">
      <alignment horizontal="left" vertical="top" wrapText="1"/>
      <protection locked="0"/>
    </xf>
    <xf numFmtId="0" fontId="38" fillId="28" borderId="67" xfId="0" applyFont="1" applyFill="1" applyBorder="1" applyAlignment="1" applyProtection="1">
      <alignment horizontal="left" vertical="top" wrapText="1"/>
      <protection locked="0"/>
    </xf>
    <xf numFmtId="0" fontId="0" fillId="0" borderId="25" xfId="0" applyBorder="1" applyAlignment="1" applyProtection="1">
      <alignment horizontal="left" vertical="top" wrapText="1"/>
      <protection locked="0"/>
    </xf>
    <xf numFmtId="0" fontId="0" fillId="0" borderId="26" xfId="0" applyBorder="1" applyAlignment="1" applyProtection="1">
      <alignment horizontal="left" vertical="top" wrapText="1"/>
      <protection locked="0"/>
    </xf>
    <xf numFmtId="0" fontId="0" fillId="0" borderId="21" xfId="0" applyBorder="1" applyAlignment="1" applyProtection="1">
      <alignment horizontal="left" vertical="top" wrapText="1"/>
      <protection locked="0"/>
    </xf>
    <xf numFmtId="0" fontId="0" fillId="0" borderId="102" xfId="0" applyBorder="1" applyAlignment="1" applyProtection="1">
      <alignment horizontal="left" vertical="top" wrapText="1"/>
      <protection locked="0"/>
    </xf>
    <xf numFmtId="0" fontId="0" fillId="0" borderId="78" xfId="0" applyBorder="1" applyAlignment="1" applyProtection="1">
      <alignment horizontal="left" vertical="top" wrapText="1"/>
      <protection locked="0"/>
    </xf>
    <xf numFmtId="0" fontId="0" fillId="0" borderId="12" xfId="0" applyBorder="1" applyAlignment="1" applyProtection="1">
      <alignment horizontal="left" vertical="top" wrapText="1"/>
      <protection locked="0"/>
    </xf>
    <xf numFmtId="0" fontId="0" fillId="0" borderId="24" xfId="0" applyBorder="1" applyAlignment="1" applyProtection="1">
      <alignment horizontal="left" vertical="top" wrapText="1"/>
      <protection locked="0"/>
    </xf>
    <xf numFmtId="0" fontId="37" fillId="25" borderId="17" xfId="0" applyFont="1" applyFill="1" applyBorder="1" applyAlignment="1">
      <alignment horizontal="left" vertical="top" wrapText="1"/>
    </xf>
    <xf numFmtId="0" fontId="0" fillId="0" borderId="17" xfId="0" applyBorder="1" applyAlignment="1">
      <alignment horizontal="left" vertical="top" wrapText="1"/>
    </xf>
    <xf numFmtId="0" fontId="0" fillId="0" borderId="22" xfId="0" applyBorder="1" applyAlignment="1">
      <alignment horizontal="left" vertical="top" wrapText="1"/>
    </xf>
    <xf numFmtId="0" fontId="0" fillId="0" borderId="18" xfId="0" applyBorder="1" applyAlignment="1">
      <alignment horizontal="left" vertical="top" wrapText="1"/>
    </xf>
    <xf numFmtId="0" fontId="36" fillId="28" borderId="67" xfId="0" applyFont="1" applyFill="1" applyBorder="1" applyAlignment="1" applyProtection="1">
      <alignment horizontal="left" vertical="top" wrapText="1"/>
      <protection locked="0"/>
    </xf>
    <xf numFmtId="0" fontId="41" fillId="25" borderId="0" xfId="0" applyFont="1" applyFill="1" applyAlignment="1">
      <alignment vertical="center" wrapText="1"/>
    </xf>
    <xf numFmtId="0" fontId="3" fillId="26" borderId="0" xfId="0" applyFont="1" applyFill="1" applyAlignment="1">
      <alignment vertical="center" wrapText="1"/>
    </xf>
    <xf numFmtId="0" fontId="10" fillId="25" borderId="0" xfId="0" applyFont="1" applyFill="1" applyAlignment="1">
      <alignment vertical="center" wrapText="1"/>
    </xf>
    <xf numFmtId="0" fontId="0" fillId="28" borderId="67" xfId="0" applyFill="1" applyBorder="1" applyAlignment="1" applyProtection="1">
      <alignment horizontal="left"/>
      <protection locked="0"/>
    </xf>
    <xf numFmtId="0" fontId="0" fillId="28" borderId="26" xfId="0" applyFill="1" applyBorder="1" applyAlignment="1" applyProtection="1">
      <alignment horizontal="left"/>
      <protection locked="0"/>
    </xf>
    <xf numFmtId="0" fontId="10" fillId="25" borderId="0" xfId="0" applyFont="1" applyFill="1" applyAlignment="1">
      <alignment vertical="top"/>
    </xf>
    <xf numFmtId="0" fontId="4" fillId="25" borderId="12" xfId="0" applyFont="1" applyFill="1" applyBorder="1" applyAlignment="1">
      <alignment horizontal="left" vertical="center" wrapText="1"/>
    </xf>
    <xf numFmtId="0" fontId="0" fillId="0" borderId="12" xfId="0" applyBorder="1" applyAlignment="1">
      <alignment horizontal="left" vertical="center" wrapText="1"/>
    </xf>
    <xf numFmtId="0" fontId="4" fillId="25" borderId="0" xfId="0" applyFont="1" applyFill="1" applyAlignment="1">
      <alignment horizontal="left" vertical="center" wrapText="1"/>
    </xf>
    <xf numFmtId="0" fontId="0" fillId="0" borderId="0" xfId="0" applyAlignment="1">
      <alignment horizontal="left" vertical="center" wrapText="1"/>
    </xf>
    <xf numFmtId="0" fontId="10" fillId="25" borderId="12" xfId="0" applyFont="1" applyFill="1" applyBorder="1" applyAlignment="1">
      <alignment horizontal="left" vertical="center" wrapText="1"/>
    </xf>
    <xf numFmtId="0" fontId="10" fillId="25" borderId="0" xfId="0" applyFont="1" applyFill="1" applyAlignment="1">
      <alignment horizontal="left" vertical="center" wrapText="1"/>
    </xf>
    <xf numFmtId="0" fontId="37" fillId="40" borderId="14" xfId="0" applyFont="1" applyFill="1" applyBorder="1" applyAlignment="1">
      <alignment horizontal="left" vertical="center" wrapText="1"/>
    </xf>
    <xf numFmtId="0" fontId="0" fillId="0" borderId="14" xfId="0" applyBorder="1" applyAlignment="1">
      <alignment horizontal="left" vertical="center" wrapText="1"/>
    </xf>
    <xf numFmtId="0" fontId="37" fillId="42" borderId="15" xfId="0" applyFont="1" applyFill="1" applyBorder="1" applyAlignment="1" applyProtection="1">
      <alignment horizontal="left" vertical="center" wrapText="1"/>
      <protection locked="0"/>
    </xf>
    <xf numFmtId="0" fontId="0" fillId="0" borderId="15" xfId="0" applyBorder="1" applyAlignment="1" applyProtection="1">
      <alignment horizontal="left" vertical="center" wrapText="1"/>
      <protection locked="0"/>
    </xf>
    <xf numFmtId="0" fontId="37" fillId="42" borderId="16" xfId="0" applyFont="1" applyFill="1" applyBorder="1" applyAlignment="1" applyProtection="1">
      <alignment horizontal="left" vertical="center" wrapText="1"/>
      <protection locked="0"/>
    </xf>
    <xf numFmtId="0" fontId="0" fillId="0" borderId="16" xfId="0" applyBorder="1" applyAlignment="1" applyProtection="1">
      <alignment horizontal="left" vertical="center" wrapText="1"/>
      <protection locked="0"/>
    </xf>
    <xf numFmtId="0" fontId="37" fillId="40" borderId="15" xfId="0" applyFont="1" applyFill="1" applyBorder="1" applyAlignment="1">
      <alignment horizontal="left" vertical="center" wrapText="1"/>
    </xf>
    <xf numFmtId="0" fontId="0" fillId="0" borderId="15" xfId="0" applyBorder="1" applyAlignment="1">
      <alignment horizontal="left" vertical="center" wrapText="1"/>
    </xf>
    <xf numFmtId="0" fontId="2" fillId="0" borderId="16" xfId="0" applyFont="1" applyBorder="1" applyAlignment="1">
      <alignment horizontal="left" vertical="center" wrapText="1"/>
    </xf>
    <xf numFmtId="0" fontId="0" fillId="0" borderId="16" xfId="0" applyBorder="1" applyAlignment="1">
      <alignment horizontal="left" vertical="center" wrapText="1"/>
    </xf>
    <xf numFmtId="0" fontId="37" fillId="25" borderId="25" xfId="0" applyFont="1" applyFill="1" applyBorder="1" applyAlignment="1">
      <alignment horizontal="left" vertical="center" wrapText="1"/>
    </xf>
    <xf numFmtId="0" fontId="0" fillId="0" borderId="25" xfId="0" applyBorder="1" applyAlignment="1">
      <alignment horizontal="left" vertical="center" wrapText="1"/>
    </xf>
    <xf numFmtId="0" fontId="2" fillId="25" borderId="25" xfId="0" applyFont="1" applyFill="1" applyBorder="1" applyAlignment="1">
      <alignment horizontal="left" vertical="center" wrapText="1"/>
    </xf>
    <xf numFmtId="0" fontId="4" fillId="25" borderId="18" xfId="0" applyFont="1" applyFill="1" applyBorder="1" applyAlignment="1">
      <alignment vertical="center" wrapText="1"/>
    </xf>
    <xf numFmtId="0" fontId="64" fillId="0" borderId="0" xfId="0" applyFont="1" applyAlignment="1">
      <alignment vertical="top" wrapText="1"/>
    </xf>
    <xf numFmtId="0" fontId="64" fillId="0" borderId="0" xfId="0" applyFont="1" applyAlignment="1">
      <alignment vertical="top"/>
    </xf>
    <xf numFmtId="0" fontId="37" fillId="42" borderId="14" xfId="0" applyFont="1" applyFill="1" applyBorder="1" applyAlignment="1" applyProtection="1">
      <alignment horizontal="left" vertical="center" wrapText="1"/>
      <protection locked="0"/>
    </xf>
    <xf numFmtId="0" fontId="0" fillId="0" borderId="14" xfId="0" applyBorder="1" applyAlignment="1" applyProtection="1">
      <alignment horizontal="left" vertical="center" wrapText="1"/>
      <protection locked="0"/>
    </xf>
    <xf numFmtId="0" fontId="6" fillId="46" borderId="159" xfId="78" applyFill="1" applyBorder="1" applyAlignment="1" applyProtection="1">
      <alignment horizontal="center" vertical="top" wrapText="1"/>
    </xf>
    <xf numFmtId="0" fontId="6" fillId="46" borderId="81" xfId="78" applyFill="1" applyBorder="1" applyAlignment="1" applyProtection="1">
      <alignment horizontal="center" vertical="top" wrapText="1"/>
    </xf>
    <xf numFmtId="0" fontId="0" fillId="46" borderId="153" xfId="0" applyFill="1" applyBorder="1" applyAlignment="1">
      <alignment horizontal="center" vertical="top" wrapText="1"/>
    </xf>
    <xf numFmtId="0" fontId="2" fillId="25" borderId="15" xfId="0" applyFont="1" applyFill="1" applyBorder="1" applyAlignment="1">
      <alignment horizontal="left" vertical="center" wrapText="1"/>
    </xf>
    <xf numFmtId="0" fontId="62" fillId="46" borderId="0" xfId="78" applyFont="1" applyFill="1" applyAlignment="1" applyProtection="1">
      <alignment horizontal="left" vertical="top" wrapText="1"/>
    </xf>
    <xf numFmtId="0" fontId="6" fillId="46" borderId="67" xfId="0" applyFont="1" applyFill="1" applyBorder="1" applyAlignment="1">
      <alignment horizontal="left" vertical="top" wrapText="1"/>
    </xf>
    <xf numFmtId="0" fontId="6" fillId="46" borderId="25" xfId="0" applyFont="1" applyFill="1" applyBorder="1" applyAlignment="1">
      <alignment horizontal="left" vertical="top" wrapText="1"/>
    </xf>
    <xf numFmtId="0" fontId="6" fillId="46" borderId="26" xfId="0" applyFont="1" applyFill="1" applyBorder="1" applyAlignment="1">
      <alignment horizontal="left" vertical="top" wrapText="1"/>
    </xf>
    <xf numFmtId="0" fontId="0" fillId="0" borderId="26" xfId="0" applyBorder="1" applyAlignment="1">
      <alignment horizontal="left" vertical="center" wrapText="1"/>
    </xf>
    <xf numFmtId="0" fontId="2" fillId="41" borderId="120" xfId="0" applyFont="1" applyFill="1" applyBorder="1" applyAlignment="1">
      <alignment horizontal="left" vertical="center" wrapText="1"/>
    </xf>
    <xf numFmtId="0" fontId="0" fillId="0" borderId="69" xfId="0" applyBorder="1" applyAlignment="1">
      <alignment horizontal="left" vertical="center" wrapText="1"/>
    </xf>
    <xf numFmtId="0" fontId="4" fillId="25" borderId="100" xfId="0" applyFont="1" applyFill="1" applyBorder="1" applyAlignment="1">
      <alignment horizontal="left" vertical="center" wrapText="1"/>
    </xf>
    <xf numFmtId="0" fontId="0" fillId="0" borderId="70" xfId="0" applyBorder="1" applyAlignment="1">
      <alignment horizontal="left" vertical="center" wrapText="1"/>
    </xf>
    <xf numFmtId="0" fontId="4" fillId="25" borderId="56" xfId="0" applyFont="1" applyFill="1" applyBorder="1" applyAlignment="1">
      <alignment horizontal="left" vertical="center" wrapText="1"/>
    </xf>
    <xf numFmtId="0" fontId="0" fillId="0" borderId="48" xfId="0" applyBorder="1" applyAlignment="1">
      <alignment horizontal="left" vertical="center" wrapText="1"/>
    </xf>
    <xf numFmtId="0" fontId="2" fillId="41" borderId="41" xfId="0" applyFont="1" applyFill="1" applyBorder="1" applyAlignment="1">
      <alignment horizontal="left" vertical="center" wrapText="1"/>
    </xf>
    <xf numFmtId="0" fontId="0" fillId="0" borderId="46" xfId="0" applyBorder="1" applyAlignment="1">
      <alignment horizontal="left" vertical="center" wrapText="1"/>
    </xf>
    <xf numFmtId="0" fontId="2" fillId="41" borderId="25" xfId="0" applyFont="1" applyFill="1" applyBorder="1" applyAlignment="1">
      <alignment horizontal="left" vertical="center" wrapText="1"/>
    </xf>
    <xf numFmtId="0" fontId="0" fillId="0" borderId="51" xfId="0" applyBorder="1" applyAlignment="1">
      <alignment horizontal="left" vertical="center" wrapText="1"/>
    </xf>
    <xf numFmtId="0" fontId="0" fillId="0" borderId="41" xfId="0" applyBorder="1" applyAlignment="1">
      <alignment horizontal="left" vertical="center" wrapText="1"/>
    </xf>
    <xf numFmtId="0" fontId="0" fillId="0" borderId="120" xfId="0" applyBorder="1" applyAlignment="1">
      <alignment horizontal="left" vertical="center" wrapText="1"/>
    </xf>
    <xf numFmtId="0" fontId="2" fillId="25" borderId="16" xfId="0" applyFont="1" applyFill="1" applyBorder="1" applyAlignment="1">
      <alignment horizontal="left" vertical="center" wrapText="1"/>
    </xf>
    <xf numFmtId="0" fontId="0" fillId="0" borderId="36" xfId="0" applyBorder="1" applyAlignment="1">
      <alignment horizontal="left" vertical="center" wrapText="1"/>
    </xf>
    <xf numFmtId="0" fontId="64" fillId="25" borderId="0" xfId="0" applyFont="1" applyFill="1" applyAlignment="1">
      <alignment vertical="top" wrapText="1"/>
    </xf>
    <xf numFmtId="0" fontId="37" fillId="40" borderId="16" xfId="0" applyFont="1" applyFill="1" applyBorder="1" applyAlignment="1">
      <alignment horizontal="left" vertical="center" wrapText="1"/>
    </xf>
    <xf numFmtId="0" fontId="35" fillId="25" borderId="0" xfId="0" applyFont="1" applyFill="1" applyAlignment="1">
      <alignment horizontal="left" vertical="center" wrapText="1"/>
    </xf>
    <xf numFmtId="0" fontId="37" fillId="25" borderId="107" xfId="0" applyFont="1" applyFill="1" applyBorder="1" applyAlignment="1">
      <alignment horizontal="left" vertical="center"/>
    </xf>
    <xf numFmtId="0" fontId="0" fillId="0" borderId="15" xfId="0" applyBorder="1" applyAlignment="1">
      <alignment horizontal="left" vertical="center"/>
    </xf>
    <xf numFmtId="0" fontId="37" fillId="25" borderId="56" xfId="0" applyFont="1" applyFill="1" applyBorder="1" applyAlignment="1">
      <alignment horizontal="left" vertical="center" wrapText="1"/>
    </xf>
    <xf numFmtId="0" fontId="37" fillId="25" borderId="105" xfId="0" applyFont="1" applyFill="1" applyBorder="1" applyAlignment="1">
      <alignment horizontal="left" vertical="center" wrapText="1"/>
    </xf>
    <xf numFmtId="0" fontId="37" fillId="25" borderId="106" xfId="0" applyFont="1" applyFill="1" applyBorder="1" applyAlignment="1">
      <alignment horizontal="left" vertical="center" wrapText="1"/>
    </xf>
    <xf numFmtId="0" fontId="37" fillId="25" borderId="94" xfId="0" applyFont="1" applyFill="1" applyBorder="1" applyAlignment="1">
      <alignment horizontal="left" vertical="center" wrapText="1"/>
    </xf>
    <xf numFmtId="0" fontId="62" fillId="46" borderId="0" xfId="78" applyFont="1" applyFill="1" applyBorder="1" applyAlignment="1" applyProtection="1">
      <alignment horizontal="left" vertical="center" wrapText="1"/>
    </xf>
    <xf numFmtId="0" fontId="2" fillId="0" borderId="14" xfId="0" applyFont="1" applyBorder="1" applyAlignment="1">
      <alignment horizontal="left" vertical="center" wrapText="1"/>
    </xf>
    <xf numFmtId="0" fontId="37" fillId="25" borderId="15" xfId="0" applyFont="1" applyFill="1" applyBorder="1" applyAlignment="1">
      <alignment horizontal="left" vertical="center" wrapText="1"/>
    </xf>
    <xf numFmtId="0" fontId="37" fillId="41" borderId="16" xfId="0" applyFont="1" applyFill="1" applyBorder="1" applyAlignment="1">
      <alignment horizontal="left" vertical="center" wrapText="1"/>
    </xf>
    <xf numFmtId="0" fontId="37" fillId="25" borderId="14" xfId="0" applyFont="1" applyFill="1" applyBorder="1" applyAlignment="1">
      <alignment horizontal="left" vertical="center" wrapText="1"/>
    </xf>
    <xf numFmtId="0" fontId="4" fillId="25" borderId="12" xfId="0" applyFont="1" applyFill="1" applyBorder="1" applyAlignment="1">
      <alignment horizontal="left" vertical="center"/>
    </xf>
    <xf numFmtId="0" fontId="0" fillId="0" borderId="12" xfId="0" applyBorder="1" applyAlignment="1">
      <alignment horizontal="left" vertical="center"/>
    </xf>
    <xf numFmtId="0" fontId="4" fillId="25" borderId="39" xfId="0" applyFont="1" applyFill="1" applyBorder="1" applyAlignment="1">
      <alignment horizontal="left" vertical="center" wrapText="1"/>
    </xf>
    <xf numFmtId="0" fontId="0" fillId="0" borderId="39" xfId="0" applyBorder="1" applyAlignment="1">
      <alignment horizontal="left" vertical="center" wrapText="1"/>
    </xf>
    <xf numFmtId="0" fontId="37" fillId="25" borderId="100" xfId="0" applyFont="1" applyFill="1" applyBorder="1" applyAlignment="1">
      <alignment horizontal="left" vertical="center" wrapText="1"/>
    </xf>
    <xf numFmtId="0" fontId="2" fillId="25" borderId="14" xfId="0" applyFont="1" applyFill="1" applyBorder="1" applyAlignment="1">
      <alignment horizontal="left" vertical="center" wrapText="1"/>
    </xf>
    <xf numFmtId="0" fontId="4" fillId="25" borderId="25" xfId="0" applyFont="1" applyFill="1" applyBorder="1" applyAlignment="1">
      <alignment horizontal="left" vertical="center" wrapText="1"/>
    </xf>
    <xf numFmtId="0" fontId="41" fillId="43" borderId="0" xfId="0" applyFont="1" applyFill="1" applyAlignment="1">
      <alignment horizontal="left" vertical="top" wrapText="1"/>
    </xf>
    <xf numFmtId="0" fontId="0" fillId="0" borderId="38" xfId="0" applyBorder="1" applyAlignment="1">
      <alignment horizontal="left" vertical="top" wrapText="1"/>
    </xf>
    <xf numFmtId="0" fontId="2" fillId="43" borderId="0" xfId="0" applyFont="1" applyFill="1" applyAlignment="1">
      <alignment horizontal="left" vertical="top" wrapText="1"/>
    </xf>
    <xf numFmtId="0" fontId="2" fillId="45" borderId="103" xfId="0" applyFont="1" applyFill="1" applyBorder="1" applyAlignment="1" applyProtection="1">
      <alignment horizontal="left" vertical="top"/>
      <protection locked="0"/>
    </xf>
    <xf numFmtId="0" fontId="2" fillId="45" borderId="21" xfId="0" applyFont="1" applyFill="1" applyBorder="1" applyAlignment="1" applyProtection="1">
      <alignment horizontal="left" vertical="top"/>
      <protection locked="0"/>
    </xf>
    <xf numFmtId="0" fontId="2" fillId="45" borderId="102" xfId="0" applyFont="1" applyFill="1" applyBorder="1" applyAlignment="1" applyProtection="1">
      <alignment horizontal="left" vertical="top"/>
      <protection locked="0"/>
    </xf>
    <xf numFmtId="0" fontId="2" fillId="45" borderId="78" xfId="0" applyFont="1" applyFill="1" applyBorder="1" applyAlignment="1" applyProtection="1">
      <alignment horizontal="left" vertical="top"/>
      <protection locked="0"/>
    </xf>
    <xf numFmtId="0" fontId="2" fillId="45" borderId="12" xfId="0" applyFont="1" applyFill="1" applyBorder="1" applyAlignment="1" applyProtection="1">
      <alignment horizontal="left" vertical="top"/>
      <protection locked="0"/>
    </xf>
    <xf numFmtId="0" fontId="2" fillId="45" borderId="24" xfId="0" applyFont="1" applyFill="1" applyBorder="1" applyAlignment="1" applyProtection="1">
      <alignment horizontal="left" vertical="top"/>
      <protection locked="0"/>
    </xf>
    <xf numFmtId="0" fontId="4" fillId="43" borderId="12" xfId="0" applyFont="1" applyFill="1" applyBorder="1" applyAlignment="1">
      <alignment horizontal="left" vertical="top" wrapText="1"/>
    </xf>
    <xf numFmtId="0" fontId="37" fillId="45" borderId="14" xfId="0" applyFont="1" applyFill="1" applyBorder="1" applyAlignment="1" applyProtection="1">
      <alignment horizontal="left" vertical="top" wrapText="1"/>
      <protection locked="0"/>
    </xf>
    <xf numFmtId="0" fontId="0" fillId="0" borderId="14" xfId="0" applyBorder="1" applyAlignment="1" applyProtection="1">
      <alignment horizontal="left" vertical="top" wrapText="1"/>
      <protection locked="0"/>
    </xf>
    <xf numFmtId="0" fontId="37" fillId="45" borderId="16" xfId="0" applyFont="1" applyFill="1" applyBorder="1" applyAlignment="1" applyProtection="1">
      <alignment horizontal="left" vertical="top" wrapText="1"/>
      <protection locked="0"/>
    </xf>
    <xf numFmtId="0" fontId="0" fillId="0" borderId="16" xfId="0" applyBorder="1" applyAlignment="1" applyProtection="1">
      <alignment horizontal="left" vertical="top" wrapText="1"/>
      <protection locked="0"/>
    </xf>
    <xf numFmtId="0" fontId="10" fillId="43" borderId="0" xfId="0" applyFont="1" applyFill="1" applyAlignment="1">
      <alignment horizontal="left" vertical="top" wrapText="1"/>
    </xf>
    <xf numFmtId="0" fontId="2" fillId="43" borderId="14" xfId="0" applyFont="1" applyFill="1" applyBorder="1" applyAlignment="1">
      <alignment horizontal="left" vertical="top" wrapText="1"/>
    </xf>
    <xf numFmtId="0" fontId="2" fillId="43" borderId="16" xfId="0" applyFont="1" applyFill="1" applyBorder="1" applyAlignment="1">
      <alignment horizontal="left" vertical="top" wrapText="1"/>
    </xf>
    <xf numFmtId="0" fontId="2" fillId="43" borderId="25" xfId="0" applyFont="1" applyFill="1" applyBorder="1" applyAlignment="1">
      <alignment horizontal="left" vertical="top" wrapText="1"/>
    </xf>
    <xf numFmtId="0" fontId="4" fillId="43" borderId="0" xfId="0" applyFont="1" applyFill="1" applyAlignment="1">
      <alignment horizontal="left" vertical="top" wrapText="1"/>
    </xf>
    <xf numFmtId="0" fontId="41" fillId="43" borderId="12" xfId="0" applyFont="1" applyFill="1" applyBorder="1" applyAlignment="1">
      <alignment horizontal="left" vertical="top" wrapText="1"/>
    </xf>
    <xf numFmtId="0" fontId="0" fillId="0" borderId="156" xfId="0" applyBorder="1" applyAlignment="1">
      <alignment horizontal="left" vertical="top" wrapText="1"/>
    </xf>
    <xf numFmtId="0" fontId="2" fillId="40" borderId="25" xfId="0" applyFont="1" applyFill="1" applyBorder="1" applyAlignment="1">
      <alignment horizontal="left" vertical="top" wrapText="1"/>
    </xf>
    <xf numFmtId="0" fontId="2" fillId="50" borderId="25" xfId="0" applyFont="1" applyFill="1" applyBorder="1" applyAlignment="1">
      <alignment horizontal="left" vertical="top" wrapText="1"/>
    </xf>
    <xf numFmtId="0" fontId="4" fillId="50" borderId="12" xfId="0" applyFont="1" applyFill="1" applyBorder="1" applyAlignment="1">
      <alignment horizontal="left" vertical="top" wrapText="1"/>
    </xf>
    <xf numFmtId="0" fontId="0" fillId="0" borderId="50" xfId="0" applyBorder="1" applyAlignment="1">
      <alignment horizontal="left" vertical="top" wrapText="1"/>
    </xf>
    <xf numFmtId="0" fontId="2" fillId="45" borderId="67" xfId="0" applyFont="1" applyFill="1" applyBorder="1" applyAlignment="1" applyProtection="1">
      <alignment horizontal="left" vertical="top" wrapText="1"/>
      <protection locked="0"/>
    </xf>
    <xf numFmtId="0" fontId="62" fillId="46" borderId="0" xfId="78" applyFont="1" applyFill="1" applyBorder="1" applyAlignment="1" applyProtection="1">
      <alignment horizontal="left" vertical="top" wrapText="1"/>
    </xf>
    <xf numFmtId="0" fontId="0" fillId="46" borderId="0" xfId="0" applyFill="1" applyAlignment="1">
      <alignment horizontal="left" vertical="top" wrapText="1"/>
    </xf>
    <xf numFmtId="0" fontId="0" fillId="46" borderId="38" xfId="0" applyFill="1" applyBorder="1" applyAlignment="1">
      <alignment horizontal="left" vertical="top" wrapText="1"/>
    </xf>
    <xf numFmtId="0" fontId="37" fillId="43" borderId="15" xfId="0" applyFont="1" applyFill="1" applyBorder="1" applyAlignment="1">
      <alignment horizontal="left" vertical="top" wrapText="1"/>
    </xf>
    <xf numFmtId="0" fontId="37" fillId="43" borderId="16" xfId="0" applyFont="1" applyFill="1" applyBorder="1" applyAlignment="1">
      <alignment horizontal="left" vertical="top" wrapText="1"/>
    </xf>
    <xf numFmtId="0" fontId="37" fillId="43" borderId="14" xfId="0" applyFont="1" applyFill="1" applyBorder="1" applyAlignment="1">
      <alignment horizontal="left" vertical="top" wrapText="1"/>
    </xf>
    <xf numFmtId="0" fontId="57" fillId="43" borderId="15" xfId="0" applyFont="1" applyFill="1" applyBorder="1" applyAlignment="1">
      <alignment horizontal="left" vertical="top" wrapText="1"/>
    </xf>
    <xf numFmtId="0" fontId="37" fillId="43" borderId="21" xfId="0" applyFont="1" applyFill="1" applyBorder="1" applyAlignment="1">
      <alignment horizontal="left" vertical="top" wrapText="1"/>
    </xf>
    <xf numFmtId="0" fontId="0" fillId="0" borderId="21" xfId="0" applyBorder="1" applyAlignment="1">
      <alignment horizontal="left" vertical="top" wrapText="1"/>
    </xf>
    <xf numFmtId="0" fontId="2" fillId="45" borderId="25" xfId="0" applyFont="1" applyFill="1" applyBorder="1" applyAlignment="1" applyProtection="1">
      <alignment horizontal="left" vertical="top" wrapText="1"/>
      <protection locked="0"/>
    </xf>
    <xf numFmtId="0" fontId="2" fillId="45" borderId="26" xfId="0" applyFont="1" applyFill="1" applyBorder="1" applyAlignment="1" applyProtection="1">
      <alignment horizontal="left" vertical="top" wrapText="1"/>
      <protection locked="0"/>
    </xf>
    <xf numFmtId="0" fontId="65" fillId="46" borderId="0" xfId="78" applyFont="1" applyFill="1" applyBorder="1" applyAlignment="1" applyProtection="1">
      <alignment horizontal="left" vertical="top" wrapText="1"/>
    </xf>
    <xf numFmtId="0" fontId="4" fillId="43" borderId="0" xfId="0" applyFont="1" applyFill="1" applyAlignment="1">
      <alignment vertical="top" wrapText="1"/>
    </xf>
    <xf numFmtId="0" fontId="0" fillId="43" borderId="0" xfId="0" applyFill="1" applyAlignment="1">
      <alignment vertical="top" wrapText="1"/>
    </xf>
    <xf numFmtId="0" fontId="0" fillId="43" borderId="38" xfId="0" applyFill="1" applyBorder="1" applyAlignment="1">
      <alignment vertical="top" wrapText="1"/>
    </xf>
    <xf numFmtId="0" fontId="41" fillId="43" borderId="0" xfId="0" applyFont="1" applyFill="1" applyAlignment="1">
      <alignment vertical="top" wrapText="1"/>
    </xf>
    <xf numFmtId="0" fontId="4" fillId="43" borderId="38" xfId="0" applyFont="1" applyFill="1" applyBorder="1" applyAlignment="1">
      <alignment vertical="top" wrapText="1"/>
    </xf>
    <xf numFmtId="0" fontId="10" fillId="43" borderId="0" xfId="0" quotePrefix="1" applyFont="1" applyFill="1" applyAlignment="1">
      <alignment horizontal="left" vertical="top" wrapText="1"/>
    </xf>
    <xf numFmtId="0" fontId="10" fillId="43" borderId="38" xfId="0" quotePrefix="1" applyFont="1" applyFill="1" applyBorder="1" applyAlignment="1">
      <alignment horizontal="left" vertical="top" wrapText="1"/>
    </xf>
    <xf numFmtId="0" fontId="10" fillId="43" borderId="0" xfId="0" applyFont="1" applyFill="1" applyAlignment="1">
      <alignment vertical="top" wrapText="1"/>
    </xf>
    <xf numFmtId="0" fontId="2" fillId="43" borderId="0" xfId="0" applyFont="1" applyFill="1" applyAlignment="1">
      <alignment vertical="top" wrapText="1"/>
    </xf>
    <xf numFmtId="0" fontId="2" fillId="43" borderId="38" xfId="0" applyFont="1" applyFill="1" applyBorder="1" applyAlignment="1">
      <alignment vertical="top" wrapText="1"/>
    </xf>
    <xf numFmtId="0" fontId="62" fillId="25" borderId="0" xfId="0" applyFont="1" applyFill="1" applyAlignment="1">
      <alignment horizontal="left" vertical="top"/>
    </xf>
    <xf numFmtId="0" fontId="35" fillId="43" borderId="0" xfId="0" applyFont="1" applyFill="1" applyAlignment="1">
      <alignment vertical="top" wrapText="1"/>
    </xf>
    <xf numFmtId="0" fontId="59" fillId="43" borderId="0" xfId="0" applyFont="1" applyFill="1" applyAlignment="1">
      <alignment vertical="top" wrapText="1"/>
    </xf>
    <xf numFmtId="0" fontId="2" fillId="43" borderId="18" xfId="0" applyFont="1" applyFill="1" applyBorder="1" applyAlignment="1">
      <alignment vertical="top" wrapText="1"/>
    </xf>
    <xf numFmtId="0" fontId="0" fillId="0" borderId="50" xfId="0" applyBorder="1" applyAlignment="1">
      <alignment vertical="top" wrapText="1"/>
    </xf>
    <xf numFmtId="0" fontId="89" fillId="55" borderId="0" xfId="0" quotePrefix="1" applyFont="1" applyFill="1" applyAlignment="1">
      <alignment horizontal="left" vertical="top" wrapText="1"/>
    </xf>
    <xf numFmtId="0" fontId="89" fillId="55" borderId="38" xfId="0" quotePrefix="1" applyFont="1" applyFill="1" applyBorder="1" applyAlignment="1">
      <alignment horizontal="left" vertical="top" wrapText="1"/>
    </xf>
    <xf numFmtId="0" fontId="6" fillId="46" borderId="0" xfId="78" applyFill="1" applyBorder="1" applyAlignment="1" applyProtection="1">
      <alignment horizontal="left" vertical="top" wrapText="1"/>
    </xf>
    <xf numFmtId="0" fontId="6" fillId="46" borderId="67" xfId="0" applyFont="1" applyFill="1" applyBorder="1" applyAlignment="1">
      <alignment vertical="top" wrapText="1"/>
    </xf>
    <xf numFmtId="0" fontId="0" fillId="46" borderId="25" xfId="0" applyFill="1" applyBorder="1" applyAlignment="1">
      <alignment vertical="top" wrapText="1"/>
    </xf>
    <xf numFmtId="0" fontId="0" fillId="46" borderId="26" xfId="0" applyFill="1" applyBorder="1" applyAlignment="1">
      <alignment vertical="top" wrapText="1"/>
    </xf>
    <xf numFmtId="0" fontId="37" fillId="27" borderId="25" xfId="0" applyFont="1" applyFill="1" applyBorder="1" applyAlignment="1">
      <alignment horizontal="left" vertical="top" wrapText="1"/>
    </xf>
    <xf numFmtId="0" fontId="6" fillId="46" borderId="25" xfId="0" applyFont="1" applyFill="1" applyBorder="1" applyAlignment="1">
      <alignment vertical="top" wrapText="1"/>
    </xf>
    <xf numFmtId="0" fontId="6" fillId="46" borderId="26" xfId="0" applyFont="1" applyFill="1" applyBorder="1" applyAlignment="1">
      <alignment vertical="top" wrapText="1"/>
    </xf>
    <xf numFmtId="0" fontId="67" fillId="46" borderId="153" xfId="0" applyFont="1" applyFill="1" applyBorder="1" applyAlignment="1">
      <alignment horizontal="left" vertical="top" wrapText="1"/>
    </xf>
    <xf numFmtId="0" fontId="67" fillId="46" borderId="153" xfId="0" applyFont="1" applyFill="1" applyBorder="1" applyAlignment="1">
      <alignment horizontal="left" vertical="top"/>
    </xf>
    <xf numFmtId="0" fontId="0" fillId="46" borderId="139" xfId="0" applyFill="1" applyBorder="1" applyAlignment="1">
      <alignment horizontal="center" vertical="top" wrapText="1"/>
    </xf>
    <xf numFmtId="0" fontId="0" fillId="46" borderId="155" xfId="0" applyFill="1" applyBorder="1" applyAlignment="1">
      <alignment horizontal="center" vertical="top" wrapText="1"/>
    </xf>
    <xf numFmtId="0" fontId="6" fillId="46" borderId="153" xfId="78" applyFill="1" applyBorder="1" applyAlignment="1" applyProtection="1">
      <alignment horizontal="left" vertical="top"/>
    </xf>
    <xf numFmtId="0" fontId="0" fillId="46" borderId="159" xfId="0" applyFill="1" applyBorder="1" applyAlignment="1">
      <alignment horizontal="center" vertical="top" wrapText="1"/>
    </xf>
    <xf numFmtId="0" fontId="67" fillId="46" borderId="159" xfId="0" applyFont="1" applyFill="1" applyBorder="1" applyAlignment="1">
      <alignment horizontal="left" vertical="top"/>
    </xf>
    <xf numFmtId="0" fontId="67" fillId="46" borderId="155" xfId="0" applyFont="1" applyFill="1" applyBorder="1" applyAlignment="1">
      <alignment horizontal="left" vertical="top"/>
    </xf>
    <xf numFmtId="0" fontId="6" fillId="46" borderId="160" xfId="78" applyFill="1" applyBorder="1" applyAlignment="1" applyProtection="1">
      <alignment horizontal="left" vertical="top"/>
    </xf>
    <xf numFmtId="0" fontId="4" fillId="46" borderId="57" xfId="0" applyFont="1" applyFill="1" applyBorder="1" applyAlignment="1">
      <alignment horizontal="center" vertical="top" wrapText="1"/>
    </xf>
    <xf numFmtId="0" fontId="29" fillId="46" borderId="28" xfId="0" applyFont="1" applyFill="1" applyBorder="1" applyAlignment="1">
      <alignment horizontal="center" vertical="top" wrapText="1"/>
    </xf>
    <xf numFmtId="0" fontId="29" fillId="46" borderId="30" xfId="0" applyFont="1" applyFill="1" applyBorder="1" applyAlignment="1">
      <alignment horizontal="center" vertical="top" wrapText="1"/>
    </xf>
    <xf numFmtId="0" fontId="0" fillId="46" borderId="38" xfId="0" applyFill="1" applyBorder="1" applyAlignment="1">
      <alignment horizontal="center" vertical="top" wrapText="1"/>
    </xf>
    <xf numFmtId="0" fontId="0" fillId="46" borderId="65" xfId="0" applyFill="1" applyBorder="1" applyAlignment="1">
      <alignment horizontal="center" vertical="top" wrapText="1"/>
    </xf>
    <xf numFmtId="0" fontId="0" fillId="46" borderId="39" xfId="0" applyFill="1" applyBorder="1" applyAlignment="1">
      <alignment horizontal="center" vertical="top" wrapText="1"/>
    </xf>
    <xf numFmtId="0" fontId="0" fillId="46" borderId="40" xfId="0" applyFill="1" applyBorder="1" applyAlignment="1">
      <alignment horizontal="center" vertical="top" wrapText="1"/>
    </xf>
    <xf numFmtId="0" fontId="0" fillId="46" borderId="17" xfId="0" applyFill="1" applyBorder="1" applyAlignment="1">
      <alignment horizontal="center" vertical="top"/>
    </xf>
    <xf numFmtId="0" fontId="0" fillId="46" borderId="160" xfId="0" applyFill="1" applyBorder="1" applyAlignment="1">
      <alignment horizontal="center" vertical="top"/>
    </xf>
    <xf numFmtId="0" fontId="0" fillId="46" borderId="161" xfId="0" applyFill="1" applyBorder="1" applyAlignment="1">
      <alignment horizontal="center" vertical="top" wrapText="1"/>
    </xf>
    <xf numFmtId="0" fontId="2" fillId="42" borderId="106" xfId="0" applyFont="1" applyFill="1" applyBorder="1" applyAlignment="1" applyProtection="1">
      <alignment horizontal="left" vertical="top" wrapText="1"/>
      <protection locked="0"/>
    </xf>
    <xf numFmtId="0" fontId="0" fillId="42" borderId="15" xfId="0" applyFill="1" applyBorder="1" applyAlignment="1" applyProtection="1">
      <alignment horizontal="left" vertical="top" wrapText="1"/>
      <protection locked="0"/>
    </xf>
    <xf numFmtId="0" fontId="0" fillId="42" borderId="20" xfId="0" applyFill="1" applyBorder="1" applyAlignment="1" applyProtection="1">
      <alignment horizontal="left" vertical="top" wrapText="1"/>
      <protection locked="0"/>
    </xf>
    <xf numFmtId="0" fontId="41" fillId="43" borderId="0" xfId="0" quotePrefix="1" applyFont="1" applyFill="1" applyAlignment="1">
      <alignment horizontal="left" vertical="top" wrapText="1"/>
    </xf>
    <xf numFmtId="0" fontId="41" fillId="43" borderId="38" xfId="0" quotePrefix="1" applyFont="1" applyFill="1" applyBorder="1" applyAlignment="1">
      <alignment horizontal="left" vertical="top" wrapText="1"/>
    </xf>
    <xf numFmtId="0" fontId="62" fillId="46" borderId="0" xfId="78" applyFont="1" applyFill="1" applyAlignment="1" applyProtection="1">
      <alignment vertical="top" wrapText="1"/>
    </xf>
    <xf numFmtId="0" fontId="2" fillId="46" borderId="67" xfId="0" applyFont="1" applyFill="1" applyBorder="1" applyAlignment="1">
      <alignment horizontal="left" vertical="top"/>
    </xf>
    <xf numFmtId="0" fontId="2" fillId="46" borderId="25" xfId="0" applyFont="1" applyFill="1" applyBorder="1" applyAlignment="1">
      <alignment horizontal="left" vertical="top"/>
    </xf>
    <xf numFmtId="0" fontId="2" fillId="46" borderId="12" xfId="0" applyFont="1" applyFill="1" applyBorder="1" applyAlignment="1">
      <alignment horizontal="left" vertical="top"/>
    </xf>
    <xf numFmtId="0" fontId="2" fillId="46" borderId="24" xfId="0" applyFont="1" applyFill="1" applyBorder="1" applyAlignment="1">
      <alignment horizontal="left" vertical="top"/>
    </xf>
    <xf numFmtId="49" fontId="2" fillId="42" borderId="106" xfId="0" applyNumberFormat="1" applyFont="1" applyFill="1" applyBorder="1" applyAlignment="1" applyProtection="1">
      <alignment horizontal="left" vertical="top"/>
      <protection locked="0"/>
    </xf>
    <xf numFmtId="49" fontId="0" fillId="28" borderId="15" xfId="0" applyNumberFormat="1" applyFill="1" applyBorder="1" applyAlignment="1" applyProtection="1">
      <alignment vertical="top"/>
      <protection locked="0"/>
    </xf>
    <xf numFmtId="49" fontId="0" fillId="28" borderId="20" xfId="0" applyNumberFormat="1" applyFill="1" applyBorder="1" applyAlignment="1" applyProtection="1">
      <alignment vertical="top"/>
      <protection locked="0"/>
    </xf>
    <xf numFmtId="0" fontId="37" fillId="42" borderId="106" xfId="0" applyFont="1" applyFill="1" applyBorder="1" applyAlignment="1" applyProtection="1">
      <alignment vertical="top"/>
      <protection locked="0"/>
    </xf>
    <xf numFmtId="0" fontId="0" fillId="42" borderId="15" xfId="0" applyFill="1" applyBorder="1" applyAlignment="1" applyProtection="1">
      <alignment vertical="top"/>
      <protection locked="0"/>
    </xf>
    <xf numFmtId="0" fontId="37" fillId="42" borderId="105" xfId="0" applyFont="1" applyFill="1" applyBorder="1" applyAlignment="1" applyProtection="1">
      <alignment vertical="top"/>
      <protection locked="0"/>
    </xf>
    <xf numFmtId="0" fontId="0" fillId="42" borderId="14" xfId="0" applyFill="1" applyBorder="1" applyAlignment="1" applyProtection="1">
      <alignment vertical="top"/>
      <protection locked="0"/>
    </xf>
    <xf numFmtId="0" fontId="4" fillId="25" borderId="78" xfId="0" applyFont="1" applyFill="1" applyBorder="1" applyAlignment="1">
      <alignment vertical="top" wrapText="1"/>
    </xf>
    <xf numFmtId="0" fontId="0" fillId="0" borderId="24" xfId="0" applyBorder="1" applyAlignment="1">
      <alignment vertical="top" wrapText="1"/>
    </xf>
    <xf numFmtId="49" fontId="2" fillId="28" borderId="103" xfId="0" applyNumberFormat="1" applyFont="1" applyFill="1" applyBorder="1" applyAlignment="1" applyProtection="1">
      <alignment horizontal="left" vertical="top"/>
      <protection locked="0"/>
    </xf>
    <xf numFmtId="49" fontId="0" fillId="28" borderId="21" xfId="0" applyNumberFormat="1" applyFill="1" applyBorder="1" applyAlignment="1" applyProtection="1">
      <alignment vertical="top"/>
      <protection locked="0"/>
    </xf>
    <xf numFmtId="49" fontId="0" fillId="28" borderId="102" xfId="0" applyNumberFormat="1" applyFill="1" applyBorder="1" applyAlignment="1" applyProtection="1">
      <alignment vertical="top"/>
      <protection locked="0"/>
    </xf>
    <xf numFmtId="49" fontId="2" fillId="28" borderId="15" xfId="0" applyNumberFormat="1" applyFont="1" applyFill="1" applyBorder="1" applyAlignment="1" applyProtection="1">
      <alignment horizontal="left" vertical="top"/>
      <protection locked="0"/>
    </xf>
    <xf numFmtId="49" fontId="2" fillId="28" borderId="20" xfId="0" applyNumberFormat="1" applyFont="1" applyFill="1" applyBorder="1" applyAlignment="1" applyProtection="1">
      <alignment horizontal="left" vertical="top"/>
      <protection locked="0"/>
    </xf>
    <xf numFmtId="0" fontId="2" fillId="42" borderId="94" xfId="0" applyFont="1" applyFill="1" applyBorder="1" applyAlignment="1" applyProtection="1">
      <alignment horizontal="left" vertical="top" wrapText="1"/>
      <protection locked="0"/>
    </xf>
    <xf numFmtId="0" fontId="0" fillId="42" borderId="16" xfId="0" applyFill="1" applyBorder="1" applyAlignment="1" applyProtection="1">
      <alignment horizontal="left" vertical="top" wrapText="1"/>
      <protection locked="0"/>
    </xf>
    <xf numFmtId="0" fontId="0" fillId="42" borderId="23" xfId="0" applyFill="1" applyBorder="1" applyAlignment="1" applyProtection="1">
      <alignment horizontal="left" vertical="top" wrapText="1"/>
      <protection locked="0"/>
    </xf>
    <xf numFmtId="0" fontId="70" fillId="46" borderId="155" xfId="0" applyFont="1" applyFill="1" applyBorder="1" applyAlignment="1">
      <alignment horizontal="left"/>
    </xf>
    <xf numFmtId="0" fontId="70" fillId="46" borderId="153" xfId="0" applyFont="1" applyFill="1" applyBorder="1" applyAlignment="1">
      <alignment horizontal="left"/>
    </xf>
    <xf numFmtId="0" fontId="0" fillId="41" borderId="0" xfId="0" applyFill="1" applyAlignment="1">
      <alignment vertical="top" wrapText="1"/>
    </xf>
    <xf numFmtId="0" fontId="89" fillId="55" borderId="0" xfId="0" quotePrefix="1" applyFont="1" applyFill="1" applyAlignment="1">
      <alignment horizontal="left" vertical="center" wrapText="1"/>
    </xf>
    <xf numFmtId="0" fontId="0" fillId="0" borderId="0" xfId="0"/>
    <xf numFmtId="0" fontId="4" fillId="50" borderId="0" xfId="0" applyFont="1" applyFill="1" applyAlignment="1">
      <alignment vertical="top" wrapText="1"/>
    </xf>
    <xf numFmtId="0" fontId="0" fillId="50" borderId="0" xfId="0" applyFill="1" applyAlignment="1">
      <alignment vertical="top" wrapText="1"/>
    </xf>
    <xf numFmtId="0" fontId="0" fillId="50" borderId="38" xfId="0" applyFill="1" applyBorder="1" applyAlignment="1">
      <alignment vertical="top" wrapText="1"/>
    </xf>
    <xf numFmtId="0" fontId="2" fillId="50" borderId="25" xfId="0" applyFont="1" applyFill="1" applyBorder="1" applyAlignment="1">
      <alignment horizontal="left" vertical="top"/>
    </xf>
    <xf numFmtId="0" fontId="10" fillId="50" borderId="0" xfId="0" applyFont="1" applyFill="1" applyAlignment="1">
      <alignment vertical="top" wrapText="1"/>
    </xf>
    <xf numFmtId="0" fontId="2" fillId="50" borderId="50" xfId="0" applyFont="1" applyFill="1" applyBorder="1" applyAlignment="1">
      <alignment horizontal="left" vertical="top"/>
    </xf>
    <xf numFmtId="0" fontId="37" fillId="42" borderId="94" xfId="0" applyFont="1" applyFill="1" applyBorder="1" applyAlignment="1" applyProtection="1">
      <alignment vertical="top"/>
      <protection locked="0"/>
    </xf>
    <xf numFmtId="0" fontId="0" fillId="42" borderId="16" xfId="0" applyFill="1" applyBorder="1" applyAlignment="1" applyProtection="1">
      <alignment vertical="top"/>
      <protection locked="0"/>
    </xf>
    <xf numFmtId="0" fontId="0" fillId="0" borderId="25" xfId="0" applyBorder="1" applyAlignment="1">
      <alignment horizontal="left" vertical="top"/>
    </xf>
    <xf numFmtId="49" fontId="0" fillId="28" borderId="16" xfId="0" applyNumberFormat="1" applyFill="1" applyBorder="1" applyAlignment="1" applyProtection="1">
      <alignment vertical="top"/>
      <protection locked="0"/>
    </xf>
    <xf numFmtId="49" fontId="0" fillId="28" borderId="23" xfId="0" applyNumberFormat="1" applyFill="1" applyBorder="1" applyAlignment="1" applyProtection="1">
      <alignment vertical="top"/>
      <protection locked="0"/>
    </xf>
    <xf numFmtId="0" fontId="0" fillId="0" borderId="50" xfId="0" applyBorder="1" applyAlignment="1">
      <alignment horizontal="left" vertical="top"/>
    </xf>
    <xf numFmtId="0" fontId="10" fillId="43" borderId="38" xfId="0" applyFont="1" applyFill="1" applyBorder="1" applyAlignment="1">
      <alignment vertical="top" wrapText="1"/>
    </xf>
    <xf numFmtId="0" fontId="41" fillId="50" borderId="0" xfId="0" applyFont="1" applyFill="1" applyAlignment="1">
      <alignment vertical="top" wrapText="1"/>
    </xf>
    <xf numFmtId="0" fontId="4" fillId="50" borderId="38" xfId="0" applyFont="1" applyFill="1" applyBorder="1" applyAlignment="1">
      <alignment vertical="top" wrapText="1"/>
    </xf>
    <xf numFmtId="0" fontId="4" fillId="43" borderId="38" xfId="0" applyFont="1" applyFill="1" applyBorder="1" applyAlignment="1">
      <alignment horizontal="left" vertical="top" wrapText="1"/>
    </xf>
    <xf numFmtId="0" fontId="37" fillId="41" borderId="106" xfId="0" applyFont="1" applyFill="1" applyBorder="1" applyAlignment="1">
      <alignment horizontal="left" vertical="top"/>
    </xf>
    <xf numFmtId="0" fontId="37" fillId="41" borderId="20" xfId="0" applyFont="1" applyFill="1" applyBorder="1" applyAlignment="1">
      <alignment horizontal="left" vertical="top"/>
    </xf>
    <xf numFmtId="0" fontId="2" fillId="41" borderId="105" xfId="0" applyFont="1" applyFill="1" applyBorder="1" applyAlignment="1">
      <alignment horizontal="left" vertical="top"/>
    </xf>
    <xf numFmtId="0" fontId="37" fillId="41" borderId="19" xfId="0" applyFont="1" applyFill="1" applyBorder="1" applyAlignment="1">
      <alignment horizontal="left" vertical="top"/>
    </xf>
    <xf numFmtId="0" fontId="4" fillId="25" borderId="78" xfId="0" applyFont="1" applyFill="1" applyBorder="1" applyAlignment="1">
      <alignment horizontal="left" vertical="top" wrapText="1"/>
    </xf>
    <xf numFmtId="0" fontId="37" fillId="41" borderId="94" xfId="0" applyFont="1" applyFill="1" applyBorder="1" applyAlignment="1">
      <alignment horizontal="left" vertical="top"/>
    </xf>
    <xf numFmtId="0" fontId="37" fillId="41" borderId="23" xfId="0" applyFont="1" applyFill="1" applyBorder="1" applyAlignment="1">
      <alignment horizontal="left" vertical="top"/>
    </xf>
    <xf numFmtId="49" fontId="2" fillId="28" borderId="16" xfId="0" applyNumberFormat="1" applyFont="1" applyFill="1" applyBorder="1" applyAlignment="1" applyProtection="1">
      <alignment horizontal="left" vertical="top"/>
      <protection locked="0"/>
    </xf>
    <xf numFmtId="49" fontId="2" fillId="28" borderId="23" xfId="0" applyNumberFormat="1" applyFont="1" applyFill="1" applyBorder="1" applyAlignment="1" applyProtection="1">
      <alignment horizontal="left" vertical="top"/>
      <protection locked="0"/>
    </xf>
    <xf numFmtId="0" fontId="4" fillId="25" borderId="99" xfId="0" applyFont="1" applyFill="1" applyBorder="1" applyAlignment="1">
      <alignment horizontal="left" vertical="top" wrapText="1"/>
    </xf>
    <xf numFmtId="49" fontId="2" fillId="42" borderId="14" xfId="0" applyNumberFormat="1" applyFont="1" applyFill="1" applyBorder="1" applyAlignment="1" applyProtection="1">
      <alignment horizontal="left" vertical="top"/>
      <protection locked="0"/>
    </xf>
    <xf numFmtId="49" fontId="2" fillId="42" borderId="19" xfId="0" applyNumberFormat="1" applyFont="1" applyFill="1" applyBorder="1" applyAlignment="1" applyProtection="1">
      <alignment horizontal="left" vertical="top"/>
      <protection locked="0"/>
    </xf>
    <xf numFmtId="0" fontId="2" fillId="42" borderId="105" xfId="0" applyFont="1" applyFill="1" applyBorder="1" applyAlignment="1" applyProtection="1">
      <alignment horizontal="left" vertical="top" wrapText="1"/>
      <protection locked="0"/>
    </xf>
    <xf numFmtId="0" fontId="0" fillId="42" borderId="14" xfId="0" applyFill="1" applyBorder="1" applyAlignment="1" applyProtection="1">
      <alignment horizontal="left" vertical="top" wrapText="1"/>
      <protection locked="0"/>
    </xf>
    <xf numFmtId="0" fontId="0" fillId="42" borderId="19" xfId="0" applyFill="1" applyBorder="1" applyAlignment="1" applyProtection="1">
      <alignment horizontal="left" vertical="top" wrapText="1"/>
      <protection locked="0"/>
    </xf>
    <xf numFmtId="0" fontId="70" fillId="46" borderId="0" xfId="78" applyFont="1" applyFill="1" applyAlignment="1" applyProtection="1">
      <alignment vertical="top" wrapText="1"/>
    </xf>
    <xf numFmtId="0" fontId="37" fillId="27" borderId="106" xfId="0" applyFont="1" applyFill="1" applyBorder="1" applyAlignment="1">
      <alignment horizontal="left" vertical="top" wrapText="1"/>
    </xf>
    <xf numFmtId="0" fontId="37" fillId="27" borderId="94" xfId="0" applyFont="1" applyFill="1" applyBorder="1" applyAlignment="1">
      <alignment horizontal="left" vertical="top" wrapText="1"/>
    </xf>
    <xf numFmtId="0" fontId="37" fillId="25" borderId="67" xfId="0" applyFont="1" applyFill="1" applyBorder="1" applyAlignment="1">
      <alignment horizontal="left" vertical="top" wrapText="1"/>
    </xf>
    <xf numFmtId="0" fontId="0" fillId="0" borderId="16" xfId="0" applyBorder="1" applyAlignment="1" applyProtection="1">
      <alignment horizontal="left" vertical="top"/>
      <protection locked="0"/>
    </xf>
    <xf numFmtId="0" fontId="0" fillId="0" borderId="15" xfId="0" applyBorder="1" applyAlignment="1" applyProtection="1">
      <alignment horizontal="left" vertical="top"/>
      <protection locked="0"/>
    </xf>
    <xf numFmtId="0" fontId="37" fillId="27" borderId="105" xfId="0" applyFont="1" applyFill="1" applyBorder="1" applyAlignment="1">
      <alignment horizontal="left" vertical="top" wrapText="1"/>
    </xf>
    <xf numFmtId="0" fontId="4" fillId="43" borderId="25" xfId="0" applyFont="1" applyFill="1" applyBorder="1" applyAlignment="1">
      <alignment horizontal="left" vertical="top" wrapText="1"/>
    </xf>
    <xf numFmtId="0" fontId="66" fillId="46" borderId="67" xfId="0" applyFont="1" applyFill="1" applyBorder="1" applyAlignment="1">
      <alignment vertical="top" wrapText="1"/>
    </xf>
    <xf numFmtId="0" fontId="66" fillId="46" borderId="25" xfId="0" applyFont="1" applyFill="1" applyBorder="1" applyAlignment="1">
      <alignment vertical="top" wrapText="1"/>
    </xf>
    <xf numFmtId="0" fontId="66" fillId="46" borderId="26" xfId="0" applyFont="1" applyFill="1" applyBorder="1" applyAlignment="1">
      <alignment vertical="top" wrapText="1"/>
    </xf>
    <xf numFmtId="0" fontId="38" fillId="27" borderId="67" xfId="0" applyFont="1" applyFill="1" applyBorder="1" applyAlignment="1">
      <alignment horizontal="left"/>
    </xf>
    <xf numFmtId="0" fontId="38" fillId="27" borderId="25" xfId="0" applyFont="1" applyFill="1" applyBorder="1" applyAlignment="1">
      <alignment horizontal="left"/>
    </xf>
    <xf numFmtId="0" fontId="38" fillId="27" borderId="26" xfId="0" applyFont="1" applyFill="1" applyBorder="1" applyAlignment="1">
      <alignment horizontal="left"/>
    </xf>
    <xf numFmtId="0" fontId="37" fillId="50" borderId="25" xfId="0" applyFont="1" applyFill="1" applyBorder="1" applyAlignment="1">
      <alignment horizontal="left" vertical="top"/>
    </xf>
    <xf numFmtId="0" fontId="4" fillId="50" borderId="12" xfId="0" applyFont="1" applyFill="1" applyBorder="1" applyAlignment="1">
      <alignment horizontal="left" vertical="top"/>
    </xf>
    <xf numFmtId="0" fontId="0" fillId="0" borderId="12" xfId="0" applyBorder="1" applyAlignment="1">
      <alignment horizontal="left" vertical="top"/>
    </xf>
    <xf numFmtId="0" fontId="0" fillId="0" borderId="156" xfId="0" applyBorder="1" applyAlignment="1">
      <alignment horizontal="left" vertical="top"/>
    </xf>
    <xf numFmtId="0" fontId="6" fillId="46" borderId="160" xfId="78" applyFill="1" applyBorder="1" applyAlignment="1" applyProtection="1">
      <alignment horizontal="center" vertical="top" wrapText="1"/>
    </xf>
    <xf numFmtId="0" fontId="39" fillId="46" borderId="0" xfId="78" applyNumberFormat="1" applyFont="1" applyFill="1" applyAlignment="1" applyProtection="1">
      <alignment vertical="top" wrapText="1"/>
    </xf>
    <xf numFmtId="0" fontId="39" fillId="46" borderId="0" xfId="78" applyNumberFormat="1" applyFont="1" applyFill="1" applyBorder="1" applyAlignment="1" applyProtection="1">
      <alignment vertical="top" wrapText="1"/>
    </xf>
    <xf numFmtId="0" fontId="0" fillId="42" borderId="13" xfId="0" applyFill="1" applyBorder="1" applyAlignment="1" applyProtection="1">
      <alignment horizontal="left"/>
      <protection locked="0"/>
    </xf>
    <xf numFmtId="0" fontId="0" fillId="42" borderId="67" xfId="0" applyFill="1" applyBorder="1" applyAlignment="1" applyProtection="1">
      <alignment horizontal="left"/>
      <protection locked="0"/>
    </xf>
    <xf numFmtId="0" fontId="0" fillId="42" borderId="26" xfId="0" applyFill="1" applyBorder="1" applyAlignment="1" applyProtection="1">
      <alignment horizontal="left"/>
      <protection locked="0"/>
    </xf>
    <xf numFmtId="0" fontId="2" fillId="29" borderId="15" xfId="0" applyFont="1" applyFill="1" applyBorder="1" applyAlignment="1" applyProtection="1">
      <alignment horizontal="left" vertical="top"/>
      <protection locked="0"/>
    </xf>
    <xf numFmtId="0" fontId="0" fillId="29" borderId="20" xfId="0" applyFill="1" applyBorder="1" applyAlignment="1" applyProtection="1">
      <alignment horizontal="left" vertical="top"/>
      <protection locked="0"/>
    </xf>
    <xf numFmtId="0" fontId="2" fillId="29" borderId="16" xfId="0" applyFont="1" applyFill="1" applyBorder="1" applyAlignment="1" applyProtection="1">
      <alignment horizontal="left" vertical="top"/>
      <protection locked="0"/>
    </xf>
    <xf numFmtId="0" fontId="0" fillId="29" borderId="23" xfId="0" applyFill="1" applyBorder="1" applyAlignment="1" applyProtection="1">
      <alignment horizontal="left" vertical="top"/>
      <protection locked="0"/>
    </xf>
    <xf numFmtId="0" fontId="2" fillId="29" borderId="106" xfId="0" applyFont="1" applyFill="1" applyBorder="1" applyAlignment="1" applyProtection="1">
      <alignment horizontal="left" vertical="top"/>
      <protection locked="0"/>
    </xf>
    <xf numFmtId="0" fontId="0" fillId="29" borderId="15" xfId="0" applyFill="1" applyBorder="1" applyAlignment="1" applyProtection="1">
      <alignment horizontal="left" vertical="top"/>
      <protection locked="0"/>
    </xf>
    <xf numFmtId="0" fontId="2" fillId="29" borderId="94" xfId="0" applyFont="1" applyFill="1" applyBorder="1" applyAlignment="1" applyProtection="1">
      <alignment horizontal="left" vertical="top"/>
      <protection locked="0"/>
    </xf>
    <xf numFmtId="0" fontId="0" fillId="29" borderId="16" xfId="0" applyFill="1" applyBorder="1" applyAlignment="1" applyProtection="1">
      <alignment horizontal="left" vertical="top"/>
      <protection locked="0"/>
    </xf>
    <xf numFmtId="0" fontId="2" fillId="29" borderId="105" xfId="0" applyFont="1" applyFill="1" applyBorder="1" applyAlignment="1" applyProtection="1">
      <alignment horizontal="left" vertical="top"/>
      <protection locked="0"/>
    </xf>
    <xf numFmtId="0" fontId="0" fillId="29" borderId="14" xfId="0" applyFill="1" applyBorder="1" applyAlignment="1" applyProtection="1">
      <alignment horizontal="left" vertical="top"/>
      <protection locked="0"/>
    </xf>
    <xf numFmtId="0" fontId="2" fillId="29" borderId="14" xfId="0" applyFont="1" applyFill="1" applyBorder="1" applyAlignment="1" applyProtection="1">
      <alignment horizontal="left" vertical="top"/>
      <protection locked="0"/>
    </xf>
    <xf numFmtId="0" fontId="0" fillId="29" borderId="19" xfId="0" applyFill="1" applyBorder="1" applyAlignment="1" applyProtection="1">
      <alignment horizontal="left" vertical="top"/>
      <protection locked="0"/>
    </xf>
    <xf numFmtId="0" fontId="2" fillId="28" borderId="14" xfId="0" applyFont="1" applyFill="1" applyBorder="1" applyAlignment="1" applyProtection="1">
      <alignment horizontal="left" vertical="top"/>
      <protection locked="0"/>
    </xf>
    <xf numFmtId="0" fontId="2" fillId="28" borderId="105" xfId="0" applyFont="1" applyFill="1" applyBorder="1" applyAlignment="1" applyProtection="1">
      <alignment horizontal="left" vertical="top"/>
      <protection locked="0"/>
    </xf>
    <xf numFmtId="0" fontId="0" fillId="0" borderId="14" xfId="0" applyBorder="1" applyAlignment="1" applyProtection="1">
      <alignment horizontal="left" vertical="top"/>
      <protection locked="0"/>
    </xf>
    <xf numFmtId="0" fontId="35" fillId="25" borderId="12" xfId="0" applyFont="1" applyFill="1" applyBorder="1" applyAlignment="1">
      <alignment horizontal="left" vertical="top" wrapText="1"/>
    </xf>
    <xf numFmtId="0" fontId="37" fillId="40" borderId="15" xfId="0" applyFont="1" applyFill="1" applyBorder="1" applyAlignment="1">
      <alignment horizontal="left" vertical="top" wrapText="1"/>
    </xf>
    <xf numFmtId="0" fontId="37" fillId="40" borderId="16" xfId="0" applyFont="1" applyFill="1" applyBorder="1" applyAlignment="1">
      <alignment horizontal="left" vertical="top" wrapText="1"/>
    </xf>
    <xf numFmtId="0" fontId="4" fillId="27" borderId="10" xfId="0" applyFont="1" applyFill="1" applyBorder="1" applyAlignment="1">
      <alignment horizontal="center" vertical="top"/>
    </xf>
    <xf numFmtId="0" fontId="37" fillId="40" borderId="14" xfId="0" applyFont="1" applyFill="1" applyBorder="1" applyAlignment="1">
      <alignment horizontal="left" vertical="top" wrapText="1"/>
    </xf>
    <xf numFmtId="0" fontId="4" fillId="25" borderId="25" xfId="0" applyFont="1" applyFill="1" applyBorder="1" applyAlignment="1">
      <alignment horizontal="left" vertical="top" wrapText="1"/>
    </xf>
    <xf numFmtId="0" fontId="2" fillId="43" borderId="12" xfId="0" applyFont="1" applyFill="1" applyBorder="1" applyAlignment="1">
      <alignment horizontal="left" vertical="top" wrapText="1"/>
    </xf>
    <xf numFmtId="0" fontId="2" fillId="25" borderId="13" xfId="0" applyFont="1" applyFill="1" applyBorder="1" applyAlignment="1">
      <alignment horizontal="center" vertical="top"/>
    </xf>
    <xf numFmtId="0" fontId="2" fillId="25" borderId="14" xfId="0" applyFont="1" applyFill="1" applyBorder="1" applyAlignment="1">
      <alignment horizontal="left" vertical="top" wrapText="1"/>
    </xf>
    <xf numFmtId="0" fontId="2" fillId="41" borderId="16" xfId="0" applyFont="1" applyFill="1" applyBorder="1" applyAlignment="1">
      <alignment horizontal="left" vertical="top" wrapText="1"/>
    </xf>
    <xf numFmtId="0" fontId="0" fillId="0" borderId="11" xfId="0" applyBorder="1" applyAlignment="1">
      <alignment horizontal="left" vertical="top"/>
    </xf>
    <xf numFmtId="0" fontId="0" fillId="0" borderId="0" xfId="0" applyAlignment="1">
      <alignment horizontal="left" vertical="top"/>
    </xf>
    <xf numFmtId="0" fontId="0" fillId="0" borderId="18" xfId="0" applyBorder="1" applyAlignment="1">
      <alignment horizontal="left" vertical="top"/>
    </xf>
    <xf numFmtId="0" fontId="0" fillId="0" borderId="13" xfId="0" applyBorder="1" applyAlignment="1">
      <alignment horizontal="left" vertical="top"/>
    </xf>
    <xf numFmtId="0" fontId="0" fillId="0" borderId="60" xfId="0" applyBorder="1" applyAlignment="1">
      <alignment horizontal="left" vertical="top"/>
    </xf>
    <xf numFmtId="0" fontId="4" fillId="25" borderId="100" xfId="0" applyFont="1" applyFill="1" applyBorder="1" applyAlignment="1">
      <alignment horizontal="left" vertical="top" wrapText="1"/>
    </xf>
    <xf numFmtId="0" fontId="0" fillId="0" borderId="51" xfId="0" applyBorder="1" applyAlignment="1">
      <alignment horizontal="left" vertical="top" wrapText="1"/>
    </xf>
    <xf numFmtId="0" fontId="4" fillId="25" borderId="56" xfId="0" applyFont="1" applyFill="1" applyBorder="1" applyAlignment="1">
      <alignment horizontal="left" vertical="top" wrapText="1"/>
    </xf>
    <xf numFmtId="0" fontId="0" fillId="0" borderId="36" xfId="0" applyBorder="1" applyAlignment="1">
      <alignment horizontal="left" vertical="top" wrapText="1"/>
    </xf>
    <xf numFmtId="0" fontId="2" fillId="41" borderId="41" xfId="0" applyFont="1" applyFill="1" applyBorder="1" applyAlignment="1">
      <alignment horizontal="left" vertical="top" wrapText="1"/>
    </xf>
    <xf numFmtId="0" fontId="0" fillId="0" borderId="41" xfId="0" applyBorder="1" applyAlignment="1">
      <alignment horizontal="left" vertical="top" wrapText="1"/>
    </xf>
    <xf numFmtId="0" fontId="0" fillId="0" borderId="10" xfId="0" applyBorder="1" applyAlignment="1">
      <alignment horizontal="left" vertical="top"/>
    </xf>
    <xf numFmtId="0" fontId="0" fillId="0" borderId="71" xfId="0" applyBorder="1" applyAlignment="1">
      <alignment horizontal="left" vertical="top"/>
    </xf>
    <xf numFmtId="0" fontId="2" fillId="25" borderId="12" xfId="0" applyFont="1" applyFill="1" applyBorder="1" applyAlignment="1">
      <alignment horizontal="left" vertical="top"/>
    </xf>
    <xf numFmtId="0" fontId="2" fillId="25" borderId="24" xfId="0" applyFont="1" applyFill="1" applyBorder="1" applyAlignment="1">
      <alignment horizontal="left" vertical="top"/>
    </xf>
    <xf numFmtId="0" fontId="0" fillId="0" borderId="24" xfId="0" applyBorder="1" applyAlignment="1">
      <alignment horizontal="left" vertical="top"/>
    </xf>
    <xf numFmtId="0" fontId="2" fillId="27" borderId="26" xfId="0" applyFont="1" applyFill="1" applyBorder="1" applyAlignment="1">
      <alignment horizontal="left" vertical="top" wrapText="1"/>
    </xf>
    <xf numFmtId="0" fontId="39" fillId="46" borderId="114" xfId="78" applyFont="1" applyFill="1" applyBorder="1" applyAlignment="1" applyProtection="1">
      <alignment horizontal="center" vertical="center" wrapText="1"/>
    </xf>
    <xf numFmtId="0" fontId="39" fillId="46" borderId="97" xfId="78" applyFont="1" applyFill="1" applyBorder="1" applyAlignment="1" applyProtection="1">
      <alignment horizontal="center" vertical="center" wrapText="1"/>
    </xf>
    <xf numFmtId="0" fontId="39" fillId="46" borderId="96" xfId="78" applyFont="1" applyFill="1" applyBorder="1" applyAlignment="1" applyProtection="1">
      <alignment horizontal="center" vertical="center" wrapText="1"/>
    </xf>
    <xf numFmtId="0" fontId="4" fillId="46" borderId="74" xfId="0" applyFont="1" applyFill="1" applyBorder="1" applyAlignment="1">
      <alignment horizontal="center" vertical="top" wrapText="1"/>
    </xf>
    <xf numFmtId="0" fontId="2" fillId="0" borderId="14" xfId="0" applyFont="1" applyBorder="1" applyAlignment="1">
      <alignment horizontal="left" vertical="top" wrapText="1"/>
    </xf>
    <xf numFmtId="0" fontId="2" fillId="0" borderId="16" xfId="0" applyFont="1" applyBorder="1" applyAlignment="1">
      <alignment horizontal="left" vertical="top" wrapText="1"/>
    </xf>
    <xf numFmtId="0" fontId="10" fillId="41" borderId="15" xfId="0" applyFont="1" applyFill="1" applyBorder="1" applyAlignment="1">
      <alignment vertical="top" wrapText="1"/>
    </xf>
    <xf numFmtId="0" fontId="101" fillId="25" borderId="15" xfId="0" applyFont="1" applyFill="1" applyBorder="1" applyAlignment="1">
      <alignment vertical="top" wrapText="1"/>
    </xf>
    <xf numFmtId="0" fontId="4" fillId="25" borderId="111" xfId="0" applyFont="1" applyFill="1" applyBorder="1" applyAlignment="1">
      <alignment horizontal="left" vertical="top" wrapText="1"/>
    </xf>
    <xf numFmtId="0" fontId="4" fillId="25" borderId="109" xfId="0" applyFont="1" applyFill="1" applyBorder="1" applyAlignment="1">
      <alignment horizontal="left" vertical="top" wrapText="1"/>
    </xf>
    <xf numFmtId="0" fontId="4" fillId="25" borderId="110" xfId="0" applyFont="1" applyFill="1" applyBorder="1" applyAlignment="1">
      <alignment horizontal="left" vertical="top" wrapText="1"/>
    </xf>
    <xf numFmtId="0" fontId="2" fillId="41" borderId="120" xfId="0" applyFont="1" applyFill="1" applyBorder="1" applyAlignment="1">
      <alignment horizontal="left" vertical="top" wrapText="1"/>
    </xf>
    <xf numFmtId="0" fontId="37" fillId="25" borderId="36" xfId="0" applyFont="1" applyFill="1" applyBorder="1" applyAlignment="1">
      <alignment horizontal="left" vertical="top" wrapText="1"/>
    </xf>
    <xf numFmtId="0" fontId="37" fillId="41" borderId="41" xfId="0" applyFont="1" applyFill="1" applyBorder="1" applyAlignment="1">
      <alignment horizontal="left" vertical="top" wrapText="1"/>
    </xf>
  </cellXfs>
  <cellStyles count="103">
    <cellStyle name="20% - Accent1" xfId="1" xr:uid="{66EDFA76-E68A-429E-A3DC-62F65AC956A7}"/>
    <cellStyle name="20% - Accent1 2" xfId="2" xr:uid="{539E085E-6AEF-4CED-A840-27A7AA6EA08F}"/>
    <cellStyle name="20% - Accent2" xfId="3" xr:uid="{356687F5-5A85-4AAE-A95A-4A5C2107FF5E}"/>
    <cellStyle name="20% - Accent2 2" xfId="4" xr:uid="{36F2AA6B-FB15-412A-8933-4E2C811C818E}"/>
    <cellStyle name="20% - Accent3" xfId="5" xr:uid="{AC1B7333-9E2F-4DC5-930D-0F4747016D79}"/>
    <cellStyle name="20% - Accent3 2" xfId="6" xr:uid="{0F1985D1-8DC6-40BA-9A7F-CD4EC95EE080}"/>
    <cellStyle name="20% - Accent4" xfId="7" xr:uid="{F196D9C2-1AE6-4D4C-96B2-481CF0769294}"/>
    <cellStyle name="20% - Accent4 2" xfId="8" xr:uid="{2F30E23C-04B2-4C6B-AC5B-247F45CB73D5}"/>
    <cellStyle name="20% - Accent5" xfId="9" xr:uid="{55B0FA54-BB98-461D-AF86-5BD246EBF470}"/>
    <cellStyle name="20% - Accent5 2" xfId="10" xr:uid="{247543EF-889F-451B-BF71-097637755CB9}"/>
    <cellStyle name="20% - Accent6" xfId="11" xr:uid="{B89C548E-2EA9-4D0C-B809-BFE29134C372}"/>
    <cellStyle name="20% - Accent6 2" xfId="12" xr:uid="{6ACDA807-7F59-4F6A-A80C-4FB501D099BF}"/>
    <cellStyle name="20% - Akzent1" xfId="13" xr:uid="{0C3613EC-486F-40F6-8C56-B5DFAD8F81D3}"/>
    <cellStyle name="20% - Akzent2" xfId="14" xr:uid="{6E3D4A71-0162-43F1-AC23-15AE4B29A2C8}"/>
    <cellStyle name="20% - Akzent3" xfId="15" xr:uid="{94862979-F8DB-42A7-9D6A-67DF518B252A}"/>
    <cellStyle name="20% - Akzent4" xfId="16" xr:uid="{AD8D3200-7EB8-4844-9AE1-9A4F0AA6A8F3}"/>
    <cellStyle name="20% - Akzent5" xfId="17" xr:uid="{BF31363B-F609-4582-B8BA-6C0A55AE26C2}"/>
    <cellStyle name="20% - Akzent6" xfId="18" xr:uid="{DE8F8742-976F-4FD8-A0DA-EB01E504CAF4}"/>
    <cellStyle name="40% - Accent1" xfId="19" xr:uid="{1CE042DE-5ECE-48A7-9C5A-0560FACD94C7}"/>
    <cellStyle name="40% - Accent1 2" xfId="20" xr:uid="{F8438704-00FD-47D1-809E-ACB79AB4F20D}"/>
    <cellStyle name="40% - Accent2" xfId="21" xr:uid="{08305991-4308-4AC8-B746-C78D3EB01F2C}"/>
    <cellStyle name="40% - Accent2 2" xfId="22" xr:uid="{F077CDE6-01A2-4BEB-99CE-DA87994224EE}"/>
    <cellStyle name="40% - Accent3" xfId="23" xr:uid="{F5C6EFEE-46D3-4CF6-977C-CB45E4E2798E}"/>
    <cellStyle name="40% - Accent3 2" xfId="24" xr:uid="{EE6871D5-5667-42A2-A6EA-7B51918ECFFB}"/>
    <cellStyle name="40% - Accent4" xfId="25" xr:uid="{EAF38613-B1FB-48F3-9E39-4563444931E6}"/>
    <cellStyle name="40% - Accent4 2" xfId="26" xr:uid="{9FF65D87-695A-4769-A30E-189DCDE61772}"/>
    <cellStyle name="40% - Accent5" xfId="27" xr:uid="{F2016C5F-D8D4-4369-867D-B4661B2EA493}"/>
    <cellStyle name="40% - Accent5 2" xfId="28" xr:uid="{B4A29DF1-BAC6-4CAA-9B14-4E293B153D7E}"/>
    <cellStyle name="40% - Accent6" xfId="29" xr:uid="{F4309E66-4CFC-494E-88C1-1B15B3C3D23E}"/>
    <cellStyle name="40% - Accent6 2" xfId="30" xr:uid="{9CF0AE59-D0A9-448A-9E77-768DBB4D78F0}"/>
    <cellStyle name="40% - Akzent1" xfId="31" xr:uid="{8C3EAB3F-CEA4-4B72-B147-E5B0715D3501}"/>
    <cellStyle name="40% - Akzent2" xfId="32" xr:uid="{5F82A90E-84A6-47B1-976A-2AE7EDF2986A}"/>
    <cellStyle name="40% - Akzent3" xfId="33" xr:uid="{1A39C12E-B5D4-4B53-A35D-42168E5FED9F}"/>
    <cellStyle name="40% - Akzent4" xfId="34" xr:uid="{A755DB9B-9FFD-4B94-9F2C-6AA703A1B566}"/>
    <cellStyle name="40% - Akzent5" xfId="35" xr:uid="{EE61A436-3FF2-4334-A7A5-FC95234FE8BD}"/>
    <cellStyle name="40% - Akzent6" xfId="36" xr:uid="{3C20940F-7FBB-45E3-B591-51EDE07082DB}"/>
    <cellStyle name="5x indented GHG Textfiels" xfId="37" xr:uid="{1EBA928C-B198-4183-A43D-B206A6A4545E}"/>
    <cellStyle name="60% - Accent1" xfId="38" xr:uid="{6AA47A2B-EA95-421B-82E5-57C2CEA82606}"/>
    <cellStyle name="60% - Accent2" xfId="39" xr:uid="{A6C79211-3D2B-4B90-9287-182C0FA02983}"/>
    <cellStyle name="60% - Accent3" xfId="40" xr:uid="{0DD66968-82DA-454F-BCF4-4A5174BBDDDB}"/>
    <cellStyle name="60% - Accent4" xfId="41" xr:uid="{9389E7DD-519F-4264-BB44-830F4A00A47E}"/>
    <cellStyle name="60% - Accent5" xfId="42" xr:uid="{B8BF1ECC-1FF7-4FAE-8643-7F3FE42CFC95}"/>
    <cellStyle name="60% - Accent6" xfId="43" xr:uid="{F2F69F6E-51BC-4430-86BA-D7A35D49639E}"/>
    <cellStyle name="60% - Akzent1" xfId="44" xr:uid="{9A584110-BD6D-4EAB-935B-1EB2B3AF41FB}"/>
    <cellStyle name="60% - Akzent2" xfId="45" xr:uid="{FF6F44BF-C612-4704-A606-D6328C03EEE0}"/>
    <cellStyle name="60% - Akzent3" xfId="46" xr:uid="{494194A8-3F18-4A91-8D46-6A3D16ECCDB3}"/>
    <cellStyle name="60% - Akzent4" xfId="47" xr:uid="{8272A4F3-6D81-48C3-98F2-0EE22FF0599B}"/>
    <cellStyle name="60% - Akzent5" xfId="48" xr:uid="{9A8FFFA9-3F06-412D-B61A-BC058EF55D20}"/>
    <cellStyle name="60% - Akzent6" xfId="49" xr:uid="{9BB2FE89-6A12-4FEC-ABF4-F96F13784A72}"/>
    <cellStyle name="Accent1" xfId="50" xr:uid="{2EBA7314-1D0E-4BD9-B9AE-12B3F4A5AC38}"/>
    <cellStyle name="Accent2" xfId="51" xr:uid="{F92A1213-A30E-4A5A-91CC-FD6C6723EA2F}"/>
    <cellStyle name="Accent3" xfId="52" xr:uid="{385C185D-A53A-4559-BDAD-2555D365D39C}"/>
    <cellStyle name="Accent4" xfId="53" xr:uid="{2AE65A08-5F1E-491B-8899-0097EE9AF3BF}"/>
    <cellStyle name="Accent5" xfId="54" xr:uid="{8BCB046B-E27E-4231-9CD7-0BA03472C173}"/>
    <cellStyle name="Accent6" xfId="55" xr:uid="{E3861F75-2989-4A0D-B8B3-9459896A5E89}"/>
    <cellStyle name="Akzent1" xfId="56" xr:uid="{D236E68E-3BBC-49D3-9F8E-EBD8BE2D9D33}"/>
    <cellStyle name="Akzent2" xfId="57" xr:uid="{06F30160-BEE2-4D27-9215-CB35CBA58D2E}"/>
    <cellStyle name="Akzent3" xfId="58" xr:uid="{6E283276-D9EE-44EC-8B81-39A5AD17B945}"/>
    <cellStyle name="Akzent4" xfId="59" xr:uid="{A765EF9B-3B91-41E9-A4BF-72B12F1A3D8C}"/>
    <cellStyle name="Akzent5" xfId="60" xr:uid="{B29B7C9F-2EA7-4B75-B15B-21030A17A1A3}"/>
    <cellStyle name="Akzent6" xfId="61" xr:uid="{300D1A02-AA36-4689-8308-119C0384D603}"/>
    <cellStyle name="Ausgabe" xfId="62" xr:uid="{76BCD62F-99B6-415E-8854-1AB5B2FE07F7}"/>
    <cellStyle name="Bad" xfId="63" xr:uid="{2E0E0160-6050-4A8D-B4D7-B66966C7A341}"/>
    <cellStyle name="Berechnung" xfId="64" xr:uid="{023FD671-27E5-4805-A209-601286E6B3AD}"/>
    <cellStyle name="Calculation" xfId="65" xr:uid="{A4CDA6C8-86E3-480E-8CD9-90564F4FF69C}"/>
    <cellStyle name="Check Cell" xfId="66" xr:uid="{B68D4C7F-6264-46E5-A39E-8A2783C7EC0D}"/>
    <cellStyle name="Eingabe" xfId="67" xr:uid="{FF9F0CA1-0716-41EF-91D2-CF3DDEE09DFF}"/>
    <cellStyle name="Ergebnis" xfId="68" xr:uid="{92D00BE6-E79D-40EF-8A19-0C675BDF7BB0}"/>
    <cellStyle name="Erklärender Text" xfId="69" xr:uid="{E92A6F59-A4AC-485D-B031-CB1B67D4C919}"/>
    <cellStyle name="Explanatory Text" xfId="70" xr:uid="{080CF834-D983-4C44-B317-AF91AE0CE6B8}"/>
    <cellStyle name="Good" xfId="71" xr:uid="{DD1D00C0-5C59-43DE-9F32-D7B56E8C12CB}"/>
    <cellStyle name="Gut" xfId="72" xr:uid="{63B5F6FD-5D18-4EFE-8C77-D5516FA1F0A4}"/>
    <cellStyle name="Heading 1" xfId="73" xr:uid="{BA747379-B684-416B-988E-0A1692FF53A4}"/>
    <cellStyle name="Heading 2" xfId="74" xr:uid="{5B3704F2-E395-46B1-8908-BB8B5B267B7D}"/>
    <cellStyle name="Heading 3" xfId="75" xr:uid="{85AA9982-E91C-46B8-868E-5439CC05A111}"/>
    <cellStyle name="Heading 4" xfId="76" xr:uid="{D9A84592-0968-4FC0-8F6F-3D16B78A301E}"/>
    <cellStyle name="Hyperlänk" xfId="78" builtinId="8"/>
    <cellStyle name="Input" xfId="77" xr:uid="{DB19148A-C7B4-48C3-B485-6322E1D026AD}"/>
    <cellStyle name="Linked Cell" xfId="79" xr:uid="{8DDC68B9-C7B8-4548-8677-8354EFCF304B}"/>
    <cellStyle name="Neutral" xfId="80" xr:uid="{88DBEF76-1D6E-44BE-AA91-0973664A4CDE}"/>
    <cellStyle name="Normal" xfId="0" builtinId="0"/>
    <cellStyle name="Note" xfId="81" xr:uid="{62846706-2897-42CF-9D08-6BCEC63C14FC}"/>
    <cellStyle name="Notiz" xfId="82" xr:uid="{3DEC7772-01DE-4AF8-B9E5-1972CC45B93D}"/>
    <cellStyle name="Output" xfId="83" xr:uid="{C1331E55-7292-44D9-95A0-FA3C157E79A9}"/>
    <cellStyle name="Procent" xfId="84" builtinId="5"/>
    <cellStyle name="Prozent 2" xfId="85" xr:uid="{66DA443D-B555-4CD7-9802-B217221D8EFA}"/>
    <cellStyle name="Schlecht" xfId="86" xr:uid="{A1F14364-47CC-48D4-8B99-4A528030A98B}"/>
    <cellStyle name="Standard 2" xfId="87" xr:uid="{F7F7B5F1-AB5A-4877-9407-8E132DE3D980}"/>
    <cellStyle name="Standard 3" xfId="88" xr:uid="{BE73FD5A-0A29-442B-8870-2F0AAC1798E6}"/>
    <cellStyle name="Standard 4" xfId="89" xr:uid="{2B5499A6-24AF-43C6-B74D-8E72CDD81659}"/>
    <cellStyle name="Standard_Outline NIMs template 10-09-30" xfId="90" xr:uid="{74775EC4-6952-4B57-AAF1-103D813E652C}"/>
    <cellStyle name="Title" xfId="91" xr:uid="{90EEAFB0-CC74-4814-9F03-A50A12E4C92B}"/>
    <cellStyle name="Total" xfId="92" xr:uid="{7950AD65-8AD4-4053-A761-535BF969C5CC}"/>
    <cellStyle name="Verknüpfte Zelle" xfId="98" xr:uid="{0EB49CF2-1998-4C76-8E6A-833B168989A2}"/>
    <cellStyle name="Warnender Text" xfId="99" xr:uid="{F2C247F2-2D85-4A9C-B5B6-8968E902EE68}"/>
    <cellStyle name="Warning Text" xfId="100" xr:uid="{EC37C9BA-0AA0-4EE9-8BDC-4AE4E4082D3D}"/>
    <cellStyle name="Überschrift" xfId="93" xr:uid="{46494301-226F-49F7-9B70-43A84C3F1074}"/>
    <cellStyle name="Überschrift 1" xfId="94" xr:uid="{C79A9217-EF8D-433C-ACBD-174E6B0D9CBF}"/>
    <cellStyle name="Überschrift 2" xfId="95" xr:uid="{C0B4475A-7F4B-4B60-973E-5DE96792B8A8}"/>
    <cellStyle name="Überschrift 3" xfId="96" xr:uid="{9CC41C63-0719-4509-ABF2-8DAC149E4950}"/>
    <cellStyle name="Überschrift 4" xfId="97" xr:uid="{51329BDE-52E3-40BB-A65A-37211533302D}"/>
    <cellStyle name="Zelle überprüfen" xfId="101" xr:uid="{61901929-BC32-4576-98DE-4A56F944B62C}"/>
    <cellStyle name="Обычный_CRF2002 (1)" xfId="102" xr:uid="{DFAC1F75-08C5-416D-85D1-7F7897F50568}"/>
  </cellStyles>
  <dxfs count="829">
    <dxf>
      <font>
        <b/>
        <i val="0"/>
        <color rgb="FF000099"/>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color rgb="FF000099"/>
      </font>
    </dxf>
    <dxf>
      <font>
        <b/>
        <i val="0"/>
        <color rgb="FFFF0000"/>
      </font>
    </dxf>
    <dxf>
      <font>
        <b/>
        <i val="0"/>
      </font>
    </dxf>
    <dxf>
      <font>
        <b/>
        <i val="0"/>
      </font>
    </dxf>
    <dxf>
      <font>
        <b/>
        <i val="0"/>
      </font>
    </dxf>
    <dxf>
      <font>
        <b/>
        <i val="0"/>
      </font>
    </dxf>
    <dxf>
      <font>
        <b/>
        <i val="0"/>
      </font>
    </dxf>
    <dxf>
      <font>
        <b/>
        <i val="0"/>
      </font>
    </dxf>
    <dxf>
      <font>
        <b/>
        <i val="0"/>
      </font>
    </dxf>
    <dxf>
      <font>
        <b/>
        <i val="0"/>
        <color rgb="FF000099"/>
      </font>
    </dxf>
    <dxf>
      <font>
        <b/>
        <i val="0"/>
        <color rgb="FFFF000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color rgb="FF000099"/>
      </font>
    </dxf>
    <dxf>
      <font>
        <b/>
        <i val="0"/>
        <color rgb="FFFF0000"/>
      </font>
    </dxf>
    <dxf>
      <font>
        <b/>
        <i val="0"/>
      </font>
    </dxf>
    <dxf>
      <font>
        <b/>
        <i val="0"/>
      </font>
    </dxf>
    <dxf>
      <font>
        <b/>
        <i val="0"/>
      </font>
    </dxf>
    <dxf>
      <font>
        <b/>
        <i val="0"/>
      </font>
    </dxf>
    <dxf>
      <font>
        <b/>
        <i val="0"/>
      </font>
    </dxf>
    <dxf>
      <font>
        <b/>
        <i val="0"/>
      </font>
    </dxf>
    <dxf>
      <font>
        <b/>
        <i val="0"/>
      </font>
    </dxf>
    <dxf>
      <font>
        <b/>
        <i val="0"/>
        <color rgb="FF000099"/>
      </font>
    </dxf>
    <dxf>
      <font>
        <b/>
        <i val="0"/>
        <color rgb="FFFF000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rgb="FFFF0000"/>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rgb="FFFF0000"/>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rgb="FFFF0000"/>
      </font>
    </dxf>
    <dxf>
      <font>
        <color theme="0" tint="-0.34998626667073579"/>
      </font>
    </dxf>
    <dxf>
      <font>
        <color rgb="FFFF0000"/>
      </font>
    </dxf>
    <dxf>
      <font>
        <color theme="0" tint="-0.34998626667073579"/>
      </font>
    </dxf>
    <dxf>
      <font>
        <color rgb="FFFF0000"/>
      </font>
    </dxf>
    <dxf>
      <font>
        <color theme="0" tint="-0.34998626667073579"/>
      </font>
    </dxf>
    <dxf>
      <font>
        <color rgb="FFFF0000"/>
      </font>
    </dxf>
    <dxf>
      <font>
        <color theme="0" tint="-0.34998626667073579"/>
      </font>
    </dxf>
    <dxf>
      <font>
        <color rgb="FFFF0000"/>
      </font>
    </dxf>
    <dxf>
      <font>
        <color theme="0" tint="-0.34998626667073579"/>
      </font>
    </dxf>
    <dxf>
      <font>
        <color rgb="FFFF0000"/>
      </font>
    </dxf>
    <dxf>
      <font>
        <color theme="0" tint="-0.34998626667073579"/>
      </font>
    </dxf>
    <dxf>
      <font>
        <color rgb="FFFF0000"/>
      </font>
    </dxf>
    <dxf>
      <font>
        <color theme="0" tint="-0.34998626667073579"/>
      </font>
    </dxf>
    <dxf>
      <font>
        <color rgb="FFFF0000"/>
      </font>
    </dxf>
    <dxf>
      <font>
        <color theme="0" tint="-0.34998626667073579"/>
      </font>
    </dxf>
    <dxf>
      <font>
        <color rgb="FFFF0000"/>
      </font>
    </dxf>
    <dxf>
      <font>
        <color theme="0" tint="-0.34998626667073579"/>
      </font>
    </dxf>
    <dxf>
      <font>
        <color rgb="FFFF0000"/>
      </font>
    </dxf>
    <dxf>
      <font>
        <color theme="0" tint="-0.34998626667073579"/>
      </font>
    </dxf>
    <dxf>
      <font>
        <color rgb="FFFF0000"/>
      </font>
    </dxf>
    <dxf>
      <font>
        <condense val="0"/>
        <extend val="0"/>
        <color indexed="10"/>
      </font>
    </dxf>
    <dxf>
      <font>
        <condense val="0"/>
        <extend val="0"/>
        <color indexed="10"/>
      </font>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ont>
        <b/>
        <i val="0"/>
      </font>
    </dxf>
    <dxf>
      <font>
        <b/>
        <i val="0"/>
      </font>
    </dxf>
    <dxf>
      <fill>
        <patternFill patternType="lightUp">
          <bgColor indexed="65"/>
        </patternFill>
      </fill>
    </dxf>
    <dxf>
      <font>
        <b/>
        <i val="0"/>
      </font>
    </dxf>
    <dxf>
      <font>
        <b/>
        <i val="0"/>
      </font>
    </dxf>
    <dxf>
      <fill>
        <patternFill patternType="lightUp">
          <bgColor indexed="65"/>
        </patternFill>
      </fill>
    </dxf>
    <dxf>
      <fill>
        <patternFill patternType="lightUp">
          <bgColor indexed="65"/>
        </patternFill>
      </fill>
    </dxf>
    <dxf>
      <font>
        <b/>
        <i val="0"/>
      </font>
    </dxf>
    <dxf>
      <font>
        <b/>
        <i val="0"/>
      </font>
    </dxf>
    <dxf>
      <fill>
        <patternFill patternType="lightUp">
          <bgColor indexed="65"/>
        </patternFill>
      </fill>
    </dxf>
    <dxf>
      <font>
        <b/>
        <i val="0"/>
      </font>
    </dxf>
    <dxf>
      <fill>
        <patternFill patternType="lightUp">
          <bgColor indexed="65"/>
        </patternFill>
      </fill>
    </dxf>
    <dxf>
      <font>
        <b/>
        <i val="0"/>
      </font>
    </dxf>
    <dxf>
      <font>
        <b/>
        <i val="0"/>
      </font>
    </dxf>
    <dxf>
      <fill>
        <patternFill patternType="lightUp">
          <bgColor indexed="65"/>
        </patternFill>
      </fill>
    </dxf>
    <dxf>
      <fill>
        <patternFill patternType="lightUp">
          <bgColor indexed="65"/>
        </patternFill>
      </fill>
    </dxf>
    <dxf>
      <font>
        <b/>
        <i val="0"/>
      </font>
    </dxf>
    <dxf>
      <font>
        <b/>
        <i val="0"/>
      </font>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CC"/>
        </patternFill>
      </fill>
    </dxf>
    <dxf>
      <fill>
        <patternFill patternType="lightUp">
          <bgColor indexed="65"/>
        </patternFill>
      </fill>
    </dxf>
    <dxf>
      <fill>
        <patternFill>
          <bgColor rgb="FFFFFFCC"/>
        </patternFill>
      </fill>
    </dxf>
    <dxf>
      <fill>
        <patternFill>
          <bgColor rgb="FFFFFFCC"/>
        </patternFill>
      </fill>
    </dxf>
    <dxf>
      <fill>
        <patternFill patternType="lightUp">
          <bgColor indexed="65"/>
        </patternFill>
      </fill>
    </dxf>
    <dxf>
      <fill>
        <patternFill>
          <bgColor rgb="FFFFFFCC"/>
        </patternFill>
      </fill>
    </dxf>
    <dxf>
      <fill>
        <patternFill patternType="lightUp">
          <bgColor indexed="65"/>
        </patternFill>
      </fill>
    </dxf>
    <dxf>
      <fill>
        <patternFill>
          <bgColor rgb="FFFF00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10"/>
        </patternFill>
      </fill>
    </dxf>
    <dxf>
      <fill>
        <patternFill>
          <bgColor rgb="FFFF0000"/>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fgColor indexed="64"/>
          <bgColor indexed="9"/>
        </patternFill>
      </fill>
    </dxf>
    <dxf>
      <fill>
        <patternFill patternType="lightUp">
          <bgColor indexed="65"/>
        </patternFill>
      </fill>
    </dxf>
    <dxf>
      <fill>
        <patternFill>
          <bgColor rgb="FFFF00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10"/>
        </patternFill>
      </fill>
    </dxf>
    <dxf>
      <fill>
        <patternFill>
          <bgColor rgb="FFFF0000"/>
        </patternFill>
      </fill>
    </dxf>
    <dxf>
      <fill>
        <patternFill patternType="lightUp">
          <bgColor indexed="65"/>
        </patternFill>
      </fill>
    </dxf>
    <dxf>
      <fill>
        <patternFill>
          <bgColor rgb="FFFF0000"/>
        </patternFill>
      </fill>
    </dxf>
    <dxf>
      <fill>
        <patternFill>
          <bgColor rgb="FFFF0000"/>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9"/>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0000"/>
        </patternFill>
      </fill>
    </dxf>
    <dxf>
      <fill>
        <patternFill>
          <bgColor rgb="FFFF0000"/>
        </patternFill>
      </fill>
    </dxf>
    <dxf>
      <fill>
        <patternFill patternType="lightUp">
          <bgColor indexed="65"/>
        </patternFill>
      </fill>
    </dxf>
    <dxf>
      <font>
        <b/>
        <i val="0"/>
        <condense val="0"/>
        <extend val="0"/>
        <color indexed="10"/>
      </font>
    </dxf>
    <dxf>
      <font>
        <b/>
        <i val="0"/>
        <condense val="0"/>
        <extend val="0"/>
        <color indexed="10"/>
      </font>
    </dxf>
    <dxf>
      <fill>
        <patternFill>
          <bgColor rgb="FFFF00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fgColor indexed="64"/>
          <bgColor rgb="FFFFFFCC"/>
        </patternFill>
      </fill>
    </dxf>
    <dxf>
      <fill>
        <patternFill patternType="lightUp">
          <bgColor indexed="65"/>
        </patternFill>
      </fill>
    </dxf>
    <dxf>
      <fill>
        <patternFill>
          <bgColor rgb="FFFF0000"/>
        </patternFill>
      </fill>
    </dxf>
    <dxf>
      <fill>
        <patternFill>
          <bgColor rgb="FFFF0000"/>
        </patternFill>
      </fill>
    </dxf>
    <dxf>
      <fill>
        <patternFill patternType="lightUp">
          <bgColor indexed="65"/>
        </patternFill>
      </fill>
    </dxf>
    <dxf>
      <fill>
        <patternFill patternType="lightUp">
          <bgColor indexed="65"/>
        </patternFill>
      </fill>
    </dxf>
    <dxf>
      <fill>
        <patternFill>
          <bgColor rgb="FFFFFFCC"/>
        </patternFill>
      </fill>
    </dxf>
    <dxf>
      <fill>
        <patternFill>
          <bgColor rgb="FFFF0000"/>
        </patternFill>
      </fill>
    </dxf>
    <dxf>
      <fill>
        <patternFill>
          <bgColor indexed="10"/>
        </patternFill>
      </fill>
    </dxf>
    <dxf>
      <fill>
        <patternFill patternType="lightUp">
          <bgColor indexed="65"/>
        </patternFill>
      </fill>
    </dxf>
    <dxf>
      <fill>
        <patternFill>
          <bgColor rgb="FFFFFFCC"/>
        </patternFill>
      </fill>
    </dxf>
    <dxf>
      <fill>
        <patternFill patternType="solid">
          <bgColor rgb="FFFFFFCC"/>
        </patternFill>
      </fill>
    </dxf>
    <dxf>
      <fill>
        <patternFill patternType="lightUp">
          <bgColor indexed="65"/>
        </patternFill>
      </fill>
    </dxf>
    <dxf>
      <fill>
        <patternFill>
          <bgColor indexed="10"/>
        </patternFill>
      </fill>
    </dxf>
    <dxf>
      <fill>
        <patternFill patternType="lightUp">
          <bgColor indexed="65"/>
        </patternFill>
      </fill>
    </dxf>
    <dxf>
      <fill>
        <patternFill patternType="lightUp">
          <bgColor indexed="65"/>
        </patternFill>
      </fill>
    </dxf>
    <dxf>
      <fill>
        <patternFill>
          <bgColor indexed="1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0000"/>
        </patternFill>
      </fill>
    </dxf>
    <dxf>
      <fill>
        <patternFill>
          <bgColor rgb="FFFF0000"/>
        </patternFill>
      </fill>
    </dxf>
    <dxf>
      <fill>
        <patternFill>
          <bgColor rgb="FFFFFFCC"/>
        </patternFill>
      </fill>
    </dxf>
    <dxf>
      <fill>
        <patternFill>
          <bgColor rgb="FFFFFFCC"/>
        </patternFill>
      </fill>
    </dxf>
    <dxf>
      <fill>
        <patternFill patternType="lightUp">
          <bgColor indexed="65"/>
        </patternFill>
      </fill>
    </dxf>
    <dxf>
      <fill>
        <patternFill patternType="lightUp">
          <bgColor indexed="65"/>
        </patternFill>
      </fill>
    </dxf>
    <dxf>
      <fill>
        <patternFill>
          <bgColor rgb="FFFFFFCC"/>
        </patternFill>
      </fill>
    </dxf>
    <dxf>
      <fill>
        <patternFill>
          <bgColor indexed="10"/>
        </patternFill>
      </fill>
    </dxf>
    <dxf>
      <fill>
        <patternFill>
          <bgColor rgb="FFFF0000"/>
        </patternFill>
      </fill>
    </dxf>
    <dxf>
      <fill>
        <patternFill>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ont>
        <color rgb="FFFF0000"/>
      </font>
    </dxf>
    <dxf>
      <fill>
        <patternFill patternType="lightUp">
          <bgColor indexed="6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patternType="solid">
          <bgColor rgb="FFFFFF00"/>
        </patternFill>
      </fill>
    </dxf>
    <dxf>
      <fill>
        <patternFill patternType="lightUp">
          <bgColor indexed="65"/>
        </patternFill>
      </fill>
    </dxf>
    <dxf>
      <fill>
        <patternFill>
          <bgColor rgb="FFFFFFCC"/>
        </patternFill>
      </fill>
    </dxf>
    <dxf>
      <fill>
        <patternFill>
          <bgColor rgb="FFFFFFCC"/>
        </patternFill>
      </fill>
    </dxf>
    <dxf>
      <font>
        <color rgb="FFFF0000"/>
      </font>
    </dxf>
    <dxf>
      <fill>
        <patternFill>
          <bgColor rgb="FFFF0000"/>
        </patternFill>
      </fill>
    </dxf>
    <dxf>
      <fill>
        <patternFill>
          <bgColor rgb="FFFF0000"/>
        </patternFill>
      </fill>
    </dxf>
    <dxf>
      <fill>
        <patternFill>
          <bgColor indexed="13"/>
        </patternFill>
      </fill>
    </dxf>
    <dxf>
      <fill>
        <patternFill>
          <bgColor rgb="FFFF0000"/>
        </patternFill>
      </fill>
    </dxf>
    <dxf>
      <fill>
        <patternFill>
          <bgColor indexed="10"/>
        </patternFill>
      </fill>
    </dxf>
    <dxf>
      <fill>
        <patternFill patternType="lightUp">
          <fgColor indexed="64"/>
          <bgColor indexed="9"/>
        </patternFill>
      </fill>
    </dxf>
    <dxf>
      <fill>
        <patternFill>
          <bgColor rgb="FFFFFFCC"/>
        </patternFill>
      </fill>
    </dxf>
    <dxf>
      <fill>
        <patternFill patternType="lightUp">
          <bgColor indexed="65"/>
        </patternFill>
      </fill>
    </dxf>
    <dxf>
      <font>
        <color rgb="FFFF0000"/>
      </font>
    </dxf>
    <dxf>
      <fill>
        <patternFill>
          <bgColor rgb="FFFFFFCC"/>
        </patternFill>
      </fill>
    </dxf>
    <dxf>
      <fill>
        <patternFill patternType="lightUp">
          <bgColor indexed="65"/>
        </patternFill>
      </fill>
    </dxf>
    <dxf>
      <fill>
        <patternFill>
          <bgColor indexed="26"/>
        </patternFill>
      </fill>
    </dxf>
    <dxf>
      <fill>
        <patternFill patternType="lightUp">
          <bgColor indexed="65"/>
        </patternFill>
      </fill>
    </dxf>
    <dxf>
      <fill>
        <patternFill>
          <bgColor indexed="10"/>
        </patternFill>
      </fill>
    </dxf>
    <dxf>
      <fill>
        <patternFill patternType="lightUp">
          <bgColor indexed="6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7</xdr:col>
      <xdr:colOff>0</xdr:colOff>
      <xdr:row>4</xdr:row>
      <xdr:rowOff>0</xdr:rowOff>
    </xdr:from>
    <xdr:to>
      <xdr:col>10</xdr:col>
      <xdr:colOff>419100</xdr:colOff>
      <xdr:row>4</xdr:row>
      <xdr:rowOff>1000125</xdr:rowOff>
    </xdr:to>
    <xdr:pic>
      <xdr:nvPicPr>
        <xdr:cNvPr id="40953" name="Grafik 1">
          <a:extLst>
            <a:ext uri="{FF2B5EF4-FFF2-40B4-BE49-F238E27FC236}">
              <a16:creationId xmlns:a16="http://schemas.microsoft.com/office/drawing/2014/main" id="{B073AB8D-0403-D2EA-F487-088367398F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18968"/>
        <a:stretch>
          <a:fillRect/>
        </a:stretch>
      </xdr:blipFill>
      <xdr:spPr bwMode="auto">
        <a:xfrm>
          <a:off x="3467100" y="552450"/>
          <a:ext cx="296227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mweltbundesamt.at\Projekte\20000\20017_EU_ETS_CIMs_IV\Intern\NIMsBL_template_COM_en_201909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_Contents"/>
      <sheetName val="b_Guidelines &amp; conditions"/>
      <sheetName val="A_InstallationData"/>
      <sheetName val="B+C_Emissions_Y1"/>
      <sheetName val="B+C_Emissions_Y2"/>
      <sheetName val="B+C_Emissions_Y3"/>
      <sheetName val="B+C_Emissions_Y4"/>
      <sheetName val="B+C_Emissions_Y5"/>
      <sheetName val="D_Emissions"/>
      <sheetName val="E_EnergyFlows"/>
      <sheetName val="F_ProductBM"/>
      <sheetName val="G_Fall-back"/>
      <sheetName val="H_SpecialBM"/>
      <sheetName val="I_MSspecific"/>
      <sheetName val="J_Comments"/>
      <sheetName val="K_Summary"/>
      <sheetName val="EUwideConstants"/>
      <sheetName val="MSParameters"/>
      <sheetName val="Translations"/>
      <sheetName val="VersionDocument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2">
          <cell r="H12" t="str">
            <v/>
          </cell>
          <cell r="M12" t="str">
            <v/>
          </cell>
        </row>
        <row r="13">
          <cell r="H13" t="str">
            <v/>
          </cell>
        </row>
        <row r="14">
          <cell r="H14" t="str">
            <v/>
          </cell>
        </row>
        <row r="15">
          <cell r="H15" t="str">
            <v/>
          </cell>
        </row>
        <row r="17">
          <cell r="H17" t="str">
            <v/>
          </cell>
          <cell r="M17" t="str">
            <v/>
          </cell>
        </row>
        <row r="18">
          <cell r="H18" t="str">
            <v/>
          </cell>
          <cell r="M18" t="str">
            <v/>
          </cell>
        </row>
        <row r="19">
          <cell r="H19" t="str">
            <v/>
          </cell>
          <cell r="M19" t="str">
            <v/>
          </cell>
        </row>
        <row r="20">
          <cell r="M20" t="str">
            <v/>
          </cell>
        </row>
        <row r="21">
          <cell r="H21" t="str">
            <v/>
          </cell>
          <cell r="M21" t="str">
            <v/>
          </cell>
        </row>
        <row r="24">
          <cell r="F24" t="str">
            <v/>
          </cell>
        </row>
        <row r="25">
          <cell r="F25" t="str">
            <v/>
          </cell>
        </row>
        <row r="26">
          <cell r="F26" t="str">
            <v/>
          </cell>
        </row>
        <row r="27">
          <cell r="F27" t="str">
            <v/>
          </cell>
        </row>
        <row r="28">
          <cell r="F28" t="str">
            <v/>
          </cell>
        </row>
        <row r="29">
          <cell r="F29" t="str">
            <v/>
          </cell>
        </row>
        <row r="33">
          <cell r="E33" t="str">
            <v/>
          </cell>
          <cell r="I33" t="str">
            <v/>
          </cell>
          <cell r="L33" t="str">
            <v/>
          </cell>
        </row>
        <row r="34">
          <cell r="E34" t="str">
            <v/>
          </cell>
          <cell r="I34" t="str">
            <v/>
          </cell>
          <cell r="L34" t="str">
            <v/>
          </cell>
        </row>
        <row r="35">
          <cell r="E35" t="str">
            <v/>
          </cell>
          <cell r="I35" t="str">
            <v/>
          </cell>
          <cell r="L35" t="str">
            <v/>
          </cell>
        </row>
        <row r="36">
          <cell r="E36" t="str">
            <v/>
          </cell>
          <cell r="I36" t="str">
            <v/>
          </cell>
          <cell r="L36" t="str">
            <v/>
          </cell>
        </row>
        <row r="37">
          <cell r="E37" t="str">
            <v/>
          </cell>
          <cell r="I37" t="str">
            <v/>
          </cell>
          <cell r="L37" t="str">
            <v/>
          </cell>
        </row>
        <row r="38">
          <cell r="E38" t="str">
            <v/>
          </cell>
          <cell r="I38" t="str">
            <v/>
          </cell>
          <cell r="L38" t="str">
            <v/>
          </cell>
        </row>
        <row r="39">
          <cell r="E39" t="str">
            <v/>
          </cell>
          <cell r="I39" t="str">
            <v/>
          </cell>
          <cell r="L39" t="str">
            <v/>
          </cell>
        </row>
        <row r="40">
          <cell r="E40" t="str">
            <v/>
          </cell>
          <cell r="I40" t="str">
            <v/>
          </cell>
          <cell r="L40" t="str">
            <v/>
          </cell>
        </row>
        <row r="41">
          <cell r="E41" t="str">
            <v/>
          </cell>
          <cell r="I41" t="str">
            <v/>
          </cell>
          <cell r="L41" t="str">
            <v/>
          </cell>
        </row>
        <row r="42">
          <cell r="E42" t="str">
            <v/>
          </cell>
          <cell r="I42" t="str">
            <v/>
          </cell>
          <cell r="L42" t="str">
            <v/>
          </cell>
        </row>
        <row r="48">
          <cell r="I48" t="str">
            <v/>
          </cell>
          <cell r="M48" t="str">
            <v/>
          </cell>
        </row>
        <row r="49">
          <cell r="I49" t="str">
            <v/>
          </cell>
          <cell r="M49" t="str">
            <v/>
          </cell>
        </row>
        <row r="51">
          <cell r="E51" t="str">
            <v>It is mandatory that under A.II.1 one of the questions (e) or (f) is answered!</v>
          </cell>
        </row>
        <row r="52">
          <cell r="E52" t="str">
            <v/>
          </cell>
        </row>
        <row r="54">
          <cell r="M54" t="b">
            <v>0</v>
          </cell>
        </row>
        <row r="58">
          <cell r="I58" t="b">
            <v>0</v>
          </cell>
          <cell r="J58" t="b">
            <v>0</v>
          </cell>
          <cell r="K58" t="b">
            <v>0</v>
          </cell>
          <cell r="L58" t="b">
            <v>0</v>
          </cell>
          <cell r="M58" t="b">
            <v>0</v>
          </cell>
        </row>
        <row r="65">
          <cell r="I65" t="str">
            <v/>
          </cell>
          <cell r="J65" t="str">
            <v/>
          </cell>
          <cell r="K65" t="str">
            <v/>
          </cell>
          <cell r="L65" t="str">
            <v/>
          </cell>
          <cell r="M65" t="str">
            <v/>
          </cell>
        </row>
        <row r="66">
          <cell r="I66" t="str">
            <v/>
          </cell>
          <cell r="J66" t="str">
            <v/>
          </cell>
          <cell r="K66" t="str">
            <v/>
          </cell>
          <cell r="L66" t="str">
            <v/>
          </cell>
          <cell r="M66" t="str">
            <v/>
          </cell>
        </row>
        <row r="67">
          <cell r="I67" t="str">
            <v/>
          </cell>
          <cell r="J67" t="str">
            <v/>
          </cell>
          <cell r="K67" t="str">
            <v/>
          </cell>
          <cell r="L67" t="str">
            <v/>
          </cell>
          <cell r="M67" t="str">
            <v/>
          </cell>
        </row>
        <row r="68">
          <cell r="I68" t="str">
            <v/>
          </cell>
          <cell r="J68" t="str">
            <v/>
          </cell>
          <cell r="K68" t="str">
            <v/>
          </cell>
          <cell r="L68" t="str">
            <v/>
          </cell>
          <cell r="M68" t="str">
            <v/>
          </cell>
        </row>
        <row r="69">
          <cell r="I69" t="str">
            <v/>
          </cell>
          <cell r="J69" t="str">
            <v/>
          </cell>
          <cell r="K69" t="str">
            <v/>
          </cell>
          <cell r="L69" t="str">
            <v/>
          </cell>
          <cell r="M69" t="str">
            <v/>
          </cell>
        </row>
        <row r="70">
          <cell r="I70" t="str">
            <v/>
          </cell>
          <cell r="J70" t="str">
            <v/>
          </cell>
          <cell r="K70" t="str">
            <v/>
          </cell>
          <cell r="L70" t="str">
            <v/>
          </cell>
          <cell r="M70" t="str">
            <v/>
          </cell>
        </row>
        <row r="71">
          <cell r="I71" t="str">
            <v/>
          </cell>
          <cell r="J71" t="str">
            <v/>
          </cell>
          <cell r="K71" t="str">
            <v/>
          </cell>
          <cell r="L71" t="str">
            <v/>
          </cell>
          <cell r="M71" t="str">
            <v/>
          </cell>
        </row>
        <row r="72">
          <cell r="I72" t="str">
            <v/>
          </cell>
          <cell r="J72" t="str">
            <v/>
          </cell>
          <cell r="K72" t="str">
            <v/>
          </cell>
          <cell r="L72" t="str">
            <v/>
          </cell>
          <cell r="M72" t="str">
            <v/>
          </cell>
        </row>
        <row r="93">
          <cell r="E93" t="str">
            <v/>
          </cell>
          <cell r="I93" t="str">
            <v/>
          </cell>
          <cell r="J93" t="str">
            <v/>
          </cell>
          <cell r="K93" t="str">
            <v/>
          </cell>
          <cell r="L93" t="str">
            <v/>
          </cell>
          <cell r="M93" t="str">
            <v/>
          </cell>
        </row>
        <row r="94">
          <cell r="E94" t="str">
            <v/>
          </cell>
          <cell r="I94" t="str">
            <v/>
          </cell>
          <cell r="J94" t="str">
            <v/>
          </cell>
          <cell r="K94" t="str">
            <v/>
          </cell>
          <cell r="L94" t="str">
            <v/>
          </cell>
          <cell r="M94" t="str">
            <v/>
          </cell>
        </row>
        <row r="95">
          <cell r="E95" t="str">
            <v/>
          </cell>
          <cell r="I95" t="str">
            <v/>
          </cell>
          <cell r="J95" t="str">
            <v/>
          </cell>
          <cell r="K95" t="str">
            <v/>
          </cell>
          <cell r="L95" t="str">
            <v/>
          </cell>
          <cell r="M95" t="str">
            <v/>
          </cell>
        </row>
        <row r="96">
          <cell r="E96" t="str">
            <v/>
          </cell>
          <cell r="I96" t="str">
            <v/>
          </cell>
          <cell r="J96" t="str">
            <v/>
          </cell>
          <cell r="K96" t="str">
            <v/>
          </cell>
          <cell r="L96" t="str">
            <v/>
          </cell>
          <cell r="M96" t="str">
            <v/>
          </cell>
        </row>
        <row r="97">
          <cell r="E97" t="str">
            <v/>
          </cell>
          <cell r="I97" t="str">
            <v/>
          </cell>
          <cell r="J97" t="str">
            <v/>
          </cell>
          <cell r="K97" t="str">
            <v/>
          </cell>
          <cell r="L97" t="str">
            <v/>
          </cell>
          <cell r="M97" t="str">
            <v/>
          </cell>
        </row>
        <row r="98">
          <cell r="E98" t="str">
            <v/>
          </cell>
          <cell r="I98" t="str">
            <v/>
          </cell>
          <cell r="J98" t="str">
            <v/>
          </cell>
          <cell r="K98" t="str">
            <v/>
          </cell>
          <cell r="L98" t="str">
            <v/>
          </cell>
          <cell r="M98" t="str">
            <v/>
          </cell>
        </row>
        <row r="99">
          <cell r="E99" t="str">
            <v/>
          </cell>
          <cell r="I99" t="str">
            <v/>
          </cell>
          <cell r="J99" t="str">
            <v/>
          </cell>
          <cell r="K99" t="str">
            <v/>
          </cell>
          <cell r="L99" t="str">
            <v/>
          </cell>
          <cell r="M99" t="str">
            <v/>
          </cell>
        </row>
        <row r="100">
          <cell r="E100" t="str">
            <v/>
          </cell>
          <cell r="I100" t="str">
            <v/>
          </cell>
          <cell r="J100" t="str">
            <v/>
          </cell>
          <cell r="K100" t="str">
            <v/>
          </cell>
          <cell r="L100" t="str">
            <v/>
          </cell>
          <cell r="M100" t="str">
            <v/>
          </cell>
        </row>
        <row r="101">
          <cell r="E101" t="str">
            <v/>
          </cell>
          <cell r="I101" t="str">
            <v/>
          </cell>
          <cell r="J101" t="str">
            <v/>
          </cell>
          <cell r="K101" t="str">
            <v/>
          </cell>
          <cell r="L101" t="str">
            <v/>
          </cell>
          <cell r="M101" t="str">
            <v/>
          </cell>
        </row>
        <row r="102">
          <cell r="E102" t="str">
            <v/>
          </cell>
          <cell r="I102" t="str">
            <v/>
          </cell>
          <cell r="J102" t="str">
            <v/>
          </cell>
          <cell r="K102" t="str">
            <v/>
          </cell>
          <cell r="L102" t="str">
            <v/>
          </cell>
          <cell r="M102" t="str">
            <v/>
          </cell>
        </row>
        <row r="103">
          <cell r="I103" t="str">
            <v/>
          </cell>
          <cell r="J103" t="str">
            <v/>
          </cell>
          <cell r="K103" t="str">
            <v/>
          </cell>
          <cell r="L103" t="str">
            <v/>
          </cell>
          <cell r="M103" t="str">
            <v/>
          </cell>
        </row>
        <row r="104">
          <cell r="I104" t="str">
            <v/>
          </cell>
          <cell r="J104" t="str">
            <v/>
          </cell>
          <cell r="K104" t="str">
            <v/>
          </cell>
          <cell r="L104" t="str">
            <v/>
          </cell>
          <cell r="M104" t="str">
            <v/>
          </cell>
        </row>
        <row r="105">
          <cell r="I105" t="str">
            <v/>
          </cell>
          <cell r="J105" t="str">
            <v/>
          </cell>
          <cell r="K105" t="str">
            <v/>
          </cell>
          <cell r="L105" t="str">
            <v/>
          </cell>
          <cell r="M105" t="str">
            <v/>
          </cell>
        </row>
        <row r="106">
          <cell r="I106" t="str">
            <v/>
          </cell>
          <cell r="J106" t="str">
            <v/>
          </cell>
          <cell r="K106" t="str">
            <v/>
          </cell>
          <cell r="L106" t="str">
            <v/>
          </cell>
          <cell r="M106" t="str">
            <v/>
          </cell>
        </row>
        <row r="107">
          <cell r="I107" t="str">
            <v/>
          </cell>
          <cell r="J107" t="str">
            <v/>
          </cell>
          <cell r="K107" t="str">
            <v/>
          </cell>
          <cell r="L107" t="str">
            <v/>
          </cell>
          <cell r="M107" t="str">
            <v/>
          </cell>
        </row>
        <row r="108">
          <cell r="I108" t="str">
            <v/>
          </cell>
          <cell r="J108" t="str">
            <v/>
          </cell>
          <cell r="K108" t="str">
            <v/>
          </cell>
          <cell r="L108" t="str">
            <v/>
          </cell>
          <cell r="M108" t="str">
            <v/>
          </cell>
        </row>
        <row r="109">
          <cell r="I109" t="str">
            <v/>
          </cell>
          <cell r="J109" t="str">
            <v/>
          </cell>
          <cell r="K109" t="str">
            <v/>
          </cell>
          <cell r="L109" t="str">
            <v/>
          </cell>
          <cell r="M109" t="str">
            <v/>
          </cell>
        </row>
        <row r="110">
          <cell r="I110" t="str">
            <v/>
          </cell>
          <cell r="J110" t="str">
            <v/>
          </cell>
          <cell r="K110" t="str">
            <v/>
          </cell>
          <cell r="L110" t="str">
            <v/>
          </cell>
          <cell r="M110" t="str">
            <v/>
          </cell>
        </row>
        <row r="113">
          <cell r="E113" t="str">
            <v/>
          </cell>
          <cell r="I113" t="str">
            <v/>
          </cell>
          <cell r="J113" t="str">
            <v/>
          </cell>
          <cell r="K113" t="str">
            <v/>
          </cell>
          <cell r="L113" t="str">
            <v/>
          </cell>
          <cell r="M113" t="str">
            <v/>
          </cell>
        </row>
        <row r="114">
          <cell r="E114" t="str">
            <v/>
          </cell>
          <cell r="I114" t="str">
            <v/>
          </cell>
          <cell r="J114" t="str">
            <v/>
          </cell>
          <cell r="K114" t="str">
            <v/>
          </cell>
          <cell r="L114" t="str">
            <v/>
          </cell>
          <cell r="M114" t="str">
            <v/>
          </cell>
        </row>
        <row r="115">
          <cell r="E115" t="str">
            <v/>
          </cell>
          <cell r="I115" t="str">
            <v/>
          </cell>
          <cell r="J115" t="str">
            <v/>
          </cell>
          <cell r="K115" t="str">
            <v/>
          </cell>
          <cell r="L115" t="str">
            <v/>
          </cell>
          <cell r="M115" t="str">
            <v/>
          </cell>
        </row>
        <row r="116">
          <cell r="E116" t="str">
            <v/>
          </cell>
          <cell r="I116" t="str">
            <v/>
          </cell>
          <cell r="J116" t="str">
            <v/>
          </cell>
          <cell r="K116" t="str">
            <v/>
          </cell>
          <cell r="L116" t="str">
            <v/>
          </cell>
          <cell r="M116" t="str">
            <v/>
          </cell>
        </row>
        <row r="117">
          <cell r="E117" t="str">
            <v/>
          </cell>
          <cell r="I117" t="str">
            <v/>
          </cell>
          <cell r="J117" t="str">
            <v/>
          </cell>
          <cell r="K117" t="str">
            <v/>
          </cell>
          <cell r="L117" t="str">
            <v/>
          </cell>
          <cell r="M117" t="str">
            <v/>
          </cell>
        </row>
        <row r="118">
          <cell r="E118" t="str">
            <v/>
          </cell>
          <cell r="I118" t="str">
            <v/>
          </cell>
          <cell r="J118" t="str">
            <v/>
          </cell>
          <cell r="K118" t="str">
            <v/>
          </cell>
          <cell r="L118" t="str">
            <v/>
          </cell>
          <cell r="M118" t="str">
            <v/>
          </cell>
        </row>
        <row r="119">
          <cell r="E119" t="str">
            <v/>
          </cell>
          <cell r="I119" t="str">
            <v/>
          </cell>
          <cell r="J119" t="str">
            <v/>
          </cell>
          <cell r="K119" t="str">
            <v/>
          </cell>
          <cell r="L119" t="str">
            <v/>
          </cell>
          <cell r="M119" t="str">
            <v/>
          </cell>
        </row>
        <row r="120">
          <cell r="E120" t="str">
            <v/>
          </cell>
          <cell r="I120" t="str">
            <v/>
          </cell>
          <cell r="J120" t="str">
            <v/>
          </cell>
          <cell r="K120" t="str">
            <v/>
          </cell>
          <cell r="L120" t="str">
            <v/>
          </cell>
          <cell r="M120" t="str">
            <v/>
          </cell>
        </row>
        <row r="121">
          <cell r="E121" t="str">
            <v/>
          </cell>
          <cell r="I121" t="str">
            <v/>
          </cell>
          <cell r="J121" t="str">
            <v/>
          </cell>
          <cell r="K121" t="str">
            <v/>
          </cell>
          <cell r="L121" t="str">
            <v/>
          </cell>
          <cell r="M121" t="str">
            <v/>
          </cell>
        </row>
        <row r="122">
          <cell r="E122" t="str">
            <v/>
          </cell>
          <cell r="I122" t="str">
            <v/>
          </cell>
          <cell r="J122" t="str">
            <v/>
          </cell>
          <cell r="K122" t="str">
            <v/>
          </cell>
          <cell r="L122" t="str">
            <v/>
          </cell>
          <cell r="M122" t="str">
            <v/>
          </cell>
        </row>
        <row r="123">
          <cell r="I123" t="str">
            <v/>
          </cell>
          <cell r="J123" t="str">
            <v/>
          </cell>
          <cell r="K123" t="str">
            <v/>
          </cell>
          <cell r="L123" t="str">
            <v/>
          </cell>
          <cell r="M123" t="str">
            <v/>
          </cell>
        </row>
        <row r="124">
          <cell r="I124" t="str">
            <v/>
          </cell>
          <cell r="J124" t="str">
            <v/>
          </cell>
          <cell r="K124" t="str">
            <v/>
          </cell>
          <cell r="L124" t="str">
            <v/>
          </cell>
          <cell r="M124" t="str">
            <v/>
          </cell>
        </row>
        <row r="125">
          <cell r="I125" t="str">
            <v/>
          </cell>
          <cell r="J125" t="str">
            <v/>
          </cell>
          <cell r="K125" t="str">
            <v/>
          </cell>
          <cell r="L125" t="str">
            <v/>
          </cell>
          <cell r="M125" t="str">
            <v/>
          </cell>
        </row>
        <row r="126">
          <cell r="I126" t="str">
            <v/>
          </cell>
          <cell r="J126" t="str">
            <v/>
          </cell>
          <cell r="K126" t="str">
            <v/>
          </cell>
          <cell r="L126" t="str">
            <v/>
          </cell>
          <cell r="M126" t="str">
            <v/>
          </cell>
        </row>
        <row r="127">
          <cell r="I127" t="str">
            <v/>
          </cell>
          <cell r="J127" t="str">
            <v/>
          </cell>
          <cell r="K127" t="str">
            <v/>
          </cell>
          <cell r="L127" t="str">
            <v/>
          </cell>
          <cell r="M127" t="str">
            <v/>
          </cell>
        </row>
        <row r="128">
          <cell r="I128" t="str">
            <v/>
          </cell>
          <cell r="J128" t="str">
            <v/>
          </cell>
          <cell r="K128" t="str">
            <v/>
          </cell>
          <cell r="L128" t="str">
            <v/>
          </cell>
          <cell r="M128" t="str">
            <v/>
          </cell>
        </row>
        <row r="129">
          <cell r="I129" t="str">
            <v/>
          </cell>
          <cell r="J129" t="str">
            <v/>
          </cell>
          <cell r="K129" t="str">
            <v/>
          </cell>
          <cell r="L129" t="str">
            <v/>
          </cell>
          <cell r="M129" t="str">
            <v/>
          </cell>
        </row>
        <row r="130">
          <cell r="I130" t="str">
            <v/>
          </cell>
          <cell r="J130" t="str">
            <v/>
          </cell>
          <cell r="K130" t="str">
            <v/>
          </cell>
          <cell r="L130" t="str">
            <v/>
          </cell>
          <cell r="M130" t="str">
            <v/>
          </cell>
        </row>
        <row r="134">
          <cell r="M134" t="str">
            <v/>
          </cell>
        </row>
        <row r="137">
          <cell r="I137" t="str">
            <v/>
          </cell>
          <cell r="J137" t="str">
            <v/>
          </cell>
          <cell r="K137" t="str">
            <v/>
          </cell>
          <cell r="L137" t="str">
            <v/>
          </cell>
          <cell r="M137" t="str">
            <v/>
          </cell>
        </row>
        <row r="138">
          <cell r="I138" t="str">
            <v/>
          </cell>
          <cell r="J138" t="str">
            <v/>
          </cell>
          <cell r="K138" t="str">
            <v/>
          </cell>
          <cell r="L138" t="str">
            <v/>
          </cell>
          <cell r="M138" t="str">
            <v/>
          </cell>
        </row>
        <row r="139">
          <cell r="I139" t="str">
            <v/>
          </cell>
          <cell r="J139" t="str">
            <v/>
          </cell>
          <cell r="K139" t="str">
            <v/>
          </cell>
          <cell r="L139" t="str">
            <v/>
          </cell>
          <cell r="M139" t="str">
            <v/>
          </cell>
        </row>
        <row r="142">
          <cell r="I142" t="str">
            <v/>
          </cell>
          <cell r="J142" t="str">
            <v/>
          </cell>
          <cell r="K142" t="str">
            <v/>
          </cell>
          <cell r="L142" t="str">
            <v/>
          </cell>
          <cell r="M142" t="str">
            <v/>
          </cell>
        </row>
        <row r="143">
          <cell r="I143" t="str">
            <v/>
          </cell>
          <cell r="J143" t="str">
            <v/>
          </cell>
          <cell r="K143" t="str">
            <v/>
          </cell>
          <cell r="L143" t="str">
            <v/>
          </cell>
          <cell r="M143" t="str">
            <v/>
          </cell>
        </row>
        <row r="144">
          <cell r="I144" t="str">
            <v/>
          </cell>
          <cell r="J144" t="str">
            <v/>
          </cell>
          <cell r="K144" t="str">
            <v/>
          </cell>
          <cell r="L144" t="str">
            <v/>
          </cell>
          <cell r="M144" t="str">
            <v/>
          </cell>
        </row>
        <row r="147">
          <cell r="I147" t="str">
            <v/>
          </cell>
          <cell r="J147" t="str">
            <v/>
          </cell>
          <cell r="K147" t="str">
            <v/>
          </cell>
          <cell r="L147" t="str">
            <v/>
          </cell>
          <cell r="M147" t="str">
            <v/>
          </cell>
        </row>
        <row r="148">
          <cell r="I148" t="str">
            <v/>
          </cell>
          <cell r="J148" t="str">
            <v/>
          </cell>
          <cell r="K148" t="str">
            <v/>
          </cell>
          <cell r="L148" t="str">
            <v/>
          </cell>
          <cell r="M148" t="str">
            <v/>
          </cell>
        </row>
        <row r="149">
          <cell r="I149" t="str">
            <v/>
          </cell>
          <cell r="J149" t="str">
            <v/>
          </cell>
          <cell r="K149" t="str">
            <v/>
          </cell>
          <cell r="L149" t="str">
            <v/>
          </cell>
          <cell r="M149" t="str">
            <v/>
          </cell>
        </row>
        <row r="150">
          <cell r="I150" t="str">
            <v/>
          </cell>
          <cell r="J150" t="str">
            <v/>
          </cell>
          <cell r="K150" t="str">
            <v/>
          </cell>
          <cell r="L150" t="str">
            <v/>
          </cell>
          <cell r="M150" t="str">
            <v/>
          </cell>
        </row>
        <row r="153">
          <cell r="I153" t="str">
            <v/>
          </cell>
          <cell r="J153" t="str">
            <v/>
          </cell>
          <cell r="K153" t="str">
            <v/>
          </cell>
          <cell r="L153" t="str">
            <v/>
          </cell>
          <cell r="M153" t="str">
            <v/>
          </cell>
        </row>
        <row r="154">
          <cell r="I154" t="str">
            <v/>
          </cell>
          <cell r="J154" t="str">
            <v/>
          </cell>
          <cell r="K154" t="str">
            <v/>
          </cell>
          <cell r="L154" t="str">
            <v/>
          </cell>
          <cell r="M154" t="str">
            <v/>
          </cell>
        </row>
        <row r="156">
          <cell r="I156" t="str">
            <v/>
          </cell>
          <cell r="J156" t="str">
            <v/>
          </cell>
          <cell r="K156" t="str">
            <v/>
          </cell>
          <cell r="L156" t="str">
            <v/>
          </cell>
          <cell r="M156" t="str">
            <v/>
          </cell>
        </row>
        <row r="157">
          <cell r="I157" t="str">
            <v/>
          </cell>
          <cell r="J157" t="str">
            <v/>
          </cell>
          <cell r="K157" t="str">
            <v/>
          </cell>
          <cell r="L157" t="str">
            <v/>
          </cell>
          <cell r="M157" t="str">
            <v/>
          </cell>
        </row>
        <row r="159">
          <cell r="M159" t="str">
            <v/>
          </cell>
        </row>
        <row r="162">
          <cell r="I162" t="str">
            <v/>
          </cell>
          <cell r="J162" t="str">
            <v/>
          </cell>
          <cell r="K162" t="str">
            <v/>
          </cell>
          <cell r="L162" t="str">
            <v/>
          </cell>
          <cell r="M162" t="str">
            <v/>
          </cell>
        </row>
        <row r="163">
          <cell r="I163" t="str">
            <v/>
          </cell>
          <cell r="J163" t="str">
            <v/>
          </cell>
          <cell r="K163" t="str">
            <v/>
          </cell>
          <cell r="L163" t="str">
            <v/>
          </cell>
          <cell r="M163" t="str">
            <v/>
          </cell>
        </row>
        <row r="164">
          <cell r="I164" t="str">
            <v/>
          </cell>
          <cell r="J164" t="str">
            <v/>
          </cell>
          <cell r="K164" t="str">
            <v/>
          </cell>
          <cell r="L164" t="str">
            <v/>
          </cell>
          <cell r="M164" t="str">
            <v/>
          </cell>
        </row>
        <row r="167">
          <cell r="I167" t="str">
            <v/>
          </cell>
          <cell r="J167" t="str">
            <v/>
          </cell>
          <cell r="K167" t="str">
            <v/>
          </cell>
          <cell r="L167" t="str">
            <v/>
          </cell>
          <cell r="M167" t="str">
            <v/>
          </cell>
        </row>
        <row r="168">
          <cell r="I168" t="str">
            <v/>
          </cell>
          <cell r="J168" t="str">
            <v/>
          </cell>
          <cell r="K168" t="str">
            <v/>
          </cell>
          <cell r="L168" t="str">
            <v/>
          </cell>
          <cell r="M168" t="str">
            <v/>
          </cell>
        </row>
        <row r="169">
          <cell r="I169" t="str">
            <v/>
          </cell>
          <cell r="J169" t="str">
            <v/>
          </cell>
          <cell r="K169" t="str">
            <v/>
          </cell>
          <cell r="L169" t="str">
            <v/>
          </cell>
          <cell r="M169" t="str">
            <v/>
          </cell>
        </row>
        <row r="172">
          <cell r="I172" t="str">
            <v/>
          </cell>
          <cell r="J172" t="str">
            <v/>
          </cell>
          <cell r="K172" t="str">
            <v/>
          </cell>
          <cell r="L172" t="str">
            <v/>
          </cell>
          <cell r="M172" t="str">
            <v/>
          </cell>
        </row>
        <row r="173">
          <cell r="I173" t="str">
            <v/>
          </cell>
          <cell r="J173" t="str">
            <v/>
          </cell>
          <cell r="K173" t="str">
            <v/>
          </cell>
          <cell r="L173" t="str">
            <v/>
          </cell>
          <cell r="M173" t="str">
            <v/>
          </cell>
        </row>
        <row r="174">
          <cell r="I174" t="str">
            <v/>
          </cell>
          <cell r="J174" t="str">
            <v/>
          </cell>
          <cell r="K174" t="str">
            <v/>
          </cell>
          <cell r="L174" t="str">
            <v/>
          </cell>
          <cell r="M174" t="str">
            <v/>
          </cell>
        </row>
        <row r="175">
          <cell r="I175" t="str">
            <v/>
          </cell>
          <cell r="J175" t="str">
            <v/>
          </cell>
          <cell r="K175" t="str">
            <v/>
          </cell>
          <cell r="L175" t="str">
            <v/>
          </cell>
          <cell r="M175" t="str">
            <v/>
          </cell>
        </row>
        <row r="178">
          <cell r="I178" t="str">
            <v/>
          </cell>
          <cell r="J178" t="str">
            <v/>
          </cell>
          <cell r="K178" t="str">
            <v/>
          </cell>
          <cell r="L178" t="str">
            <v/>
          </cell>
          <cell r="M178" t="str">
            <v/>
          </cell>
        </row>
        <row r="179">
          <cell r="I179" t="str">
            <v/>
          </cell>
          <cell r="J179" t="str">
            <v/>
          </cell>
          <cell r="K179" t="str">
            <v/>
          </cell>
          <cell r="L179" t="str">
            <v/>
          </cell>
          <cell r="M179" t="str">
            <v/>
          </cell>
        </row>
        <row r="181">
          <cell r="I181" t="str">
            <v/>
          </cell>
          <cell r="J181" t="str">
            <v/>
          </cell>
          <cell r="K181" t="str">
            <v/>
          </cell>
          <cell r="L181" t="str">
            <v/>
          </cell>
          <cell r="M181" t="str">
            <v/>
          </cell>
        </row>
        <row r="182">
          <cell r="I182" t="str">
            <v/>
          </cell>
          <cell r="J182" t="str">
            <v/>
          </cell>
          <cell r="K182" t="str">
            <v/>
          </cell>
          <cell r="L182" t="str">
            <v/>
          </cell>
          <cell r="M182" t="str">
            <v/>
          </cell>
        </row>
        <row r="186">
          <cell r="L186" t="str">
            <v/>
          </cell>
        </row>
        <row r="187">
          <cell r="H187" t="str">
            <v/>
          </cell>
        </row>
        <row r="189">
          <cell r="I189" t="str">
            <v/>
          </cell>
          <cell r="J189" t="str">
            <v/>
          </cell>
          <cell r="K189" t="str">
            <v/>
          </cell>
          <cell r="L189" t="str">
            <v/>
          </cell>
          <cell r="M189" t="str">
            <v/>
          </cell>
        </row>
        <row r="190">
          <cell r="I190" t="str">
            <v/>
          </cell>
          <cell r="J190" t="str">
            <v/>
          </cell>
          <cell r="K190" t="str">
            <v/>
          </cell>
          <cell r="L190" t="str">
            <v/>
          </cell>
          <cell r="M190" t="str">
            <v/>
          </cell>
        </row>
        <row r="191">
          <cell r="I191" t="str">
            <v/>
          </cell>
          <cell r="J191" t="str">
            <v/>
          </cell>
          <cell r="K191" t="str">
            <v/>
          </cell>
          <cell r="L191" t="str">
            <v/>
          </cell>
          <cell r="M191" t="str">
            <v/>
          </cell>
        </row>
        <row r="192">
          <cell r="I192" t="str">
            <v/>
          </cell>
          <cell r="J192" t="str">
            <v/>
          </cell>
          <cell r="K192" t="str">
            <v/>
          </cell>
          <cell r="L192" t="str">
            <v/>
          </cell>
          <cell r="M192" t="str">
            <v/>
          </cell>
        </row>
        <row r="193">
          <cell r="I193" t="str">
            <v/>
          </cell>
          <cell r="J193" t="str">
            <v/>
          </cell>
          <cell r="K193" t="str">
            <v/>
          </cell>
          <cell r="L193" t="str">
            <v/>
          </cell>
          <cell r="M193" t="str">
            <v/>
          </cell>
        </row>
        <row r="194">
          <cell r="I194" t="str">
            <v/>
          </cell>
          <cell r="J194" t="str">
            <v/>
          </cell>
          <cell r="K194" t="str">
            <v/>
          </cell>
          <cell r="L194" t="str">
            <v/>
          </cell>
          <cell r="M194" t="str">
            <v/>
          </cell>
        </row>
        <row r="196">
          <cell r="K196">
            <v>0.52500000000000002</v>
          </cell>
          <cell r="N196">
            <v>0.35</v>
          </cell>
        </row>
        <row r="198">
          <cell r="L198" t="str">
            <v/>
          </cell>
        </row>
        <row r="199">
          <cell r="H199" t="str">
            <v/>
          </cell>
        </row>
        <row r="201">
          <cell r="I201" t="str">
            <v/>
          </cell>
          <cell r="J201" t="str">
            <v/>
          </cell>
          <cell r="K201" t="str">
            <v/>
          </cell>
          <cell r="L201" t="str">
            <v/>
          </cell>
          <cell r="M201" t="str">
            <v/>
          </cell>
        </row>
        <row r="202">
          <cell r="I202" t="str">
            <v/>
          </cell>
          <cell r="J202" t="str">
            <v/>
          </cell>
          <cell r="K202" t="str">
            <v/>
          </cell>
          <cell r="L202" t="str">
            <v/>
          </cell>
          <cell r="M202" t="str">
            <v/>
          </cell>
        </row>
        <row r="203">
          <cell r="I203" t="str">
            <v/>
          </cell>
          <cell r="J203" t="str">
            <v/>
          </cell>
          <cell r="K203" t="str">
            <v/>
          </cell>
          <cell r="L203" t="str">
            <v/>
          </cell>
          <cell r="M203" t="str">
            <v/>
          </cell>
        </row>
        <row r="204">
          <cell r="I204" t="str">
            <v/>
          </cell>
          <cell r="J204" t="str">
            <v/>
          </cell>
          <cell r="K204" t="str">
            <v/>
          </cell>
          <cell r="L204" t="str">
            <v/>
          </cell>
          <cell r="M204" t="str">
            <v/>
          </cell>
        </row>
        <row r="205">
          <cell r="I205" t="str">
            <v/>
          </cell>
          <cell r="J205" t="str">
            <v/>
          </cell>
          <cell r="K205" t="str">
            <v/>
          </cell>
          <cell r="L205" t="str">
            <v/>
          </cell>
          <cell r="M205" t="str">
            <v/>
          </cell>
        </row>
        <row r="206">
          <cell r="I206" t="str">
            <v/>
          </cell>
          <cell r="J206" t="str">
            <v/>
          </cell>
          <cell r="K206" t="str">
            <v/>
          </cell>
          <cell r="L206" t="str">
            <v/>
          </cell>
          <cell r="M206" t="str">
            <v/>
          </cell>
        </row>
        <row r="208">
          <cell r="K208">
            <v>0.52500000000000002</v>
          </cell>
          <cell r="N208">
            <v>0.35</v>
          </cell>
        </row>
        <row r="213">
          <cell r="I213" t="str">
            <v/>
          </cell>
          <cell r="J213" t="str">
            <v/>
          </cell>
          <cell r="K213" t="str">
            <v/>
          </cell>
          <cell r="L213" t="str">
            <v/>
          </cell>
          <cell r="M213" t="str">
            <v/>
          </cell>
        </row>
        <row r="214">
          <cell r="I214" t="str">
            <v/>
          </cell>
          <cell r="J214" t="str">
            <v/>
          </cell>
          <cell r="K214" t="str">
            <v/>
          </cell>
          <cell r="L214" t="str">
            <v/>
          </cell>
          <cell r="M214" t="str">
            <v/>
          </cell>
        </row>
        <row r="215">
          <cell r="I215" t="str">
            <v/>
          </cell>
          <cell r="J215" t="str">
            <v/>
          </cell>
          <cell r="K215" t="str">
            <v/>
          </cell>
          <cell r="L215" t="str">
            <v/>
          </cell>
          <cell r="M215" t="str">
            <v/>
          </cell>
        </row>
        <row r="216">
          <cell r="I216" t="str">
            <v/>
          </cell>
          <cell r="J216" t="str">
            <v/>
          </cell>
          <cell r="K216" t="str">
            <v/>
          </cell>
          <cell r="L216" t="str">
            <v/>
          </cell>
          <cell r="M216" t="str">
            <v/>
          </cell>
        </row>
        <row r="217">
          <cell r="I217" t="str">
            <v/>
          </cell>
          <cell r="J217" t="str">
            <v/>
          </cell>
          <cell r="K217" t="str">
            <v/>
          </cell>
          <cell r="L217" t="str">
            <v/>
          </cell>
          <cell r="M217" t="str">
            <v/>
          </cell>
        </row>
        <row r="218">
          <cell r="I218" t="str">
            <v/>
          </cell>
          <cell r="J218" t="str">
            <v/>
          </cell>
          <cell r="K218" t="str">
            <v/>
          </cell>
          <cell r="L218" t="str">
            <v/>
          </cell>
          <cell r="M218" t="str">
            <v/>
          </cell>
        </row>
        <row r="221">
          <cell r="E221" t="str">
            <v/>
          </cell>
          <cell r="I221" t="str">
            <v/>
          </cell>
          <cell r="J221" t="str">
            <v/>
          </cell>
          <cell r="K221" t="str">
            <v/>
          </cell>
          <cell r="L221" t="str">
            <v/>
          </cell>
          <cell r="M221" t="str">
            <v/>
          </cell>
        </row>
        <row r="222">
          <cell r="E222" t="str">
            <v/>
          </cell>
          <cell r="I222" t="str">
            <v/>
          </cell>
          <cell r="J222" t="str">
            <v/>
          </cell>
          <cell r="K222" t="str">
            <v/>
          </cell>
          <cell r="L222" t="str">
            <v/>
          </cell>
          <cell r="M222" t="str">
            <v/>
          </cell>
        </row>
        <row r="223">
          <cell r="E223" t="str">
            <v/>
          </cell>
          <cell r="I223" t="str">
            <v/>
          </cell>
          <cell r="J223" t="str">
            <v/>
          </cell>
          <cell r="K223" t="str">
            <v/>
          </cell>
          <cell r="L223" t="str">
            <v/>
          </cell>
          <cell r="M223" t="str">
            <v/>
          </cell>
        </row>
        <row r="224">
          <cell r="E224" t="str">
            <v/>
          </cell>
          <cell r="I224" t="str">
            <v/>
          </cell>
          <cell r="J224" t="str">
            <v/>
          </cell>
          <cell r="K224" t="str">
            <v/>
          </cell>
          <cell r="L224" t="str">
            <v/>
          </cell>
          <cell r="M224" t="str">
            <v/>
          </cell>
        </row>
        <row r="225">
          <cell r="E225" t="str">
            <v/>
          </cell>
          <cell r="I225" t="str">
            <v/>
          </cell>
          <cell r="J225" t="str">
            <v/>
          </cell>
          <cell r="K225" t="str">
            <v/>
          </cell>
          <cell r="L225" t="str">
            <v/>
          </cell>
          <cell r="M225" t="str">
            <v/>
          </cell>
        </row>
        <row r="226">
          <cell r="E226" t="str">
            <v/>
          </cell>
          <cell r="I226" t="str">
            <v/>
          </cell>
          <cell r="J226" t="str">
            <v/>
          </cell>
          <cell r="K226" t="str">
            <v/>
          </cell>
          <cell r="L226" t="str">
            <v/>
          </cell>
          <cell r="M226" t="str">
            <v/>
          </cell>
        </row>
        <row r="227">
          <cell r="E227" t="str">
            <v/>
          </cell>
          <cell r="I227" t="str">
            <v/>
          </cell>
          <cell r="J227" t="str">
            <v/>
          </cell>
          <cell r="K227" t="str">
            <v/>
          </cell>
          <cell r="L227" t="str">
            <v/>
          </cell>
          <cell r="M227" t="str">
            <v/>
          </cell>
        </row>
        <row r="228">
          <cell r="E228" t="str">
            <v/>
          </cell>
          <cell r="I228" t="str">
            <v/>
          </cell>
          <cell r="J228" t="str">
            <v/>
          </cell>
          <cell r="K228" t="str">
            <v/>
          </cell>
          <cell r="L228" t="str">
            <v/>
          </cell>
          <cell r="M228" t="str">
            <v/>
          </cell>
        </row>
        <row r="229">
          <cell r="E229" t="str">
            <v/>
          </cell>
          <cell r="I229" t="str">
            <v/>
          </cell>
          <cell r="J229" t="str">
            <v/>
          </cell>
          <cell r="K229" t="str">
            <v/>
          </cell>
          <cell r="L229" t="str">
            <v/>
          </cell>
          <cell r="M229" t="str">
            <v/>
          </cell>
        </row>
        <row r="230">
          <cell r="E230" t="str">
            <v/>
          </cell>
          <cell r="I230" t="str">
            <v/>
          </cell>
          <cell r="J230" t="str">
            <v/>
          </cell>
          <cell r="K230" t="str">
            <v/>
          </cell>
          <cell r="L230" t="str">
            <v/>
          </cell>
          <cell r="M230" t="str">
            <v/>
          </cell>
        </row>
        <row r="231">
          <cell r="I231" t="str">
            <v/>
          </cell>
          <cell r="J231" t="str">
            <v/>
          </cell>
          <cell r="K231" t="str">
            <v/>
          </cell>
          <cell r="L231" t="str">
            <v/>
          </cell>
          <cell r="M231" t="str">
            <v/>
          </cell>
        </row>
        <row r="232">
          <cell r="I232" t="str">
            <v/>
          </cell>
          <cell r="J232" t="str">
            <v/>
          </cell>
          <cell r="K232" t="str">
            <v/>
          </cell>
          <cell r="L232" t="str">
            <v/>
          </cell>
          <cell r="M232" t="str">
            <v/>
          </cell>
        </row>
        <row r="233">
          <cell r="I233" t="str">
            <v/>
          </cell>
          <cell r="J233" t="str">
            <v/>
          </cell>
          <cell r="K233" t="str">
            <v/>
          </cell>
          <cell r="L233" t="str">
            <v/>
          </cell>
          <cell r="M233" t="str">
            <v/>
          </cell>
        </row>
        <row r="234">
          <cell r="I234" t="str">
            <v/>
          </cell>
          <cell r="J234" t="str">
            <v/>
          </cell>
          <cell r="K234" t="str">
            <v/>
          </cell>
          <cell r="L234" t="str">
            <v/>
          </cell>
          <cell r="M234" t="str">
            <v/>
          </cell>
        </row>
        <row r="235">
          <cell r="I235" t="str">
            <v/>
          </cell>
          <cell r="J235" t="str">
            <v/>
          </cell>
          <cell r="K235" t="str">
            <v/>
          </cell>
          <cell r="L235" t="str">
            <v/>
          </cell>
          <cell r="M235" t="str">
            <v/>
          </cell>
        </row>
        <row r="241">
          <cell r="I241" t="str">
            <v/>
          </cell>
          <cell r="J241" t="str">
            <v/>
          </cell>
          <cell r="K241" t="str">
            <v/>
          </cell>
          <cell r="L241" t="str">
            <v/>
          </cell>
          <cell r="M241" t="str">
            <v/>
          </cell>
        </row>
        <row r="245">
          <cell r="E245" t="str">
            <v/>
          </cell>
          <cell r="I245" t="str">
            <v/>
          </cell>
          <cell r="J245" t="str">
            <v/>
          </cell>
          <cell r="K245" t="str">
            <v/>
          </cell>
          <cell r="L245" t="str">
            <v/>
          </cell>
          <cell r="M245" t="str">
            <v/>
          </cell>
        </row>
        <row r="246">
          <cell r="E246" t="str">
            <v/>
          </cell>
          <cell r="I246" t="str">
            <v/>
          </cell>
          <cell r="J246" t="str">
            <v/>
          </cell>
          <cell r="K246" t="str">
            <v/>
          </cell>
          <cell r="L246" t="str">
            <v/>
          </cell>
          <cell r="M246" t="str">
            <v/>
          </cell>
        </row>
        <row r="247">
          <cell r="E247" t="str">
            <v/>
          </cell>
          <cell r="I247" t="str">
            <v/>
          </cell>
          <cell r="J247" t="str">
            <v/>
          </cell>
          <cell r="K247" t="str">
            <v/>
          </cell>
          <cell r="L247" t="str">
            <v/>
          </cell>
          <cell r="M247" t="str">
            <v/>
          </cell>
        </row>
        <row r="248">
          <cell r="I248" t="str">
            <v/>
          </cell>
          <cell r="J248" t="str">
            <v/>
          </cell>
          <cell r="K248" t="str">
            <v/>
          </cell>
          <cell r="L248" t="str">
            <v/>
          </cell>
          <cell r="M248" t="str">
            <v/>
          </cell>
        </row>
        <row r="252">
          <cell r="E252" t="str">
            <v/>
          </cell>
          <cell r="I252" t="str">
            <v/>
          </cell>
          <cell r="J252" t="str">
            <v/>
          </cell>
          <cell r="K252" t="str">
            <v/>
          </cell>
          <cell r="L252" t="str">
            <v/>
          </cell>
          <cell r="M252" t="str">
            <v/>
          </cell>
        </row>
        <row r="253">
          <cell r="E253" t="str">
            <v/>
          </cell>
          <cell r="I253" t="str">
            <v/>
          </cell>
          <cell r="J253" t="str">
            <v/>
          </cell>
          <cell r="K253" t="str">
            <v/>
          </cell>
          <cell r="L253" t="str">
            <v/>
          </cell>
          <cell r="M253" t="str">
            <v/>
          </cell>
        </row>
        <row r="254">
          <cell r="E254" t="str">
            <v/>
          </cell>
          <cell r="I254" t="str">
            <v/>
          </cell>
          <cell r="J254" t="str">
            <v/>
          </cell>
          <cell r="K254" t="str">
            <v/>
          </cell>
          <cell r="L254" t="str">
            <v/>
          </cell>
          <cell r="M254" t="str">
            <v/>
          </cell>
        </row>
        <row r="255">
          <cell r="I255" t="str">
            <v/>
          </cell>
          <cell r="J255" t="str">
            <v/>
          </cell>
          <cell r="K255" t="str">
            <v/>
          </cell>
          <cell r="L255" t="str">
            <v/>
          </cell>
          <cell r="M255" t="str">
            <v/>
          </cell>
        </row>
        <row r="258">
          <cell r="I258" t="str">
            <v/>
          </cell>
          <cell r="J258" t="str">
            <v/>
          </cell>
          <cell r="K258" t="str">
            <v/>
          </cell>
          <cell r="L258" t="str">
            <v/>
          </cell>
          <cell r="M258" t="str">
            <v/>
          </cell>
        </row>
        <row r="261">
          <cell r="I261" t="str">
            <v/>
          </cell>
          <cell r="J261" t="str">
            <v/>
          </cell>
          <cell r="K261" t="str">
            <v/>
          </cell>
          <cell r="L261" t="str">
            <v/>
          </cell>
          <cell r="M261" t="str">
            <v/>
          </cell>
        </row>
        <row r="264">
          <cell r="I264" t="str">
            <v/>
          </cell>
          <cell r="J264" t="str">
            <v/>
          </cell>
          <cell r="K264" t="str">
            <v/>
          </cell>
          <cell r="L264" t="str">
            <v/>
          </cell>
          <cell r="M264" t="str">
            <v/>
          </cell>
        </row>
        <row r="268">
          <cell r="I268" t="str">
            <v/>
          </cell>
          <cell r="J268" t="str">
            <v/>
          </cell>
          <cell r="K268" t="str">
            <v/>
          </cell>
          <cell r="L268" t="str">
            <v/>
          </cell>
          <cell r="M268" t="str">
            <v/>
          </cell>
        </row>
        <row r="269">
          <cell r="I269" t="str">
            <v/>
          </cell>
          <cell r="J269" t="str">
            <v/>
          </cell>
          <cell r="K269" t="str">
            <v/>
          </cell>
          <cell r="L269" t="str">
            <v/>
          </cell>
          <cell r="M269" t="str">
            <v/>
          </cell>
        </row>
        <row r="270">
          <cell r="I270" t="str">
            <v/>
          </cell>
          <cell r="J270" t="str">
            <v/>
          </cell>
          <cell r="K270" t="str">
            <v/>
          </cell>
          <cell r="L270" t="str">
            <v/>
          </cell>
          <cell r="M270" t="str">
            <v/>
          </cell>
        </row>
        <row r="274">
          <cell r="E274" t="str">
            <v/>
          </cell>
          <cell r="I274" t="str">
            <v/>
          </cell>
          <cell r="J274" t="str">
            <v/>
          </cell>
          <cell r="K274" t="str">
            <v/>
          </cell>
          <cell r="L274" t="str">
            <v/>
          </cell>
          <cell r="M274" t="str">
            <v/>
          </cell>
        </row>
        <row r="275">
          <cell r="E275" t="str">
            <v/>
          </cell>
          <cell r="I275" t="str">
            <v/>
          </cell>
          <cell r="J275" t="str">
            <v/>
          </cell>
          <cell r="K275" t="str">
            <v/>
          </cell>
          <cell r="L275" t="str">
            <v/>
          </cell>
          <cell r="M275" t="str">
            <v/>
          </cell>
        </row>
        <row r="276">
          <cell r="E276" t="str">
            <v/>
          </cell>
          <cell r="I276" t="str">
            <v/>
          </cell>
          <cell r="J276" t="str">
            <v/>
          </cell>
          <cell r="K276" t="str">
            <v/>
          </cell>
          <cell r="L276" t="str">
            <v/>
          </cell>
          <cell r="M276" t="str">
            <v/>
          </cell>
        </row>
        <row r="277">
          <cell r="E277" t="str">
            <v/>
          </cell>
          <cell r="I277" t="str">
            <v/>
          </cell>
          <cell r="J277" t="str">
            <v/>
          </cell>
          <cell r="K277" t="str">
            <v/>
          </cell>
          <cell r="L277" t="str">
            <v/>
          </cell>
          <cell r="M277" t="str">
            <v/>
          </cell>
        </row>
        <row r="278">
          <cell r="E278" t="str">
            <v/>
          </cell>
          <cell r="I278" t="str">
            <v/>
          </cell>
          <cell r="J278" t="str">
            <v/>
          </cell>
          <cell r="K278" t="str">
            <v/>
          </cell>
          <cell r="L278" t="str">
            <v/>
          </cell>
          <cell r="M278" t="str">
            <v/>
          </cell>
        </row>
        <row r="279">
          <cell r="E279" t="str">
            <v/>
          </cell>
          <cell r="I279" t="str">
            <v/>
          </cell>
          <cell r="J279" t="str">
            <v/>
          </cell>
          <cell r="K279" t="str">
            <v/>
          </cell>
          <cell r="L279" t="str">
            <v/>
          </cell>
          <cell r="M279" t="str">
            <v/>
          </cell>
        </row>
        <row r="280">
          <cell r="E280" t="str">
            <v/>
          </cell>
          <cell r="I280" t="str">
            <v/>
          </cell>
          <cell r="J280" t="str">
            <v/>
          </cell>
          <cell r="K280" t="str">
            <v/>
          </cell>
          <cell r="L280" t="str">
            <v/>
          </cell>
          <cell r="M280" t="str">
            <v/>
          </cell>
        </row>
        <row r="281">
          <cell r="E281" t="str">
            <v/>
          </cell>
          <cell r="I281" t="str">
            <v/>
          </cell>
          <cell r="J281" t="str">
            <v/>
          </cell>
          <cell r="K281" t="str">
            <v/>
          </cell>
          <cell r="L281" t="str">
            <v/>
          </cell>
          <cell r="M281" t="str">
            <v/>
          </cell>
        </row>
        <row r="282">
          <cell r="E282" t="str">
            <v/>
          </cell>
          <cell r="I282" t="str">
            <v/>
          </cell>
          <cell r="J282" t="str">
            <v/>
          </cell>
          <cell r="K282" t="str">
            <v/>
          </cell>
          <cell r="L282" t="str">
            <v/>
          </cell>
          <cell r="M282" t="str">
            <v/>
          </cell>
        </row>
        <row r="283">
          <cell r="E283" t="str">
            <v/>
          </cell>
          <cell r="I283" t="str">
            <v/>
          </cell>
          <cell r="J283" t="str">
            <v/>
          </cell>
          <cell r="K283" t="str">
            <v/>
          </cell>
          <cell r="L283" t="str">
            <v/>
          </cell>
          <cell r="M283" t="str">
            <v/>
          </cell>
        </row>
        <row r="284">
          <cell r="I284" t="str">
            <v/>
          </cell>
          <cell r="J284" t="str">
            <v/>
          </cell>
          <cell r="K284" t="str">
            <v/>
          </cell>
          <cell r="L284" t="str">
            <v/>
          </cell>
          <cell r="M284" t="str">
            <v/>
          </cell>
        </row>
        <row r="287">
          <cell r="I287" t="str">
            <v/>
          </cell>
          <cell r="J287" t="str">
            <v/>
          </cell>
          <cell r="K287" t="str">
            <v/>
          </cell>
          <cell r="L287" t="str">
            <v/>
          </cell>
          <cell r="M287" t="str">
            <v/>
          </cell>
        </row>
        <row r="290">
          <cell r="I290" t="str">
            <v/>
          </cell>
          <cell r="J290" t="str">
            <v/>
          </cell>
          <cell r="K290" t="str">
            <v/>
          </cell>
          <cell r="L290" t="str">
            <v/>
          </cell>
          <cell r="M290" t="str">
            <v/>
          </cell>
        </row>
        <row r="293">
          <cell r="I293" t="str">
            <v/>
          </cell>
          <cell r="J293" t="str">
            <v/>
          </cell>
          <cell r="K293" t="str">
            <v/>
          </cell>
          <cell r="L293" t="str">
            <v/>
          </cell>
          <cell r="M293" t="str">
            <v/>
          </cell>
        </row>
        <row r="297">
          <cell r="E297" t="str">
            <v/>
          </cell>
          <cell r="I297" t="str">
            <v/>
          </cell>
          <cell r="J297" t="str">
            <v/>
          </cell>
          <cell r="K297" t="str">
            <v/>
          </cell>
          <cell r="L297" t="str">
            <v/>
          </cell>
          <cell r="M297" t="str">
            <v/>
          </cell>
        </row>
        <row r="298">
          <cell r="E298" t="str">
            <v/>
          </cell>
          <cell r="I298" t="str">
            <v/>
          </cell>
          <cell r="J298" t="str">
            <v/>
          </cell>
          <cell r="K298" t="str">
            <v/>
          </cell>
          <cell r="L298" t="str">
            <v/>
          </cell>
          <cell r="M298" t="str">
            <v/>
          </cell>
        </row>
        <row r="299">
          <cell r="E299" t="str">
            <v/>
          </cell>
          <cell r="I299" t="str">
            <v/>
          </cell>
          <cell r="J299" t="str">
            <v/>
          </cell>
          <cell r="K299" t="str">
            <v/>
          </cell>
          <cell r="L299" t="str">
            <v/>
          </cell>
          <cell r="M299" t="str">
            <v/>
          </cell>
        </row>
        <row r="300">
          <cell r="E300" t="str">
            <v/>
          </cell>
          <cell r="I300" t="str">
            <v/>
          </cell>
          <cell r="J300" t="str">
            <v/>
          </cell>
          <cell r="K300" t="str">
            <v/>
          </cell>
          <cell r="L300" t="str">
            <v/>
          </cell>
          <cell r="M300" t="str">
            <v/>
          </cell>
        </row>
        <row r="301">
          <cell r="E301" t="str">
            <v/>
          </cell>
          <cell r="I301" t="str">
            <v/>
          </cell>
          <cell r="J301" t="str">
            <v/>
          </cell>
          <cell r="K301" t="str">
            <v/>
          </cell>
          <cell r="L301" t="str">
            <v/>
          </cell>
          <cell r="M301" t="str">
            <v/>
          </cell>
        </row>
        <row r="302">
          <cell r="I302" t="str">
            <v/>
          </cell>
          <cell r="J302" t="str">
            <v/>
          </cell>
          <cell r="K302" t="str">
            <v/>
          </cell>
          <cell r="L302" t="str">
            <v/>
          </cell>
          <cell r="M302" t="str">
            <v/>
          </cell>
        </row>
        <row r="307">
          <cell r="I307" t="str">
            <v/>
          </cell>
          <cell r="J307" t="str">
            <v/>
          </cell>
          <cell r="K307" t="str">
            <v/>
          </cell>
          <cell r="L307" t="str">
            <v/>
          </cell>
          <cell r="M307" t="str">
            <v/>
          </cell>
        </row>
        <row r="309">
          <cell r="I309" t="str">
            <v/>
          </cell>
          <cell r="J309" t="str">
            <v/>
          </cell>
          <cell r="K309" t="str">
            <v/>
          </cell>
          <cell r="L309" t="str">
            <v/>
          </cell>
          <cell r="M309" t="str">
            <v/>
          </cell>
        </row>
        <row r="310">
          <cell r="I310" t="str">
            <v/>
          </cell>
          <cell r="J310" t="str">
            <v/>
          </cell>
          <cell r="K310" t="str">
            <v/>
          </cell>
          <cell r="L310" t="str">
            <v/>
          </cell>
          <cell r="M310" t="str">
            <v/>
          </cell>
        </row>
        <row r="313">
          <cell r="I313" t="str">
            <v/>
          </cell>
          <cell r="J313" t="str">
            <v/>
          </cell>
          <cell r="K313" t="str">
            <v/>
          </cell>
          <cell r="L313" t="str">
            <v/>
          </cell>
          <cell r="M313" t="str">
            <v/>
          </cell>
        </row>
        <row r="316">
          <cell r="I316" t="str">
            <v/>
          </cell>
          <cell r="J316" t="str">
            <v/>
          </cell>
          <cell r="K316" t="str">
            <v/>
          </cell>
          <cell r="L316" t="str">
            <v/>
          </cell>
          <cell r="M316" t="str">
            <v/>
          </cell>
        </row>
        <row r="320">
          <cell r="E320" t="str">
            <v/>
          </cell>
          <cell r="I320" t="str">
            <v/>
          </cell>
          <cell r="J320" t="str">
            <v/>
          </cell>
          <cell r="K320" t="str">
            <v/>
          </cell>
          <cell r="L320" t="str">
            <v/>
          </cell>
          <cell r="M320" t="str">
            <v/>
          </cell>
        </row>
        <row r="321">
          <cell r="E321" t="str">
            <v/>
          </cell>
          <cell r="I321" t="str">
            <v/>
          </cell>
          <cell r="J321" t="str">
            <v/>
          </cell>
          <cell r="K321" t="str">
            <v/>
          </cell>
          <cell r="L321" t="str">
            <v/>
          </cell>
          <cell r="M321" t="str">
            <v/>
          </cell>
        </row>
        <row r="322">
          <cell r="E322" t="str">
            <v/>
          </cell>
          <cell r="I322" t="str">
            <v/>
          </cell>
          <cell r="J322" t="str">
            <v/>
          </cell>
          <cell r="K322" t="str">
            <v/>
          </cell>
          <cell r="L322" t="str">
            <v/>
          </cell>
          <cell r="M322" t="str">
            <v/>
          </cell>
        </row>
        <row r="323">
          <cell r="E323" t="str">
            <v/>
          </cell>
          <cell r="I323" t="str">
            <v/>
          </cell>
          <cell r="J323" t="str">
            <v/>
          </cell>
          <cell r="K323" t="str">
            <v/>
          </cell>
          <cell r="L323" t="str">
            <v/>
          </cell>
          <cell r="M323" t="str">
            <v/>
          </cell>
        </row>
        <row r="324">
          <cell r="E324" t="str">
            <v/>
          </cell>
          <cell r="I324" t="str">
            <v/>
          </cell>
          <cell r="J324" t="str">
            <v/>
          </cell>
          <cell r="K324" t="str">
            <v/>
          </cell>
          <cell r="L324" t="str">
            <v/>
          </cell>
          <cell r="M324" t="str">
            <v/>
          </cell>
        </row>
        <row r="325">
          <cell r="I325" t="str">
            <v/>
          </cell>
          <cell r="J325" t="str">
            <v/>
          </cell>
          <cell r="K325" t="str">
            <v/>
          </cell>
          <cell r="L325" t="str">
            <v/>
          </cell>
          <cell r="M325" t="str">
            <v/>
          </cell>
        </row>
        <row r="329">
          <cell r="I329" t="str">
            <v/>
          </cell>
          <cell r="J329" t="str">
            <v/>
          </cell>
          <cell r="K329" t="str">
            <v/>
          </cell>
          <cell r="L329" t="str">
            <v/>
          </cell>
          <cell r="M329" t="str">
            <v/>
          </cell>
        </row>
        <row r="330">
          <cell r="I330" t="str">
            <v/>
          </cell>
          <cell r="J330" t="str">
            <v/>
          </cell>
          <cell r="K330" t="str">
            <v/>
          </cell>
          <cell r="L330" t="str">
            <v/>
          </cell>
          <cell r="M330" t="str">
            <v/>
          </cell>
        </row>
        <row r="333">
          <cell r="I333" t="str">
            <v/>
          </cell>
          <cell r="J333" t="str">
            <v/>
          </cell>
          <cell r="K333" t="str">
            <v/>
          </cell>
          <cell r="L333" t="str">
            <v/>
          </cell>
          <cell r="M333" t="str">
            <v/>
          </cell>
        </row>
        <row r="337">
          <cell r="I337" t="str">
            <v/>
          </cell>
          <cell r="J337" t="str">
            <v/>
          </cell>
          <cell r="K337" t="str">
            <v/>
          </cell>
          <cell r="L337" t="str">
            <v/>
          </cell>
          <cell r="M337" t="str">
            <v/>
          </cell>
        </row>
        <row r="341">
          <cell r="I341" t="str">
            <v/>
          </cell>
          <cell r="J341" t="str">
            <v/>
          </cell>
          <cell r="K341" t="str">
            <v/>
          </cell>
          <cell r="L341" t="str">
            <v/>
          </cell>
          <cell r="M341" t="str">
            <v/>
          </cell>
        </row>
        <row r="342">
          <cell r="I342" t="str">
            <v/>
          </cell>
          <cell r="J342" t="str">
            <v/>
          </cell>
          <cell r="K342" t="str">
            <v/>
          </cell>
          <cell r="L342" t="str">
            <v/>
          </cell>
          <cell r="M342" t="str">
            <v/>
          </cell>
        </row>
        <row r="343">
          <cell r="I343" t="str">
            <v/>
          </cell>
          <cell r="J343" t="str">
            <v/>
          </cell>
          <cell r="K343" t="str">
            <v/>
          </cell>
          <cell r="L343" t="str">
            <v/>
          </cell>
          <cell r="M343" t="str">
            <v/>
          </cell>
        </row>
        <row r="349">
          <cell r="E349" t="str">
            <v/>
          </cell>
          <cell r="I349" t="str">
            <v/>
          </cell>
          <cell r="J349" t="str">
            <v/>
          </cell>
          <cell r="K349" t="str">
            <v/>
          </cell>
          <cell r="L349" t="str">
            <v/>
          </cell>
          <cell r="M349" t="str">
            <v/>
          </cell>
        </row>
        <row r="350">
          <cell r="E350" t="str">
            <v/>
          </cell>
          <cell r="I350" t="str">
            <v/>
          </cell>
          <cell r="J350" t="str">
            <v/>
          </cell>
          <cell r="K350" t="str">
            <v/>
          </cell>
          <cell r="L350" t="str">
            <v/>
          </cell>
          <cell r="M350" t="str">
            <v/>
          </cell>
        </row>
        <row r="351">
          <cell r="E351" t="str">
            <v/>
          </cell>
          <cell r="I351" t="str">
            <v/>
          </cell>
          <cell r="J351" t="str">
            <v/>
          </cell>
          <cell r="K351" t="str">
            <v/>
          </cell>
          <cell r="L351" t="str">
            <v/>
          </cell>
          <cell r="M351" t="str">
            <v/>
          </cell>
        </row>
        <row r="352">
          <cell r="E352" t="str">
            <v/>
          </cell>
          <cell r="I352" t="str">
            <v/>
          </cell>
          <cell r="J352" t="str">
            <v/>
          </cell>
          <cell r="K352" t="str">
            <v/>
          </cell>
          <cell r="L352" t="str">
            <v/>
          </cell>
          <cell r="M352" t="str">
            <v/>
          </cell>
        </row>
        <row r="353">
          <cell r="E353" t="str">
            <v/>
          </cell>
          <cell r="I353" t="str">
            <v/>
          </cell>
          <cell r="J353" t="str">
            <v/>
          </cell>
          <cell r="K353" t="str">
            <v/>
          </cell>
          <cell r="L353" t="str">
            <v/>
          </cell>
          <cell r="M353" t="str">
            <v/>
          </cell>
        </row>
        <row r="354">
          <cell r="E354" t="str">
            <v/>
          </cell>
          <cell r="I354" t="str">
            <v/>
          </cell>
          <cell r="J354" t="str">
            <v/>
          </cell>
          <cell r="K354" t="str">
            <v/>
          </cell>
          <cell r="L354" t="str">
            <v/>
          </cell>
          <cell r="M354" t="str">
            <v/>
          </cell>
        </row>
        <row r="355">
          <cell r="E355" t="str">
            <v/>
          </cell>
          <cell r="I355" t="str">
            <v/>
          </cell>
          <cell r="J355" t="str">
            <v/>
          </cell>
          <cell r="K355" t="str">
            <v/>
          </cell>
          <cell r="L355" t="str">
            <v/>
          </cell>
          <cell r="M355" t="str">
            <v/>
          </cell>
        </row>
        <row r="356">
          <cell r="E356" t="str">
            <v/>
          </cell>
          <cell r="I356" t="str">
            <v/>
          </cell>
          <cell r="J356" t="str">
            <v/>
          </cell>
          <cell r="K356" t="str">
            <v/>
          </cell>
          <cell r="L356" t="str">
            <v/>
          </cell>
          <cell r="M356" t="str">
            <v/>
          </cell>
        </row>
        <row r="357">
          <cell r="E357" t="str">
            <v/>
          </cell>
          <cell r="I357" t="str">
            <v/>
          </cell>
          <cell r="J357" t="str">
            <v/>
          </cell>
          <cell r="K357" t="str">
            <v/>
          </cell>
          <cell r="L357" t="str">
            <v/>
          </cell>
          <cell r="M357" t="str">
            <v/>
          </cell>
        </row>
        <row r="358">
          <cell r="E358" t="str">
            <v/>
          </cell>
          <cell r="I358" t="str">
            <v/>
          </cell>
          <cell r="J358" t="str">
            <v/>
          </cell>
          <cell r="K358" t="str">
            <v/>
          </cell>
          <cell r="L358" t="str">
            <v/>
          </cell>
          <cell r="M358" t="str">
            <v/>
          </cell>
        </row>
        <row r="359">
          <cell r="I359" t="str">
            <v/>
          </cell>
          <cell r="J359" t="str">
            <v/>
          </cell>
          <cell r="K359" t="str">
            <v/>
          </cell>
          <cell r="L359" t="str">
            <v/>
          </cell>
          <cell r="M359" t="str">
            <v/>
          </cell>
        </row>
        <row r="363">
          <cell r="I363" t="str">
            <v/>
          </cell>
          <cell r="J363" t="str">
            <v/>
          </cell>
          <cell r="K363" t="str">
            <v/>
          </cell>
          <cell r="L363" t="str">
            <v/>
          </cell>
          <cell r="M363" t="str">
            <v/>
          </cell>
        </row>
        <row r="364">
          <cell r="I364" t="str">
            <v/>
          </cell>
          <cell r="J364" t="str">
            <v/>
          </cell>
          <cell r="K364" t="str">
            <v/>
          </cell>
          <cell r="L364" t="str">
            <v/>
          </cell>
          <cell r="M364" t="str">
            <v/>
          </cell>
        </row>
        <row r="365">
          <cell r="I365" t="str">
            <v/>
          </cell>
          <cell r="J365" t="str">
            <v/>
          </cell>
          <cell r="K365" t="str">
            <v/>
          </cell>
          <cell r="L365" t="str">
            <v/>
          </cell>
          <cell r="M365" t="str">
            <v/>
          </cell>
        </row>
        <row r="368">
          <cell r="I368" t="str">
            <v/>
          </cell>
          <cell r="J368" t="str">
            <v/>
          </cell>
          <cell r="K368" t="str">
            <v/>
          </cell>
          <cell r="L368" t="str">
            <v/>
          </cell>
          <cell r="M368" t="str">
            <v/>
          </cell>
        </row>
        <row r="372">
          <cell r="E372" t="str">
            <v/>
          </cell>
          <cell r="I372" t="str">
            <v/>
          </cell>
          <cell r="J372" t="str">
            <v/>
          </cell>
          <cell r="K372" t="str">
            <v/>
          </cell>
          <cell r="L372" t="str">
            <v/>
          </cell>
          <cell r="M372" t="str">
            <v/>
          </cell>
        </row>
        <row r="373">
          <cell r="E373" t="str">
            <v/>
          </cell>
          <cell r="I373" t="str">
            <v/>
          </cell>
          <cell r="J373" t="str">
            <v/>
          </cell>
          <cell r="K373" t="str">
            <v/>
          </cell>
          <cell r="L373" t="str">
            <v/>
          </cell>
          <cell r="M373" t="str">
            <v/>
          </cell>
        </row>
        <row r="374">
          <cell r="E374" t="str">
            <v/>
          </cell>
          <cell r="I374" t="str">
            <v/>
          </cell>
          <cell r="J374" t="str">
            <v/>
          </cell>
          <cell r="K374" t="str">
            <v/>
          </cell>
          <cell r="L374" t="str">
            <v/>
          </cell>
          <cell r="M374" t="str">
            <v/>
          </cell>
        </row>
        <row r="375">
          <cell r="I375" t="str">
            <v/>
          </cell>
          <cell r="J375" t="str">
            <v/>
          </cell>
          <cell r="K375" t="str">
            <v/>
          </cell>
          <cell r="L375" t="str">
            <v/>
          </cell>
          <cell r="M375" t="str">
            <v/>
          </cell>
        </row>
        <row r="379">
          <cell r="E379" t="str">
            <v/>
          </cell>
          <cell r="I379" t="str">
            <v/>
          </cell>
          <cell r="J379" t="str">
            <v/>
          </cell>
          <cell r="K379" t="str">
            <v/>
          </cell>
          <cell r="L379" t="str">
            <v/>
          </cell>
          <cell r="M379" t="str">
            <v/>
          </cell>
        </row>
        <row r="380">
          <cell r="E380" t="str">
            <v/>
          </cell>
          <cell r="I380" t="str">
            <v/>
          </cell>
          <cell r="J380" t="str">
            <v/>
          </cell>
          <cell r="K380" t="str">
            <v/>
          </cell>
          <cell r="L380" t="str">
            <v/>
          </cell>
          <cell r="M380" t="str">
            <v/>
          </cell>
        </row>
        <row r="381">
          <cell r="E381" t="str">
            <v/>
          </cell>
          <cell r="I381" t="str">
            <v/>
          </cell>
          <cell r="J381" t="str">
            <v/>
          </cell>
          <cell r="K381" t="str">
            <v/>
          </cell>
          <cell r="L381" t="str">
            <v/>
          </cell>
          <cell r="M381" t="str">
            <v/>
          </cell>
        </row>
        <row r="382">
          <cell r="I382" t="str">
            <v/>
          </cell>
          <cell r="J382" t="str">
            <v/>
          </cell>
          <cell r="K382" t="str">
            <v/>
          </cell>
          <cell r="L382" t="str">
            <v/>
          </cell>
          <cell r="M382" t="str">
            <v/>
          </cell>
        </row>
        <row r="385">
          <cell r="I385" t="str">
            <v/>
          </cell>
          <cell r="J385" t="str">
            <v/>
          </cell>
          <cell r="K385" t="str">
            <v/>
          </cell>
          <cell r="L385" t="str">
            <v/>
          </cell>
          <cell r="M385" t="str">
            <v/>
          </cell>
        </row>
        <row r="389">
          <cell r="E389" t="str">
            <v/>
          </cell>
          <cell r="I389" t="str">
            <v/>
          </cell>
          <cell r="J389" t="str">
            <v/>
          </cell>
          <cell r="K389" t="str">
            <v/>
          </cell>
          <cell r="L389" t="str">
            <v/>
          </cell>
          <cell r="M389" t="str">
            <v/>
          </cell>
        </row>
        <row r="390">
          <cell r="E390" t="str">
            <v/>
          </cell>
          <cell r="I390" t="str">
            <v/>
          </cell>
          <cell r="J390" t="str">
            <v/>
          </cell>
          <cell r="K390" t="str">
            <v/>
          </cell>
          <cell r="L390" t="str">
            <v/>
          </cell>
          <cell r="M390" t="str">
            <v/>
          </cell>
        </row>
        <row r="391">
          <cell r="E391" t="str">
            <v/>
          </cell>
          <cell r="I391" t="str">
            <v/>
          </cell>
          <cell r="J391" t="str">
            <v/>
          </cell>
          <cell r="K391" t="str">
            <v/>
          </cell>
          <cell r="L391" t="str">
            <v/>
          </cell>
          <cell r="M391" t="str">
            <v/>
          </cell>
        </row>
        <row r="392">
          <cell r="E392" t="str">
            <v/>
          </cell>
          <cell r="I392" t="str">
            <v/>
          </cell>
          <cell r="J392" t="str">
            <v/>
          </cell>
          <cell r="K392" t="str">
            <v/>
          </cell>
          <cell r="L392" t="str">
            <v/>
          </cell>
          <cell r="M392" t="str">
            <v/>
          </cell>
        </row>
        <row r="393">
          <cell r="E393" t="str">
            <v/>
          </cell>
          <cell r="I393" t="str">
            <v/>
          </cell>
          <cell r="J393" t="str">
            <v/>
          </cell>
          <cell r="K393" t="str">
            <v/>
          </cell>
          <cell r="L393" t="str">
            <v/>
          </cell>
          <cell r="M393" t="str">
            <v/>
          </cell>
        </row>
        <row r="394">
          <cell r="E394" t="str">
            <v/>
          </cell>
          <cell r="I394" t="str">
            <v/>
          </cell>
          <cell r="J394" t="str">
            <v/>
          </cell>
          <cell r="K394" t="str">
            <v/>
          </cell>
          <cell r="L394" t="str">
            <v/>
          </cell>
          <cell r="M394" t="str">
            <v/>
          </cell>
        </row>
        <row r="395">
          <cell r="E395" t="str">
            <v/>
          </cell>
          <cell r="I395" t="str">
            <v/>
          </cell>
          <cell r="J395" t="str">
            <v/>
          </cell>
          <cell r="K395" t="str">
            <v/>
          </cell>
          <cell r="L395" t="str">
            <v/>
          </cell>
          <cell r="M395" t="str">
            <v/>
          </cell>
        </row>
        <row r="396">
          <cell r="E396" t="str">
            <v/>
          </cell>
          <cell r="I396" t="str">
            <v/>
          </cell>
          <cell r="J396" t="str">
            <v/>
          </cell>
          <cell r="K396" t="str">
            <v/>
          </cell>
          <cell r="L396" t="str">
            <v/>
          </cell>
          <cell r="M396" t="str">
            <v/>
          </cell>
        </row>
        <row r="397">
          <cell r="E397" t="str">
            <v/>
          </cell>
          <cell r="I397" t="str">
            <v/>
          </cell>
          <cell r="J397" t="str">
            <v/>
          </cell>
          <cell r="K397" t="str">
            <v/>
          </cell>
          <cell r="L397" t="str">
            <v/>
          </cell>
          <cell r="M397" t="str">
            <v/>
          </cell>
        </row>
        <row r="398">
          <cell r="E398" t="str">
            <v/>
          </cell>
          <cell r="I398" t="str">
            <v/>
          </cell>
          <cell r="J398" t="str">
            <v/>
          </cell>
          <cell r="K398" t="str">
            <v/>
          </cell>
          <cell r="L398" t="str">
            <v/>
          </cell>
          <cell r="M398" t="str">
            <v/>
          </cell>
        </row>
        <row r="399">
          <cell r="I399" t="str">
            <v/>
          </cell>
          <cell r="J399" t="str">
            <v/>
          </cell>
          <cell r="K399" t="str">
            <v/>
          </cell>
          <cell r="L399" t="str">
            <v/>
          </cell>
          <cell r="M399" t="str">
            <v/>
          </cell>
        </row>
        <row r="403">
          <cell r="I403" t="str">
            <v/>
          </cell>
          <cell r="J403" t="str">
            <v/>
          </cell>
          <cell r="K403" t="str">
            <v/>
          </cell>
          <cell r="L403" t="str">
            <v/>
          </cell>
          <cell r="M403" t="str">
            <v/>
          </cell>
        </row>
        <row r="404">
          <cell r="I404" t="str">
            <v/>
          </cell>
          <cell r="J404" t="str">
            <v/>
          </cell>
          <cell r="K404" t="str">
            <v/>
          </cell>
          <cell r="L404" t="str">
            <v/>
          </cell>
          <cell r="M404" t="str">
            <v/>
          </cell>
        </row>
        <row r="405">
          <cell r="I405" t="str">
            <v/>
          </cell>
          <cell r="J405" t="str">
            <v/>
          </cell>
          <cell r="K405" t="str">
            <v/>
          </cell>
          <cell r="L405" t="str">
            <v/>
          </cell>
          <cell r="M405" t="str">
            <v/>
          </cell>
        </row>
        <row r="406">
          <cell r="I406" t="str">
            <v/>
          </cell>
          <cell r="J406" t="str">
            <v/>
          </cell>
          <cell r="K406" t="str">
            <v/>
          </cell>
          <cell r="L406" t="str">
            <v/>
          </cell>
          <cell r="M406" t="str">
            <v/>
          </cell>
        </row>
        <row r="407">
          <cell r="I407" t="str">
            <v/>
          </cell>
          <cell r="J407" t="str">
            <v/>
          </cell>
          <cell r="K407" t="str">
            <v/>
          </cell>
          <cell r="L407" t="str">
            <v/>
          </cell>
          <cell r="M407" t="str">
            <v/>
          </cell>
        </row>
        <row r="408">
          <cell r="I408" t="str">
            <v/>
          </cell>
          <cell r="J408" t="str">
            <v/>
          </cell>
          <cell r="K408" t="str">
            <v/>
          </cell>
          <cell r="L408" t="str">
            <v/>
          </cell>
          <cell r="M408" t="str">
            <v/>
          </cell>
        </row>
        <row r="411">
          <cell r="I411" t="str">
            <v/>
          </cell>
          <cell r="J411" t="str">
            <v/>
          </cell>
          <cell r="K411" t="str">
            <v/>
          </cell>
          <cell r="L411" t="str">
            <v/>
          </cell>
          <cell r="M411" t="str">
            <v/>
          </cell>
        </row>
        <row r="415">
          <cell r="E415" t="str">
            <v/>
          </cell>
          <cell r="I415" t="str">
            <v/>
          </cell>
          <cell r="J415" t="str">
            <v/>
          </cell>
          <cell r="K415" t="str">
            <v/>
          </cell>
          <cell r="L415" t="str">
            <v/>
          </cell>
          <cell r="M415" t="str">
            <v/>
          </cell>
        </row>
        <row r="416">
          <cell r="E416" t="str">
            <v/>
          </cell>
          <cell r="I416" t="str">
            <v/>
          </cell>
          <cell r="J416" t="str">
            <v/>
          </cell>
          <cell r="K416" t="str">
            <v/>
          </cell>
          <cell r="L416" t="str">
            <v/>
          </cell>
          <cell r="M416" t="str">
            <v/>
          </cell>
        </row>
        <row r="417">
          <cell r="E417" t="str">
            <v/>
          </cell>
          <cell r="I417" t="str">
            <v/>
          </cell>
          <cell r="J417" t="str">
            <v/>
          </cell>
          <cell r="K417" t="str">
            <v/>
          </cell>
          <cell r="L417" t="str">
            <v/>
          </cell>
          <cell r="M417" t="str">
            <v/>
          </cell>
        </row>
        <row r="418">
          <cell r="E418" t="str">
            <v/>
          </cell>
          <cell r="I418" t="str">
            <v/>
          </cell>
          <cell r="J418" t="str">
            <v/>
          </cell>
          <cell r="K418" t="str">
            <v/>
          </cell>
          <cell r="L418" t="str">
            <v/>
          </cell>
          <cell r="M418" t="str">
            <v/>
          </cell>
        </row>
        <row r="419">
          <cell r="E419" t="str">
            <v/>
          </cell>
          <cell r="I419" t="str">
            <v/>
          </cell>
          <cell r="J419" t="str">
            <v/>
          </cell>
          <cell r="K419" t="str">
            <v/>
          </cell>
          <cell r="L419" t="str">
            <v/>
          </cell>
          <cell r="M419" t="str">
            <v/>
          </cell>
        </row>
        <row r="420">
          <cell r="E420" t="str">
            <v/>
          </cell>
          <cell r="I420" t="str">
            <v/>
          </cell>
          <cell r="J420" t="str">
            <v/>
          </cell>
          <cell r="K420" t="str">
            <v/>
          </cell>
          <cell r="L420" t="str">
            <v/>
          </cell>
          <cell r="M420" t="str">
            <v/>
          </cell>
        </row>
        <row r="421">
          <cell r="E421" t="str">
            <v/>
          </cell>
          <cell r="I421" t="str">
            <v/>
          </cell>
          <cell r="J421" t="str">
            <v/>
          </cell>
          <cell r="K421" t="str">
            <v/>
          </cell>
          <cell r="L421" t="str">
            <v/>
          </cell>
          <cell r="M421" t="str">
            <v/>
          </cell>
        </row>
        <row r="422">
          <cell r="E422" t="str">
            <v/>
          </cell>
          <cell r="I422" t="str">
            <v/>
          </cell>
          <cell r="J422" t="str">
            <v/>
          </cell>
          <cell r="K422" t="str">
            <v/>
          </cell>
          <cell r="L422" t="str">
            <v/>
          </cell>
          <cell r="M422" t="str">
            <v/>
          </cell>
        </row>
        <row r="423">
          <cell r="E423" t="str">
            <v/>
          </cell>
          <cell r="I423" t="str">
            <v/>
          </cell>
          <cell r="J423" t="str">
            <v/>
          </cell>
          <cell r="K423" t="str">
            <v/>
          </cell>
          <cell r="L423" t="str">
            <v/>
          </cell>
          <cell r="M423" t="str">
            <v/>
          </cell>
        </row>
        <row r="424">
          <cell r="E424" t="str">
            <v/>
          </cell>
          <cell r="I424" t="str">
            <v/>
          </cell>
          <cell r="J424" t="str">
            <v/>
          </cell>
          <cell r="K424" t="str">
            <v/>
          </cell>
          <cell r="L424" t="str">
            <v/>
          </cell>
          <cell r="M424" t="str">
            <v/>
          </cell>
        </row>
        <row r="425">
          <cell r="I425" t="str">
            <v/>
          </cell>
          <cell r="J425" t="str">
            <v/>
          </cell>
          <cell r="K425" t="str">
            <v/>
          </cell>
          <cell r="L425" t="str">
            <v/>
          </cell>
          <cell r="M425" t="str">
            <v/>
          </cell>
        </row>
        <row r="426">
          <cell r="I426" t="str">
            <v/>
          </cell>
          <cell r="J426" t="str">
            <v/>
          </cell>
          <cell r="K426" t="str">
            <v/>
          </cell>
          <cell r="L426" t="str">
            <v/>
          </cell>
          <cell r="M426" t="str">
            <v/>
          </cell>
        </row>
        <row r="429">
          <cell r="I429" t="str">
            <v/>
          </cell>
          <cell r="J429" t="str">
            <v/>
          </cell>
          <cell r="K429" t="str">
            <v/>
          </cell>
          <cell r="L429" t="str">
            <v/>
          </cell>
          <cell r="M429" t="str">
            <v/>
          </cell>
        </row>
        <row r="430">
          <cell r="I430" t="str">
            <v/>
          </cell>
          <cell r="J430" t="str">
            <v/>
          </cell>
          <cell r="K430" t="str">
            <v/>
          </cell>
          <cell r="L430" t="str">
            <v/>
          </cell>
          <cell r="M430" t="str">
            <v/>
          </cell>
        </row>
        <row r="434">
          <cell r="L434" t="str">
            <v/>
          </cell>
        </row>
        <row r="437">
          <cell r="I437" t="str">
            <v/>
          </cell>
          <cell r="J437" t="str">
            <v/>
          </cell>
          <cell r="K437" t="str">
            <v/>
          </cell>
          <cell r="L437" t="str">
            <v/>
          </cell>
          <cell r="M437" t="str">
            <v/>
          </cell>
        </row>
        <row r="438">
          <cell r="I438" t="str">
            <v/>
          </cell>
          <cell r="J438" t="str">
            <v/>
          </cell>
          <cell r="K438" t="str">
            <v/>
          </cell>
          <cell r="L438" t="str">
            <v/>
          </cell>
          <cell r="M438" t="str">
            <v/>
          </cell>
        </row>
        <row r="439">
          <cell r="I439" t="str">
            <v/>
          </cell>
          <cell r="J439" t="str">
            <v/>
          </cell>
          <cell r="K439" t="str">
            <v/>
          </cell>
          <cell r="L439" t="str">
            <v/>
          </cell>
          <cell r="M439" t="str">
            <v/>
          </cell>
        </row>
        <row r="440">
          <cell r="I440" t="str">
            <v/>
          </cell>
          <cell r="J440" t="str">
            <v/>
          </cell>
          <cell r="K440" t="str">
            <v/>
          </cell>
          <cell r="L440" t="str">
            <v/>
          </cell>
          <cell r="M440" t="str">
            <v/>
          </cell>
        </row>
        <row r="441">
          <cell r="I441" t="str">
            <v/>
          </cell>
          <cell r="J441" t="str">
            <v/>
          </cell>
          <cell r="K441" t="str">
            <v/>
          </cell>
          <cell r="L441" t="str">
            <v/>
          </cell>
          <cell r="M441" t="str">
            <v/>
          </cell>
        </row>
        <row r="442">
          <cell r="I442" t="str">
            <v/>
          </cell>
          <cell r="J442" t="str">
            <v/>
          </cell>
          <cell r="K442" t="str">
            <v/>
          </cell>
          <cell r="L442" t="str">
            <v/>
          </cell>
          <cell r="M442" t="str">
            <v/>
          </cell>
        </row>
        <row r="469">
          <cell r="I469" t="str">
            <v/>
          </cell>
        </row>
        <row r="472">
          <cell r="E472" t="str">
            <v/>
          </cell>
          <cell r="H472" t="str">
            <v>N.A.</v>
          </cell>
          <cell r="I472" t="str">
            <v/>
          </cell>
          <cell r="J472" t="str">
            <v>N.A.</v>
          </cell>
          <cell r="K472" t="str">
            <v>N.A.</v>
          </cell>
          <cell r="L472" t="str">
            <v/>
          </cell>
          <cell r="M472" t="str">
            <v>N.A.</v>
          </cell>
        </row>
        <row r="473">
          <cell r="M473" t="str">
            <v>N.A.</v>
          </cell>
        </row>
        <row r="474">
          <cell r="G474" t="str">
            <v/>
          </cell>
          <cell r="H474" t="str">
            <v/>
          </cell>
          <cell r="I474">
            <v>1</v>
          </cell>
          <cell r="J474" t="str">
            <v/>
          </cell>
          <cell r="K474" t="str">
            <v/>
          </cell>
          <cell r="L474" t="str">
            <v/>
          </cell>
          <cell r="M474" t="str">
            <v>N.A.</v>
          </cell>
        </row>
        <row r="477">
          <cell r="H477" t="str">
            <v>tonnes</v>
          </cell>
          <cell r="I477" t="str">
            <v/>
          </cell>
          <cell r="J477" t="str">
            <v/>
          </cell>
          <cell r="K477" t="str">
            <v/>
          </cell>
          <cell r="L477" t="str">
            <v/>
          </cell>
          <cell r="M477" t="str">
            <v/>
          </cell>
        </row>
        <row r="478">
          <cell r="H478" t="str">
            <v>tonnes</v>
          </cell>
          <cell r="I478" t="str">
            <v/>
          </cell>
          <cell r="J478" t="str">
            <v/>
          </cell>
          <cell r="K478" t="str">
            <v/>
          </cell>
          <cell r="L478" t="str">
            <v/>
          </cell>
          <cell r="M478" t="str">
            <v/>
          </cell>
          <cell r="N478" t="str">
            <v/>
          </cell>
        </row>
        <row r="481">
          <cell r="F481" t="str">
            <v/>
          </cell>
          <cell r="G481" t="str">
            <v>tonnes / year</v>
          </cell>
          <cell r="I481" t="str">
            <v/>
          </cell>
          <cell r="K481" t="str">
            <v/>
          </cell>
          <cell r="M481" t="str">
            <v/>
          </cell>
        </row>
        <row r="485">
          <cell r="I485" t="str">
            <v/>
          </cell>
          <cell r="J485" t="str">
            <v/>
          </cell>
          <cell r="K485" t="str">
            <v/>
          </cell>
          <cell r="L485" t="str">
            <v/>
          </cell>
          <cell r="M485" t="str">
            <v/>
          </cell>
        </row>
        <row r="487">
          <cell r="I487" t="str">
            <v/>
          </cell>
          <cell r="J487" t="str">
            <v/>
          </cell>
          <cell r="K487" t="str">
            <v/>
          </cell>
          <cell r="L487" t="str">
            <v/>
          </cell>
          <cell r="M487" t="str">
            <v/>
          </cell>
        </row>
        <row r="488">
          <cell r="I488" t="str">
            <v/>
          </cell>
          <cell r="J488" t="str">
            <v/>
          </cell>
          <cell r="K488" t="str">
            <v/>
          </cell>
          <cell r="L488" t="str">
            <v/>
          </cell>
          <cell r="M488" t="str">
            <v/>
          </cell>
        </row>
        <row r="490">
          <cell r="I490" t="str">
            <v/>
          </cell>
          <cell r="J490" t="str">
            <v/>
          </cell>
          <cell r="K490" t="str">
            <v/>
          </cell>
          <cell r="L490" t="str">
            <v/>
          </cell>
          <cell r="M490" t="str">
            <v/>
          </cell>
        </row>
        <row r="491">
          <cell r="I491" t="str">
            <v/>
          </cell>
          <cell r="J491" t="str">
            <v/>
          </cell>
          <cell r="K491" t="str">
            <v/>
          </cell>
          <cell r="L491" t="str">
            <v/>
          </cell>
          <cell r="M491" t="str">
            <v/>
          </cell>
        </row>
        <row r="492">
          <cell r="I492" t="str">
            <v/>
          </cell>
          <cell r="J492" t="str">
            <v/>
          </cell>
          <cell r="K492" t="str">
            <v/>
          </cell>
          <cell r="L492" t="str">
            <v/>
          </cell>
          <cell r="M492" t="str">
            <v/>
          </cell>
        </row>
        <row r="493">
          <cell r="I493" t="str">
            <v/>
          </cell>
          <cell r="J493" t="str">
            <v/>
          </cell>
          <cell r="K493" t="str">
            <v/>
          </cell>
          <cell r="L493" t="str">
            <v/>
          </cell>
          <cell r="M493" t="str">
            <v/>
          </cell>
        </row>
        <row r="495">
          <cell r="I495" t="str">
            <v/>
          </cell>
          <cell r="J495" t="str">
            <v/>
          </cell>
          <cell r="K495" t="str">
            <v/>
          </cell>
          <cell r="L495" t="str">
            <v/>
          </cell>
          <cell r="M495" t="str">
            <v/>
          </cell>
        </row>
        <row r="496">
          <cell r="I496" t="str">
            <v/>
          </cell>
          <cell r="J496" t="str">
            <v/>
          </cell>
          <cell r="K496" t="str">
            <v/>
          </cell>
          <cell r="L496" t="str">
            <v/>
          </cell>
          <cell r="M496" t="str">
            <v/>
          </cell>
        </row>
        <row r="498">
          <cell r="I498" t="str">
            <v/>
          </cell>
          <cell r="J498" t="str">
            <v/>
          </cell>
          <cell r="K498" t="str">
            <v/>
          </cell>
          <cell r="L498" t="str">
            <v/>
          </cell>
          <cell r="M498" t="str">
            <v/>
          </cell>
        </row>
        <row r="499">
          <cell r="I499" t="str">
            <v/>
          </cell>
          <cell r="J499" t="str">
            <v/>
          </cell>
          <cell r="K499" t="str">
            <v/>
          </cell>
          <cell r="L499" t="str">
            <v/>
          </cell>
          <cell r="M499" t="str">
            <v/>
          </cell>
        </row>
        <row r="501">
          <cell r="I501" t="str">
            <v/>
          </cell>
          <cell r="J501" t="str">
            <v/>
          </cell>
          <cell r="K501" t="str">
            <v/>
          </cell>
          <cell r="L501" t="str">
            <v/>
          </cell>
          <cell r="M501" t="str">
            <v/>
          </cell>
        </row>
        <row r="502">
          <cell r="I502" t="str">
            <v/>
          </cell>
          <cell r="J502" t="str">
            <v/>
          </cell>
          <cell r="K502" t="str">
            <v/>
          </cell>
          <cell r="L502" t="str">
            <v/>
          </cell>
          <cell r="M502" t="str">
            <v/>
          </cell>
        </row>
        <row r="504">
          <cell r="I504" t="str">
            <v/>
          </cell>
          <cell r="J504" t="str">
            <v/>
          </cell>
          <cell r="K504" t="str">
            <v/>
          </cell>
          <cell r="L504" t="str">
            <v/>
          </cell>
          <cell r="M504" t="str">
            <v/>
          </cell>
        </row>
        <row r="505">
          <cell r="I505" t="str">
            <v/>
          </cell>
          <cell r="J505" t="str">
            <v/>
          </cell>
          <cell r="K505" t="str">
            <v/>
          </cell>
          <cell r="L505" t="str">
            <v/>
          </cell>
          <cell r="M505" t="str">
            <v/>
          </cell>
        </row>
        <row r="506">
          <cell r="I506" t="str">
            <v/>
          </cell>
          <cell r="J506" t="str">
            <v/>
          </cell>
          <cell r="K506" t="str">
            <v/>
          </cell>
          <cell r="L506" t="str">
            <v/>
          </cell>
          <cell r="M506" t="str">
            <v/>
          </cell>
        </row>
        <row r="507">
          <cell r="I507" t="str">
            <v/>
          </cell>
          <cell r="J507" t="str">
            <v/>
          </cell>
          <cell r="K507" t="str">
            <v/>
          </cell>
          <cell r="L507" t="str">
            <v/>
          </cell>
          <cell r="M507" t="str">
            <v/>
          </cell>
        </row>
        <row r="508">
          <cell r="I508" t="str">
            <v/>
          </cell>
          <cell r="J508" t="str">
            <v/>
          </cell>
          <cell r="K508" t="str">
            <v/>
          </cell>
          <cell r="L508" t="str">
            <v/>
          </cell>
          <cell r="M508" t="str">
            <v/>
          </cell>
        </row>
        <row r="509">
          <cell r="I509" t="str">
            <v/>
          </cell>
          <cell r="J509" t="str">
            <v/>
          </cell>
          <cell r="K509" t="str">
            <v/>
          </cell>
          <cell r="L509" t="str">
            <v/>
          </cell>
          <cell r="M509" t="str">
            <v/>
          </cell>
        </row>
        <row r="510">
          <cell r="I510" t="str">
            <v/>
          </cell>
          <cell r="J510" t="str">
            <v/>
          </cell>
          <cell r="K510" t="str">
            <v/>
          </cell>
          <cell r="L510" t="str">
            <v/>
          </cell>
          <cell r="M510" t="str">
            <v/>
          </cell>
        </row>
        <row r="511">
          <cell r="I511" t="str">
            <v/>
          </cell>
          <cell r="J511" t="str">
            <v/>
          </cell>
          <cell r="K511" t="str">
            <v/>
          </cell>
          <cell r="L511" t="str">
            <v/>
          </cell>
          <cell r="M511" t="str">
            <v/>
          </cell>
        </row>
        <row r="512">
          <cell r="I512" t="str">
            <v/>
          </cell>
          <cell r="J512" t="str">
            <v/>
          </cell>
          <cell r="K512" t="str">
            <v/>
          </cell>
          <cell r="L512" t="str">
            <v/>
          </cell>
          <cell r="M512" t="str">
            <v/>
          </cell>
        </row>
        <row r="513">
          <cell r="I513" t="str">
            <v/>
          </cell>
          <cell r="J513" t="str">
            <v/>
          </cell>
          <cell r="K513" t="str">
            <v/>
          </cell>
          <cell r="L513" t="str">
            <v/>
          </cell>
          <cell r="M513" t="str">
            <v/>
          </cell>
        </row>
        <row r="515">
          <cell r="I515" t="str">
            <v/>
          </cell>
          <cell r="J515" t="str">
            <v/>
          </cell>
          <cell r="K515" t="str">
            <v/>
          </cell>
          <cell r="L515" t="str">
            <v/>
          </cell>
          <cell r="M515" t="str">
            <v/>
          </cell>
        </row>
        <row r="516">
          <cell r="I516" t="str">
            <v/>
          </cell>
          <cell r="J516" t="str">
            <v/>
          </cell>
          <cell r="K516" t="str">
            <v/>
          </cell>
          <cell r="L516" t="str">
            <v/>
          </cell>
          <cell r="M516" t="str">
            <v/>
          </cell>
        </row>
        <row r="518">
          <cell r="I518" t="str">
            <v/>
          </cell>
          <cell r="J518" t="str">
            <v/>
          </cell>
          <cell r="K518" t="str">
            <v/>
          </cell>
          <cell r="L518" t="str">
            <v/>
          </cell>
          <cell r="M518" t="str">
            <v/>
          </cell>
        </row>
        <row r="521">
          <cell r="E521" t="str">
            <v/>
          </cell>
          <cell r="I521" t="str">
            <v/>
          </cell>
          <cell r="J521" t="str">
            <v/>
          </cell>
          <cell r="K521" t="str">
            <v/>
          </cell>
          <cell r="L521" t="str">
            <v/>
          </cell>
          <cell r="M521" t="str">
            <v/>
          </cell>
        </row>
        <row r="522">
          <cell r="E522" t="str">
            <v/>
          </cell>
          <cell r="I522" t="str">
            <v/>
          </cell>
          <cell r="J522" t="str">
            <v/>
          </cell>
          <cell r="K522" t="str">
            <v/>
          </cell>
          <cell r="L522" t="str">
            <v/>
          </cell>
          <cell r="M522" t="str">
            <v/>
          </cell>
        </row>
        <row r="524">
          <cell r="E524" t="str">
            <v/>
          </cell>
          <cell r="I524" t="str">
            <v/>
          </cell>
          <cell r="J524" t="str">
            <v/>
          </cell>
          <cell r="K524" t="str">
            <v/>
          </cell>
          <cell r="L524" t="str">
            <v/>
          </cell>
          <cell r="M524" t="str">
            <v/>
          </cell>
        </row>
        <row r="525">
          <cell r="E525" t="str">
            <v/>
          </cell>
          <cell r="I525" t="str">
            <v/>
          </cell>
          <cell r="J525" t="str">
            <v/>
          </cell>
          <cell r="K525" t="str">
            <v/>
          </cell>
          <cell r="L525" t="str">
            <v/>
          </cell>
          <cell r="M525" t="str">
            <v/>
          </cell>
        </row>
        <row r="529">
          <cell r="I529" t="str">
            <v/>
          </cell>
        </row>
        <row r="532">
          <cell r="E532" t="str">
            <v/>
          </cell>
          <cell r="H532" t="str">
            <v>N.A.</v>
          </cell>
          <cell r="I532" t="str">
            <v/>
          </cell>
          <cell r="J532" t="str">
            <v>N.A.</v>
          </cell>
          <cell r="K532" t="str">
            <v>N.A.</v>
          </cell>
          <cell r="L532" t="str">
            <v/>
          </cell>
          <cell r="M532" t="str">
            <v>N.A.</v>
          </cell>
        </row>
        <row r="533">
          <cell r="M533" t="str">
            <v>N.A.</v>
          </cell>
        </row>
        <row r="534">
          <cell r="G534" t="str">
            <v/>
          </cell>
          <cell r="H534" t="str">
            <v/>
          </cell>
          <cell r="I534">
            <v>1</v>
          </cell>
          <cell r="J534" t="str">
            <v/>
          </cell>
          <cell r="K534" t="str">
            <v/>
          </cell>
          <cell r="L534" t="str">
            <v/>
          </cell>
          <cell r="M534" t="str">
            <v>N.A.</v>
          </cell>
        </row>
        <row r="537">
          <cell r="H537" t="str">
            <v>tonnes</v>
          </cell>
          <cell r="I537" t="str">
            <v/>
          </cell>
          <cell r="J537" t="str">
            <v/>
          </cell>
          <cell r="K537" t="str">
            <v/>
          </cell>
          <cell r="L537" t="str">
            <v/>
          </cell>
          <cell r="M537" t="str">
            <v/>
          </cell>
        </row>
        <row r="538">
          <cell r="H538" t="str">
            <v>tonnes</v>
          </cell>
          <cell r="I538" t="str">
            <v/>
          </cell>
          <cell r="J538" t="str">
            <v/>
          </cell>
          <cell r="K538" t="str">
            <v/>
          </cell>
          <cell r="L538" t="str">
            <v/>
          </cell>
          <cell r="M538" t="str">
            <v/>
          </cell>
          <cell r="N538" t="str">
            <v/>
          </cell>
        </row>
        <row r="541">
          <cell r="F541" t="str">
            <v/>
          </cell>
          <cell r="G541" t="str">
            <v>tonnes / year</v>
          </cell>
          <cell r="I541" t="str">
            <v/>
          </cell>
          <cell r="K541" t="str">
            <v/>
          </cell>
          <cell r="M541" t="str">
            <v/>
          </cell>
        </row>
        <row r="545">
          <cell r="I545" t="str">
            <v/>
          </cell>
          <cell r="J545" t="str">
            <v/>
          </cell>
          <cell r="K545" t="str">
            <v/>
          </cell>
          <cell r="L545" t="str">
            <v/>
          </cell>
          <cell r="M545" t="str">
            <v/>
          </cell>
        </row>
        <row r="547">
          <cell r="I547" t="str">
            <v/>
          </cell>
          <cell r="J547" t="str">
            <v/>
          </cell>
          <cell r="K547" t="str">
            <v/>
          </cell>
          <cell r="L547" t="str">
            <v/>
          </cell>
          <cell r="M547" t="str">
            <v/>
          </cell>
        </row>
        <row r="548">
          <cell r="I548" t="str">
            <v/>
          </cell>
          <cell r="J548" t="str">
            <v/>
          </cell>
          <cell r="K548" t="str">
            <v/>
          </cell>
          <cell r="L548" t="str">
            <v/>
          </cell>
          <cell r="M548" t="str">
            <v/>
          </cell>
        </row>
        <row r="550">
          <cell r="I550" t="str">
            <v/>
          </cell>
          <cell r="J550" t="str">
            <v/>
          </cell>
          <cell r="K550" t="str">
            <v/>
          </cell>
          <cell r="L550" t="str">
            <v/>
          </cell>
          <cell r="M550" t="str">
            <v/>
          </cell>
        </row>
        <row r="551">
          <cell r="I551" t="str">
            <v/>
          </cell>
          <cell r="J551" t="str">
            <v/>
          </cell>
          <cell r="K551" t="str">
            <v/>
          </cell>
          <cell r="L551" t="str">
            <v/>
          </cell>
          <cell r="M551" t="str">
            <v/>
          </cell>
        </row>
        <row r="552">
          <cell r="I552" t="str">
            <v/>
          </cell>
          <cell r="J552" t="str">
            <v/>
          </cell>
          <cell r="K552" t="str">
            <v/>
          </cell>
          <cell r="L552" t="str">
            <v/>
          </cell>
          <cell r="M552" t="str">
            <v/>
          </cell>
        </row>
        <row r="553">
          <cell r="I553" t="str">
            <v/>
          </cell>
          <cell r="J553" t="str">
            <v/>
          </cell>
          <cell r="K553" t="str">
            <v/>
          </cell>
          <cell r="L553" t="str">
            <v/>
          </cell>
          <cell r="M553" t="str">
            <v/>
          </cell>
        </row>
        <row r="555">
          <cell r="I555" t="str">
            <v/>
          </cell>
          <cell r="J555" t="str">
            <v/>
          </cell>
          <cell r="K555" t="str">
            <v/>
          </cell>
          <cell r="L555" t="str">
            <v/>
          </cell>
          <cell r="M555" t="str">
            <v/>
          </cell>
        </row>
        <row r="556">
          <cell r="I556" t="str">
            <v/>
          </cell>
          <cell r="J556" t="str">
            <v/>
          </cell>
          <cell r="K556" t="str">
            <v/>
          </cell>
          <cell r="L556" t="str">
            <v/>
          </cell>
          <cell r="M556" t="str">
            <v/>
          </cell>
        </row>
        <row r="558">
          <cell r="I558" t="str">
            <v/>
          </cell>
          <cell r="J558" t="str">
            <v/>
          </cell>
          <cell r="K558" t="str">
            <v/>
          </cell>
          <cell r="L558" t="str">
            <v/>
          </cell>
          <cell r="M558" t="str">
            <v/>
          </cell>
        </row>
        <row r="559">
          <cell r="I559" t="str">
            <v/>
          </cell>
          <cell r="J559" t="str">
            <v/>
          </cell>
          <cell r="K559" t="str">
            <v/>
          </cell>
          <cell r="L559" t="str">
            <v/>
          </cell>
          <cell r="M559" t="str">
            <v/>
          </cell>
        </row>
        <row r="561">
          <cell r="I561" t="str">
            <v/>
          </cell>
          <cell r="J561" t="str">
            <v/>
          </cell>
          <cell r="K561" t="str">
            <v/>
          </cell>
          <cell r="L561" t="str">
            <v/>
          </cell>
          <cell r="M561" t="str">
            <v/>
          </cell>
        </row>
        <row r="562">
          <cell r="I562" t="str">
            <v/>
          </cell>
          <cell r="J562" t="str">
            <v/>
          </cell>
          <cell r="K562" t="str">
            <v/>
          </cell>
          <cell r="L562" t="str">
            <v/>
          </cell>
          <cell r="M562" t="str">
            <v/>
          </cell>
        </row>
        <row r="564">
          <cell r="I564" t="str">
            <v/>
          </cell>
          <cell r="J564" t="str">
            <v/>
          </cell>
          <cell r="K564" t="str">
            <v/>
          </cell>
          <cell r="L564" t="str">
            <v/>
          </cell>
          <cell r="M564" t="str">
            <v/>
          </cell>
        </row>
        <row r="565">
          <cell r="I565" t="str">
            <v/>
          </cell>
          <cell r="J565" t="str">
            <v/>
          </cell>
          <cell r="K565" t="str">
            <v/>
          </cell>
          <cell r="L565" t="str">
            <v/>
          </cell>
          <cell r="M565" t="str">
            <v/>
          </cell>
        </row>
        <row r="566">
          <cell r="I566" t="str">
            <v/>
          </cell>
          <cell r="J566" t="str">
            <v/>
          </cell>
          <cell r="K566" t="str">
            <v/>
          </cell>
          <cell r="L566" t="str">
            <v/>
          </cell>
          <cell r="M566" t="str">
            <v/>
          </cell>
        </row>
        <row r="567">
          <cell r="I567" t="str">
            <v/>
          </cell>
          <cell r="J567" t="str">
            <v/>
          </cell>
          <cell r="K567" t="str">
            <v/>
          </cell>
          <cell r="L567" t="str">
            <v/>
          </cell>
          <cell r="M567" t="str">
            <v/>
          </cell>
        </row>
        <row r="568">
          <cell r="I568" t="str">
            <v/>
          </cell>
          <cell r="J568" t="str">
            <v/>
          </cell>
          <cell r="K568" t="str">
            <v/>
          </cell>
          <cell r="L568" t="str">
            <v/>
          </cell>
          <cell r="M568" t="str">
            <v/>
          </cell>
        </row>
        <row r="569">
          <cell r="I569" t="str">
            <v/>
          </cell>
          <cell r="J569" t="str">
            <v/>
          </cell>
          <cell r="K569" t="str">
            <v/>
          </cell>
          <cell r="L569" t="str">
            <v/>
          </cell>
          <cell r="M569" t="str">
            <v/>
          </cell>
        </row>
        <row r="570">
          <cell r="I570" t="str">
            <v/>
          </cell>
          <cell r="J570" t="str">
            <v/>
          </cell>
          <cell r="K570" t="str">
            <v/>
          </cell>
          <cell r="L570" t="str">
            <v/>
          </cell>
          <cell r="M570" t="str">
            <v/>
          </cell>
        </row>
        <row r="571">
          <cell r="I571" t="str">
            <v/>
          </cell>
          <cell r="J571" t="str">
            <v/>
          </cell>
          <cell r="K571" t="str">
            <v/>
          </cell>
          <cell r="L571" t="str">
            <v/>
          </cell>
          <cell r="M571" t="str">
            <v/>
          </cell>
        </row>
        <row r="572">
          <cell r="I572" t="str">
            <v/>
          </cell>
          <cell r="J572" t="str">
            <v/>
          </cell>
          <cell r="K572" t="str">
            <v/>
          </cell>
          <cell r="L572" t="str">
            <v/>
          </cell>
          <cell r="M572" t="str">
            <v/>
          </cell>
        </row>
        <row r="573">
          <cell r="I573" t="str">
            <v/>
          </cell>
          <cell r="J573" t="str">
            <v/>
          </cell>
          <cell r="K573" t="str">
            <v/>
          </cell>
          <cell r="L573" t="str">
            <v/>
          </cell>
          <cell r="M573" t="str">
            <v/>
          </cell>
        </row>
        <row r="575">
          <cell r="I575" t="str">
            <v/>
          </cell>
          <cell r="J575" t="str">
            <v/>
          </cell>
          <cell r="K575" t="str">
            <v/>
          </cell>
          <cell r="L575" t="str">
            <v/>
          </cell>
          <cell r="M575" t="str">
            <v/>
          </cell>
        </row>
        <row r="576">
          <cell r="I576" t="str">
            <v/>
          </cell>
          <cell r="J576" t="str">
            <v/>
          </cell>
          <cell r="K576" t="str">
            <v/>
          </cell>
          <cell r="L576" t="str">
            <v/>
          </cell>
          <cell r="M576" t="str">
            <v/>
          </cell>
        </row>
        <row r="578">
          <cell r="I578" t="str">
            <v/>
          </cell>
          <cell r="J578" t="str">
            <v/>
          </cell>
          <cell r="K578" t="str">
            <v/>
          </cell>
          <cell r="L578" t="str">
            <v/>
          </cell>
          <cell r="M578" t="str">
            <v/>
          </cell>
        </row>
        <row r="581">
          <cell r="E581" t="str">
            <v/>
          </cell>
          <cell r="I581" t="str">
            <v/>
          </cell>
          <cell r="J581" t="str">
            <v/>
          </cell>
          <cell r="K581" t="str">
            <v/>
          </cell>
          <cell r="L581" t="str">
            <v/>
          </cell>
          <cell r="M581" t="str">
            <v/>
          </cell>
        </row>
        <row r="582">
          <cell r="E582" t="str">
            <v/>
          </cell>
          <cell r="I582" t="str">
            <v/>
          </cell>
          <cell r="J582" t="str">
            <v/>
          </cell>
          <cell r="K582" t="str">
            <v/>
          </cell>
          <cell r="L582" t="str">
            <v/>
          </cell>
          <cell r="M582" t="str">
            <v/>
          </cell>
        </row>
        <row r="584">
          <cell r="E584" t="str">
            <v/>
          </cell>
          <cell r="I584" t="str">
            <v/>
          </cell>
          <cell r="J584" t="str">
            <v/>
          </cell>
          <cell r="K584" t="str">
            <v/>
          </cell>
          <cell r="L584" t="str">
            <v/>
          </cell>
          <cell r="M584" t="str">
            <v/>
          </cell>
        </row>
        <row r="585">
          <cell r="E585" t="str">
            <v/>
          </cell>
          <cell r="I585" t="str">
            <v/>
          </cell>
          <cell r="J585" t="str">
            <v/>
          </cell>
          <cell r="K585" t="str">
            <v/>
          </cell>
          <cell r="L585" t="str">
            <v/>
          </cell>
          <cell r="M585" t="str">
            <v/>
          </cell>
        </row>
        <row r="589">
          <cell r="I589" t="str">
            <v/>
          </cell>
        </row>
        <row r="592">
          <cell r="E592" t="str">
            <v/>
          </cell>
          <cell r="H592" t="str">
            <v>N.A.</v>
          </cell>
          <cell r="I592" t="str">
            <v/>
          </cell>
          <cell r="J592" t="str">
            <v>N.A.</v>
          </cell>
          <cell r="K592" t="str">
            <v>N.A.</v>
          </cell>
          <cell r="L592" t="str">
            <v/>
          </cell>
          <cell r="M592" t="str">
            <v>N.A.</v>
          </cell>
        </row>
        <row r="593">
          <cell r="M593" t="str">
            <v>N.A.</v>
          </cell>
        </row>
        <row r="594">
          <cell r="G594" t="str">
            <v/>
          </cell>
          <cell r="H594" t="str">
            <v/>
          </cell>
          <cell r="I594">
            <v>1</v>
          </cell>
          <cell r="J594" t="str">
            <v/>
          </cell>
          <cell r="K594" t="str">
            <v/>
          </cell>
          <cell r="L594" t="str">
            <v/>
          </cell>
          <cell r="M594" t="str">
            <v>N.A.</v>
          </cell>
        </row>
        <row r="597">
          <cell r="H597" t="str">
            <v>tonnes</v>
          </cell>
          <cell r="I597" t="str">
            <v/>
          </cell>
          <cell r="J597" t="str">
            <v/>
          </cell>
          <cell r="K597" t="str">
            <v/>
          </cell>
          <cell r="L597" t="str">
            <v/>
          </cell>
          <cell r="M597" t="str">
            <v/>
          </cell>
        </row>
        <row r="598">
          <cell r="H598" t="str">
            <v>tonnes</v>
          </cell>
          <cell r="I598" t="str">
            <v/>
          </cell>
          <cell r="J598" t="str">
            <v/>
          </cell>
          <cell r="K598" t="str">
            <v/>
          </cell>
          <cell r="L598" t="str">
            <v/>
          </cell>
          <cell r="M598" t="str">
            <v/>
          </cell>
          <cell r="N598" t="str">
            <v/>
          </cell>
        </row>
        <row r="601">
          <cell r="F601" t="str">
            <v/>
          </cell>
          <cell r="G601" t="str">
            <v>tonnes / year</v>
          </cell>
          <cell r="I601" t="str">
            <v/>
          </cell>
          <cell r="K601" t="str">
            <v/>
          </cell>
          <cell r="M601" t="str">
            <v/>
          </cell>
        </row>
        <row r="605">
          <cell r="I605" t="str">
            <v/>
          </cell>
          <cell r="J605" t="str">
            <v/>
          </cell>
          <cell r="K605" t="str">
            <v/>
          </cell>
          <cell r="L605" t="str">
            <v/>
          </cell>
          <cell r="M605" t="str">
            <v/>
          </cell>
        </row>
        <row r="607">
          <cell r="I607" t="str">
            <v/>
          </cell>
          <cell r="J607" t="str">
            <v/>
          </cell>
          <cell r="K607" t="str">
            <v/>
          </cell>
          <cell r="L607" t="str">
            <v/>
          </cell>
          <cell r="M607" t="str">
            <v/>
          </cell>
        </row>
        <row r="608">
          <cell r="I608" t="str">
            <v/>
          </cell>
          <cell r="J608" t="str">
            <v/>
          </cell>
          <cell r="K608" t="str">
            <v/>
          </cell>
          <cell r="L608" t="str">
            <v/>
          </cell>
          <cell r="M608" t="str">
            <v/>
          </cell>
        </row>
        <row r="610">
          <cell r="I610" t="str">
            <v/>
          </cell>
          <cell r="J610" t="str">
            <v/>
          </cell>
          <cell r="K610" t="str">
            <v/>
          </cell>
          <cell r="L610" t="str">
            <v/>
          </cell>
          <cell r="M610" t="str">
            <v/>
          </cell>
        </row>
        <row r="611">
          <cell r="I611" t="str">
            <v/>
          </cell>
          <cell r="J611" t="str">
            <v/>
          </cell>
          <cell r="K611" t="str">
            <v/>
          </cell>
          <cell r="L611" t="str">
            <v/>
          </cell>
          <cell r="M611" t="str">
            <v/>
          </cell>
        </row>
        <row r="612">
          <cell r="I612" t="str">
            <v/>
          </cell>
          <cell r="J612" t="str">
            <v/>
          </cell>
          <cell r="K612" t="str">
            <v/>
          </cell>
          <cell r="L612" t="str">
            <v/>
          </cell>
          <cell r="M612" t="str">
            <v/>
          </cell>
        </row>
        <row r="613">
          <cell r="I613" t="str">
            <v/>
          </cell>
          <cell r="J613" t="str">
            <v/>
          </cell>
          <cell r="K613" t="str">
            <v/>
          </cell>
          <cell r="L613" t="str">
            <v/>
          </cell>
          <cell r="M613" t="str">
            <v/>
          </cell>
        </row>
        <row r="615">
          <cell r="I615" t="str">
            <v/>
          </cell>
          <cell r="J615" t="str">
            <v/>
          </cell>
          <cell r="K615" t="str">
            <v/>
          </cell>
          <cell r="L615" t="str">
            <v/>
          </cell>
          <cell r="M615" t="str">
            <v/>
          </cell>
        </row>
        <row r="616">
          <cell r="I616" t="str">
            <v/>
          </cell>
          <cell r="J616" t="str">
            <v/>
          </cell>
          <cell r="K616" t="str">
            <v/>
          </cell>
          <cell r="L616" t="str">
            <v/>
          </cell>
          <cell r="M616" t="str">
            <v/>
          </cell>
        </row>
        <row r="618">
          <cell r="I618" t="str">
            <v/>
          </cell>
          <cell r="J618" t="str">
            <v/>
          </cell>
          <cell r="K618" t="str">
            <v/>
          </cell>
          <cell r="L618" t="str">
            <v/>
          </cell>
          <cell r="M618" t="str">
            <v/>
          </cell>
        </row>
        <row r="619">
          <cell r="I619" t="str">
            <v/>
          </cell>
          <cell r="J619" t="str">
            <v/>
          </cell>
          <cell r="K619" t="str">
            <v/>
          </cell>
          <cell r="L619" t="str">
            <v/>
          </cell>
          <cell r="M619" t="str">
            <v/>
          </cell>
        </row>
        <row r="621">
          <cell r="I621" t="str">
            <v/>
          </cell>
          <cell r="J621" t="str">
            <v/>
          </cell>
          <cell r="K621" t="str">
            <v/>
          </cell>
          <cell r="L621" t="str">
            <v/>
          </cell>
          <cell r="M621" t="str">
            <v/>
          </cell>
        </row>
        <row r="622">
          <cell r="I622" t="str">
            <v/>
          </cell>
          <cell r="J622" t="str">
            <v/>
          </cell>
          <cell r="K622" t="str">
            <v/>
          </cell>
          <cell r="L622" t="str">
            <v/>
          </cell>
          <cell r="M622" t="str">
            <v/>
          </cell>
        </row>
        <row r="624">
          <cell r="I624" t="str">
            <v/>
          </cell>
          <cell r="J624" t="str">
            <v/>
          </cell>
          <cell r="K624" t="str">
            <v/>
          </cell>
          <cell r="L624" t="str">
            <v/>
          </cell>
          <cell r="M624" t="str">
            <v/>
          </cell>
        </row>
        <row r="625">
          <cell r="I625" t="str">
            <v/>
          </cell>
          <cell r="J625" t="str">
            <v/>
          </cell>
          <cell r="K625" t="str">
            <v/>
          </cell>
          <cell r="L625" t="str">
            <v/>
          </cell>
          <cell r="M625" t="str">
            <v/>
          </cell>
        </row>
        <row r="626">
          <cell r="I626" t="str">
            <v/>
          </cell>
          <cell r="J626" t="str">
            <v/>
          </cell>
          <cell r="K626" t="str">
            <v/>
          </cell>
          <cell r="L626" t="str">
            <v/>
          </cell>
          <cell r="M626" t="str">
            <v/>
          </cell>
        </row>
        <row r="627">
          <cell r="I627" t="str">
            <v/>
          </cell>
          <cell r="J627" t="str">
            <v/>
          </cell>
          <cell r="K627" t="str">
            <v/>
          </cell>
          <cell r="L627" t="str">
            <v/>
          </cell>
          <cell r="M627" t="str">
            <v/>
          </cell>
        </row>
        <row r="628">
          <cell r="I628" t="str">
            <v/>
          </cell>
          <cell r="J628" t="str">
            <v/>
          </cell>
          <cell r="K628" t="str">
            <v/>
          </cell>
          <cell r="L628" t="str">
            <v/>
          </cell>
          <cell r="M628" t="str">
            <v/>
          </cell>
        </row>
        <row r="629">
          <cell r="I629" t="str">
            <v/>
          </cell>
          <cell r="J629" t="str">
            <v/>
          </cell>
          <cell r="K629" t="str">
            <v/>
          </cell>
          <cell r="L629" t="str">
            <v/>
          </cell>
          <cell r="M629" t="str">
            <v/>
          </cell>
        </row>
        <row r="630">
          <cell r="I630" t="str">
            <v/>
          </cell>
          <cell r="J630" t="str">
            <v/>
          </cell>
          <cell r="K630" t="str">
            <v/>
          </cell>
          <cell r="L630" t="str">
            <v/>
          </cell>
          <cell r="M630" t="str">
            <v/>
          </cell>
        </row>
        <row r="631">
          <cell r="I631" t="str">
            <v/>
          </cell>
          <cell r="J631" t="str">
            <v/>
          </cell>
          <cell r="K631" t="str">
            <v/>
          </cell>
          <cell r="L631" t="str">
            <v/>
          </cell>
          <cell r="M631" t="str">
            <v/>
          </cell>
        </row>
        <row r="632">
          <cell r="I632" t="str">
            <v/>
          </cell>
          <cell r="J632" t="str">
            <v/>
          </cell>
          <cell r="K632" t="str">
            <v/>
          </cell>
          <cell r="L632" t="str">
            <v/>
          </cell>
          <cell r="M632" t="str">
            <v/>
          </cell>
        </row>
        <row r="633">
          <cell r="I633" t="str">
            <v/>
          </cell>
          <cell r="J633" t="str">
            <v/>
          </cell>
          <cell r="K633" t="str">
            <v/>
          </cell>
          <cell r="L633" t="str">
            <v/>
          </cell>
          <cell r="M633" t="str">
            <v/>
          </cell>
        </row>
        <row r="635">
          <cell r="I635" t="str">
            <v/>
          </cell>
          <cell r="J635" t="str">
            <v/>
          </cell>
          <cell r="K635" t="str">
            <v/>
          </cell>
          <cell r="L635" t="str">
            <v/>
          </cell>
          <cell r="M635" t="str">
            <v/>
          </cell>
        </row>
        <row r="636">
          <cell r="I636" t="str">
            <v/>
          </cell>
          <cell r="J636" t="str">
            <v/>
          </cell>
          <cell r="K636" t="str">
            <v/>
          </cell>
          <cell r="L636" t="str">
            <v/>
          </cell>
          <cell r="M636" t="str">
            <v/>
          </cell>
        </row>
        <row r="638">
          <cell r="I638" t="str">
            <v/>
          </cell>
          <cell r="J638" t="str">
            <v/>
          </cell>
          <cell r="K638" t="str">
            <v/>
          </cell>
          <cell r="L638" t="str">
            <v/>
          </cell>
          <cell r="M638" t="str">
            <v/>
          </cell>
        </row>
        <row r="641">
          <cell r="E641" t="str">
            <v/>
          </cell>
          <cell r="I641" t="str">
            <v/>
          </cell>
          <cell r="J641" t="str">
            <v/>
          </cell>
          <cell r="K641" t="str">
            <v/>
          </cell>
          <cell r="L641" t="str">
            <v/>
          </cell>
          <cell r="M641" t="str">
            <v/>
          </cell>
        </row>
        <row r="642">
          <cell r="E642" t="str">
            <v/>
          </cell>
          <cell r="I642" t="str">
            <v/>
          </cell>
          <cell r="J642" t="str">
            <v/>
          </cell>
          <cell r="K642" t="str">
            <v/>
          </cell>
          <cell r="L642" t="str">
            <v/>
          </cell>
          <cell r="M642" t="str">
            <v/>
          </cell>
        </row>
        <row r="644">
          <cell r="E644" t="str">
            <v/>
          </cell>
          <cell r="I644" t="str">
            <v/>
          </cell>
          <cell r="J644" t="str">
            <v/>
          </cell>
          <cell r="K644" t="str">
            <v/>
          </cell>
          <cell r="L644" t="str">
            <v/>
          </cell>
          <cell r="M644" t="str">
            <v/>
          </cell>
        </row>
        <row r="645">
          <cell r="E645" t="str">
            <v/>
          </cell>
          <cell r="I645" t="str">
            <v/>
          </cell>
          <cell r="J645" t="str">
            <v/>
          </cell>
          <cell r="K645" t="str">
            <v/>
          </cell>
          <cell r="L645" t="str">
            <v/>
          </cell>
          <cell r="M645" t="str">
            <v/>
          </cell>
        </row>
        <row r="649">
          <cell r="I649" t="str">
            <v/>
          </cell>
        </row>
        <row r="652">
          <cell r="E652" t="str">
            <v/>
          </cell>
          <cell r="H652" t="str">
            <v>N.A.</v>
          </cell>
          <cell r="I652" t="str">
            <v/>
          </cell>
          <cell r="J652" t="str">
            <v>N.A.</v>
          </cell>
          <cell r="K652" t="str">
            <v>N.A.</v>
          </cell>
          <cell r="L652" t="str">
            <v/>
          </cell>
          <cell r="M652" t="str">
            <v>N.A.</v>
          </cell>
        </row>
        <row r="653">
          <cell r="M653" t="str">
            <v>N.A.</v>
          </cell>
        </row>
        <row r="654">
          <cell r="G654" t="str">
            <v/>
          </cell>
          <cell r="H654" t="str">
            <v/>
          </cell>
          <cell r="I654">
            <v>1</v>
          </cell>
          <cell r="J654" t="str">
            <v/>
          </cell>
          <cell r="K654" t="str">
            <v/>
          </cell>
          <cell r="L654" t="str">
            <v/>
          </cell>
          <cell r="M654" t="str">
            <v>N.A.</v>
          </cell>
        </row>
        <row r="657">
          <cell r="H657" t="str">
            <v>tonnes</v>
          </cell>
          <cell r="I657" t="str">
            <v/>
          </cell>
          <cell r="J657" t="str">
            <v/>
          </cell>
          <cell r="K657" t="str">
            <v/>
          </cell>
          <cell r="L657" t="str">
            <v/>
          </cell>
          <cell r="M657" t="str">
            <v/>
          </cell>
        </row>
        <row r="658">
          <cell r="H658" t="str">
            <v>tonnes</v>
          </cell>
          <cell r="I658" t="str">
            <v/>
          </cell>
          <cell r="J658" t="str">
            <v/>
          </cell>
          <cell r="K658" t="str">
            <v/>
          </cell>
          <cell r="L658" t="str">
            <v/>
          </cell>
          <cell r="M658" t="str">
            <v/>
          </cell>
          <cell r="N658" t="str">
            <v/>
          </cell>
        </row>
        <row r="661">
          <cell r="F661" t="str">
            <v/>
          </cell>
          <cell r="G661" t="str">
            <v>tonnes / year</v>
          </cell>
          <cell r="I661" t="str">
            <v/>
          </cell>
          <cell r="K661" t="str">
            <v/>
          </cell>
          <cell r="M661" t="str">
            <v/>
          </cell>
        </row>
        <row r="665">
          <cell r="I665" t="str">
            <v/>
          </cell>
          <cell r="J665" t="str">
            <v/>
          </cell>
          <cell r="K665" t="str">
            <v/>
          </cell>
          <cell r="L665" t="str">
            <v/>
          </cell>
          <cell r="M665" t="str">
            <v/>
          </cell>
        </row>
        <row r="667">
          <cell r="I667" t="str">
            <v/>
          </cell>
          <cell r="J667" t="str">
            <v/>
          </cell>
          <cell r="K667" t="str">
            <v/>
          </cell>
          <cell r="L667" t="str">
            <v/>
          </cell>
          <cell r="M667" t="str">
            <v/>
          </cell>
        </row>
        <row r="668">
          <cell r="I668" t="str">
            <v/>
          </cell>
          <cell r="J668" t="str">
            <v/>
          </cell>
          <cell r="K668" t="str">
            <v/>
          </cell>
          <cell r="L668" t="str">
            <v/>
          </cell>
          <cell r="M668" t="str">
            <v/>
          </cell>
        </row>
        <row r="670">
          <cell r="I670" t="str">
            <v/>
          </cell>
          <cell r="J670" t="str">
            <v/>
          </cell>
          <cell r="K670" t="str">
            <v/>
          </cell>
          <cell r="L670" t="str">
            <v/>
          </cell>
          <cell r="M670" t="str">
            <v/>
          </cell>
        </row>
        <row r="671">
          <cell r="I671" t="str">
            <v/>
          </cell>
          <cell r="J671" t="str">
            <v/>
          </cell>
          <cell r="K671" t="str">
            <v/>
          </cell>
          <cell r="L671" t="str">
            <v/>
          </cell>
          <cell r="M671" t="str">
            <v/>
          </cell>
        </row>
        <row r="672">
          <cell r="I672" t="str">
            <v/>
          </cell>
          <cell r="J672" t="str">
            <v/>
          </cell>
          <cell r="K672" t="str">
            <v/>
          </cell>
          <cell r="L672" t="str">
            <v/>
          </cell>
          <cell r="M672" t="str">
            <v/>
          </cell>
        </row>
        <row r="673">
          <cell r="I673" t="str">
            <v/>
          </cell>
          <cell r="J673" t="str">
            <v/>
          </cell>
          <cell r="K673" t="str">
            <v/>
          </cell>
          <cell r="L673" t="str">
            <v/>
          </cell>
          <cell r="M673" t="str">
            <v/>
          </cell>
        </row>
        <row r="675">
          <cell r="I675" t="str">
            <v/>
          </cell>
          <cell r="J675" t="str">
            <v/>
          </cell>
          <cell r="K675" t="str">
            <v/>
          </cell>
          <cell r="L675" t="str">
            <v/>
          </cell>
          <cell r="M675" t="str">
            <v/>
          </cell>
        </row>
        <row r="676">
          <cell r="I676" t="str">
            <v/>
          </cell>
          <cell r="J676" t="str">
            <v/>
          </cell>
          <cell r="K676" t="str">
            <v/>
          </cell>
          <cell r="L676" t="str">
            <v/>
          </cell>
          <cell r="M676" t="str">
            <v/>
          </cell>
        </row>
        <row r="678">
          <cell r="I678" t="str">
            <v/>
          </cell>
          <cell r="J678" t="str">
            <v/>
          </cell>
          <cell r="K678" t="str">
            <v/>
          </cell>
          <cell r="L678" t="str">
            <v/>
          </cell>
          <cell r="M678" t="str">
            <v/>
          </cell>
        </row>
        <row r="679">
          <cell r="I679" t="str">
            <v/>
          </cell>
          <cell r="J679" t="str">
            <v/>
          </cell>
          <cell r="K679" t="str">
            <v/>
          </cell>
          <cell r="L679" t="str">
            <v/>
          </cell>
          <cell r="M679" t="str">
            <v/>
          </cell>
        </row>
        <row r="681">
          <cell r="I681" t="str">
            <v/>
          </cell>
          <cell r="J681" t="str">
            <v/>
          </cell>
          <cell r="K681" t="str">
            <v/>
          </cell>
          <cell r="L681" t="str">
            <v/>
          </cell>
          <cell r="M681" t="str">
            <v/>
          </cell>
        </row>
        <row r="682">
          <cell r="I682" t="str">
            <v/>
          </cell>
          <cell r="J682" t="str">
            <v/>
          </cell>
          <cell r="K682" t="str">
            <v/>
          </cell>
          <cell r="L682" t="str">
            <v/>
          </cell>
          <cell r="M682" t="str">
            <v/>
          </cell>
        </row>
        <row r="684">
          <cell r="I684" t="str">
            <v/>
          </cell>
          <cell r="J684" t="str">
            <v/>
          </cell>
          <cell r="K684" t="str">
            <v/>
          </cell>
          <cell r="L684" t="str">
            <v/>
          </cell>
          <cell r="M684" t="str">
            <v/>
          </cell>
        </row>
        <row r="685">
          <cell r="I685" t="str">
            <v/>
          </cell>
          <cell r="J685" t="str">
            <v/>
          </cell>
          <cell r="K685" t="str">
            <v/>
          </cell>
          <cell r="L685" t="str">
            <v/>
          </cell>
          <cell r="M685" t="str">
            <v/>
          </cell>
        </row>
        <row r="686">
          <cell r="I686" t="str">
            <v/>
          </cell>
          <cell r="J686" t="str">
            <v/>
          </cell>
          <cell r="K686" t="str">
            <v/>
          </cell>
          <cell r="L686" t="str">
            <v/>
          </cell>
          <cell r="M686" t="str">
            <v/>
          </cell>
        </row>
        <row r="687">
          <cell r="I687" t="str">
            <v/>
          </cell>
          <cell r="J687" t="str">
            <v/>
          </cell>
          <cell r="K687" t="str">
            <v/>
          </cell>
          <cell r="L687" t="str">
            <v/>
          </cell>
          <cell r="M687" t="str">
            <v/>
          </cell>
        </row>
        <row r="688">
          <cell r="I688" t="str">
            <v/>
          </cell>
          <cell r="J688" t="str">
            <v/>
          </cell>
          <cell r="K688" t="str">
            <v/>
          </cell>
          <cell r="L688" t="str">
            <v/>
          </cell>
          <cell r="M688" t="str">
            <v/>
          </cell>
        </row>
        <row r="689">
          <cell r="I689" t="str">
            <v/>
          </cell>
          <cell r="J689" t="str">
            <v/>
          </cell>
          <cell r="K689" t="str">
            <v/>
          </cell>
          <cell r="L689" t="str">
            <v/>
          </cell>
          <cell r="M689" t="str">
            <v/>
          </cell>
        </row>
        <row r="690">
          <cell r="I690" t="str">
            <v/>
          </cell>
          <cell r="J690" t="str">
            <v/>
          </cell>
          <cell r="K690" t="str">
            <v/>
          </cell>
          <cell r="L690" t="str">
            <v/>
          </cell>
          <cell r="M690" t="str">
            <v/>
          </cell>
        </row>
        <row r="691">
          <cell r="I691" t="str">
            <v/>
          </cell>
          <cell r="J691" t="str">
            <v/>
          </cell>
          <cell r="K691" t="str">
            <v/>
          </cell>
          <cell r="L691" t="str">
            <v/>
          </cell>
          <cell r="M691" t="str">
            <v/>
          </cell>
        </row>
        <row r="692">
          <cell r="I692" t="str">
            <v/>
          </cell>
          <cell r="J692" t="str">
            <v/>
          </cell>
          <cell r="K692" t="str">
            <v/>
          </cell>
          <cell r="L692" t="str">
            <v/>
          </cell>
          <cell r="M692" t="str">
            <v/>
          </cell>
        </row>
        <row r="693">
          <cell r="I693" t="str">
            <v/>
          </cell>
          <cell r="J693" t="str">
            <v/>
          </cell>
          <cell r="K693" t="str">
            <v/>
          </cell>
          <cell r="L693" t="str">
            <v/>
          </cell>
          <cell r="M693" t="str">
            <v/>
          </cell>
        </row>
        <row r="695">
          <cell r="I695" t="str">
            <v/>
          </cell>
          <cell r="J695" t="str">
            <v/>
          </cell>
          <cell r="K695" t="str">
            <v/>
          </cell>
          <cell r="L695" t="str">
            <v/>
          </cell>
          <cell r="M695" t="str">
            <v/>
          </cell>
        </row>
        <row r="696">
          <cell r="I696" t="str">
            <v/>
          </cell>
          <cell r="J696" t="str">
            <v/>
          </cell>
          <cell r="K696" t="str">
            <v/>
          </cell>
          <cell r="L696" t="str">
            <v/>
          </cell>
          <cell r="M696" t="str">
            <v/>
          </cell>
        </row>
        <row r="698">
          <cell r="I698" t="str">
            <v/>
          </cell>
          <cell r="J698" t="str">
            <v/>
          </cell>
          <cell r="K698" t="str">
            <v/>
          </cell>
          <cell r="L698" t="str">
            <v/>
          </cell>
          <cell r="M698" t="str">
            <v/>
          </cell>
        </row>
        <row r="701">
          <cell r="E701" t="str">
            <v/>
          </cell>
          <cell r="I701" t="str">
            <v/>
          </cell>
          <cell r="J701" t="str">
            <v/>
          </cell>
          <cell r="K701" t="str">
            <v/>
          </cell>
          <cell r="L701" t="str">
            <v/>
          </cell>
          <cell r="M701" t="str">
            <v/>
          </cell>
        </row>
        <row r="702">
          <cell r="E702" t="str">
            <v/>
          </cell>
          <cell r="I702" t="str">
            <v/>
          </cell>
          <cell r="J702" t="str">
            <v/>
          </cell>
          <cell r="K702" t="str">
            <v/>
          </cell>
          <cell r="L702" t="str">
            <v/>
          </cell>
          <cell r="M702" t="str">
            <v/>
          </cell>
        </row>
        <row r="704">
          <cell r="E704" t="str">
            <v/>
          </cell>
          <cell r="I704" t="str">
            <v/>
          </cell>
          <cell r="J704" t="str">
            <v/>
          </cell>
          <cell r="K704" t="str">
            <v/>
          </cell>
          <cell r="L704" t="str">
            <v/>
          </cell>
          <cell r="M704" t="str">
            <v/>
          </cell>
        </row>
        <row r="705">
          <cell r="E705" t="str">
            <v/>
          </cell>
          <cell r="I705" t="str">
            <v/>
          </cell>
          <cell r="J705" t="str">
            <v/>
          </cell>
          <cell r="K705" t="str">
            <v/>
          </cell>
          <cell r="L705" t="str">
            <v/>
          </cell>
          <cell r="M705" t="str">
            <v/>
          </cell>
        </row>
        <row r="709">
          <cell r="I709" t="str">
            <v/>
          </cell>
        </row>
        <row r="712">
          <cell r="E712" t="str">
            <v/>
          </cell>
          <cell r="H712" t="str">
            <v>N.A.</v>
          </cell>
          <cell r="I712" t="str">
            <v/>
          </cell>
          <cell r="J712" t="str">
            <v>N.A.</v>
          </cell>
          <cell r="K712" t="str">
            <v>N.A.</v>
          </cell>
          <cell r="L712" t="str">
            <v/>
          </cell>
          <cell r="M712" t="str">
            <v>N.A.</v>
          </cell>
        </row>
        <row r="713">
          <cell r="M713" t="str">
            <v>N.A.</v>
          </cell>
        </row>
        <row r="714">
          <cell r="G714" t="str">
            <v/>
          </cell>
          <cell r="H714" t="str">
            <v/>
          </cell>
          <cell r="I714">
            <v>1</v>
          </cell>
          <cell r="J714" t="str">
            <v/>
          </cell>
          <cell r="K714" t="str">
            <v/>
          </cell>
          <cell r="L714" t="str">
            <v/>
          </cell>
          <cell r="M714" t="str">
            <v>N.A.</v>
          </cell>
        </row>
        <row r="717">
          <cell r="H717" t="str">
            <v>tonnes</v>
          </cell>
          <cell r="I717" t="str">
            <v/>
          </cell>
          <cell r="J717" t="str">
            <v/>
          </cell>
          <cell r="K717" t="str">
            <v/>
          </cell>
          <cell r="L717" t="str">
            <v/>
          </cell>
          <cell r="M717" t="str">
            <v/>
          </cell>
        </row>
        <row r="718">
          <cell r="H718" t="str">
            <v>tonnes</v>
          </cell>
          <cell r="I718" t="str">
            <v/>
          </cell>
          <cell r="J718" t="str">
            <v/>
          </cell>
          <cell r="K718" t="str">
            <v/>
          </cell>
          <cell r="L718" t="str">
            <v/>
          </cell>
          <cell r="M718" t="str">
            <v/>
          </cell>
          <cell r="N718" t="str">
            <v/>
          </cell>
        </row>
        <row r="721">
          <cell r="F721" t="str">
            <v/>
          </cell>
          <cell r="G721" t="str">
            <v>tonnes / year</v>
          </cell>
          <cell r="I721" t="str">
            <v/>
          </cell>
          <cell r="K721" t="str">
            <v/>
          </cell>
          <cell r="M721" t="str">
            <v/>
          </cell>
        </row>
        <row r="725">
          <cell r="I725" t="str">
            <v/>
          </cell>
          <cell r="J725" t="str">
            <v/>
          </cell>
          <cell r="K725" t="str">
            <v/>
          </cell>
          <cell r="L725" t="str">
            <v/>
          </cell>
          <cell r="M725" t="str">
            <v/>
          </cell>
        </row>
        <row r="727">
          <cell r="I727" t="str">
            <v/>
          </cell>
          <cell r="J727" t="str">
            <v/>
          </cell>
          <cell r="K727" t="str">
            <v/>
          </cell>
          <cell r="L727" t="str">
            <v/>
          </cell>
          <cell r="M727" t="str">
            <v/>
          </cell>
        </row>
        <row r="728">
          <cell r="I728" t="str">
            <v/>
          </cell>
          <cell r="J728" t="str">
            <v/>
          </cell>
          <cell r="K728" t="str">
            <v/>
          </cell>
          <cell r="L728" t="str">
            <v/>
          </cell>
          <cell r="M728" t="str">
            <v/>
          </cell>
        </row>
        <row r="730">
          <cell r="I730" t="str">
            <v/>
          </cell>
          <cell r="J730" t="str">
            <v/>
          </cell>
          <cell r="K730" t="str">
            <v/>
          </cell>
          <cell r="L730" t="str">
            <v/>
          </cell>
          <cell r="M730" t="str">
            <v/>
          </cell>
        </row>
        <row r="731">
          <cell r="I731" t="str">
            <v/>
          </cell>
          <cell r="J731" t="str">
            <v/>
          </cell>
          <cell r="K731" t="str">
            <v/>
          </cell>
          <cell r="L731" t="str">
            <v/>
          </cell>
          <cell r="M731" t="str">
            <v/>
          </cell>
        </row>
        <row r="732">
          <cell r="I732" t="str">
            <v/>
          </cell>
          <cell r="J732" t="str">
            <v/>
          </cell>
          <cell r="K732" t="str">
            <v/>
          </cell>
          <cell r="L732" t="str">
            <v/>
          </cell>
          <cell r="M732" t="str">
            <v/>
          </cell>
        </row>
        <row r="733">
          <cell r="I733" t="str">
            <v/>
          </cell>
          <cell r="J733" t="str">
            <v/>
          </cell>
          <cell r="K733" t="str">
            <v/>
          </cell>
          <cell r="L733" t="str">
            <v/>
          </cell>
          <cell r="M733" t="str">
            <v/>
          </cell>
        </row>
        <row r="735">
          <cell r="I735" t="str">
            <v/>
          </cell>
          <cell r="J735" t="str">
            <v/>
          </cell>
          <cell r="K735" t="str">
            <v/>
          </cell>
          <cell r="L735" t="str">
            <v/>
          </cell>
          <cell r="M735" t="str">
            <v/>
          </cell>
        </row>
        <row r="736">
          <cell r="I736" t="str">
            <v/>
          </cell>
          <cell r="J736" t="str">
            <v/>
          </cell>
          <cell r="K736" t="str">
            <v/>
          </cell>
          <cell r="L736" t="str">
            <v/>
          </cell>
          <cell r="M736" t="str">
            <v/>
          </cell>
        </row>
        <row r="738">
          <cell r="I738" t="str">
            <v/>
          </cell>
          <cell r="J738" t="str">
            <v/>
          </cell>
          <cell r="K738" t="str">
            <v/>
          </cell>
          <cell r="L738" t="str">
            <v/>
          </cell>
          <cell r="M738" t="str">
            <v/>
          </cell>
        </row>
        <row r="739">
          <cell r="I739" t="str">
            <v/>
          </cell>
          <cell r="J739" t="str">
            <v/>
          </cell>
          <cell r="K739" t="str">
            <v/>
          </cell>
          <cell r="L739" t="str">
            <v/>
          </cell>
          <cell r="M739" t="str">
            <v/>
          </cell>
        </row>
        <row r="741">
          <cell r="I741" t="str">
            <v/>
          </cell>
          <cell r="J741" t="str">
            <v/>
          </cell>
          <cell r="K741" t="str">
            <v/>
          </cell>
          <cell r="L741" t="str">
            <v/>
          </cell>
          <cell r="M741" t="str">
            <v/>
          </cell>
        </row>
        <row r="742">
          <cell r="I742" t="str">
            <v/>
          </cell>
          <cell r="J742" t="str">
            <v/>
          </cell>
          <cell r="K742" t="str">
            <v/>
          </cell>
          <cell r="L742" t="str">
            <v/>
          </cell>
          <cell r="M742" t="str">
            <v/>
          </cell>
        </row>
        <row r="744">
          <cell r="I744" t="str">
            <v/>
          </cell>
          <cell r="J744" t="str">
            <v/>
          </cell>
          <cell r="K744" t="str">
            <v/>
          </cell>
          <cell r="L744" t="str">
            <v/>
          </cell>
          <cell r="M744" t="str">
            <v/>
          </cell>
        </row>
        <row r="745">
          <cell r="I745" t="str">
            <v/>
          </cell>
          <cell r="J745" t="str">
            <v/>
          </cell>
          <cell r="K745" t="str">
            <v/>
          </cell>
          <cell r="L745" t="str">
            <v/>
          </cell>
          <cell r="M745" t="str">
            <v/>
          </cell>
        </row>
        <row r="746">
          <cell r="I746" t="str">
            <v/>
          </cell>
          <cell r="J746" t="str">
            <v/>
          </cell>
          <cell r="K746" t="str">
            <v/>
          </cell>
          <cell r="L746" t="str">
            <v/>
          </cell>
          <cell r="M746" t="str">
            <v/>
          </cell>
        </row>
        <row r="747">
          <cell r="I747" t="str">
            <v/>
          </cell>
          <cell r="J747" t="str">
            <v/>
          </cell>
          <cell r="K747" t="str">
            <v/>
          </cell>
          <cell r="L747" t="str">
            <v/>
          </cell>
          <cell r="M747" t="str">
            <v/>
          </cell>
        </row>
        <row r="748">
          <cell r="I748" t="str">
            <v/>
          </cell>
          <cell r="J748" t="str">
            <v/>
          </cell>
          <cell r="K748" t="str">
            <v/>
          </cell>
          <cell r="L748" t="str">
            <v/>
          </cell>
          <cell r="M748" t="str">
            <v/>
          </cell>
        </row>
        <row r="749">
          <cell r="I749" t="str">
            <v/>
          </cell>
          <cell r="J749" t="str">
            <v/>
          </cell>
          <cell r="K749" t="str">
            <v/>
          </cell>
          <cell r="L749" t="str">
            <v/>
          </cell>
          <cell r="M749" t="str">
            <v/>
          </cell>
        </row>
        <row r="750">
          <cell r="I750" t="str">
            <v/>
          </cell>
          <cell r="J750" t="str">
            <v/>
          </cell>
          <cell r="K750" t="str">
            <v/>
          </cell>
          <cell r="L750" t="str">
            <v/>
          </cell>
          <cell r="M750" t="str">
            <v/>
          </cell>
        </row>
        <row r="751">
          <cell r="I751" t="str">
            <v/>
          </cell>
          <cell r="J751" t="str">
            <v/>
          </cell>
          <cell r="K751" t="str">
            <v/>
          </cell>
          <cell r="L751" t="str">
            <v/>
          </cell>
          <cell r="M751" t="str">
            <v/>
          </cell>
        </row>
        <row r="752">
          <cell r="I752" t="str">
            <v/>
          </cell>
          <cell r="J752" t="str">
            <v/>
          </cell>
          <cell r="K752" t="str">
            <v/>
          </cell>
          <cell r="L752" t="str">
            <v/>
          </cell>
          <cell r="M752" t="str">
            <v/>
          </cell>
        </row>
        <row r="753">
          <cell r="I753" t="str">
            <v/>
          </cell>
          <cell r="J753" t="str">
            <v/>
          </cell>
          <cell r="K753" t="str">
            <v/>
          </cell>
          <cell r="L753" t="str">
            <v/>
          </cell>
          <cell r="M753" t="str">
            <v/>
          </cell>
        </row>
        <row r="755">
          <cell r="I755" t="str">
            <v/>
          </cell>
          <cell r="J755" t="str">
            <v/>
          </cell>
          <cell r="K755" t="str">
            <v/>
          </cell>
          <cell r="L755" t="str">
            <v/>
          </cell>
          <cell r="M755" t="str">
            <v/>
          </cell>
        </row>
        <row r="756">
          <cell r="I756" t="str">
            <v/>
          </cell>
          <cell r="J756" t="str">
            <v/>
          </cell>
          <cell r="K756" t="str">
            <v/>
          </cell>
          <cell r="L756" t="str">
            <v/>
          </cell>
          <cell r="M756" t="str">
            <v/>
          </cell>
        </row>
        <row r="758">
          <cell r="I758" t="str">
            <v/>
          </cell>
          <cell r="J758" t="str">
            <v/>
          </cell>
          <cell r="K758" t="str">
            <v/>
          </cell>
          <cell r="L758" t="str">
            <v/>
          </cell>
          <cell r="M758" t="str">
            <v/>
          </cell>
        </row>
        <row r="761">
          <cell r="E761" t="str">
            <v/>
          </cell>
          <cell r="I761" t="str">
            <v/>
          </cell>
          <cell r="J761" t="str">
            <v/>
          </cell>
          <cell r="K761" t="str">
            <v/>
          </cell>
          <cell r="L761" t="str">
            <v/>
          </cell>
          <cell r="M761" t="str">
            <v/>
          </cell>
        </row>
        <row r="762">
          <cell r="E762" t="str">
            <v/>
          </cell>
          <cell r="I762" t="str">
            <v/>
          </cell>
          <cell r="J762" t="str">
            <v/>
          </cell>
          <cell r="K762" t="str">
            <v/>
          </cell>
          <cell r="L762" t="str">
            <v/>
          </cell>
          <cell r="M762" t="str">
            <v/>
          </cell>
        </row>
        <row r="764">
          <cell r="E764" t="str">
            <v/>
          </cell>
          <cell r="I764" t="str">
            <v/>
          </cell>
          <cell r="J764" t="str">
            <v/>
          </cell>
          <cell r="K764" t="str">
            <v/>
          </cell>
          <cell r="L764" t="str">
            <v/>
          </cell>
          <cell r="M764" t="str">
            <v/>
          </cell>
        </row>
        <row r="765">
          <cell r="E765" t="str">
            <v/>
          </cell>
          <cell r="I765" t="str">
            <v/>
          </cell>
          <cell r="J765" t="str">
            <v/>
          </cell>
          <cell r="K765" t="str">
            <v/>
          </cell>
          <cell r="L765" t="str">
            <v/>
          </cell>
          <cell r="M765" t="str">
            <v/>
          </cell>
        </row>
        <row r="769">
          <cell r="I769" t="str">
            <v/>
          </cell>
        </row>
        <row r="772">
          <cell r="E772" t="str">
            <v/>
          </cell>
          <cell r="H772" t="str">
            <v>N.A.</v>
          </cell>
          <cell r="I772" t="str">
            <v/>
          </cell>
          <cell r="J772" t="str">
            <v>N.A.</v>
          </cell>
          <cell r="K772" t="str">
            <v>N.A.</v>
          </cell>
          <cell r="L772" t="str">
            <v/>
          </cell>
          <cell r="M772" t="str">
            <v>N.A.</v>
          </cell>
        </row>
        <row r="773">
          <cell r="M773" t="str">
            <v>N.A.</v>
          </cell>
        </row>
        <row r="774">
          <cell r="G774" t="str">
            <v/>
          </cell>
          <cell r="H774" t="str">
            <v/>
          </cell>
          <cell r="I774">
            <v>1</v>
          </cell>
          <cell r="J774" t="str">
            <v/>
          </cell>
          <cell r="K774" t="str">
            <v/>
          </cell>
          <cell r="L774" t="str">
            <v/>
          </cell>
          <cell r="M774" t="str">
            <v>N.A.</v>
          </cell>
        </row>
        <row r="777">
          <cell r="H777" t="str">
            <v>tonnes</v>
          </cell>
          <cell r="I777" t="str">
            <v/>
          </cell>
          <cell r="J777" t="str">
            <v/>
          </cell>
          <cell r="K777" t="str">
            <v/>
          </cell>
          <cell r="L777" t="str">
            <v/>
          </cell>
          <cell r="M777" t="str">
            <v/>
          </cell>
        </row>
        <row r="778">
          <cell r="H778" t="str">
            <v>tonnes</v>
          </cell>
          <cell r="I778" t="str">
            <v/>
          </cell>
          <cell r="J778" t="str">
            <v/>
          </cell>
          <cell r="K778" t="str">
            <v/>
          </cell>
          <cell r="L778" t="str">
            <v/>
          </cell>
          <cell r="M778" t="str">
            <v/>
          </cell>
          <cell r="N778" t="str">
            <v/>
          </cell>
        </row>
        <row r="781">
          <cell r="F781" t="str">
            <v/>
          </cell>
          <cell r="G781" t="str">
            <v>tonnes / year</v>
          </cell>
          <cell r="I781" t="str">
            <v/>
          </cell>
          <cell r="K781" t="str">
            <v/>
          </cell>
          <cell r="M781" t="str">
            <v/>
          </cell>
        </row>
        <row r="785">
          <cell r="I785" t="str">
            <v/>
          </cell>
          <cell r="J785" t="str">
            <v/>
          </cell>
          <cell r="K785" t="str">
            <v/>
          </cell>
          <cell r="L785" t="str">
            <v/>
          </cell>
          <cell r="M785" t="str">
            <v/>
          </cell>
        </row>
        <row r="787">
          <cell r="I787" t="str">
            <v/>
          </cell>
          <cell r="J787" t="str">
            <v/>
          </cell>
          <cell r="K787" t="str">
            <v/>
          </cell>
          <cell r="L787" t="str">
            <v/>
          </cell>
          <cell r="M787" t="str">
            <v/>
          </cell>
        </row>
        <row r="788">
          <cell r="I788" t="str">
            <v/>
          </cell>
          <cell r="J788" t="str">
            <v/>
          </cell>
          <cell r="K788" t="str">
            <v/>
          </cell>
          <cell r="L788" t="str">
            <v/>
          </cell>
          <cell r="M788" t="str">
            <v/>
          </cell>
        </row>
        <row r="790">
          <cell r="I790" t="str">
            <v/>
          </cell>
          <cell r="J790" t="str">
            <v/>
          </cell>
          <cell r="K790" t="str">
            <v/>
          </cell>
          <cell r="L790" t="str">
            <v/>
          </cell>
          <cell r="M790" t="str">
            <v/>
          </cell>
        </row>
        <row r="791">
          <cell r="I791" t="str">
            <v/>
          </cell>
          <cell r="J791" t="str">
            <v/>
          </cell>
          <cell r="K791" t="str">
            <v/>
          </cell>
          <cell r="L791" t="str">
            <v/>
          </cell>
          <cell r="M791" t="str">
            <v/>
          </cell>
        </row>
        <row r="792">
          <cell r="I792" t="str">
            <v/>
          </cell>
          <cell r="J792" t="str">
            <v/>
          </cell>
          <cell r="K792" t="str">
            <v/>
          </cell>
          <cell r="L792" t="str">
            <v/>
          </cell>
          <cell r="M792" t="str">
            <v/>
          </cell>
        </row>
        <row r="793">
          <cell r="I793" t="str">
            <v/>
          </cell>
          <cell r="J793" t="str">
            <v/>
          </cell>
          <cell r="K793" t="str">
            <v/>
          </cell>
          <cell r="L793" t="str">
            <v/>
          </cell>
          <cell r="M793" t="str">
            <v/>
          </cell>
        </row>
        <row r="795">
          <cell r="I795" t="str">
            <v/>
          </cell>
          <cell r="J795" t="str">
            <v/>
          </cell>
          <cell r="K795" t="str">
            <v/>
          </cell>
          <cell r="L795" t="str">
            <v/>
          </cell>
          <cell r="M795" t="str">
            <v/>
          </cell>
        </row>
        <row r="796">
          <cell r="I796" t="str">
            <v/>
          </cell>
          <cell r="J796" t="str">
            <v/>
          </cell>
          <cell r="K796" t="str">
            <v/>
          </cell>
          <cell r="L796" t="str">
            <v/>
          </cell>
          <cell r="M796" t="str">
            <v/>
          </cell>
        </row>
        <row r="798">
          <cell r="I798" t="str">
            <v/>
          </cell>
          <cell r="J798" t="str">
            <v/>
          </cell>
          <cell r="K798" t="str">
            <v/>
          </cell>
          <cell r="L798" t="str">
            <v/>
          </cell>
          <cell r="M798" t="str">
            <v/>
          </cell>
        </row>
        <row r="799">
          <cell r="I799" t="str">
            <v/>
          </cell>
          <cell r="J799" t="str">
            <v/>
          </cell>
          <cell r="K799" t="str">
            <v/>
          </cell>
          <cell r="L799" t="str">
            <v/>
          </cell>
          <cell r="M799" t="str">
            <v/>
          </cell>
        </row>
        <row r="801">
          <cell r="I801" t="str">
            <v/>
          </cell>
          <cell r="J801" t="str">
            <v/>
          </cell>
          <cell r="K801" t="str">
            <v/>
          </cell>
          <cell r="L801" t="str">
            <v/>
          </cell>
          <cell r="M801" t="str">
            <v/>
          </cell>
        </row>
        <row r="802">
          <cell r="I802" t="str">
            <v/>
          </cell>
          <cell r="J802" t="str">
            <v/>
          </cell>
          <cell r="K802" t="str">
            <v/>
          </cell>
          <cell r="L802" t="str">
            <v/>
          </cell>
          <cell r="M802" t="str">
            <v/>
          </cell>
        </row>
        <row r="804">
          <cell r="I804" t="str">
            <v/>
          </cell>
          <cell r="J804" t="str">
            <v/>
          </cell>
          <cell r="K804" t="str">
            <v/>
          </cell>
          <cell r="L804" t="str">
            <v/>
          </cell>
          <cell r="M804" t="str">
            <v/>
          </cell>
        </row>
        <row r="805">
          <cell r="I805" t="str">
            <v/>
          </cell>
          <cell r="J805" t="str">
            <v/>
          </cell>
          <cell r="K805" t="str">
            <v/>
          </cell>
          <cell r="L805" t="str">
            <v/>
          </cell>
          <cell r="M805" t="str">
            <v/>
          </cell>
        </row>
        <row r="806">
          <cell r="I806" t="str">
            <v/>
          </cell>
          <cell r="J806" t="str">
            <v/>
          </cell>
          <cell r="K806" t="str">
            <v/>
          </cell>
          <cell r="L806" t="str">
            <v/>
          </cell>
          <cell r="M806" t="str">
            <v/>
          </cell>
        </row>
        <row r="807">
          <cell r="I807" t="str">
            <v/>
          </cell>
          <cell r="J807" t="str">
            <v/>
          </cell>
          <cell r="K807" t="str">
            <v/>
          </cell>
          <cell r="L807" t="str">
            <v/>
          </cell>
          <cell r="M807" t="str">
            <v/>
          </cell>
        </row>
        <row r="808">
          <cell r="I808" t="str">
            <v/>
          </cell>
          <cell r="J808" t="str">
            <v/>
          </cell>
          <cell r="K808" t="str">
            <v/>
          </cell>
          <cell r="L808" t="str">
            <v/>
          </cell>
          <cell r="M808" t="str">
            <v/>
          </cell>
        </row>
        <row r="809">
          <cell r="I809" t="str">
            <v/>
          </cell>
          <cell r="J809" t="str">
            <v/>
          </cell>
          <cell r="K809" t="str">
            <v/>
          </cell>
          <cell r="L809" t="str">
            <v/>
          </cell>
          <cell r="M809" t="str">
            <v/>
          </cell>
        </row>
        <row r="810">
          <cell r="I810" t="str">
            <v/>
          </cell>
          <cell r="J810" t="str">
            <v/>
          </cell>
          <cell r="K810" t="str">
            <v/>
          </cell>
          <cell r="L810" t="str">
            <v/>
          </cell>
          <cell r="M810" t="str">
            <v/>
          </cell>
        </row>
        <row r="811">
          <cell r="I811" t="str">
            <v/>
          </cell>
          <cell r="J811" t="str">
            <v/>
          </cell>
          <cell r="K811" t="str">
            <v/>
          </cell>
          <cell r="L811" t="str">
            <v/>
          </cell>
          <cell r="M811" t="str">
            <v/>
          </cell>
        </row>
        <row r="812">
          <cell r="I812" t="str">
            <v/>
          </cell>
          <cell r="J812" t="str">
            <v/>
          </cell>
          <cell r="K812" t="str">
            <v/>
          </cell>
          <cell r="L812" t="str">
            <v/>
          </cell>
          <cell r="M812" t="str">
            <v/>
          </cell>
        </row>
        <row r="813">
          <cell r="I813" t="str">
            <v/>
          </cell>
          <cell r="J813" t="str">
            <v/>
          </cell>
          <cell r="K813" t="str">
            <v/>
          </cell>
          <cell r="L813" t="str">
            <v/>
          </cell>
          <cell r="M813" t="str">
            <v/>
          </cell>
        </row>
        <row r="815">
          <cell r="I815" t="str">
            <v/>
          </cell>
          <cell r="J815" t="str">
            <v/>
          </cell>
          <cell r="K815" t="str">
            <v/>
          </cell>
          <cell r="L815" t="str">
            <v/>
          </cell>
          <cell r="M815" t="str">
            <v/>
          </cell>
        </row>
        <row r="816">
          <cell r="I816" t="str">
            <v/>
          </cell>
          <cell r="J816" t="str">
            <v/>
          </cell>
          <cell r="K816" t="str">
            <v/>
          </cell>
          <cell r="L816" t="str">
            <v/>
          </cell>
          <cell r="M816" t="str">
            <v/>
          </cell>
        </row>
        <row r="818">
          <cell r="I818" t="str">
            <v/>
          </cell>
          <cell r="J818" t="str">
            <v/>
          </cell>
          <cell r="K818" t="str">
            <v/>
          </cell>
          <cell r="L818" t="str">
            <v/>
          </cell>
          <cell r="M818" t="str">
            <v/>
          </cell>
        </row>
        <row r="821">
          <cell r="E821" t="str">
            <v/>
          </cell>
          <cell r="I821" t="str">
            <v/>
          </cell>
          <cell r="J821" t="str">
            <v/>
          </cell>
          <cell r="K821" t="str">
            <v/>
          </cell>
          <cell r="L821" t="str">
            <v/>
          </cell>
          <cell r="M821" t="str">
            <v/>
          </cell>
        </row>
        <row r="822">
          <cell r="E822" t="str">
            <v/>
          </cell>
          <cell r="I822" t="str">
            <v/>
          </cell>
          <cell r="J822" t="str">
            <v/>
          </cell>
          <cell r="K822" t="str">
            <v/>
          </cell>
          <cell r="L822" t="str">
            <v/>
          </cell>
          <cell r="M822" t="str">
            <v/>
          </cell>
        </row>
        <row r="824">
          <cell r="E824" t="str">
            <v/>
          </cell>
          <cell r="I824" t="str">
            <v/>
          </cell>
          <cell r="J824" t="str">
            <v/>
          </cell>
          <cell r="K824" t="str">
            <v/>
          </cell>
          <cell r="L824" t="str">
            <v/>
          </cell>
          <cell r="M824" t="str">
            <v/>
          </cell>
        </row>
        <row r="825">
          <cell r="E825" t="str">
            <v/>
          </cell>
          <cell r="I825" t="str">
            <v/>
          </cell>
          <cell r="J825" t="str">
            <v/>
          </cell>
          <cell r="K825" t="str">
            <v/>
          </cell>
          <cell r="L825" t="str">
            <v/>
          </cell>
          <cell r="M825" t="str">
            <v/>
          </cell>
        </row>
        <row r="829">
          <cell r="I829" t="str">
            <v/>
          </cell>
        </row>
        <row r="832">
          <cell r="E832" t="str">
            <v/>
          </cell>
          <cell r="H832" t="str">
            <v>N.A.</v>
          </cell>
          <cell r="I832" t="str">
            <v/>
          </cell>
          <cell r="J832" t="str">
            <v>N.A.</v>
          </cell>
          <cell r="K832" t="str">
            <v>N.A.</v>
          </cell>
          <cell r="L832" t="str">
            <v/>
          </cell>
          <cell r="M832" t="str">
            <v>N.A.</v>
          </cell>
        </row>
        <row r="833">
          <cell r="M833" t="str">
            <v>N.A.</v>
          </cell>
        </row>
        <row r="834">
          <cell r="G834" t="str">
            <v/>
          </cell>
          <cell r="H834" t="str">
            <v/>
          </cell>
          <cell r="I834">
            <v>1</v>
          </cell>
          <cell r="J834" t="str">
            <v/>
          </cell>
          <cell r="K834" t="str">
            <v/>
          </cell>
          <cell r="L834" t="str">
            <v/>
          </cell>
          <cell r="M834" t="str">
            <v>N.A.</v>
          </cell>
        </row>
        <row r="837">
          <cell r="H837" t="str">
            <v>tonnes</v>
          </cell>
          <cell r="I837" t="str">
            <v/>
          </cell>
          <cell r="J837" t="str">
            <v/>
          </cell>
          <cell r="K837" t="str">
            <v/>
          </cell>
          <cell r="L837" t="str">
            <v/>
          </cell>
          <cell r="M837" t="str">
            <v/>
          </cell>
        </row>
        <row r="838">
          <cell r="H838" t="str">
            <v>tonnes</v>
          </cell>
          <cell r="I838" t="str">
            <v/>
          </cell>
          <cell r="J838" t="str">
            <v/>
          </cell>
          <cell r="K838" t="str">
            <v/>
          </cell>
          <cell r="L838" t="str">
            <v/>
          </cell>
          <cell r="M838" t="str">
            <v/>
          </cell>
          <cell r="N838" t="str">
            <v/>
          </cell>
        </row>
        <row r="841">
          <cell r="F841" t="str">
            <v/>
          </cell>
          <cell r="G841" t="str">
            <v>tonnes / year</v>
          </cell>
          <cell r="I841" t="str">
            <v/>
          </cell>
          <cell r="K841" t="str">
            <v/>
          </cell>
          <cell r="M841" t="str">
            <v/>
          </cell>
        </row>
        <row r="845">
          <cell r="I845" t="str">
            <v/>
          </cell>
          <cell r="J845" t="str">
            <v/>
          </cell>
          <cell r="K845" t="str">
            <v/>
          </cell>
          <cell r="L845" t="str">
            <v/>
          </cell>
          <cell r="M845" t="str">
            <v/>
          </cell>
        </row>
        <row r="847">
          <cell r="I847" t="str">
            <v/>
          </cell>
          <cell r="J847" t="str">
            <v/>
          </cell>
          <cell r="K847" t="str">
            <v/>
          </cell>
          <cell r="L847" t="str">
            <v/>
          </cell>
          <cell r="M847" t="str">
            <v/>
          </cell>
        </row>
        <row r="848">
          <cell r="I848" t="str">
            <v/>
          </cell>
          <cell r="J848" t="str">
            <v/>
          </cell>
          <cell r="K848" t="str">
            <v/>
          </cell>
          <cell r="L848" t="str">
            <v/>
          </cell>
          <cell r="M848" t="str">
            <v/>
          </cell>
        </row>
        <row r="850">
          <cell r="I850" t="str">
            <v/>
          </cell>
          <cell r="J850" t="str">
            <v/>
          </cell>
          <cell r="K850" t="str">
            <v/>
          </cell>
          <cell r="L850" t="str">
            <v/>
          </cell>
          <cell r="M850" t="str">
            <v/>
          </cell>
        </row>
        <row r="851">
          <cell r="I851" t="str">
            <v/>
          </cell>
          <cell r="J851" t="str">
            <v/>
          </cell>
          <cell r="K851" t="str">
            <v/>
          </cell>
          <cell r="L851" t="str">
            <v/>
          </cell>
          <cell r="M851" t="str">
            <v/>
          </cell>
        </row>
        <row r="852">
          <cell r="I852" t="str">
            <v/>
          </cell>
          <cell r="J852" t="str">
            <v/>
          </cell>
          <cell r="K852" t="str">
            <v/>
          </cell>
          <cell r="L852" t="str">
            <v/>
          </cell>
          <cell r="M852" t="str">
            <v/>
          </cell>
        </row>
        <row r="853">
          <cell r="I853" t="str">
            <v/>
          </cell>
          <cell r="J853" t="str">
            <v/>
          </cell>
          <cell r="K853" t="str">
            <v/>
          </cell>
          <cell r="L853" t="str">
            <v/>
          </cell>
          <cell r="M853" t="str">
            <v/>
          </cell>
        </row>
        <row r="855">
          <cell r="I855" t="str">
            <v/>
          </cell>
          <cell r="J855" t="str">
            <v/>
          </cell>
          <cell r="K855" t="str">
            <v/>
          </cell>
          <cell r="L855" t="str">
            <v/>
          </cell>
          <cell r="M855" t="str">
            <v/>
          </cell>
        </row>
        <row r="856">
          <cell r="I856" t="str">
            <v/>
          </cell>
          <cell r="J856" t="str">
            <v/>
          </cell>
          <cell r="K856" t="str">
            <v/>
          </cell>
          <cell r="L856" t="str">
            <v/>
          </cell>
          <cell r="M856" t="str">
            <v/>
          </cell>
        </row>
        <row r="858">
          <cell r="I858" t="str">
            <v/>
          </cell>
          <cell r="J858" t="str">
            <v/>
          </cell>
          <cell r="K858" t="str">
            <v/>
          </cell>
          <cell r="L858" t="str">
            <v/>
          </cell>
          <cell r="M858" t="str">
            <v/>
          </cell>
        </row>
        <row r="859">
          <cell r="I859" t="str">
            <v/>
          </cell>
          <cell r="J859" t="str">
            <v/>
          </cell>
          <cell r="K859" t="str">
            <v/>
          </cell>
          <cell r="L859" t="str">
            <v/>
          </cell>
          <cell r="M859" t="str">
            <v/>
          </cell>
        </row>
        <row r="861">
          <cell r="I861" t="str">
            <v/>
          </cell>
          <cell r="J861" t="str">
            <v/>
          </cell>
          <cell r="K861" t="str">
            <v/>
          </cell>
          <cell r="L861" t="str">
            <v/>
          </cell>
          <cell r="M861" t="str">
            <v/>
          </cell>
        </row>
        <row r="862">
          <cell r="I862" t="str">
            <v/>
          </cell>
          <cell r="J862" t="str">
            <v/>
          </cell>
          <cell r="K862" t="str">
            <v/>
          </cell>
          <cell r="L862" t="str">
            <v/>
          </cell>
          <cell r="M862" t="str">
            <v/>
          </cell>
        </row>
        <row r="864">
          <cell r="I864" t="str">
            <v/>
          </cell>
          <cell r="J864" t="str">
            <v/>
          </cell>
          <cell r="K864" t="str">
            <v/>
          </cell>
          <cell r="L864" t="str">
            <v/>
          </cell>
          <cell r="M864" t="str">
            <v/>
          </cell>
        </row>
        <row r="865">
          <cell r="I865" t="str">
            <v/>
          </cell>
          <cell r="J865" t="str">
            <v/>
          </cell>
          <cell r="K865" t="str">
            <v/>
          </cell>
          <cell r="L865" t="str">
            <v/>
          </cell>
          <cell r="M865" t="str">
            <v/>
          </cell>
        </row>
        <row r="866">
          <cell r="I866" t="str">
            <v/>
          </cell>
          <cell r="J866" t="str">
            <v/>
          </cell>
          <cell r="K866" t="str">
            <v/>
          </cell>
          <cell r="L866" t="str">
            <v/>
          </cell>
          <cell r="M866" t="str">
            <v/>
          </cell>
        </row>
        <row r="867">
          <cell r="I867" t="str">
            <v/>
          </cell>
          <cell r="J867" t="str">
            <v/>
          </cell>
          <cell r="K867" t="str">
            <v/>
          </cell>
          <cell r="L867" t="str">
            <v/>
          </cell>
          <cell r="M867" t="str">
            <v/>
          </cell>
        </row>
        <row r="868">
          <cell r="I868" t="str">
            <v/>
          </cell>
          <cell r="J868" t="str">
            <v/>
          </cell>
          <cell r="K868" t="str">
            <v/>
          </cell>
          <cell r="L868" t="str">
            <v/>
          </cell>
          <cell r="M868" t="str">
            <v/>
          </cell>
        </row>
        <row r="869">
          <cell r="I869" t="str">
            <v/>
          </cell>
          <cell r="J869" t="str">
            <v/>
          </cell>
          <cell r="K869" t="str">
            <v/>
          </cell>
          <cell r="L869" t="str">
            <v/>
          </cell>
          <cell r="M869" t="str">
            <v/>
          </cell>
        </row>
        <row r="870">
          <cell r="I870" t="str">
            <v/>
          </cell>
          <cell r="J870" t="str">
            <v/>
          </cell>
          <cell r="K870" t="str">
            <v/>
          </cell>
          <cell r="L870" t="str">
            <v/>
          </cell>
          <cell r="M870" t="str">
            <v/>
          </cell>
        </row>
        <row r="871">
          <cell r="I871" t="str">
            <v/>
          </cell>
          <cell r="J871" t="str">
            <v/>
          </cell>
          <cell r="K871" t="str">
            <v/>
          </cell>
          <cell r="L871" t="str">
            <v/>
          </cell>
          <cell r="M871" t="str">
            <v/>
          </cell>
        </row>
        <row r="872">
          <cell r="I872" t="str">
            <v/>
          </cell>
          <cell r="J872" t="str">
            <v/>
          </cell>
          <cell r="K872" t="str">
            <v/>
          </cell>
          <cell r="L872" t="str">
            <v/>
          </cell>
          <cell r="M872" t="str">
            <v/>
          </cell>
        </row>
        <row r="873">
          <cell r="I873" t="str">
            <v/>
          </cell>
          <cell r="J873" t="str">
            <v/>
          </cell>
          <cell r="K873" t="str">
            <v/>
          </cell>
          <cell r="L873" t="str">
            <v/>
          </cell>
          <cell r="M873" t="str">
            <v/>
          </cell>
        </row>
        <row r="875">
          <cell r="I875" t="str">
            <v/>
          </cell>
          <cell r="J875" t="str">
            <v/>
          </cell>
          <cell r="K875" t="str">
            <v/>
          </cell>
          <cell r="L875" t="str">
            <v/>
          </cell>
          <cell r="M875" t="str">
            <v/>
          </cell>
        </row>
        <row r="876">
          <cell r="I876" t="str">
            <v/>
          </cell>
          <cell r="J876" t="str">
            <v/>
          </cell>
          <cell r="K876" t="str">
            <v/>
          </cell>
          <cell r="L876" t="str">
            <v/>
          </cell>
          <cell r="M876" t="str">
            <v/>
          </cell>
        </row>
        <row r="878">
          <cell r="I878" t="str">
            <v/>
          </cell>
          <cell r="J878" t="str">
            <v/>
          </cell>
          <cell r="K878" t="str">
            <v/>
          </cell>
          <cell r="L878" t="str">
            <v/>
          </cell>
          <cell r="M878" t="str">
            <v/>
          </cell>
        </row>
        <row r="881">
          <cell r="E881" t="str">
            <v/>
          </cell>
          <cell r="I881" t="str">
            <v/>
          </cell>
          <cell r="J881" t="str">
            <v/>
          </cell>
          <cell r="K881" t="str">
            <v/>
          </cell>
          <cell r="L881" t="str">
            <v/>
          </cell>
          <cell r="M881" t="str">
            <v/>
          </cell>
        </row>
        <row r="882">
          <cell r="E882" t="str">
            <v/>
          </cell>
          <cell r="I882" t="str">
            <v/>
          </cell>
          <cell r="J882" t="str">
            <v/>
          </cell>
          <cell r="K882" t="str">
            <v/>
          </cell>
          <cell r="L882" t="str">
            <v/>
          </cell>
          <cell r="M882" t="str">
            <v/>
          </cell>
        </row>
        <row r="884">
          <cell r="E884" t="str">
            <v/>
          </cell>
          <cell r="I884" t="str">
            <v/>
          </cell>
          <cell r="J884" t="str">
            <v/>
          </cell>
          <cell r="K884" t="str">
            <v/>
          </cell>
          <cell r="L884" t="str">
            <v/>
          </cell>
          <cell r="M884" t="str">
            <v/>
          </cell>
        </row>
        <row r="885">
          <cell r="E885" t="str">
            <v/>
          </cell>
          <cell r="I885" t="str">
            <v/>
          </cell>
          <cell r="J885" t="str">
            <v/>
          </cell>
          <cell r="K885" t="str">
            <v/>
          </cell>
          <cell r="L885" t="str">
            <v/>
          </cell>
          <cell r="M885" t="str">
            <v/>
          </cell>
        </row>
        <row r="889">
          <cell r="I889" t="str">
            <v/>
          </cell>
        </row>
        <row r="892">
          <cell r="E892" t="str">
            <v/>
          </cell>
          <cell r="H892" t="str">
            <v>N.A.</v>
          </cell>
          <cell r="I892" t="str">
            <v/>
          </cell>
          <cell r="J892" t="str">
            <v>N.A.</v>
          </cell>
          <cell r="K892" t="str">
            <v>N.A.</v>
          </cell>
          <cell r="L892" t="str">
            <v/>
          </cell>
          <cell r="M892" t="str">
            <v>N.A.</v>
          </cell>
        </row>
        <row r="893">
          <cell r="M893" t="str">
            <v>N.A.</v>
          </cell>
        </row>
        <row r="894">
          <cell r="G894" t="str">
            <v/>
          </cell>
          <cell r="H894" t="str">
            <v/>
          </cell>
          <cell r="I894">
            <v>1</v>
          </cell>
          <cell r="J894" t="str">
            <v/>
          </cell>
          <cell r="K894" t="str">
            <v/>
          </cell>
          <cell r="L894" t="str">
            <v/>
          </cell>
          <cell r="M894" t="str">
            <v>N.A.</v>
          </cell>
        </row>
        <row r="897">
          <cell r="H897" t="str">
            <v>tonnes</v>
          </cell>
          <cell r="I897" t="str">
            <v/>
          </cell>
          <cell r="J897" t="str">
            <v/>
          </cell>
          <cell r="K897" t="str">
            <v/>
          </cell>
          <cell r="L897" t="str">
            <v/>
          </cell>
          <cell r="M897" t="str">
            <v/>
          </cell>
        </row>
        <row r="898">
          <cell r="H898" t="str">
            <v>tonnes</v>
          </cell>
          <cell r="I898" t="str">
            <v/>
          </cell>
          <cell r="J898" t="str">
            <v/>
          </cell>
          <cell r="K898" t="str">
            <v/>
          </cell>
          <cell r="L898" t="str">
            <v/>
          </cell>
          <cell r="M898" t="str">
            <v/>
          </cell>
          <cell r="N898" t="str">
            <v/>
          </cell>
        </row>
        <row r="901">
          <cell r="F901" t="str">
            <v/>
          </cell>
          <cell r="G901" t="str">
            <v>tonnes / year</v>
          </cell>
          <cell r="I901" t="str">
            <v/>
          </cell>
          <cell r="K901" t="str">
            <v/>
          </cell>
          <cell r="M901" t="str">
            <v/>
          </cell>
        </row>
        <row r="905">
          <cell r="I905" t="str">
            <v/>
          </cell>
          <cell r="J905" t="str">
            <v/>
          </cell>
          <cell r="K905" t="str">
            <v/>
          </cell>
          <cell r="L905" t="str">
            <v/>
          </cell>
          <cell r="M905" t="str">
            <v/>
          </cell>
        </row>
        <row r="907">
          <cell r="I907" t="str">
            <v/>
          </cell>
          <cell r="J907" t="str">
            <v/>
          </cell>
          <cell r="K907" t="str">
            <v/>
          </cell>
          <cell r="L907" t="str">
            <v/>
          </cell>
          <cell r="M907" t="str">
            <v/>
          </cell>
        </row>
        <row r="908">
          <cell r="I908" t="str">
            <v/>
          </cell>
          <cell r="J908" t="str">
            <v/>
          </cell>
          <cell r="K908" t="str">
            <v/>
          </cell>
          <cell r="L908" t="str">
            <v/>
          </cell>
          <cell r="M908" t="str">
            <v/>
          </cell>
        </row>
        <row r="910">
          <cell r="I910" t="str">
            <v/>
          </cell>
          <cell r="J910" t="str">
            <v/>
          </cell>
          <cell r="K910" t="str">
            <v/>
          </cell>
          <cell r="L910" t="str">
            <v/>
          </cell>
          <cell r="M910" t="str">
            <v/>
          </cell>
        </row>
        <row r="911">
          <cell r="I911" t="str">
            <v/>
          </cell>
          <cell r="J911" t="str">
            <v/>
          </cell>
          <cell r="K911" t="str">
            <v/>
          </cell>
          <cell r="L911" t="str">
            <v/>
          </cell>
          <cell r="M911" t="str">
            <v/>
          </cell>
        </row>
        <row r="912">
          <cell r="I912" t="str">
            <v/>
          </cell>
          <cell r="J912" t="str">
            <v/>
          </cell>
          <cell r="K912" t="str">
            <v/>
          </cell>
          <cell r="L912" t="str">
            <v/>
          </cell>
          <cell r="M912" t="str">
            <v/>
          </cell>
        </row>
        <row r="913">
          <cell r="I913" t="str">
            <v/>
          </cell>
          <cell r="J913" t="str">
            <v/>
          </cell>
          <cell r="K913" t="str">
            <v/>
          </cell>
          <cell r="L913" t="str">
            <v/>
          </cell>
          <cell r="M913" t="str">
            <v/>
          </cell>
        </row>
        <row r="915">
          <cell r="I915" t="str">
            <v/>
          </cell>
          <cell r="J915" t="str">
            <v/>
          </cell>
          <cell r="K915" t="str">
            <v/>
          </cell>
          <cell r="L915" t="str">
            <v/>
          </cell>
          <cell r="M915" t="str">
            <v/>
          </cell>
        </row>
        <row r="916">
          <cell r="I916" t="str">
            <v/>
          </cell>
          <cell r="J916" t="str">
            <v/>
          </cell>
          <cell r="K916" t="str">
            <v/>
          </cell>
          <cell r="L916" t="str">
            <v/>
          </cell>
          <cell r="M916" t="str">
            <v/>
          </cell>
        </row>
        <row r="918">
          <cell r="I918" t="str">
            <v/>
          </cell>
          <cell r="J918" t="str">
            <v/>
          </cell>
          <cell r="K918" t="str">
            <v/>
          </cell>
          <cell r="L918" t="str">
            <v/>
          </cell>
          <cell r="M918" t="str">
            <v/>
          </cell>
        </row>
        <row r="919">
          <cell r="I919" t="str">
            <v/>
          </cell>
          <cell r="J919" t="str">
            <v/>
          </cell>
          <cell r="K919" t="str">
            <v/>
          </cell>
          <cell r="L919" t="str">
            <v/>
          </cell>
          <cell r="M919" t="str">
            <v/>
          </cell>
        </row>
        <row r="921">
          <cell r="I921" t="str">
            <v/>
          </cell>
          <cell r="J921" t="str">
            <v/>
          </cell>
          <cell r="K921" t="str">
            <v/>
          </cell>
          <cell r="L921" t="str">
            <v/>
          </cell>
          <cell r="M921" t="str">
            <v/>
          </cell>
        </row>
        <row r="922">
          <cell r="I922" t="str">
            <v/>
          </cell>
          <cell r="J922" t="str">
            <v/>
          </cell>
          <cell r="K922" t="str">
            <v/>
          </cell>
          <cell r="L922" t="str">
            <v/>
          </cell>
          <cell r="M922" t="str">
            <v/>
          </cell>
        </row>
        <row r="924">
          <cell r="I924" t="str">
            <v/>
          </cell>
          <cell r="J924" t="str">
            <v/>
          </cell>
          <cell r="K924" t="str">
            <v/>
          </cell>
          <cell r="L924" t="str">
            <v/>
          </cell>
          <cell r="M924" t="str">
            <v/>
          </cell>
        </row>
        <row r="925">
          <cell r="I925" t="str">
            <v/>
          </cell>
          <cell r="J925" t="str">
            <v/>
          </cell>
          <cell r="K925" t="str">
            <v/>
          </cell>
          <cell r="L925" t="str">
            <v/>
          </cell>
          <cell r="M925" t="str">
            <v/>
          </cell>
        </row>
        <row r="926">
          <cell r="I926" t="str">
            <v/>
          </cell>
          <cell r="J926" t="str">
            <v/>
          </cell>
          <cell r="K926" t="str">
            <v/>
          </cell>
          <cell r="L926" t="str">
            <v/>
          </cell>
          <cell r="M926" t="str">
            <v/>
          </cell>
        </row>
        <row r="927">
          <cell r="I927" t="str">
            <v/>
          </cell>
          <cell r="J927" t="str">
            <v/>
          </cell>
          <cell r="K927" t="str">
            <v/>
          </cell>
          <cell r="L927" t="str">
            <v/>
          </cell>
          <cell r="M927" t="str">
            <v/>
          </cell>
        </row>
        <row r="928">
          <cell r="I928" t="str">
            <v/>
          </cell>
          <cell r="J928" t="str">
            <v/>
          </cell>
          <cell r="K928" t="str">
            <v/>
          </cell>
          <cell r="L928" t="str">
            <v/>
          </cell>
          <cell r="M928" t="str">
            <v/>
          </cell>
        </row>
        <row r="929">
          <cell r="I929" t="str">
            <v/>
          </cell>
          <cell r="J929" t="str">
            <v/>
          </cell>
          <cell r="K929" t="str">
            <v/>
          </cell>
          <cell r="L929" t="str">
            <v/>
          </cell>
          <cell r="M929" t="str">
            <v/>
          </cell>
        </row>
        <row r="930">
          <cell r="I930" t="str">
            <v/>
          </cell>
          <cell r="J930" t="str">
            <v/>
          </cell>
          <cell r="K930" t="str">
            <v/>
          </cell>
          <cell r="L930" t="str">
            <v/>
          </cell>
          <cell r="M930" t="str">
            <v/>
          </cell>
        </row>
        <row r="931">
          <cell r="I931" t="str">
            <v/>
          </cell>
          <cell r="J931" t="str">
            <v/>
          </cell>
          <cell r="K931" t="str">
            <v/>
          </cell>
          <cell r="L931" t="str">
            <v/>
          </cell>
          <cell r="M931" t="str">
            <v/>
          </cell>
        </row>
        <row r="932">
          <cell r="I932" t="str">
            <v/>
          </cell>
          <cell r="J932" t="str">
            <v/>
          </cell>
          <cell r="K932" t="str">
            <v/>
          </cell>
          <cell r="L932" t="str">
            <v/>
          </cell>
          <cell r="M932" t="str">
            <v/>
          </cell>
        </row>
        <row r="933">
          <cell r="I933" t="str">
            <v/>
          </cell>
          <cell r="J933" t="str">
            <v/>
          </cell>
          <cell r="K933" t="str">
            <v/>
          </cell>
          <cell r="L933" t="str">
            <v/>
          </cell>
          <cell r="M933" t="str">
            <v/>
          </cell>
        </row>
        <row r="935">
          <cell r="I935" t="str">
            <v/>
          </cell>
          <cell r="J935" t="str">
            <v/>
          </cell>
          <cell r="K935" t="str">
            <v/>
          </cell>
          <cell r="L935" t="str">
            <v/>
          </cell>
          <cell r="M935" t="str">
            <v/>
          </cell>
        </row>
        <row r="936">
          <cell r="I936" t="str">
            <v/>
          </cell>
          <cell r="J936" t="str">
            <v/>
          </cell>
          <cell r="K936" t="str">
            <v/>
          </cell>
          <cell r="L936" t="str">
            <v/>
          </cell>
          <cell r="M936" t="str">
            <v/>
          </cell>
        </row>
        <row r="938">
          <cell r="I938" t="str">
            <v/>
          </cell>
          <cell r="J938" t="str">
            <v/>
          </cell>
          <cell r="K938" t="str">
            <v/>
          </cell>
          <cell r="L938" t="str">
            <v/>
          </cell>
          <cell r="M938" t="str">
            <v/>
          </cell>
        </row>
        <row r="941">
          <cell r="E941" t="str">
            <v/>
          </cell>
          <cell r="I941" t="str">
            <v/>
          </cell>
          <cell r="J941" t="str">
            <v/>
          </cell>
          <cell r="K941" t="str">
            <v/>
          </cell>
          <cell r="L941" t="str">
            <v/>
          </cell>
          <cell r="M941" t="str">
            <v/>
          </cell>
        </row>
        <row r="942">
          <cell r="E942" t="str">
            <v/>
          </cell>
          <cell r="I942" t="str">
            <v/>
          </cell>
          <cell r="J942" t="str">
            <v/>
          </cell>
          <cell r="K942" t="str">
            <v/>
          </cell>
          <cell r="L942" t="str">
            <v/>
          </cell>
          <cell r="M942" t="str">
            <v/>
          </cell>
        </row>
        <row r="944">
          <cell r="E944" t="str">
            <v/>
          </cell>
          <cell r="I944" t="str">
            <v/>
          </cell>
          <cell r="J944" t="str">
            <v/>
          </cell>
          <cell r="K944" t="str">
            <v/>
          </cell>
          <cell r="L944" t="str">
            <v/>
          </cell>
          <cell r="M944" t="str">
            <v/>
          </cell>
        </row>
        <row r="945">
          <cell r="E945" t="str">
            <v/>
          </cell>
          <cell r="I945" t="str">
            <v/>
          </cell>
          <cell r="J945" t="str">
            <v/>
          </cell>
          <cell r="K945" t="str">
            <v/>
          </cell>
          <cell r="L945" t="str">
            <v/>
          </cell>
          <cell r="M945" t="str">
            <v/>
          </cell>
        </row>
        <row r="949">
          <cell r="I949" t="str">
            <v/>
          </cell>
        </row>
        <row r="952">
          <cell r="E952" t="str">
            <v/>
          </cell>
          <cell r="H952" t="str">
            <v>N.A.</v>
          </cell>
          <cell r="I952" t="str">
            <v/>
          </cell>
          <cell r="J952" t="str">
            <v>N.A.</v>
          </cell>
          <cell r="K952" t="str">
            <v>N.A.</v>
          </cell>
          <cell r="L952" t="str">
            <v/>
          </cell>
          <cell r="M952" t="str">
            <v>N.A.</v>
          </cell>
        </row>
        <row r="953">
          <cell r="M953" t="str">
            <v>N.A.</v>
          </cell>
        </row>
        <row r="954">
          <cell r="G954" t="str">
            <v/>
          </cell>
          <cell r="H954" t="str">
            <v/>
          </cell>
          <cell r="I954">
            <v>1</v>
          </cell>
          <cell r="J954" t="str">
            <v/>
          </cell>
          <cell r="K954" t="str">
            <v/>
          </cell>
          <cell r="L954" t="str">
            <v/>
          </cell>
          <cell r="M954" t="str">
            <v>N.A.</v>
          </cell>
        </row>
        <row r="957">
          <cell r="H957" t="str">
            <v>tonnes</v>
          </cell>
          <cell r="I957" t="str">
            <v/>
          </cell>
          <cell r="J957" t="str">
            <v/>
          </cell>
          <cell r="K957" t="str">
            <v/>
          </cell>
          <cell r="L957" t="str">
            <v/>
          </cell>
          <cell r="M957" t="str">
            <v/>
          </cell>
        </row>
        <row r="958">
          <cell r="H958" t="str">
            <v>tonnes</v>
          </cell>
          <cell r="I958" t="str">
            <v/>
          </cell>
          <cell r="J958" t="str">
            <v/>
          </cell>
          <cell r="K958" t="str">
            <v/>
          </cell>
          <cell r="L958" t="str">
            <v/>
          </cell>
          <cell r="M958" t="str">
            <v/>
          </cell>
          <cell r="N958" t="str">
            <v/>
          </cell>
        </row>
        <row r="961">
          <cell r="F961" t="str">
            <v/>
          </cell>
          <cell r="G961" t="str">
            <v>tonnes / year</v>
          </cell>
          <cell r="I961" t="str">
            <v/>
          </cell>
          <cell r="K961" t="str">
            <v/>
          </cell>
          <cell r="M961" t="str">
            <v/>
          </cell>
        </row>
        <row r="965">
          <cell r="I965" t="str">
            <v/>
          </cell>
          <cell r="J965" t="str">
            <v/>
          </cell>
          <cell r="K965" t="str">
            <v/>
          </cell>
          <cell r="L965" t="str">
            <v/>
          </cell>
          <cell r="M965" t="str">
            <v/>
          </cell>
        </row>
        <row r="967">
          <cell r="I967" t="str">
            <v/>
          </cell>
          <cell r="J967" t="str">
            <v/>
          </cell>
          <cell r="K967" t="str">
            <v/>
          </cell>
          <cell r="L967" t="str">
            <v/>
          </cell>
          <cell r="M967" t="str">
            <v/>
          </cell>
        </row>
        <row r="968">
          <cell r="I968" t="str">
            <v/>
          </cell>
          <cell r="J968" t="str">
            <v/>
          </cell>
          <cell r="K968" t="str">
            <v/>
          </cell>
          <cell r="L968" t="str">
            <v/>
          </cell>
          <cell r="M968" t="str">
            <v/>
          </cell>
        </row>
        <row r="970">
          <cell r="I970" t="str">
            <v/>
          </cell>
          <cell r="J970" t="str">
            <v/>
          </cell>
          <cell r="K970" t="str">
            <v/>
          </cell>
          <cell r="L970" t="str">
            <v/>
          </cell>
          <cell r="M970" t="str">
            <v/>
          </cell>
        </row>
        <row r="971">
          <cell r="I971" t="str">
            <v/>
          </cell>
          <cell r="J971" t="str">
            <v/>
          </cell>
          <cell r="K971" t="str">
            <v/>
          </cell>
          <cell r="L971" t="str">
            <v/>
          </cell>
          <cell r="M971" t="str">
            <v/>
          </cell>
        </row>
        <row r="972">
          <cell r="I972" t="str">
            <v/>
          </cell>
          <cell r="J972" t="str">
            <v/>
          </cell>
          <cell r="K972" t="str">
            <v/>
          </cell>
          <cell r="L972" t="str">
            <v/>
          </cell>
          <cell r="M972" t="str">
            <v/>
          </cell>
        </row>
        <row r="973">
          <cell r="I973" t="str">
            <v/>
          </cell>
          <cell r="J973" t="str">
            <v/>
          </cell>
          <cell r="K973" t="str">
            <v/>
          </cell>
          <cell r="L973" t="str">
            <v/>
          </cell>
          <cell r="M973" t="str">
            <v/>
          </cell>
        </row>
        <row r="975">
          <cell r="I975" t="str">
            <v/>
          </cell>
          <cell r="J975" t="str">
            <v/>
          </cell>
          <cell r="K975" t="str">
            <v/>
          </cell>
          <cell r="L975" t="str">
            <v/>
          </cell>
          <cell r="M975" t="str">
            <v/>
          </cell>
        </row>
        <row r="976">
          <cell r="I976" t="str">
            <v/>
          </cell>
          <cell r="J976" t="str">
            <v/>
          </cell>
          <cell r="K976" t="str">
            <v/>
          </cell>
          <cell r="L976" t="str">
            <v/>
          </cell>
          <cell r="M976" t="str">
            <v/>
          </cell>
        </row>
        <row r="978">
          <cell r="I978" t="str">
            <v/>
          </cell>
          <cell r="J978" t="str">
            <v/>
          </cell>
          <cell r="K978" t="str">
            <v/>
          </cell>
          <cell r="L978" t="str">
            <v/>
          </cell>
          <cell r="M978" t="str">
            <v/>
          </cell>
        </row>
        <row r="979">
          <cell r="I979" t="str">
            <v/>
          </cell>
          <cell r="J979" t="str">
            <v/>
          </cell>
          <cell r="K979" t="str">
            <v/>
          </cell>
          <cell r="L979" t="str">
            <v/>
          </cell>
          <cell r="M979" t="str">
            <v/>
          </cell>
        </row>
        <row r="981">
          <cell r="I981" t="str">
            <v/>
          </cell>
          <cell r="J981" t="str">
            <v/>
          </cell>
          <cell r="K981" t="str">
            <v/>
          </cell>
          <cell r="L981" t="str">
            <v/>
          </cell>
          <cell r="M981" t="str">
            <v/>
          </cell>
        </row>
        <row r="982">
          <cell r="I982" t="str">
            <v/>
          </cell>
          <cell r="J982" t="str">
            <v/>
          </cell>
          <cell r="K982" t="str">
            <v/>
          </cell>
          <cell r="L982" t="str">
            <v/>
          </cell>
          <cell r="M982" t="str">
            <v/>
          </cell>
        </row>
        <row r="984">
          <cell r="I984" t="str">
            <v/>
          </cell>
          <cell r="J984" t="str">
            <v/>
          </cell>
          <cell r="K984" t="str">
            <v/>
          </cell>
          <cell r="L984" t="str">
            <v/>
          </cell>
          <cell r="M984" t="str">
            <v/>
          </cell>
        </row>
        <row r="985">
          <cell r="I985" t="str">
            <v/>
          </cell>
          <cell r="J985" t="str">
            <v/>
          </cell>
          <cell r="K985" t="str">
            <v/>
          </cell>
          <cell r="L985" t="str">
            <v/>
          </cell>
          <cell r="M985" t="str">
            <v/>
          </cell>
        </row>
        <row r="986">
          <cell r="I986" t="str">
            <v/>
          </cell>
          <cell r="J986" t="str">
            <v/>
          </cell>
          <cell r="K986" t="str">
            <v/>
          </cell>
          <cell r="L986" t="str">
            <v/>
          </cell>
          <cell r="M986" t="str">
            <v/>
          </cell>
        </row>
        <row r="987">
          <cell r="I987" t="str">
            <v/>
          </cell>
          <cell r="J987" t="str">
            <v/>
          </cell>
          <cell r="K987" t="str">
            <v/>
          </cell>
          <cell r="L987" t="str">
            <v/>
          </cell>
          <cell r="M987" t="str">
            <v/>
          </cell>
        </row>
        <row r="988">
          <cell r="I988" t="str">
            <v/>
          </cell>
          <cell r="J988" t="str">
            <v/>
          </cell>
          <cell r="K988" t="str">
            <v/>
          </cell>
          <cell r="L988" t="str">
            <v/>
          </cell>
          <cell r="M988" t="str">
            <v/>
          </cell>
        </row>
        <row r="989">
          <cell r="I989" t="str">
            <v/>
          </cell>
          <cell r="J989" t="str">
            <v/>
          </cell>
          <cell r="K989" t="str">
            <v/>
          </cell>
          <cell r="L989" t="str">
            <v/>
          </cell>
          <cell r="M989" t="str">
            <v/>
          </cell>
        </row>
        <row r="990">
          <cell r="I990" t="str">
            <v/>
          </cell>
          <cell r="J990" t="str">
            <v/>
          </cell>
          <cell r="K990" t="str">
            <v/>
          </cell>
          <cell r="L990" t="str">
            <v/>
          </cell>
          <cell r="M990" t="str">
            <v/>
          </cell>
        </row>
        <row r="991">
          <cell r="I991" t="str">
            <v/>
          </cell>
          <cell r="J991" t="str">
            <v/>
          </cell>
          <cell r="K991" t="str">
            <v/>
          </cell>
          <cell r="L991" t="str">
            <v/>
          </cell>
          <cell r="M991" t="str">
            <v/>
          </cell>
        </row>
        <row r="992">
          <cell r="I992" t="str">
            <v/>
          </cell>
          <cell r="J992" t="str">
            <v/>
          </cell>
          <cell r="K992" t="str">
            <v/>
          </cell>
          <cell r="L992" t="str">
            <v/>
          </cell>
          <cell r="M992" t="str">
            <v/>
          </cell>
        </row>
        <row r="993">
          <cell r="I993" t="str">
            <v/>
          </cell>
          <cell r="J993" t="str">
            <v/>
          </cell>
          <cell r="K993" t="str">
            <v/>
          </cell>
          <cell r="L993" t="str">
            <v/>
          </cell>
          <cell r="M993" t="str">
            <v/>
          </cell>
        </row>
        <row r="995">
          <cell r="I995" t="str">
            <v/>
          </cell>
          <cell r="J995" t="str">
            <v/>
          </cell>
          <cell r="K995" t="str">
            <v/>
          </cell>
          <cell r="L995" t="str">
            <v/>
          </cell>
          <cell r="M995" t="str">
            <v/>
          </cell>
        </row>
        <row r="996">
          <cell r="I996" t="str">
            <v/>
          </cell>
          <cell r="J996" t="str">
            <v/>
          </cell>
          <cell r="K996" t="str">
            <v/>
          </cell>
          <cell r="L996" t="str">
            <v/>
          </cell>
          <cell r="M996" t="str">
            <v/>
          </cell>
        </row>
        <row r="998">
          <cell r="I998" t="str">
            <v/>
          </cell>
          <cell r="J998" t="str">
            <v/>
          </cell>
          <cell r="K998" t="str">
            <v/>
          </cell>
          <cell r="L998" t="str">
            <v/>
          </cell>
          <cell r="M998" t="str">
            <v/>
          </cell>
        </row>
        <row r="1001">
          <cell r="E1001" t="str">
            <v/>
          </cell>
          <cell r="I1001" t="str">
            <v/>
          </cell>
          <cell r="J1001" t="str">
            <v/>
          </cell>
          <cell r="K1001" t="str">
            <v/>
          </cell>
          <cell r="L1001" t="str">
            <v/>
          </cell>
          <cell r="M1001" t="str">
            <v/>
          </cell>
        </row>
        <row r="1002">
          <cell r="E1002" t="str">
            <v/>
          </cell>
          <cell r="I1002" t="str">
            <v/>
          </cell>
          <cell r="J1002" t="str">
            <v/>
          </cell>
          <cell r="K1002" t="str">
            <v/>
          </cell>
          <cell r="L1002" t="str">
            <v/>
          </cell>
          <cell r="M1002" t="str">
            <v/>
          </cell>
        </row>
        <row r="1004">
          <cell r="E1004" t="str">
            <v/>
          </cell>
          <cell r="I1004" t="str">
            <v/>
          </cell>
          <cell r="J1004" t="str">
            <v/>
          </cell>
          <cell r="K1004" t="str">
            <v/>
          </cell>
          <cell r="L1004" t="str">
            <v/>
          </cell>
          <cell r="M1004" t="str">
            <v/>
          </cell>
        </row>
        <row r="1005">
          <cell r="E1005" t="str">
            <v/>
          </cell>
          <cell r="I1005" t="str">
            <v/>
          </cell>
          <cell r="J1005" t="str">
            <v/>
          </cell>
          <cell r="K1005" t="str">
            <v/>
          </cell>
          <cell r="L1005" t="str">
            <v/>
          </cell>
          <cell r="M1005" t="str">
            <v/>
          </cell>
        </row>
        <row r="1009">
          <cell r="I1009" t="str">
            <v/>
          </cell>
        </row>
        <row r="1012">
          <cell r="E1012" t="str">
            <v/>
          </cell>
          <cell r="H1012" t="str">
            <v>N.A.</v>
          </cell>
          <cell r="I1012" t="str">
            <v/>
          </cell>
          <cell r="J1012" t="str">
            <v>N.A.</v>
          </cell>
          <cell r="K1012" t="str">
            <v>N.A.</v>
          </cell>
          <cell r="L1012" t="str">
            <v/>
          </cell>
          <cell r="M1012" t="str">
            <v>N.A.</v>
          </cell>
        </row>
        <row r="1013">
          <cell r="M1013" t="str">
            <v>N.A.</v>
          </cell>
        </row>
        <row r="1014">
          <cell r="G1014" t="str">
            <v/>
          </cell>
          <cell r="H1014" t="str">
            <v/>
          </cell>
          <cell r="I1014">
            <v>1</v>
          </cell>
          <cell r="J1014" t="str">
            <v/>
          </cell>
          <cell r="K1014" t="str">
            <v/>
          </cell>
          <cell r="L1014" t="str">
            <v/>
          </cell>
          <cell r="M1014" t="str">
            <v>N.A.</v>
          </cell>
        </row>
        <row r="1017">
          <cell r="H1017" t="str">
            <v>tonnes</v>
          </cell>
          <cell r="I1017" t="str">
            <v/>
          </cell>
          <cell r="J1017" t="str">
            <v/>
          </cell>
          <cell r="K1017" t="str">
            <v/>
          </cell>
          <cell r="L1017" t="str">
            <v/>
          </cell>
          <cell r="M1017" t="str">
            <v/>
          </cell>
        </row>
        <row r="1018">
          <cell r="H1018" t="str">
            <v>tonnes</v>
          </cell>
          <cell r="I1018" t="str">
            <v/>
          </cell>
          <cell r="J1018" t="str">
            <v/>
          </cell>
          <cell r="K1018" t="str">
            <v/>
          </cell>
          <cell r="L1018" t="str">
            <v/>
          </cell>
          <cell r="M1018" t="str">
            <v/>
          </cell>
          <cell r="N1018" t="str">
            <v/>
          </cell>
        </row>
        <row r="1021">
          <cell r="F1021" t="str">
            <v/>
          </cell>
          <cell r="G1021" t="str">
            <v>tonnes / year</v>
          </cell>
          <cell r="I1021" t="str">
            <v/>
          </cell>
          <cell r="K1021" t="str">
            <v/>
          </cell>
          <cell r="M1021" t="str">
            <v/>
          </cell>
        </row>
        <row r="1025">
          <cell r="I1025" t="str">
            <v/>
          </cell>
          <cell r="J1025" t="str">
            <v/>
          </cell>
          <cell r="K1025" t="str">
            <v/>
          </cell>
          <cell r="L1025" t="str">
            <v/>
          </cell>
          <cell r="M1025" t="str">
            <v/>
          </cell>
        </row>
        <row r="1027">
          <cell r="I1027" t="str">
            <v/>
          </cell>
          <cell r="J1027" t="str">
            <v/>
          </cell>
          <cell r="K1027" t="str">
            <v/>
          </cell>
          <cell r="L1027" t="str">
            <v/>
          </cell>
          <cell r="M1027" t="str">
            <v/>
          </cell>
        </row>
        <row r="1028">
          <cell r="I1028" t="str">
            <v/>
          </cell>
          <cell r="J1028" t="str">
            <v/>
          </cell>
          <cell r="K1028" t="str">
            <v/>
          </cell>
          <cell r="L1028" t="str">
            <v/>
          </cell>
          <cell r="M1028" t="str">
            <v/>
          </cell>
        </row>
        <row r="1030">
          <cell r="I1030" t="str">
            <v/>
          </cell>
          <cell r="J1030" t="str">
            <v/>
          </cell>
          <cell r="K1030" t="str">
            <v/>
          </cell>
          <cell r="L1030" t="str">
            <v/>
          </cell>
          <cell r="M1030" t="str">
            <v/>
          </cell>
        </row>
        <row r="1031">
          <cell r="I1031" t="str">
            <v/>
          </cell>
          <cell r="J1031" t="str">
            <v/>
          </cell>
          <cell r="K1031" t="str">
            <v/>
          </cell>
          <cell r="L1031" t="str">
            <v/>
          </cell>
          <cell r="M1031" t="str">
            <v/>
          </cell>
        </row>
        <row r="1032">
          <cell r="I1032" t="str">
            <v/>
          </cell>
          <cell r="J1032" t="str">
            <v/>
          </cell>
          <cell r="K1032" t="str">
            <v/>
          </cell>
          <cell r="L1032" t="str">
            <v/>
          </cell>
          <cell r="M1032" t="str">
            <v/>
          </cell>
        </row>
        <row r="1033">
          <cell r="I1033" t="str">
            <v/>
          </cell>
          <cell r="J1033" t="str">
            <v/>
          </cell>
          <cell r="K1033" t="str">
            <v/>
          </cell>
          <cell r="L1033" t="str">
            <v/>
          </cell>
          <cell r="M1033" t="str">
            <v/>
          </cell>
        </row>
        <row r="1035">
          <cell r="I1035" t="str">
            <v/>
          </cell>
          <cell r="J1035" t="str">
            <v/>
          </cell>
          <cell r="K1035" t="str">
            <v/>
          </cell>
          <cell r="L1035" t="str">
            <v/>
          </cell>
          <cell r="M1035" t="str">
            <v/>
          </cell>
        </row>
        <row r="1036">
          <cell r="I1036" t="str">
            <v/>
          </cell>
          <cell r="J1036" t="str">
            <v/>
          </cell>
          <cell r="K1036" t="str">
            <v/>
          </cell>
          <cell r="L1036" t="str">
            <v/>
          </cell>
          <cell r="M1036" t="str">
            <v/>
          </cell>
        </row>
        <row r="1038">
          <cell r="I1038" t="str">
            <v/>
          </cell>
          <cell r="J1038" t="str">
            <v/>
          </cell>
          <cell r="K1038" t="str">
            <v/>
          </cell>
          <cell r="L1038" t="str">
            <v/>
          </cell>
          <cell r="M1038" t="str">
            <v/>
          </cell>
        </row>
        <row r="1039">
          <cell r="I1039" t="str">
            <v/>
          </cell>
          <cell r="J1039" t="str">
            <v/>
          </cell>
          <cell r="K1039" t="str">
            <v/>
          </cell>
          <cell r="L1039" t="str">
            <v/>
          </cell>
          <cell r="M1039" t="str">
            <v/>
          </cell>
        </row>
        <row r="1041">
          <cell r="I1041" t="str">
            <v/>
          </cell>
          <cell r="J1041" t="str">
            <v/>
          </cell>
          <cell r="K1041" t="str">
            <v/>
          </cell>
          <cell r="L1041" t="str">
            <v/>
          </cell>
          <cell r="M1041" t="str">
            <v/>
          </cell>
        </row>
        <row r="1042">
          <cell r="I1042" t="str">
            <v/>
          </cell>
          <cell r="J1042" t="str">
            <v/>
          </cell>
          <cell r="K1042" t="str">
            <v/>
          </cell>
          <cell r="L1042" t="str">
            <v/>
          </cell>
          <cell r="M1042" t="str">
            <v/>
          </cell>
        </row>
        <row r="1044">
          <cell r="I1044" t="str">
            <v/>
          </cell>
          <cell r="J1044" t="str">
            <v/>
          </cell>
          <cell r="K1044" t="str">
            <v/>
          </cell>
          <cell r="L1044" t="str">
            <v/>
          </cell>
          <cell r="M1044" t="str">
            <v/>
          </cell>
        </row>
        <row r="1045">
          <cell r="I1045" t="str">
            <v/>
          </cell>
          <cell r="J1045" t="str">
            <v/>
          </cell>
          <cell r="K1045" t="str">
            <v/>
          </cell>
          <cell r="L1045" t="str">
            <v/>
          </cell>
          <cell r="M1045" t="str">
            <v/>
          </cell>
        </row>
        <row r="1046">
          <cell r="I1046" t="str">
            <v/>
          </cell>
          <cell r="J1046" t="str">
            <v/>
          </cell>
          <cell r="K1046" t="str">
            <v/>
          </cell>
          <cell r="L1046" t="str">
            <v/>
          </cell>
          <cell r="M1046" t="str">
            <v/>
          </cell>
        </row>
        <row r="1047">
          <cell r="I1047" t="str">
            <v/>
          </cell>
          <cell r="J1047" t="str">
            <v/>
          </cell>
          <cell r="K1047" t="str">
            <v/>
          </cell>
          <cell r="L1047" t="str">
            <v/>
          </cell>
          <cell r="M1047" t="str">
            <v/>
          </cell>
        </row>
        <row r="1048">
          <cell r="I1048" t="str">
            <v/>
          </cell>
          <cell r="J1048" t="str">
            <v/>
          </cell>
          <cell r="K1048" t="str">
            <v/>
          </cell>
          <cell r="L1048" t="str">
            <v/>
          </cell>
          <cell r="M1048" t="str">
            <v/>
          </cell>
        </row>
        <row r="1049">
          <cell r="I1049" t="str">
            <v/>
          </cell>
          <cell r="J1049" t="str">
            <v/>
          </cell>
          <cell r="K1049" t="str">
            <v/>
          </cell>
          <cell r="L1049" t="str">
            <v/>
          </cell>
          <cell r="M1049" t="str">
            <v/>
          </cell>
        </row>
        <row r="1050">
          <cell r="I1050" t="str">
            <v/>
          </cell>
          <cell r="J1050" t="str">
            <v/>
          </cell>
          <cell r="K1050" t="str">
            <v/>
          </cell>
          <cell r="L1050" t="str">
            <v/>
          </cell>
          <cell r="M1050" t="str">
            <v/>
          </cell>
        </row>
        <row r="1051">
          <cell r="I1051" t="str">
            <v/>
          </cell>
          <cell r="J1051" t="str">
            <v/>
          </cell>
          <cell r="K1051" t="str">
            <v/>
          </cell>
          <cell r="L1051" t="str">
            <v/>
          </cell>
          <cell r="M1051" t="str">
            <v/>
          </cell>
        </row>
        <row r="1052">
          <cell r="I1052" t="str">
            <v/>
          </cell>
          <cell r="J1052" t="str">
            <v/>
          </cell>
          <cell r="K1052" t="str">
            <v/>
          </cell>
          <cell r="L1052" t="str">
            <v/>
          </cell>
          <cell r="M1052" t="str">
            <v/>
          </cell>
        </row>
        <row r="1053">
          <cell r="I1053" t="str">
            <v/>
          </cell>
          <cell r="J1053" t="str">
            <v/>
          </cell>
          <cell r="K1053" t="str">
            <v/>
          </cell>
          <cell r="L1053" t="str">
            <v/>
          </cell>
          <cell r="M1053" t="str">
            <v/>
          </cell>
        </row>
        <row r="1055">
          <cell r="I1055" t="str">
            <v/>
          </cell>
          <cell r="J1055" t="str">
            <v/>
          </cell>
          <cell r="K1055" t="str">
            <v/>
          </cell>
          <cell r="L1055" t="str">
            <v/>
          </cell>
          <cell r="M1055" t="str">
            <v/>
          </cell>
        </row>
        <row r="1056">
          <cell r="I1056" t="str">
            <v/>
          </cell>
          <cell r="J1056" t="str">
            <v/>
          </cell>
          <cell r="K1056" t="str">
            <v/>
          </cell>
          <cell r="L1056" t="str">
            <v/>
          </cell>
          <cell r="M1056" t="str">
            <v/>
          </cell>
        </row>
        <row r="1058">
          <cell r="I1058" t="str">
            <v/>
          </cell>
          <cell r="J1058" t="str">
            <v/>
          </cell>
          <cell r="K1058" t="str">
            <v/>
          </cell>
          <cell r="L1058" t="str">
            <v/>
          </cell>
          <cell r="M1058" t="str">
            <v/>
          </cell>
        </row>
        <row r="1061">
          <cell r="E1061" t="str">
            <v/>
          </cell>
          <cell r="I1061" t="str">
            <v/>
          </cell>
          <cell r="J1061" t="str">
            <v/>
          </cell>
          <cell r="K1061" t="str">
            <v/>
          </cell>
          <cell r="L1061" t="str">
            <v/>
          </cell>
          <cell r="M1061" t="str">
            <v/>
          </cell>
        </row>
        <row r="1062">
          <cell r="E1062" t="str">
            <v/>
          </cell>
          <cell r="I1062" t="str">
            <v/>
          </cell>
          <cell r="J1062" t="str">
            <v/>
          </cell>
          <cell r="K1062" t="str">
            <v/>
          </cell>
          <cell r="L1062" t="str">
            <v/>
          </cell>
          <cell r="M1062" t="str">
            <v/>
          </cell>
        </row>
        <row r="1064">
          <cell r="E1064" t="str">
            <v/>
          </cell>
          <cell r="I1064" t="str">
            <v/>
          </cell>
          <cell r="J1064" t="str">
            <v/>
          </cell>
          <cell r="K1064" t="str">
            <v/>
          </cell>
          <cell r="L1064" t="str">
            <v/>
          </cell>
          <cell r="M1064" t="str">
            <v/>
          </cell>
        </row>
        <row r="1065">
          <cell r="E1065" t="str">
            <v/>
          </cell>
          <cell r="I1065" t="str">
            <v/>
          </cell>
          <cell r="J1065" t="str">
            <v/>
          </cell>
          <cell r="K1065" t="str">
            <v/>
          </cell>
          <cell r="L1065" t="str">
            <v/>
          </cell>
          <cell r="M1065" t="str">
            <v/>
          </cell>
        </row>
        <row r="1071">
          <cell r="I1071" t="str">
            <v>Heat benchmark sub-installation, CL</v>
          </cell>
          <cell r="M1071" t="str">
            <v/>
          </cell>
        </row>
        <row r="1074">
          <cell r="E1074" t="str">
            <v>Heat benchmark sub-installation, CL</v>
          </cell>
          <cell r="H1074" t="b">
            <v>1</v>
          </cell>
          <cell r="I1074" t="str">
            <v/>
          </cell>
          <cell r="J1074" t="str">
            <v/>
          </cell>
          <cell r="K1074" t="str">
            <v/>
          </cell>
          <cell r="L1074">
            <v>1</v>
          </cell>
          <cell r="M1074" t="str">
            <v/>
          </cell>
        </row>
        <row r="1075">
          <cell r="M1075" t="str">
            <v/>
          </cell>
        </row>
        <row r="1076">
          <cell r="M1076" t="str">
            <v/>
          </cell>
        </row>
        <row r="1079">
          <cell r="H1079" t="str">
            <v>TJ</v>
          </cell>
          <cell r="I1079" t="str">
            <v/>
          </cell>
          <cell r="J1079" t="str">
            <v/>
          </cell>
          <cell r="K1079" t="str">
            <v/>
          </cell>
          <cell r="L1079" t="str">
            <v/>
          </cell>
          <cell r="M1079" t="str">
            <v/>
          </cell>
        </row>
        <row r="1080">
          <cell r="H1080" t="str">
            <v>TJ</v>
          </cell>
          <cell r="I1080" t="str">
            <v/>
          </cell>
          <cell r="J1080" t="str">
            <v/>
          </cell>
          <cell r="K1080" t="str">
            <v/>
          </cell>
          <cell r="L1080" t="str">
            <v/>
          </cell>
          <cell r="M1080" t="str">
            <v/>
          </cell>
          <cell r="N1080" t="str">
            <v/>
          </cell>
        </row>
        <row r="1083">
          <cell r="F1083" t="str">
            <v/>
          </cell>
          <cell r="I1083" t="str">
            <v/>
          </cell>
          <cell r="K1083" t="str">
            <v/>
          </cell>
          <cell r="M1083" t="str">
            <v/>
          </cell>
        </row>
        <row r="1087">
          <cell r="I1087" t="str">
            <v/>
          </cell>
          <cell r="J1087" t="str">
            <v/>
          </cell>
          <cell r="K1087" t="str">
            <v/>
          </cell>
          <cell r="L1087" t="str">
            <v/>
          </cell>
          <cell r="M1087" t="str">
            <v/>
          </cell>
        </row>
        <row r="1089">
          <cell r="I1089" t="str">
            <v/>
          </cell>
          <cell r="J1089" t="str">
            <v/>
          </cell>
          <cell r="K1089" t="str">
            <v/>
          </cell>
          <cell r="L1089" t="str">
            <v/>
          </cell>
          <cell r="M1089" t="str">
            <v/>
          </cell>
        </row>
        <row r="1091">
          <cell r="I1091" t="str">
            <v/>
          </cell>
          <cell r="J1091" t="str">
            <v/>
          </cell>
          <cell r="K1091" t="str">
            <v/>
          </cell>
          <cell r="L1091" t="str">
            <v/>
          </cell>
          <cell r="M1091" t="str">
            <v/>
          </cell>
        </row>
        <row r="1092">
          <cell r="I1092" t="str">
            <v/>
          </cell>
          <cell r="J1092" t="str">
            <v/>
          </cell>
          <cell r="K1092" t="str">
            <v/>
          </cell>
          <cell r="L1092" t="str">
            <v/>
          </cell>
          <cell r="M1092" t="str">
            <v/>
          </cell>
        </row>
        <row r="1093">
          <cell r="I1093" t="str">
            <v/>
          </cell>
          <cell r="J1093" t="str">
            <v/>
          </cell>
          <cell r="K1093" t="str">
            <v/>
          </cell>
          <cell r="L1093" t="str">
            <v/>
          </cell>
          <cell r="M1093" t="str">
            <v/>
          </cell>
        </row>
        <row r="1094">
          <cell r="I1094" t="str">
            <v/>
          </cell>
          <cell r="J1094" t="str">
            <v/>
          </cell>
          <cell r="K1094" t="str">
            <v/>
          </cell>
          <cell r="L1094" t="str">
            <v/>
          </cell>
          <cell r="M1094" t="str">
            <v/>
          </cell>
        </row>
        <row r="1096">
          <cell r="I1096" t="str">
            <v/>
          </cell>
          <cell r="J1096" t="str">
            <v/>
          </cell>
          <cell r="K1096" t="str">
            <v/>
          </cell>
          <cell r="L1096" t="str">
            <v/>
          </cell>
          <cell r="M1096" t="str">
            <v/>
          </cell>
        </row>
        <row r="1098">
          <cell r="I1098" t="str">
            <v/>
          </cell>
          <cell r="J1098" t="str">
            <v/>
          </cell>
          <cell r="K1098" t="str">
            <v/>
          </cell>
          <cell r="L1098" t="str">
            <v/>
          </cell>
          <cell r="M1098" t="str">
            <v/>
          </cell>
        </row>
        <row r="1099">
          <cell r="I1099" t="str">
            <v/>
          </cell>
          <cell r="J1099" t="str">
            <v/>
          </cell>
          <cell r="K1099" t="str">
            <v/>
          </cell>
          <cell r="L1099" t="str">
            <v/>
          </cell>
          <cell r="M1099" t="str">
            <v/>
          </cell>
        </row>
        <row r="1100">
          <cell r="I1100" t="str">
            <v/>
          </cell>
          <cell r="J1100" t="str">
            <v/>
          </cell>
          <cell r="K1100" t="str">
            <v/>
          </cell>
          <cell r="L1100" t="str">
            <v/>
          </cell>
          <cell r="M1100" t="str">
            <v/>
          </cell>
        </row>
        <row r="1101">
          <cell r="I1101" t="str">
            <v/>
          </cell>
          <cell r="J1101" t="str">
            <v/>
          </cell>
          <cell r="K1101" t="str">
            <v/>
          </cell>
          <cell r="L1101" t="str">
            <v/>
          </cell>
          <cell r="M1101" t="str">
            <v/>
          </cell>
        </row>
        <row r="1102">
          <cell r="I1102" t="str">
            <v/>
          </cell>
          <cell r="J1102" t="str">
            <v/>
          </cell>
          <cell r="K1102" t="str">
            <v/>
          </cell>
          <cell r="L1102" t="str">
            <v/>
          </cell>
          <cell r="M1102" t="str">
            <v/>
          </cell>
        </row>
        <row r="1103">
          <cell r="I1103" t="str">
            <v/>
          </cell>
          <cell r="J1103" t="str">
            <v/>
          </cell>
          <cell r="K1103" t="str">
            <v/>
          </cell>
          <cell r="L1103" t="str">
            <v/>
          </cell>
          <cell r="M1103" t="str">
            <v/>
          </cell>
        </row>
        <row r="1104">
          <cell r="I1104" t="str">
            <v/>
          </cell>
          <cell r="J1104" t="str">
            <v/>
          </cell>
          <cell r="K1104" t="str">
            <v/>
          </cell>
          <cell r="L1104" t="str">
            <v/>
          </cell>
          <cell r="M1104" t="str">
            <v/>
          </cell>
        </row>
        <row r="1105">
          <cell r="I1105" t="str">
            <v/>
          </cell>
          <cell r="J1105" t="str">
            <v/>
          </cell>
          <cell r="K1105" t="str">
            <v/>
          </cell>
          <cell r="L1105" t="str">
            <v/>
          </cell>
          <cell r="M1105" t="str">
            <v/>
          </cell>
        </row>
        <row r="1106">
          <cell r="I1106" t="str">
            <v/>
          </cell>
          <cell r="J1106" t="str">
            <v/>
          </cell>
          <cell r="K1106" t="str">
            <v/>
          </cell>
          <cell r="L1106" t="str">
            <v/>
          </cell>
          <cell r="M1106" t="str">
            <v/>
          </cell>
        </row>
        <row r="1107">
          <cell r="I1107" t="str">
            <v/>
          </cell>
          <cell r="J1107" t="str">
            <v/>
          </cell>
          <cell r="K1107" t="str">
            <v/>
          </cell>
          <cell r="L1107" t="str">
            <v/>
          </cell>
          <cell r="M1107" t="str">
            <v/>
          </cell>
        </row>
        <row r="1111">
          <cell r="I1111" t="str">
            <v>Heat benchmark sub-installation, non-CL</v>
          </cell>
          <cell r="M1111" t="str">
            <v/>
          </cell>
        </row>
        <row r="1114">
          <cell r="E1114" t="str">
            <v>Heat benchmark sub-installation, non-CL</v>
          </cell>
          <cell r="H1114" t="b">
            <v>0</v>
          </cell>
          <cell r="I1114" t="str">
            <v/>
          </cell>
          <cell r="J1114" t="str">
            <v/>
          </cell>
          <cell r="K1114" t="str">
            <v/>
          </cell>
          <cell r="L1114">
            <v>2</v>
          </cell>
          <cell r="M1114" t="str">
            <v/>
          </cell>
        </row>
        <row r="1115">
          <cell r="M1115" t="str">
            <v/>
          </cell>
        </row>
        <row r="1116">
          <cell r="M1116" t="str">
            <v/>
          </cell>
        </row>
        <row r="1119">
          <cell r="H1119" t="str">
            <v>TJ</v>
          </cell>
          <cell r="I1119" t="str">
            <v/>
          </cell>
          <cell r="J1119" t="str">
            <v/>
          </cell>
          <cell r="K1119" t="str">
            <v/>
          </cell>
          <cell r="L1119" t="str">
            <v/>
          </cell>
          <cell r="M1119" t="str">
            <v/>
          </cell>
        </row>
        <row r="1120">
          <cell r="H1120" t="str">
            <v>TJ</v>
          </cell>
          <cell r="I1120" t="str">
            <v/>
          </cell>
          <cell r="J1120" t="str">
            <v/>
          </cell>
          <cell r="K1120" t="str">
            <v/>
          </cell>
          <cell r="L1120" t="str">
            <v/>
          </cell>
          <cell r="M1120" t="str">
            <v/>
          </cell>
          <cell r="N1120" t="str">
            <v/>
          </cell>
        </row>
        <row r="1123">
          <cell r="F1123" t="str">
            <v/>
          </cell>
          <cell r="I1123" t="str">
            <v/>
          </cell>
          <cell r="K1123" t="str">
            <v/>
          </cell>
          <cell r="M1123" t="str">
            <v/>
          </cell>
        </row>
        <row r="1127">
          <cell r="I1127" t="str">
            <v/>
          </cell>
          <cell r="J1127" t="str">
            <v/>
          </cell>
          <cell r="K1127" t="str">
            <v/>
          </cell>
          <cell r="L1127" t="str">
            <v/>
          </cell>
          <cell r="M1127" t="str">
            <v/>
          </cell>
        </row>
        <row r="1129">
          <cell r="I1129" t="str">
            <v/>
          </cell>
          <cell r="J1129" t="str">
            <v/>
          </cell>
          <cell r="K1129" t="str">
            <v/>
          </cell>
          <cell r="L1129" t="str">
            <v/>
          </cell>
          <cell r="M1129" t="str">
            <v/>
          </cell>
        </row>
        <row r="1131">
          <cell r="I1131" t="str">
            <v/>
          </cell>
          <cell r="J1131" t="str">
            <v/>
          </cell>
          <cell r="K1131" t="str">
            <v/>
          </cell>
          <cell r="L1131" t="str">
            <v/>
          </cell>
          <cell r="M1131" t="str">
            <v/>
          </cell>
        </row>
        <row r="1132">
          <cell r="I1132" t="str">
            <v/>
          </cell>
          <cell r="J1132" t="str">
            <v/>
          </cell>
          <cell r="K1132" t="str">
            <v/>
          </cell>
          <cell r="L1132" t="str">
            <v/>
          </cell>
          <cell r="M1132" t="str">
            <v/>
          </cell>
        </row>
        <row r="1133">
          <cell r="I1133" t="str">
            <v/>
          </cell>
          <cell r="J1133" t="str">
            <v/>
          </cell>
          <cell r="K1133" t="str">
            <v/>
          </cell>
          <cell r="L1133" t="str">
            <v/>
          </cell>
          <cell r="M1133" t="str">
            <v/>
          </cell>
        </row>
        <row r="1134">
          <cell r="I1134" t="str">
            <v/>
          </cell>
          <cell r="J1134" t="str">
            <v/>
          </cell>
          <cell r="K1134" t="str">
            <v/>
          </cell>
          <cell r="L1134" t="str">
            <v/>
          </cell>
          <cell r="M1134" t="str">
            <v/>
          </cell>
        </row>
        <row r="1136">
          <cell r="I1136" t="str">
            <v/>
          </cell>
          <cell r="J1136" t="str">
            <v/>
          </cell>
          <cell r="K1136" t="str">
            <v/>
          </cell>
          <cell r="L1136" t="str">
            <v/>
          </cell>
          <cell r="M1136" t="str">
            <v/>
          </cell>
        </row>
        <row r="1138">
          <cell r="I1138" t="str">
            <v/>
          </cell>
          <cell r="J1138" t="str">
            <v/>
          </cell>
          <cell r="K1138" t="str">
            <v/>
          </cell>
          <cell r="L1138" t="str">
            <v/>
          </cell>
          <cell r="M1138" t="str">
            <v/>
          </cell>
        </row>
        <row r="1139">
          <cell r="I1139" t="str">
            <v/>
          </cell>
          <cell r="J1139" t="str">
            <v/>
          </cell>
          <cell r="K1139" t="str">
            <v/>
          </cell>
          <cell r="L1139" t="str">
            <v/>
          </cell>
          <cell r="M1139" t="str">
            <v/>
          </cell>
        </row>
        <row r="1140">
          <cell r="I1140" t="str">
            <v/>
          </cell>
          <cell r="J1140" t="str">
            <v/>
          </cell>
          <cell r="K1140" t="str">
            <v/>
          </cell>
          <cell r="L1140" t="str">
            <v/>
          </cell>
          <cell r="M1140" t="str">
            <v/>
          </cell>
        </row>
        <row r="1141">
          <cell r="I1141" t="str">
            <v/>
          </cell>
          <cell r="J1141" t="str">
            <v/>
          </cell>
          <cell r="K1141" t="str">
            <v/>
          </cell>
          <cell r="L1141" t="str">
            <v/>
          </cell>
          <cell r="M1141" t="str">
            <v/>
          </cell>
        </row>
        <row r="1142">
          <cell r="I1142" t="str">
            <v/>
          </cell>
          <cell r="J1142" t="str">
            <v/>
          </cell>
          <cell r="K1142" t="str">
            <v/>
          </cell>
          <cell r="L1142" t="str">
            <v/>
          </cell>
          <cell r="M1142" t="str">
            <v/>
          </cell>
        </row>
        <row r="1143">
          <cell r="I1143" t="str">
            <v/>
          </cell>
          <cell r="J1143" t="str">
            <v/>
          </cell>
          <cell r="K1143" t="str">
            <v/>
          </cell>
          <cell r="L1143" t="str">
            <v/>
          </cell>
          <cell r="M1143" t="str">
            <v/>
          </cell>
        </row>
        <row r="1144">
          <cell r="I1144" t="str">
            <v/>
          </cell>
          <cell r="J1144" t="str">
            <v/>
          </cell>
          <cell r="K1144" t="str">
            <v/>
          </cell>
          <cell r="L1144" t="str">
            <v/>
          </cell>
          <cell r="M1144" t="str">
            <v/>
          </cell>
        </row>
        <row r="1145">
          <cell r="I1145" t="str">
            <v/>
          </cell>
          <cell r="J1145" t="str">
            <v/>
          </cell>
          <cell r="K1145" t="str">
            <v/>
          </cell>
          <cell r="L1145" t="str">
            <v/>
          </cell>
          <cell r="M1145" t="str">
            <v/>
          </cell>
        </row>
        <row r="1146">
          <cell r="I1146" t="str">
            <v/>
          </cell>
          <cell r="J1146" t="str">
            <v/>
          </cell>
          <cell r="K1146" t="str">
            <v/>
          </cell>
          <cell r="L1146" t="str">
            <v/>
          </cell>
          <cell r="M1146" t="str">
            <v/>
          </cell>
        </row>
        <row r="1147">
          <cell r="I1147" t="str">
            <v/>
          </cell>
          <cell r="J1147" t="str">
            <v/>
          </cell>
          <cell r="K1147" t="str">
            <v/>
          </cell>
          <cell r="L1147" t="str">
            <v/>
          </cell>
          <cell r="M1147" t="str">
            <v/>
          </cell>
        </row>
        <row r="1151">
          <cell r="I1151" t="str">
            <v>District heating sub-installation</v>
          </cell>
          <cell r="M1151" t="str">
            <v/>
          </cell>
        </row>
        <row r="1154">
          <cell r="E1154" t="str">
            <v>District heating sub-installation</v>
          </cell>
          <cell r="H1154" t="b">
            <v>0</v>
          </cell>
          <cell r="I1154" t="str">
            <v/>
          </cell>
          <cell r="J1154" t="str">
            <v/>
          </cell>
          <cell r="K1154" t="str">
            <v/>
          </cell>
          <cell r="L1154">
            <v>3</v>
          </cell>
          <cell r="M1154" t="str">
            <v/>
          </cell>
        </row>
        <row r="1155">
          <cell r="M1155" t="str">
            <v/>
          </cell>
        </row>
        <row r="1156">
          <cell r="M1156" t="str">
            <v/>
          </cell>
        </row>
        <row r="1159">
          <cell r="H1159" t="str">
            <v>TJ</v>
          </cell>
          <cell r="I1159" t="str">
            <v/>
          </cell>
          <cell r="J1159" t="str">
            <v/>
          </cell>
          <cell r="K1159" t="str">
            <v/>
          </cell>
          <cell r="L1159" t="str">
            <v/>
          </cell>
          <cell r="M1159" t="str">
            <v/>
          </cell>
        </row>
        <row r="1160">
          <cell r="H1160" t="str">
            <v>TJ</v>
          </cell>
          <cell r="I1160" t="str">
            <v/>
          </cell>
          <cell r="J1160" t="str">
            <v/>
          </cell>
          <cell r="K1160" t="str">
            <v/>
          </cell>
          <cell r="L1160" t="str">
            <v/>
          </cell>
          <cell r="M1160" t="str">
            <v/>
          </cell>
          <cell r="N1160" t="str">
            <v/>
          </cell>
        </row>
        <row r="1163">
          <cell r="F1163" t="str">
            <v/>
          </cell>
          <cell r="I1163" t="str">
            <v/>
          </cell>
          <cell r="K1163" t="str">
            <v/>
          </cell>
          <cell r="M1163" t="str">
            <v/>
          </cell>
        </row>
        <row r="1167">
          <cell r="I1167" t="str">
            <v/>
          </cell>
          <cell r="J1167" t="str">
            <v/>
          </cell>
          <cell r="K1167" t="str">
            <v/>
          </cell>
          <cell r="L1167" t="str">
            <v/>
          </cell>
          <cell r="M1167" t="str">
            <v/>
          </cell>
        </row>
        <row r="1169">
          <cell r="I1169" t="str">
            <v/>
          </cell>
          <cell r="J1169" t="str">
            <v/>
          </cell>
          <cell r="K1169" t="str">
            <v/>
          </cell>
          <cell r="L1169" t="str">
            <v/>
          </cell>
          <cell r="M1169" t="str">
            <v/>
          </cell>
        </row>
        <row r="1171">
          <cell r="I1171" t="str">
            <v/>
          </cell>
          <cell r="J1171" t="str">
            <v/>
          </cell>
          <cell r="K1171" t="str">
            <v/>
          </cell>
          <cell r="L1171" t="str">
            <v/>
          </cell>
          <cell r="M1171" t="str">
            <v/>
          </cell>
        </row>
        <row r="1172">
          <cell r="I1172" t="str">
            <v/>
          </cell>
          <cell r="J1172" t="str">
            <v/>
          </cell>
          <cell r="K1172" t="str">
            <v/>
          </cell>
          <cell r="L1172" t="str">
            <v/>
          </cell>
          <cell r="M1172" t="str">
            <v/>
          </cell>
        </row>
        <row r="1173">
          <cell r="I1173" t="str">
            <v/>
          </cell>
          <cell r="J1173" t="str">
            <v/>
          </cell>
          <cell r="K1173" t="str">
            <v/>
          </cell>
          <cell r="L1173" t="str">
            <v/>
          </cell>
          <cell r="M1173" t="str">
            <v/>
          </cell>
        </row>
        <row r="1174">
          <cell r="I1174" t="str">
            <v/>
          </cell>
          <cell r="J1174" t="str">
            <v/>
          </cell>
          <cell r="K1174" t="str">
            <v/>
          </cell>
          <cell r="L1174" t="str">
            <v/>
          </cell>
          <cell r="M1174" t="str">
            <v/>
          </cell>
        </row>
        <row r="1176">
          <cell r="I1176" t="str">
            <v/>
          </cell>
          <cell r="J1176" t="str">
            <v/>
          </cell>
          <cell r="K1176" t="str">
            <v/>
          </cell>
          <cell r="L1176" t="str">
            <v/>
          </cell>
          <cell r="M1176" t="str">
            <v/>
          </cell>
        </row>
        <row r="1178">
          <cell r="I1178" t="str">
            <v/>
          </cell>
          <cell r="J1178" t="str">
            <v/>
          </cell>
          <cell r="K1178" t="str">
            <v/>
          </cell>
          <cell r="L1178" t="str">
            <v/>
          </cell>
          <cell r="M1178" t="str">
            <v/>
          </cell>
        </row>
        <row r="1179">
          <cell r="I1179" t="str">
            <v/>
          </cell>
          <cell r="J1179" t="str">
            <v/>
          </cell>
          <cell r="K1179" t="str">
            <v/>
          </cell>
          <cell r="L1179" t="str">
            <v/>
          </cell>
          <cell r="M1179" t="str">
            <v/>
          </cell>
        </row>
        <row r="1180">
          <cell r="I1180" t="str">
            <v/>
          </cell>
          <cell r="J1180" t="str">
            <v/>
          </cell>
          <cell r="K1180" t="str">
            <v/>
          </cell>
          <cell r="L1180" t="str">
            <v/>
          </cell>
          <cell r="M1180" t="str">
            <v/>
          </cell>
        </row>
        <row r="1181">
          <cell r="I1181" t="str">
            <v/>
          </cell>
          <cell r="J1181" t="str">
            <v/>
          </cell>
          <cell r="K1181" t="str">
            <v/>
          </cell>
          <cell r="L1181" t="str">
            <v/>
          </cell>
          <cell r="M1181" t="str">
            <v/>
          </cell>
        </row>
        <row r="1182">
          <cell r="I1182" t="str">
            <v/>
          </cell>
          <cell r="J1182" t="str">
            <v/>
          </cell>
          <cell r="K1182" t="str">
            <v/>
          </cell>
          <cell r="L1182" t="str">
            <v/>
          </cell>
          <cell r="M1182" t="str">
            <v/>
          </cell>
        </row>
        <row r="1183">
          <cell r="I1183" t="str">
            <v/>
          </cell>
          <cell r="J1183" t="str">
            <v/>
          </cell>
          <cell r="K1183" t="str">
            <v/>
          </cell>
          <cell r="L1183" t="str">
            <v/>
          </cell>
          <cell r="M1183" t="str">
            <v/>
          </cell>
        </row>
        <row r="1184">
          <cell r="I1184" t="str">
            <v/>
          </cell>
          <cell r="J1184" t="str">
            <v/>
          </cell>
          <cell r="K1184" t="str">
            <v/>
          </cell>
          <cell r="L1184" t="str">
            <v/>
          </cell>
          <cell r="M1184" t="str">
            <v/>
          </cell>
        </row>
        <row r="1185">
          <cell r="I1185" t="str">
            <v/>
          </cell>
          <cell r="J1185" t="str">
            <v/>
          </cell>
          <cell r="K1185" t="str">
            <v/>
          </cell>
          <cell r="L1185" t="str">
            <v/>
          </cell>
          <cell r="M1185" t="str">
            <v/>
          </cell>
        </row>
        <row r="1186">
          <cell r="I1186" t="str">
            <v/>
          </cell>
          <cell r="J1186" t="str">
            <v/>
          </cell>
          <cell r="K1186" t="str">
            <v/>
          </cell>
          <cell r="L1186" t="str">
            <v/>
          </cell>
          <cell r="M1186" t="str">
            <v/>
          </cell>
        </row>
        <row r="1187">
          <cell r="I1187" t="str">
            <v/>
          </cell>
          <cell r="J1187" t="str">
            <v/>
          </cell>
          <cell r="K1187" t="str">
            <v/>
          </cell>
          <cell r="L1187" t="str">
            <v/>
          </cell>
          <cell r="M1187" t="str">
            <v/>
          </cell>
        </row>
        <row r="1191">
          <cell r="I1191" t="str">
            <v>Fuel benchmark sub-installation, CL</v>
          </cell>
          <cell r="M1191" t="str">
            <v/>
          </cell>
        </row>
        <row r="1194">
          <cell r="E1194" t="str">
            <v>Fuel benchmark sub-installation, CL</v>
          </cell>
          <cell r="H1194" t="b">
            <v>1</v>
          </cell>
          <cell r="I1194" t="str">
            <v/>
          </cell>
          <cell r="J1194" t="str">
            <v/>
          </cell>
          <cell r="K1194" t="str">
            <v/>
          </cell>
          <cell r="L1194">
            <v>4</v>
          </cell>
          <cell r="M1194" t="str">
            <v/>
          </cell>
        </row>
        <row r="1195">
          <cell r="M1195" t="str">
            <v/>
          </cell>
        </row>
        <row r="1196">
          <cell r="M1196" t="str">
            <v/>
          </cell>
        </row>
        <row r="1199">
          <cell r="H1199" t="str">
            <v>TJ</v>
          </cell>
          <cell r="I1199" t="str">
            <v/>
          </cell>
          <cell r="J1199" t="str">
            <v/>
          </cell>
          <cell r="K1199" t="str">
            <v/>
          </cell>
          <cell r="L1199" t="str">
            <v/>
          </cell>
          <cell r="M1199" t="str">
            <v/>
          </cell>
        </row>
        <row r="1200">
          <cell r="H1200" t="str">
            <v>TJ</v>
          </cell>
          <cell r="I1200" t="str">
            <v/>
          </cell>
          <cell r="J1200" t="str">
            <v/>
          </cell>
          <cell r="K1200" t="str">
            <v/>
          </cell>
          <cell r="L1200" t="str">
            <v/>
          </cell>
          <cell r="M1200" t="str">
            <v/>
          </cell>
          <cell r="N1200" t="str">
            <v/>
          </cell>
        </row>
        <row r="1203">
          <cell r="F1203" t="str">
            <v/>
          </cell>
          <cell r="I1203" t="str">
            <v/>
          </cell>
          <cell r="K1203" t="str">
            <v/>
          </cell>
          <cell r="M1203" t="str">
            <v/>
          </cell>
        </row>
        <row r="1207">
          <cell r="I1207" t="str">
            <v/>
          </cell>
          <cell r="J1207" t="str">
            <v/>
          </cell>
          <cell r="K1207" t="str">
            <v/>
          </cell>
          <cell r="L1207" t="str">
            <v/>
          </cell>
          <cell r="M1207" t="str">
            <v/>
          </cell>
        </row>
        <row r="1209">
          <cell r="I1209" t="str">
            <v/>
          </cell>
          <cell r="J1209" t="str">
            <v/>
          </cell>
          <cell r="K1209" t="str">
            <v/>
          </cell>
          <cell r="L1209" t="str">
            <v/>
          </cell>
          <cell r="M1209" t="str">
            <v/>
          </cell>
        </row>
        <row r="1210">
          <cell r="I1210" t="str">
            <v/>
          </cell>
          <cell r="J1210" t="str">
            <v/>
          </cell>
          <cell r="K1210" t="str">
            <v/>
          </cell>
          <cell r="L1210" t="str">
            <v/>
          </cell>
          <cell r="M1210" t="str">
            <v/>
          </cell>
        </row>
        <row r="1211">
          <cell r="I1211" t="str">
            <v/>
          </cell>
          <cell r="J1211" t="str">
            <v/>
          </cell>
          <cell r="K1211" t="str">
            <v/>
          </cell>
          <cell r="L1211" t="str">
            <v/>
          </cell>
          <cell r="M1211" t="str">
            <v/>
          </cell>
        </row>
        <row r="1212">
          <cell r="I1212" t="str">
            <v/>
          </cell>
          <cell r="J1212" t="str">
            <v/>
          </cell>
          <cell r="K1212" t="str">
            <v/>
          </cell>
          <cell r="L1212" t="str">
            <v/>
          </cell>
          <cell r="M1212" t="str">
            <v/>
          </cell>
        </row>
        <row r="1214">
          <cell r="I1214" t="str">
            <v/>
          </cell>
          <cell r="J1214" t="str">
            <v/>
          </cell>
          <cell r="K1214" t="str">
            <v/>
          </cell>
          <cell r="L1214" t="str">
            <v/>
          </cell>
          <cell r="M1214" t="str">
            <v/>
          </cell>
        </row>
        <row r="1216">
          <cell r="I1216" t="str">
            <v/>
          </cell>
          <cell r="J1216" t="str">
            <v/>
          </cell>
          <cell r="K1216" t="str">
            <v/>
          </cell>
          <cell r="L1216" t="str">
            <v/>
          </cell>
          <cell r="M1216" t="str">
            <v/>
          </cell>
        </row>
        <row r="1217">
          <cell r="I1217" t="str">
            <v/>
          </cell>
          <cell r="J1217" t="str">
            <v/>
          </cell>
          <cell r="K1217" t="str">
            <v/>
          </cell>
          <cell r="L1217" t="str">
            <v/>
          </cell>
          <cell r="M1217" t="str">
            <v/>
          </cell>
        </row>
        <row r="1221">
          <cell r="I1221" t="str">
            <v>Fuel benchmark sub-installation, non-CL</v>
          </cell>
          <cell r="M1221" t="str">
            <v/>
          </cell>
        </row>
        <row r="1224">
          <cell r="E1224" t="str">
            <v>Fuel benchmark sub-installation, non-CL</v>
          </cell>
          <cell r="H1224" t="b">
            <v>0</v>
          </cell>
          <cell r="I1224" t="str">
            <v/>
          </cell>
          <cell r="J1224" t="str">
            <v/>
          </cell>
          <cell r="K1224" t="str">
            <v/>
          </cell>
          <cell r="L1224">
            <v>5</v>
          </cell>
          <cell r="M1224" t="str">
            <v/>
          </cell>
        </row>
        <row r="1225">
          <cell r="M1225" t="str">
            <v/>
          </cell>
        </row>
        <row r="1226">
          <cell r="M1226" t="str">
            <v/>
          </cell>
        </row>
        <row r="1229">
          <cell r="H1229" t="str">
            <v>TJ</v>
          </cell>
          <cell r="I1229" t="str">
            <v/>
          </cell>
          <cell r="J1229" t="str">
            <v/>
          </cell>
          <cell r="K1229" t="str">
            <v/>
          </cell>
          <cell r="L1229" t="str">
            <v/>
          </cell>
          <cell r="M1229" t="str">
            <v/>
          </cell>
        </row>
        <row r="1230">
          <cell r="H1230" t="str">
            <v>TJ</v>
          </cell>
          <cell r="I1230" t="str">
            <v/>
          </cell>
          <cell r="J1230" t="str">
            <v/>
          </cell>
          <cell r="K1230" t="str">
            <v/>
          </cell>
          <cell r="L1230" t="str">
            <v/>
          </cell>
          <cell r="M1230" t="str">
            <v/>
          </cell>
          <cell r="N1230" t="str">
            <v/>
          </cell>
        </row>
        <row r="1233">
          <cell r="F1233" t="str">
            <v/>
          </cell>
          <cell r="I1233" t="str">
            <v/>
          </cell>
          <cell r="K1233" t="str">
            <v/>
          </cell>
          <cell r="M1233" t="str">
            <v/>
          </cell>
        </row>
        <row r="1237">
          <cell r="I1237" t="str">
            <v/>
          </cell>
          <cell r="J1237" t="str">
            <v/>
          </cell>
          <cell r="K1237" t="str">
            <v/>
          </cell>
          <cell r="L1237" t="str">
            <v/>
          </cell>
          <cell r="M1237" t="str">
            <v/>
          </cell>
        </row>
        <row r="1239">
          <cell r="I1239" t="str">
            <v/>
          </cell>
          <cell r="J1239" t="str">
            <v/>
          </cell>
          <cell r="K1239" t="str">
            <v/>
          </cell>
          <cell r="L1239" t="str">
            <v/>
          </cell>
          <cell r="M1239" t="str">
            <v/>
          </cell>
        </row>
        <row r="1240">
          <cell r="I1240" t="str">
            <v/>
          </cell>
          <cell r="J1240" t="str">
            <v/>
          </cell>
          <cell r="K1240" t="str">
            <v/>
          </cell>
          <cell r="L1240" t="str">
            <v/>
          </cell>
          <cell r="M1240" t="str">
            <v/>
          </cell>
        </row>
        <row r="1241">
          <cell r="I1241" t="str">
            <v/>
          </cell>
          <cell r="J1241" t="str">
            <v/>
          </cell>
          <cell r="K1241" t="str">
            <v/>
          </cell>
          <cell r="L1241" t="str">
            <v/>
          </cell>
          <cell r="M1241" t="str">
            <v/>
          </cell>
        </row>
        <row r="1242">
          <cell r="I1242" t="str">
            <v/>
          </cell>
          <cell r="J1242" t="str">
            <v/>
          </cell>
          <cell r="K1242" t="str">
            <v/>
          </cell>
          <cell r="L1242" t="str">
            <v/>
          </cell>
          <cell r="M1242" t="str">
            <v/>
          </cell>
        </row>
        <row r="1244">
          <cell r="I1244" t="str">
            <v/>
          </cell>
          <cell r="J1244" t="str">
            <v/>
          </cell>
          <cell r="K1244" t="str">
            <v/>
          </cell>
          <cell r="L1244" t="str">
            <v/>
          </cell>
          <cell r="M1244" t="str">
            <v/>
          </cell>
        </row>
        <row r="1246">
          <cell r="I1246" t="str">
            <v/>
          </cell>
          <cell r="J1246" t="str">
            <v/>
          </cell>
          <cell r="K1246" t="str">
            <v/>
          </cell>
          <cell r="L1246" t="str">
            <v/>
          </cell>
          <cell r="M1246" t="str">
            <v/>
          </cell>
        </row>
        <row r="1247">
          <cell r="I1247" t="str">
            <v/>
          </cell>
          <cell r="J1247" t="str">
            <v/>
          </cell>
          <cell r="K1247" t="str">
            <v/>
          </cell>
          <cell r="L1247" t="str">
            <v/>
          </cell>
          <cell r="M1247" t="str">
            <v/>
          </cell>
        </row>
        <row r="1251">
          <cell r="I1251" t="str">
            <v>Process emissions sub-installation, CL</v>
          </cell>
          <cell r="M1251" t="str">
            <v/>
          </cell>
        </row>
        <row r="1254">
          <cell r="E1254" t="str">
            <v>Process emissions sub-installation, CL</v>
          </cell>
          <cell r="H1254" t="b">
            <v>1</v>
          </cell>
          <cell r="I1254" t="str">
            <v/>
          </cell>
          <cell r="J1254" t="str">
            <v/>
          </cell>
          <cell r="K1254" t="str">
            <v/>
          </cell>
          <cell r="L1254">
            <v>6</v>
          </cell>
          <cell r="M1254" t="str">
            <v/>
          </cell>
        </row>
        <row r="1255">
          <cell r="M1255" t="str">
            <v/>
          </cell>
        </row>
        <row r="1256">
          <cell r="M1256" t="str">
            <v/>
          </cell>
        </row>
        <row r="1259">
          <cell r="H1259" t="str">
            <v>t CO2e</v>
          </cell>
          <cell r="I1259" t="str">
            <v/>
          </cell>
          <cell r="J1259" t="str">
            <v/>
          </cell>
          <cell r="K1259" t="str">
            <v/>
          </cell>
          <cell r="L1259" t="str">
            <v/>
          </cell>
          <cell r="M1259" t="str">
            <v/>
          </cell>
        </row>
        <row r="1260">
          <cell r="H1260" t="str">
            <v>t CO2e</v>
          </cell>
          <cell r="I1260" t="str">
            <v/>
          </cell>
          <cell r="J1260" t="str">
            <v/>
          </cell>
          <cell r="K1260" t="str">
            <v/>
          </cell>
          <cell r="L1260" t="str">
            <v/>
          </cell>
          <cell r="M1260" t="str">
            <v/>
          </cell>
          <cell r="N1260" t="str">
            <v/>
          </cell>
        </row>
        <row r="1263">
          <cell r="F1263" t="str">
            <v/>
          </cell>
          <cell r="I1263" t="str">
            <v/>
          </cell>
          <cell r="K1263" t="str">
            <v/>
          </cell>
          <cell r="M1263" t="str">
            <v/>
          </cell>
        </row>
        <row r="1267">
          <cell r="I1267" t="str">
            <v/>
          </cell>
          <cell r="J1267" t="str">
            <v/>
          </cell>
          <cell r="K1267" t="str">
            <v/>
          </cell>
          <cell r="L1267" t="str">
            <v/>
          </cell>
          <cell r="M1267" t="str">
            <v/>
          </cell>
        </row>
        <row r="1271">
          <cell r="I1271" t="str">
            <v>Process emissions sub-installation, non-CL</v>
          </cell>
          <cell r="M1271" t="str">
            <v/>
          </cell>
        </row>
        <row r="1274">
          <cell r="E1274" t="str">
            <v>Process emissions sub-installation, non-CL</v>
          </cell>
          <cell r="H1274" t="b">
            <v>0</v>
          </cell>
          <cell r="I1274" t="str">
            <v/>
          </cell>
          <cell r="J1274" t="str">
            <v/>
          </cell>
          <cell r="K1274" t="str">
            <v/>
          </cell>
          <cell r="L1274">
            <v>7</v>
          </cell>
          <cell r="M1274" t="str">
            <v/>
          </cell>
        </row>
        <row r="1275">
          <cell r="M1275" t="str">
            <v/>
          </cell>
        </row>
        <row r="1276">
          <cell r="M1276" t="str">
            <v/>
          </cell>
        </row>
        <row r="1279">
          <cell r="H1279" t="str">
            <v>t CO2e</v>
          </cell>
          <cell r="I1279" t="str">
            <v/>
          </cell>
          <cell r="J1279" t="str">
            <v/>
          </cell>
          <cell r="K1279" t="str">
            <v/>
          </cell>
          <cell r="L1279" t="str">
            <v/>
          </cell>
          <cell r="M1279" t="str">
            <v/>
          </cell>
        </row>
        <row r="1280">
          <cell r="H1280" t="str">
            <v>t CO2e</v>
          </cell>
          <cell r="I1280" t="str">
            <v/>
          </cell>
          <cell r="J1280" t="str">
            <v/>
          </cell>
          <cell r="K1280" t="str">
            <v/>
          </cell>
          <cell r="L1280" t="str">
            <v/>
          </cell>
          <cell r="M1280" t="str">
            <v/>
          </cell>
          <cell r="N1280" t="str">
            <v/>
          </cell>
        </row>
        <row r="1283">
          <cell r="F1283" t="str">
            <v/>
          </cell>
          <cell r="I1283" t="str">
            <v/>
          </cell>
          <cell r="K1283" t="str">
            <v/>
          </cell>
          <cell r="M1283" t="str">
            <v/>
          </cell>
        </row>
        <row r="1287">
          <cell r="I1287" t="str">
            <v/>
          </cell>
          <cell r="J1287" t="str">
            <v/>
          </cell>
          <cell r="K1287" t="str">
            <v/>
          </cell>
          <cell r="L1287" t="str">
            <v/>
          </cell>
          <cell r="M1287" t="str">
            <v/>
          </cell>
        </row>
        <row r="1318">
          <cell r="I1318">
            <v>0.3</v>
          </cell>
          <cell r="J1318">
            <v>0.3</v>
          </cell>
          <cell r="K1318">
            <v>0.3</v>
          </cell>
          <cell r="L1318">
            <v>0.3</v>
          </cell>
          <cell r="M1318">
            <v>0.3</v>
          </cell>
        </row>
        <row r="1319">
          <cell r="I1319">
            <v>0.3</v>
          </cell>
          <cell r="J1319">
            <v>0.3</v>
          </cell>
          <cell r="K1319">
            <v>0.3</v>
          </cell>
          <cell r="L1319">
            <v>0.3</v>
          </cell>
          <cell r="M1319">
            <v>0.3</v>
          </cell>
        </row>
        <row r="1325">
          <cell r="D1325" t="str">
            <v/>
          </cell>
          <cell r="I1325" t="str">
            <v/>
          </cell>
          <cell r="J1325" t="str">
            <v/>
          </cell>
          <cell r="K1325" t="str">
            <v/>
          </cell>
          <cell r="L1325" t="str">
            <v/>
          </cell>
          <cell r="M1325" t="str">
            <v/>
          </cell>
        </row>
        <row r="1326">
          <cell r="D1326" t="str">
            <v/>
          </cell>
          <cell r="I1326" t="str">
            <v/>
          </cell>
          <cell r="J1326" t="str">
            <v/>
          </cell>
          <cell r="K1326" t="str">
            <v/>
          </cell>
          <cell r="L1326" t="str">
            <v/>
          </cell>
          <cell r="M1326" t="str">
            <v/>
          </cell>
        </row>
        <row r="1327">
          <cell r="D1327" t="str">
            <v/>
          </cell>
          <cell r="I1327" t="str">
            <v/>
          </cell>
          <cell r="J1327" t="str">
            <v/>
          </cell>
          <cell r="K1327" t="str">
            <v/>
          </cell>
          <cell r="L1327" t="str">
            <v/>
          </cell>
          <cell r="M1327" t="str">
            <v/>
          </cell>
        </row>
        <row r="1328">
          <cell r="D1328" t="str">
            <v/>
          </cell>
          <cell r="I1328" t="str">
            <v/>
          </cell>
          <cell r="J1328" t="str">
            <v/>
          </cell>
          <cell r="K1328" t="str">
            <v/>
          </cell>
          <cell r="L1328" t="str">
            <v/>
          </cell>
          <cell r="M1328" t="str">
            <v/>
          </cell>
        </row>
        <row r="1329">
          <cell r="D1329" t="str">
            <v/>
          </cell>
          <cell r="I1329" t="str">
            <v/>
          </cell>
          <cell r="J1329" t="str">
            <v/>
          </cell>
          <cell r="K1329" t="str">
            <v/>
          </cell>
          <cell r="L1329" t="str">
            <v/>
          </cell>
          <cell r="M1329" t="str">
            <v/>
          </cell>
        </row>
        <row r="1330">
          <cell r="D1330" t="str">
            <v/>
          </cell>
          <cell r="I1330" t="str">
            <v/>
          </cell>
          <cell r="J1330" t="str">
            <v/>
          </cell>
          <cell r="K1330" t="str">
            <v/>
          </cell>
          <cell r="L1330" t="str">
            <v/>
          </cell>
          <cell r="M1330" t="str">
            <v/>
          </cell>
        </row>
        <row r="1331">
          <cell r="D1331" t="str">
            <v/>
          </cell>
          <cell r="I1331" t="str">
            <v/>
          </cell>
          <cell r="J1331" t="str">
            <v/>
          </cell>
          <cell r="K1331" t="str">
            <v/>
          </cell>
          <cell r="L1331" t="str">
            <v/>
          </cell>
          <cell r="M1331" t="str">
            <v/>
          </cell>
        </row>
        <row r="1332">
          <cell r="D1332" t="str">
            <v/>
          </cell>
          <cell r="I1332" t="str">
            <v/>
          </cell>
          <cell r="J1332" t="str">
            <v/>
          </cell>
          <cell r="K1332" t="str">
            <v/>
          </cell>
          <cell r="L1332" t="str">
            <v/>
          </cell>
          <cell r="M1332" t="str">
            <v/>
          </cell>
        </row>
        <row r="1333">
          <cell r="D1333" t="str">
            <v/>
          </cell>
          <cell r="I1333" t="str">
            <v/>
          </cell>
          <cell r="J1333" t="str">
            <v/>
          </cell>
          <cell r="K1333" t="str">
            <v/>
          </cell>
          <cell r="L1333" t="str">
            <v/>
          </cell>
          <cell r="M1333" t="str">
            <v/>
          </cell>
        </row>
        <row r="1334">
          <cell r="D1334" t="str">
            <v/>
          </cell>
          <cell r="I1334" t="str">
            <v/>
          </cell>
          <cell r="J1334" t="str">
            <v/>
          </cell>
          <cell r="K1334" t="str">
            <v/>
          </cell>
          <cell r="L1334" t="str">
            <v/>
          </cell>
          <cell r="M1334" t="str">
            <v/>
          </cell>
        </row>
        <row r="1335">
          <cell r="D1335" t="str">
            <v>Heat benchmark sub-installation, CL</v>
          </cell>
          <cell r="I1335" t="str">
            <v/>
          </cell>
          <cell r="J1335" t="str">
            <v/>
          </cell>
          <cell r="K1335" t="str">
            <v/>
          </cell>
          <cell r="L1335" t="str">
            <v/>
          </cell>
          <cell r="M1335" t="str">
            <v/>
          </cell>
        </row>
        <row r="1336">
          <cell r="D1336" t="str">
            <v>Heat benchmark sub-installation, non-CL</v>
          </cell>
          <cell r="I1336" t="str">
            <v/>
          </cell>
          <cell r="J1336" t="str">
            <v/>
          </cell>
          <cell r="K1336" t="str">
            <v/>
          </cell>
          <cell r="L1336" t="str">
            <v/>
          </cell>
          <cell r="M1336" t="str">
            <v/>
          </cell>
        </row>
        <row r="1337">
          <cell r="D1337" t="str">
            <v>District heating sub-installation</v>
          </cell>
          <cell r="I1337" t="str">
            <v/>
          </cell>
          <cell r="J1337" t="str">
            <v/>
          </cell>
          <cell r="K1337" t="str">
            <v/>
          </cell>
          <cell r="L1337" t="str">
            <v/>
          </cell>
          <cell r="M1337" t="str">
            <v/>
          </cell>
        </row>
        <row r="1338">
          <cell r="D1338" t="str">
            <v>Fuel benchmark sub-installation, CL</v>
          </cell>
          <cell r="I1338" t="str">
            <v/>
          </cell>
          <cell r="J1338" t="str">
            <v/>
          </cell>
          <cell r="K1338" t="str">
            <v/>
          </cell>
          <cell r="L1338" t="str">
            <v/>
          </cell>
          <cell r="M1338" t="str">
            <v/>
          </cell>
        </row>
        <row r="1339">
          <cell r="D1339" t="str">
            <v>Fuel benchmark sub-installation, non-CL</v>
          </cell>
          <cell r="I1339" t="str">
            <v/>
          </cell>
          <cell r="J1339" t="str">
            <v/>
          </cell>
          <cell r="K1339" t="str">
            <v/>
          </cell>
          <cell r="L1339" t="str">
            <v/>
          </cell>
          <cell r="M1339" t="str">
            <v/>
          </cell>
        </row>
        <row r="1340">
          <cell r="D1340" t="str">
            <v>Process emissions sub-installation, CL</v>
          </cell>
          <cell r="I1340" t="str">
            <v/>
          </cell>
          <cell r="J1340" t="str">
            <v/>
          </cell>
          <cell r="K1340" t="str">
            <v/>
          </cell>
          <cell r="L1340" t="str">
            <v/>
          </cell>
          <cell r="M1340" t="str">
            <v/>
          </cell>
        </row>
        <row r="1341">
          <cell r="D1341" t="str">
            <v>Process emissions sub-installation, non-CL</v>
          </cell>
          <cell r="I1341" t="str">
            <v/>
          </cell>
          <cell r="J1341" t="str">
            <v/>
          </cell>
          <cell r="K1341" t="str">
            <v/>
          </cell>
          <cell r="L1341" t="str">
            <v/>
          </cell>
          <cell r="M1341" t="str">
            <v/>
          </cell>
        </row>
        <row r="1342">
          <cell r="I1342" t="str">
            <v/>
          </cell>
          <cell r="J1342" t="str">
            <v/>
          </cell>
          <cell r="K1342" t="str">
            <v/>
          </cell>
          <cell r="L1342" t="str">
            <v/>
          </cell>
          <cell r="M1342" t="str">
            <v/>
          </cell>
        </row>
        <row r="1349">
          <cell r="I1349">
            <v>0.85619999999999996</v>
          </cell>
          <cell r="J1349">
            <v>0.83420000000000005</v>
          </cell>
          <cell r="K1349">
            <v>0.81220000000000003</v>
          </cell>
          <cell r="L1349">
            <v>0.79020000000000001</v>
          </cell>
          <cell r="M1349">
            <v>0.76819999999999999</v>
          </cell>
        </row>
        <row r="1356">
          <cell r="I1356">
            <v>1</v>
          </cell>
          <cell r="J1356">
            <v>1</v>
          </cell>
          <cell r="K1356">
            <v>1</v>
          </cell>
          <cell r="L1356">
            <v>1</v>
          </cell>
          <cell r="M1356">
            <v>1</v>
          </cell>
        </row>
        <row r="1362">
          <cell r="I1362" t="str">
            <v/>
          </cell>
          <cell r="J1362" t="str">
            <v/>
          </cell>
          <cell r="K1362" t="str">
            <v/>
          </cell>
          <cell r="L1362" t="str">
            <v/>
          </cell>
          <cell r="M1362" t="str">
            <v/>
          </cell>
        </row>
        <row r="1368">
          <cell r="D1368" t="str">
            <v/>
          </cell>
          <cell r="I1368" t="str">
            <v/>
          </cell>
          <cell r="J1368" t="str">
            <v/>
          </cell>
          <cell r="K1368" t="str">
            <v/>
          </cell>
          <cell r="L1368" t="str">
            <v/>
          </cell>
          <cell r="M1368" t="str">
            <v/>
          </cell>
        </row>
        <row r="1369">
          <cell r="D1369" t="str">
            <v/>
          </cell>
          <cell r="I1369" t="str">
            <v/>
          </cell>
          <cell r="J1369" t="str">
            <v/>
          </cell>
          <cell r="K1369" t="str">
            <v/>
          </cell>
          <cell r="L1369" t="str">
            <v/>
          </cell>
          <cell r="M1369" t="str">
            <v/>
          </cell>
        </row>
        <row r="1370">
          <cell r="D1370" t="str">
            <v/>
          </cell>
          <cell r="I1370" t="str">
            <v/>
          </cell>
          <cell r="J1370" t="str">
            <v/>
          </cell>
          <cell r="K1370" t="str">
            <v/>
          </cell>
          <cell r="L1370" t="str">
            <v/>
          </cell>
          <cell r="M1370" t="str">
            <v/>
          </cell>
        </row>
        <row r="1371">
          <cell r="D1371" t="str">
            <v/>
          </cell>
          <cell r="I1371" t="str">
            <v/>
          </cell>
          <cell r="J1371" t="str">
            <v/>
          </cell>
          <cell r="K1371" t="str">
            <v/>
          </cell>
          <cell r="L1371" t="str">
            <v/>
          </cell>
          <cell r="M1371" t="str">
            <v/>
          </cell>
        </row>
        <row r="1372">
          <cell r="D1372" t="str">
            <v/>
          </cell>
          <cell r="I1372" t="str">
            <v/>
          </cell>
          <cell r="J1372" t="str">
            <v/>
          </cell>
          <cell r="K1372" t="str">
            <v/>
          </cell>
          <cell r="L1372" t="str">
            <v/>
          </cell>
          <cell r="M1372" t="str">
            <v/>
          </cell>
        </row>
        <row r="1373">
          <cell r="D1373" t="str">
            <v/>
          </cell>
          <cell r="I1373" t="str">
            <v/>
          </cell>
          <cell r="J1373" t="str">
            <v/>
          </cell>
          <cell r="K1373" t="str">
            <v/>
          </cell>
          <cell r="L1373" t="str">
            <v/>
          </cell>
          <cell r="M1373" t="str">
            <v/>
          </cell>
        </row>
        <row r="1374">
          <cell r="D1374" t="str">
            <v/>
          </cell>
          <cell r="I1374" t="str">
            <v/>
          </cell>
          <cell r="J1374" t="str">
            <v/>
          </cell>
          <cell r="K1374" t="str">
            <v/>
          </cell>
          <cell r="L1374" t="str">
            <v/>
          </cell>
          <cell r="M1374" t="str">
            <v/>
          </cell>
        </row>
        <row r="1375">
          <cell r="D1375" t="str">
            <v/>
          </cell>
          <cell r="I1375" t="str">
            <v/>
          </cell>
          <cell r="J1375" t="str">
            <v/>
          </cell>
          <cell r="K1375" t="str">
            <v/>
          </cell>
          <cell r="L1375" t="str">
            <v/>
          </cell>
          <cell r="M1375" t="str">
            <v/>
          </cell>
        </row>
        <row r="1376">
          <cell r="D1376" t="str">
            <v/>
          </cell>
          <cell r="I1376" t="str">
            <v/>
          </cell>
          <cell r="J1376" t="str">
            <v/>
          </cell>
          <cell r="K1376" t="str">
            <v/>
          </cell>
          <cell r="L1376" t="str">
            <v/>
          </cell>
          <cell r="M1376" t="str">
            <v/>
          </cell>
        </row>
        <row r="1377">
          <cell r="D1377" t="str">
            <v/>
          </cell>
          <cell r="I1377" t="str">
            <v/>
          </cell>
          <cell r="J1377" t="str">
            <v/>
          </cell>
          <cell r="K1377" t="str">
            <v/>
          </cell>
          <cell r="L1377" t="str">
            <v/>
          </cell>
          <cell r="M1377" t="str">
            <v/>
          </cell>
        </row>
        <row r="1378">
          <cell r="D1378" t="str">
            <v>Heat benchmark sub-installation, CL</v>
          </cell>
          <cell r="I1378" t="str">
            <v/>
          </cell>
          <cell r="J1378" t="str">
            <v/>
          </cell>
          <cell r="K1378" t="str">
            <v/>
          </cell>
          <cell r="L1378" t="str">
            <v/>
          </cell>
          <cell r="M1378" t="str">
            <v/>
          </cell>
        </row>
        <row r="1379">
          <cell r="D1379" t="str">
            <v>Heat benchmark sub-installation, non-CL</v>
          </cell>
          <cell r="I1379" t="str">
            <v/>
          </cell>
          <cell r="J1379" t="str">
            <v/>
          </cell>
          <cell r="K1379" t="str">
            <v/>
          </cell>
          <cell r="L1379" t="str">
            <v/>
          </cell>
          <cell r="M1379" t="str">
            <v/>
          </cell>
        </row>
        <row r="1380">
          <cell r="D1380" t="str">
            <v>District heating sub-installation</v>
          </cell>
          <cell r="I1380" t="str">
            <v/>
          </cell>
          <cell r="J1380" t="str">
            <v/>
          </cell>
          <cell r="K1380" t="str">
            <v/>
          </cell>
          <cell r="L1380" t="str">
            <v/>
          </cell>
          <cell r="M1380" t="str">
            <v/>
          </cell>
        </row>
        <row r="1381">
          <cell r="D1381" t="str">
            <v>Fuel benchmark sub-installation, CL</v>
          </cell>
          <cell r="I1381" t="str">
            <v/>
          </cell>
          <cell r="J1381" t="str">
            <v/>
          </cell>
          <cell r="K1381" t="str">
            <v/>
          </cell>
          <cell r="L1381" t="str">
            <v/>
          </cell>
          <cell r="M1381" t="str">
            <v/>
          </cell>
        </row>
        <row r="1382">
          <cell r="D1382" t="str">
            <v>Fuel benchmark sub-installation, non-CL</v>
          </cell>
          <cell r="I1382" t="str">
            <v/>
          </cell>
          <cell r="J1382" t="str">
            <v/>
          </cell>
          <cell r="K1382" t="str">
            <v/>
          </cell>
          <cell r="L1382" t="str">
            <v/>
          </cell>
          <cell r="M1382" t="str">
            <v/>
          </cell>
        </row>
        <row r="1383">
          <cell r="D1383" t="str">
            <v>Process emissions sub-installation, CL</v>
          </cell>
          <cell r="I1383" t="str">
            <v/>
          </cell>
          <cell r="J1383" t="str">
            <v/>
          </cell>
          <cell r="K1383" t="str">
            <v/>
          </cell>
          <cell r="L1383" t="str">
            <v/>
          </cell>
          <cell r="M1383" t="str">
            <v/>
          </cell>
        </row>
        <row r="1384">
          <cell r="D1384" t="str">
            <v>Process emissions sub-installation, non-CL</v>
          </cell>
          <cell r="I1384" t="str">
            <v/>
          </cell>
          <cell r="J1384" t="str">
            <v/>
          </cell>
          <cell r="K1384" t="str">
            <v/>
          </cell>
          <cell r="L1384" t="str">
            <v/>
          </cell>
          <cell r="M1384" t="str">
            <v/>
          </cell>
        </row>
        <row r="1385">
          <cell r="I1385" t="str">
            <v/>
          </cell>
          <cell r="J1385" t="str">
            <v/>
          </cell>
          <cell r="K1385" t="str">
            <v/>
          </cell>
          <cell r="L1385" t="str">
            <v/>
          </cell>
          <cell r="M1385" t="str">
            <v/>
          </cell>
        </row>
      </sheetData>
      <sheetData sheetId="16"/>
      <sheetData sheetId="17"/>
      <sheetData sheetId="18"/>
      <sheetData sheetId="19"/>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8" Type="http://schemas.openxmlformats.org/officeDocument/2006/relationships/hyperlink" Target="https://naturvardsverket-my.sharepoint.com/heller/AppData/Local/Microsoft/Windows/INetCache/Content.MSO/B6D1B612.xls" TargetMode="External"/><Relationship Id="rId13" Type="http://schemas.openxmlformats.org/officeDocument/2006/relationships/hyperlink" Target="https://naturvardsverket-my.sharepoint.com/personal/heller/AppData/Local/Microsoft/Windows/INetCache/Content.MSO/B6D1B612.xls" TargetMode="External"/><Relationship Id="rId18" Type="http://schemas.openxmlformats.org/officeDocument/2006/relationships/hyperlink" Target="mailto:EUETS@naturvardsverket.se" TargetMode="External"/><Relationship Id="rId3" Type="http://schemas.openxmlformats.org/officeDocument/2006/relationships/hyperlink" Target="https://naturvardsverket-my.sharepoint.com/heller/AppData/Local/Microsoft/Windows/INetCache/Content.MSO/B6D1B612.xls" TargetMode="External"/><Relationship Id="rId7" Type="http://schemas.openxmlformats.org/officeDocument/2006/relationships/hyperlink" Target="https://naturvardsverket-my.sharepoint.com/heller/AppData/Local/Microsoft/Windows/INetCache/Content.MSO/B6D1B612.xls" TargetMode="External"/><Relationship Id="rId12" Type="http://schemas.openxmlformats.org/officeDocument/2006/relationships/hyperlink" Target="https://naturvardsverket-my.sharepoint.com/personal/heller/AppData/Local/Microsoft/Windows/INetCache/Content.MSO/B6D1B612.xls" TargetMode="External"/><Relationship Id="rId17" Type="http://schemas.openxmlformats.org/officeDocument/2006/relationships/hyperlink" Target="https://naturvardsverket-my.sharepoint.com/personal/heller/AppData/Local/Microsoft/Windows/INetCache/Content.MSO/B6D1B612.xls" TargetMode="External"/><Relationship Id="rId2" Type="http://schemas.openxmlformats.org/officeDocument/2006/relationships/hyperlink" Target="https://naturvardsverket-my.sharepoint.com/heller/AppData/Local/Microsoft/Windows/INetCache/Content.MSO/B6D1B612.xls" TargetMode="External"/><Relationship Id="rId16" Type="http://schemas.openxmlformats.org/officeDocument/2006/relationships/hyperlink" Target="https://naturvardsverket-my.sharepoint.com/personal/heller/AppData/Local/Microsoft/Windows/INetCache/Content.MSO/B6D1B612.xls" TargetMode="External"/><Relationship Id="rId20" Type="http://schemas.openxmlformats.org/officeDocument/2006/relationships/printerSettings" Target="../printerSettings/printerSettings16.bin"/><Relationship Id="rId1" Type="http://schemas.openxmlformats.org/officeDocument/2006/relationships/hyperlink" Target="https://eur-lex.europa.eu/eli/reg_impl/2019/1842/oj" TargetMode="External"/><Relationship Id="rId6" Type="http://schemas.openxmlformats.org/officeDocument/2006/relationships/hyperlink" Target="https://eur-lex.europa.eu/eli/dir/2013/34/oj" TargetMode="External"/><Relationship Id="rId11" Type="http://schemas.openxmlformats.org/officeDocument/2006/relationships/hyperlink" Target="https://naturvardsverket-my.sharepoint.com/personal/heller/AppData/Local/Microsoft/Windows/INetCache/Content.MSO/B6D1B612.xls" TargetMode="External"/><Relationship Id="rId5" Type="http://schemas.openxmlformats.org/officeDocument/2006/relationships/hyperlink" Target="https://naturvardsverket-my.sharepoint.com/heller/AppData/Local/Microsoft/Windows/INetCache/Content.MSO/B6D1B612.xls" TargetMode="External"/><Relationship Id="rId15" Type="http://schemas.openxmlformats.org/officeDocument/2006/relationships/hyperlink" Target="https://eur-lex.europa.eu/eli/dir/2013/34/oj?locale=sv" TargetMode="External"/><Relationship Id="rId10" Type="http://schemas.openxmlformats.org/officeDocument/2006/relationships/hyperlink" Target="https://eur-lex.europa.eu/eli/reg_impl/2019/1842/oj" TargetMode="External"/><Relationship Id="rId19" Type="http://schemas.openxmlformats.org/officeDocument/2006/relationships/hyperlink" Target="https://www.naturvardsverket.se/Stod-i-miljoarbetet/Vagledningar/Utslappshandel---vagledningar/Gratis-tilldelning-2021-2030/Lamna-in-handlingar/" TargetMode="External"/><Relationship Id="rId4" Type="http://schemas.openxmlformats.org/officeDocument/2006/relationships/hyperlink" Target="https://naturvardsverket-my.sharepoint.com/heller/AppData/Local/Microsoft/Windows/INetCache/Content.MSO/B6D1B612.xls" TargetMode="External"/><Relationship Id="rId9" Type="http://schemas.openxmlformats.org/officeDocument/2006/relationships/hyperlink" Target="https://naturvardsverket-my.sharepoint.com/heller/AppData/Local/Microsoft/Windows/INetCache/Content.MSO/B6D1B612.xls" TargetMode="External"/><Relationship Id="rId14" Type="http://schemas.openxmlformats.org/officeDocument/2006/relationships/hyperlink" Target="https://naturvardsverket-my.sharepoint.com/personal/heller/AppData/Local/Microsoft/Windows/INetCache/Content.MSO/B6D1B612.xls"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hyperlink" Target="https://eur-lex.europa.eu/eli/reg_impl/2019/1842/oj" TargetMode="External"/><Relationship Id="rId3" Type="http://schemas.openxmlformats.org/officeDocument/2006/relationships/hyperlink" Target="http://ec.europa.eu/clima/documentation/ets/docs/decision_benchmarking_15_dec_en.pdf." TargetMode="External"/><Relationship Id="rId7" Type="http://schemas.openxmlformats.org/officeDocument/2006/relationships/hyperlink" Target="https://eur-lex.europa.eu/eli/reg_impl/2019/1842/oj" TargetMode="External"/><Relationship Id="rId2" Type="http://schemas.openxmlformats.org/officeDocument/2006/relationships/hyperlink" Target="http://ec.europa.eu/clima/policies/ets/index_en.htm" TargetMode="External"/><Relationship Id="rId1" Type="http://schemas.openxmlformats.org/officeDocument/2006/relationships/hyperlink" Target="http://eur-lex.europa.eu/en/index.htm" TargetMode="External"/><Relationship Id="rId6" Type="http://schemas.openxmlformats.org/officeDocument/2006/relationships/hyperlink" Target="http://data.europa.eu/eli/reg_del/2019/331/oj" TargetMode="External"/><Relationship Id="rId5" Type="http://schemas.openxmlformats.org/officeDocument/2006/relationships/hyperlink" Target="https://ec.europa.eu/info/law/better-regulation/initiatives/ares-2018-5486983_en" TargetMode="External"/><Relationship Id="rId4" Type="http://schemas.openxmlformats.org/officeDocument/2006/relationships/hyperlink" Target="https://eur-lex.europa.eu/eli/dir/2003/87/2018-04-08" TargetMode="External"/><Relationship Id="rId9"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eur-lex.europa.eu/eli/dir/2013/34/oj" TargetMode="External"/><Relationship Id="rId1" Type="http://schemas.openxmlformats.org/officeDocument/2006/relationships/hyperlink" Target="http://ec.europa.eu/eurostat/ramon/nomenclatures/index.cfm?TargetUrl=LST_CLS_DLD&amp;StrNom=NACE_REV2&amp;StrLanguageCode=EN&amp;StrLayoutCode=HIERARCHIC"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eur-lex.europa.eu/eli/reg_del/2015/2402/oj"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hyperlink" Target="https://ec.europa.eu/clima/policies/ets/allowances_en" TargetMode="External"/><Relationship Id="rId13" Type="http://schemas.openxmlformats.org/officeDocument/2006/relationships/hyperlink" Target="http://ec.europa.eu/eurostat/ramon/nomenclatures/index.cfm?TargetUrl=LST_CLS_DLD&amp;StrNom=PRD_2010&amp;StrLanguageCode=EN&amp;StrLayoutCode=HIERARCHIC" TargetMode="External"/><Relationship Id="rId18" Type="http://schemas.openxmlformats.org/officeDocument/2006/relationships/hyperlink" Target="https://ec.europa.eu/clima/policies/ets/allowances_en" TargetMode="External"/><Relationship Id="rId3" Type="http://schemas.openxmlformats.org/officeDocument/2006/relationships/hyperlink" Target="http://ec.europa.eu/eurostat/ramon/nomenclatures/index.cfm?TargetUrl=LST_CLS_DLD&amp;StrNom=PRD_2010&amp;StrLanguageCode=EN&amp;StrLayoutCode=HIERARCHIC" TargetMode="External"/><Relationship Id="rId21" Type="http://schemas.openxmlformats.org/officeDocument/2006/relationships/printerSettings" Target="../printerSettings/printerSettings8.bin"/><Relationship Id="rId7" Type="http://schemas.openxmlformats.org/officeDocument/2006/relationships/hyperlink" Target="http://ec.europa.eu/eurostat/ramon/nomenclatures/index.cfm?TargetUrl=LST_CLS_DLD&amp;StrNom=PRD_2010&amp;StrLanguageCode=EN&amp;StrLayoutCode=HIERARCHIC" TargetMode="External"/><Relationship Id="rId12" Type="http://schemas.openxmlformats.org/officeDocument/2006/relationships/hyperlink" Target="https://ec.europa.eu/clima/policies/ets/allowances_en" TargetMode="External"/><Relationship Id="rId17" Type="http://schemas.openxmlformats.org/officeDocument/2006/relationships/hyperlink" Target="http://ec.europa.eu/eurostat/ramon/nomenclatures/index.cfm?TargetUrl=LST_CLS_DLD&amp;StrNom=PRD_2010&amp;StrLanguageCode=EN&amp;StrLayoutCode=HIERARCHIC" TargetMode="External"/><Relationship Id="rId2" Type="http://schemas.openxmlformats.org/officeDocument/2006/relationships/hyperlink" Target="https://ec.europa.eu/clima/policies/ets/allowances_en" TargetMode="External"/><Relationship Id="rId16" Type="http://schemas.openxmlformats.org/officeDocument/2006/relationships/hyperlink" Target="https://ec.europa.eu/clima/policies/ets/allowances_en" TargetMode="External"/><Relationship Id="rId20" Type="http://schemas.openxmlformats.org/officeDocument/2006/relationships/hyperlink" Target="https://ec.europa.eu/clima/policies/ets/allowances_en" TargetMode="External"/><Relationship Id="rId1" Type="http://schemas.openxmlformats.org/officeDocument/2006/relationships/hyperlink" Target="http://ec.europa.eu/eurostat/ramon/nomenclatures/index.cfm?TargetUrl=LST_CLS_DLD&amp;StrNom=PRD_2010&amp;StrLanguageCode=EN&amp;StrLayoutCode=HIERARCHIC" TargetMode="External"/><Relationship Id="rId6" Type="http://schemas.openxmlformats.org/officeDocument/2006/relationships/hyperlink" Target="https://ec.europa.eu/clima/policies/ets/allowances_en" TargetMode="External"/><Relationship Id="rId11" Type="http://schemas.openxmlformats.org/officeDocument/2006/relationships/hyperlink" Target="http://ec.europa.eu/eurostat/ramon/nomenclatures/index.cfm?TargetUrl=LST_CLS_DLD&amp;StrNom=PRD_2010&amp;StrLanguageCode=EN&amp;StrLayoutCode=HIERARCHIC" TargetMode="External"/><Relationship Id="rId5" Type="http://schemas.openxmlformats.org/officeDocument/2006/relationships/hyperlink" Target="http://ec.europa.eu/eurostat/ramon/nomenclatures/index.cfm?TargetUrl=LST_CLS_DLD&amp;StrNom=PRD_2010&amp;StrLanguageCode=EN&amp;StrLayoutCode=HIERARCHIC" TargetMode="External"/><Relationship Id="rId15" Type="http://schemas.openxmlformats.org/officeDocument/2006/relationships/hyperlink" Target="http://ec.europa.eu/eurostat/ramon/nomenclatures/index.cfm?TargetUrl=LST_CLS_DLD&amp;StrNom=PRD_2010&amp;StrLanguageCode=EN&amp;StrLayoutCode=HIERARCHIC" TargetMode="External"/><Relationship Id="rId23" Type="http://schemas.openxmlformats.org/officeDocument/2006/relationships/comments" Target="../comments2.xml"/><Relationship Id="rId10" Type="http://schemas.openxmlformats.org/officeDocument/2006/relationships/hyperlink" Target="https://ec.europa.eu/clima/policies/ets/allowances_en" TargetMode="External"/><Relationship Id="rId19" Type="http://schemas.openxmlformats.org/officeDocument/2006/relationships/hyperlink" Target="http://ec.europa.eu/eurostat/ramon/nomenclatures/index.cfm?TargetUrl=LST_CLS_DLD&amp;StrNom=PRD_2010&amp;StrLanguageCode=EN&amp;StrLayoutCode=HIERARCHIC" TargetMode="External"/><Relationship Id="rId4" Type="http://schemas.openxmlformats.org/officeDocument/2006/relationships/hyperlink" Target="https://ec.europa.eu/clima/policies/ets/allowances_en" TargetMode="External"/><Relationship Id="rId9" Type="http://schemas.openxmlformats.org/officeDocument/2006/relationships/hyperlink" Target="http://ec.europa.eu/eurostat/ramon/nomenclatures/index.cfm?TargetUrl=LST_CLS_DLD&amp;StrNom=PRD_2010&amp;StrLanguageCode=EN&amp;StrLayoutCode=HIERARCHIC" TargetMode="External"/><Relationship Id="rId14" Type="http://schemas.openxmlformats.org/officeDocument/2006/relationships/hyperlink" Target="https://ec.europa.eu/clima/policies/ets/allowances_en" TargetMode="External"/><Relationship Id="rId22"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9.bin"/><Relationship Id="rId3" Type="http://schemas.openxmlformats.org/officeDocument/2006/relationships/hyperlink" Target="http://ec.europa.eu/eurostat/ramon/nomenclatures/index.cfm?TargetUrl=LST_CLS_DLD&amp;StrNom=PRD_2010&amp;StrLanguageCode=EN&amp;StrLayoutCode=HIERARCHIC" TargetMode="External"/><Relationship Id="rId7" Type="http://schemas.openxmlformats.org/officeDocument/2006/relationships/hyperlink" Target="http://ec.europa.eu/eurostat/ramon/nomenclatures/index.cfm?TargetUrl=LST_CLS_DLD&amp;StrNom=PRD_2010&amp;StrLanguageCode=EN&amp;StrLayoutCode=HIERARCHIC" TargetMode="External"/><Relationship Id="rId2" Type="http://schemas.openxmlformats.org/officeDocument/2006/relationships/hyperlink" Target="https://ec.europa.eu/clima/policies/ets/allowances_en" TargetMode="External"/><Relationship Id="rId1" Type="http://schemas.openxmlformats.org/officeDocument/2006/relationships/hyperlink" Target="http://ec.europa.eu/eurostat/ramon/nomenclatures/index.cfm?TargetUrl=LST_CLS_DLD&amp;StrNom=PRD_2010&amp;StrLanguageCode=EN&amp;StrLayoutCode=HIERARCHIC" TargetMode="External"/><Relationship Id="rId6" Type="http://schemas.openxmlformats.org/officeDocument/2006/relationships/hyperlink" Target="http://ec.europa.eu/eurostat/ramon/nomenclatures/index.cfm?TargetUrl=LST_CLS_DLD&amp;StrNom=PRD_2010&amp;StrLanguageCode=EN&amp;StrLayoutCode=HIERARCHIC" TargetMode="External"/><Relationship Id="rId5" Type="http://schemas.openxmlformats.org/officeDocument/2006/relationships/hyperlink" Target="https://ec.europa.eu/clima/policies/ets/allowances_en" TargetMode="External"/><Relationship Id="rId10" Type="http://schemas.openxmlformats.org/officeDocument/2006/relationships/comments" Target="../comments3.xml"/><Relationship Id="rId4" Type="http://schemas.openxmlformats.org/officeDocument/2006/relationships/hyperlink" Target="https://ec.europa.eu/clima/policies/ets/allowances_en" TargetMode="External"/><Relationship Id="rId9"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DD74A-D548-4015-8F1D-AABD09368691}">
  <sheetPr codeName="Tabelle1">
    <pageSetUpPr fitToPage="1"/>
  </sheetPr>
  <dimension ref="A1:K70"/>
  <sheetViews>
    <sheetView zoomScaleNormal="100" workbookViewId="0">
      <pane ySplit="3" topLeftCell="A4" activePane="bottomLeft" state="frozen"/>
      <selection pane="bottomLeft" activeCell="G7" sqref="G7:I7"/>
    </sheetView>
  </sheetViews>
  <sheetFormatPr defaultColWidth="9.1796875" defaultRowHeight="12.5" x14ac:dyDescent="0.25"/>
  <cols>
    <col min="1" max="1" width="4.7265625" style="5" customWidth="1"/>
    <col min="2" max="3" width="4.7265625" style="3" customWidth="1"/>
    <col min="4" max="11" width="12.7265625" style="3" customWidth="1"/>
    <col min="12" max="16384" width="9.1796875" style="3"/>
  </cols>
  <sheetData>
    <row r="1" spans="1:11" ht="13.5" customHeight="1" thickBot="1" x14ac:dyDescent="0.35">
      <c r="A1" s="1933" t="s">
        <v>283</v>
      </c>
      <c r="B1" s="592" t="str">
        <f>Translations!$B$2</f>
        <v>Navigeringsfält:</v>
      </c>
      <c r="C1" s="590"/>
      <c r="D1" s="590"/>
      <c r="E1" s="1936"/>
      <c r="F1" s="1936"/>
      <c r="G1" s="1936"/>
      <c r="H1" s="1936"/>
      <c r="I1" s="1936" t="str">
        <f>Translations!$B$3</f>
        <v>Nästa blad</v>
      </c>
      <c r="J1" s="1936"/>
      <c r="K1" s="1904" t="str">
        <f>Translations!$B$4</f>
        <v>Sammanfattning</v>
      </c>
    </row>
    <row r="2" spans="1:11" ht="13" x14ac:dyDescent="0.25">
      <c r="A2" s="1934"/>
      <c r="B2" s="1948" t="str">
        <f>Translations!$B$5</f>
        <v>Högst upp</v>
      </c>
      <c r="C2" s="1949"/>
      <c r="D2" s="1950"/>
      <c r="E2" s="1955"/>
      <c r="F2" s="1939"/>
      <c r="G2" s="1939"/>
      <c r="H2" s="1939"/>
      <c r="I2" s="1939"/>
      <c r="J2" s="1939"/>
      <c r="K2" s="1905"/>
    </row>
    <row r="3" spans="1:11" ht="13.5" thickBot="1" x14ac:dyDescent="0.3">
      <c r="A3" s="1935"/>
      <c r="B3" s="1951" t="str">
        <f>Translations!$B$6</f>
        <v>Längst ner</v>
      </c>
      <c r="C3" s="1952"/>
      <c r="D3" s="1953"/>
      <c r="E3" s="1937"/>
      <c r="F3" s="1938"/>
      <c r="G3" s="1938"/>
      <c r="H3" s="1938"/>
      <c r="I3" s="1938"/>
      <c r="J3" s="1938"/>
      <c r="K3" s="1770"/>
    </row>
    <row r="4" spans="1:11" ht="13" x14ac:dyDescent="0.3">
      <c r="B4" s="300"/>
      <c r="E4" s="300"/>
    </row>
    <row r="5" spans="1:11" s="635" customFormat="1" ht="70" customHeight="1" x14ac:dyDescent="0.25">
      <c r="A5" s="324"/>
      <c r="B5" s="1947" t="str">
        <f>Translations!$B$1324</f>
        <v>Rapportmall för tilldelning för nya deltagare, justerad tilldelning och nedläggning för fas 4 av ETS-systemet</v>
      </c>
      <c r="C5" s="1947"/>
      <c r="D5" s="1947"/>
      <c r="E5" s="1947"/>
      <c r="F5" s="1947"/>
      <c r="G5" s="1947"/>
      <c r="H5" s="1947"/>
      <c r="I5" s="1947"/>
      <c r="J5" s="1947"/>
      <c r="K5" s="1947"/>
    </row>
    <row r="6" spans="1:11" ht="5.15" customHeight="1" thickBot="1" x14ac:dyDescent="0.55000000000000004">
      <c r="B6" s="301"/>
      <c r="E6" s="301"/>
    </row>
    <row r="7" spans="1:11" ht="35.25" customHeight="1" thickBot="1" x14ac:dyDescent="0.3">
      <c r="B7" s="1361" t="str">
        <f>Translations!$B$1325</f>
        <v>Rapporteringsår:</v>
      </c>
      <c r="C7" s="635"/>
      <c r="D7" s="635"/>
      <c r="E7" s="977"/>
      <c r="F7" s="635"/>
      <c r="G7" s="1956">
        <f>MAX(A_InstallationData!$J$11,2021+(CNTR_SubPeriod-1)*5)</f>
        <v>2026</v>
      </c>
      <c r="H7" s="1957"/>
      <c r="I7" s="1958"/>
      <c r="J7" s="976"/>
      <c r="K7" s="978"/>
    </row>
    <row r="8" spans="1:11" ht="13" x14ac:dyDescent="0.3">
      <c r="B8" s="300"/>
      <c r="E8" s="300"/>
    </row>
    <row r="9" spans="1:11" ht="29.25" customHeight="1" x14ac:dyDescent="0.25">
      <c r="A9" s="307"/>
      <c r="B9" s="8" t="str">
        <f>Translations!$B$7</f>
        <v>INNEHÅLL</v>
      </c>
      <c r="C9" s="178"/>
      <c r="D9" s="178"/>
      <c r="E9" s="8"/>
      <c r="F9" s="8"/>
      <c r="G9" s="8"/>
      <c r="H9" s="8"/>
      <c r="I9" s="8"/>
      <c r="J9" s="8"/>
      <c r="K9" s="8"/>
    </row>
    <row r="10" spans="1:11" ht="13" x14ac:dyDescent="0.25">
      <c r="A10" s="328"/>
      <c r="B10" s="329"/>
      <c r="C10" s="1929" t="str">
        <f>'b_Guidelines &amp; conditions'!B5</f>
        <v>RIKTLINJER OCH VILLKOR</v>
      </c>
      <c r="D10" s="1929"/>
      <c r="E10" s="1954"/>
      <c r="F10" s="1954"/>
      <c r="G10" s="1954"/>
      <c r="H10" s="1954"/>
      <c r="I10" s="1954"/>
      <c r="J10" s="1954"/>
      <c r="K10" s="1954"/>
    </row>
    <row r="11" spans="1:11" ht="13" x14ac:dyDescent="0.25">
      <c r="A11" s="13"/>
      <c r="B11" s="13" t="s">
        <v>737</v>
      </c>
      <c r="C11" s="1930" t="str">
        <f>A_InstallationData!D6</f>
        <v>Blad ”InstallationData” – ALLMÄN INFORMATION OM RAPPORTEN</v>
      </c>
      <c r="D11" s="1930"/>
      <c r="E11" s="1931"/>
      <c r="F11" s="1931"/>
      <c r="G11" s="1931"/>
      <c r="H11" s="1931"/>
      <c r="I11" s="1931"/>
      <c r="J11" s="1931"/>
      <c r="K11" s="1931"/>
    </row>
    <row r="12" spans="1:11" x14ac:dyDescent="0.25">
      <c r="A12" s="194"/>
      <c r="B12" s="330" t="s">
        <v>1108</v>
      </c>
      <c r="C12" s="1929" t="str">
        <f>A_InstallationData!G3</f>
        <v>Rapportuppgifter</v>
      </c>
      <c r="D12" s="1929"/>
      <c r="E12" s="1940"/>
      <c r="F12" s="1940"/>
      <c r="G12" s="1940"/>
      <c r="H12" s="1940"/>
      <c r="I12" s="1940"/>
      <c r="J12" s="1940"/>
      <c r="K12" s="15"/>
    </row>
    <row r="13" spans="1:11" x14ac:dyDescent="0.25">
      <c r="A13" s="194"/>
      <c r="B13" s="330" t="s">
        <v>954</v>
      </c>
      <c r="C13" s="1929" t="str">
        <f>A_InstallationData!D25</f>
        <v>Data från referensdatarapporten för nationella genomförandeåtgärder (NIMs)</v>
      </c>
      <c r="D13" s="1929"/>
      <c r="E13" s="1940"/>
      <c r="F13" s="1940"/>
      <c r="G13" s="1940"/>
      <c r="H13" s="1940"/>
      <c r="I13" s="1940"/>
      <c r="J13" s="1940"/>
      <c r="K13" s="15"/>
    </row>
    <row r="14" spans="1:11" x14ac:dyDescent="0.25">
      <c r="A14" s="194"/>
      <c r="B14" s="330" t="s">
        <v>962</v>
      </c>
      <c r="C14" s="1929" t="str">
        <f>A_InstallationData!D47</f>
        <v>Identifiering av anläggningen</v>
      </c>
      <c r="D14" s="1929"/>
      <c r="E14" s="1940"/>
      <c r="F14" s="1940"/>
      <c r="G14" s="1940"/>
      <c r="H14" s="1940"/>
      <c r="I14" s="1940"/>
      <c r="J14" s="1940"/>
      <c r="K14" s="15"/>
    </row>
    <row r="15" spans="1:11" x14ac:dyDescent="0.25">
      <c r="A15" s="194"/>
      <c r="B15" s="330" t="s">
        <v>12</v>
      </c>
      <c r="C15" s="1929" t="str">
        <f>A_InstallationData!D250</f>
        <v>Information om den här verksamhetsnivårapporten</v>
      </c>
      <c r="D15" s="1929"/>
      <c r="E15" s="1940"/>
      <c r="F15" s="1940"/>
      <c r="G15" s="1940"/>
      <c r="H15" s="1940"/>
      <c r="I15" s="1940"/>
      <c r="J15" s="1940"/>
      <c r="K15" s="15"/>
    </row>
    <row r="16" spans="1:11" x14ac:dyDescent="0.25">
      <c r="A16" s="194"/>
      <c r="B16" s="330" t="s">
        <v>696</v>
      </c>
      <c r="C16" s="1929" t="str">
        <f>A_InstallationData!D300</f>
        <v>Förteckning över tekniska anslutningar</v>
      </c>
      <c r="D16" s="1929"/>
      <c r="E16" s="1932"/>
      <c r="F16" s="1932"/>
      <c r="G16" s="1932"/>
      <c r="H16" s="1932"/>
      <c r="I16" s="1932"/>
      <c r="J16" s="1932"/>
      <c r="K16" s="15"/>
    </row>
    <row r="17" spans="1:11" ht="13" x14ac:dyDescent="0.25">
      <c r="A17" s="13"/>
      <c r="B17" s="13" t="s">
        <v>1717</v>
      </c>
      <c r="C17" s="1930" t="str">
        <f>'B+C_SubInstallations'!D6</f>
        <v>Bladet ”Sub-installations” – IDENTIFIERING AV DELANLÄGGNINGAR OCH URSPRUNGLIG TILLDELNING</v>
      </c>
      <c r="D17" s="1930"/>
      <c r="E17" s="1931"/>
      <c r="F17" s="1931"/>
      <c r="G17" s="1931"/>
      <c r="H17" s="1931"/>
      <c r="I17" s="1931"/>
      <c r="J17" s="1931"/>
      <c r="K17" s="1931"/>
    </row>
    <row r="18" spans="1:11" x14ac:dyDescent="0.25">
      <c r="A18" s="194"/>
      <c r="B18" s="330" t="s">
        <v>1108</v>
      </c>
      <c r="C18" s="1945" t="str">
        <f>'B+C_SubInstallations'!D8</f>
        <v>Förteckning över delanläggningar</v>
      </c>
      <c r="D18" s="1945"/>
      <c r="E18" s="1946"/>
      <c r="F18" s="1946"/>
      <c r="G18" s="1946"/>
      <c r="H18" s="1946"/>
      <c r="I18" s="1946"/>
      <c r="J18" s="1946"/>
      <c r="K18" s="15"/>
    </row>
    <row r="19" spans="1:11" x14ac:dyDescent="0.25">
      <c r="A19" s="194"/>
      <c r="B19" s="330" t="s">
        <v>954</v>
      </c>
      <c r="C19" s="1945" t="str">
        <f>'B+C_SubInstallations'!D68</f>
        <v>Ursprunglig tilldelning</v>
      </c>
      <c r="D19" s="1945"/>
      <c r="E19" s="1946"/>
      <c r="F19" s="1946"/>
      <c r="G19" s="1946"/>
      <c r="H19" s="1946"/>
      <c r="I19" s="1946"/>
      <c r="J19" s="1946"/>
      <c r="K19" s="15"/>
    </row>
    <row r="20" spans="1:11" ht="13" x14ac:dyDescent="0.25">
      <c r="A20" s="13"/>
      <c r="B20" s="13" t="s">
        <v>739</v>
      </c>
      <c r="C20" s="1930" t="str">
        <f>D_Emissions!D6</f>
        <v>Bladet ”Emissions” – TILLSKRIVNING AV UTSLÄPP</v>
      </c>
      <c r="D20" s="1930"/>
      <c r="E20" s="1931"/>
      <c r="F20" s="1931"/>
      <c r="G20" s="1931"/>
      <c r="H20" s="1931"/>
      <c r="I20" s="1931"/>
      <c r="J20" s="1931"/>
      <c r="K20" s="1931"/>
    </row>
    <row r="21" spans="1:11" x14ac:dyDescent="0.25">
      <c r="A21" s="194"/>
      <c r="B21" s="330" t="s">
        <v>1108</v>
      </c>
      <c r="C21" s="1929" t="str">
        <f>D_Emissions!D8</f>
        <v>Totala direkta utsläpp av växthusgaser och energitillförsel från bränslen</v>
      </c>
      <c r="D21" s="1929"/>
      <c r="E21" s="1932"/>
      <c r="F21" s="1932"/>
      <c r="G21" s="1932"/>
      <c r="H21" s="1932"/>
      <c r="I21" s="1932"/>
      <c r="J21" s="1932"/>
      <c r="K21" s="15"/>
    </row>
    <row r="22" spans="1:11" x14ac:dyDescent="0.25">
      <c r="A22" s="194"/>
      <c r="B22" s="330" t="s">
        <v>954</v>
      </c>
      <c r="C22" s="1929" t="str">
        <f>D_Emissions!D30</f>
        <v>Tillskrivning av utsläpp till delanläggningar</v>
      </c>
      <c r="D22" s="1929"/>
      <c r="E22" s="1932"/>
      <c r="F22" s="1932"/>
      <c r="G22" s="1932"/>
      <c r="H22" s="1932"/>
      <c r="I22" s="1932"/>
      <c r="J22" s="1932"/>
      <c r="K22" s="15"/>
    </row>
    <row r="23" spans="1:11" x14ac:dyDescent="0.25">
      <c r="A23" s="194"/>
      <c r="B23" s="330" t="s">
        <v>962</v>
      </c>
      <c r="C23" s="1929" t="str">
        <f>D_Emissions!D43</f>
        <v>Kraftvärmeverktyget</v>
      </c>
      <c r="D23" s="1929"/>
      <c r="E23" s="1932"/>
      <c r="F23" s="1932"/>
      <c r="G23" s="1932"/>
      <c r="H23" s="1932"/>
      <c r="I23" s="1932"/>
      <c r="J23" s="1932"/>
      <c r="K23" s="15"/>
    </row>
    <row r="24" spans="1:11" x14ac:dyDescent="0.25">
      <c r="A24" s="194"/>
      <c r="B24" s="330" t="s">
        <v>12</v>
      </c>
      <c r="C24" s="1929" t="str">
        <f>D_Emissions!D154</f>
        <v>Verktyg för restgaser</v>
      </c>
      <c r="D24" s="1929"/>
      <c r="E24" s="1932"/>
      <c r="F24" s="1932"/>
      <c r="G24" s="1932"/>
      <c r="H24" s="1932"/>
      <c r="I24" s="1932"/>
      <c r="J24" s="1932"/>
      <c r="K24" s="15"/>
    </row>
    <row r="25" spans="1:11" ht="13" x14ac:dyDescent="0.25">
      <c r="A25" s="13"/>
      <c r="B25" s="13" t="s">
        <v>741</v>
      </c>
      <c r="C25" s="1930" t="str">
        <f>E_EnergyFlows!D6</f>
        <v>Bladet ”EnergyFlows” – UPPGIFTER OM ENERGITILLFÖRSEL, MÄTBAR VÄRME OCH EL</v>
      </c>
      <c r="D25" s="1930"/>
      <c r="E25" s="1931"/>
      <c r="F25" s="1931"/>
      <c r="G25" s="1931"/>
      <c r="H25" s="1931"/>
      <c r="I25" s="1931"/>
      <c r="J25" s="1931"/>
      <c r="K25" s="1931"/>
    </row>
    <row r="26" spans="1:11" x14ac:dyDescent="0.25">
      <c r="A26" s="194"/>
      <c r="B26" s="330" t="s">
        <v>1108</v>
      </c>
      <c r="C26" s="1929" t="str">
        <f>E_EnergyFlows!D8</f>
        <v>Energitillförsel från bränslen</v>
      </c>
      <c r="D26" s="1929"/>
      <c r="E26" s="1932"/>
      <c r="F26" s="1932"/>
      <c r="G26" s="1932"/>
      <c r="H26" s="1932"/>
      <c r="I26" s="1932"/>
      <c r="J26" s="1932"/>
      <c r="K26" s="15"/>
    </row>
    <row r="27" spans="1:11" x14ac:dyDescent="0.25">
      <c r="A27" s="194"/>
      <c r="B27" s="330" t="s">
        <v>954</v>
      </c>
      <c r="C27" s="1929" t="str">
        <f>E_EnergyFlows!D61</f>
        <v>Mätbar värme</v>
      </c>
      <c r="D27" s="1929"/>
      <c r="E27" s="1932"/>
      <c r="F27" s="1932"/>
      <c r="G27" s="1932"/>
      <c r="H27" s="1932"/>
      <c r="I27" s="1932"/>
      <c r="J27" s="1932"/>
      <c r="K27" s="15"/>
    </row>
    <row r="28" spans="1:11" x14ac:dyDescent="0.25">
      <c r="A28" s="194"/>
      <c r="B28" s="330" t="s">
        <v>962</v>
      </c>
      <c r="C28" s="1929" t="str">
        <f>E_EnergyFlows!D248</f>
        <v>Restgasbalans</v>
      </c>
      <c r="D28" s="1929"/>
      <c r="E28" s="1932"/>
      <c r="F28" s="1932"/>
      <c r="G28" s="1932"/>
      <c r="H28" s="1932"/>
      <c r="I28" s="1932"/>
      <c r="J28" s="1932"/>
      <c r="K28" s="15"/>
    </row>
    <row r="29" spans="1:11" x14ac:dyDescent="0.25">
      <c r="A29" s="194"/>
      <c r="B29" s="330" t="s">
        <v>12</v>
      </c>
      <c r="C29" s="1929" t="str">
        <f>E_EnergyFlows!D354</f>
        <v>Elektricitet</v>
      </c>
      <c r="D29" s="1929"/>
      <c r="E29" s="1932"/>
      <c r="F29" s="1932"/>
      <c r="G29" s="1932"/>
      <c r="H29" s="1932"/>
      <c r="I29" s="1932"/>
      <c r="J29" s="1932"/>
      <c r="K29" s="15"/>
    </row>
    <row r="30" spans="1:11" ht="13" x14ac:dyDescent="0.25">
      <c r="A30" s="13"/>
      <c r="B30" s="13" t="s">
        <v>743</v>
      </c>
      <c r="C30" s="1930" t="str">
        <f>F_ProductBM!D7</f>
        <v>Bladet ”ProductBM” – DELANLÄGGNINGSSPECIFIKA UPPGIFTER OM PRODUKTRIKTMÄRKEN</v>
      </c>
      <c r="D30" s="1930"/>
      <c r="E30" s="1931"/>
      <c r="F30" s="1931"/>
      <c r="G30" s="1931"/>
      <c r="H30" s="1931"/>
      <c r="I30" s="1931"/>
      <c r="J30" s="1931"/>
      <c r="K30" s="1931"/>
    </row>
    <row r="31" spans="1:11" x14ac:dyDescent="0.25">
      <c r="A31" s="194"/>
      <c r="B31" s="330" t="s">
        <v>1108</v>
      </c>
      <c r="C31" s="1929" t="str">
        <f>F_ProductBM!D11</f>
        <v>Historiska verksamhetsnivåer och disaggregerade produktionsuppgifter</v>
      </c>
      <c r="D31" s="1929"/>
      <c r="E31" s="1932"/>
      <c r="F31" s="1932"/>
      <c r="G31" s="1932"/>
      <c r="H31" s="1932"/>
      <c r="I31" s="1932"/>
      <c r="J31" s="1932"/>
      <c r="K31" s="15"/>
    </row>
    <row r="32" spans="1:11" ht="13" x14ac:dyDescent="0.25">
      <c r="A32" s="13"/>
      <c r="B32" s="13" t="s">
        <v>745</v>
      </c>
      <c r="C32" s="1930" t="str">
        <f>'G_Fall-back'!D6</f>
        <v>Bladet ”Fall-back” – DELANLÄGGNINGSDATA OM ”FALL-BACK”-DELANLÄGGNINGAR</v>
      </c>
      <c r="D32" s="1930"/>
      <c r="E32" s="1931"/>
      <c r="F32" s="1931"/>
      <c r="G32" s="1931"/>
      <c r="H32" s="1931"/>
      <c r="I32" s="1931"/>
      <c r="J32" s="1931"/>
      <c r="K32" s="1931"/>
    </row>
    <row r="33" spans="1:11" x14ac:dyDescent="0.25">
      <c r="A33" s="194"/>
      <c r="B33" s="330" t="s">
        <v>1108</v>
      </c>
      <c r="C33" s="1929" t="str">
        <f>'G_Fall-back'!D10</f>
        <v>Historiska verksamhetsnivåer och disaggregerade produktionsuppgifter</v>
      </c>
      <c r="D33" s="1929"/>
      <c r="E33" s="1932"/>
      <c r="F33" s="1932"/>
      <c r="G33" s="1932"/>
      <c r="H33" s="1932"/>
      <c r="I33" s="1932"/>
      <c r="J33" s="1932"/>
      <c r="K33" s="15"/>
    </row>
    <row r="34" spans="1:11" ht="13" x14ac:dyDescent="0.25">
      <c r="A34" s="13"/>
      <c r="B34" s="13" t="s">
        <v>747</v>
      </c>
      <c r="C34" s="1930" t="str">
        <f>H_SpecialBM!D7</f>
        <v>Bladet ”SpecialBM” – SÄRSKILDA UPPGIFTER OM VISSA PRODUKTRIKTMÄRKEN</v>
      </c>
      <c r="D34" s="1930"/>
      <c r="E34" s="1940"/>
      <c r="F34" s="1940"/>
      <c r="G34" s="1940"/>
      <c r="H34" s="1940"/>
      <c r="I34" s="1940"/>
      <c r="J34" s="1940"/>
      <c r="K34" s="1940"/>
    </row>
    <row r="35" spans="1:11" x14ac:dyDescent="0.25">
      <c r="A35" s="194"/>
      <c r="B35" s="330" t="s">
        <v>1108</v>
      </c>
      <c r="C35" s="1929" t="str">
        <f>H_SpecialBM!D9</f>
        <v>CWT (raffinaderiprodukter)</v>
      </c>
      <c r="D35" s="1929"/>
      <c r="E35" s="1932"/>
      <c r="F35" s="1932"/>
      <c r="G35" s="1932"/>
      <c r="H35" s="1932"/>
      <c r="I35" s="1932"/>
      <c r="J35" s="1932"/>
      <c r="K35" s="15"/>
    </row>
    <row r="36" spans="1:11" x14ac:dyDescent="0.25">
      <c r="A36" s="194"/>
      <c r="B36" s="330" t="s">
        <v>954</v>
      </c>
      <c r="C36" s="1929" t="str">
        <f>H_SpecialBM!D99</f>
        <v>Kalk</v>
      </c>
      <c r="D36" s="1929"/>
      <c r="E36" s="1932"/>
      <c r="F36" s="1932"/>
      <c r="G36" s="1932"/>
      <c r="H36" s="1932"/>
      <c r="I36" s="1932"/>
      <c r="J36" s="1932"/>
      <c r="K36" s="15"/>
    </row>
    <row r="37" spans="1:11" x14ac:dyDescent="0.25">
      <c r="A37" s="194"/>
      <c r="B37" s="330" t="s">
        <v>962</v>
      </c>
      <c r="C37" s="1929" t="str">
        <f>H_SpecialBM!D133</f>
        <v>Dolime</v>
      </c>
      <c r="D37" s="1929"/>
      <c r="E37" s="1932"/>
      <c r="F37" s="1932"/>
      <c r="G37" s="1932"/>
      <c r="H37" s="1932"/>
      <c r="I37" s="1932"/>
      <c r="J37" s="1932"/>
      <c r="K37" s="15"/>
    </row>
    <row r="38" spans="1:11" x14ac:dyDescent="0.25">
      <c r="A38" s="194"/>
      <c r="B38" s="330" t="s">
        <v>12</v>
      </c>
      <c r="C38" s="1929" t="str">
        <f>H_SpecialBM!D167</f>
        <v>Ångkrackning</v>
      </c>
      <c r="D38" s="1929"/>
      <c r="E38" s="1932"/>
      <c r="F38" s="1932"/>
      <c r="G38" s="1932"/>
      <c r="H38" s="1932"/>
      <c r="I38" s="1932"/>
      <c r="J38" s="1932"/>
      <c r="K38" s="15"/>
    </row>
    <row r="39" spans="1:11" x14ac:dyDescent="0.25">
      <c r="A39" s="194"/>
      <c r="B39" s="330" t="s">
        <v>696</v>
      </c>
      <c r="C39" s="1929" t="str">
        <f>H_SpecialBM!D234</f>
        <v>CWT (aromater)</v>
      </c>
      <c r="D39" s="1929"/>
      <c r="E39" s="1932"/>
      <c r="F39" s="1932"/>
      <c r="G39" s="1932"/>
      <c r="H39" s="1932"/>
      <c r="I39" s="1932"/>
      <c r="J39" s="1932"/>
      <c r="K39" s="15"/>
    </row>
    <row r="40" spans="1:11" x14ac:dyDescent="0.25">
      <c r="A40" s="194"/>
      <c r="B40" s="330" t="s">
        <v>69</v>
      </c>
      <c r="C40" s="1929" t="str">
        <f>H_SpecialBM!D274</f>
        <v>Vätgas</v>
      </c>
      <c r="D40" s="1929"/>
      <c r="E40" s="1932"/>
      <c r="F40" s="1932"/>
      <c r="G40" s="1932"/>
      <c r="H40" s="1932"/>
      <c r="I40" s="1932"/>
      <c r="J40" s="1932"/>
      <c r="K40" s="15"/>
    </row>
    <row r="41" spans="1:11" x14ac:dyDescent="0.25">
      <c r="A41" s="194"/>
      <c r="B41" s="330" t="s">
        <v>1010</v>
      </c>
      <c r="C41" s="1929" t="str">
        <f>H_SpecialBM!D307</f>
        <v>Syntesgas</v>
      </c>
      <c r="D41" s="1929"/>
      <c r="E41" s="1932"/>
      <c r="F41" s="1932"/>
      <c r="G41" s="1932"/>
      <c r="H41" s="1932"/>
      <c r="I41" s="1932"/>
      <c r="J41" s="1932"/>
      <c r="K41" s="15"/>
    </row>
    <row r="42" spans="1:11" x14ac:dyDescent="0.25">
      <c r="A42" s="194"/>
      <c r="B42" s="330" t="s">
        <v>1011</v>
      </c>
      <c r="C42" s="1929" t="str">
        <f>H_SpecialBM!D340</f>
        <v>Etylenoxid/etylenglykoler</v>
      </c>
      <c r="D42" s="1929"/>
      <c r="E42" s="1932"/>
      <c r="F42" s="1932"/>
      <c r="G42" s="1932"/>
      <c r="H42" s="1932"/>
      <c r="I42" s="1932"/>
      <c r="J42" s="1932"/>
      <c r="K42" s="15"/>
    </row>
    <row r="43" spans="1:11" x14ac:dyDescent="0.25">
      <c r="A43" s="194"/>
      <c r="B43" s="330" t="s">
        <v>263</v>
      </c>
      <c r="C43" s="1929" t="str">
        <f>H_SpecialBM!D369</f>
        <v>Vinylkloridmonomer (VCM)</v>
      </c>
      <c r="D43" s="1929"/>
      <c r="E43" s="1932"/>
      <c r="F43" s="1932"/>
      <c r="G43" s="1932"/>
      <c r="H43" s="1932"/>
      <c r="I43" s="1932"/>
      <c r="J43" s="1932"/>
      <c r="K43" s="15"/>
    </row>
    <row r="44" spans="1:11" ht="13" x14ac:dyDescent="0.25">
      <c r="A44" s="13"/>
      <c r="B44" s="13" t="s">
        <v>749</v>
      </c>
      <c r="C44" s="1930" t="str">
        <f>I_MSspecific!C5</f>
        <v>Bladet ”MSspecific” – MEDLEMSSTATERNAS KRAV PÅ YTTERLIGARE UPPGIFTER</v>
      </c>
      <c r="D44" s="1930"/>
      <c r="E44" s="1931"/>
      <c r="F44" s="1931"/>
      <c r="G44" s="1931"/>
      <c r="H44" s="1931"/>
      <c r="I44" s="1931"/>
      <c r="J44" s="1931"/>
      <c r="K44" s="1931"/>
    </row>
    <row r="45" spans="1:11" x14ac:dyDescent="0.25">
      <c r="A45" s="194"/>
      <c r="B45" s="330" t="s">
        <v>1108</v>
      </c>
      <c r="C45" s="1929" t="str">
        <f>I_MSspecific!C7</f>
        <v>Ska anges av medlemsstaten</v>
      </c>
      <c r="D45" s="1929"/>
      <c r="E45" s="1932"/>
      <c r="F45" s="1932"/>
      <c r="G45" s="1932"/>
      <c r="H45" s="1932"/>
      <c r="I45" s="1932"/>
      <c r="J45" s="1932"/>
      <c r="K45" s="15"/>
    </row>
    <row r="46" spans="1:11" ht="13" x14ac:dyDescent="0.25">
      <c r="A46" s="13"/>
      <c r="B46" s="13" t="s">
        <v>751</v>
      </c>
      <c r="C46" s="1930" t="str">
        <f>J_Comments!C5</f>
        <v>Bladet ”Comments” – SYNPUNKTER OCH YTTERLIGARE UPPLYSNINGAR</v>
      </c>
      <c r="D46" s="1930"/>
      <c r="E46" s="1931"/>
      <c r="F46" s="1931"/>
      <c r="G46" s="1931"/>
      <c r="H46" s="1931"/>
      <c r="I46" s="1931"/>
      <c r="J46" s="1931"/>
      <c r="K46" s="1931"/>
    </row>
    <row r="47" spans="1:11" x14ac:dyDescent="0.25">
      <c r="A47" s="194"/>
      <c r="B47" s="330" t="s">
        <v>1108</v>
      </c>
      <c r="C47" s="1929" t="str">
        <f>J_Comments!C7</f>
        <v>Styrkande handlingar till rapporten</v>
      </c>
      <c r="D47" s="1929"/>
      <c r="E47" s="1932"/>
      <c r="F47" s="1932"/>
      <c r="G47" s="1932"/>
      <c r="H47" s="1932"/>
      <c r="I47" s="1932"/>
      <c r="J47" s="1932"/>
      <c r="K47" s="15"/>
    </row>
    <row r="48" spans="1:11" x14ac:dyDescent="0.25">
      <c r="A48" s="194"/>
      <c r="B48" s="330" t="s">
        <v>954</v>
      </c>
      <c r="C48" s="1929" t="str">
        <f>J_Comments!C49</f>
        <v>Utrymme för alla slags kompletterande uppgifter</v>
      </c>
      <c r="D48" s="1929"/>
      <c r="E48" s="1932"/>
      <c r="F48" s="1932"/>
      <c r="G48" s="1932"/>
      <c r="H48" s="1932"/>
      <c r="I48" s="1932"/>
      <c r="J48" s="1932"/>
      <c r="K48" s="15"/>
    </row>
    <row r="49" spans="1:11" ht="13" x14ac:dyDescent="0.25">
      <c r="A49" s="13"/>
      <c r="B49" s="13" t="s">
        <v>327</v>
      </c>
      <c r="C49" s="1930" t="str">
        <f>K_Summary!D6</f>
        <v>Bladet ”Summary” – ÖVERSIKT ÖVER DE VIKTIGASTE UPPGIFTERNA</v>
      </c>
      <c r="D49" s="1930"/>
      <c r="E49" s="1931"/>
      <c r="F49" s="1931"/>
      <c r="G49" s="1931"/>
      <c r="H49" s="1931"/>
      <c r="I49" s="1931"/>
      <c r="J49" s="1931"/>
      <c r="K49" s="1931"/>
    </row>
    <row r="50" spans="1:11" x14ac:dyDescent="0.25">
      <c r="A50" s="194"/>
      <c r="B50" s="330" t="s">
        <v>1108</v>
      </c>
      <c r="C50" s="1929" t="str">
        <f>K_Summary!D8</f>
        <v>Uppgifter om anläggningen</v>
      </c>
      <c r="D50" s="1929"/>
      <c r="E50" s="1929"/>
      <c r="F50" s="1929"/>
      <c r="G50" s="1929"/>
      <c r="H50" s="1929"/>
      <c r="I50" s="1929"/>
      <c r="J50" s="1929"/>
      <c r="K50" s="15"/>
    </row>
    <row r="51" spans="1:11" x14ac:dyDescent="0.25">
      <c r="A51" s="194"/>
      <c r="B51" s="330" t="s">
        <v>954</v>
      </c>
      <c r="C51" s="1928" t="str">
        <f>K_Summary!D47</f>
        <v>Stödberättigande</v>
      </c>
      <c r="D51" s="1928"/>
      <c r="E51" s="1928"/>
      <c r="F51" s="1928"/>
      <c r="G51" s="1928"/>
      <c r="H51" s="1928"/>
      <c r="I51" s="1928"/>
      <c r="J51" s="1928"/>
      <c r="K51" s="15"/>
    </row>
    <row r="52" spans="1:11" x14ac:dyDescent="0.25">
      <c r="A52" s="194"/>
      <c r="B52" s="330" t="s">
        <v>962</v>
      </c>
      <c r="C52" s="1928" t="str">
        <f>K_Summary!D59</f>
        <v>Utsläpp och energiflöden</v>
      </c>
      <c r="D52" s="1928"/>
      <c r="E52" s="1928"/>
      <c r="F52" s="1928"/>
      <c r="G52" s="1928"/>
      <c r="H52" s="1928"/>
      <c r="I52" s="1928"/>
      <c r="J52" s="1928"/>
      <c r="K52" s="15"/>
    </row>
    <row r="53" spans="1:11" x14ac:dyDescent="0.25">
      <c r="A53" s="194"/>
      <c r="B53" s="330" t="s">
        <v>12</v>
      </c>
      <c r="C53" s="1928" t="str">
        <f>K_Summary!D450</f>
        <v>Uppgifter om delanläggningar av relevans för tilldelning och riktmärkesuppdatering</v>
      </c>
      <c r="D53" s="1928"/>
      <c r="E53" s="1928"/>
      <c r="F53" s="1928"/>
      <c r="G53" s="1928"/>
      <c r="H53" s="1928"/>
      <c r="I53" s="1928"/>
      <c r="J53" s="1928"/>
      <c r="K53" s="15"/>
    </row>
    <row r="54" spans="1:11" x14ac:dyDescent="0.25">
      <c r="A54" s="194"/>
      <c r="B54" s="330" t="s">
        <v>696</v>
      </c>
      <c r="C54" s="1928" t="str">
        <f>K_Summary!D2502</f>
        <v>Beräkning av preliminär årlig mängd utsläppsrätter som tilldelas gratis</v>
      </c>
      <c r="D54" s="1928"/>
      <c r="E54" s="1928"/>
      <c r="F54" s="1928"/>
      <c r="G54" s="1928"/>
      <c r="H54" s="1928"/>
      <c r="I54" s="1928"/>
      <c r="J54" s="1928"/>
      <c r="K54" s="15"/>
    </row>
    <row r="55" spans="1:11" ht="25.5" customHeight="1" thickBot="1" x14ac:dyDescent="0.3">
      <c r="A55" s="194"/>
      <c r="B55" s="194"/>
      <c r="C55" s="194"/>
      <c r="D55" s="194"/>
      <c r="E55" s="15"/>
      <c r="F55" s="15"/>
      <c r="G55" s="15"/>
      <c r="H55" s="15"/>
      <c r="I55" s="15"/>
      <c r="J55" s="15"/>
      <c r="K55" s="15"/>
    </row>
    <row r="56" spans="1:11" x14ac:dyDescent="0.25">
      <c r="A56" s="307"/>
      <c r="B56" s="178"/>
      <c r="C56" s="331" t="str">
        <f>Translations!$B$8</f>
        <v>Språkversion:</v>
      </c>
      <c r="D56" s="332"/>
      <c r="E56" s="332"/>
      <c r="F56" s="333"/>
      <c r="G56" s="334" t="str">
        <f>VersionDocumentation!B5</f>
        <v>English</v>
      </c>
      <c r="H56" s="334"/>
      <c r="I56" s="334"/>
      <c r="J56" s="335"/>
      <c r="K56" s="178"/>
    </row>
    <row r="57" spans="1:11" ht="13" thickBot="1" x14ac:dyDescent="0.3">
      <c r="A57" s="307"/>
      <c r="B57" s="178"/>
      <c r="C57" s="336" t="str">
        <f>Translations!$B$9</f>
        <v>Referensfilnamn:</v>
      </c>
      <c r="D57" s="337"/>
      <c r="E57" s="337"/>
      <c r="F57" s="338"/>
      <c r="G57" s="339" t="str">
        <f>VersionDocumentation!C3</f>
        <v>ALC P4_COM_en_20260123.xls</v>
      </c>
      <c r="H57" s="339"/>
      <c r="I57" s="339"/>
      <c r="J57" s="340"/>
      <c r="K57" s="178"/>
    </row>
    <row r="58" spans="1:11" x14ac:dyDescent="0.25">
      <c r="A58" s="307"/>
      <c r="B58" s="178"/>
      <c r="C58" s="178"/>
      <c r="D58" s="178"/>
      <c r="E58" s="178"/>
      <c r="F58" s="178"/>
      <c r="G58" s="178"/>
      <c r="H58" s="178"/>
      <c r="I58" s="178"/>
      <c r="J58" s="178"/>
      <c r="K58" s="178"/>
    </row>
    <row r="59" spans="1:11" ht="13.5" thickBot="1" x14ac:dyDescent="0.3">
      <c r="A59" s="307"/>
      <c r="B59" s="178"/>
      <c r="C59" s="39" t="str">
        <f>Translations!$B$10</f>
        <v>Information om denna fil:</v>
      </c>
      <c r="D59" s="39"/>
      <c r="E59" s="39"/>
      <c r="F59" s="178"/>
      <c r="G59" s="178"/>
      <c r="H59" s="178"/>
      <c r="I59" s="178"/>
      <c r="J59" s="178"/>
      <c r="K59" s="178"/>
    </row>
    <row r="60" spans="1:11" x14ac:dyDescent="0.25">
      <c r="A60" s="307"/>
      <c r="B60" s="178"/>
      <c r="C60" s="331" t="str">
        <f>Translations!$B$11</f>
        <v>Anläggningens namn:</v>
      </c>
      <c r="D60" s="332"/>
      <c r="E60" s="332"/>
      <c r="F60" s="333"/>
      <c r="G60" s="334" t="str">
        <f>IF(ISBLANK(A_InstallationData!J72),"",A_InstallationData!J72)</f>
        <v/>
      </c>
      <c r="H60" s="334"/>
      <c r="I60" s="334"/>
      <c r="J60" s="335"/>
      <c r="K60" s="178"/>
    </row>
    <row r="61" spans="1:11" x14ac:dyDescent="0.25">
      <c r="A61" s="307"/>
      <c r="B61" s="178"/>
      <c r="C61" s="475" t="str">
        <f>Translations!$B$12</f>
        <v>Anläggningens unika identifieringsnummer:</v>
      </c>
      <c r="D61" s="476"/>
      <c r="E61" s="476"/>
      <c r="F61" s="477"/>
      <c r="G61" s="478" t="str">
        <f>IF(A_InstallationData!J61="","",A_InstallationData!J61)</f>
        <v/>
      </c>
      <c r="H61" s="478"/>
      <c r="I61" s="478"/>
      <c r="J61" s="479"/>
      <c r="K61" s="178"/>
    </row>
    <row r="62" spans="1:11" ht="13" thickBot="1" x14ac:dyDescent="0.3">
      <c r="A62" s="307"/>
      <c r="B62" s="178"/>
      <c r="C62" s="484" t="str">
        <f>Translations!$B$1326</f>
        <v>Relevant rapporteringsperiod</v>
      </c>
      <c r="D62" s="480"/>
      <c r="E62" s="480"/>
      <c r="F62" s="481"/>
      <c r="G62" s="1207" t="str">
        <f>INDEX(EUconst_BaselinePeriods,CNTR_SubPeriod)</f>
        <v>2026-2030</v>
      </c>
      <c r="H62" s="482"/>
      <c r="I62" s="482"/>
      <c r="J62" s="483"/>
      <c r="K62" s="178"/>
    </row>
    <row r="63" spans="1:11" x14ac:dyDescent="0.25">
      <c r="A63" s="307"/>
      <c r="B63" s="178"/>
      <c r="C63" s="178"/>
      <c r="D63" s="178"/>
      <c r="E63" s="178"/>
      <c r="F63" s="178"/>
      <c r="G63" s="178"/>
      <c r="H63" s="178"/>
      <c r="I63" s="178"/>
      <c r="J63" s="178"/>
      <c r="K63" s="178"/>
    </row>
    <row r="64" spans="1:11" ht="32.25" customHeight="1" x14ac:dyDescent="0.25">
      <c r="A64" s="307"/>
      <c r="B64" s="178"/>
      <c r="C64" s="1943" t="str">
        <f>Translations!$B$13</f>
        <v>Om er behöriga myndighet kräver att ni lämnar in en undertecknad papperskopia av rapporten, var god använd utrymmet nedan för underskriften:</v>
      </c>
      <c r="D64" s="1943"/>
      <c r="E64" s="1943"/>
      <c r="F64" s="1944"/>
      <c r="G64" s="1944"/>
      <c r="H64" s="1944"/>
      <c r="I64" s="1944"/>
      <c r="J64" s="1944"/>
      <c r="K64" s="178"/>
    </row>
    <row r="65" spans="1:11" x14ac:dyDescent="0.25">
      <c r="A65" s="307"/>
      <c r="B65" s="178"/>
      <c r="C65" s="178"/>
      <c r="D65" s="178"/>
      <c r="E65" s="178"/>
      <c r="F65" s="307"/>
      <c r="G65" s="178"/>
      <c r="H65" s="178"/>
      <c r="I65" s="178"/>
      <c r="J65" s="178"/>
      <c r="K65" s="178"/>
    </row>
    <row r="66" spans="1:11" x14ac:dyDescent="0.25">
      <c r="A66" s="307"/>
      <c r="B66" s="178"/>
      <c r="C66" s="178"/>
      <c r="D66" s="178"/>
      <c r="E66" s="178"/>
      <c r="F66" s="178"/>
      <c r="G66" s="178"/>
      <c r="H66" s="178"/>
      <c r="I66" s="178"/>
      <c r="J66" s="178"/>
      <c r="K66" s="178"/>
    </row>
    <row r="67" spans="1:11" x14ac:dyDescent="0.25">
      <c r="A67" s="307"/>
      <c r="B67" s="178"/>
      <c r="C67" s="178"/>
      <c r="D67" s="178"/>
      <c r="E67" s="178"/>
      <c r="F67" s="178"/>
      <c r="G67" s="178"/>
      <c r="H67" s="178"/>
      <c r="I67" s="178"/>
      <c r="J67" s="178"/>
      <c r="K67" s="178"/>
    </row>
    <row r="68" spans="1:11" x14ac:dyDescent="0.25">
      <c r="A68" s="307"/>
      <c r="B68" s="178"/>
      <c r="C68" s="178"/>
      <c r="D68" s="178"/>
      <c r="E68" s="178"/>
      <c r="F68" s="178"/>
      <c r="G68" s="178"/>
      <c r="H68" s="178"/>
      <c r="I68" s="178"/>
      <c r="J68" s="178"/>
      <c r="K68" s="178"/>
    </row>
    <row r="69" spans="1:11" x14ac:dyDescent="0.25">
      <c r="A69" s="307"/>
      <c r="B69" s="178"/>
      <c r="C69" s="341"/>
      <c r="D69" s="341"/>
      <c r="E69" s="341"/>
      <c r="F69" s="178"/>
      <c r="G69" s="341"/>
      <c r="H69" s="178"/>
      <c r="I69" s="178"/>
      <c r="J69" s="178"/>
      <c r="K69" s="178"/>
    </row>
    <row r="70" spans="1:11" ht="25.5" customHeight="1" x14ac:dyDescent="0.25">
      <c r="A70" s="307"/>
      <c r="B70" s="178"/>
      <c r="C70" s="1941" t="str">
        <f>Translations!$B$14</f>
        <v>Datum</v>
      </c>
      <c r="D70" s="1941"/>
      <c r="E70" s="1941"/>
      <c r="F70" s="307"/>
      <c r="G70" s="1941" t="str">
        <f>Translations!$B$15</f>
        <v>Namn och underskrift av juridiskt ansvarig person</v>
      </c>
      <c r="H70" s="1942"/>
      <c r="I70" s="1942"/>
      <c r="J70" s="1942"/>
      <c r="K70" s="178"/>
    </row>
  </sheetData>
  <sheetProtection sheet="1" objects="1" scenarios="1" formatCells="0" formatColumns="0" formatRows="0"/>
  <mergeCells count="62">
    <mergeCell ref="C20:K20"/>
    <mergeCell ref="B5:K5"/>
    <mergeCell ref="C14:J14"/>
    <mergeCell ref="B2:D2"/>
    <mergeCell ref="B3:D3"/>
    <mergeCell ref="C10:K10"/>
    <mergeCell ref="C19:J19"/>
    <mergeCell ref="C16:J16"/>
    <mergeCell ref="C15:J15"/>
    <mergeCell ref="E2:F2"/>
    <mergeCell ref="I2:J2"/>
    <mergeCell ref="G7:I7"/>
    <mergeCell ref="G3:H3"/>
    <mergeCell ref="I3:J3"/>
    <mergeCell ref="G70:J70"/>
    <mergeCell ref="C70:E70"/>
    <mergeCell ref="C11:K11"/>
    <mergeCell ref="C12:J12"/>
    <mergeCell ref="C13:J13"/>
    <mergeCell ref="C54:J54"/>
    <mergeCell ref="C64:J64"/>
    <mergeCell ref="C17:K17"/>
    <mergeCell ref="C18:J18"/>
    <mergeCell ref="C41:J41"/>
    <mergeCell ref="C31:J31"/>
    <mergeCell ref="C21:J21"/>
    <mergeCell ref="C22:J22"/>
    <mergeCell ref="C40:J40"/>
    <mergeCell ref="C24:J24"/>
    <mergeCell ref="C25:K25"/>
    <mergeCell ref="C23:J23"/>
    <mergeCell ref="C30:K30"/>
    <mergeCell ref="C42:J42"/>
    <mergeCell ref="C39:J39"/>
    <mergeCell ref="C32:K32"/>
    <mergeCell ref="C33:J33"/>
    <mergeCell ref="C34:K34"/>
    <mergeCell ref="C35:J35"/>
    <mergeCell ref="C45:J45"/>
    <mergeCell ref="C36:J36"/>
    <mergeCell ref="C37:J37"/>
    <mergeCell ref="C38:J38"/>
    <mergeCell ref="A1:A3"/>
    <mergeCell ref="E1:F1"/>
    <mergeCell ref="G1:H1"/>
    <mergeCell ref="I1:J1"/>
    <mergeCell ref="E3:F3"/>
    <mergeCell ref="G2:H2"/>
    <mergeCell ref="C44:K44"/>
    <mergeCell ref="C43:J43"/>
    <mergeCell ref="C26:J26"/>
    <mergeCell ref="C27:J27"/>
    <mergeCell ref="C28:J28"/>
    <mergeCell ref="C29:J29"/>
    <mergeCell ref="C52:J52"/>
    <mergeCell ref="C53:J53"/>
    <mergeCell ref="C50:J50"/>
    <mergeCell ref="C51:J51"/>
    <mergeCell ref="C46:K46"/>
    <mergeCell ref="C47:J47"/>
    <mergeCell ref="C48:J48"/>
    <mergeCell ref="C49:K49"/>
  </mergeCells>
  <phoneticPr fontId="7" type="noConversion"/>
  <hyperlinks>
    <hyperlink ref="C12" location="JUMP_A_I" display="I" xr:uid="{1E52E272-8961-46EB-A89E-9FA705D0F4FE}"/>
    <hyperlink ref="C13" location="JUMP_A_II" display="II" xr:uid="{E4B9EF83-1A5C-49C2-91A0-1B13D6A1C997}"/>
    <hyperlink ref="C14" location="JUMP_A_III" display="III" xr:uid="{1ABFDFF9-00B9-4576-9D4F-F965346F918D}"/>
    <hyperlink ref="C15" location="JUMP_A_IV" display="IV" xr:uid="{9EA60721-57F2-4D02-942E-52B24D6B022B}"/>
    <hyperlink ref="B12" location="JUMP_A_I" display="I" xr:uid="{5EFD39D0-E50C-4CA7-9C6A-28F3EBF54792}"/>
    <hyperlink ref="B13" location="JUMP_A_II" display="II" xr:uid="{2FA8BC72-255D-4B1A-A891-CF6BAA962C46}"/>
    <hyperlink ref="B14" location="JUMP_A_III" display="III" xr:uid="{686E04C4-C1FB-4F99-88AB-472091E99445}"/>
    <hyperlink ref="B15" location="JUMP_A_IV" display="IV" xr:uid="{3D0097A2-EA52-4B6A-B0CC-D9D22311D83D}"/>
    <hyperlink ref="C10:K10" location="JUMP_Guidelines_Home" display="GUIDELINES AND CONDITIONS" xr:uid="{9AC9D92D-FB04-4204-8A4F-8FF3287F75AF}"/>
    <hyperlink ref="K1" location="JUMP_K_I" display="Summary" xr:uid="{7EE05D4B-39CE-4D76-9CF9-00A16C9E1064}"/>
    <hyperlink ref="B2:C2" location="JUMP_Guidelines_Home" display="Top of sheet" xr:uid="{210C1FB0-9C7A-47A2-9B86-0F388C6A3DBF}"/>
    <hyperlink ref="B3:C3" location="JUMP_Guidelines_Bottom" display="End of sheet" xr:uid="{4D2B6480-DD16-47C5-8003-9E488F190665}"/>
    <hyperlink ref="I1:J1" location="JUMP_Guidelines_Home" display="Next sheet" xr:uid="{69442617-20BA-4D9E-ABBF-55E0AB6035AE}"/>
    <hyperlink ref="B2:D2" location="JUMP_Coverpage_Top" display="Top of sheet" xr:uid="{A907D8F7-9FE1-4DB6-A236-FCB8C50E1031}"/>
    <hyperlink ref="B3:D3" location="JUMP_Coverpage_Bottom" display="End of sheet" xr:uid="{7E5CCD44-1E50-4191-B0F3-460B6D7A02FC}"/>
    <hyperlink ref="C18" location="JUMP_A_I" display="I" xr:uid="{A4618396-969D-498F-88EB-8D4C4728379E}"/>
    <hyperlink ref="C21" location="JUMP_A_I" display="I" xr:uid="{537CE0FE-D97A-4A34-9AE8-C34B7743405F}"/>
    <hyperlink ref="C22" location="JUMP_A_II" display="II" xr:uid="{D4B5BF21-DAF7-4773-BF77-2BD09444D294}"/>
    <hyperlink ref="B21" location="JUMP_D_I" display="I" xr:uid="{AA3979A7-4EF8-405D-AA81-5BBA75A44774}"/>
    <hyperlink ref="B22" location="JUMP_D_II" display="II" xr:uid="{B67FA268-C148-47D4-B960-96841041845B}"/>
    <hyperlink ref="C31" location="JUMP_A_I" display="I" xr:uid="{35E645C8-7862-4C0B-ADE2-457A492FCCA8}"/>
    <hyperlink ref="B31" location="JUMP_F_I" display="I" xr:uid="{9A988CFE-8740-441E-890A-C4864D24FA17}"/>
    <hyperlink ref="C23" location="JUMP_A_II" display="II" xr:uid="{1522E0D0-3FF5-400B-A038-3D4D80185ADB}"/>
    <hyperlink ref="C24" location="JUMP_A_II" display="II" xr:uid="{E5423760-13C2-4D5A-B30F-7F618CC1C5C1}"/>
    <hyperlink ref="C21:J21" location="JUMP_D_I" display="JUMP_D_I" xr:uid="{0531AD6F-5A99-4B52-8D3E-1E68BB9E85B8}"/>
    <hyperlink ref="C22:J22" location="JUMP_D_II" display="JUMP_D_II" xr:uid="{C5E5E44D-F6F6-4AA6-97CC-945AA5E7C090}"/>
    <hyperlink ref="B23" location="JUMP_D_III" display="III" xr:uid="{8A022B3D-D210-40C4-AF09-B5FE3206B141}"/>
    <hyperlink ref="C23:J23" location="JUMP_D_III" display="JUMP_D_III" xr:uid="{5ED203D6-758E-439F-B15C-BFEE9F629F5A}"/>
    <hyperlink ref="B24" location="JUMP_D_IV" display="IV" xr:uid="{5CEEC60E-F379-4E68-873B-FE80599A8AA1}"/>
    <hyperlink ref="C24:J24" location="JUMP_D_IV" display="JUMP_D_IV" xr:uid="{63BEA8A2-156F-4587-89CC-20BC8B337862}"/>
    <hyperlink ref="C26" location="JUMP_A_I" display="I" xr:uid="{F06040C8-FFAA-4568-B808-4D519E525884}"/>
    <hyperlink ref="C27" location="JUMP_A_II" display="II" xr:uid="{5786D504-AB76-4165-BA58-5B6835322615}"/>
    <hyperlink ref="B26" location="JUMP_E_I" display="I" xr:uid="{360CEEFE-646F-4A50-B86C-A415AAF9F764}"/>
    <hyperlink ref="B27" location="JUMP_E_II" display="II" xr:uid="{C2DFFB3E-B90F-49E2-903C-7C04715FC06F}"/>
    <hyperlink ref="C28" location="JUMP_A_II" display="II" xr:uid="{E260CBEA-0A78-41D1-A3BD-223A5EBA7420}"/>
    <hyperlink ref="C29" location="JUMP_A_II" display="II" xr:uid="{8BB364EF-4751-4DAF-93BC-C39631336E2B}"/>
    <hyperlink ref="C26:J26" location="JUMP_E_I" display="JUMP_E_I" xr:uid="{84143AE9-179E-46B9-AB0F-9C0D974EBFEF}"/>
    <hyperlink ref="C27:J27" location="JUMP_E_II" display="JUMP_E_II" xr:uid="{527029AA-7B66-44D0-AF93-EE66F9FC3AFA}"/>
    <hyperlink ref="B28" location="JUMP_E_III" display="III" xr:uid="{5F05930E-A4D2-4BF5-874A-29490F681FCF}"/>
    <hyperlink ref="C28:J28" location="JUMP_E_III" display="JUMP_E_III" xr:uid="{67621211-1537-4F6A-95FA-0A90718A1C1C}"/>
    <hyperlink ref="B29" location="JUMP_E_IV" display="IV" xr:uid="{E44A2CED-3D15-4FC2-9312-17B88BD3CFD7}"/>
    <hyperlink ref="C29:J29" location="JUMP_E_IV" display="JUMP_E_IV" xr:uid="{86C31F5D-C5E4-4DB4-8D1F-E59C84D874E5}"/>
    <hyperlink ref="C33" location="JUMP_A_I" display="I" xr:uid="{9C5E406C-276A-4F31-B44F-79E98A19E55B}"/>
    <hyperlink ref="B33" location="JUMP_G_I" display="I" xr:uid="{9406A1B4-D9E1-4DC3-A63D-20FA83442C11}"/>
    <hyperlink ref="C31:J31" location="JUMP_F_I" display="JUMP_F_I" xr:uid="{04B10EBF-5F49-4AB4-B814-304F4563F9E9}"/>
    <hyperlink ref="C33:J33" location="JUMP_G_I" display="JUMP_G_I" xr:uid="{AFE79915-107D-4489-9FB5-BED6BD0CAD97}"/>
    <hyperlink ref="C35:J35" location="JUMP_H_I" display="I" xr:uid="{07AD2899-2A83-4807-8CEF-5CADA0F52068}"/>
    <hyperlink ref="C36:J36" location="JUMP_H_II" display="II" xr:uid="{B66D90A4-88AD-4A58-AD29-360CDF9C08F9}"/>
    <hyperlink ref="C37:J37" location="JUMP_H_III" display="III" xr:uid="{F2E83DD1-A20A-41C7-BE8B-952870071357}"/>
    <hyperlink ref="C38:J38" location="JUMP_H_IV" display="IV" xr:uid="{ED69F363-3D28-4909-9744-43B801EE4539}"/>
    <hyperlink ref="C39:J39" location="JUMP_H_V" display="V" xr:uid="{71EF0DD0-CEEC-414B-A756-48C14A5CB3B1}"/>
    <hyperlink ref="C40:J40" location="JUMP_H_VI" display="VI" xr:uid="{B493CA8B-B55E-4E31-A2DF-CA27055F0B2D}"/>
    <hyperlink ref="C41:J41" location="JUMP_H_VII" display="VII" xr:uid="{C4898AB1-4D73-49B3-B4A5-55E7AB77DC95}"/>
    <hyperlink ref="C42:J42" location="JUMP_H_VIII" display="VIII" xr:uid="{F406B10E-5F59-420C-9C00-F3C0785DCF18}"/>
    <hyperlink ref="C43:J43" location="JUMP_H_IX" display="IX" xr:uid="{ED860B68-AF45-4975-B6DD-13A6A0A62DF5}"/>
    <hyperlink ref="B35" location="JUMP_H_I" display="I" xr:uid="{CE7D364B-3230-417B-BB61-ABCBB92E04B8}"/>
    <hyperlink ref="B36" location="JUMP_H_II" display="II" xr:uid="{3BB35A7E-186F-4590-8D7D-90BDB6C3CBA5}"/>
    <hyperlink ref="B37" location="JUMP_H_III" display="III" xr:uid="{6A30531F-3646-4921-BC03-84D8ABB060D2}"/>
    <hyperlink ref="B38" location="JUMP_H_IV" display="IV" xr:uid="{217D1701-EC1C-4165-900D-0AABF777620A}"/>
    <hyperlink ref="B39" location="JUMP_H_V" display="V" xr:uid="{B04F9D62-A8FC-400A-B296-CB4DBE385168}"/>
    <hyperlink ref="B40" location="JUMP_H_VI" display="VI" xr:uid="{6D1A7393-17EF-4D69-BED4-7E89D0EA2D38}"/>
    <hyperlink ref="B41" location="JUMP_H_VII" display="VII" xr:uid="{76FCEFF2-FBEC-4DEC-AFF8-F6FFE7C82509}"/>
    <hyperlink ref="B42" location="JUMP_H_VIII" display="VIII" xr:uid="{38D46029-D6BD-456C-936F-3C2F5E7B20B6}"/>
    <hyperlink ref="B43" location="JUMP_H_IX" display="IX" xr:uid="{70BCDCA1-C3BB-46A6-AE74-0ED516AACBDE}"/>
    <hyperlink ref="C47:J47" location="JUMP_J_I" display="I" xr:uid="{0846FD7F-3F56-487C-85DC-82B546B2E4BB}"/>
    <hyperlink ref="C48:J48" location="JUMP_J_II" display="II" xr:uid="{37B8848E-C6A9-4C92-8215-AF581B6E080F}"/>
    <hyperlink ref="C45:J45" location="JUMP_I_MSspecific" display="I" xr:uid="{7924501B-643E-44C4-9E03-0125C98A2297}"/>
    <hyperlink ref="B45" location="JUMP_I_MSspecific" display="I" xr:uid="{E73BAB80-9BBC-448F-9DF2-C07FE3812138}"/>
    <hyperlink ref="B47" location="JUMP_J_I" display="I" xr:uid="{A003B74B-77A6-453F-9DD7-47702B3E3679}"/>
    <hyperlink ref="B48" location="JUMP_J_II" display="II" xr:uid="{EC61456B-611E-41BE-98C7-3FE40AE0C6E6}"/>
    <hyperlink ref="C50:J50" location="JUMP_K_I" display="I" xr:uid="{7D6A713C-F7D0-4EB4-A65E-72212E64EA71}"/>
    <hyperlink ref="B50" location="JUMP_K_I" display="I" xr:uid="{13732B42-E08E-481C-8357-BF9313E1FA5B}"/>
    <hyperlink ref="B51:J51" location="JUMP_K_II" display="II" xr:uid="{D70B4963-D0AA-4DA3-BB27-30E51C3C0F5B}"/>
    <hyperlink ref="B52:J52" location="JUMP_K_III" display="III" xr:uid="{4D003CDC-FBF1-4B1C-950F-981EC982E1E2}"/>
    <hyperlink ref="B53:J53" location="JUMP_K_IV" display="IV" xr:uid="{DAF2FE85-C65B-4DBF-87C2-D6C90ED11806}"/>
    <hyperlink ref="B54:J54" location="JUMP_K_V" display="V" xr:uid="{F0D502BC-E6E9-43CB-B366-574FF7B6DB51}"/>
    <hyperlink ref="C18:J18" location="JUMP_B_I" display="JUMP_B_I" xr:uid="{9CDBF5B7-95B6-48BD-BA15-C8D373B629B5}"/>
    <hyperlink ref="B18" location="JUMP_B_I" display="I" xr:uid="{FD177B79-77BE-4B47-BFAF-DE4CF5A6E5B3}"/>
    <hyperlink ref="C19" location="JUMP_A_I" display="I" xr:uid="{37F956E8-F499-434E-A5E4-D877AE343AC7}"/>
    <hyperlink ref="C19:J19" location="'B+C_SubInstallations'!JUMP_B_II" display="'B+C_SubInstallations'!JUMP_B_II" xr:uid="{3D388685-2EEA-483D-B5B9-7959917C6315}"/>
    <hyperlink ref="B19" location="'B+C_SubInstallations'!JUMP_B_II" display="II" xr:uid="{9493776A-7DAE-48D4-9723-FE62286AE4B0}"/>
    <hyperlink ref="C16" location="JUMP_A_IV" display="IV" xr:uid="{5BDDBF67-7714-4F00-B6D0-A0159CC41981}"/>
    <hyperlink ref="B16" location="JUMP_A_V" display="V" xr:uid="{101ADA05-6D7D-4839-BDFA-698B08F6FAA8}"/>
    <hyperlink ref="C16:J16" location="JUMP_A_V" display="JUMP_A_V" xr:uid="{9A6A56E2-0C53-4E3B-9AD6-7FE5E3344EC3}"/>
  </hyperlinks>
  <pageMargins left="0.78740157480314965" right="0.78740157480314965" top="0.78740157480314965" bottom="0.78740157480314965" header="0.39370078740157483" footer="0.39370078740157483"/>
  <pageSetup paperSize="9" scale="66" orientation="portrait" r:id="rId1"/>
  <headerFooter alignWithMargins="0">
    <oddHeader>&amp;L&amp;F; &amp;A&amp;R&amp;D; &amp;T</oddHeader>
    <oddFooter>&amp;C&amp;P / &amp;N</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06A5EB-04AB-4C92-96A6-5BF321F3DA98}">
  <sheetPr codeName="Tabelle10">
    <tabColor indexed="40"/>
  </sheetPr>
  <dimension ref="A1:AL425"/>
  <sheetViews>
    <sheetView zoomScaleNormal="100" zoomScaleSheetLayoutView="100" workbookViewId="0">
      <pane ySplit="5" topLeftCell="A6" activePane="bottomLeft" state="frozen"/>
      <selection pane="bottomLeft" activeCell="B2" sqref="B2:D4"/>
    </sheetView>
  </sheetViews>
  <sheetFormatPr defaultColWidth="11.453125" defaultRowHeight="12.5" x14ac:dyDescent="0.25"/>
  <cols>
    <col min="1" max="1" width="2.7265625" style="533" hidden="1" customWidth="1"/>
    <col min="2" max="2" width="2.7265625" style="533" customWidth="1"/>
    <col min="3" max="4" width="4.7265625" style="533" customWidth="1"/>
    <col min="5" max="5" width="30.7265625" style="533" customWidth="1"/>
    <col min="6" max="14" width="12.7265625" style="533" customWidth="1"/>
    <col min="15" max="15" width="4.7265625" style="533" customWidth="1"/>
    <col min="16" max="16" width="25.7265625" style="533" customWidth="1"/>
    <col min="17" max="17" width="12.7265625" style="533" hidden="1" customWidth="1"/>
    <col min="18" max="38" width="11.453125" style="533" hidden="1" customWidth="1"/>
    <col min="39" max="16384" width="11.453125" style="533"/>
  </cols>
  <sheetData>
    <row r="1" spans="1:38" s="2" customFormat="1" ht="13" hidden="1" thickBot="1" x14ac:dyDescent="0.3">
      <c r="A1" s="2" t="s">
        <v>346</v>
      </c>
      <c r="Q1" s="2" t="s">
        <v>346</v>
      </c>
      <c r="R1" s="2" t="s">
        <v>346</v>
      </c>
      <c r="S1" s="2" t="s">
        <v>346</v>
      </c>
      <c r="T1" s="2" t="s">
        <v>346</v>
      </c>
      <c r="U1" s="2" t="s">
        <v>346</v>
      </c>
      <c r="V1" s="2" t="s">
        <v>346</v>
      </c>
      <c r="W1" s="2" t="s">
        <v>346</v>
      </c>
      <c r="X1" s="2" t="s">
        <v>346</v>
      </c>
      <c r="Y1" s="2" t="s">
        <v>346</v>
      </c>
      <c r="Z1" s="2" t="s">
        <v>346</v>
      </c>
      <c r="AA1" s="2" t="s">
        <v>346</v>
      </c>
      <c r="AB1" s="2" t="s">
        <v>346</v>
      </c>
      <c r="AC1" s="2" t="s">
        <v>346</v>
      </c>
      <c r="AD1" s="2" t="s">
        <v>346</v>
      </c>
      <c r="AE1" s="2" t="s">
        <v>346</v>
      </c>
      <c r="AF1" s="2" t="s">
        <v>346</v>
      </c>
      <c r="AG1" s="2" t="s">
        <v>346</v>
      </c>
      <c r="AH1" s="2" t="s">
        <v>346</v>
      </c>
      <c r="AI1" s="2" t="s">
        <v>346</v>
      </c>
      <c r="AJ1" s="2" t="s">
        <v>346</v>
      </c>
      <c r="AK1" s="2" t="s">
        <v>346</v>
      </c>
      <c r="AL1" s="2" t="s">
        <v>346</v>
      </c>
    </row>
    <row r="2" spans="1:38" ht="13.5" thickBot="1" x14ac:dyDescent="0.35">
      <c r="A2" s="2"/>
      <c r="B2" s="2315" t="str">
        <f>Translations!$B$725</f>
        <v>H.</v>
      </c>
      <c r="C2" s="2316"/>
      <c r="D2" s="2317"/>
      <c r="E2" s="2330" t="str">
        <f>Translations!$B$2</f>
        <v>Navigeringsfält:</v>
      </c>
      <c r="F2" s="2331"/>
      <c r="G2" s="2329" t="str">
        <f>Translations!$B$16</f>
        <v>Innehållsförteckning</v>
      </c>
      <c r="H2" s="1936"/>
      <c r="I2" s="1936" t="str">
        <f>Translations!$B$17</f>
        <v>Föregående blad</v>
      </c>
      <c r="J2" s="1936"/>
      <c r="K2" s="1936" t="str">
        <f>Translations!$B$3</f>
        <v>Nästa blad</v>
      </c>
      <c r="L2" s="1936"/>
      <c r="M2" s="1936" t="str">
        <f>Translations!$B$4</f>
        <v>Sammanfattning</v>
      </c>
      <c r="N2" s="1936"/>
      <c r="O2" s="6"/>
      <c r="P2" s="2280" t="str">
        <f>Translations!$B$1362</f>
        <v>Kolumn för kommentarer 
(till exempel eventuella ändringar)</v>
      </c>
      <c r="Q2" s="7"/>
      <c r="R2" s="7"/>
      <c r="S2" s="7"/>
      <c r="T2" s="7"/>
      <c r="U2" s="7"/>
      <c r="V2" s="7"/>
      <c r="W2" s="7"/>
      <c r="X2" s="7"/>
      <c r="Y2" s="7"/>
      <c r="Z2" s="7"/>
      <c r="AA2" s="7"/>
      <c r="AB2" s="7"/>
      <c r="AC2" s="7"/>
      <c r="AD2" s="7"/>
      <c r="AE2" s="7"/>
      <c r="AF2" s="7"/>
      <c r="AG2" s="7"/>
      <c r="AH2" s="7"/>
      <c r="AI2" s="7"/>
      <c r="AJ2" s="7"/>
      <c r="AK2" s="7"/>
      <c r="AL2" s="7"/>
    </row>
    <row r="3" spans="1:38" ht="13.5" thickBot="1" x14ac:dyDescent="0.3">
      <c r="A3" s="2"/>
      <c r="B3" s="2318"/>
      <c r="C3" s="2319"/>
      <c r="D3" s="2320"/>
      <c r="E3" s="1936" t="str">
        <f>Translations!$B$5</f>
        <v>Högst upp</v>
      </c>
      <c r="F3" s="2324"/>
      <c r="G3" s="2758" t="str">
        <f>JUMP_H_I</f>
        <v>CWT (raffinaderiprodukter)</v>
      </c>
      <c r="H3" s="2552"/>
      <c r="I3" s="2552" t="str">
        <f>JUMP_H_II</f>
        <v>Kalk</v>
      </c>
      <c r="J3" s="2552"/>
      <c r="K3" s="2552" t="str">
        <f>JUMP_H_III</f>
        <v>Dolime</v>
      </c>
      <c r="L3" s="2552"/>
      <c r="M3" s="2552" t="str">
        <f>JUMP_H_IV</f>
        <v>Ångkrackning</v>
      </c>
      <c r="N3" s="2552"/>
      <c r="O3" s="6"/>
      <c r="P3" s="2281"/>
      <c r="Q3" s="7"/>
      <c r="R3" s="7"/>
      <c r="S3" s="7"/>
      <c r="T3" s="7"/>
      <c r="U3" s="7"/>
      <c r="V3" s="7"/>
      <c r="W3" s="7"/>
      <c r="X3" s="7"/>
      <c r="Y3" s="7"/>
      <c r="Z3" s="7"/>
      <c r="AA3" s="7"/>
      <c r="AB3" s="7"/>
      <c r="AC3" s="7"/>
      <c r="AD3" s="7"/>
      <c r="AE3" s="7"/>
      <c r="AF3" s="7"/>
      <c r="AG3" s="7"/>
      <c r="AH3" s="7"/>
      <c r="AI3" s="7"/>
      <c r="AJ3" s="7"/>
      <c r="AK3" s="7"/>
      <c r="AL3" s="7"/>
    </row>
    <row r="4" spans="1:38" ht="13.5" thickBot="1" x14ac:dyDescent="0.3">
      <c r="A4" s="2"/>
      <c r="B4" s="2321"/>
      <c r="C4" s="2322"/>
      <c r="D4" s="2323"/>
      <c r="E4" s="1936" t="str">
        <f>Translations!$B$6</f>
        <v>Längst ner</v>
      </c>
      <c r="F4" s="1936"/>
      <c r="G4" s="2469" t="str">
        <f>JUMP_H_V</f>
        <v>CWT (aromater)</v>
      </c>
      <c r="H4" s="2328"/>
      <c r="I4" s="2328" t="str">
        <f>JUMP_H_VI</f>
        <v>Vätgas</v>
      </c>
      <c r="J4" s="2328"/>
      <c r="K4" s="2328" t="str">
        <f>JUMP_H_VII</f>
        <v>Syntesgas</v>
      </c>
      <c r="L4" s="2328"/>
      <c r="M4" s="2328" t="str">
        <f>JUMP_H_VIII</f>
        <v>Etylenoxid/etylenglykoler</v>
      </c>
      <c r="N4" s="2328"/>
      <c r="O4" s="6"/>
      <c r="P4" s="2282"/>
      <c r="Q4" s="7"/>
      <c r="R4" s="7"/>
      <c r="S4" s="7"/>
      <c r="T4" s="7"/>
      <c r="U4" s="7"/>
      <c r="V4" s="7"/>
      <c r="W4" s="7"/>
      <c r="X4" s="7"/>
      <c r="Y4" s="7"/>
      <c r="Z4" s="7"/>
      <c r="AA4" s="7"/>
      <c r="AB4" s="7"/>
      <c r="AC4" s="7"/>
      <c r="AD4" s="7"/>
      <c r="AE4" s="7"/>
      <c r="AF4" s="7"/>
      <c r="AG4" s="7"/>
      <c r="AH4" s="7"/>
      <c r="AI4" s="7"/>
      <c r="AJ4" s="7"/>
      <c r="AK4" s="7"/>
      <c r="AL4" s="7"/>
    </row>
    <row r="5" spans="1:38" x14ac:dyDescent="0.25">
      <c r="A5" s="2"/>
      <c r="B5" s="591"/>
      <c r="C5" s="591"/>
      <c r="D5" s="591"/>
      <c r="E5" s="1770"/>
      <c r="F5" s="1770"/>
      <c r="G5" s="2328" t="str">
        <f>JUMP_H_IX</f>
        <v>Vinylkloridmonomer (VCM)</v>
      </c>
      <c r="H5" s="2328"/>
      <c r="I5" s="2554"/>
      <c r="J5" s="2554"/>
      <c r="K5" s="2554"/>
      <c r="L5" s="2554"/>
      <c r="M5" s="2554"/>
      <c r="N5" s="2554"/>
      <c r="O5" s="6"/>
      <c r="P5" s="15"/>
      <c r="Q5" s="7"/>
      <c r="R5" s="7"/>
      <c r="S5" s="7"/>
      <c r="T5" s="7"/>
      <c r="U5" s="7"/>
      <c r="V5" s="7"/>
      <c r="W5" s="7"/>
      <c r="X5" s="7"/>
      <c r="Y5" s="7"/>
      <c r="Z5" s="7"/>
      <c r="AA5" s="7"/>
      <c r="AB5" s="7"/>
      <c r="AC5" s="7"/>
      <c r="AD5" s="7"/>
      <c r="AE5" s="7"/>
      <c r="AF5" s="7"/>
      <c r="AG5" s="7"/>
      <c r="AH5" s="7"/>
      <c r="AI5" s="7"/>
      <c r="AJ5" s="7"/>
      <c r="AK5" s="7"/>
      <c r="AL5" s="7"/>
    </row>
    <row r="6" spans="1:38" x14ac:dyDescent="0.25">
      <c r="A6" s="2"/>
      <c r="B6" s="3"/>
      <c r="C6" s="4"/>
      <c r="D6" s="3"/>
      <c r="E6" s="3"/>
      <c r="F6" s="5"/>
      <c r="G6" s="5"/>
      <c r="H6" s="5"/>
      <c r="I6" s="3"/>
      <c r="J6" s="3"/>
      <c r="K6" s="3"/>
      <c r="L6" s="3"/>
      <c r="M6" s="6"/>
      <c r="N6" s="6"/>
      <c r="O6" s="6"/>
      <c r="P6" s="15"/>
      <c r="Q6" s="7"/>
      <c r="R6" s="7"/>
      <c r="S6" s="7"/>
      <c r="T6" s="7"/>
      <c r="U6" s="7"/>
      <c r="V6" s="7"/>
      <c r="W6" s="7"/>
      <c r="X6" s="7"/>
      <c r="Y6" s="7"/>
      <c r="Z6" s="7"/>
      <c r="AA6" s="7"/>
      <c r="AB6" s="7"/>
      <c r="AC6" s="7"/>
      <c r="AD6" s="7"/>
      <c r="AE6" s="7"/>
      <c r="AF6" s="7"/>
      <c r="AG6" s="7"/>
      <c r="AH6" s="7"/>
      <c r="AI6" s="7"/>
      <c r="AJ6" s="7"/>
      <c r="AK6" s="7"/>
      <c r="AL6" s="7"/>
    </row>
    <row r="7" spans="1:38" ht="23.25" customHeight="1" x14ac:dyDescent="0.25">
      <c r="A7" s="2"/>
      <c r="B7" s="3"/>
      <c r="C7" s="8" t="s">
        <v>747</v>
      </c>
      <c r="D7" s="2004" t="str">
        <f>Translations!$B$726</f>
        <v>Bladet ”SpecialBM” – SÄRSKILDA UPPGIFTER OM VISSA PRODUKTRIKTMÄRKEN</v>
      </c>
      <c r="E7" s="1963"/>
      <c r="F7" s="1963"/>
      <c r="G7" s="1963"/>
      <c r="H7" s="1963"/>
      <c r="I7" s="1963"/>
      <c r="J7" s="1963"/>
      <c r="K7" s="1963"/>
      <c r="L7" s="1963"/>
      <c r="M7" s="1963"/>
      <c r="N7" s="1963"/>
      <c r="O7" s="6"/>
      <c r="P7" s="15"/>
      <c r="Q7" s="9" t="s">
        <v>254</v>
      </c>
      <c r="R7" s="9" t="s">
        <v>254</v>
      </c>
      <c r="S7" s="9" t="s">
        <v>254</v>
      </c>
      <c r="T7" s="9" t="s">
        <v>254</v>
      </c>
      <c r="U7" s="9" t="s">
        <v>254</v>
      </c>
      <c r="V7" s="9" t="s">
        <v>254</v>
      </c>
      <c r="W7" s="9" t="s">
        <v>254</v>
      </c>
      <c r="X7" s="9" t="s">
        <v>254</v>
      </c>
      <c r="Y7" s="9"/>
      <c r="Z7" s="9"/>
      <c r="AA7" s="9"/>
      <c r="AB7" s="9"/>
      <c r="AC7" s="9"/>
      <c r="AD7" s="9"/>
      <c r="AE7" s="9"/>
      <c r="AF7" s="9"/>
      <c r="AG7" s="9"/>
      <c r="AH7" s="9"/>
      <c r="AI7" s="9"/>
      <c r="AJ7" s="9"/>
      <c r="AK7" s="9"/>
      <c r="AL7" s="9" t="s">
        <v>254</v>
      </c>
    </row>
    <row r="8" spans="1:38" x14ac:dyDescent="0.25">
      <c r="A8" s="2"/>
      <c r="B8" s="3"/>
      <c r="C8" s="3"/>
      <c r="D8" s="3"/>
      <c r="E8" s="3"/>
      <c r="F8" s="3"/>
      <c r="G8" s="3"/>
      <c r="H8" s="3"/>
      <c r="I8" s="3"/>
      <c r="J8" s="3"/>
      <c r="K8" s="3"/>
      <c r="L8" s="3"/>
      <c r="M8" s="6"/>
      <c r="N8" s="6"/>
      <c r="O8" s="6"/>
      <c r="P8" s="15"/>
      <c r="Q8" s="10" t="s">
        <v>785</v>
      </c>
      <c r="R8" s="10" t="s">
        <v>785</v>
      </c>
      <c r="S8" s="10" t="s">
        <v>785</v>
      </c>
      <c r="T8" s="10" t="s">
        <v>785</v>
      </c>
      <c r="U8" s="10" t="s">
        <v>785</v>
      </c>
      <c r="V8" s="10" t="s">
        <v>785</v>
      </c>
      <c r="W8" s="10" t="s">
        <v>785</v>
      </c>
      <c r="X8" s="10" t="s">
        <v>785</v>
      </c>
      <c r="Y8" s="10"/>
      <c r="Z8" s="10"/>
      <c r="AA8" s="10"/>
      <c r="AB8" s="10"/>
      <c r="AC8" s="10"/>
      <c r="AD8" s="10"/>
      <c r="AE8" s="10"/>
      <c r="AF8" s="10"/>
      <c r="AG8" s="10"/>
      <c r="AH8" s="10"/>
      <c r="AI8" s="10"/>
      <c r="AJ8" s="10"/>
      <c r="AK8" s="10"/>
      <c r="AL8" s="10" t="s">
        <v>785</v>
      </c>
    </row>
    <row r="9" spans="1:38" ht="15.5" x14ac:dyDescent="0.35">
      <c r="A9" s="2"/>
      <c r="B9" s="3"/>
      <c r="C9" s="11" t="s">
        <v>1108</v>
      </c>
      <c r="D9" s="1975" t="str">
        <f>Translations!$B$727</f>
        <v>CWT (raffinaderiprodukter)</v>
      </c>
      <c r="E9" s="1975"/>
      <c r="F9" s="1975"/>
      <c r="G9" s="1975"/>
      <c r="H9" s="1975"/>
      <c r="I9" s="1975"/>
      <c r="J9" s="1975"/>
      <c r="K9" s="1975"/>
      <c r="L9" s="1975"/>
      <c r="M9" s="1975"/>
      <c r="N9" s="1975"/>
      <c r="O9" s="6"/>
      <c r="P9" s="15"/>
      <c r="Q9" s="7"/>
      <c r="R9" s="2"/>
      <c r="S9" s="2"/>
      <c r="T9" s="2"/>
      <c r="U9" s="2"/>
      <c r="V9" s="2"/>
      <c r="W9" s="2"/>
      <c r="X9" s="2"/>
      <c r="Y9" s="7"/>
      <c r="Z9" s="7"/>
      <c r="AA9" s="7"/>
      <c r="AB9" s="7"/>
      <c r="AC9" s="7"/>
      <c r="AD9" s="7"/>
      <c r="AE9" s="7"/>
      <c r="AF9" s="7"/>
      <c r="AG9" s="7"/>
      <c r="AH9" s="7"/>
      <c r="AI9" s="7"/>
      <c r="AJ9" s="7"/>
      <c r="AK9" s="7"/>
      <c r="AL9" s="7"/>
    </row>
    <row r="10" spans="1:38" ht="5.15" customHeight="1" x14ac:dyDescent="0.25">
      <c r="A10" s="2"/>
      <c r="B10" s="3"/>
      <c r="C10" s="3"/>
      <c r="D10" s="3"/>
      <c r="E10" s="3"/>
      <c r="F10" s="3"/>
      <c r="G10" s="3"/>
      <c r="H10" s="3"/>
      <c r="I10" s="3"/>
      <c r="J10" s="3"/>
      <c r="K10" s="3"/>
      <c r="L10" s="3"/>
      <c r="M10" s="6"/>
      <c r="N10" s="6"/>
      <c r="O10" s="6"/>
      <c r="P10" s="15"/>
      <c r="Q10" s="7"/>
      <c r="R10" s="2"/>
      <c r="S10" s="2"/>
      <c r="T10" s="2"/>
      <c r="U10" s="2"/>
      <c r="V10" s="2"/>
      <c r="W10" s="2"/>
      <c r="X10" s="2"/>
      <c r="Y10" s="7"/>
      <c r="Z10" s="7"/>
      <c r="AA10" s="7"/>
      <c r="AB10" s="7"/>
      <c r="AC10" s="7"/>
      <c r="AD10" s="7"/>
      <c r="AE10" s="7"/>
      <c r="AF10" s="7"/>
      <c r="AG10" s="7"/>
      <c r="AH10" s="7"/>
      <c r="AI10" s="7"/>
      <c r="AJ10" s="7"/>
      <c r="AK10" s="7"/>
      <c r="AL10" s="7"/>
    </row>
    <row r="11" spans="1:38" ht="14" x14ac:dyDescent="0.3">
      <c r="A11" s="2"/>
      <c r="B11" s="3"/>
      <c r="C11" s="17"/>
      <c r="D11" s="2053" t="str">
        <f>Translations!$B$728</f>
        <v>Verktyg för att beräkna historiska verksamhetsnivåer för raffinaderidelanläggningar</v>
      </c>
      <c r="E11" s="1963"/>
      <c r="F11" s="1963"/>
      <c r="G11" s="1963"/>
      <c r="H11" s="1963"/>
      <c r="I11" s="1963"/>
      <c r="J11" s="1963"/>
      <c r="K11" s="1963"/>
      <c r="L11" s="1963"/>
      <c r="M11" s="1963"/>
      <c r="N11" s="1963"/>
      <c r="O11" s="6"/>
      <c r="P11" s="15"/>
      <c r="Q11" s="7"/>
      <c r="R11" s="2"/>
      <c r="S11" s="2"/>
      <c r="T11" s="2"/>
      <c r="U11" s="2"/>
      <c r="V11" s="2"/>
      <c r="W11" s="2"/>
      <c r="X11" s="2"/>
      <c r="Y11" s="7"/>
      <c r="Z11" s="7"/>
      <c r="AA11" s="7"/>
      <c r="AB11" s="7"/>
      <c r="AC11" s="7"/>
      <c r="AD11" s="7"/>
      <c r="AE11" s="7"/>
      <c r="AF11" s="7"/>
      <c r="AG11" s="7"/>
      <c r="AH11" s="7"/>
      <c r="AI11" s="7"/>
      <c r="AJ11" s="7"/>
      <c r="AK11" s="7"/>
      <c r="AL11" s="7"/>
    </row>
    <row r="12" spans="1:38" ht="5.15" customHeight="1" x14ac:dyDescent="0.25">
      <c r="A12" s="2"/>
      <c r="B12" s="3"/>
      <c r="C12" s="3"/>
      <c r="D12" s="3"/>
      <c r="E12" s="3"/>
      <c r="F12" s="3"/>
      <c r="G12" s="3"/>
      <c r="H12" s="3"/>
      <c r="I12" s="3"/>
      <c r="J12" s="3"/>
      <c r="K12" s="3"/>
      <c r="L12" s="3"/>
      <c r="M12" s="6"/>
      <c r="N12" s="6"/>
      <c r="O12" s="6"/>
      <c r="P12" s="15"/>
      <c r="Q12" s="7"/>
      <c r="R12" s="2"/>
      <c r="S12" s="2"/>
      <c r="T12" s="2"/>
      <c r="U12" s="2"/>
      <c r="V12" s="2"/>
      <c r="W12" s="2"/>
      <c r="X12" s="2"/>
      <c r="Y12" s="7"/>
      <c r="Z12" s="7"/>
      <c r="AA12" s="7"/>
      <c r="AB12" s="7"/>
      <c r="AC12" s="7"/>
      <c r="AD12" s="7"/>
      <c r="AE12" s="7"/>
      <c r="AF12" s="7"/>
      <c r="AG12" s="7"/>
      <c r="AH12" s="7"/>
      <c r="AI12" s="7"/>
      <c r="AJ12" s="7"/>
      <c r="AK12" s="7"/>
      <c r="AL12" s="7"/>
    </row>
    <row r="13" spans="1:38" x14ac:dyDescent="0.25">
      <c r="A13" s="2"/>
      <c r="B13" s="3"/>
      <c r="C13" s="3"/>
      <c r="D13" s="15"/>
      <c r="E13" s="2061" t="str">
        <f>Translations!$B$729</f>
        <v>Med hjälp av detta verktyg kan ni fastställa de historiska verksamhetsnivåerna för raffinadeririktmärket (punkt 1 i bilaga III till FAR).</v>
      </c>
      <c r="F13" s="1963"/>
      <c r="G13" s="1963"/>
      <c r="H13" s="1963"/>
      <c r="I13" s="1963"/>
      <c r="J13" s="1963"/>
      <c r="K13" s="1963"/>
      <c r="L13" s="1963"/>
      <c r="M13" s="1963"/>
      <c r="N13" s="1963"/>
      <c r="O13" s="6"/>
      <c r="P13" s="15"/>
      <c r="Q13" s="7"/>
      <c r="R13" s="2"/>
      <c r="S13" s="2"/>
      <c r="T13" s="2"/>
      <c r="U13" s="2"/>
      <c r="V13" s="2"/>
      <c r="W13" s="2"/>
      <c r="X13" s="2"/>
      <c r="Y13" s="7"/>
      <c r="Z13" s="7"/>
      <c r="AA13" s="7"/>
      <c r="AB13" s="7"/>
      <c r="AC13" s="7"/>
      <c r="AD13" s="7"/>
      <c r="AE13" s="7"/>
      <c r="AF13" s="7"/>
      <c r="AG13" s="7"/>
      <c r="AH13" s="7"/>
      <c r="AI13" s="7"/>
      <c r="AJ13" s="7"/>
      <c r="AK13" s="7"/>
      <c r="AL13" s="7"/>
    </row>
    <row r="14" spans="1:38" x14ac:dyDescent="0.25">
      <c r="A14" s="2"/>
      <c r="B14" s="3"/>
      <c r="C14" s="3"/>
      <c r="D14" s="15"/>
      <c r="E14" s="2061" t="str">
        <f>Translations!$B$730</f>
        <v>För aromatriktmärket, där CWT också används, var god använd det särskilda CWT-verktyget för aromater nedan (avsnitt V i detta blad).</v>
      </c>
      <c r="F14" s="1963"/>
      <c r="G14" s="1963"/>
      <c r="H14" s="1963"/>
      <c r="I14" s="1963"/>
      <c r="J14" s="1963"/>
      <c r="K14" s="1963"/>
      <c r="L14" s="1963"/>
      <c r="M14" s="1963"/>
      <c r="N14" s="1963"/>
      <c r="O14" s="6"/>
      <c r="P14" s="15"/>
      <c r="Q14" s="7"/>
      <c r="R14" s="2"/>
      <c r="S14" s="2"/>
      <c r="T14" s="2"/>
      <c r="U14" s="2"/>
      <c r="V14" s="2"/>
      <c r="W14" s="2"/>
      <c r="X14" s="2"/>
      <c r="Y14" s="7"/>
      <c r="Z14" s="7"/>
      <c r="AA14" s="7"/>
      <c r="AB14" s="7"/>
      <c r="AC14" s="7"/>
      <c r="AD14" s="7"/>
      <c r="AE14" s="7"/>
      <c r="AF14" s="7"/>
      <c r="AG14" s="7"/>
      <c r="AH14" s="7"/>
      <c r="AI14" s="7"/>
      <c r="AJ14" s="7"/>
      <c r="AK14" s="7"/>
      <c r="AL14" s="7"/>
    </row>
    <row r="15" spans="1:38" x14ac:dyDescent="0.25">
      <c r="A15" s="2"/>
      <c r="B15" s="3"/>
      <c r="C15" s="3"/>
      <c r="D15" s="15"/>
      <c r="E15" s="2061" t="str">
        <f>Translations!$B$731</f>
        <v>Resultatet av verktyget kopieras automatiskt in i blad ”F_ProductBM”, inmatningsrad a.ii för delanläggningen i fråga.</v>
      </c>
      <c r="F15" s="1963"/>
      <c r="G15" s="1963"/>
      <c r="H15" s="1963"/>
      <c r="I15" s="1963"/>
      <c r="J15" s="1963"/>
      <c r="K15" s="1963"/>
      <c r="L15" s="1963"/>
      <c r="M15" s="1963"/>
      <c r="N15" s="1963"/>
      <c r="O15" s="6"/>
      <c r="P15" s="15"/>
      <c r="Q15" s="7"/>
      <c r="R15" s="2"/>
      <c r="S15" s="2"/>
      <c r="T15" s="2"/>
      <c r="U15" s="2"/>
      <c r="V15" s="2"/>
      <c r="W15" s="2"/>
      <c r="X15" s="2"/>
      <c r="Y15" s="7"/>
      <c r="Z15" s="7"/>
      <c r="AA15" s="7"/>
      <c r="AB15" s="7"/>
      <c r="AC15" s="7"/>
      <c r="AD15" s="7"/>
      <c r="AE15" s="7"/>
      <c r="AF15" s="7"/>
      <c r="AG15" s="7"/>
      <c r="AH15" s="7"/>
      <c r="AI15" s="7"/>
      <c r="AJ15" s="7"/>
      <c r="AK15" s="7"/>
      <c r="AL15" s="7"/>
    </row>
    <row r="16" spans="1:38" ht="5.15" customHeight="1" x14ac:dyDescent="0.25">
      <c r="A16" s="2"/>
      <c r="B16" s="3"/>
      <c r="C16" s="3"/>
      <c r="D16" s="3"/>
      <c r="E16" s="3"/>
      <c r="F16" s="3"/>
      <c r="G16" s="3"/>
      <c r="H16" s="3"/>
      <c r="I16" s="3"/>
      <c r="J16" s="3"/>
      <c r="K16" s="3"/>
      <c r="L16" s="3"/>
      <c r="M16" s="6"/>
      <c r="N16" s="6"/>
      <c r="O16" s="6"/>
      <c r="P16" s="15"/>
      <c r="Q16" s="7"/>
      <c r="R16" s="2"/>
      <c r="S16" s="2"/>
      <c r="T16" s="2"/>
      <c r="U16" s="2"/>
      <c r="V16" s="2"/>
      <c r="W16" s="2"/>
      <c r="X16" s="2"/>
      <c r="Y16" s="7"/>
      <c r="Z16" s="7"/>
      <c r="AA16" s="7"/>
      <c r="AB16" s="7"/>
      <c r="AC16" s="7"/>
      <c r="AD16" s="7"/>
      <c r="AE16" s="7"/>
      <c r="AF16" s="7"/>
      <c r="AG16" s="7"/>
      <c r="AH16" s="7"/>
      <c r="AI16" s="7"/>
      <c r="AJ16" s="7"/>
      <c r="AK16" s="7"/>
      <c r="AL16" s="7"/>
    </row>
    <row r="17" spans="1:38" ht="14" x14ac:dyDescent="0.3">
      <c r="A17" s="2"/>
      <c r="B17" s="3"/>
      <c r="C17" s="3"/>
      <c r="D17" s="13" t="s">
        <v>442</v>
      </c>
      <c r="E17" s="1943" t="str">
        <f>Translations!$B$732</f>
        <v>Verktygets relevans för er anläggning:</v>
      </c>
      <c r="F17" s="1943"/>
      <c r="G17" s="1943"/>
      <c r="H17" s="1943"/>
      <c r="I17" s="1943"/>
      <c r="J17" s="1943"/>
      <c r="K17" s="2067"/>
      <c r="L17" s="2751" t="str">
        <f>IF(CNTR_ExistSubInstEntries,IF(COUNTIF(CNTR_SubInstListNames,INDEX(EUconst_BMlistNames,R17))&gt;0,EUconst_Relevant,EUconst_NotRelevant),"")</f>
        <v/>
      </c>
      <c r="M17" s="2752"/>
      <c r="N17" s="2753"/>
      <c r="O17" s="6"/>
      <c r="P17" s="15"/>
      <c r="Q17" s="309" t="s">
        <v>128</v>
      </c>
      <c r="R17" s="297">
        <v>1</v>
      </c>
      <c r="S17" s="2"/>
      <c r="T17" s="2"/>
      <c r="U17" s="2"/>
      <c r="V17" s="2"/>
      <c r="W17" s="2"/>
      <c r="X17" s="2"/>
      <c r="Y17" s="7"/>
      <c r="Z17" s="7"/>
      <c r="AA17" s="7"/>
      <c r="AB17" s="7"/>
      <c r="AC17" s="7"/>
      <c r="AD17" s="7"/>
      <c r="AE17" s="7"/>
      <c r="AF17" s="7"/>
      <c r="AG17" s="7"/>
      <c r="AH17" s="7"/>
      <c r="AI17" s="7"/>
      <c r="AJ17" s="7"/>
      <c r="AK17" s="7"/>
      <c r="AL17" s="7"/>
    </row>
    <row r="18" spans="1:38" x14ac:dyDescent="0.25">
      <c r="A18" s="2"/>
      <c r="B18" s="3"/>
      <c r="C18" s="3"/>
      <c r="D18" s="15"/>
      <c r="E18" s="1999" t="str">
        <f>Translations!$B$733</f>
        <v>Detta meddelande visas automatiskt på grundval av er tidigare inmatning i blad ”A_InstallationData", avsnitt A.III.1.</v>
      </c>
      <c r="F18" s="2000"/>
      <c r="G18" s="2000"/>
      <c r="H18" s="2000"/>
      <c r="I18" s="2000"/>
      <c r="J18" s="2000"/>
      <c r="K18" s="2000"/>
      <c r="L18" s="2000"/>
      <c r="M18" s="2000"/>
      <c r="N18" s="2000"/>
      <c r="O18" s="6"/>
      <c r="P18" s="15"/>
      <c r="Q18" s="2"/>
      <c r="R18" s="2"/>
      <c r="S18" s="2"/>
      <c r="T18" s="2"/>
      <c r="U18" s="2"/>
      <c r="V18" s="2"/>
      <c r="W18" s="2"/>
      <c r="X18" s="2"/>
      <c r="Y18" s="7"/>
      <c r="Z18" s="7"/>
      <c r="AA18" s="7"/>
      <c r="AB18" s="7"/>
      <c r="AC18" s="7"/>
      <c r="AD18" s="7"/>
      <c r="AE18" s="7"/>
      <c r="AF18" s="7"/>
      <c r="AG18" s="7"/>
      <c r="AH18" s="7"/>
      <c r="AI18" s="7"/>
      <c r="AJ18" s="7"/>
      <c r="AK18" s="7"/>
      <c r="AL18" s="7"/>
    </row>
    <row r="19" spans="1:38" ht="13" x14ac:dyDescent="0.25">
      <c r="A19" s="2"/>
      <c r="B19" s="3"/>
      <c r="C19" s="3"/>
      <c r="D19" s="3"/>
      <c r="E19" s="2748" t="str">
        <f>IF(L17=EUconst_Relevant,HYPERLINK(R19,EUconst_MsgBackToSheetF),"")</f>
        <v/>
      </c>
      <c r="F19" s="2749"/>
      <c r="G19" s="2749"/>
      <c r="H19" s="2749"/>
      <c r="I19" s="2749"/>
      <c r="J19" s="2749"/>
      <c r="K19" s="2749"/>
      <c r="L19" s="2749"/>
      <c r="M19" s="2749"/>
      <c r="N19" s="2750"/>
      <c r="O19" s="6"/>
      <c r="P19" s="15"/>
      <c r="Q19" s="309" t="s">
        <v>127</v>
      </c>
      <c r="R19" s="108" t="str">
        <f>IF(ISNUMBER(MATCH(R17,CNTR_SubInstListBMnumbers,0)),"#JUMP_F"&amp;MATCH(R17,CNTR_SubInstListBMnumbers,0),"")</f>
        <v/>
      </c>
      <c r="S19" s="343"/>
      <c r="T19" s="2"/>
      <c r="U19" s="2"/>
      <c r="V19" s="2"/>
      <c r="W19" s="2"/>
      <c r="X19" s="2"/>
      <c r="Y19" s="7"/>
      <c r="Z19" s="7"/>
      <c r="AA19" s="7"/>
      <c r="AB19" s="7"/>
      <c r="AC19" s="7"/>
      <c r="AD19" s="7"/>
      <c r="AE19" s="7"/>
      <c r="AF19" s="7"/>
      <c r="AG19" s="7"/>
      <c r="AH19" s="7"/>
      <c r="AI19" s="7"/>
      <c r="AJ19" s="7"/>
      <c r="AK19" s="7"/>
      <c r="AL19" s="7"/>
    </row>
    <row r="20" spans="1:38" ht="5.15" customHeight="1" x14ac:dyDescent="0.25">
      <c r="A20" s="2"/>
      <c r="B20" s="3"/>
      <c r="C20" s="3"/>
      <c r="D20" s="3"/>
      <c r="E20" s="3"/>
      <c r="F20" s="3"/>
      <c r="G20" s="3"/>
      <c r="H20" s="3"/>
      <c r="I20" s="3"/>
      <c r="J20" s="3"/>
      <c r="K20" s="3"/>
      <c r="L20" s="3"/>
      <c r="M20" s="6"/>
      <c r="N20" s="6"/>
      <c r="O20" s="6"/>
      <c r="P20" s="15"/>
      <c r="Q20" s="7"/>
      <c r="R20" s="2"/>
      <c r="S20" s="2"/>
      <c r="T20" s="2"/>
      <c r="U20" s="2"/>
      <c r="V20" s="2"/>
      <c r="W20" s="2"/>
      <c r="X20" s="2"/>
      <c r="Y20" s="7"/>
      <c r="Z20" s="7"/>
      <c r="AA20" s="7"/>
      <c r="AB20" s="7"/>
      <c r="AC20" s="7"/>
      <c r="AD20" s="7"/>
      <c r="AE20" s="7"/>
      <c r="AF20" s="7"/>
      <c r="AG20" s="7"/>
      <c r="AH20" s="7"/>
      <c r="AI20" s="7"/>
      <c r="AJ20" s="7"/>
      <c r="AK20" s="7"/>
      <c r="AL20" s="7"/>
    </row>
    <row r="21" spans="1:38" ht="13" x14ac:dyDescent="0.25">
      <c r="A21" s="2"/>
      <c r="B21" s="3"/>
      <c r="C21" s="3"/>
      <c r="D21" s="13" t="s">
        <v>955</v>
      </c>
      <c r="E21" s="1943" t="str">
        <f>Translations!$B$734</f>
        <v>CWT-genomströmningsdata</v>
      </c>
      <c r="F21" s="1963"/>
      <c r="G21" s="1963"/>
      <c r="H21" s="1963"/>
      <c r="I21" s="1963"/>
      <c r="J21" s="1963"/>
      <c r="K21" s="1963"/>
      <c r="L21" s="1963"/>
      <c r="M21" s="1963"/>
      <c r="N21" s="1963"/>
      <c r="O21" s="6"/>
      <c r="P21" s="15"/>
      <c r="Q21" s="7"/>
      <c r="R21" s="2"/>
      <c r="S21" s="2"/>
      <c r="T21" s="2"/>
      <c r="U21" s="2"/>
      <c r="V21" s="2"/>
      <c r="W21" s="2"/>
      <c r="X21" s="2"/>
      <c r="Y21" s="7"/>
      <c r="Z21" s="7"/>
      <c r="AA21" s="7"/>
      <c r="AB21" s="7"/>
      <c r="AC21" s="7"/>
      <c r="AD21" s="7"/>
      <c r="AE21" s="7"/>
      <c r="AF21" s="7"/>
      <c r="AG21" s="7"/>
      <c r="AH21" s="7"/>
      <c r="AI21" s="7"/>
      <c r="AJ21" s="7"/>
      <c r="AK21" s="7"/>
      <c r="AL21" s="7"/>
    </row>
    <row r="22" spans="1:38" x14ac:dyDescent="0.25">
      <c r="A22" s="2"/>
      <c r="B22" s="3"/>
      <c r="C22" s="3"/>
      <c r="D22" s="15"/>
      <c r="E22" s="2061" t="str">
        <f>Translations!$B$735</f>
        <v>Var god ange årlig genomströmningsdata för varje CWT-funktion.</v>
      </c>
      <c r="F22" s="1963"/>
      <c r="G22" s="1963"/>
      <c r="H22" s="1963"/>
      <c r="I22" s="1963"/>
      <c r="J22" s="1963"/>
      <c r="K22" s="1963"/>
      <c r="L22" s="1963"/>
      <c r="M22" s="1963"/>
      <c r="N22" s="1963"/>
      <c r="O22" s="6"/>
      <c r="P22" s="15"/>
      <c r="Q22" s="7"/>
      <c r="R22" s="2"/>
      <c r="S22" s="2"/>
      <c r="T22" s="2"/>
      <c r="U22" s="2"/>
      <c r="V22" s="2"/>
      <c r="W22" s="2"/>
      <c r="X22" s="2"/>
      <c r="Y22" s="7"/>
      <c r="Z22" s="7"/>
      <c r="AA22" s="7"/>
      <c r="AB22" s="7"/>
      <c r="AC22" s="7"/>
      <c r="AD22" s="7"/>
      <c r="AE22" s="7"/>
      <c r="AF22" s="7"/>
      <c r="AG22" s="7"/>
      <c r="AH22" s="7"/>
      <c r="AI22" s="7"/>
      <c r="AJ22" s="7"/>
      <c r="AK22" s="7"/>
      <c r="AL22" s="7"/>
    </row>
    <row r="23" spans="1:38" x14ac:dyDescent="0.25">
      <c r="A23" s="2"/>
      <c r="B23" s="3"/>
      <c r="C23" s="3"/>
      <c r="D23" s="15"/>
      <c r="E23" s="2061" t="str">
        <f>Translations!$B$736</f>
        <v>För definition och gränser för varje CWT-funktion, var god se punkt 1 i bilaga II till FAR.</v>
      </c>
      <c r="F23" s="1963"/>
      <c r="G23" s="1963"/>
      <c r="H23" s="1963"/>
      <c r="I23" s="1963"/>
      <c r="J23" s="1963"/>
      <c r="K23" s="1963"/>
      <c r="L23" s="1963"/>
      <c r="M23" s="1963"/>
      <c r="N23" s="1963"/>
      <c r="O23" s="6"/>
      <c r="P23" s="15"/>
      <c r="Q23" s="7"/>
      <c r="R23" s="2"/>
      <c r="S23" s="2"/>
      <c r="T23" s="2"/>
      <c r="U23" s="2"/>
      <c r="V23" s="2"/>
      <c r="W23" s="2"/>
      <c r="X23" s="2"/>
      <c r="Y23" s="7"/>
      <c r="Z23" s="7"/>
      <c r="AA23" s="7"/>
      <c r="AB23" s="7"/>
      <c r="AC23" s="7"/>
      <c r="AD23" s="7"/>
      <c r="AE23" s="7"/>
      <c r="AF23" s="7"/>
      <c r="AG23" s="7"/>
      <c r="AH23" s="7"/>
      <c r="AI23" s="7"/>
      <c r="AJ23" s="7"/>
      <c r="AK23" s="7"/>
      <c r="AL23" s="7"/>
    </row>
    <row r="24" spans="1:38" x14ac:dyDescent="0.25">
      <c r="A24" s="2"/>
      <c r="B24" s="3"/>
      <c r="C24" s="3"/>
      <c r="D24" s="15"/>
      <c r="E24" s="2061" t="str">
        <f>Translations!$B$737</f>
        <v>Följande förkortningar används för grunden:</v>
      </c>
      <c r="F24" s="1963"/>
      <c r="G24" s="1963"/>
      <c r="H24" s="1963"/>
      <c r="I24" s="1963"/>
      <c r="J24" s="1963"/>
      <c r="K24" s="1963"/>
      <c r="L24" s="1963"/>
      <c r="M24" s="1963"/>
      <c r="N24" s="1963"/>
      <c r="O24" s="6"/>
      <c r="P24" s="15"/>
      <c r="Q24" s="7"/>
      <c r="R24" s="2"/>
      <c r="S24" s="2"/>
      <c r="T24" s="2"/>
      <c r="U24" s="2"/>
      <c r="V24" s="2"/>
      <c r="W24" s="2"/>
      <c r="X24" s="2"/>
      <c r="Y24" s="7"/>
      <c r="Z24" s="7"/>
      <c r="AA24" s="7"/>
      <c r="AB24" s="7"/>
      <c r="AC24" s="7"/>
      <c r="AD24" s="7"/>
      <c r="AE24" s="7"/>
      <c r="AF24" s="7"/>
      <c r="AG24" s="7"/>
      <c r="AH24" s="7"/>
      <c r="AI24" s="7"/>
      <c r="AJ24" s="7"/>
      <c r="AK24" s="7"/>
      <c r="AL24" s="7"/>
    </row>
    <row r="25" spans="1:38" x14ac:dyDescent="0.25">
      <c r="A25" s="2"/>
      <c r="B25" s="3"/>
      <c r="C25" s="3"/>
      <c r="D25" s="15"/>
      <c r="E25" s="126" t="s">
        <v>326</v>
      </c>
      <c r="F25" s="2061" t="str">
        <f>Translations!$B$738</f>
        <v>Nettoinmatning av färska insatsvaror</v>
      </c>
      <c r="G25" s="1963"/>
      <c r="H25" s="1963"/>
      <c r="I25" s="1963"/>
      <c r="J25" s="1963"/>
      <c r="K25" s="1963"/>
      <c r="L25" s="1963"/>
      <c r="M25" s="1963"/>
      <c r="N25" s="1963"/>
      <c r="O25" s="6"/>
      <c r="P25" s="15"/>
      <c r="Q25" s="7"/>
      <c r="R25" s="2"/>
      <c r="S25" s="2"/>
      <c r="T25" s="2"/>
      <c r="U25" s="2"/>
      <c r="V25" s="2"/>
      <c r="W25" s="2"/>
      <c r="X25" s="2"/>
      <c r="Y25" s="7"/>
      <c r="Z25" s="7"/>
      <c r="AA25" s="7"/>
      <c r="AB25" s="7"/>
      <c r="AC25" s="7"/>
      <c r="AD25" s="7"/>
      <c r="AE25" s="7"/>
      <c r="AF25" s="7"/>
      <c r="AG25" s="7"/>
      <c r="AH25" s="7"/>
      <c r="AI25" s="7"/>
      <c r="AJ25" s="7"/>
      <c r="AK25" s="7"/>
      <c r="AL25" s="7"/>
    </row>
    <row r="26" spans="1:38" x14ac:dyDescent="0.25">
      <c r="A26" s="2"/>
      <c r="B26" s="3"/>
      <c r="C26" s="3"/>
      <c r="D26" s="15"/>
      <c r="E26" s="126" t="s">
        <v>1114</v>
      </c>
      <c r="F26" s="2061" t="str">
        <f>Translations!$B$739</f>
        <v>Inmatning till reaktor (inkluderar återvinning)</v>
      </c>
      <c r="G26" s="1963"/>
      <c r="H26" s="1963"/>
      <c r="I26" s="1963"/>
      <c r="J26" s="1963"/>
      <c r="K26" s="1963"/>
      <c r="L26" s="1963"/>
      <c r="M26" s="1963"/>
      <c r="N26" s="1963"/>
      <c r="O26" s="6"/>
      <c r="P26" s="15"/>
      <c r="Q26" s="7"/>
      <c r="R26" s="2"/>
      <c r="S26" s="2"/>
      <c r="T26" s="2"/>
      <c r="U26" s="2"/>
      <c r="V26" s="2"/>
      <c r="W26" s="2"/>
      <c r="X26" s="2"/>
      <c r="Y26" s="7"/>
      <c r="Z26" s="7"/>
      <c r="AA26" s="7"/>
      <c r="AB26" s="7"/>
      <c r="AC26" s="7"/>
      <c r="AD26" s="7"/>
      <c r="AE26" s="7"/>
      <c r="AF26" s="7"/>
      <c r="AG26" s="7"/>
      <c r="AH26" s="7"/>
      <c r="AI26" s="7"/>
      <c r="AJ26" s="7"/>
      <c r="AK26" s="7"/>
      <c r="AL26" s="7"/>
    </row>
    <row r="27" spans="1:38" x14ac:dyDescent="0.25">
      <c r="A27" s="2"/>
      <c r="B27" s="3"/>
      <c r="C27" s="3"/>
      <c r="D27" s="15"/>
      <c r="E27" s="126" t="s">
        <v>406</v>
      </c>
      <c r="F27" s="2061" t="str">
        <f>Translations!$B$740</f>
        <v>Produktinmatning</v>
      </c>
      <c r="G27" s="1963"/>
      <c r="H27" s="1963"/>
      <c r="I27" s="1963"/>
      <c r="J27" s="1963"/>
      <c r="K27" s="1963"/>
      <c r="L27" s="1963"/>
      <c r="M27" s="1963"/>
      <c r="N27" s="1963"/>
      <c r="O27" s="6"/>
      <c r="P27" s="15"/>
      <c r="Q27" s="7"/>
      <c r="R27" s="2"/>
      <c r="S27" s="2"/>
      <c r="T27" s="2"/>
      <c r="U27" s="2"/>
      <c r="V27" s="2"/>
      <c r="W27" s="2"/>
      <c r="X27" s="2"/>
      <c r="Y27" s="7"/>
      <c r="Z27" s="7"/>
      <c r="AA27" s="7"/>
      <c r="AB27" s="7"/>
      <c r="AC27" s="7"/>
      <c r="AD27" s="7"/>
      <c r="AE27" s="7"/>
      <c r="AF27" s="7"/>
      <c r="AG27" s="7"/>
      <c r="AH27" s="7"/>
      <c r="AI27" s="7"/>
      <c r="AJ27" s="7"/>
      <c r="AK27" s="7"/>
      <c r="AL27" s="7"/>
    </row>
    <row r="28" spans="1:38" x14ac:dyDescent="0.25">
      <c r="A28" s="2"/>
      <c r="B28" s="3"/>
      <c r="C28" s="3"/>
      <c r="D28" s="15"/>
      <c r="E28" s="126" t="s">
        <v>546</v>
      </c>
      <c r="F28" s="2061" t="str">
        <f>Translations!$B$741</f>
        <v>Syntesgasproduktion för POX-enheter</v>
      </c>
      <c r="G28" s="1963"/>
      <c r="H28" s="1963"/>
      <c r="I28" s="1963"/>
      <c r="J28" s="1963"/>
      <c r="K28" s="1963"/>
      <c r="L28" s="1963"/>
      <c r="M28" s="1963"/>
      <c r="N28" s="1963"/>
      <c r="O28" s="6"/>
      <c r="P28" s="15"/>
      <c r="Q28" s="7"/>
      <c r="R28" s="2"/>
      <c r="S28" s="2"/>
      <c r="T28" s="2"/>
      <c r="U28" s="2"/>
      <c r="V28" s="2"/>
      <c r="W28" s="2"/>
      <c r="X28" s="2"/>
      <c r="Y28" s="7"/>
      <c r="Z28" s="7"/>
      <c r="AA28" s="7"/>
      <c r="AB28" s="7"/>
      <c r="AC28" s="7"/>
      <c r="AD28" s="7"/>
      <c r="AE28" s="7"/>
      <c r="AF28" s="7"/>
      <c r="AG28" s="7"/>
      <c r="AH28" s="7"/>
      <c r="AI28" s="7"/>
      <c r="AJ28" s="7"/>
      <c r="AK28" s="7"/>
      <c r="AL28" s="7"/>
    </row>
    <row r="29" spans="1:38" x14ac:dyDescent="0.25">
      <c r="A29" s="2"/>
      <c r="B29" s="3"/>
      <c r="C29" s="3"/>
      <c r="D29" s="16"/>
      <c r="E29" s="2070" t="str">
        <f>Translations!$B$742</f>
        <v>Viktig anmärkning:  I enlighet med bilaga II till FAR ska enheterna anges i kapacitet per kiloton.</v>
      </c>
      <c r="F29" s="1963"/>
      <c r="G29" s="1963"/>
      <c r="H29" s="1963"/>
      <c r="I29" s="1963"/>
      <c r="J29" s="1963"/>
      <c r="K29" s="1963"/>
      <c r="L29" s="1963"/>
      <c r="M29" s="1963"/>
      <c r="N29" s="1963"/>
      <c r="O29" s="6"/>
      <c r="P29" s="15"/>
      <c r="Q29" s="7"/>
      <c r="R29" s="2"/>
      <c r="S29" s="2"/>
      <c r="T29" s="2"/>
      <c r="U29" s="2"/>
      <c r="V29" s="2"/>
      <c r="W29" s="2"/>
      <c r="X29" s="2"/>
      <c r="Y29" s="7"/>
      <c r="Z29" s="7"/>
      <c r="AA29" s="7"/>
      <c r="AB29" s="7"/>
      <c r="AC29" s="7"/>
      <c r="AD29" s="7"/>
      <c r="AE29" s="7"/>
      <c r="AF29" s="7"/>
      <c r="AG29" s="7"/>
      <c r="AH29" s="7"/>
      <c r="AI29" s="7"/>
      <c r="AJ29" s="7"/>
      <c r="AK29" s="7"/>
      <c r="AL29" s="7"/>
    </row>
    <row r="30" spans="1:38" ht="5.15" customHeight="1" x14ac:dyDescent="0.25">
      <c r="A30" s="2"/>
      <c r="B30" s="3"/>
      <c r="C30" s="3"/>
      <c r="D30" s="3"/>
      <c r="E30" s="3"/>
      <c r="F30" s="3"/>
      <c r="G30" s="3"/>
      <c r="H30" s="3"/>
      <c r="I30" s="3"/>
      <c r="J30" s="3"/>
      <c r="K30" s="3"/>
      <c r="L30" s="3"/>
      <c r="M30" s="6"/>
      <c r="N30" s="6"/>
      <c r="O30" s="6"/>
      <c r="P30" s="15"/>
      <c r="Q30" s="7"/>
      <c r="R30" s="2"/>
      <c r="S30" s="2"/>
      <c r="T30" s="2"/>
      <c r="U30" s="2"/>
      <c r="V30" s="2"/>
      <c r="W30" s="2"/>
      <c r="X30" s="2"/>
      <c r="Y30" s="7"/>
      <c r="Z30" s="7"/>
      <c r="AA30" s="7"/>
      <c r="AB30" s="7"/>
      <c r="AC30" s="7"/>
      <c r="AD30" s="7"/>
      <c r="AE30" s="7"/>
      <c r="AF30" s="7"/>
      <c r="AG30" s="7"/>
      <c r="AH30" s="7"/>
      <c r="AI30" s="7"/>
      <c r="AJ30" s="7"/>
      <c r="AK30" s="7"/>
      <c r="AL30" s="7"/>
    </row>
    <row r="31" spans="1:38" ht="13.5" thickBot="1" x14ac:dyDescent="0.3">
      <c r="A31" s="2"/>
      <c r="B31" s="19"/>
      <c r="C31" s="19"/>
      <c r="D31" s="19"/>
      <c r="E31" s="42" t="str">
        <f>Translations!$B$743</f>
        <v>CWT-funktion</v>
      </c>
      <c r="F31" s="42" t="str">
        <f>Translations!$B$744</f>
        <v>Grund (kt/år)</v>
      </c>
      <c r="G31" s="123" t="str">
        <f>Translations!$B$745</f>
        <v>CWT-faktor</v>
      </c>
      <c r="H31" s="350">
        <f t="shared" ref="H31:N31" si="0">H$421</f>
        <v>2019</v>
      </c>
      <c r="I31" s="673">
        <f t="shared" si="0"/>
        <v>2020</v>
      </c>
      <c r="J31" s="1065">
        <f t="shared" si="0"/>
        <v>2021</v>
      </c>
      <c r="K31" s="350">
        <f t="shared" si="0"/>
        <v>2022</v>
      </c>
      <c r="L31" s="350">
        <f t="shared" si="0"/>
        <v>2023</v>
      </c>
      <c r="M31" s="350">
        <f t="shared" si="0"/>
        <v>2024</v>
      </c>
      <c r="N31" s="673">
        <f t="shared" si="0"/>
        <v>2025</v>
      </c>
      <c r="O31" s="6"/>
      <c r="P31" s="15"/>
      <c r="Q31" s="2"/>
      <c r="R31" s="2"/>
      <c r="S31" s="2"/>
      <c r="T31" s="2"/>
      <c r="U31" s="2"/>
      <c r="V31" s="2"/>
      <c r="W31" s="2"/>
      <c r="X31" s="2"/>
      <c r="Y31" s="7"/>
      <c r="Z31" s="7"/>
      <c r="AA31" s="7"/>
      <c r="AB31" s="2"/>
      <c r="AC31" s="1051">
        <f t="shared" ref="AC31:AI31" si="1">H31</f>
        <v>2019</v>
      </c>
      <c r="AD31" s="1051">
        <f t="shared" si="1"/>
        <v>2020</v>
      </c>
      <c r="AE31" s="1051">
        <f t="shared" si="1"/>
        <v>2021</v>
      </c>
      <c r="AF31" s="1051">
        <f t="shared" si="1"/>
        <v>2022</v>
      </c>
      <c r="AG31" s="1051">
        <f t="shared" si="1"/>
        <v>2023</v>
      </c>
      <c r="AH31" s="1051">
        <f t="shared" si="1"/>
        <v>2024</v>
      </c>
      <c r="AI31" s="1051">
        <f t="shared" si="1"/>
        <v>2025</v>
      </c>
      <c r="AJ31" s="7"/>
      <c r="AK31" s="7"/>
      <c r="AL31" s="7"/>
    </row>
    <row r="32" spans="1:38" ht="25.5" customHeight="1" x14ac:dyDescent="0.25">
      <c r="A32" s="2"/>
      <c r="B32" s="19"/>
      <c r="C32" s="19"/>
      <c r="D32" s="19"/>
      <c r="E32" s="915" t="str">
        <f>Translations!$B$746</f>
        <v>Atmosfärisk destillation av råolja</v>
      </c>
      <c r="F32" s="43" t="s">
        <v>326</v>
      </c>
      <c r="G32" s="128">
        <v>1</v>
      </c>
      <c r="H32" s="245"/>
      <c r="I32" s="674"/>
      <c r="J32" s="678"/>
      <c r="K32" s="245"/>
      <c r="L32" s="245"/>
      <c r="M32" s="245"/>
      <c r="N32" s="674"/>
      <c r="O32" s="6"/>
      <c r="P32" s="1362"/>
      <c r="Q32" s="2"/>
      <c r="R32" s="2"/>
      <c r="S32" s="2"/>
      <c r="T32" s="2"/>
      <c r="U32" s="2"/>
      <c r="V32" s="2"/>
      <c r="W32" s="2"/>
      <c r="X32" s="2"/>
      <c r="Y32" s="7"/>
      <c r="Z32" s="7"/>
      <c r="AA32" s="7"/>
      <c r="AB32" s="672" t="s">
        <v>782</v>
      </c>
      <c r="AC32" s="1059" t="b">
        <f t="shared" ref="AC32:AI32" si="2">IF(CNTR_ExistSubInstEntries,IF($L17=EUconst_Relevant,AC31&gt;=CNTR_ReportingYear,TRUE),FALSE)</f>
        <v>0</v>
      </c>
      <c r="AD32" s="1057" t="b">
        <f t="shared" si="2"/>
        <v>0</v>
      </c>
      <c r="AE32" s="1057" t="b">
        <f t="shared" si="2"/>
        <v>0</v>
      </c>
      <c r="AF32" s="1057" t="b">
        <f t="shared" si="2"/>
        <v>0</v>
      </c>
      <c r="AG32" s="1057" t="b">
        <f t="shared" si="2"/>
        <v>0</v>
      </c>
      <c r="AH32" s="1057" t="b">
        <f t="shared" si="2"/>
        <v>0</v>
      </c>
      <c r="AI32" s="1058" t="b">
        <f t="shared" si="2"/>
        <v>0</v>
      </c>
      <c r="AJ32" s="7"/>
      <c r="AK32" s="7"/>
      <c r="AL32" s="7"/>
    </row>
    <row r="33" spans="1:38" ht="12.75" customHeight="1" x14ac:dyDescent="0.25">
      <c r="A33" s="2"/>
      <c r="B33" s="19"/>
      <c r="C33" s="19"/>
      <c r="D33" s="19"/>
      <c r="E33" s="916" t="str">
        <f>Translations!$B$747</f>
        <v xml:space="preserve">Vakuumdestillation </v>
      </c>
      <c r="F33" s="29" t="s">
        <v>326</v>
      </c>
      <c r="G33" s="127">
        <v>0.85</v>
      </c>
      <c r="H33" s="244"/>
      <c r="I33" s="675"/>
      <c r="J33" s="679"/>
      <c r="K33" s="244"/>
      <c r="L33" s="244"/>
      <c r="M33" s="244"/>
      <c r="N33" s="675"/>
      <c r="O33" s="6"/>
      <c r="P33" s="1362"/>
      <c r="Q33" s="2"/>
      <c r="R33" s="2"/>
      <c r="S33" s="2"/>
      <c r="T33" s="2"/>
      <c r="U33" s="2"/>
      <c r="V33" s="2"/>
      <c r="W33" s="2"/>
      <c r="X33" s="2"/>
      <c r="Y33" s="7"/>
      <c r="Z33" s="7"/>
      <c r="AA33" s="7"/>
      <c r="AB33" s="7"/>
      <c r="AC33" s="1060" t="b">
        <f>AC32</f>
        <v>0</v>
      </c>
      <c r="AD33" s="298" t="b">
        <f t="shared" ref="AD33:AD87" si="3">AD32</f>
        <v>0</v>
      </c>
      <c r="AE33" s="298" t="b">
        <f t="shared" ref="AE33:AE87" si="4">AE32</f>
        <v>0</v>
      </c>
      <c r="AF33" s="298" t="b">
        <f t="shared" ref="AF33:AF87" si="5">AF32</f>
        <v>0</v>
      </c>
      <c r="AG33" s="298" t="b">
        <f t="shared" ref="AG33:AG87" si="6">AG32</f>
        <v>0</v>
      </c>
      <c r="AH33" s="298" t="b">
        <f t="shared" ref="AH33:AH87" si="7">AH32</f>
        <v>0</v>
      </c>
      <c r="AI33" s="1061" t="b">
        <f t="shared" ref="AI33:AI87" si="8">AI32</f>
        <v>0</v>
      </c>
      <c r="AJ33" s="7"/>
      <c r="AK33" s="7"/>
      <c r="AL33" s="7"/>
    </row>
    <row r="34" spans="1:38" ht="12.75" customHeight="1" x14ac:dyDescent="0.25">
      <c r="A34" s="2"/>
      <c r="B34" s="19"/>
      <c r="C34" s="19"/>
      <c r="D34" s="19"/>
      <c r="E34" s="932" t="str">
        <f>Translations!$B$748</f>
        <v xml:space="preserve">Lösningsmedelsdeasfaltering </v>
      </c>
      <c r="F34" s="26" t="s">
        <v>326</v>
      </c>
      <c r="G34" s="124">
        <v>2.4500000000000002</v>
      </c>
      <c r="H34" s="243"/>
      <c r="I34" s="676"/>
      <c r="J34" s="680"/>
      <c r="K34" s="243"/>
      <c r="L34" s="243"/>
      <c r="M34" s="243"/>
      <c r="N34" s="676"/>
      <c r="O34" s="6"/>
      <c r="P34" s="1362"/>
      <c r="Q34" s="2"/>
      <c r="R34" s="2"/>
      <c r="S34" s="2"/>
      <c r="T34" s="2"/>
      <c r="U34" s="2"/>
      <c r="V34" s="2"/>
      <c r="W34" s="2"/>
      <c r="X34" s="2"/>
      <c r="Y34" s="7"/>
      <c r="Z34" s="7"/>
      <c r="AA34" s="7"/>
      <c r="AB34" s="7"/>
      <c r="AC34" s="1060" t="b">
        <f t="shared" ref="AC34:AC87" si="9">AC33</f>
        <v>0</v>
      </c>
      <c r="AD34" s="298" t="b">
        <f t="shared" si="3"/>
        <v>0</v>
      </c>
      <c r="AE34" s="298" t="b">
        <f t="shared" si="4"/>
        <v>0</v>
      </c>
      <c r="AF34" s="298" t="b">
        <f t="shared" si="5"/>
        <v>0</v>
      </c>
      <c r="AG34" s="298" t="b">
        <f t="shared" si="6"/>
        <v>0</v>
      </c>
      <c r="AH34" s="298" t="b">
        <f t="shared" si="7"/>
        <v>0</v>
      </c>
      <c r="AI34" s="1061" t="b">
        <f t="shared" si="8"/>
        <v>0</v>
      </c>
      <c r="AJ34" s="7"/>
      <c r="AK34" s="7"/>
      <c r="AL34" s="7"/>
    </row>
    <row r="35" spans="1:38" x14ac:dyDescent="0.25">
      <c r="A35" s="2"/>
      <c r="B35" s="19"/>
      <c r="C35" s="19"/>
      <c r="D35" s="19"/>
      <c r="E35" s="932" t="str">
        <f>Translations!$B$749</f>
        <v xml:space="preserve">Visbreaking </v>
      </c>
      <c r="F35" s="26" t="s">
        <v>326</v>
      </c>
      <c r="G35" s="124">
        <v>1.4</v>
      </c>
      <c r="H35" s="243"/>
      <c r="I35" s="676"/>
      <c r="J35" s="680"/>
      <c r="K35" s="243"/>
      <c r="L35" s="243"/>
      <c r="M35" s="243"/>
      <c r="N35" s="676"/>
      <c r="O35" s="6"/>
      <c r="P35" s="1362"/>
      <c r="Q35" s="2"/>
      <c r="R35" s="2"/>
      <c r="S35" s="2"/>
      <c r="T35" s="2"/>
      <c r="U35" s="2"/>
      <c r="V35" s="2"/>
      <c r="W35" s="2"/>
      <c r="X35" s="2"/>
      <c r="Y35" s="7"/>
      <c r="Z35" s="7"/>
      <c r="AA35" s="7"/>
      <c r="AB35" s="7"/>
      <c r="AC35" s="1060" t="b">
        <f t="shared" si="9"/>
        <v>0</v>
      </c>
      <c r="AD35" s="298" t="b">
        <f t="shared" si="3"/>
        <v>0</v>
      </c>
      <c r="AE35" s="298" t="b">
        <f t="shared" si="4"/>
        <v>0</v>
      </c>
      <c r="AF35" s="298" t="b">
        <f t="shared" si="5"/>
        <v>0</v>
      </c>
      <c r="AG35" s="298" t="b">
        <f t="shared" si="6"/>
        <v>0</v>
      </c>
      <c r="AH35" s="298" t="b">
        <f t="shared" si="7"/>
        <v>0</v>
      </c>
      <c r="AI35" s="1061" t="b">
        <f t="shared" si="8"/>
        <v>0</v>
      </c>
      <c r="AJ35" s="7"/>
      <c r="AK35" s="7"/>
      <c r="AL35" s="7"/>
    </row>
    <row r="36" spans="1:38" ht="12.75" customHeight="1" x14ac:dyDescent="0.25">
      <c r="A36" s="2"/>
      <c r="B36" s="19"/>
      <c r="C36" s="19"/>
      <c r="D36" s="19"/>
      <c r="E36" s="932" t="str">
        <f>Translations!$B$750</f>
        <v>Termisk krackning</v>
      </c>
      <c r="F36" s="26" t="s">
        <v>326</v>
      </c>
      <c r="G36" s="124">
        <v>2.7</v>
      </c>
      <c r="H36" s="243"/>
      <c r="I36" s="676"/>
      <c r="J36" s="680"/>
      <c r="K36" s="243"/>
      <c r="L36" s="243"/>
      <c r="M36" s="243"/>
      <c r="N36" s="676"/>
      <c r="O36" s="6"/>
      <c r="P36" s="1362"/>
      <c r="Q36" s="2"/>
      <c r="R36" s="2"/>
      <c r="S36" s="2"/>
      <c r="T36" s="2"/>
      <c r="U36" s="2"/>
      <c r="V36" s="2"/>
      <c r="W36" s="2"/>
      <c r="X36" s="2"/>
      <c r="Y36" s="7"/>
      <c r="Z36" s="7"/>
      <c r="AA36" s="7"/>
      <c r="AB36" s="7"/>
      <c r="AC36" s="1060" t="b">
        <f t="shared" si="9"/>
        <v>0</v>
      </c>
      <c r="AD36" s="298" t="b">
        <f t="shared" si="3"/>
        <v>0</v>
      </c>
      <c r="AE36" s="298" t="b">
        <f t="shared" si="4"/>
        <v>0</v>
      </c>
      <c r="AF36" s="298" t="b">
        <f t="shared" si="5"/>
        <v>0</v>
      </c>
      <c r="AG36" s="298" t="b">
        <f t="shared" si="6"/>
        <v>0</v>
      </c>
      <c r="AH36" s="298" t="b">
        <f t="shared" si="7"/>
        <v>0</v>
      </c>
      <c r="AI36" s="1061" t="b">
        <f t="shared" si="8"/>
        <v>0</v>
      </c>
      <c r="AJ36" s="7"/>
      <c r="AK36" s="7"/>
      <c r="AL36" s="7"/>
    </row>
    <row r="37" spans="1:38" ht="12.75" customHeight="1" x14ac:dyDescent="0.25">
      <c r="A37" s="2"/>
      <c r="B37" s="19"/>
      <c r="C37" s="19"/>
      <c r="D37" s="19"/>
      <c r="E37" s="932" t="str">
        <f>Translations!$B$751</f>
        <v xml:space="preserve">Fördröjd coking </v>
      </c>
      <c r="F37" s="26" t="s">
        <v>326</v>
      </c>
      <c r="G37" s="124">
        <v>2.2000000000000002</v>
      </c>
      <c r="H37" s="243"/>
      <c r="I37" s="676"/>
      <c r="J37" s="680"/>
      <c r="K37" s="243"/>
      <c r="L37" s="243"/>
      <c r="M37" s="243"/>
      <c r="N37" s="676"/>
      <c r="O37" s="6"/>
      <c r="P37" s="1362"/>
      <c r="Q37" s="2"/>
      <c r="R37" s="2"/>
      <c r="S37" s="2"/>
      <c r="T37" s="2"/>
      <c r="U37" s="2"/>
      <c r="V37" s="2"/>
      <c r="W37" s="2"/>
      <c r="X37" s="2"/>
      <c r="Y37" s="7"/>
      <c r="Z37" s="7"/>
      <c r="AA37" s="7"/>
      <c r="AB37" s="7"/>
      <c r="AC37" s="1060" t="b">
        <f t="shared" si="9"/>
        <v>0</v>
      </c>
      <c r="AD37" s="298" t="b">
        <f t="shared" si="3"/>
        <v>0</v>
      </c>
      <c r="AE37" s="298" t="b">
        <f t="shared" si="4"/>
        <v>0</v>
      </c>
      <c r="AF37" s="298" t="b">
        <f t="shared" si="5"/>
        <v>0</v>
      </c>
      <c r="AG37" s="298" t="b">
        <f t="shared" si="6"/>
        <v>0</v>
      </c>
      <c r="AH37" s="298" t="b">
        <f t="shared" si="7"/>
        <v>0</v>
      </c>
      <c r="AI37" s="1061" t="b">
        <f t="shared" si="8"/>
        <v>0</v>
      </c>
      <c r="AJ37" s="7"/>
      <c r="AK37" s="7"/>
      <c r="AL37" s="7"/>
    </row>
    <row r="38" spans="1:38" x14ac:dyDescent="0.25">
      <c r="A38" s="2"/>
      <c r="B38" s="19"/>
      <c r="C38" s="19"/>
      <c r="D38" s="19"/>
      <c r="E38" s="932" t="str">
        <f>Translations!$B$752</f>
        <v xml:space="preserve">Coking i fluidiserad bädd </v>
      </c>
      <c r="F38" s="26" t="s">
        <v>326</v>
      </c>
      <c r="G38" s="124">
        <v>7.6</v>
      </c>
      <c r="H38" s="243"/>
      <c r="I38" s="676"/>
      <c r="J38" s="680"/>
      <c r="K38" s="243"/>
      <c r="L38" s="243"/>
      <c r="M38" s="243"/>
      <c r="N38" s="676"/>
      <c r="O38" s="6"/>
      <c r="P38" s="1362"/>
      <c r="Q38" s="2"/>
      <c r="R38" s="2"/>
      <c r="S38" s="2"/>
      <c r="T38" s="2"/>
      <c r="U38" s="2"/>
      <c r="V38" s="2"/>
      <c r="W38" s="2"/>
      <c r="X38" s="2"/>
      <c r="Y38" s="7"/>
      <c r="Z38" s="7"/>
      <c r="AA38" s="7"/>
      <c r="AB38" s="7"/>
      <c r="AC38" s="1060" t="b">
        <f t="shared" si="9"/>
        <v>0</v>
      </c>
      <c r="AD38" s="298" t="b">
        <f t="shared" si="3"/>
        <v>0</v>
      </c>
      <c r="AE38" s="298" t="b">
        <f t="shared" si="4"/>
        <v>0</v>
      </c>
      <c r="AF38" s="298" t="b">
        <f t="shared" si="5"/>
        <v>0</v>
      </c>
      <c r="AG38" s="298" t="b">
        <f t="shared" si="6"/>
        <v>0</v>
      </c>
      <c r="AH38" s="298" t="b">
        <f t="shared" si="7"/>
        <v>0</v>
      </c>
      <c r="AI38" s="1061" t="b">
        <f t="shared" si="8"/>
        <v>0</v>
      </c>
      <c r="AJ38" s="7"/>
      <c r="AK38" s="7"/>
      <c r="AL38" s="7"/>
    </row>
    <row r="39" spans="1:38" x14ac:dyDescent="0.25">
      <c r="A39" s="2"/>
      <c r="B39" s="19"/>
      <c r="C39" s="19"/>
      <c r="D39" s="19"/>
      <c r="E39" s="932" t="str">
        <f>Translations!$B$753</f>
        <v xml:space="preserve">Flexicoking </v>
      </c>
      <c r="F39" s="26" t="s">
        <v>326</v>
      </c>
      <c r="G39" s="124">
        <v>16.600000000000001</v>
      </c>
      <c r="H39" s="243"/>
      <c r="I39" s="676"/>
      <c r="J39" s="680"/>
      <c r="K39" s="243"/>
      <c r="L39" s="243"/>
      <c r="M39" s="243"/>
      <c r="N39" s="676"/>
      <c r="O39" s="6"/>
      <c r="P39" s="1362"/>
      <c r="Q39" s="2"/>
      <c r="R39" s="2"/>
      <c r="S39" s="2"/>
      <c r="T39" s="2"/>
      <c r="U39" s="2"/>
      <c r="V39" s="2"/>
      <c r="W39" s="2"/>
      <c r="X39" s="2"/>
      <c r="Y39" s="7"/>
      <c r="Z39" s="7"/>
      <c r="AA39" s="7"/>
      <c r="AB39" s="7"/>
      <c r="AC39" s="1060" t="b">
        <f t="shared" si="9"/>
        <v>0</v>
      </c>
      <c r="AD39" s="298" t="b">
        <f t="shared" si="3"/>
        <v>0</v>
      </c>
      <c r="AE39" s="298" t="b">
        <f t="shared" si="4"/>
        <v>0</v>
      </c>
      <c r="AF39" s="298" t="b">
        <f t="shared" si="5"/>
        <v>0</v>
      </c>
      <c r="AG39" s="298" t="b">
        <f t="shared" si="6"/>
        <v>0</v>
      </c>
      <c r="AH39" s="298" t="b">
        <f t="shared" si="7"/>
        <v>0</v>
      </c>
      <c r="AI39" s="1061" t="b">
        <f t="shared" si="8"/>
        <v>0</v>
      </c>
      <c r="AJ39" s="7"/>
      <c r="AK39" s="7"/>
      <c r="AL39" s="7"/>
    </row>
    <row r="40" spans="1:38" ht="12.75" customHeight="1" x14ac:dyDescent="0.25">
      <c r="A40" s="2"/>
      <c r="B40" s="19"/>
      <c r="C40" s="19"/>
      <c r="D40" s="19"/>
      <c r="E40" s="932" t="str">
        <f>Translations!$B$754</f>
        <v xml:space="preserve">Kokskalcinering </v>
      </c>
      <c r="F40" s="26" t="s">
        <v>406</v>
      </c>
      <c r="G40" s="124">
        <v>12.75</v>
      </c>
      <c r="H40" s="243"/>
      <c r="I40" s="676"/>
      <c r="J40" s="680"/>
      <c r="K40" s="243"/>
      <c r="L40" s="243"/>
      <c r="M40" s="243"/>
      <c r="N40" s="676"/>
      <c r="O40" s="6"/>
      <c r="P40" s="1362"/>
      <c r="Q40" s="2"/>
      <c r="R40" s="2"/>
      <c r="S40" s="2"/>
      <c r="T40" s="2"/>
      <c r="U40" s="2"/>
      <c r="V40" s="2"/>
      <c r="W40" s="2"/>
      <c r="X40" s="2"/>
      <c r="Y40" s="7"/>
      <c r="Z40" s="7"/>
      <c r="AA40" s="7"/>
      <c r="AB40" s="7"/>
      <c r="AC40" s="1060" t="b">
        <f t="shared" si="9"/>
        <v>0</v>
      </c>
      <c r="AD40" s="298" t="b">
        <f t="shared" si="3"/>
        <v>0</v>
      </c>
      <c r="AE40" s="298" t="b">
        <f t="shared" si="4"/>
        <v>0</v>
      </c>
      <c r="AF40" s="298" t="b">
        <f t="shared" si="5"/>
        <v>0</v>
      </c>
      <c r="AG40" s="298" t="b">
        <f t="shared" si="6"/>
        <v>0</v>
      </c>
      <c r="AH40" s="298" t="b">
        <f t="shared" si="7"/>
        <v>0</v>
      </c>
      <c r="AI40" s="1061" t="b">
        <f t="shared" si="8"/>
        <v>0</v>
      </c>
      <c r="AJ40" s="7"/>
      <c r="AK40" s="7"/>
      <c r="AL40" s="7"/>
    </row>
    <row r="41" spans="1:38" ht="12.75" customHeight="1" x14ac:dyDescent="0.25">
      <c r="A41" s="2"/>
      <c r="B41" s="19"/>
      <c r="C41" s="19"/>
      <c r="D41" s="19"/>
      <c r="E41" s="932" t="str">
        <f>Translations!$B$755</f>
        <v>Fluidiserad katalytisk krackning</v>
      </c>
      <c r="F41" s="26" t="s">
        <v>326</v>
      </c>
      <c r="G41" s="124">
        <v>5.5</v>
      </c>
      <c r="H41" s="243"/>
      <c r="I41" s="676"/>
      <c r="J41" s="680"/>
      <c r="K41" s="243"/>
      <c r="L41" s="243"/>
      <c r="M41" s="243"/>
      <c r="N41" s="676"/>
      <c r="O41" s="6"/>
      <c r="P41" s="1362"/>
      <c r="Q41" s="2"/>
      <c r="R41" s="2"/>
      <c r="S41" s="2"/>
      <c r="T41" s="2"/>
      <c r="U41" s="2"/>
      <c r="V41" s="2"/>
      <c r="W41" s="2"/>
      <c r="X41" s="2"/>
      <c r="Y41" s="7"/>
      <c r="Z41" s="7"/>
      <c r="AA41" s="7"/>
      <c r="AB41" s="7"/>
      <c r="AC41" s="1060" t="b">
        <f t="shared" si="9"/>
        <v>0</v>
      </c>
      <c r="AD41" s="298" t="b">
        <f t="shared" si="3"/>
        <v>0</v>
      </c>
      <c r="AE41" s="298" t="b">
        <f t="shared" si="4"/>
        <v>0</v>
      </c>
      <c r="AF41" s="298" t="b">
        <f t="shared" si="5"/>
        <v>0</v>
      </c>
      <c r="AG41" s="298" t="b">
        <f t="shared" si="6"/>
        <v>0</v>
      </c>
      <c r="AH41" s="298" t="b">
        <f t="shared" si="7"/>
        <v>0</v>
      </c>
      <c r="AI41" s="1061" t="b">
        <f t="shared" si="8"/>
        <v>0</v>
      </c>
      <c r="AJ41" s="7"/>
      <c r="AK41" s="7"/>
      <c r="AL41" s="7"/>
    </row>
    <row r="42" spans="1:38" ht="12.75" customHeight="1" x14ac:dyDescent="0.25">
      <c r="A42" s="2"/>
      <c r="B42" s="19"/>
      <c r="C42" s="19"/>
      <c r="D42" s="19"/>
      <c r="E42" s="932" t="str">
        <f>Translations!$B$756</f>
        <v xml:space="preserve">Övrig katalytisk krackning </v>
      </c>
      <c r="F42" s="26" t="s">
        <v>326</v>
      </c>
      <c r="G42" s="124">
        <v>4.0999999999999996</v>
      </c>
      <c r="H42" s="243"/>
      <c r="I42" s="676"/>
      <c r="J42" s="680"/>
      <c r="K42" s="243"/>
      <c r="L42" s="243"/>
      <c r="M42" s="243"/>
      <c r="N42" s="676"/>
      <c r="O42" s="6"/>
      <c r="P42" s="1362"/>
      <c r="Q42" s="2"/>
      <c r="R42" s="2"/>
      <c r="S42" s="2"/>
      <c r="T42" s="2"/>
      <c r="U42" s="2"/>
      <c r="V42" s="2"/>
      <c r="W42" s="2"/>
      <c r="X42" s="2"/>
      <c r="Y42" s="7"/>
      <c r="Z42" s="7"/>
      <c r="AA42" s="7"/>
      <c r="AB42" s="7"/>
      <c r="AC42" s="1060" t="b">
        <f t="shared" si="9"/>
        <v>0</v>
      </c>
      <c r="AD42" s="298" t="b">
        <f t="shared" si="3"/>
        <v>0</v>
      </c>
      <c r="AE42" s="298" t="b">
        <f t="shared" si="4"/>
        <v>0</v>
      </c>
      <c r="AF42" s="298" t="b">
        <f t="shared" si="5"/>
        <v>0</v>
      </c>
      <c r="AG42" s="298" t="b">
        <f t="shared" si="6"/>
        <v>0</v>
      </c>
      <c r="AH42" s="298" t="b">
        <f t="shared" si="7"/>
        <v>0</v>
      </c>
      <c r="AI42" s="1061" t="b">
        <f t="shared" si="8"/>
        <v>0</v>
      </c>
      <c r="AJ42" s="7"/>
      <c r="AK42" s="7"/>
      <c r="AL42" s="7"/>
    </row>
    <row r="43" spans="1:38" ht="25.5" customHeight="1" x14ac:dyDescent="0.25">
      <c r="A43" s="2"/>
      <c r="B43" s="19"/>
      <c r="C43" s="19"/>
      <c r="D43" s="19"/>
      <c r="E43" s="932" t="str">
        <f>Translations!$B$757</f>
        <v xml:space="preserve">Vätekrackning av destillat/gasolja </v>
      </c>
      <c r="F43" s="26" t="s">
        <v>326</v>
      </c>
      <c r="G43" s="124">
        <v>2.85</v>
      </c>
      <c r="H43" s="243"/>
      <c r="I43" s="676"/>
      <c r="J43" s="680"/>
      <c r="K43" s="243"/>
      <c r="L43" s="243"/>
      <c r="M43" s="243"/>
      <c r="N43" s="676"/>
      <c r="O43" s="6"/>
      <c r="P43" s="1362"/>
      <c r="Q43" s="2"/>
      <c r="R43" s="2"/>
      <c r="S43" s="2"/>
      <c r="T43" s="2"/>
      <c r="U43" s="2"/>
      <c r="V43" s="2"/>
      <c r="W43" s="2"/>
      <c r="X43" s="2"/>
      <c r="Y43" s="7"/>
      <c r="Z43" s="7"/>
      <c r="AA43" s="7"/>
      <c r="AB43" s="7"/>
      <c r="AC43" s="1060" t="b">
        <f t="shared" si="9"/>
        <v>0</v>
      </c>
      <c r="AD43" s="298" t="b">
        <f t="shared" si="3"/>
        <v>0</v>
      </c>
      <c r="AE43" s="298" t="b">
        <f t="shared" si="4"/>
        <v>0</v>
      </c>
      <c r="AF43" s="298" t="b">
        <f t="shared" si="5"/>
        <v>0</v>
      </c>
      <c r="AG43" s="298" t="b">
        <f t="shared" si="6"/>
        <v>0</v>
      </c>
      <c r="AH43" s="298" t="b">
        <f t="shared" si="7"/>
        <v>0</v>
      </c>
      <c r="AI43" s="1061" t="b">
        <f t="shared" si="8"/>
        <v>0</v>
      </c>
      <c r="AJ43" s="7"/>
      <c r="AK43" s="7"/>
      <c r="AL43" s="7"/>
    </row>
    <row r="44" spans="1:38" ht="12.75" customHeight="1" x14ac:dyDescent="0.25">
      <c r="A44" s="2"/>
      <c r="B44" s="19"/>
      <c r="C44" s="19"/>
      <c r="D44" s="19"/>
      <c r="E44" s="932" t="str">
        <f>Translations!$B$758</f>
        <v xml:space="preserve">Vätekrackning av återstod </v>
      </c>
      <c r="F44" s="26" t="s">
        <v>326</v>
      </c>
      <c r="G44" s="124">
        <v>3.75</v>
      </c>
      <c r="H44" s="243"/>
      <c r="I44" s="676"/>
      <c r="J44" s="680"/>
      <c r="K44" s="243"/>
      <c r="L44" s="243"/>
      <c r="M44" s="243"/>
      <c r="N44" s="676"/>
      <c r="O44" s="6"/>
      <c r="P44" s="1362"/>
      <c r="Q44" s="2"/>
      <c r="R44" s="2"/>
      <c r="S44" s="2"/>
      <c r="T44" s="2"/>
      <c r="U44" s="2"/>
      <c r="V44" s="2"/>
      <c r="W44" s="2"/>
      <c r="X44" s="2"/>
      <c r="Y44" s="7"/>
      <c r="Z44" s="7"/>
      <c r="AA44" s="7"/>
      <c r="AB44" s="7"/>
      <c r="AC44" s="1060" t="b">
        <f t="shared" si="9"/>
        <v>0</v>
      </c>
      <c r="AD44" s="298" t="b">
        <f t="shared" si="3"/>
        <v>0</v>
      </c>
      <c r="AE44" s="298" t="b">
        <f t="shared" si="4"/>
        <v>0</v>
      </c>
      <c r="AF44" s="298" t="b">
        <f t="shared" si="5"/>
        <v>0</v>
      </c>
      <c r="AG44" s="298" t="b">
        <f t="shared" si="6"/>
        <v>0</v>
      </c>
      <c r="AH44" s="298" t="b">
        <f t="shared" si="7"/>
        <v>0</v>
      </c>
      <c r="AI44" s="1061" t="b">
        <f t="shared" si="8"/>
        <v>0</v>
      </c>
      <c r="AJ44" s="7"/>
      <c r="AK44" s="7"/>
      <c r="AL44" s="7"/>
    </row>
    <row r="45" spans="1:38" ht="25.5" customHeight="1" x14ac:dyDescent="0.25">
      <c r="A45" s="2"/>
      <c r="B45" s="19"/>
      <c r="C45" s="19"/>
      <c r="D45" s="19"/>
      <c r="E45" s="932" t="str">
        <f>Translations!$B$759</f>
        <v>Hydrering av nafta/bensin</v>
      </c>
      <c r="F45" s="26" t="s">
        <v>326</v>
      </c>
      <c r="G45" s="124">
        <v>1.1000000000000001</v>
      </c>
      <c r="H45" s="243"/>
      <c r="I45" s="676"/>
      <c r="J45" s="680"/>
      <c r="K45" s="243"/>
      <c r="L45" s="243"/>
      <c r="M45" s="243"/>
      <c r="N45" s="676"/>
      <c r="O45" s="6"/>
      <c r="P45" s="1362"/>
      <c r="Q45" s="2"/>
      <c r="R45" s="2"/>
      <c r="S45" s="2"/>
      <c r="T45" s="2"/>
      <c r="U45" s="2"/>
      <c r="V45" s="2"/>
      <c r="W45" s="2"/>
      <c r="X45" s="2"/>
      <c r="Y45" s="7"/>
      <c r="Z45" s="7"/>
      <c r="AA45" s="7"/>
      <c r="AB45" s="7"/>
      <c r="AC45" s="1060" t="b">
        <f t="shared" si="9"/>
        <v>0</v>
      </c>
      <c r="AD45" s="298" t="b">
        <f t="shared" si="3"/>
        <v>0</v>
      </c>
      <c r="AE45" s="298" t="b">
        <f t="shared" si="4"/>
        <v>0</v>
      </c>
      <c r="AF45" s="298" t="b">
        <f t="shared" si="5"/>
        <v>0</v>
      </c>
      <c r="AG45" s="298" t="b">
        <f t="shared" si="6"/>
        <v>0</v>
      </c>
      <c r="AH45" s="298" t="b">
        <f t="shared" si="7"/>
        <v>0</v>
      </c>
      <c r="AI45" s="1061" t="b">
        <f t="shared" si="8"/>
        <v>0</v>
      </c>
      <c r="AJ45" s="7"/>
      <c r="AK45" s="7"/>
      <c r="AL45" s="7"/>
    </row>
    <row r="46" spans="1:38" ht="25.5" customHeight="1" x14ac:dyDescent="0.25">
      <c r="A46" s="2"/>
      <c r="B46" s="19"/>
      <c r="C46" s="19"/>
      <c r="D46" s="19"/>
      <c r="E46" s="932" t="str">
        <f>Translations!$B$760</f>
        <v xml:space="preserve">Fotogen/diesel-hydrering </v>
      </c>
      <c r="F46" s="26" t="s">
        <v>326</v>
      </c>
      <c r="G46" s="124">
        <v>0.9</v>
      </c>
      <c r="H46" s="243"/>
      <c r="I46" s="676"/>
      <c r="J46" s="680"/>
      <c r="K46" s="243"/>
      <c r="L46" s="243"/>
      <c r="M46" s="243"/>
      <c r="N46" s="676"/>
      <c r="O46" s="6"/>
      <c r="P46" s="1362"/>
      <c r="Q46" s="2"/>
      <c r="R46" s="2"/>
      <c r="S46" s="2"/>
      <c r="T46" s="2"/>
      <c r="U46" s="2"/>
      <c r="V46" s="2"/>
      <c r="W46" s="2"/>
      <c r="X46" s="2"/>
      <c r="Y46" s="7"/>
      <c r="Z46" s="7"/>
      <c r="AA46" s="7"/>
      <c r="AB46" s="7"/>
      <c r="AC46" s="1060" t="b">
        <f t="shared" si="9"/>
        <v>0</v>
      </c>
      <c r="AD46" s="298" t="b">
        <f t="shared" si="3"/>
        <v>0</v>
      </c>
      <c r="AE46" s="298" t="b">
        <f t="shared" si="4"/>
        <v>0</v>
      </c>
      <c r="AF46" s="298" t="b">
        <f t="shared" si="5"/>
        <v>0</v>
      </c>
      <c r="AG46" s="298" t="b">
        <f t="shared" si="6"/>
        <v>0</v>
      </c>
      <c r="AH46" s="298" t="b">
        <f t="shared" si="7"/>
        <v>0</v>
      </c>
      <c r="AI46" s="1061" t="b">
        <f t="shared" si="8"/>
        <v>0</v>
      </c>
      <c r="AJ46" s="7"/>
      <c r="AK46" s="7"/>
      <c r="AL46" s="7"/>
    </row>
    <row r="47" spans="1:38" ht="12.75" customHeight="1" x14ac:dyDescent="0.25">
      <c r="A47" s="2"/>
      <c r="B47" s="19"/>
      <c r="C47" s="19"/>
      <c r="D47" s="19"/>
      <c r="E47" s="932" t="str">
        <f>Translations!$B$761</f>
        <v xml:space="preserve">Hydrering av återstod </v>
      </c>
      <c r="F47" s="26" t="s">
        <v>326</v>
      </c>
      <c r="G47" s="124">
        <v>1.55</v>
      </c>
      <c r="H47" s="243"/>
      <c r="I47" s="676"/>
      <c r="J47" s="680"/>
      <c r="K47" s="243"/>
      <c r="L47" s="243"/>
      <c r="M47" s="243"/>
      <c r="N47" s="676"/>
      <c r="O47" s="6"/>
      <c r="P47" s="1362"/>
      <c r="Q47" s="2"/>
      <c r="R47" s="2"/>
      <c r="S47" s="2"/>
      <c r="T47" s="2"/>
      <c r="U47" s="2"/>
      <c r="V47" s="2"/>
      <c r="W47" s="2"/>
      <c r="X47" s="2"/>
      <c r="Y47" s="7"/>
      <c r="Z47" s="7"/>
      <c r="AA47" s="7"/>
      <c r="AB47" s="7"/>
      <c r="AC47" s="1060" t="b">
        <f t="shared" si="9"/>
        <v>0</v>
      </c>
      <c r="AD47" s="298" t="b">
        <f t="shared" si="3"/>
        <v>0</v>
      </c>
      <c r="AE47" s="298" t="b">
        <f t="shared" si="4"/>
        <v>0</v>
      </c>
      <c r="AF47" s="298" t="b">
        <f t="shared" si="5"/>
        <v>0</v>
      </c>
      <c r="AG47" s="298" t="b">
        <f t="shared" si="6"/>
        <v>0</v>
      </c>
      <c r="AH47" s="298" t="b">
        <f t="shared" si="7"/>
        <v>0</v>
      </c>
      <c r="AI47" s="1061" t="b">
        <f t="shared" si="8"/>
        <v>0</v>
      </c>
      <c r="AJ47" s="7"/>
      <c r="AK47" s="7"/>
      <c r="AL47" s="7"/>
    </row>
    <row r="48" spans="1:38" ht="12.75" customHeight="1" x14ac:dyDescent="0.25">
      <c r="A48" s="2"/>
      <c r="B48" s="19"/>
      <c r="C48" s="19"/>
      <c r="D48" s="19"/>
      <c r="E48" s="932" t="str">
        <f>Translations!$B$762</f>
        <v>Hydrering av vakuumgasolja</v>
      </c>
      <c r="F48" s="26" t="s">
        <v>326</v>
      </c>
      <c r="G48" s="124">
        <v>0.9</v>
      </c>
      <c r="H48" s="243"/>
      <c r="I48" s="676"/>
      <c r="J48" s="680"/>
      <c r="K48" s="243"/>
      <c r="L48" s="243"/>
      <c r="M48" s="243"/>
      <c r="N48" s="676"/>
      <c r="O48" s="6"/>
      <c r="P48" s="1362"/>
      <c r="Q48" s="2"/>
      <c r="R48" s="2"/>
      <c r="S48" s="2"/>
      <c r="T48" s="2"/>
      <c r="U48" s="2"/>
      <c r="V48" s="2"/>
      <c r="W48" s="2"/>
      <c r="X48" s="2"/>
      <c r="Y48" s="7"/>
      <c r="Z48" s="7"/>
      <c r="AA48" s="7"/>
      <c r="AB48" s="7"/>
      <c r="AC48" s="1060" t="b">
        <f t="shared" si="9"/>
        <v>0</v>
      </c>
      <c r="AD48" s="298" t="b">
        <f t="shared" si="3"/>
        <v>0</v>
      </c>
      <c r="AE48" s="298" t="b">
        <f t="shared" si="4"/>
        <v>0</v>
      </c>
      <c r="AF48" s="298" t="b">
        <f t="shared" si="5"/>
        <v>0</v>
      </c>
      <c r="AG48" s="298" t="b">
        <f t="shared" si="6"/>
        <v>0</v>
      </c>
      <c r="AH48" s="298" t="b">
        <f t="shared" si="7"/>
        <v>0</v>
      </c>
      <c r="AI48" s="1061" t="b">
        <f t="shared" si="8"/>
        <v>0</v>
      </c>
      <c r="AJ48" s="7"/>
      <c r="AK48" s="7"/>
      <c r="AL48" s="7"/>
    </row>
    <row r="49" spans="1:38" ht="12.75" customHeight="1" x14ac:dyDescent="0.25">
      <c r="A49" s="2"/>
      <c r="B49" s="19"/>
      <c r="C49" s="19"/>
      <c r="D49" s="19"/>
      <c r="E49" s="932" t="str">
        <f>Translations!$B$763</f>
        <v xml:space="preserve">Vätgasproduktion </v>
      </c>
      <c r="F49" s="26" t="s">
        <v>406</v>
      </c>
      <c r="G49" s="124">
        <v>300</v>
      </c>
      <c r="H49" s="243"/>
      <c r="I49" s="676"/>
      <c r="J49" s="680"/>
      <c r="K49" s="243"/>
      <c r="L49" s="243"/>
      <c r="M49" s="243"/>
      <c r="N49" s="676"/>
      <c r="O49" s="6"/>
      <c r="P49" s="1362"/>
      <c r="Q49" s="2"/>
      <c r="R49" s="2"/>
      <c r="S49" s="2"/>
      <c r="T49" s="2"/>
      <c r="U49" s="2"/>
      <c r="V49" s="2"/>
      <c r="W49" s="2"/>
      <c r="X49" s="2"/>
      <c r="Y49" s="7"/>
      <c r="Z49" s="7"/>
      <c r="AA49" s="7"/>
      <c r="AB49" s="7"/>
      <c r="AC49" s="1060" t="b">
        <f t="shared" si="9"/>
        <v>0</v>
      </c>
      <c r="AD49" s="298" t="b">
        <f t="shared" si="3"/>
        <v>0</v>
      </c>
      <c r="AE49" s="298" t="b">
        <f t="shared" si="4"/>
        <v>0</v>
      </c>
      <c r="AF49" s="298" t="b">
        <f t="shared" si="5"/>
        <v>0</v>
      </c>
      <c r="AG49" s="298" t="b">
        <f t="shared" si="6"/>
        <v>0</v>
      </c>
      <c r="AH49" s="298" t="b">
        <f t="shared" si="7"/>
        <v>0</v>
      </c>
      <c r="AI49" s="1061" t="b">
        <f t="shared" si="8"/>
        <v>0</v>
      </c>
      <c r="AJ49" s="7"/>
      <c r="AK49" s="7"/>
      <c r="AL49" s="7"/>
    </row>
    <row r="50" spans="1:38" ht="12.75" customHeight="1" x14ac:dyDescent="0.25">
      <c r="A50" s="2"/>
      <c r="B50" s="19"/>
      <c r="C50" s="19"/>
      <c r="D50" s="19"/>
      <c r="E50" s="932" t="str">
        <f>Translations!$B$764</f>
        <v>Katalytisk reformering</v>
      </c>
      <c r="F50" s="26" t="s">
        <v>326</v>
      </c>
      <c r="G50" s="124">
        <v>4.95</v>
      </c>
      <c r="H50" s="243"/>
      <c r="I50" s="676"/>
      <c r="J50" s="680"/>
      <c r="K50" s="243"/>
      <c r="L50" s="243"/>
      <c r="M50" s="243"/>
      <c r="N50" s="676"/>
      <c r="O50" s="6"/>
      <c r="P50" s="1362"/>
      <c r="Q50" s="2"/>
      <c r="R50" s="2"/>
      <c r="S50" s="2"/>
      <c r="T50" s="2"/>
      <c r="U50" s="2"/>
      <c r="V50" s="2"/>
      <c r="W50" s="2"/>
      <c r="X50" s="2"/>
      <c r="Y50" s="7"/>
      <c r="Z50" s="7"/>
      <c r="AA50" s="7"/>
      <c r="AB50" s="7"/>
      <c r="AC50" s="1060" t="b">
        <f t="shared" si="9"/>
        <v>0</v>
      </c>
      <c r="AD50" s="298" t="b">
        <f t="shared" si="3"/>
        <v>0</v>
      </c>
      <c r="AE50" s="298" t="b">
        <f t="shared" si="4"/>
        <v>0</v>
      </c>
      <c r="AF50" s="298" t="b">
        <f t="shared" si="5"/>
        <v>0</v>
      </c>
      <c r="AG50" s="298" t="b">
        <f t="shared" si="6"/>
        <v>0</v>
      </c>
      <c r="AH50" s="298" t="b">
        <f t="shared" si="7"/>
        <v>0</v>
      </c>
      <c r="AI50" s="1061" t="b">
        <f t="shared" si="8"/>
        <v>0</v>
      </c>
      <c r="AJ50" s="7"/>
      <c r="AK50" s="7"/>
      <c r="AL50" s="7"/>
    </row>
    <row r="51" spans="1:38" x14ac:dyDescent="0.25">
      <c r="A51" s="2"/>
      <c r="B51" s="19"/>
      <c r="C51" s="19"/>
      <c r="D51" s="19"/>
      <c r="E51" s="932" t="str">
        <f>Translations!$B$765</f>
        <v xml:space="preserve">Alkylering </v>
      </c>
      <c r="F51" s="26" t="s">
        <v>406</v>
      </c>
      <c r="G51" s="124">
        <v>7.25</v>
      </c>
      <c r="H51" s="243"/>
      <c r="I51" s="676"/>
      <c r="J51" s="680"/>
      <c r="K51" s="243"/>
      <c r="L51" s="243"/>
      <c r="M51" s="243"/>
      <c r="N51" s="676"/>
      <c r="O51" s="6"/>
      <c r="P51" s="1362"/>
      <c r="Q51" s="2"/>
      <c r="R51" s="2"/>
      <c r="S51" s="2"/>
      <c r="T51" s="2"/>
      <c r="U51" s="2"/>
      <c r="V51" s="2"/>
      <c r="W51" s="2"/>
      <c r="X51" s="2"/>
      <c r="Y51" s="7"/>
      <c r="Z51" s="7"/>
      <c r="AA51" s="7"/>
      <c r="AB51" s="7"/>
      <c r="AC51" s="1060" t="b">
        <f t="shared" si="9"/>
        <v>0</v>
      </c>
      <c r="AD51" s="298" t="b">
        <f t="shared" si="3"/>
        <v>0</v>
      </c>
      <c r="AE51" s="298" t="b">
        <f t="shared" si="4"/>
        <v>0</v>
      </c>
      <c r="AF51" s="298" t="b">
        <f t="shared" si="5"/>
        <v>0</v>
      </c>
      <c r="AG51" s="298" t="b">
        <f t="shared" si="6"/>
        <v>0</v>
      </c>
      <c r="AH51" s="298" t="b">
        <f t="shared" si="7"/>
        <v>0</v>
      </c>
      <c r="AI51" s="1061" t="b">
        <f t="shared" si="8"/>
        <v>0</v>
      </c>
      <c r="AJ51" s="7"/>
      <c r="AK51" s="7"/>
      <c r="AL51" s="7"/>
    </row>
    <row r="52" spans="1:38" ht="12.75" customHeight="1" x14ac:dyDescent="0.25">
      <c r="A52" s="2"/>
      <c r="B52" s="19"/>
      <c r="C52" s="19"/>
      <c r="D52" s="19"/>
      <c r="E52" s="932" t="str">
        <f>Translations!$B$766</f>
        <v>C4-isomerisering</v>
      </c>
      <c r="F52" s="26" t="s">
        <v>1114</v>
      </c>
      <c r="G52" s="124">
        <v>3.25</v>
      </c>
      <c r="H52" s="243"/>
      <c r="I52" s="676"/>
      <c r="J52" s="680"/>
      <c r="K52" s="243"/>
      <c r="L52" s="243"/>
      <c r="M52" s="243"/>
      <c r="N52" s="676"/>
      <c r="O52" s="6"/>
      <c r="P52" s="1362"/>
      <c r="Q52" s="2"/>
      <c r="R52" s="2"/>
      <c r="S52" s="2"/>
      <c r="T52" s="2"/>
      <c r="U52" s="2"/>
      <c r="V52" s="2"/>
      <c r="W52" s="2"/>
      <c r="X52" s="2"/>
      <c r="Y52" s="7"/>
      <c r="Z52" s="7"/>
      <c r="AA52" s="7"/>
      <c r="AB52" s="7"/>
      <c r="AC52" s="1060" t="b">
        <f t="shared" si="9"/>
        <v>0</v>
      </c>
      <c r="AD52" s="298" t="b">
        <f t="shared" si="3"/>
        <v>0</v>
      </c>
      <c r="AE52" s="298" t="b">
        <f t="shared" si="4"/>
        <v>0</v>
      </c>
      <c r="AF52" s="298" t="b">
        <f t="shared" si="5"/>
        <v>0</v>
      </c>
      <c r="AG52" s="298" t="b">
        <f t="shared" si="6"/>
        <v>0</v>
      </c>
      <c r="AH52" s="298" t="b">
        <f t="shared" si="7"/>
        <v>0</v>
      </c>
      <c r="AI52" s="1061" t="b">
        <f t="shared" si="8"/>
        <v>0</v>
      </c>
      <c r="AJ52" s="7"/>
      <c r="AK52" s="7"/>
      <c r="AL52" s="7"/>
    </row>
    <row r="53" spans="1:38" ht="12.75" customHeight="1" x14ac:dyDescent="0.25">
      <c r="A53" s="2"/>
      <c r="B53" s="19"/>
      <c r="C53" s="19"/>
      <c r="D53" s="19"/>
      <c r="E53" s="932" t="str">
        <f>Translations!$B$767</f>
        <v>C5/C6-isomerisering</v>
      </c>
      <c r="F53" s="26" t="s">
        <v>1114</v>
      </c>
      <c r="G53" s="124">
        <v>2.85</v>
      </c>
      <c r="H53" s="243"/>
      <c r="I53" s="676"/>
      <c r="J53" s="680"/>
      <c r="K53" s="243"/>
      <c r="L53" s="243"/>
      <c r="M53" s="243"/>
      <c r="N53" s="676"/>
      <c r="O53" s="6"/>
      <c r="P53" s="1362"/>
      <c r="Q53" s="2"/>
      <c r="R53" s="2"/>
      <c r="S53" s="2"/>
      <c r="T53" s="2"/>
      <c r="U53" s="2"/>
      <c r="V53" s="2"/>
      <c r="W53" s="2"/>
      <c r="X53" s="2"/>
      <c r="Y53" s="7"/>
      <c r="Z53" s="7"/>
      <c r="AA53" s="7"/>
      <c r="AB53" s="7"/>
      <c r="AC53" s="1060" t="b">
        <f t="shared" si="9"/>
        <v>0</v>
      </c>
      <c r="AD53" s="298" t="b">
        <f t="shared" si="3"/>
        <v>0</v>
      </c>
      <c r="AE53" s="298" t="b">
        <f t="shared" si="4"/>
        <v>0</v>
      </c>
      <c r="AF53" s="298" t="b">
        <f t="shared" si="5"/>
        <v>0</v>
      </c>
      <c r="AG53" s="298" t="b">
        <f t="shared" si="6"/>
        <v>0</v>
      </c>
      <c r="AH53" s="298" t="b">
        <f t="shared" si="7"/>
        <v>0</v>
      </c>
      <c r="AI53" s="1061" t="b">
        <f t="shared" si="8"/>
        <v>0</v>
      </c>
      <c r="AJ53" s="7"/>
      <c r="AK53" s="7"/>
      <c r="AL53" s="7"/>
    </row>
    <row r="54" spans="1:38" ht="12.75" customHeight="1" x14ac:dyDescent="0.25">
      <c r="A54" s="2"/>
      <c r="B54" s="19"/>
      <c r="C54" s="19"/>
      <c r="D54" s="19"/>
      <c r="E54" s="932" t="str">
        <f>Translations!$B$768</f>
        <v xml:space="preserve">Produktion av oxygenerade föreningar </v>
      </c>
      <c r="F54" s="26" t="s">
        <v>406</v>
      </c>
      <c r="G54" s="124">
        <v>5.6</v>
      </c>
      <c r="H54" s="243"/>
      <c r="I54" s="676"/>
      <c r="J54" s="680"/>
      <c r="K54" s="243"/>
      <c r="L54" s="243"/>
      <c r="M54" s="243"/>
      <c r="N54" s="676"/>
      <c r="O54" s="6"/>
      <c r="P54" s="1362"/>
      <c r="Q54" s="2"/>
      <c r="R54" s="2"/>
      <c r="S54" s="2"/>
      <c r="T54" s="2"/>
      <c r="U54" s="2"/>
      <c r="V54" s="2"/>
      <c r="W54" s="2"/>
      <c r="X54" s="2"/>
      <c r="Y54" s="7"/>
      <c r="Z54" s="7"/>
      <c r="AA54" s="7"/>
      <c r="AB54" s="7"/>
      <c r="AC54" s="1060" t="b">
        <f t="shared" si="9"/>
        <v>0</v>
      </c>
      <c r="AD54" s="298" t="b">
        <f t="shared" si="3"/>
        <v>0</v>
      </c>
      <c r="AE54" s="298" t="b">
        <f t="shared" si="4"/>
        <v>0</v>
      </c>
      <c r="AF54" s="298" t="b">
        <f t="shared" si="5"/>
        <v>0</v>
      </c>
      <c r="AG54" s="298" t="b">
        <f t="shared" si="6"/>
        <v>0</v>
      </c>
      <c r="AH54" s="298" t="b">
        <f t="shared" si="7"/>
        <v>0</v>
      </c>
      <c r="AI54" s="1061" t="b">
        <f t="shared" si="8"/>
        <v>0</v>
      </c>
      <c r="AJ54" s="7"/>
      <c r="AK54" s="7"/>
      <c r="AL54" s="7"/>
    </row>
    <row r="55" spans="1:38" ht="12.75" customHeight="1" x14ac:dyDescent="0.25">
      <c r="A55" s="2"/>
      <c r="B55" s="19"/>
      <c r="C55" s="19"/>
      <c r="D55" s="19"/>
      <c r="E55" s="932" t="str">
        <f>Translations!$B$769</f>
        <v xml:space="preserve">Produktion av propylen </v>
      </c>
      <c r="F55" s="26" t="s">
        <v>326</v>
      </c>
      <c r="G55" s="124">
        <v>3.45</v>
      </c>
      <c r="H55" s="243"/>
      <c r="I55" s="676"/>
      <c r="J55" s="680"/>
      <c r="K55" s="243"/>
      <c r="L55" s="243"/>
      <c r="M55" s="243"/>
      <c r="N55" s="676"/>
      <c r="O55" s="6"/>
      <c r="P55" s="1362"/>
      <c r="Q55" s="2"/>
      <c r="R55" s="2"/>
      <c r="S55" s="2"/>
      <c r="T55" s="2"/>
      <c r="U55" s="2"/>
      <c r="V55" s="2"/>
      <c r="W55" s="2"/>
      <c r="X55" s="2"/>
      <c r="Y55" s="7"/>
      <c r="Z55" s="7"/>
      <c r="AA55" s="7"/>
      <c r="AB55" s="7"/>
      <c r="AC55" s="1060" t="b">
        <f t="shared" si="9"/>
        <v>0</v>
      </c>
      <c r="AD55" s="298" t="b">
        <f t="shared" si="3"/>
        <v>0</v>
      </c>
      <c r="AE55" s="298" t="b">
        <f t="shared" si="4"/>
        <v>0</v>
      </c>
      <c r="AF55" s="298" t="b">
        <f t="shared" si="5"/>
        <v>0</v>
      </c>
      <c r="AG55" s="298" t="b">
        <f t="shared" si="6"/>
        <v>0</v>
      </c>
      <c r="AH55" s="298" t="b">
        <f t="shared" si="7"/>
        <v>0</v>
      </c>
      <c r="AI55" s="1061" t="b">
        <f t="shared" si="8"/>
        <v>0</v>
      </c>
      <c r="AJ55" s="7"/>
      <c r="AK55" s="7"/>
      <c r="AL55" s="7"/>
    </row>
    <row r="56" spans="1:38" ht="12.75" customHeight="1" x14ac:dyDescent="0.25">
      <c r="A56" s="2"/>
      <c r="B56" s="19"/>
      <c r="C56" s="19"/>
      <c r="D56" s="19"/>
      <c r="E56" s="932" t="str">
        <f>Translations!$B$770</f>
        <v>Produktion av asfalt</v>
      </c>
      <c r="F56" s="26" t="s">
        <v>406</v>
      </c>
      <c r="G56" s="124">
        <v>2.1</v>
      </c>
      <c r="H56" s="243"/>
      <c r="I56" s="676"/>
      <c r="J56" s="680"/>
      <c r="K56" s="243"/>
      <c r="L56" s="243"/>
      <c r="M56" s="243"/>
      <c r="N56" s="676"/>
      <c r="O56" s="6"/>
      <c r="P56" s="1362"/>
      <c r="Q56" s="2"/>
      <c r="R56" s="2"/>
      <c r="S56" s="2"/>
      <c r="T56" s="2"/>
      <c r="U56" s="2"/>
      <c r="V56" s="2"/>
      <c r="W56" s="2"/>
      <c r="X56" s="2"/>
      <c r="Y56" s="7"/>
      <c r="Z56" s="7"/>
      <c r="AA56" s="7"/>
      <c r="AB56" s="7"/>
      <c r="AC56" s="1060" t="b">
        <f t="shared" si="9"/>
        <v>0</v>
      </c>
      <c r="AD56" s="298" t="b">
        <f t="shared" si="3"/>
        <v>0</v>
      </c>
      <c r="AE56" s="298" t="b">
        <f t="shared" si="4"/>
        <v>0</v>
      </c>
      <c r="AF56" s="298" t="b">
        <f t="shared" si="5"/>
        <v>0</v>
      </c>
      <c r="AG56" s="298" t="b">
        <f t="shared" si="6"/>
        <v>0</v>
      </c>
      <c r="AH56" s="298" t="b">
        <f t="shared" si="7"/>
        <v>0</v>
      </c>
      <c r="AI56" s="1061" t="b">
        <f t="shared" si="8"/>
        <v>0</v>
      </c>
      <c r="AJ56" s="7"/>
      <c r="AK56" s="7"/>
      <c r="AL56" s="7"/>
    </row>
    <row r="57" spans="1:38" ht="25.5" customHeight="1" x14ac:dyDescent="0.25">
      <c r="A57" s="2"/>
      <c r="B57" s="19"/>
      <c r="C57" s="19"/>
      <c r="D57" s="19"/>
      <c r="E57" s="932" t="str">
        <f>Translations!$B$771</f>
        <v>Blandning av polymermodifierad asfalt</v>
      </c>
      <c r="F57" s="26" t="s">
        <v>406</v>
      </c>
      <c r="G57" s="124">
        <v>0.55000000000000004</v>
      </c>
      <c r="H57" s="243"/>
      <c r="I57" s="676"/>
      <c r="J57" s="680"/>
      <c r="K57" s="243"/>
      <c r="L57" s="243"/>
      <c r="M57" s="243"/>
      <c r="N57" s="676"/>
      <c r="O57" s="6"/>
      <c r="P57" s="1362"/>
      <c r="Q57" s="2"/>
      <c r="R57" s="2"/>
      <c r="S57" s="2"/>
      <c r="T57" s="2"/>
      <c r="U57" s="2"/>
      <c r="V57" s="2"/>
      <c r="W57" s="2"/>
      <c r="X57" s="2"/>
      <c r="Y57" s="7"/>
      <c r="Z57" s="7"/>
      <c r="AA57" s="7"/>
      <c r="AB57" s="7"/>
      <c r="AC57" s="1060" t="b">
        <f t="shared" si="9"/>
        <v>0</v>
      </c>
      <c r="AD57" s="298" t="b">
        <f t="shared" si="3"/>
        <v>0</v>
      </c>
      <c r="AE57" s="298" t="b">
        <f t="shared" si="4"/>
        <v>0</v>
      </c>
      <c r="AF57" s="298" t="b">
        <f t="shared" si="5"/>
        <v>0</v>
      </c>
      <c r="AG57" s="298" t="b">
        <f t="shared" si="6"/>
        <v>0</v>
      </c>
      <c r="AH57" s="298" t="b">
        <f t="shared" si="7"/>
        <v>0</v>
      </c>
      <c r="AI57" s="1061" t="b">
        <f t="shared" si="8"/>
        <v>0</v>
      </c>
      <c r="AJ57" s="7"/>
      <c r="AK57" s="7"/>
      <c r="AL57" s="7"/>
    </row>
    <row r="58" spans="1:38" ht="12.75" customHeight="1" x14ac:dyDescent="0.25">
      <c r="A58" s="2"/>
      <c r="B58" s="19"/>
      <c r="C58" s="19"/>
      <c r="D58" s="19"/>
      <c r="E58" s="932" t="str">
        <f>Translations!$B$772</f>
        <v>Svavelåtervinning</v>
      </c>
      <c r="F58" s="26" t="s">
        <v>406</v>
      </c>
      <c r="G58" s="124">
        <v>18.600000000000001</v>
      </c>
      <c r="H58" s="243"/>
      <c r="I58" s="676"/>
      <c r="J58" s="680"/>
      <c r="K58" s="243"/>
      <c r="L58" s="243"/>
      <c r="M58" s="243"/>
      <c r="N58" s="676"/>
      <c r="O58" s="6"/>
      <c r="P58" s="1362"/>
      <c r="Q58" s="2"/>
      <c r="R58" s="2"/>
      <c r="S58" s="2"/>
      <c r="T58" s="2"/>
      <c r="U58" s="2"/>
      <c r="V58" s="2"/>
      <c r="W58" s="2"/>
      <c r="X58" s="2"/>
      <c r="Y58" s="7"/>
      <c r="Z58" s="7"/>
      <c r="AA58" s="7"/>
      <c r="AB58" s="7"/>
      <c r="AC58" s="1060" t="b">
        <f t="shared" si="9"/>
        <v>0</v>
      </c>
      <c r="AD58" s="298" t="b">
        <f t="shared" si="3"/>
        <v>0</v>
      </c>
      <c r="AE58" s="298" t="b">
        <f t="shared" si="4"/>
        <v>0</v>
      </c>
      <c r="AF58" s="298" t="b">
        <f t="shared" si="5"/>
        <v>0</v>
      </c>
      <c r="AG58" s="298" t="b">
        <f t="shared" si="6"/>
        <v>0</v>
      </c>
      <c r="AH58" s="298" t="b">
        <f t="shared" si="7"/>
        <v>0</v>
      </c>
      <c r="AI58" s="1061" t="b">
        <f t="shared" si="8"/>
        <v>0</v>
      </c>
      <c r="AJ58" s="7"/>
      <c r="AK58" s="7"/>
      <c r="AL58" s="7"/>
    </row>
    <row r="59" spans="1:38" ht="12.75" customHeight="1" x14ac:dyDescent="0.25">
      <c r="A59" s="2"/>
      <c r="B59" s="19"/>
      <c r="C59" s="19"/>
      <c r="D59" s="19"/>
      <c r="E59" s="932" t="str">
        <f>Translations!$B$773</f>
        <v>Lösningsmedelsextraktion av aromater (ASE)</v>
      </c>
      <c r="F59" s="26" t="s">
        <v>326</v>
      </c>
      <c r="G59" s="124">
        <v>5.25</v>
      </c>
      <c r="H59" s="243"/>
      <c r="I59" s="676"/>
      <c r="J59" s="680"/>
      <c r="K59" s="243"/>
      <c r="L59" s="243"/>
      <c r="M59" s="243"/>
      <c r="N59" s="676"/>
      <c r="O59" s="6"/>
      <c r="P59" s="1362"/>
      <c r="Q59" s="2"/>
      <c r="R59" s="2"/>
      <c r="S59" s="2"/>
      <c r="T59" s="2"/>
      <c r="U59" s="2"/>
      <c r="V59" s="2"/>
      <c r="W59" s="2"/>
      <c r="X59" s="2"/>
      <c r="Y59" s="7"/>
      <c r="Z59" s="7"/>
      <c r="AA59" s="7"/>
      <c r="AB59" s="7"/>
      <c r="AC59" s="1060" t="b">
        <f t="shared" si="9"/>
        <v>0</v>
      </c>
      <c r="AD59" s="298" t="b">
        <f t="shared" si="3"/>
        <v>0</v>
      </c>
      <c r="AE59" s="298" t="b">
        <f t="shared" si="4"/>
        <v>0</v>
      </c>
      <c r="AF59" s="298" t="b">
        <f t="shared" si="5"/>
        <v>0</v>
      </c>
      <c r="AG59" s="298" t="b">
        <f t="shared" si="6"/>
        <v>0</v>
      </c>
      <c r="AH59" s="298" t="b">
        <f t="shared" si="7"/>
        <v>0</v>
      </c>
      <c r="AI59" s="1061" t="b">
        <f t="shared" si="8"/>
        <v>0</v>
      </c>
      <c r="AJ59" s="7"/>
      <c r="AK59" s="7"/>
      <c r="AL59" s="7"/>
    </row>
    <row r="60" spans="1:38" ht="12.75" customHeight="1" x14ac:dyDescent="0.25">
      <c r="A60" s="2"/>
      <c r="B60" s="19"/>
      <c r="C60" s="19"/>
      <c r="D60" s="19"/>
      <c r="E60" s="932" t="str">
        <f>Translations!$B$774</f>
        <v>Hydrodealkylering</v>
      </c>
      <c r="F60" s="26" t="s">
        <v>326</v>
      </c>
      <c r="G60" s="124">
        <v>2.4500000000000002</v>
      </c>
      <c r="H60" s="243"/>
      <c r="I60" s="676"/>
      <c r="J60" s="680"/>
      <c r="K60" s="243"/>
      <c r="L60" s="243"/>
      <c r="M60" s="243"/>
      <c r="N60" s="676"/>
      <c r="O60" s="6"/>
      <c r="P60" s="1362"/>
      <c r="Q60" s="2"/>
      <c r="R60" s="2"/>
      <c r="S60" s="2"/>
      <c r="T60" s="2"/>
      <c r="U60" s="2"/>
      <c r="V60" s="2"/>
      <c r="W60" s="2"/>
      <c r="X60" s="2"/>
      <c r="Y60" s="7"/>
      <c r="Z60" s="7"/>
      <c r="AA60" s="7"/>
      <c r="AB60" s="7"/>
      <c r="AC60" s="1060" t="b">
        <f t="shared" si="9"/>
        <v>0</v>
      </c>
      <c r="AD60" s="298" t="b">
        <f t="shared" si="3"/>
        <v>0</v>
      </c>
      <c r="AE60" s="298" t="b">
        <f t="shared" si="4"/>
        <v>0</v>
      </c>
      <c r="AF60" s="298" t="b">
        <f t="shared" si="5"/>
        <v>0</v>
      </c>
      <c r="AG60" s="298" t="b">
        <f t="shared" si="6"/>
        <v>0</v>
      </c>
      <c r="AH60" s="298" t="b">
        <f t="shared" si="7"/>
        <v>0</v>
      </c>
      <c r="AI60" s="1061" t="b">
        <f t="shared" si="8"/>
        <v>0</v>
      </c>
      <c r="AJ60" s="7"/>
      <c r="AK60" s="7"/>
      <c r="AL60" s="7"/>
    </row>
    <row r="61" spans="1:38" x14ac:dyDescent="0.25">
      <c r="A61" s="2"/>
      <c r="B61" s="19"/>
      <c r="C61" s="19"/>
      <c r="D61" s="19"/>
      <c r="E61" s="932" t="str">
        <f>Translations!$B$775</f>
        <v>TDP/TDA</v>
      </c>
      <c r="F61" s="26" t="s">
        <v>326</v>
      </c>
      <c r="G61" s="124">
        <v>1.85</v>
      </c>
      <c r="H61" s="243"/>
      <c r="I61" s="676"/>
      <c r="J61" s="680"/>
      <c r="K61" s="243"/>
      <c r="L61" s="243"/>
      <c r="M61" s="243"/>
      <c r="N61" s="676"/>
      <c r="O61" s="6"/>
      <c r="P61" s="1362"/>
      <c r="Q61" s="2"/>
      <c r="R61" s="2"/>
      <c r="S61" s="2"/>
      <c r="T61" s="2"/>
      <c r="U61" s="2"/>
      <c r="V61" s="2"/>
      <c r="W61" s="2"/>
      <c r="X61" s="2"/>
      <c r="Y61" s="7"/>
      <c r="Z61" s="7"/>
      <c r="AA61" s="7"/>
      <c r="AB61" s="7"/>
      <c r="AC61" s="1060" t="b">
        <f t="shared" si="9"/>
        <v>0</v>
      </c>
      <c r="AD61" s="298" t="b">
        <f t="shared" si="3"/>
        <v>0</v>
      </c>
      <c r="AE61" s="298" t="b">
        <f t="shared" si="4"/>
        <v>0</v>
      </c>
      <c r="AF61" s="298" t="b">
        <f t="shared" si="5"/>
        <v>0</v>
      </c>
      <c r="AG61" s="298" t="b">
        <f t="shared" si="6"/>
        <v>0</v>
      </c>
      <c r="AH61" s="298" t="b">
        <f t="shared" si="7"/>
        <v>0</v>
      </c>
      <c r="AI61" s="1061" t="b">
        <f t="shared" si="8"/>
        <v>0</v>
      </c>
      <c r="AJ61" s="7"/>
      <c r="AK61" s="7"/>
      <c r="AL61" s="7"/>
    </row>
    <row r="62" spans="1:38" ht="12.75" customHeight="1" x14ac:dyDescent="0.25">
      <c r="A62" s="2"/>
      <c r="B62" s="19"/>
      <c r="C62" s="19"/>
      <c r="D62" s="19"/>
      <c r="E62" s="932" t="str">
        <f>Translations!$B$776</f>
        <v>Produktion av cyklohexan</v>
      </c>
      <c r="F62" s="26" t="s">
        <v>406</v>
      </c>
      <c r="G62" s="124">
        <v>3</v>
      </c>
      <c r="H62" s="243"/>
      <c r="I62" s="676"/>
      <c r="J62" s="680"/>
      <c r="K62" s="243"/>
      <c r="L62" s="243"/>
      <c r="M62" s="243"/>
      <c r="N62" s="676"/>
      <c r="O62" s="6"/>
      <c r="P62" s="1362"/>
      <c r="Q62" s="2"/>
      <c r="R62" s="2"/>
      <c r="S62" s="2"/>
      <c r="T62" s="2"/>
      <c r="U62" s="2"/>
      <c r="V62" s="2"/>
      <c r="W62" s="2"/>
      <c r="X62" s="2"/>
      <c r="Y62" s="7"/>
      <c r="Z62" s="7"/>
      <c r="AA62" s="7"/>
      <c r="AB62" s="7"/>
      <c r="AC62" s="1060" t="b">
        <f t="shared" si="9"/>
        <v>0</v>
      </c>
      <c r="AD62" s="298" t="b">
        <f t="shared" si="3"/>
        <v>0</v>
      </c>
      <c r="AE62" s="298" t="b">
        <f t="shared" si="4"/>
        <v>0</v>
      </c>
      <c r="AF62" s="298" t="b">
        <f t="shared" si="5"/>
        <v>0</v>
      </c>
      <c r="AG62" s="298" t="b">
        <f t="shared" si="6"/>
        <v>0</v>
      </c>
      <c r="AH62" s="298" t="b">
        <f t="shared" si="7"/>
        <v>0</v>
      </c>
      <c r="AI62" s="1061" t="b">
        <f t="shared" si="8"/>
        <v>0</v>
      </c>
      <c r="AJ62" s="7"/>
      <c r="AK62" s="7"/>
      <c r="AL62" s="7"/>
    </row>
    <row r="63" spans="1:38" ht="12.75" customHeight="1" x14ac:dyDescent="0.25">
      <c r="A63" s="2"/>
      <c r="B63" s="19"/>
      <c r="C63" s="19"/>
      <c r="D63" s="19"/>
      <c r="E63" s="932" t="str">
        <f>Translations!$B$777</f>
        <v>Isomerisering av xylen</v>
      </c>
      <c r="F63" s="26" t="s">
        <v>326</v>
      </c>
      <c r="G63" s="124">
        <v>1.85</v>
      </c>
      <c r="H63" s="243"/>
      <c r="I63" s="676"/>
      <c r="J63" s="680"/>
      <c r="K63" s="243"/>
      <c r="L63" s="243"/>
      <c r="M63" s="243"/>
      <c r="N63" s="676"/>
      <c r="O63" s="6"/>
      <c r="P63" s="1362"/>
      <c r="Q63" s="2"/>
      <c r="R63" s="2"/>
      <c r="S63" s="2"/>
      <c r="T63" s="2"/>
      <c r="U63" s="2"/>
      <c r="V63" s="2"/>
      <c r="W63" s="2"/>
      <c r="X63" s="2"/>
      <c r="Y63" s="7"/>
      <c r="Z63" s="7"/>
      <c r="AA63" s="7"/>
      <c r="AB63" s="7"/>
      <c r="AC63" s="1060" t="b">
        <f t="shared" si="9"/>
        <v>0</v>
      </c>
      <c r="AD63" s="298" t="b">
        <f t="shared" si="3"/>
        <v>0</v>
      </c>
      <c r="AE63" s="298" t="b">
        <f t="shared" si="4"/>
        <v>0</v>
      </c>
      <c r="AF63" s="298" t="b">
        <f t="shared" si="5"/>
        <v>0</v>
      </c>
      <c r="AG63" s="298" t="b">
        <f t="shared" si="6"/>
        <v>0</v>
      </c>
      <c r="AH63" s="298" t="b">
        <f t="shared" si="7"/>
        <v>0</v>
      </c>
      <c r="AI63" s="1061" t="b">
        <f t="shared" si="8"/>
        <v>0</v>
      </c>
      <c r="AJ63" s="7"/>
      <c r="AK63" s="7"/>
      <c r="AL63" s="7"/>
    </row>
    <row r="64" spans="1:38" ht="12.75" customHeight="1" x14ac:dyDescent="0.25">
      <c r="A64" s="2"/>
      <c r="B64" s="19"/>
      <c r="C64" s="19"/>
      <c r="D64" s="19"/>
      <c r="E64" s="932" t="str">
        <f>Translations!$B$778</f>
        <v>Produktion av paraxylen</v>
      </c>
      <c r="F64" s="26" t="s">
        <v>406</v>
      </c>
      <c r="G64" s="124">
        <v>6.4</v>
      </c>
      <c r="H64" s="243"/>
      <c r="I64" s="676"/>
      <c r="J64" s="680"/>
      <c r="K64" s="243"/>
      <c r="L64" s="243"/>
      <c r="M64" s="243"/>
      <c r="N64" s="676"/>
      <c r="O64" s="6"/>
      <c r="P64" s="1362"/>
      <c r="Q64" s="2"/>
      <c r="R64" s="2"/>
      <c r="S64" s="2"/>
      <c r="T64" s="2"/>
      <c r="U64" s="2"/>
      <c r="V64" s="2"/>
      <c r="W64" s="2"/>
      <c r="X64" s="2"/>
      <c r="Y64" s="7"/>
      <c r="Z64" s="7"/>
      <c r="AA64" s="7"/>
      <c r="AB64" s="7"/>
      <c r="AC64" s="1060" t="b">
        <f t="shared" si="9"/>
        <v>0</v>
      </c>
      <c r="AD64" s="298" t="b">
        <f t="shared" si="3"/>
        <v>0</v>
      </c>
      <c r="AE64" s="298" t="b">
        <f t="shared" si="4"/>
        <v>0</v>
      </c>
      <c r="AF64" s="298" t="b">
        <f t="shared" si="5"/>
        <v>0</v>
      </c>
      <c r="AG64" s="298" t="b">
        <f t="shared" si="6"/>
        <v>0</v>
      </c>
      <c r="AH64" s="298" t="b">
        <f t="shared" si="7"/>
        <v>0</v>
      </c>
      <c r="AI64" s="1061" t="b">
        <f t="shared" si="8"/>
        <v>0</v>
      </c>
      <c r="AJ64" s="7"/>
      <c r="AK64" s="7"/>
      <c r="AL64" s="7"/>
    </row>
    <row r="65" spans="1:38" ht="12.75" customHeight="1" x14ac:dyDescent="0.25">
      <c r="A65" s="2"/>
      <c r="B65" s="19"/>
      <c r="C65" s="19"/>
      <c r="D65" s="19"/>
      <c r="E65" s="932" t="str">
        <f>Translations!$B$779</f>
        <v>Produktion av metaxylen</v>
      </c>
      <c r="F65" s="26" t="s">
        <v>406</v>
      </c>
      <c r="G65" s="124">
        <v>11.1</v>
      </c>
      <c r="H65" s="243"/>
      <c r="I65" s="676"/>
      <c r="J65" s="680"/>
      <c r="K65" s="243"/>
      <c r="L65" s="243"/>
      <c r="M65" s="243"/>
      <c r="N65" s="676"/>
      <c r="O65" s="6"/>
      <c r="P65" s="1362"/>
      <c r="Q65" s="2"/>
      <c r="R65" s="2"/>
      <c r="S65" s="2"/>
      <c r="T65" s="2"/>
      <c r="U65" s="2"/>
      <c r="V65" s="2"/>
      <c r="W65" s="2"/>
      <c r="X65" s="2"/>
      <c r="Y65" s="7"/>
      <c r="Z65" s="7"/>
      <c r="AA65" s="7"/>
      <c r="AB65" s="7"/>
      <c r="AC65" s="1060" t="b">
        <f t="shared" si="9"/>
        <v>0</v>
      </c>
      <c r="AD65" s="298" t="b">
        <f t="shared" si="3"/>
        <v>0</v>
      </c>
      <c r="AE65" s="298" t="b">
        <f t="shared" si="4"/>
        <v>0</v>
      </c>
      <c r="AF65" s="298" t="b">
        <f t="shared" si="5"/>
        <v>0</v>
      </c>
      <c r="AG65" s="298" t="b">
        <f t="shared" si="6"/>
        <v>0</v>
      </c>
      <c r="AH65" s="298" t="b">
        <f t="shared" si="7"/>
        <v>0</v>
      </c>
      <c r="AI65" s="1061" t="b">
        <f t="shared" si="8"/>
        <v>0</v>
      </c>
      <c r="AJ65" s="7"/>
      <c r="AK65" s="7"/>
      <c r="AL65" s="7"/>
    </row>
    <row r="66" spans="1:38" ht="12.75" customHeight="1" x14ac:dyDescent="0.25">
      <c r="A66" s="2"/>
      <c r="B66" s="19"/>
      <c r="C66" s="19"/>
      <c r="D66" s="19"/>
      <c r="E66" s="932" t="str">
        <f>Translations!$B$780</f>
        <v>Produktion av ftalsyraanhydrid</v>
      </c>
      <c r="F66" s="26" t="s">
        <v>406</v>
      </c>
      <c r="G66" s="124">
        <v>14.4</v>
      </c>
      <c r="H66" s="243"/>
      <c r="I66" s="676"/>
      <c r="J66" s="680"/>
      <c r="K66" s="243"/>
      <c r="L66" s="243"/>
      <c r="M66" s="243"/>
      <c r="N66" s="676"/>
      <c r="O66" s="6"/>
      <c r="P66" s="1362"/>
      <c r="Q66" s="2"/>
      <c r="R66" s="2"/>
      <c r="S66" s="2"/>
      <c r="T66" s="2"/>
      <c r="U66" s="2"/>
      <c r="V66" s="2"/>
      <c r="W66" s="2"/>
      <c r="X66" s="2"/>
      <c r="Y66" s="7"/>
      <c r="Z66" s="7"/>
      <c r="AA66" s="7"/>
      <c r="AB66" s="7"/>
      <c r="AC66" s="1060" t="b">
        <f t="shared" si="9"/>
        <v>0</v>
      </c>
      <c r="AD66" s="298" t="b">
        <f t="shared" si="3"/>
        <v>0</v>
      </c>
      <c r="AE66" s="298" t="b">
        <f t="shared" si="4"/>
        <v>0</v>
      </c>
      <c r="AF66" s="298" t="b">
        <f t="shared" si="5"/>
        <v>0</v>
      </c>
      <c r="AG66" s="298" t="b">
        <f t="shared" si="6"/>
        <v>0</v>
      </c>
      <c r="AH66" s="298" t="b">
        <f t="shared" si="7"/>
        <v>0</v>
      </c>
      <c r="AI66" s="1061" t="b">
        <f t="shared" si="8"/>
        <v>0</v>
      </c>
      <c r="AJ66" s="7"/>
      <c r="AK66" s="7"/>
      <c r="AL66" s="7"/>
    </row>
    <row r="67" spans="1:38" ht="12.75" customHeight="1" x14ac:dyDescent="0.25">
      <c r="A67" s="2"/>
      <c r="B67" s="19"/>
      <c r="C67" s="19"/>
      <c r="D67" s="19"/>
      <c r="E67" s="932" t="str">
        <f>Translations!$B$781</f>
        <v>Produktion av maleinsyraanhydrid</v>
      </c>
      <c r="F67" s="26" t="s">
        <v>406</v>
      </c>
      <c r="G67" s="124">
        <v>20.8</v>
      </c>
      <c r="H67" s="243"/>
      <c r="I67" s="676"/>
      <c r="J67" s="680"/>
      <c r="K67" s="243"/>
      <c r="L67" s="243"/>
      <c r="M67" s="243"/>
      <c r="N67" s="676"/>
      <c r="O67" s="6"/>
      <c r="P67" s="1362"/>
      <c r="Q67" s="2"/>
      <c r="R67" s="2"/>
      <c r="S67" s="2"/>
      <c r="T67" s="2"/>
      <c r="U67" s="2"/>
      <c r="V67" s="2"/>
      <c r="W67" s="2"/>
      <c r="X67" s="2"/>
      <c r="Y67" s="7"/>
      <c r="Z67" s="7"/>
      <c r="AA67" s="7"/>
      <c r="AB67" s="7"/>
      <c r="AC67" s="1060" t="b">
        <f t="shared" si="9"/>
        <v>0</v>
      </c>
      <c r="AD67" s="298" t="b">
        <f t="shared" si="3"/>
        <v>0</v>
      </c>
      <c r="AE67" s="298" t="b">
        <f t="shared" si="4"/>
        <v>0</v>
      </c>
      <c r="AF67" s="298" t="b">
        <f t="shared" si="5"/>
        <v>0</v>
      </c>
      <c r="AG67" s="298" t="b">
        <f t="shared" si="6"/>
        <v>0</v>
      </c>
      <c r="AH67" s="298" t="b">
        <f t="shared" si="7"/>
        <v>0</v>
      </c>
      <c r="AI67" s="1061" t="b">
        <f t="shared" si="8"/>
        <v>0</v>
      </c>
      <c r="AJ67" s="7"/>
      <c r="AK67" s="7"/>
      <c r="AL67" s="7"/>
    </row>
    <row r="68" spans="1:38" ht="12.75" customHeight="1" x14ac:dyDescent="0.25">
      <c r="A68" s="2"/>
      <c r="B68" s="19"/>
      <c r="C68" s="19"/>
      <c r="D68" s="19"/>
      <c r="E68" s="932" t="str">
        <f>Translations!$B$782</f>
        <v>Produktion av etylbensen</v>
      </c>
      <c r="F68" s="26" t="s">
        <v>406</v>
      </c>
      <c r="G68" s="124">
        <v>1.55</v>
      </c>
      <c r="H68" s="243"/>
      <c r="I68" s="676"/>
      <c r="J68" s="680"/>
      <c r="K68" s="243"/>
      <c r="L68" s="243"/>
      <c r="M68" s="243"/>
      <c r="N68" s="676"/>
      <c r="O68" s="6"/>
      <c r="P68" s="1362"/>
      <c r="Q68" s="2"/>
      <c r="R68" s="2"/>
      <c r="S68" s="2"/>
      <c r="T68" s="2"/>
      <c r="U68" s="2"/>
      <c r="V68" s="2"/>
      <c r="W68" s="2"/>
      <c r="X68" s="2"/>
      <c r="Y68" s="7"/>
      <c r="Z68" s="7"/>
      <c r="AA68" s="7"/>
      <c r="AB68" s="7"/>
      <c r="AC68" s="1060" t="b">
        <f t="shared" si="9"/>
        <v>0</v>
      </c>
      <c r="AD68" s="298" t="b">
        <f t="shared" si="3"/>
        <v>0</v>
      </c>
      <c r="AE68" s="298" t="b">
        <f t="shared" si="4"/>
        <v>0</v>
      </c>
      <c r="AF68" s="298" t="b">
        <f t="shared" si="5"/>
        <v>0</v>
      </c>
      <c r="AG68" s="298" t="b">
        <f t="shared" si="6"/>
        <v>0</v>
      </c>
      <c r="AH68" s="298" t="b">
        <f t="shared" si="7"/>
        <v>0</v>
      </c>
      <c r="AI68" s="1061" t="b">
        <f t="shared" si="8"/>
        <v>0</v>
      </c>
      <c r="AJ68" s="7"/>
      <c r="AK68" s="7"/>
      <c r="AL68" s="7"/>
    </row>
    <row r="69" spans="1:38" ht="12.75" customHeight="1" x14ac:dyDescent="0.25">
      <c r="A69" s="2"/>
      <c r="B69" s="19"/>
      <c r="C69" s="19"/>
      <c r="D69" s="19"/>
      <c r="E69" s="932" t="str">
        <f>Translations!$B$783</f>
        <v>Produktion av kumen</v>
      </c>
      <c r="F69" s="26" t="s">
        <v>406</v>
      </c>
      <c r="G69" s="124">
        <v>5</v>
      </c>
      <c r="H69" s="243"/>
      <c r="I69" s="676"/>
      <c r="J69" s="680"/>
      <c r="K69" s="243"/>
      <c r="L69" s="243"/>
      <c r="M69" s="243"/>
      <c r="N69" s="676"/>
      <c r="O69" s="6"/>
      <c r="P69" s="1362"/>
      <c r="Q69" s="2"/>
      <c r="R69" s="2"/>
      <c r="S69" s="2"/>
      <c r="T69" s="2"/>
      <c r="U69" s="2"/>
      <c r="V69" s="2"/>
      <c r="W69" s="2"/>
      <c r="X69" s="2"/>
      <c r="Y69" s="7"/>
      <c r="Z69" s="7"/>
      <c r="AA69" s="7"/>
      <c r="AB69" s="7"/>
      <c r="AC69" s="1060" t="b">
        <f t="shared" si="9"/>
        <v>0</v>
      </c>
      <c r="AD69" s="298" t="b">
        <f t="shared" si="3"/>
        <v>0</v>
      </c>
      <c r="AE69" s="298" t="b">
        <f t="shared" si="4"/>
        <v>0</v>
      </c>
      <c r="AF69" s="298" t="b">
        <f t="shared" si="5"/>
        <v>0</v>
      </c>
      <c r="AG69" s="298" t="b">
        <f t="shared" si="6"/>
        <v>0</v>
      </c>
      <c r="AH69" s="298" t="b">
        <f t="shared" si="7"/>
        <v>0</v>
      </c>
      <c r="AI69" s="1061" t="b">
        <f t="shared" si="8"/>
        <v>0</v>
      </c>
      <c r="AJ69" s="7"/>
      <c r="AK69" s="7"/>
      <c r="AL69" s="7"/>
    </row>
    <row r="70" spans="1:38" ht="12.75" customHeight="1" x14ac:dyDescent="0.25">
      <c r="A70" s="2"/>
      <c r="B70" s="19"/>
      <c r="C70" s="19"/>
      <c r="D70" s="19"/>
      <c r="E70" s="932" t="str">
        <f>Translations!$B$784</f>
        <v>Produktion av fenol</v>
      </c>
      <c r="F70" s="26" t="s">
        <v>406</v>
      </c>
      <c r="G70" s="124">
        <v>1.1499999999999999</v>
      </c>
      <c r="H70" s="243"/>
      <c r="I70" s="676"/>
      <c r="J70" s="680"/>
      <c r="K70" s="243"/>
      <c r="L70" s="243"/>
      <c r="M70" s="243"/>
      <c r="N70" s="676"/>
      <c r="O70" s="6"/>
      <c r="P70" s="1362"/>
      <c r="Q70" s="2"/>
      <c r="R70" s="2"/>
      <c r="S70" s="2"/>
      <c r="T70" s="2"/>
      <c r="U70" s="2"/>
      <c r="V70" s="2"/>
      <c r="W70" s="2"/>
      <c r="X70" s="2"/>
      <c r="Y70" s="7"/>
      <c r="Z70" s="7"/>
      <c r="AA70" s="7"/>
      <c r="AB70" s="7"/>
      <c r="AC70" s="1060" t="b">
        <f t="shared" si="9"/>
        <v>0</v>
      </c>
      <c r="AD70" s="298" t="b">
        <f t="shared" si="3"/>
        <v>0</v>
      </c>
      <c r="AE70" s="298" t="b">
        <f t="shared" si="4"/>
        <v>0</v>
      </c>
      <c r="AF70" s="298" t="b">
        <f t="shared" si="5"/>
        <v>0</v>
      </c>
      <c r="AG70" s="298" t="b">
        <f t="shared" si="6"/>
        <v>0</v>
      </c>
      <c r="AH70" s="298" t="b">
        <f t="shared" si="7"/>
        <v>0</v>
      </c>
      <c r="AI70" s="1061" t="b">
        <f t="shared" si="8"/>
        <v>0</v>
      </c>
      <c r="AJ70" s="7"/>
      <c r="AK70" s="7"/>
      <c r="AL70" s="7"/>
    </row>
    <row r="71" spans="1:38" ht="12.75" customHeight="1" x14ac:dyDescent="0.25">
      <c r="A71" s="2"/>
      <c r="B71" s="19"/>
      <c r="C71" s="19"/>
      <c r="D71" s="19"/>
      <c r="E71" s="932" t="str">
        <f>Translations!$B$785</f>
        <v>Extraktion av smörjoljor</v>
      </c>
      <c r="F71" s="26" t="s">
        <v>326</v>
      </c>
      <c r="G71" s="124">
        <v>2.1</v>
      </c>
      <c r="H71" s="243"/>
      <c r="I71" s="676"/>
      <c r="J71" s="680"/>
      <c r="K71" s="243"/>
      <c r="L71" s="243"/>
      <c r="M71" s="243"/>
      <c r="N71" s="676"/>
      <c r="O71" s="6"/>
      <c r="P71" s="1362"/>
      <c r="Q71" s="2"/>
      <c r="R71" s="2"/>
      <c r="S71" s="2"/>
      <c r="T71" s="2"/>
      <c r="U71" s="2"/>
      <c r="V71" s="2"/>
      <c r="W71" s="2"/>
      <c r="X71" s="2"/>
      <c r="Y71" s="7"/>
      <c r="Z71" s="7"/>
      <c r="AA71" s="7"/>
      <c r="AB71" s="7"/>
      <c r="AC71" s="1060" t="b">
        <f t="shared" si="9"/>
        <v>0</v>
      </c>
      <c r="AD71" s="298" t="b">
        <f t="shared" si="3"/>
        <v>0</v>
      </c>
      <c r="AE71" s="298" t="b">
        <f t="shared" si="4"/>
        <v>0</v>
      </c>
      <c r="AF71" s="298" t="b">
        <f t="shared" si="5"/>
        <v>0</v>
      </c>
      <c r="AG71" s="298" t="b">
        <f t="shared" si="6"/>
        <v>0</v>
      </c>
      <c r="AH71" s="298" t="b">
        <f t="shared" si="7"/>
        <v>0</v>
      </c>
      <c r="AI71" s="1061" t="b">
        <f t="shared" si="8"/>
        <v>0</v>
      </c>
      <c r="AJ71" s="7"/>
      <c r="AK71" s="7"/>
      <c r="AL71" s="7"/>
    </row>
    <row r="72" spans="1:38" ht="12.75" customHeight="1" x14ac:dyDescent="0.25">
      <c r="A72" s="2"/>
      <c r="B72" s="19"/>
      <c r="C72" s="19"/>
      <c r="D72" s="19"/>
      <c r="E72" s="932" t="str">
        <f>Translations!$B$786</f>
        <v>Avvaxning av smörjoljor med lösningsmedel</v>
      </c>
      <c r="F72" s="26" t="s">
        <v>326</v>
      </c>
      <c r="G72" s="124">
        <v>4.55</v>
      </c>
      <c r="H72" s="243"/>
      <c r="I72" s="676"/>
      <c r="J72" s="680"/>
      <c r="K72" s="243"/>
      <c r="L72" s="243"/>
      <c r="M72" s="243"/>
      <c r="N72" s="676"/>
      <c r="O72" s="6"/>
      <c r="P72" s="1362"/>
      <c r="Q72" s="2"/>
      <c r="R72" s="2"/>
      <c r="S72" s="2"/>
      <c r="T72" s="2"/>
      <c r="U72" s="2"/>
      <c r="V72" s="2"/>
      <c r="W72" s="2"/>
      <c r="X72" s="2"/>
      <c r="Y72" s="7"/>
      <c r="Z72" s="7"/>
      <c r="AA72" s="7"/>
      <c r="AB72" s="7"/>
      <c r="AC72" s="1060" t="b">
        <f t="shared" si="9"/>
        <v>0</v>
      </c>
      <c r="AD72" s="298" t="b">
        <f t="shared" si="3"/>
        <v>0</v>
      </c>
      <c r="AE72" s="298" t="b">
        <f t="shared" si="4"/>
        <v>0</v>
      </c>
      <c r="AF72" s="298" t="b">
        <f t="shared" si="5"/>
        <v>0</v>
      </c>
      <c r="AG72" s="298" t="b">
        <f t="shared" si="6"/>
        <v>0</v>
      </c>
      <c r="AH72" s="298" t="b">
        <f t="shared" si="7"/>
        <v>0</v>
      </c>
      <c r="AI72" s="1061" t="b">
        <f t="shared" si="8"/>
        <v>0</v>
      </c>
      <c r="AJ72" s="7"/>
      <c r="AK72" s="7"/>
      <c r="AL72" s="7"/>
    </row>
    <row r="73" spans="1:38" ht="12.75" customHeight="1" x14ac:dyDescent="0.25">
      <c r="A73" s="2"/>
      <c r="B73" s="19"/>
      <c r="C73" s="19"/>
      <c r="D73" s="19"/>
      <c r="E73" s="932" t="str">
        <f>Translations!$B$787</f>
        <v>Katalytisk vaxisomerisering</v>
      </c>
      <c r="F73" s="26" t="s">
        <v>326</v>
      </c>
      <c r="G73" s="124">
        <v>1.6</v>
      </c>
      <c r="H73" s="243"/>
      <c r="I73" s="676"/>
      <c r="J73" s="680"/>
      <c r="K73" s="243"/>
      <c r="L73" s="243"/>
      <c r="M73" s="243"/>
      <c r="N73" s="676"/>
      <c r="O73" s="6"/>
      <c r="P73" s="1362"/>
      <c r="Q73" s="2"/>
      <c r="R73" s="2"/>
      <c r="S73" s="2"/>
      <c r="T73" s="2"/>
      <c r="U73" s="2"/>
      <c r="V73" s="2"/>
      <c r="W73" s="2"/>
      <c r="X73" s="2"/>
      <c r="Y73" s="7"/>
      <c r="Z73" s="7"/>
      <c r="AA73" s="7"/>
      <c r="AB73" s="7"/>
      <c r="AC73" s="1060" t="b">
        <f t="shared" si="9"/>
        <v>0</v>
      </c>
      <c r="AD73" s="298" t="b">
        <f t="shared" si="3"/>
        <v>0</v>
      </c>
      <c r="AE73" s="298" t="b">
        <f t="shared" si="4"/>
        <v>0</v>
      </c>
      <c r="AF73" s="298" t="b">
        <f t="shared" si="5"/>
        <v>0</v>
      </c>
      <c r="AG73" s="298" t="b">
        <f t="shared" si="6"/>
        <v>0</v>
      </c>
      <c r="AH73" s="298" t="b">
        <f t="shared" si="7"/>
        <v>0</v>
      </c>
      <c r="AI73" s="1061" t="b">
        <f t="shared" si="8"/>
        <v>0</v>
      </c>
      <c r="AJ73" s="7"/>
      <c r="AK73" s="7"/>
      <c r="AL73" s="7"/>
    </row>
    <row r="74" spans="1:38" ht="12.75" customHeight="1" x14ac:dyDescent="0.25">
      <c r="A74" s="2"/>
      <c r="B74" s="19"/>
      <c r="C74" s="19"/>
      <c r="D74" s="19"/>
      <c r="E74" s="932" t="str">
        <f>Translations!$B$788</f>
        <v xml:space="preserve">Vätekrackning av smörjoljor (lube) </v>
      </c>
      <c r="F74" s="26" t="s">
        <v>326</v>
      </c>
      <c r="G74" s="124">
        <v>2.5</v>
      </c>
      <c r="H74" s="243"/>
      <c r="I74" s="676"/>
      <c r="J74" s="680"/>
      <c r="K74" s="243"/>
      <c r="L74" s="243"/>
      <c r="M74" s="243"/>
      <c r="N74" s="676"/>
      <c r="O74" s="6"/>
      <c r="P74" s="1362"/>
      <c r="Q74" s="2"/>
      <c r="R74" s="2"/>
      <c r="S74" s="2"/>
      <c r="T74" s="2"/>
      <c r="U74" s="2"/>
      <c r="V74" s="2"/>
      <c r="W74" s="2"/>
      <c r="X74" s="2"/>
      <c r="Y74" s="7"/>
      <c r="Z74" s="7"/>
      <c r="AA74" s="7"/>
      <c r="AB74" s="7"/>
      <c r="AC74" s="1060" t="b">
        <f t="shared" si="9"/>
        <v>0</v>
      </c>
      <c r="AD74" s="298" t="b">
        <f t="shared" si="3"/>
        <v>0</v>
      </c>
      <c r="AE74" s="298" t="b">
        <f t="shared" si="4"/>
        <v>0</v>
      </c>
      <c r="AF74" s="298" t="b">
        <f t="shared" si="5"/>
        <v>0</v>
      </c>
      <c r="AG74" s="298" t="b">
        <f t="shared" si="6"/>
        <v>0</v>
      </c>
      <c r="AH74" s="298" t="b">
        <f t="shared" si="7"/>
        <v>0</v>
      </c>
      <c r="AI74" s="1061" t="b">
        <f t="shared" si="8"/>
        <v>0</v>
      </c>
      <c r="AJ74" s="7"/>
      <c r="AK74" s="7"/>
      <c r="AL74" s="7"/>
    </row>
    <row r="75" spans="1:38" x14ac:dyDescent="0.25">
      <c r="A75" s="2"/>
      <c r="B75" s="19"/>
      <c r="C75" s="19"/>
      <c r="D75" s="19"/>
      <c r="E75" s="932" t="str">
        <f>Translations!$B$789</f>
        <v xml:space="preserve">Vaxavoljning </v>
      </c>
      <c r="F75" s="26" t="s">
        <v>406</v>
      </c>
      <c r="G75" s="124">
        <v>12</v>
      </c>
      <c r="H75" s="243"/>
      <c r="I75" s="676"/>
      <c r="J75" s="680"/>
      <c r="K75" s="243"/>
      <c r="L75" s="243"/>
      <c r="M75" s="243"/>
      <c r="N75" s="676"/>
      <c r="O75" s="6"/>
      <c r="P75" s="1362"/>
      <c r="Q75" s="2"/>
      <c r="R75" s="2"/>
      <c r="S75" s="2"/>
      <c r="T75" s="2"/>
      <c r="U75" s="2"/>
      <c r="V75" s="2"/>
      <c r="W75" s="2"/>
      <c r="X75" s="2"/>
      <c r="Y75" s="7"/>
      <c r="Z75" s="7"/>
      <c r="AA75" s="7"/>
      <c r="AB75" s="7"/>
      <c r="AC75" s="1060" t="b">
        <f t="shared" si="9"/>
        <v>0</v>
      </c>
      <c r="AD75" s="298" t="b">
        <f t="shared" si="3"/>
        <v>0</v>
      </c>
      <c r="AE75" s="298" t="b">
        <f t="shared" si="4"/>
        <v>0</v>
      </c>
      <c r="AF75" s="298" t="b">
        <f t="shared" si="5"/>
        <v>0</v>
      </c>
      <c r="AG75" s="298" t="b">
        <f t="shared" si="6"/>
        <v>0</v>
      </c>
      <c r="AH75" s="298" t="b">
        <f t="shared" si="7"/>
        <v>0</v>
      </c>
      <c r="AI75" s="1061" t="b">
        <f t="shared" si="8"/>
        <v>0</v>
      </c>
      <c r="AJ75" s="7"/>
      <c r="AK75" s="7"/>
      <c r="AL75" s="7"/>
    </row>
    <row r="76" spans="1:38" ht="12.75" customHeight="1" x14ac:dyDescent="0.25">
      <c r="A76" s="2"/>
      <c r="B76" s="19"/>
      <c r="C76" s="19"/>
      <c r="D76" s="19"/>
      <c r="E76" s="932" t="str">
        <f>Translations!$B$790</f>
        <v xml:space="preserve">Hydrering av lube/vax </v>
      </c>
      <c r="F76" s="26" t="s">
        <v>326</v>
      </c>
      <c r="G76" s="124">
        <v>1.1499999999999999</v>
      </c>
      <c r="H76" s="243"/>
      <c r="I76" s="676"/>
      <c r="J76" s="680"/>
      <c r="K76" s="243"/>
      <c r="L76" s="243"/>
      <c r="M76" s="243"/>
      <c r="N76" s="676"/>
      <c r="O76" s="6"/>
      <c r="P76" s="1362"/>
      <c r="Q76" s="2"/>
      <c r="R76" s="2"/>
      <c r="S76" s="2"/>
      <c r="T76" s="2"/>
      <c r="U76" s="2"/>
      <c r="V76" s="2"/>
      <c r="W76" s="2"/>
      <c r="X76" s="2"/>
      <c r="Y76" s="7"/>
      <c r="Z76" s="7"/>
      <c r="AA76" s="7"/>
      <c r="AB76" s="7"/>
      <c r="AC76" s="1060" t="b">
        <f t="shared" si="9"/>
        <v>0</v>
      </c>
      <c r="AD76" s="298" t="b">
        <f t="shared" si="3"/>
        <v>0</v>
      </c>
      <c r="AE76" s="298" t="b">
        <f t="shared" si="4"/>
        <v>0</v>
      </c>
      <c r="AF76" s="298" t="b">
        <f t="shared" si="5"/>
        <v>0</v>
      </c>
      <c r="AG76" s="298" t="b">
        <f t="shared" si="6"/>
        <v>0</v>
      </c>
      <c r="AH76" s="298" t="b">
        <f t="shared" si="7"/>
        <v>0</v>
      </c>
      <c r="AI76" s="1061" t="b">
        <f t="shared" si="8"/>
        <v>0</v>
      </c>
      <c r="AJ76" s="7"/>
      <c r="AK76" s="7"/>
      <c r="AL76" s="7"/>
    </row>
    <row r="77" spans="1:38" ht="12.75" customHeight="1" x14ac:dyDescent="0.25">
      <c r="A77" s="2"/>
      <c r="B77" s="19"/>
      <c r="C77" s="19"/>
      <c r="D77" s="19"/>
      <c r="E77" s="932" t="str">
        <f>Translations!$B$791</f>
        <v>Hydrering av lösningsmedel</v>
      </c>
      <c r="F77" s="26" t="s">
        <v>326</v>
      </c>
      <c r="G77" s="124">
        <v>1.25</v>
      </c>
      <c r="H77" s="243"/>
      <c r="I77" s="676"/>
      <c r="J77" s="680"/>
      <c r="K77" s="243"/>
      <c r="L77" s="243"/>
      <c r="M77" s="243"/>
      <c r="N77" s="676"/>
      <c r="O77" s="6"/>
      <c r="P77" s="1362"/>
      <c r="Q77" s="2"/>
      <c r="R77" s="2"/>
      <c r="S77" s="2"/>
      <c r="T77" s="2"/>
      <c r="U77" s="2"/>
      <c r="V77" s="2"/>
      <c r="W77" s="2"/>
      <c r="X77" s="2"/>
      <c r="Y77" s="7"/>
      <c r="Z77" s="7"/>
      <c r="AA77" s="7"/>
      <c r="AB77" s="7"/>
      <c r="AC77" s="1060" t="b">
        <f t="shared" si="9"/>
        <v>0</v>
      </c>
      <c r="AD77" s="298" t="b">
        <f t="shared" si="3"/>
        <v>0</v>
      </c>
      <c r="AE77" s="298" t="b">
        <f t="shared" si="4"/>
        <v>0</v>
      </c>
      <c r="AF77" s="298" t="b">
        <f t="shared" si="5"/>
        <v>0</v>
      </c>
      <c r="AG77" s="298" t="b">
        <f t="shared" si="6"/>
        <v>0</v>
      </c>
      <c r="AH77" s="298" t="b">
        <f t="shared" si="7"/>
        <v>0</v>
      </c>
      <c r="AI77" s="1061" t="b">
        <f t="shared" si="8"/>
        <v>0</v>
      </c>
      <c r="AJ77" s="7"/>
      <c r="AK77" s="7"/>
      <c r="AL77" s="7"/>
    </row>
    <row r="78" spans="1:38" ht="12.75" customHeight="1" x14ac:dyDescent="0.25">
      <c r="A78" s="2"/>
      <c r="B78" s="19"/>
      <c r="C78" s="19"/>
      <c r="D78" s="19"/>
      <c r="E78" s="932" t="str">
        <f>Translations!$B$792</f>
        <v>Fraktionering av lösningsmedel</v>
      </c>
      <c r="F78" s="26" t="s">
        <v>326</v>
      </c>
      <c r="G78" s="124">
        <v>0.9</v>
      </c>
      <c r="H78" s="243"/>
      <c r="I78" s="676"/>
      <c r="J78" s="680"/>
      <c r="K78" s="243"/>
      <c r="L78" s="243"/>
      <c r="M78" s="243"/>
      <c r="N78" s="676"/>
      <c r="O78" s="6"/>
      <c r="P78" s="1362"/>
      <c r="Q78" s="2"/>
      <c r="R78" s="2"/>
      <c r="S78" s="2"/>
      <c r="T78" s="2"/>
      <c r="U78" s="2"/>
      <c r="V78" s="2"/>
      <c r="W78" s="2"/>
      <c r="X78" s="2"/>
      <c r="Y78" s="7"/>
      <c r="Z78" s="7"/>
      <c r="AA78" s="7"/>
      <c r="AB78" s="7"/>
      <c r="AC78" s="1060" t="b">
        <f t="shared" si="9"/>
        <v>0</v>
      </c>
      <c r="AD78" s="298" t="b">
        <f t="shared" si="3"/>
        <v>0</v>
      </c>
      <c r="AE78" s="298" t="b">
        <f t="shared" si="4"/>
        <v>0</v>
      </c>
      <c r="AF78" s="298" t="b">
        <f t="shared" si="5"/>
        <v>0</v>
      </c>
      <c r="AG78" s="298" t="b">
        <f t="shared" si="6"/>
        <v>0</v>
      </c>
      <c r="AH78" s="298" t="b">
        <f t="shared" si="7"/>
        <v>0</v>
      </c>
      <c r="AI78" s="1061" t="b">
        <f t="shared" si="8"/>
        <v>0</v>
      </c>
      <c r="AJ78" s="7"/>
      <c r="AK78" s="7"/>
      <c r="AL78" s="7"/>
    </row>
    <row r="79" spans="1:38" ht="12.75" customHeight="1" x14ac:dyDescent="0.25">
      <c r="A79" s="2"/>
      <c r="B79" s="19"/>
      <c r="C79" s="19"/>
      <c r="D79" s="19"/>
      <c r="E79" s="932" t="str">
        <f>Translations!$B$793</f>
        <v>Molsikt för paraffiner C10+</v>
      </c>
      <c r="F79" s="26" t="s">
        <v>406</v>
      </c>
      <c r="G79" s="124">
        <v>1.85</v>
      </c>
      <c r="H79" s="243"/>
      <c r="I79" s="676"/>
      <c r="J79" s="680"/>
      <c r="K79" s="243"/>
      <c r="L79" s="243"/>
      <c r="M79" s="243"/>
      <c r="N79" s="676"/>
      <c r="O79" s="6"/>
      <c r="P79" s="1362"/>
      <c r="Q79" s="2"/>
      <c r="R79" s="2"/>
      <c r="S79" s="2"/>
      <c r="T79" s="2"/>
      <c r="U79" s="2"/>
      <c r="V79" s="2"/>
      <c r="W79" s="2"/>
      <c r="X79" s="2"/>
      <c r="Y79" s="7"/>
      <c r="Z79" s="7"/>
      <c r="AA79" s="7"/>
      <c r="AB79" s="7"/>
      <c r="AC79" s="1060" t="b">
        <f t="shared" si="9"/>
        <v>0</v>
      </c>
      <c r="AD79" s="298" t="b">
        <f t="shared" si="3"/>
        <v>0</v>
      </c>
      <c r="AE79" s="298" t="b">
        <f t="shared" si="4"/>
        <v>0</v>
      </c>
      <c r="AF79" s="298" t="b">
        <f t="shared" si="5"/>
        <v>0</v>
      </c>
      <c r="AG79" s="298" t="b">
        <f t="shared" si="6"/>
        <v>0</v>
      </c>
      <c r="AH79" s="298" t="b">
        <f t="shared" si="7"/>
        <v>0</v>
      </c>
      <c r="AI79" s="1061" t="b">
        <f t="shared" si="8"/>
        <v>0</v>
      </c>
      <c r="AJ79" s="7"/>
      <c r="AK79" s="7"/>
      <c r="AL79" s="7"/>
    </row>
    <row r="80" spans="1:38" ht="25.5" customHeight="1" x14ac:dyDescent="0.25">
      <c r="A80" s="2"/>
      <c r="B80" s="19"/>
      <c r="C80" s="19"/>
      <c r="D80" s="19"/>
      <c r="E80" s="932" t="str">
        <f>Translations!$B$794</f>
        <v>Partiell oxidation (POX) av rester för att få bränsle</v>
      </c>
      <c r="F80" s="26" t="s">
        <v>546</v>
      </c>
      <c r="G80" s="124">
        <v>8.1999999999999993</v>
      </c>
      <c r="H80" s="243"/>
      <c r="I80" s="676"/>
      <c r="J80" s="680"/>
      <c r="K80" s="243"/>
      <c r="L80" s="243"/>
      <c r="M80" s="243"/>
      <c r="N80" s="676"/>
      <c r="O80" s="6"/>
      <c r="P80" s="1362"/>
      <c r="Q80" s="2"/>
      <c r="R80" s="2"/>
      <c r="S80" s="2"/>
      <c r="T80" s="2"/>
      <c r="U80" s="2"/>
      <c r="V80" s="2"/>
      <c r="W80" s="2"/>
      <c r="X80" s="2"/>
      <c r="Y80" s="7"/>
      <c r="Z80" s="7"/>
      <c r="AA80" s="7"/>
      <c r="AB80" s="7"/>
      <c r="AC80" s="1060" t="b">
        <f t="shared" si="9"/>
        <v>0</v>
      </c>
      <c r="AD80" s="298" t="b">
        <f t="shared" si="3"/>
        <v>0</v>
      </c>
      <c r="AE80" s="298" t="b">
        <f t="shared" si="4"/>
        <v>0</v>
      </c>
      <c r="AF80" s="298" t="b">
        <f t="shared" si="5"/>
        <v>0</v>
      </c>
      <c r="AG80" s="298" t="b">
        <f t="shared" si="6"/>
        <v>0</v>
      </c>
      <c r="AH80" s="298" t="b">
        <f t="shared" si="7"/>
        <v>0</v>
      </c>
      <c r="AI80" s="1061" t="b">
        <f t="shared" si="8"/>
        <v>0</v>
      </c>
      <c r="AJ80" s="7"/>
      <c r="AK80" s="7"/>
      <c r="AL80" s="7"/>
    </row>
    <row r="81" spans="1:38" ht="40" customHeight="1" x14ac:dyDescent="0.25">
      <c r="A81" s="2"/>
      <c r="B81" s="19"/>
      <c r="C81" s="19"/>
      <c r="D81" s="19"/>
      <c r="E81" s="932" t="str">
        <f>Translations!$B$795</f>
        <v>Partiell oxidation (POX) av rester för att få vätgas eller metanol</v>
      </c>
      <c r="F81" s="26" t="s">
        <v>546</v>
      </c>
      <c r="G81" s="124">
        <v>44</v>
      </c>
      <c r="H81" s="243"/>
      <c r="I81" s="676"/>
      <c r="J81" s="680"/>
      <c r="K81" s="243"/>
      <c r="L81" s="243"/>
      <c r="M81" s="243"/>
      <c r="N81" s="676"/>
      <c r="O81" s="6"/>
      <c r="P81" s="1362"/>
      <c r="Q81" s="2"/>
      <c r="R81" s="2"/>
      <c r="S81" s="2"/>
      <c r="T81" s="2"/>
      <c r="U81" s="2"/>
      <c r="V81" s="2"/>
      <c r="W81" s="2"/>
      <c r="X81" s="2"/>
      <c r="Y81" s="7"/>
      <c r="Z81" s="7"/>
      <c r="AA81" s="7"/>
      <c r="AB81" s="7"/>
      <c r="AC81" s="1060" t="b">
        <f t="shared" si="9"/>
        <v>0</v>
      </c>
      <c r="AD81" s="298" t="b">
        <f t="shared" si="3"/>
        <v>0</v>
      </c>
      <c r="AE81" s="298" t="b">
        <f t="shared" si="4"/>
        <v>0</v>
      </c>
      <c r="AF81" s="298" t="b">
        <f t="shared" si="5"/>
        <v>0</v>
      </c>
      <c r="AG81" s="298" t="b">
        <f t="shared" si="6"/>
        <v>0</v>
      </c>
      <c r="AH81" s="298" t="b">
        <f t="shared" si="7"/>
        <v>0</v>
      </c>
      <c r="AI81" s="1061" t="b">
        <f t="shared" si="8"/>
        <v>0</v>
      </c>
      <c r="AJ81" s="7"/>
      <c r="AK81" s="7"/>
      <c r="AL81" s="7"/>
    </row>
    <row r="82" spans="1:38" ht="12.75" customHeight="1" x14ac:dyDescent="0.25">
      <c r="A82" s="2"/>
      <c r="B82" s="19"/>
      <c r="C82" s="19"/>
      <c r="D82" s="19"/>
      <c r="E82" s="932" t="str">
        <f>Translations!$B$796</f>
        <v>Metanol från syntesgas</v>
      </c>
      <c r="F82" s="26" t="s">
        <v>406</v>
      </c>
      <c r="G82" s="124">
        <v>-36.200000000000003</v>
      </c>
      <c r="H82" s="243"/>
      <c r="I82" s="676"/>
      <c r="J82" s="680"/>
      <c r="K82" s="243"/>
      <c r="L82" s="243"/>
      <c r="M82" s="243"/>
      <c r="N82" s="676"/>
      <c r="O82" s="6"/>
      <c r="P82" s="1362"/>
      <c r="Q82" s="2"/>
      <c r="R82" s="2"/>
      <c r="S82" s="2"/>
      <c r="T82" s="2"/>
      <c r="U82" s="2"/>
      <c r="V82" s="2"/>
      <c r="W82" s="2"/>
      <c r="X82" s="2"/>
      <c r="Y82" s="7"/>
      <c r="Z82" s="7"/>
      <c r="AA82" s="7"/>
      <c r="AB82" s="7"/>
      <c r="AC82" s="1060" t="b">
        <f t="shared" si="9"/>
        <v>0</v>
      </c>
      <c r="AD82" s="298" t="b">
        <f t="shared" si="3"/>
        <v>0</v>
      </c>
      <c r="AE82" s="298" t="b">
        <f t="shared" si="4"/>
        <v>0</v>
      </c>
      <c r="AF82" s="298" t="b">
        <f t="shared" si="5"/>
        <v>0</v>
      </c>
      <c r="AG82" s="298" t="b">
        <f t="shared" si="6"/>
        <v>0</v>
      </c>
      <c r="AH82" s="298" t="b">
        <f t="shared" si="7"/>
        <v>0</v>
      </c>
      <c r="AI82" s="1061" t="b">
        <f t="shared" si="8"/>
        <v>0</v>
      </c>
      <c r="AJ82" s="7"/>
      <c r="AK82" s="7"/>
      <c r="AL82" s="7"/>
    </row>
    <row r="83" spans="1:38" ht="12.75" customHeight="1" x14ac:dyDescent="0.25">
      <c r="A83" s="2"/>
      <c r="B83" s="19"/>
      <c r="C83" s="19"/>
      <c r="D83" s="19"/>
      <c r="E83" s="932" t="str">
        <f>Translations!$B$797</f>
        <v>Separation av luft</v>
      </c>
      <c r="F83" s="26" t="s">
        <v>550</v>
      </c>
      <c r="G83" s="124">
        <v>8.8000000000000007</v>
      </c>
      <c r="H83" s="243"/>
      <c r="I83" s="676"/>
      <c r="J83" s="680"/>
      <c r="K83" s="243"/>
      <c r="L83" s="243"/>
      <c r="M83" s="243"/>
      <c r="N83" s="676"/>
      <c r="O83" s="6"/>
      <c r="P83" s="1362"/>
      <c r="Q83" s="2"/>
      <c r="R83" s="2"/>
      <c r="S83" s="2"/>
      <c r="T83" s="2"/>
      <c r="U83" s="2"/>
      <c r="V83" s="2"/>
      <c r="W83" s="2"/>
      <c r="X83" s="2"/>
      <c r="Y83" s="7"/>
      <c r="Z83" s="7"/>
      <c r="AA83" s="7"/>
      <c r="AB83" s="7"/>
      <c r="AC83" s="1060" t="b">
        <f t="shared" si="9"/>
        <v>0</v>
      </c>
      <c r="AD83" s="298" t="b">
        <f t="shared" si="3"/>
        <v>0</v>
      </c>
      <c r="AE83" s="298" t="b">
        <f t="shared" si="4"/>
        <v>0</v>
      </c>
      <c r="AF83" s="298" t="b">
        <f t="shared" si="5"/>
        <v>0</v>
      </c>
      <c r="AG83" s="298" t="b">
        <f t="shared" si="6"/>
        <v>0</v>
      </c>
      <c r="AH83" s="298" t="b">
        <f t="shared" si="7"/>
        <v>0</v>
      </c>
      <c r="AI83" s="1061" t="b">
        <f t="shared" si="8"/>
        <v>0</v>
      </c>
      <c r="AJ83" s="7"/>
      <c r="AK83" s="7"/>
      <c r="AL83" s="7"/>
    </row>
    <row r="84" spans="1:38" ht="25.5" customHeight="1" x14ac:dyDescent="0.25">
      <c r="A84" s="2"/>
      <c r="B84" s="19"/>
      <c r="C84" s="19"/>
      <c r="D84" s="19"/>
      <c r="E84" s="932" t="str">
        <f>Translations!$B$798</f>
        <v>Fraktionering av inköpt flytande naturgas</v>
      </c>
      <c r="F84" s="26" t="s">
        <v>326</v>
      </c>
      <c r="G84" s="124">
        <v>1</v>
      </c>
      <c r="H84" s="243"/>
      <c r="I84" s="676"/>
      <c r="J84" s="680"/>
      <c r="K84" s="243"/>
      <c r="L84" s="243"/>
      <c r="M84" s="243"/>
      <c r="N84" s="676"/>
      <c r="O84" s="6"/>
      <c r="P84" s="1362"/>
      <c r="Q84" s="2"/>
      <c r="R84" s="2"/>
      <c r="S84" s="2"/>
      <c r="T84" s="2"/>
      <c r="U84" s="2"/>
      <c r="V84" s="2"/>
      <c r="W84" s="2"/>
      <c r="X84" s="2"/>
      <c r="Y84" s="7"/>
      <c r="Z84" s="7"/>
      <c r="AA84" s="7"/>
      <c r="AB84" s="7"/>
      <c r="AC84" s="1060" t="b">
        <f t="shared" si="9"/>
        <v>0</v>
      </c>
      <c r="AD84" s="298" t="b">
        <f t="shared" si="3"/>
        <v>0</v>
      </c>
      <c r="AE84" s="298" t="b">
        <f t="shared" si="4"/>
        <v>0</v>
      </c>
      <c r="AF84" s="298" t="b">
        <f t="shared" si="5"/>
        <v>0</v>
      </c>
      <c r="AG84" s="298" t="b">
        <f t="shared" si="6"/>
        <v>0</v>
      </c>
      <c r="AH84" s="298" t="b">
        <f t="shared" si="7"/>
        <v>0</v>
      </c>
      <c r="AI84" s="1061" t="b">
        <f t="shared" si="8"/>
        <v>0</v>
      </c>
      <c r="AJ84" s="7"/>
      <c r="AK84" s="7"/>
      <c r="AL84" s="7"/>
    </row>
    <row r="85" spans="1:38" ht="12.75" customHeight="1" x14ac:dyDescent="0.25">
      <c r="A85" s="2"/>
      <c r="B85" s="19"/>
      <c r="C85" s="19"/>
      <c r="D85" s="19"/>
      <c r="E85" s="932" t="str">
        <f>Translations!$B$799</f>
        <v>Rökgasrening</v>
      </c>
      <c r="F85" s="26" t="s">
        <v>553</v>
      </c>
      <c r="G85" s="124">
        <v>0.1</v>
      </c>
      <c r="H85" s="243"/>
      <c r="I85" s="676"/>
      <c r="J85" s="680"/>
      <c r="K85" s="243"/>
      <c r="L85" s="243"/>
      <c r="M85" s="243"/>
      <c r="N85" s="676"/>
      <c r="O85" s="6"/>
      <c r="P85" s="1362"/>
      <c r="Q85" s="2"/>
      <c r="R85" s="2"/>
      <c r="S85" s="2"/>
      <c r="T85" s="2"/>
      <c r="U85" s="2"/>
      <c r="V85" s="2"/>
      <c r="W85" s="2"/>
      <c r="X85" s="2"/>
      <c r="Y85" s="7"/>
      <c r="Z85" s="7"/>
      <c r="AA85" s="7"/>
      <c r="AB85" s="7"/>
      <c r="AC85" s="1060" t="b">
        <f t="shared" si="9"/>
        <v>0</v>
      </c>
      <c r="AD85" s="298" t="b">
        <f t="shared" si="3"/>
        <v>0</v>
      </c>
      <c r="AE85" s="298" t="b">
        <f t="shared" si="4"/>
        <v>0</v>
      </c>
      <c r="AF85" s="298" t="b">
        <f t="shared" si="5"/>
        <v>0</v>
      </c>
      <c r="AG85" s="298" t="b">
        <f t="shared" si="6"/>
        <v>0</v>
      </c>
      <c r="AH85" s="298" t="b">
        <f t="shared" si="7"/>
        <v>0</v>
      </c>
      <c r="AI85" s="1061" t="b">
        <f t="shared" si="8"/>
        <v>0</v>
      </c>
      <c r="AJ85" s="7"/>
      <c r="AK85" s="7"/>
      <c r="AL85" s="7"/>
    </row>
    <row r="86" spans="1:38" ht="25.5" customHeight="1" x14ac:dyDescent="0.25">
      <c r="A86" s="2"/>
      <c r="B86" s="19"/>
      <c r="C86" s="19"/>
      <c r="D86" s="19"/>
      <c r="E86" s="932" t="str">
        <f>Translations!$B$800</f>
        <v>Behandling och komprimering av bränslegas för försäljning</v>
      </c>
      <c r="F86" s="26" t="s">
        <v>555</v>
      </c>
      <c r="G86" s="124">
        <v>0.15</v>
      </c>
      <c r="H86" s="243"/>
      <c r="I86" s="676"/>
      <c r="J86" s="680"/>
      <c r="K86" s="243"/>
      <c r="L86" s="243"/>
      <c r="M86" s="243"/>
      <c r="N86" s="676"/>
      <c r="O86" s="6"/>
      <c r="P86" s="1362"/>
      <c r="Q86" s="2"/>
      <c r="R86" s="2"/>
      <c r="S86" s="2"/>
      <c r="T86" s="2"/>
      <c r="U86" s="2"/>
      <c r="V86" s="2"/>
      <c r="W86" s="2"/>
      <c r="X86" s="2"/>
      <c r="Y86" s="7"/>
      <c r="Z86" s="7"/>
      <c r="AA86" s="7"/>
      <c r="AB86" s="7"/>
      <c r="AC86" s="1060" t="b">
        <f t="shared" si="9"/>
        <v>0</v>
      </c>
      <c r="AD86" s="298" t="b">
        <f t="shared" si="3"/>
        <v>0</v>
      </c>
      <c r="AE86" s="298" t="b">
        <f t="shared" si="4"/>
        <v>0</v>
      </c>
      <c r="AF86" s="298" t="b">
        <f t="shared" si="5"/>
        <v>0</v>
      </c>
      <c r="AG86" s="298" t="b">
        <f t="shared" si="6"/>
        <v>0</v>
      </c>
      <c r="AH86" s="298" t="b">
        <f t="shared" si="7"/>
        <v>0</v>
      </c>
      <c r="AI86" s="1061" t="b">
        <f t="shared" si="8"/>
        <v>0</v>
      </c>
      <c r="AJ86" s="7"/>
      <c r="AK86" s="7"/>
      <c r="AL86" s="7"/>
    </row>
    <row r="87" spans="1:38" ht="13.5" customHeight="1" thickBot="1" x14ac:dyDescent="0.3">
      <c r="A87" s="2"/>
      <c r="B87" s="19"/>
      <c r="C87" s="19"/>
      <c r="D87" s="19"/>
      <c r="E87" s="1520" t="str">
        <f>Translations!$B$801</f>
        <v>Avsaltning av havsvatten</v>
      </c>
      <c r="F87" s="27" t="s">
        <v>406</v>
      </c>
      <c r="G87" s="125">
        <v>1.1499999999999999</v>
      </c>
      <c r="H87" s="242"/>
      <c r="I87" s="677"/>
      <c r="J87" s="681"/>
      <c r="K87" s="242"/>
      <c r="L87" s="242"/>
      <c r="M87" s="242"/>
      <c r="N87" s="677"/>
      <c r="O87" s="6"/>
      <c r="P87" s="1362"/>
      <c r="Q87" s="2"/>
      <c r="R87" s="2"/>
      <c r="S87" s="2"/>
      <c r="T87" s="2"/>
      <c r="U87" s="2"/>
      <c r="V87" s="2"/>
      <c r="W87" s="2"/>
      <c r="X87" s="2"/>
      <c r="Y87" s="7"/>
      <c r="Z87" s="7"/>
      <c r="AA87" s="7"/>
      <c r="AB87" s="7"/>
      <c r="AC87" s="1062" t="b">
        <f t="shared" si="9"/>
        <v>0</v>
      </c>
      <c r="AD87" s="1063" t="b">
        <f t="shared" si="3"/>
        <v>0</v>
      </c>
      <c r="AE87" s="1063" t="b">
        <f t="shared" si="4"/>
        <v>0</v>
      </c>
      <c r="AF87" s="1063" t="b">
        <f t="shared" si="5"/>
        <v>0</v>
      </c>
      <c r="AG87" s="1063" t="b">
        <f t="shared" si="6"/>
        <v>0</v>
      </c>
      <c r="AH87" s="1063" t="b">
        <f t="shared" si="7"/>
        <v>0</v>
      </c>
      <c r="AI87" s="1064" t="b">
        <f t="shared" si="8"/>
        <v>0</v>
      </c>
      <c r="AJ87" s="7"/>
      <c r="AK87" s="7"/>
      <c r="AL87" s="7"/>
    </row>
    <row r="88" spans="1:38" ht="5.15" customHeight="1" x14ac:dyDescent="0.25">
      <c r="A88" s="2"/>
      <c r="B88" s="3"/>
      <c r="C88" s="3"/>
      <c r="D88" s="3"/>
      <c r="E88" s="3"/>
      <c r="F88" s="3"/>
      <c r="G88" s="3"/>
      <c r="H88" s="3"/>
      <c r="I88" s="3"/>
      <c r="J88" s="3"/>
      <c r="K88" s="3"/>
      <c r="L88" s="3"/>
      <c r="M88" s="6"/>
      <c r="N88" s="6"/>
      <c r="O88" s="6"/>
      <c r="P88" s="15"/>
      <c r="Q88" s="7"/>
      <c r="R88" s="2"/>
      <c r="S88" s="2"/>
      <c r="T88" s="2"/>
      <c r="U88" s="2"/>
      <c r="V88" s="2"/>
      <c r="W88" s="2"/>
      <c r="X88" s="2"/>
      <c r="Y88" s="7"/>
      <c r="Z88" s="7"/>
      <c r="AA88" s="7"/>
      <c r="AB88" s="7"/>
      <c r="AC88" s="7"/>
      <c r="AD88" s="7"/>
      <c r="AE88" s="7"/>
      <c r="AF88" s="7"/>
      <c r="AG88" s="7"/>
      <c r="AH88" s="7"/>
      <c r="AI88" s="7"/>
      <c r="AJ88" s="7"/>
      <c r="AK88" s="7"/>
      <c r="AL88" s="7"/>
    </row>
    <row r="89" spans="1:38" ht="13" x14ac:dyDescent="0.25">
      <c r="A89" s="2"/>
      <c r="B89" s="3"/>
      <c r="C89" s="3"/>
      <c r="D89" s="13" t="s">
        <v>55</v>
      </c>
      <c r="E89" s="1943" t="str">
        <f>Translations!$B$802</f>
        <v>Resultat: Verksamhetsnivåer för raffinadeririktmärket uttryckt i CWT</v>
      </c>
      <c r="F89" s="1963"/>
      <c r="G89" s="1963"/>
      <c r="H89" s="1963"/>
      <c r="I89" s="1963"/>
      <c r="J89" s="1963"/>
      <c r="K89" s="1963"/>
      <c r="L89" s="1963"/>
      <c r="M89" s="1963"/>
      <c r="N89" s="1963"/>
      <c r="O89" s="6"/>
      <c r="P89" s="15"/>
      <c r="Q89" s="7"/>
      <c r="R89" s="2"/>
      <c r="S89" s="2"/>
      <c r="T89" s="2"/>
      <c r="U89" s="2"/>
      <c r="V89" s="2"/>
      <c r="W89" s="2"/>
      <c r="X89" s="2"/>
      <c r="Y89" s="7"/>
      <c r="Z89" s="7"/>
      <c r="AA89" s="7"/>
      <c r="AB89" s="7"/>
      <c r="AC89" s="7"/>
      <c r="AD89" s="7"/>
      <c r="AE89" s="7"/>
      <c r="AF89" s="7"/>
      <c r="AG89" s="7"/>
      <c r="AH89" s="7"/>
      <c r="AI89" s="7"/>
      <c r="AJ89" s="7"/>
      <c r="AK89" s="7"/>
      <c r="AL89" s="7"/>
    </row>
    <row r="90" spans="1:38" x14ac:dyDescent="0.25">
      <c r="A90" s="2"/>
      <c r="B90" s="3"/>
      <c r="C90" s="3"/>
      <c r="D90" s="15"/>
      <c r="E90" s="2061" t="str">
        <f>Translations!$B$803</f>
        <v>Raffinaderiverksamhetsnivån beräknas med hjälp av formeln i punkt 1 i bilaga III till FAR (innan genomsnittsvärdet fastställs).</v>
      </c>
      <c r="F90" s="1963"/>
      <c r="G90" s="1963"/>
      <c r="H90" s="1963"/>
      <c r="I90" s="1963"/>
      <c r="J90" s="1963"/>
      <c r="K90" s="1963"/>
      <c r="L90" s="1963"/>
      <c r="M90" s="1963"/>
      <c r="N90" s="1963"/>
      <c r="O90" s="6"/>
      <c r="P90" s="15"/>
      <c r="Q90" s="7"/>
      <c r="R90" s="2"/>
      <c r="S90" s="2"/>
      <c r="T90" s="2"/>
      <c r="U90" s="2"/>
      <c r="V90" s="2"/>
      <c r="W90" s="2"/>
      <c r="X90" s="2"/>
      <c r="Y90" s="7"/>
      <c r="Z90" s="7"/>
      <c r="AA90" s="7"/>
      <c r="AB90" s="7"/>
      <c r="AC90" s="7"/>
      <c r="AD90" s="7"/>
      <c r="AE90" s="7"/>
      <c r="AF90" s="7"/>
      <c r="AG90" s="7"/>
      <c r="AH90" s="7"/>
      <c r="AI90" s="7"/>
      <c r="AJ90" s="7"/>
      <c r="AK90" s="7"/>
      <c r="AL90" s="7"/>
    </row>
    <row r="91" spans="1:38" x14ac:dyDescent="0.25">
      <c r="A91" s="2"/>
      <c r="B91" s="3"/>
      <c r="C91" s="3"/>
      <c r="D91" s="15"/>
      <c r="E91" s="2070" t="str">
        <f>Translations!$B$804</f>
        <v>Viktig anmärkning: Rapporteringen ovan ska göras i kiloton, men riktmärket uttrycks i ton CO2/CWT, där CWT uttrycks i ton.</v>
      </c>
      <c r="F91" s="1963"/>
      <c r="G91" s="1963"/>
      <c r="H91" s="1963"/>
      <c r="I91" s="1963"/>
      <c r="J91" s="1963"/>
      <c r="K91" s="1963"/>
      <c r="L91" s="1963"/>
      <c r="M91" s="1963"/>
      <c r="N91" s="1963"/>
      <c r="O91" s="6"/>
      <c r="P91" s="15"/>
      <c r="Q91" s="7"/>
      <c r="R91" s="2"/>
      <c r="S91" s="2"/>
      <c r="T91" s="2"/>
      <c r="U91" s="2"/>
      <c r="V91" s="2"/>
      <c r="W91" s="2"/>
      <c r="X91" s="2"/>
      <c r="Y91" s="7"/>
      <c r="Z91" s="7"/>
      <c r="AA91" s="7"/>
      <c r="AB91" s="7"/>
      <c r="AC91" s="7"/>
      <c r="AD91" s="7"/>
      <c r="AE91" s="7"/>
      <c r="AF91" s="7"/>
      <c r="AG91" s="7"/>
      <c r="AH91" s="7"/>
      <c r="AI91" s="7"/>
      <c r="AJ91" s="7"/>
      <c r="AK91" s="7"/>
      <c r="AL91" s="7"/>
    </row>
    <row r="92" spans="1:38" x14ac:dyDescent="0.25">
      <c r="A92" s="2"/>
      <c r="B92" s="3"/>
      <c r="C92" s="3"/>
      <c r="D92" s="15"/>
      <c r="E92" s="2070" t="str">
        <f>Translations!$B$805</f>
        <v>Resultatet nedan multipliceras därför med en faktor på 1 000, vilket inte uttryckligen anges i punkt 1 i bilaga III till FAR.</v>
      </c>
      <c r="F92" s="1963"/>
      <c r="G92" s="1963"/>
      <c r="H92" s="1963"/>
      <c r="I92" s="1963"/>
      <c r="J92" s="1963"/>
      <c r="K92" s="1963"/>
      <c r="L92" s="1963"/>
      <c r="M92" s="1963"/>
      <c r="N92" s="1963"/>
      <c r="O92" s="6"/>
      <c r="P92" s="15"/>
      <c r="Q92" s="7"/>
      <c r="R92" s="2"/>
      <c r="S92" s="2"/>
      <c r="T92" s="2"/>
      <c r="U92" s="2"/>
      <c r="V92" s="2"/>
      <c r="W92" s="2"/>
      <c r="X92" s="2"/>
      <c r="Y92" s="7"/>
      <c r="Z92" s="7"/>
      <c r="AA92" s="7"/>
      <c r="AB92" s="7"/>
      <c r="AC92" s="7"/>
      <c r="AD92" s="7"/>
      <c r="AE92" s="7"/>
      <c r="AF92" s="7"/>
      <c r="AG92" s="7"/>
      <c r="AH92" s="7"/>
      <c r="AI92" s="7"/>
      <c r="AJ92" s="7"/>
      <c r="AK92" s="7"/>
      <c r="AL92" s="7"/>
    </row>
    <row r="93" spans="1:38" x14ac:dyDescent="0.25">
      <c r="A93" s="2"/>
      <c r="B93" s="3"/>
      <c r="C93" s="3"/>
      <c r="D93" s="15"/>
      <c r="E93" s="2061" t="str">
        <f>Translations!$B$806</f>
        <v>Resultatet av verktyget används i bladet ”F_ProductBM”, inmatningsrad a.ii för delanläggningen i fråga, och genomsnittet beräknas utifrån detta.</v>
      </c>
      <c r="F93" s="1963"/>
      <c r="G93" s="1963"/>
      <c r="H93" s="1963"/>
      <c r="I93" s="1963"/>
      <c r="J93" s="1963"/>
      <c r="K93" s="1963"/>
      <c r="L93" s="1963"/>
      <c r="M93" s="1963"/>
      <c r="N93" s="1963"/>
      <c r="O93" s="6"/>
      <c r="P93" s="15"/>
      <c r="Q93" s="7"/>
      <c r="R93" s="2"/>
      <c r="S93" s="2"/>
      <c r="T93" s="2"/>
      <c r="U93" s="2"/>
      <c r="V93" s="2"/>
      <c r="W93" s="2"/>
      <c r="X93" s="2"/>
      <c r="Y93" s="7"/>
      <c r="Z93" s="7"/>
      <c r="AA93" s="7"/>
      <c r="AB93" s="7"/>
      <c r="AC93" s="7"/>
      <c r="AD93" s="7"/>
      <c r="AE93" s="7"/>
      <c r="AF93" s="7"/>
      <c r="AG93" s="7"/>
      <c r="AH93" s="7"/>
      <c r="AI93" s="7"/>
      <c r="AJ93" s="7"/>
      <c r="AK93" s="7"/>
      <c r="AL93" s="7"/>
    </row>
    <row r="94" spans="1:38" ht="13" x14ac:dyDescent="0.25">
      <c r="A94" s="2"/>
      <c r="B94" s="19"/>
      <c r="C94" s="19"/>
      <c r="D94" s="13"/>
      <c r="E94" s="21"/>
      <c r="F94" s="21"/>
      <c r="G94" s="30" t="str">
        <f>EUconst_Unit</f>
        <v>Enhet</v>
      </c>
      <c r="H94" s="350">
        <f t="shared" ref="H94:N94" si="10">H$421</f>
        <v>2019</v>
      </c>
      <c r="I94" s="673">
        <f t="shared" si="10"/>
        <v>2020</v>
      </c>
      <c r="J94" s="1065">
        <f t="shared" si="10"/>
        <v>2021</v>
      </c>
      <c r="K94" s="350">
        <f t="shared" si="10"/>
        <v>2022</v>
      </c>
      <c r="L94" s="350">
        <f t="shared" si="10"/>
        <v>2023</v>
      </c>
      <c r="M94" s="350">
        <f t="shared" si="10"/>
        <v>2024</v>
      </c>
      <c r="N94" s="673">
        <f t="shared" si="10"/>
        <v>2025</v>
      </c>
      <c r="O94" s="6"/>
      <c r="P94" s="15"/>
      <c r="Q94" s="2"/>
      <c r="R94" s="2"/>
      <c r="S94" s="2"/>
      <c r="T94" s="2"/>
      <c r="U94" s="2"/>
      <c r="V94" s="2"/>
      <c r="W94" s="2"/>
      <c r="X94" s="2"/>
      <c r="Y94" s="7"/>
      <c r="Z94" s="7"/>
      <c r="AA94" s="7"/>
      <c r="AB94" s="7"/>
      <c r="AC94" s="7"/>
      <c r="AD94" s="7"/>
      <c r="AE94" s="7"/>
      <c r="AF94" s="7"/>
      <c r="AG94" s="7"/>
      <c r="AH94" s="7"/>
      <c r="AI94" s="7"/>
      <c r="AJ94" s="7"/>
      <c r="AK94" s="7"/>
      <c r="AL94" s="7"/>
    </row>
    <row r="95" spans="1:38" ht="13.5" customHeight="1" x14ac:dyDescent="0.25">
      <c r="A95" s="2"/>
      <c r="B95" s="19"/>
      <c r="C95" s="19"/>
      <c r="D95" s="19"/>
      <c r="E95" s="931" t="str">
        <f>Translations!$B$807</f>
        <v>Raffinaderiets verksamhetsnivå</v>
      </c>
      <c r="F95" s="931"/>
      <c r="G95" s="129" t="str">
        <f>EUconst_CWTpa</f>
        <v>CWT / år</v>
      </c>
      <c r="H95" s="268" t="str">
        <f t="shared" ref="H95:N95" si="11">IF(COUNT(H32:H87)&gt;0,1000*(1.0183*SUMPRODUCT($G$32:$G$87,H32:H87)+298+0.315*H32),"")</f>
        <v/>
      </c>
      <c r="I95" s="667" t="str">
        <f t="shared" si="11"/>
        <v/>
      </c>
      <c r="J95" s="668" t="str">
        <f t="shared" si="11"/>
        <v/>
      </c>
      <c r="K95" s="268" t="str">
        <f t="shared" si="11"/>
        <v/>
      </c>
      <c r="L95" s="268" t="str">
        <f t="shared" si="11"/>
        <v/>
      </c>
      <c r="M95" s="268" t="str">
        <f t="shared" si="11"/>
        <v/>
      </c>
      <c r="N95" s="667" t="str">
        <f t="shared" si="11"/>
        <v/>
      </c>
      <c r="O95" s="6"/>
      <c r="P95" s="15"/>
      <c r="Q95" s="108" t="str">
        <f>IF(L17=EUconst_Relevant,EUconst_CNTR_HALspecial &amp; INDEX(EUconst_BMlistNames,R17),"")</f>
        <v/>
      </c>
      <c r="R95" s="2"/>
      <c r="S95" s="2"/>
      <c r="T95" s="2"/>
      <c r="U95" s="2"/>
      <c r="V95" s="2"/>
      <c r="W95" s="2"/>
      <c r="X95" s="2"/>
      <c r="Y95" s="7"/>
      <c r="Z95" s="7"/>
      <c r="AA95" s="7"/>
      <c r="AB95" s="7"/>
      <c r="AC95" s="7"/>
      <c r="AD95" s="7"/>
      <c r="AE95" s="7"/>
      <c r="AF95" s="7"/>
      <c r="AG95" s="7"/>
      <c r="AH95" s="7"/>
      <c r="AI95" s="7"/>
      <c r="AJ95" s="7"/>
      <c r="AK95" s="7"/>
      <c r="AL95" s="7"/>
    </row>
    <row r="96" spans="1:38" ht="5.15" customHeight="1" x14ac:dyDescent="0.25">
      <c r="A96" s="2"/>
      <c r="B96" s="3"/>
      <c r="C96" s="3"/>
      <c r="D96" s="3"/>
      <c r="E96" s="3"/>
      <c r="F96" s="3"/>
      <c r="G96" s="3"/>
      <c r="H96" s="3"/>
      <c r="I96" s="3"/>
      <c r="J96" s="3"/>
      <c r="K96" s="3"/>
      <c r="L96" s="3"/>
      <c r="M96" s="6"/>
      <c r="N96" s="6"/>
      <c r="O96" s="6"/>
      <c r="P96" s="15"/>
      <c r="Q96" s="7"/>
      <c r="R96" s="2"/>
      <c r="S96" s="2"/>
      <c r="T96" s="2"/>
      <c r="U96" s="2"/>
      <c r="V96" s="2"/>
      <c r="W96" s="2"/>
      <c r="X96" s="2"/>
      <c r="Y96" s="7"/>
      <c r="Z96" s="7"/>
      <c r="AA96" s="7"/>
      <c r="AB96" s="7"/>
      <c r="AC96" s="7"/>
      <c r="AD96" s="7"/>
      <c r="AE96" s="7"/>
      <c r="AF96" s="7"/>
      <c r="AG96" s="7"/>
      <c r="AH96" s="7"/>
      <c r="AI96" s="7"/>
      <c r="AJ96" s="7"/>
      <c r="AK96" s="7"/>
      <c r="AL96" s="7"/>
    </row>
    <row r="97" spans="1:38" ht="13" x14ac:dyDescent="0.25">
      <c r="A97" s="2"/>
      <c r="B97" s="3"/>
      <c r="C97" s="3"/>
      <c r="D97" s="3"/>
      <c r="E97" s="2748" t="str">
        <f>IF(L17=EUconst_Relevant,HYPERLINK(R97,EUconst_MsgBackToSheetF),"")</f>
        <v/>
      </c>
      <c r="F97" s="2749"/>
      <c r="G97" s="2749"/>
      <c r="H97" s="2749"/>
      <c r="I97" s="2749"/>
      <c r="J97" s="2749"/>
      <c r="K97" s="2749"/>
      <c r="L97" s="2749"/>
      <c r="M97" s="2749"/>
      <c r="N97" s="2750"/>
      <c r="O97" s="6"/>
      <c r="P97" s="15"/>
      <c r="Q97" s="309" t="s">
        <v>127</v>
      </c>
      <c r="R97" s="108" t="str">
        <f>R19</f>
        <v/>
      </c>
      <c r="S97" s="2"/>
      <c r="T97" s="2"/>
      <c r="U97" s="2"/>
      <c r="V97" s="2"/>
      <c r="W97" s="2"/>
      <c r="X97" s="2"/>
      <c r="Y97" s="7"/>
      <c r="Z97" s="7"/>
      <c r="AA97" s="7"/>
      <c r="AB97" s="7"/>
      <c r="AC97" s="7"/>
      <c r="AD97" s="7"/>
      <c r="AE97" s="7"/>
      <c r="AF97" s="7"/>
      <c r="AG97" s="7"/>
      <c r="AH97" s="7"/>
      <c r="AI97" s="7"/>
      <c r="AJ97" s="7"/>
      <c r="AK97" s="7"/>
      <c r="AL97" s="7"/>
    </row>
    <row r="98" spans="1:38" x14ac:dyDescent="0.25">
      <c r="A98" s="2"/>
      <c r="B98" s="19"/>
      <c r="C98" s="19"/>
      <c r="D98" s="19"/>
      <c r="E98" s="19"/>
      <c r="F98" s="19"/>
      <c r="G98" s="19"/>
      <c r="H98" s="19"/>
      <c r="I98" s="19"/>
      <c r="J98" s="19"/>
      <c r="K98" s="19"/>
      <c r="L98" s="19"/>
      <c r="M98" s="19"/>
      <c r="N98" s="19"/>
      <c r="O98" s="6"/>
      <c r="P98" s="15"/>
      <c r="Q98" s="2"/>
      <c r="R98" s="2"/>
      <c r="S98" s="2"/>
      <c r="T98" s="2"/>
      <c r="U98" s="2"/>
      <c r="V98" s="2"/>
      <c r="W98" s="2"/>
      <c r="X98" s="2"/>
      <c r="Y98" s="7"/>
      <c r="Z98" s="7"/>
      <c r="AA98" s="7"/>
      <c r="AB98" s="7"/>
      <c r="AC98" s="7"/>
      <c r="AD98" s="7"/>
      <c r="AE98" s="7"/>
      <c r="AF98" s="7"/>
      <c r="AG98" s="7"/>
      <c r="AH98" s="7"/>
      <c r="AI98" s="7"/>
      <c r="AJ98" s="7"/>
      <c r="AK98" s="7"/>
      <c r="AL98" s="7"/>
    </row>
    <row r="99" spans="1:38" ht="15.5" x14ac:dyDescent="0.35">
      <c r="A99" s="2"/>
      <c r="B99" s="3"/>
      <c r="C99" s="11" t="s">
        <v>954</v>
      </c>
      <c r="D99" s="1975" t="str">
        <f>Translations!$B$808</f>
        <v>Kalk</v>
      </c>
      <c r="E99" s="1975"/>
      <c r="F99" s="1975"/>
      <c r="G99" s="1975"/>
      <c r="H99" s="1975"/>
      <c r="I99" s="1975"/>
      <c r="J99" s="1975"/>
      <c r="K99" s="1975"/>
      <c r="L99" s="1975"/>
      <c r="M99" s="1975"/>
      <c r="N99" s="1975"/>
      <c r="O99" s="6"/>
      <c r="P99" s="15"/>
      <c r="Q99" s="7"/>
      <c r="R99" s="2"/>
      <c r="S99" s="2"/>
      <c r="T99" s="2"/>
      <c r="U99" s="2"/>
      <c r="V99" s="2"/>
      <c r="W99" s="2"/>
      <c r="X99" s="2"/>
      <c r="Y99" s="7"/>
      <c r="Z99" s="7"/>
      <c r="AA99" s="7"/>
      <c r="AB99" s="7"/>
      <c r="AC99" s="7"/>
      <c r="AD99" s="7"/>
      <c r="AE99" s="7"/>
      <c r="AF99" s="7"/>
      <c r="AG99" s="7"/>
      <c r="AH99" s="7"/>
      <c r="AI99" s="7"/>
      <c r="AJ99" s="7"/>
      <c r="AK99" s="7"/>
      <c r="AL99" s="7"/>
    </row>
    <row r="100" spans="1:38" ht="5.15" customHeight="1" x14ac:dyDescent="0.25">
      <c r="A100" s="2"/>
      <c r="B100" s="3"/>
      <c r="C100" s="3"/>
      <c r="D100" s="3"/>
      <c r="E100" s="3"/>
      <c r="F100" s="3"/>
      <c r="G100" s="3"/>
      <c r="H100" s="3"/>
      <c r="I100" s="3"/>
      <c r="J100" s="3"/>
      <c r="K100" s="3"/>
      <c r="L100" s="3"/>
      <c r="M100" s="6"/>
      <c r="N100" s="6"/>
      <c r="O100" s="6"/>
      <c r="P100" s="15"/>
      <c r="Q100" s="7"/>
      <c r="R100" s="2"/>
      <c r="S100" s="2"/>
      <c r="T100" s="2"/>
      <c r="U100" s="2"/>
      <c r="V100" s="2"/>
      <c r="W100" s="2"/>
      <c r="X100" s="2"/>
      <c r="Y100" s="7"/>
      <c r="Z100" s="7"/>
      <c r="AA100" s="7"/>
      <c r="AB100" s="7"/>
      <c r="AC100" s="7"/>
      <c r="AD100" s="7"/>
      <c r="AE100" s="7"/>
      <c r="AF100" s="7"/>
      <c r="AG100" s="7"/>
      <c r="AH100" s="7"/>
      <c r="AI100" s="7"/>
      <c r="AJ100" s="7"/>
      <c r="AK100" s="7"/>
      <c r="AL100" s="7"/>
    </row>
    <row r="101" spans="1:38" ht="14" x14ac:dyDescent="0.3">
      <c r="A101" s="2"/>
      <c r="B101" s="3"/>
      <c r="C101" s="17"/>
      <c r="D101" s="2053" t="str">
        <f>Translations!$B$809</f>
        <v>Verktyg för att beräkna historiska verksamhetsnivåer för kalkdelanläggningar</v>
      </c>
      <c r="E101" s="1963"/>
      <c r="F101" s="1963"/>
      <c r="G101" s="1963"/>
      <c r="H101" s="1963"/>
      <c r="I101" s="1963"/>
      <c r="J101" s="1963"/>
      <c r="K101" s="1963"/>
      <c r="L101" s="1963"/>
      <c r="M101" s="1963"/>
      <c r="N101" s="1963"/>
      <c r="O101" s="6"/>
      <c r="P101" s="15"/>
      <c r="Q101" s="7"/>
      <c r="R101" s="2"/>
      <c r="S101" s="2"/>
      <c r="T101" s="2"/>
      <c r="U101" s="2"/>
      <c r="V101" s="2"/>
      <c r="W101" s="2"/>
      <c r="X101" s="2"/>
      <c r="Y101" s="7"/>
      <c r="Z101" s="7"/>
      <c r="AA101" s="7"/>
      <c r="AB101" s="7"/>
      <c r="AC101" s="7"/>
      <c r="AD101" s="7"/>
      <c r="AE101" s="7"/>
      <c r="AF101" s="7"/>
      <c r="AG101" s="7"/>
      <c r="AH101" s="7"/>
      <c r="AI101" s="7"/>
      <c r="AJ101" s="7"/>
      <c r="AK101" s="7"/>
      <c r="AL101" s="7"/>
    </row>
    <row r="102" spans="1:38" ht="5.15" customHeight="1" x14ac:dyDescent="0.25">
      <c r="A102" s="2"/>
      <c r="B102" s="3"/>
      <c r="C102" s="3"/>
      <c r="D102" s="3"/>
      <c r="E102" s="3"/>
      <c r="F102" s="3"/>
      <c r="G102" s="3"/>
      <c r="H102" s="3"/>
      <c r="I102" s="3"/>
      <c r="J102" s="3"/>
      <c r="K102" s="3"/>
      <c r="L102" s="3"/>
      <c r="M102" s="6"/>
      <c r="N102" s="6"/>
      <c r="O102" s="6"/>
      <c r="P102" s="15"/>
      <c r="Q102" s="7"/>
      <c r="R102" s="2"/>
      <c r="S102" s="2"/>
      <c r="T102" s="2"/>
      <c r="U102" s="2"/>
      <c r="V102" s="2"/>
      <c r="W102" s="2"/>
      <c r="X102" s="2"/>
      <c r="Y102" s="7"/>
      <c r="Z102" s="7"/>
      <c r="AA102" s="7"/>
      <c r="AB102" s="7"/>
      <c r="AC102" s="7"/>
      <c r="AD102" s="7"/>
      <c r="AE102" s="7"/>
      <c r="AF102" s="7"/>
      <c r="AG102" s="7"/>
      <c r="AH102" s="7"/>
      <c r="AI102" s="7"/>
      <c r="AJ102" s="7"/>
      <c r="AK102" s="7"/>
      <c r="AL102" s="7"/>
    </row>
    <row r="103" spans="1:38" x14ac:dyDescent="0.25">
      <c r="A103" s="2"/>
      <c r="B103" s="3"/>
      <c r="C103" s="3"/>
      <c r="D103" s="15"/>
      <c r="E103" s="2061" t="str">
        <f>Translations!$B$810</f>
        <v>Med hjälp av detta verktyg kan ni fastställa de historiska verksamhetsnivåerna för riktmärket för kalk (punkt 2 i bilaga III till FAR)</v>
      </c>
      <c r="F103" s="1963"/>
      <c r="G103" s="1963"/>
      <c r="H103" s="1963"/>
      <c r="I103" s="1963"/>
      <c r="J103" s="1963"/>
      <c r="K103" s="1963"/>
      <c r="L103" s="1963"/>
      <c r="M103" s="1963"/>
      <c r="N103" s="1963"/>
      <c r="O103" s="6"/>
      <c r="P103" s="15"/>
      <c r="Q103" s="7"/>
      <c r="R103" s="2"/>
      <c r="S103" s="2"/>
      <c r="T103" s="2"/>
      <c r="U103" s="2"/>
      <c r="V103" s="2"/>
      <c r="W103" s="2"/>
      <c r="X103" s="2"/>
      <c r="Y103" s="7"/>
      <c r="Z103" s="7"/>
      <c r="AA103" s="7"/>
      <c r="AB103" s="7"/>
      <c r="AC103" s="7"/>
      <c r="AD103" s="7"/>
      <c r="AE103" s="7"/>
      <c r="AF103" s="7"/>
      <c r="AG103" s="7"/>
      <c r="AH103" s="7"/>
      <c r="AI103" s="7"/>
      <c r="AJ103" s="7"/>
      <c r="AK103" s="7"/>
      <c r="AL103" s="7"/>
    </row>
    <row r="104" spans="1:38" x14ac:dyDescent="0.25">
      <c r="A104" s="2"/>
      <c r="B104" s="3"/>
      <c r="C104" s="3"/>
      <c r="D104" s="15"/>
      <c r="E104" s="2061" t="str">
        <f>Translations!$B$731</f>
        <v>Resultatet av verktyget kopieras automatiskt in i blad ”F_ProductBM”, inmatningsrad a.ii för delanläggningen i fråga.</v>
      </c>
      <c r="F104" s="1963"/>
      <c r="G104" s="1963"/>
      <c r="H104" s="1963"/>
      <c r="I104" s="1963"/>
      <c r="J104" s="1963"/>
      <c r="K104" s="1963"/>
      <c r="L104" s="1963"/>
      <c r="M104" s="1963"/>
      <c r="N104" s="1963"/>
      <c r="O104" s="6"/>
      <c r="P104" s="15"/>
      <c r="Q104" s="7"/>
      <c r="R104" s="2"/>
      <c r="S104" s="2"/>
      <c r="T104" s="2"/>
      <c r="U104" s="2"/>
      <c r="V104" s="2"/>
      <c r="W104" s="2"/>
      <c r="X104" s="2"/>
      <c r="Y104" s="7"/>
      <c r="Z104" s="7"/>
      <c r="AA104" s="7"/>
      <c r="AB104" s="7"/>
      <c r="AC104" s="7"/>
      <c r="AD104" s="7"/>
      <c r="AE104" s="7"/>
      <c r="AF104" s="7"/>
      <c r="AG104" s="7"/>
      <c r="AH104" s="7"/>
      <c r="AI104" s="7"/>
      <c r="AJ104" s="7"/>
      <c r="AK104" s="7"/>
      <c r="AL104" s="7"/>
    </row>
    <row r="105" spans="1:38" ht="5.15" customHeight="1" x14ac:dyDescent="0.25">
      <c r="A105" s="2"/>
      <c r="B105" s="3"/>
      <c r="C105" s="3"/>
      <c r="D105" s="3"/>
      <c r="E105" s="3"/>
      <c r="F105" s="3"/>
      <c r="G105" s="3"/>
      <c r="H105" s="3"/>
      <c r="I105" s="3"/>
      <c r="J105" s="3"/>
      <c r="K105" s="3"/>
      <c r="L105" s="3"/>
      <c r="M105" s="6"/>
      <c r="N105" s="6"/>
      <c r="O105" s="6"/>
      <c r="P105" s="15"/>
      <c r="Q105" s="7"/>
      <c r="R105" s="2"/>
      <c r="S105" s="2"/>
      <c r="T105" s="2"/>
      <c r="U105" s="2"/>
      <c r="V105" s="2"/>
      <c r="W105" s="2"/>
      <c r="X105" s="2"/>
      <c r="Y105" s="7"/>
      <c r="Z105" s="7"/>
      <c r="AA105" s="7"/>
      <c r="AB105" s="7"/>
      <c r="AC105" s="7"/>
      <c r="AD105" s="7"/>
      <c r="AE105" s="7"/>
      <c r="AF105" s="7"/>
      <c r="AG105" s="7"/>
      <c r="AH105" s="7"/>
      <c r="AI105" s="7"/>
      <c r="AJ105" s="7"/>
      <c r="AK105" s="7"/>
      <c r="AL105" s="7"/>
    </row>
    <row r="106" spans="1:38" ht="14" x14ac:dyDescent="0.3">
      <c r="A106" s="2"/>
      <c r="B106" s="3"/>
      <c r="C106" s="3"/>
      <c r="D106" s="13" t="s">
        <v>442</v>
      </c>
      <c r="E106" s="1943" t="str">
        <f>Translations!$B$732</f>
        <v>Verktygets relevans för er anläggning:</v>
      </c>
      <c r="F106" s="1943"/>
      <c r="G106" s="1943"/>
      <c r="H106" s="1943"/>
      <c r="I106" s="1943"/>
      <c r="J106" s="1943"/>
      <c r="K106" s="2067"/>
      <c r="L106" s="2751" t="str">
        <f>IF(CNTR_ExistSubInstEntries,IF(COUNTIF(CNTR_SubInstListNames,INDEX(EUconst_BMlistNames,R106))&gt;0,EUconst_Relevant,EUconst_NotRelevant),"")</f>
        <v/>
      </c>
      <c r="M106" s="2752"/>
      <c r="N106" s="2753"/>
      <c r="O106" s="6"/>
      <c r="P106" s="15"/>
      <c r="Q106" s="309" t="s">
        <v>128</v>
      </c>
      <c r="R106" s="297">
        <v>12</v>
      </c>
      <c r="S106" s="2"/>
      <c r="T106" s="2"/>
      <c r="U106" s="2"/>
      <c r="V106" s="2"/>
      <c r="W106" s="2"/>
      <c r="X106" s="2"/>
      <c r="Y106" s="7"/>
      <c r="Z106" s="7"/>
      <c r="AA106" s="7"/>
      <c r="AB106" s="7"/>
      <c r="AC106" s="7"/>
      <c r="AD106" s="7"/>
      <c r="AE106" s="7"/>
      <c r="AF106" s="7"/>
      <c r="AG106" s="7"/>
      <c r="AH106" s="7"/>
      <c r="AI106" s="7"/>
      <c r="AJ106" s="7"/>
      <c r="AK106" s="7"/>
      <c r="AL106" s="7"/>
    </row>
    <row r="107" spans="1:38" x14ac:dyDescent="0.25">
      <c r="A107" s="2"/>
      <c r="B107" s="3"/>
      <c r="C107" s="3"/>
      <c r="D107" s="15"/>
      <c r="E107" s="1999" t="str">
        <f>Translations!$B$733</f>
        <v>Detta meddelande visas automatiskt på grundval av er tidigare inmatning i blad ”A_InstallationData", avsnitt A.III.1.</v>
      </c>
      <c r="F107" s="2000"/>
      <c r="G107" s="2000"/>
      <c r="H107" s="2000"/>
      <c r="I107" s="2000"/>
      <c r="J107" s="2000"/>
      <c r="K107" s="2000"/>
      <c r="L107" s="2000"/>
      <c r="M107" s="2000"/>
      <c r="N107" s="2000"/>
      <c r="O107" s="6"/>
      <c r="P107" s="15"/>
      <c r="Q107" s="7"/>
      <c r="R107" s="2"/>
      <c r="S107" s="2"/>
      <c r="T107" s="2"/>
      <c r="U107" s="2"/>
      <c r="V107" s="2"/>
      <c r="W107" s="2"/>
      <c r="X107" s="2"/>
      <c r="Y107" s="7"/>
      <c r="Z107" s="7"/>
      <c r="AA107" s="7"/>
      <c r="AB107" s="7"/>
      <c r="AC107" s="7"/>
      <c r="AD107" s="7"/>
      <c r="AE107" s="7"/>
      <c r="AF107" s="7"/>
      <c r="AG107" s="7"/>
      <c r="AH107" s="7"/>
      <c r="AI107" s="7"/>
      <c r="AJ107" s="7"/>
      <c r="AK107" s="7"/>
      <c r="AL107" s="7"/>
    </row>
    <row r="108" spans="1:38" ht="13" x14ac:dyDescent="0.25">
      <c r="A108" s="2"/>
      <c r="B108" s="3"/>
      <c r="C108" s="3"/>
      <c r="D108" s="3"/>
      <c r="E108" s="2748" t="str">
        <f>IF(L106=EUconst_Relevant,HYPERLINK(R108,EUconst_MsgBackToSheetF),"")</f>
        <v/>
      </c>
      <c r="F108" s="2749"/>
      <c r="G108" s="2749"/>
      <c r="H108" s="2749"/>
      <c r="I108" s="2749"/>
      <c r="J108" s="2749"/>
      <c r="K108" s="2749"/>
      <c r="L108" s="2749"/>
      <c r="M108" s="2749"/>
      <c r="N108" s="2750"/>
      <c r="O108" s="6"/>
      <c r="P108" s="15"/>
      <c r="Q108" s="309" t="s">
        <v>127</v>
      </c>
      <c r="R108" s="108" t="str">
        <f>IF(ISNUMBER(MATCH(R106,CNTR_SubInstListBMnumbers,0)),"#JUMP_F"&amp;MATCH(R106,CNTR_SubInstListBMnumbers,0),"")</f>
        <v/>
      </c>
      <c r="S108" s="2"/>
      <c r="T108" s="2"/>
      <c r="U108" s="2"/>
      <c r="V108" s="2"/>
      <c r="W108" s="2"/>
      <c r="X108" s="2"/>
      <c r="Y108" s="7"/>
      <c r="Z108" s="7"/>
      <c r="AA108" s="7"/>
      <c r="AB108" s="7"/>
      <c r="AC108" s="7"/>
      <c r="AD108" s="7"/>
      <c r="AE108" s="7"/>
      <c r="AF108" s="7"/>
      <c r="AG108" s="7"/>
      <c r="AH108" s="7"/>
      <c r="AI108" s="7"/>
      <c r="AJ108" s="7"/>
      <c r="AK108" s="7"/>
      <c r="AL108" s="7"/>
    </row>
    <row r="109" spans="1:38" ht="5.15" customHeight="1" x14ac:dyDescent="0.25">
      <c r="A109" s="2"/>
      <c r="B109" s="3"/>
      <c r="C109" s="3"/>
      <c r="D109" s="3"/>
      <c r="E109" s="3"/>
      <c r="F109" s="3"/>
      <c r="G109" s="3"/>
      <c r="H109" s="3"/>
      <c r="I109" s="3"/>
      <c r="J109" s="3"/>
      <c r="K109" s="3"/>
      <c r="L109" s="3"/>
      <c r="M109" s="6"/>
      <c r="N109" s="6"/>
      <c r="O109" s="6"/>
      <c r="P109" s="15"/>
      <c r="Q109" s="7"/>
      <c r="R109" s="2"/>
      <c r="S109" s="2"/>
      <c r="T109" s="2"/>
      <c r="U109" s="2"/>
      <c r="V109" s="2"/>
      <c r="W109" s="2"/>
      <c r="X109" s="2"/>
      <c r="Y109" s="7"/>
      <c r="Z109" s="7"/>
      <c r="AA109" s="7"/>
      <c r="AB109" s="7"/>
      <c r="AC109" s="7"/>
      <c r="AD109" s="7"/>
      <c r="AE109" s="7"/>
      <c r="AF109" s="7"/>
      <c r="AG109" s="7"/>
      <c r="AH109" s="7"/>
      <c r="AI109" s="7"/>
      <c r="AJ109" s="7"/>
      <c r="AK109" s="7"/>
      <c r="AL109" s="7"/>
    </row>
    <row r="110" spans="1:38" ht="13" x14ac:dyDescent="0.25">
      <c r="A110" s="2"/>
      <c r="B110" s="3"/>
      <c r="C110" s="3"/>
      <c r="D110" s="13" t="s">
        <v>955</v>
      </c>
      <c r="E110" s="1943" t="str">
        <f>Translations!$B$811</f>
        <v>Okorrigerad kalkproduktion:</v>
      </c>
      <c r="F110" s="1963"/>
      <c r="G110" s="1963"/>
      <c r="H110" s="1963"/>
      <c r="I110" s="1963"/>
      <c r="J110" s="1963"/>
      <c r="K110" s="1963"/>
      <c r="L110" s="1963"/>
      <c r="M110" s="1963"/>
      <c r="N110" s="1963"/>
      <c r="O110" s="6"/>
      <c r="P110" s="15"/>
      <c r="Q110" s="7"/>
      <c r="R110" s="2"/>
      <c r="S110" s="2"/>
      <c r="T110" s="2"/>
      <c r="U110" s="2"/>
      <c r="V110" s="2"/>
      <c r="W110" s="2"/>
      <c r="X110" s="2"/>
      <c r="Y110" s="7"/>
      <c r="Z110" s="7"/>
      <c r="AA110" s="7"/>
      <c r="AB110" s="7"/>
      <c r="AC110" s="7"/>
      <c r="AD110" s="7"/>
      <c r="AE110" s="7"/>
      <c r="AF110" s="7"/>
      <c r="AG110" s="7"/>
      <c r="AH110" s="7"/>
      <c r="AI110" s="7"/>
      <c r="AJ110" s="7"/>
      <c r="AK110" s="7"/>
      <c r="AL110" s="7"/>
    </row>
    <row r="111" spans="1:38" x14ac:dyDescent="0.25">
      <c r="A111" s="2"/>
      <c r="B111" s="3"/>
      <c r="C111" s="3"/>
      <c r="D111" s="15"/>
      <c r="E111" s="2061" t="str">
        <f>Translations!$B$812</f>
        <v>Var god ange uppgifter om den årliga produktionen uttryckt i ton kalk, utan korrigering för uppgifter om sammansättning:</v>
      </c>
      <c r="F111" s="1963"/>
      <c r="G111" s="1963"/>
      <c r="H111" s="1963"/>
      <c r="I111" s="1963"/>
      <c r="J111" s="1963"/>
      <c r="K111" s="1963"/>
      <c r="L111" s="1963"/>
      <c r="M111" s="1963"/>
      <c r="N111" s="1963"/>
      <c r="O111" s="6"/>
      <c r="P111" s="15"/>
      <c r="Q111" s="7"/>
      <c r="R111" s="2"/>
      <c r="S111" s="2"/>
      <c r="T111" s="2"/>
      <c r="U111" s="2"/>
      <c r="V111" s="2"/>
      <c r="W111" s="2"/>
      <c r="X111" s="2"/>
      <c r="Y111" s="7"/>
      <c r="Z111" s="7"/>
      <c r="AA111" s="7"/>
      <c r="AB111" s="7"/>
      <c r="AC111" s="7"/>
      <c r="AD111" s="7"/>
      <c r="AE111" s="7"/>
      <c r="AF111" s="7"/>
      <c r="AG111" s="7"/>
      <c r="AH111" s="7"/>
      <c r="AI111" s="7"/>
      <c r="AJ111" s="7"/>
      <c r="AK111" s="7"/>
      <c r="AL111" s="7"/>
    </row>
    <row r="112" spans="1:38" ht="13.5" thickBot="1" x14ac:dyDescent="0.3">
      <c r="A112" s="2"/>
      <c r="B112" s="19"/>
      <c r="C112" s="19"/>
      <c r="D112" s="13"/>
      <c r="E112" s="24"/>
      <c r="F112" s="21"/>
      <c r="G112" s="30" t="str">
        <f>EUconst_Unit</f>
        <v>Enhet</v>
      </c>
      <c r="H112" s="350">
        <f t="shared" ref="H112:N112" si="12">H$421</f>
        <v>2019</v>
      </c>
      <c r="I112" s="673">
        <f t="shared" si="12"/>
        <v>2020</v>
      </c>
      <c r="J112" s="1065">
        <f t="shared" si="12"/>
        <v>2021</v>
      </c>
      <c r="K112" s="350">
        <f t="shared" si="12"/>
        <v>2022</v>
      </c>
      <c r="L112" s="350">
        <f t="shared" si="12"/>
        <v>2023</v>
      </c>
      <c r="M112" s="350">
        <f t="shared" si="12"/>
        <v>2024</v>
      </c>
      <c r="N112" s="350">
        <f t="shared" si="12"/>
        <v>2025</v>
      </c>
      <c r="O112" s="6"/>
      <c r="P112" s="15"/>
      <c r="Q112" s="2"/>
      <c r="R112" s="2"/>
      <c r="S112" s="2"/>
      <c r="T112" s="2"/>
      <c r="U112" s="2"/>
      <c r="V112" s="2"/>
      <c r="W112" s="2"/>
      <c r="X112" s="2"/>
      <c r="Y112" s="7"/>
      <c r="Z112" s="7"/>
      <c r="AA112" s="7"/>
      <c r="AB112" s="2"/>
      <c r="AC112" s="1051">
        <f t="shared" ref="AC112:AI112" si="13">H112</f>
        <v>2019</v>
      </c>
      <c r="AD112" s="1051">
        <f t="shared" si="13"/>
        <v>2020</v>
      </c>
      <c r="AE112" s="1051">
        <f t="shared" si="13"/>
        <v>2021</v>
      </c>
      <c r="AF112" s="1051">
        <f t="shared" si="13"/>
        <v>2022</v>
      </c>
      <c r="AG112" s="1051">
        <f t="shared" si="13"/>
        <v>2023</v>
      </c>
      <c r="AH112" s="1051">
        <f t="shared" si="13"/>
        <v>2024</v>
      </c>
      <c r="AI112" s="1051">
        <f t="shared" si="13"/>
        <v>2025</v>
      </c>
      <c r="AJ112" s="7"/>
      <c r="AK112" s="7"/>
      <c r="AL112" s="7"/>
    </row>
    <row r="113" spans="1:38" ht="13.5" customHeight="1" x14ac:dyDescent="0.25">
      <c r="A113" s="2"/>
      <c r="B113" s="19"/>
      <c r="C113" s="19"/>
      <c r="D113" s="19"/>
      <c r="E113" s="915" t="str">
        <f>Translations!$B$813</f>
        <v>okorrigerad kalkproduktion</v>
      </c>
      <c r="F113" s="915"/>
      <c r="G113" s="43" t="str">
        <f>EUconst_tpa</f>
        <v>t / år</v>
      </c>
      <c r="H113" s="241"/>
      <c r="I113" s="1518"/>
      <c r="J113" s="1519"/>
      <c r="K113" s="241"/>
      <c r="L113" s="241"/>
      <c r="M113" s="241"/>
      <c r="N113" s="241"/>
      <c r="O113" s="6"/>
      <c r="P113" s="15"/>
      <c r="Q113" s="2"/>
      <c r="R113" s="2"/>
      <c r="S113" s="2"/>
      <c r="T113" s="2"/>
      <c r="U113" s="2"/>
      <c r="V113" s="2"/>
      <c r="W113" s="2"/>
      <c r="X113" s="2"/>
      <c r="Y113" s="7"/>
      <c r="Z113" s="7"/>
      <c r="AA113" s="7"/>
      <c r="AB113" s="672" t="s">
        <v>782</v>
      </c>
      <c r="AC113" s="1059" t="b">
        <f t="shared" ref="AC113:AI113" si="14">IF(CNTR_ExistSubInstEntries,IF($L106=EUconst_Relevant,AC112&gt;=CNTR_ReportingYear,TRUE),FALSE)</f>
        <v>0</v>
      </c>
      <c r="AD113" s="1057" t="b">
        <f t="shared" si="14"/>
        <v>0</v>
      </c>
      <c r="AE113" s="1057" t="b">
        <f t="shared" si="14"/>
        <v>0</v>
      </c>
      <c r="AF113" s="1057" t="b">
        <f t="shared" si="14"/>
        <v>0</v>
      </c>
      <c r="AG113" s="1057" t="b">
        <f t="shared" si="14"/>
        <v>0</v>
      </c>
      <c r="AH113" s="1057" t="b">
        <f t="shared" si="14"/>
        <v>0</v>
      </c>
      <c r="AI113" s="1058" t="b">
        <f t="shared" si="14"/>
        <v>0</v>
      </c>
      <c r="AJ113" s="7"/>
      <c r="AK113" s="7"/>
      <c r="AL113" s="7"/>
    </row>
    <row r="114" spans="1:38" ht="5.15" customHeight="1" x14ac:dyDescent="0.25">
      <c r="A114" s="2"/>
      <c r="B114" s="3"/>
      <c r="C114" s="3"/>
      <c r="D114" s="3"/>
      <c r="E114" s="3"/>
      <c r="F114" s="3"/>
      <c r="G114" s="3"/>
      <c r="H114" s="3"/>
      <c r="I114" s="3"/>
      <c r="J114" s="3"/>
      <c r="K114" s="3"/>
      <c r="L114" s="3"/>
      <c r="M114" s="6"/>
      <c r="N114" s="6"/>
      <c r="O114" s="6"/>
      <c r="P114" s="15"/>
      <c r="Q114" s="7"/>
      <c r="R114" s="2"/>
      <c r="S114" s="2"/>
      <c r="T114" s="2"/>
      <c r="U114" s="2"/>
      <c r="V114" s="2"/>
      <c r="W114" s="2"/>
      <c r="X114" s="2"/>
      <c r="Y114" s="7"/>
      <c r="Z114" s="7"/>
      <c r="AA114" s="7"/>
      <c r="AB114" s="7"/>
      <c r="AC114" s="1066"/>
      <c r="AD114" s="7"/>
      <c r="AE114" s="7"/>
      <c r="AF114" s="7"/>
      <c r="AG114" s="7"/>
      <c r="AH114" s="7"/>
      <c r="AI114" s="1067"/>
      <c r="AJ114" s="7"/>
      <c r="AK114" s="7"/>
      <c r="AL114" s="7"/>
    </row>
    <row r="115" spans="1:38" ht="13" x14ac:dyDescent="0.25">
      <c r="A115" s="2"/>
      <c r="B115" s="3"/>
      <c r="C115" s="3"/>
      <c r="D115" s="13" t="s">
        <v>55</v>
      </c>
      <c r="E115" s="1943" t="str">
        <f>Translations!$B$814</f>
        <v>Uppgifter om sammansättning:</v>
      </c>
      <c r="F115" s="1963"/>
      <c r="G115" s="1963"/>
      <c r="H115" s="1963"/>
      <c r="I115" s="1963"/>
      <c r="J115" s="1963"/>
      <c r="K115" s="1963"/>
      <c r="L115" s="1963"/>
      <c r="M115" s="1963"/>
      <c r="N115" s="1963"/>
      <c r="O115" s="6"/>
      <c r="P115" s="15"/>
      <c r="Q115" s="7"/>
      <c r="R115" s="2"/>
      <c r="S115" s="2"/>
      <c r="T115" s="2"/>
      <c r="U115" s="2"/>
      <c r="V115" s="2"/>
      <c r="W115" s="2"/>
      <c r="X115" s="2"/>
      <c r="Y115" s="7"/>
      <c r="Z115" s="7"/>
      <c r="AA115" s="7"/>
      <c r="AB115" s="7"/>
      <c r="AC115" s="1066"/>
      <c r="AD115" s="7"/>
      <c r="AE115" s="7"/>
      <c r="AF115" s="7"/>
      <c r="AG115" s="7"/>
      <c r="AH115" s="7"/>
      <c r="AI115" s="1067"/>
      <c r="AJ115" s="7"/>
      <c r="AK115" s="7"/>
      <c r="AL115" s="7"/>
    </row>
    <row r="116" spans="1:38" x14ac:dyDescent="0.25">
      <c r="A116" s="2"/>
      <c r="B116" s="3"/>
      <c r="C116" s="3"/>
      <c r="D116" s="15"/>
      <c r="E116" s="2061" t="str">
        <f>Translations!$B$815</f>
        <v>Enligt punkt 2 i bilaga III till FAR krävs följande uppgifter:</v>
      </c>
      <c r="F116" s="1963"/>
      <c r="G116" s="1963"/>
      <c r="H116" s="1963"/>
      <c r="I116" s="1963"/>
      <c r="J116" s="1963"/>
      <c r="K116" s="1963"/>
      <c r="L116" s="1963"/>
      <c r="M116" s="1963"/>
      <c r="N116" s="1963"/>
      <c r="O116" s="6"/>
      <c r="P116" s="15"/>
      <c r="Q116" s="7"/>
      <c r="R116" s="2"/>
      <c r="S116" s="2"/>
      <c r="T116" s="2"/>
      <c r="U116" s="2"/>
      <c r="V116" s="2"/>
      <c r="W116" s="2"/>
      <c r="X116" s="2"/>
      <c r="Y116" s="7"/>
      <c r="Z116" s="7"/>
      <c r="AA116" s="7"/>
      <c r="AB116" s="7"/>
      <c r="AC116" s="1066"/>
      <c r="AD116" s="7"/>
      <c r="AE116" s="7"/>
      <c r="AF116" s="7"/>
      <c r="AG116" s="7"/>
      <c r="AH116" s="7"/>
      <c r="AI116" s="1067"/>
      <c r="AJ116" s="7"/>
      <c r="AK116" s="7"/>
      <c r="AL116" s="7"/>
    </row>
    <row r="117" spans="1:38" x14ac:dyDescent="0.25">
      <c r="A117" s="2"/>
      <c r="B117" s="3"/>
      <c r="C117" s="3"/>
      <c r="D117" s="15"/>
      <c r="E117" s="16" t="s">
        <v>111</v>
      </c>
      <c r="F117" s="2061" t="str">
        <f>Translations!$B$816</f>
        <v>halten fri CaO i den kalk som produceras för varje år under referensperioden uttryckt som viktprocent</v>
      </c>
      <c r="G117" s="1963"/>
      <c r="H117" s="1963"/>
      <c r="I117" s="1963"/>
      <c r="J117" s="1963"/>
      <c r="K117" s="1963"/>
      <c r="L117" s="1963"/>
      <c r="M117" s="1963"/>
      <c r="N117" s="1963"/>
      <c r="O117" s="6"/>
      <c r="P117" s="15"/>
      <c r="Q117" s="7"/>
      <c r="R117" s="2"/>
      <c r="S117" s="2"/>
      <c r="T117" s="2"/>
      <c r="U117" s="2"/>
      <c r="V117" s="2"/>
      <c r="W117" s="2"/>
      <c r="X117" s="2"/>
      <c r="Y117" s="7"/>
      <c r="Z117" s="7"/>
      <c r="AA117" s="7"/>
      <c r="AB117" s="7"/>
      <c r="AC117" s="1066"/>
      <c r="AD117" s="7"/>
      <c r="AE117" s="7"/>
      <c r="AF117" s="7"/>
      <c r="AG117" s="7"/>
      <c r="AH117" s="7"/>
      <c r="AI117" s="1067"/>
      <c r="AJ117" s="7"/>
      <c r="AK117" s="7"/>
      <c r="AL117" s="7"/>
    </row>
    <row r="118" spans="1:38" x14ac:dyDescent="0.25">
      <c r="A118" s="2"/>
      <c r="B118" s="3"/>
      <c r="C118" s="3"/>
      <c r="D118" s="15"/>
      <c r="E118" s="16"/>
      <c r="F118" s="2061" t="str">
        <f>Translations!$B$817</f>
        <v>Om data för halten fri CaO saknas, ska en konservativ skattning på högst 85 % användas.</v>
      </c>
      <c r="G118" s="1963"/>
      <c r="H118" s="1963"/>
      <c r="I118" s="1963"/>
      <c r="J118" s="1963"/>
      <c r="K118" s="1963"/>
      <c r="L118" s="1963"/>
      <c r="M118" s="1963"/>
      <c r="N118" s="1963"/>
      <c r="O118" s="6"/>
      <c r="P118" s="15"/>
      <c r="Q118" s="7"/>
      <c r="R118" s="2"/>
      <c r="S118" s="2"/>
      <c r="T118" s="2"/>
      <c r="U118" s="2"/>
      <c r="V118" s="2"/>
      <c r="W118" s="2"/>
      <c r="X118" s="2"/>
      <c r="Y118" s="7"/>
      <c r="Z118" s="7"/>
      <c r="AA118" s="7"/>
      <c r="AB118" s="7"/>
      <c r="AC118" s="1066"/>
      <c r="AD118" s="7"/>
      <c r="AE118" s="7"/>
      <c r="AF118" s="7"/>
      <c r="AG118" s="7"/>
      <c r="AH118" s="7"/>
      <c r="AI118" s="1067"/>
      <c r="AJ118" s="7"/>
      <c r="AK118" s="7"/>
      <c r="AL118" s="7"/>
    </row>
    <row r="119" spans="1:38" x14ac:dyDescent="0.25">
      <c r="A119" s="2"/>
      <c r="B119" s="3"/>
      <c r="C119" s="3"/>
      <c r="D119" s="15"/>
      <c r="E119" s="16" t="s">
        <v>113</v>
      </c>
      <c r="F119" s="2061" t="str">
        <f>Translations!$B$818</f>
        <v>halten fri MgO i den kalk som produceras för varje år under referensperioden uttryckt som viktprocent</v>
      </c>
      <c r="G119" s="1963"/>
      <c r="H119" s="1963"/>
      <c r="I119" s="1963"/>
      <c r="J119" s="1963"/>
      <c r="K119" s="1963"/>
      <c r="L119" s="1963"/>
      <c r="M119" s="1963"/>
      <c r="N119" s="1963"/>
      <c r="O119" s="6"/>
      <c r="P119" s="15"/>
      <c r="Q119" s="7"/>
      <c r="R119" s="2"/>
      <c r="S119" s="2"/>
      <c r="T119" s="2"/>
      <c r="U119" s="2"/>
      <c r="V119" s="2"/>
      <c r="W119" s="2"/>
      <c r="X119" s="2"/>
      <c r="Y119" s="7"/>
      <c r="Z119" s="7"/>
      <c r="AA119" s="7"/>
      <c r="AB119" s="7"/>
      <c r="AC119" s="1066"/>
      <c r="AD119" s="7"/>
      <c r="AE119" s="7"/>
      <c r="AF119" s="7"/>
      <c r="AG119" s="7"/>
      <c r="AH119" s="7"/>
      <c r="AI119" s="1067"/>
      <c r="AJ119" s="7"/>
      <c r="AK119" s="7"/>
      <c r="AL119" s="7"/>
    </row>
    <row r="120" spans="1:38" x14ac:dyDescent="0.25">
      <c r="A120" s="2"/>
      <c r="B120" s="3"/>
      <c r="C120" s="3"/>
      <c r="D120" s="15"/>
      <c r="E120" s="16"/>
      <c r="F120" s="2061" t="str">
        <f>Translations!$B$819</f>
        <v>Om data för halten fri MgO saknas, ska en konservativ skattning på högst 0,5 % användas.</v>
      </c>
      <c r="G120" s="1963"/>
      <c r="H120" s="1963"/>
      <c r="I120" s="1963"/>
      <c r="J120" s="1963"/>
      <c r="K120" s="1963"/>
      <c r="L120" s="1963"/>
      <c r="M120" s="1963"/>
      <c r="N120" s="1963"/>
      <c r="O120" s="6"/>
      <c r="P120" s="15"/>
      <c r="Q120" s="7"/>
      <c r="R120" s="2"/>
      <c r="S120" s="2"/>
      <c r="T120" s="2"/>
      <c r="U120" s="2"/>
      <c r="V120" s="2"/>
      <c r="W120" s="2"/>
      <c r="X120" s="2"/>
      <c r="Y120" s="7"/>
      <c r="Z120" s="7"/>
      <c r="AA120" s="7"/>
      <c r="AB120" s="7"/>
      <c r="AC120" s="1066"/>
      <c r="AD120" s="7"/>
      <c r="AE120" s="7"/>
      <c r="AF120" s="7"/>
      <c r="AG120" s="7"/>
      <c r="AH120" s="7"/>
      <c r="AI120" s="1067"/>
      <c r="AJ120" s="7"/>
      <c r="AK120" s="7"/>
      <c r="AL120" s="7"/>
    </row>
    <row r="121" spans="1:38" ht="13" x14ac:dyDescent="0.25">
      <c r="A121" s="2"/>
      <c r="B121" s="19"/>
      <c r="C121" s="19"/>
      <c r="D121" s="13"/>
      <c r="E121" s="24"/>
      <c r="F121" s="21"/>
      <c r="G121" s="30" t="str">
        <f>EUconst_Unit</f>
        <v>Enhet</v>
      </c>
      <c r="H121" s="350">
        <f t="shared" ref="H121:N121" si="15">H$421</f>
        <v>2019</v>
      </c>
      <c r="I121" s="673">
        <f t="shared" si="15"/>
        <v>2020</v>
      </c>
      <c r="J121" s="1065">
        <f t="shared" si="15"/>
        <v>2021</v>
      </c>
      <c r="K121" s="350">
        <f t="shared" si="15"/>
        <v>2022</v>
      </c>
      <c r="L121" s="350">
        <f t="shared" si="15"/>
        <v>2023</v>
      </c>
      <c r="M121" s="350">
        <f t="shared" si="15"/>
        <v>2024</v>
      </c>
      <c r="N121" s="350">
        <f t="shared" si="15"/>
        <v>2025</v>
      </c>
      <c r="O121" s="6"/>
      <c r="P121" s="15"/>
      <c r="Q121" s="2"/>
      <c r="R121" s="2"/>
      <c r="S121" s="2"/>
      <c r="T121" s="2"/>
      <c r="U121" s="2"/>
      <c r="V121" s="2"/>
      <c r="W121" s="2"/>
      <c r="X121" s="2"/>
      <c r="Y121" s="7"/>
      <c r="Z121" s="7"/>
      <c r="AA121" s="7"/>
      <c r="AB121" s="7"/>
      <c r="AC121" s="1066"/>
      <c r="AD121" s="7"/>
      <c r="AE121" s="7"/>
      <c r="AF121" s="7"/>
      <c r="AG121" s="7"/>
      <c r="AH121" s="7"/>
      <c r="AI121" s="1067"/>
      <c r="AJ121" s="7"/>
      <c r="AK121" s="7"/>
      <c r="AL121" s="7"/>
    </row>
    <row r="122" spans="1:38" ht="12.75" customHeight="1" x14ac:dyDescent="0.25">
      <c r="A122" s="2"/>
      <c r="B122" s="19"/>
      <c r="C122" s="19"/>
      <c r="D122" s="19"/>
      <c r="E122" s="916" t="str">
        <f>Translations!$B$820</f>
        <v>Halt CaO</v>
      </c>
      <c r="F122" s="916"/>
      <c r="G122" s="25" t="s">
        <v>1113</v>
      </c>
      <c r="H122" s="280"/>
      <c r="I122" s="467"/>
      <c r="J122" s="1106"/>
      <c r="K122" s="280"/>
      <c r="L122" s="280"/>
      <c r="M122" s="280"/>
      <c r="N122" s="280"/>
      <c r="O122" s="6"/>
      <c r="P122" s="15"/>
      <c r="Q122" s="2"/>
      <c r="R122" s="2"/>
      <c r="S122" s="2"/>
      <c r="T122" s="2"/>
      <c r="U122" s="2"/>
      <c r="V122" s="2"/>
      <c r="W122" s="2"/>
      <c r="X122" s="2"/>
      <c r="Y122" s="7"/>
      <c r="Z122" s="7"/>
      <c r="AA122" s="7"/>
      <c r="AB122" s="7"/>
      <c r="AC122" s="1060" t="b">
        <f>AC113</f>
        <v>0</v>
      </c>
      <c r="AD122" s="298" t="b">
        <f t="shared" ref="AD122:AI122" si="16">AD113</f>
        <v>0</v>
      </c>
      <c r="AE122" s="298" t="b">
        <f t="shared" si="16"/>
        <v>0</v>
      </c>
      <c r="AF122" s="298" t="b">
        <f t="shared" si="16"/>
        <v>0</v>
      </c>
      <c r="AG122" s="298" t="b">
        <f t="shared" si="16"/>
        <v>0</v>
      </c>
      <c r="AH122" s="298" t="b">
        <f t="shared" si="16"/>
        <v>0</v>
      </c>
      <c r="AI122" s="1061" t="b">
        <f t="shared" si="16"/>
        <v>0</v>
      </c>
      <c r="AJ122" s="7"/>
      <c r="AK122" s="7"/>
      <c r="AL122" s="7"/>
    </row>
    <row r="123" spans="1:38" ht="13.5" customHeight="1" thickBot="1" x14ac:dyDescent="0.3">
      <c r="A123" s="2"/>
      <c r="B123" s="19"/>
      <c r="C123" s="19"/>
      <c r="D123" s="19"/>
      <c r="E123" s="1520" t="str">
        <f>Translations!$B$821</f>
        <v>Halt MgO</v>
      </c>
      <c r="F123" s="1520"/>
      <c r="G123" s="27" t="s">
        <v>1113</v>
      </c>
      <c r="H123" s="277"/>
      <c r="I123" s="469"/>
      <c r="J123" s="1112"/>
      <c r="K123" s="277"/>
      <c r="L123" s="277"/>
      <c r="M123" s="277"/>
      <c r="N123" s="277"/>
      <c r="O123" s="6"/>
      <c r="P123" s="15"/>
      <c r="Q123" s="2"/>
      <c r="R123" s="2"/>
      <c r="S123" s="2"/>
      <c r="T123" s="2"/>
      <c r="U123" s="2"/>
      <c r="V123" s="2"/>
      <c r="W123" s="2"/>
      <c r="X123" s="2"/>
      <c r="Y123" s="7"/>
      <c r="Z123" s="7"/>
      <c r="AA123" s="7"/>
      <c r="AB123" s="7"/>
      <c r="AC123" s="1062" t="b">
        <f>AC122</f>
        <v>0</v>
      </c>
      <c r="AD123" s="1063" t="b">
        <f t="shared" ref="AD123:AI123" si="17">AD122</f>
        <v>0</v>
      </c>
      <c r="AE123" s="1063" t="b">
        <f t="shared" si="17"/>
        <v>0</v>
      </c>
      <c r="AF123" s="1063" t="b">
        <f t="shared" si="17"/>
        <v>0</v>
      </c>
      <c r="AG123" s="1063" t="b">
        <f t="shared" si="17"/>
        <v>0</v>
      </c>
      <c r="AH123" s="1063" t="b">
        <f t="shared" si="17"/>
        <v>0</v>
      </c>
      <c r="AI123" s="1064" t="b">
        <f t="shared" si="17"/>
        <v>0</v>
      </c>
      <c r="AJ123" s="7"/>
      <c r="AK123" s="7"/>
      <c r="AL123" s="7"/>
    </row>
    <row r="124" spans="1:38" ht="5.15" customHeight="1" x14ac:dyDescent="0.25">
      <c r="A124" s="2"/>
      <c r="B124" s="3"/>
      <c r="C124" s="3"/>
      <c r="D124" s="3"/>
      <c r="E124" s="3"/>
      <c r="F124" s="3"/>
      <c r="G124" s="3"/>
      <c r="H124" s="3"/>
      <c r="I124" s="3"/>
      <c r="J124" s="3"/>
      <c r="K124" s="3"/>
      <c r="L124" s="3"/>
      <c r="M124" s="6"/>
      <c r="N124" s="6"/>
      <c r="O124" s="6"/>
      <c r="P124" s="15"/>
      <c r="Q124" s="7"/>
      <c r="R124" s="2"/>
      <c r="S124" s="2"/>
      <c r="T124" s="2"/>
      <c r="U124" s="2"/>
      <c r="V124" s="2"/>
      <c r="W124" s="2"/>
      <c r="X124" s="2"/>
      <c r="Y124" s="7"/>
      <c r="Z124" s="7"/>
      <c r="AA124" s="7"/>
      <c r="AB124" s="7"/>
      <c r="AC124" s="7"/>
      <c r="AD124" s="7"/>
      <c r="AE124" s="7"/>
      <c r="AF124" s="7"/>
      <c r="AG124" s="7"/>
      <c r="AH124" s="7"/>
      <c r="AI124" s="7"/>
      <c r="AJ124" s="7"/>
      <c r="AK124" s="7"/>
      <c r="AL124" s="7"/>
    </row>
    <row r="125" spans="1:38" ht="13" x14ac:dyDescent="0.25">
      <c r="A125" s="2"/>
      <c r="B125" s="3"/>
      <c r="C125" s="3"/>
      <c r="D125" s="13" t="s">
        <v>960</v>
      </c>
      <c r="E125" s="1943" t="str">
        <f>Translations!$B$822</f>
        <v>Resultat: Verksamhetsnivåer för kalk uttryckt i kalk av standardkvalitet</v>
      </c>
      <c r="F125" s="1963"/>
      <c r="G125" s="1963"/>
      <c r="H125" s="1963"/>
      <c r="I125" s="1963"/>
      <c r="J125" s="1963"/>
      <c r="K125" s="1963"/>
      <c r="L125" s="1963"/>
      <c r="M125" s="1963"/>
      <c r="N125" s="1963"/>
      <c r="O125" s="6"/>
      <c r="P125" s="15"/>
      <c r="Q125" s="7"/>
      <c r="R125" s="2"/>
      <c r="S125" s="2"/>
      <c r="T125" s="2"/>
      <c r="U125" s="2"/>
      <c r="V125" s="2"/>
      <c r="W125" s="2"/>
      <c r="X125" s="2"/>
      <c r="Y125" s="7"/>
      <c r="Z125" s="7"/>
      <c r="AA125" s="7"/>
      <c r="AB125" s="7"/>
      <c r="AC125" s="7"/>
      <c r="AD125" s="7"/>
      <c r="AE125" s="7"/>
      <c r="AF125" s="7"/>
      <c r="AG125" s="7"/>
      <c r="AH125" s="7"/>
      <c r="AI125" s="7"/>
      <c r="AJ125" s="7"/>
      <c r="AK125" s="7"/>
      <c r="AL125" s="7"/>
    </row>
    <row r="126" spans="1:38" x14ac:dyDescent="0.25">
      <c r="A126" s="2"/>
      <c r="B126" s="3"/>
      <c r="C126" s="3"/>
      <c r="D126" s="15"/>
      <c r="E126" s="2061" t="str">
        <f>Translations!$B$823</f>
        <v>Den korrigerade kalkverksamhetsnivån beräknas med hjälp av formeln i punkt 2 i bilaga III till FAR (innan genomsnittsvärdet fastställs).</v>
      </c>
      <c r="F126" s="1963"/>
      <c r="G126" s="1963"/>
      <c r="H126" s="1963"/>
      <c r="I126" s="1963"/>
      <c r="J126" s="1963"/>
      <c r="K126" s="1963"/>
      <c r="L126" s="1963"/>
      <c r="M126" s="1963"/>
      <c r="N126" s="1963"/>
      <c r="O126" s="6"/>
      <c r="P126" s="15"/>
      <c r="Q126" s="7"/>
      <c r="R126" s="2"/>
      <c r="S126" s="2"/>
      <c r="T126" s="2"/>
      <c r="U126" s="2"/>
      <c r="V126" s="2"/>
      <c r="W126" s="2"/>
      <c r="X126" s="2"/>
      <c r="Y126" s="7"/>
      <c r="Z126" s="7"/>
      <c r="AA126" s="7"/>
      <c r="AB126" s="7"/>
      <c r="AC126" s="7"/>
      <c r="AD126" s="7"/>
      <c r="AE126" s="7"/>
      <c r="AF126" s="7"/>
      <c r="AG126" s="7"/>
      <c r="AH126" s="7"/>
      <c r="AI126" s="7"/>
      <c r="AJ126" s="7"/>
      <c r="AK126" s="7"/>
      <c r="AL126" s="7"/>
    </row>
    <row r="127" spans="1:38" x14ac:dyDescent="0.25">
      <c r="A127" s="2"/>
      <c r="B127" s="3"/>
      <c r="C127" s="3"/>
      <c r="D127" s="15"/>
      <c r="E127" s="2061" t="str">
        <f>Translations!$B$806</f>
        <v>Resultatet av verktyget används i bladet ”F_ProductBM”, inmatningsrad a.ii för delanläggningen i fråga, och genomsnittet beräknas utifrån detta.</v>
      </c>
      <c r="F127" s="1963"/>
      <c r="G127" s="1963"/>
      <c r="H127" s="1963"/>
      <c r="I127" s="1963"/>
      <c r="J127" s="1963"/>
      <c r="K127" s="1963"/>
      <c r="L127" s="1963"/>
      <c r="M127" s="1963"/>
      <c r="N127" s="1963"/>
      <c r="O127" s="6"/>
      <c r="P127" s="15"/>
      <c r="Q127" s="7"/>
      <c r="R127" s="2"/>
      <c r="S127" s="2"/>
      <c r="T127" s="2"/>
      <c r="U127" s="2"/>
      <c r="V127" s="2"/>
      <c r="W127" s="2"/>
      <c r="X127" s="2"/>
      <c r="Y127" s="7"/>
      <c r="Z127" s="7"/>
      <c r="AA127" s="7"/>
      <c r="AB127" s="7"/>
      <c r="AC127" s="7"/>
      <c r="AD127" s="7"/>
      <c r="AE127" s="7"/>
      <c r="AF127" s="7"/>
      <c r="AG127" s="7"/>
      <c r="AH127" s="7"/>
      <c r="AI127" s="7"/>
      <c r="AJ127" s="7"/>
      <c r="AK127" s="7"/>
      <c r="AL127" s="7"/>
    </row>
    <row r="128" spans="1:38" ht="13" x14ac:dyDescent="0.25">
      <c r="A128" s="2"/>
      <c r="B128" s="19"/>
      <c r="C128" s="19"/>
      <c r="D128" s="13"/>
      <c r="E128" s="21"/>
      <c r="F128" s="21"/>
      <c r="G128" s="30" t="str">
        <f>EUconst_Unit</f>
        <v>Enhet</v>
      </c>
      <c r="H128" s="350">
        <f t="shared" ref="H128:N128" si="18">H$421</f>
        <v>2019</v>
      </c>
      <c r="I128" s="673">
        <f t="shared" si="18"/>
        <v>2020</v>
      </c>
      <c r="J128" s="1065">
        <f t="shared" si="18"/>
        <v>2021</v>
      </c>
      <c r="K128" s="350">
        <f t="shared" si="18"/>
        <v>2022</v>
      </c>
      <c r="L128" s="350">
        <f t="shared" si="18"/>
        <v>2023</v>
      </c>
      <c r="M128" s="350">
        <f t="shared" si="18"/>
        <v>2024</v>
      </c>
      <c r="N128" s="350">
        <f t="shared" si="18"/>
        <v>2025</v>
      </c>
      <c r="O128" s="6"/>
      <c r="P128" s="15"/>
      <c r="Q128" s="2"/>
      <c r="R128" s="2"/>
      <c r="S128" s="2"/>
      <c r="T128" s="2"/>
      <c r="U128" s="2"/>
      <c r="V128" s="2"/>
      <c r="W128" s="2"/>
      <c r="X128" s="2"/>
      <c r="Y128" s="7"/>
      <c r="Z128" s="7"/>
      <c r="AA128" s="7"/>
      <c r="AB128" s="7"/>
      <c r="AC128" s="7"/>
      <c r="AD128" s="7"/>
      <c r="AE128" s="7"/>
      <c r="AF128" s="7"/>
      <c r="AG128" s="7"/>
      <c r="AH128" s="7"/>
      <c r="AI128" s="7"/>
      <c r="AJ128" s="7"/>
      <c r="AK128" s="7"/>
      <c r="AL128" s="7"/>
    </row>
    <row r="129" spans="1:38" ht="13.5" customHeight="1" x14ac:dyDescent="0.25">
      <c r="A129" s="2"/>
      <c r="B129" s="19"/>
      <c r="C129" s="19"/>
      <c r="D129" s="19"/>
      <c r="E129" s="915" t="str">
        <f>Translations!$B$824</f>
        <v>produktion av kalk av standardkvalitet</v>
      </c>
      <c r="F129" s="915"/>
      <c r="G129" s="43" t="str">
        <f>EUconst_tpa</f>
        <v>t / år</v>
      </c>
      <c r="H129" s="268" t="str">
        <f t="shared" ref="H129:N129" si="19">IF(ISNUMBER(H113),H113*(785*H122/100+1092*H123/100)/751.7,"")</f>
        <v/>
      </c>
      <c r="I129" s="667" t="str">
        <f t="shared" si="19"/>
        <v/>
      </c>
      <c r="J129" s="668" t="str">
        <f t="shared" si="19"/>
        <v/>
      </c>
      <c r="K129" s="268" t="str">
        <f t="shared" si="19"/>
        <v/>
      </c>
      <c r="L129" s="268" t="str">
        <f t="shared" si="19"/>
        <v/>
      </c>
      <c r="M129" s="268" t="str">
        <f t="shared" si="19"/>
        <v/>
      </c>
      <c r="N129" s="268" t="str">
        <f t="shared" si="19"/>
        <v/>
      </c>
      <c r="O129" s="6"/>
      <c r="P129" s="15"/>
      <c r="Q129" s="108" t="str">
        <f>IF(L106=EUconst_Relevant,EUconst_CNTR_HALspecial &amp; INDEX(EUconst_BMlistNames,R106),"")</f>
        <v/>
      </c>
      <c r="R129" s="2"/>
      <c r="S129" s="2"/>
      <c r="T129" s="2"/>
      <c r="U129" s="2"/>
      <c r="V129" s="2"/>
      <c r="W129" s="2"/>
      <c r="X129" s="2"/>
      <c r="Y129" s="7"/>
      <c r="Z129" s="7"/>
      <c r="AA129" s="7"/>
      <c r="AB129" s="7"/>
      <c r="AC129" s="7"/>
      <c r="AD129" s="7"/>
      <c r="AE129" s="7"/>
      <c r="AF129" s="7"/>
      <c r="AG129" s="7"/>
      <c r="AH129" s="7"/>
      <c r="AI129" s="7"/>
      <c r="AJ129" s="7"/>
      <c r="AK129" s="7"/>
      <c r="AL129" s="7"/>
    </row>
    <row r="130" spans="1:38" ht="5.15" customHeight="1" x14ac:dyDescent="0.25">
      <c r="A130" s="2"/>
      <c r="B130" s="3"/>
      <c r="C130" s="3"/>
      <c r="D130" s="3"/>
      <c r="E130" s="3"/>
      <c r="F130" s="3"/>
      <c r="G130" s="3"/>
      <c r="H130" s="3"/>
      <c r="I130" s="3"/>
      <c r="J130" s="3"/>
      <c r="K130" s="3"/>
      <c r="L130" s="3"/>
      <c r="M130" s="6"/>
      <c r="N130" s="6"/>
      <c r="O130" s="6"/>
      <c r="P130" s="15"/>
      <c r="Q130" s="7"/>
      <c r="R130" s="2"/>
      <c r="S130" s="2"/>
      <c r="T130" s="2"/>
      <c r="U130" s="2"/>
      <c r="V130" s="2"/>
      <c r="W130" s="2"/>
      <c r="X130" s="2"/>
      <c r="Y130" s="7"/>
      <c r="Z130" s="7"/>
      <c r="AA130" s="7"/>
      <c r="AB130" s="7"/>
      <c r="AC130" s="7"/>
      <c r="AD130" s="7"/>
      <c r="AE130" s="7"/>
      <c r="AF130" s="7"/>
      <c r="AG130" s="7"/>
      <c r="AH130" s="7"/>
      <c r="AI130" s="7"/>
      <c r="AJ130" s="7"/>
      <c r="AK130" s="7"/>
      <c r="AL130" s="7"/>
    </row>
    <row r="131" spans="1:38" ht="13" x14ac:dyDescent="0.25">
      <c r="A131" s="2"/>
      <c r="B131" s="3"/>
      <c r="C131" s="3"/>
      <c r="D131" s="3"/>
      <c r="E131" s="2748" t="str">
        <f>IF(L106=EUconst_Relevant,HYPERLINK(R131,EUconst_MsgBackToSheetF),"")</f>
        <v/>
      </c>
      <c r="F131" s="2749"/>
      <c r="G131" s="2749"/>
      <c r="H131" s="2749"/>
      <c r="I131" s="2749"/>
      <c r="J131" s="2749"/>
      <c r="K131" s="2749"/>
      <c r="L131" s="2749"/>
      <c r="M131" s="2749"/>
      <c r="N131" s="2750"/>
      <c r="O131" s="6"/>
      <c r="P131" s="15"/>
      <c r="Q131" s="309" t="s">
        <v>127</v>
      </c>
      <c r="R131" s="108" t="str">
        <f>R108</f>
        <v/>
      </c>
      <c r="S131" s="2"/>
      <c r="T131" s="2"/>
      <c r="U131" s="2"/>
      <c r="V131" s="2"/>
      <c r="W131" s="2"/>
      <c r="X131" s="2"/>
      <c r="Y131" s="7"/>
      <c r="Z131" s="7"/>
      <c r="AA131" s="7"/>
      <c r="AB131" s="7"/>
      <c r="AC131" s="7"/>
      <c r="AD131" s="7"/>
      <c r="AE131" s="7"/>
      <c r="AF131" s="7"/>
      <c r="AG131" s="7"/>
      <c r="AH131" s="7"/>
      <c r="AI131" s="7"/>
      <c r="AJ131" s="7"/>
      <c r="AK131" s="7"/>
      <c r="AL131" s="7"/>
    </row>
    <row r="132" spans="1:38" x14ac:dyDescent="0.25">
      <c r="A132" s="2"/>
      <c r="B132" s="19"/>
      <c r="C132" s="19"/>
      <c r="D132" s="19"/>
      <c r="E132" s="19"/>
      <c r="F132" s="19"/>
      <c r="G132" s="19"/>
      <c r="H132" s="19"/>
      <c r="I132" s="19"/>
      <c r="J132" s="19"/>
      <c r="K132" s="19"/>
      <c r="L132" s="19"/>
      <c r="M132" s="19"/>
      <c r="N132" s="19"/>
      <c r="O132" s="6"/>
      <c r="P132" s="15"/>
      <c r="Q132" s="2"/>
      <c r="R132" s="2"/>
      <c r="S132" s="2"/>
      <c r="T132" s="2"/>
      <c r="U132" s="2"/>
      <c r="V132" s="2"/>
      <c r="W132" s="2"/>
      <c r="X132" s="2"/>
      <c r="Y132" s="7"/>
      <c r="Z132" s="7"/>
      <c r="AA132" s="7"/>
      <c r="AB132" s="7"/>
      <c r="AC132" s="7"/>
      <c r="AD132" s="7"/>
      <c r="AE132" s="7"/>
      <c r="AF132" s="7"/>
      <c r="AG132" s="7"/>
      <c r="AH132" s="7"/>
      <c r="AI132" s="7"/>
      <c r="AJ132" s="7"/>
      <c r="AK132" s="7"/>
      <c r="AL132" s="7"/>
    </row>
    <row r="133" spans="1:38" ht="15.5" x14ac:dyDescent="0.35">
      <c r="A133" s="2"/>
      <c r="B133" s="3"/>
      <c r="C133" s="11" t="s">
        <v>962</v>
      </c>
      <c r="D133" s="1975" t="str">
        <f>Translations!$B$825</f>
        <v>Dolime</v>
      </c>
      <c r="E133" s="1975"/>
      <c r="F133" s="1975"/>
      <c r="G133" s="1975"/>
      <c r="H133" s="1975"/>
      <c r="I133" s="1975"/>
      <c r="J133" s="1975"/>
      <c r="K133" s="1975"/>
      <c r="L133" s="1975"/>
      <c r="M133" s="1975"/>
      <c r="N133" s="1975"/>
      <c r="O133" s="6"/>
      <c r="P133" s="15"/>
      <c r="Q133" s="7"/>
      <c r="R133" s="2"/>
      <c r="S133" s="2"/>
      <c r="T133" s="2"/>
      <c r="U133" s="2"/>
      <c r="V133" s="2"/>
      <c r="W133" s="2"/>
      <c r="X133" s="2"/>
      <c r="Y133" s="7"/>
      <c r="Z133" s="7"/>
      <c r="AA133" s="7"/>
      <c r="AB133" s="7"/>
      <c r="AC133" s="7"/>
      <c r="AD133" s="7"/>
      <c r="AE133" s="7"/>
      <c r="AF133" s="7"/>
      <c r="AG133" s="7"/>
      <c r="AH133" s="7"/>
      <c r="AI133" s="7"/>
      <c r="AJ133" s="7"/>
      <c r="AK133" s="7"/>
      <c r="AL133" s="7"/>
    </row>
    <row r="134" spans="1:38" ht="5.15" customHeight="1" x14ac:dyDescent="0.25">
      <c r="A134" s="2"/>
      <c r="B134" s="3"/>
      <c r="C134" s="3"/>
      <c r="D134" s="3"/>
      <c r="E134" s="3"/>
      <c r="F134" s="3"/>
      <c r="G134" s="3"/>
      <c r="H134" s="3"/>
      <c r="I134" s="3"/>
      <c r="J134" s="3"/>
      <c r="K134" s="3"/>
      <c r="L134" s="3"/>
      <c r="M134" s="6"/>
      <c r="N134" s="6"/>
      <c r="O134" s="6"/>
      <c r="P134" s="15"/>
      <c r="Q134" s="7"/>
      <c r="R134" s="2"/>
      <c r="S134" s="2"/>
      <c r="T134" s="2"/>
      <c r="U134" s="2"/>
      <c r="V134" s="2"/>
      <c r="W134" s="2"/>
      <c r="X134" s="2"/>
      <c r="Y134" s="7"/>
      <c r="Z134" s="7"/>
      <c r="AA134" s="7"/>
      <c r="AB134" s="7"/>
      <c r="AC134" s="7"/>
      <c r="AD134" s="7"/>
      <c r="AE134" s="7"/>
      <c r="AF134" s="7"/>
      <c r="AG134" s="7"/>
      <c r="AH134" s="7"/>
      <c r="AI134" s="7"/>
      <c r="AJ134" s="7"/>
      <c r="AK134" s="7"/>
      <c r="AL134" s="7"/>
    </row>
    <row r="135" spans="1:38" ht="14" x14ac:dyDescent="0.3">
      <c r="A135" s="2"/>
      <c r="B135" s="3"/>
      <c r="C135" s="17"/>
      <c r="D135" s="2053" t="str">
        <f>Translations!$B$826</f>
        <v>Verktyg för att beräkna historiska verksamhetsnivåer för dolimedelanläggningar</v>
      </c>
      <c r="E135" s="1963"/>
      <c r="F135" s="1963"/>
      <c r="G135" s="1963"/>
      <c r="H135" s="1963"/>
      <c r="I135" s="1963"/>
      <c r="J135" s="1963"/>
      <c r="K135" s="1963"/>
      <c r="L135" s="1963"/>
      <c r="M135" s="1963"/>
      <c r="N135" s="1963"/>
      <c r="O135" s="6"/>
      <c r="P135" s="15"/>
      <c r="Q135" s="7"/>
      <c r="R135" s="2"/>
      <c r="S135" s="2"/>
      <c r="T135" s="2"/>
      <c r="U135" s="2"/>
      <c r="V135" s="2"/>
      <c r="W135" s="2"/>
      <c r="X135" s="2"/>
      <c r="Y135" s="7"/>
      <c r="Z135" s="7"/>
      <c r="AA135" s="7"/>
      <c r="AB135" s="7"/>
      <c r="AC135" s="7"/>
      <c r="AD135" s="7"/>
      <c r="AE135" s="7"/>
      <c r="AF135" s="7"/>
      <c r="AG135" s="7"/>
      <c r="AH135" s="7"/>
      <c r="AI135" s="7"/>
      <c r="AJ135" s="7"/>
      <c r="AK135" s="7"/>
      <c r="AL135" s="7"/>
    </row>
    <row r="136" spans="1:38" ht="5.15" customHeight="1" x14ac:dyDescent="0.25">
      <c r="A136" s="2"/>
      <c r="B136" s="3"/>
      <c r="C136" s="3"/>
      <c r="D136" s="3"/>
      <c r="E136" s="3"/>
      <c r="F136" s="3"/>
      <c r="G136" s="3"/>
      <c r="H136" s="3"/>
      <c r="I136" s="3"/>
      <c r="J136" s="3"/>
      <c r="K136" s="3"/>
      <c r="L136" s="3"/>
      <c r="M136" s="6"/>
      <c r="N136" s="6"/>
      <c r="O136" s="6"/>
      <c r="P136" s="15"/>
      <c r="Q136" s="7"/>
      <c r="R136" s="2"/>
      <c r="S136" s="2"/>
      <c r="T136" s="2"/>
      <c r="U136" s="2"/>
      <c r="V136" s="2"/>
      <c r="W136" s="2"/>
      <c r="X136" s="2"/>
      <c r="Y136" s="7"/>
      <c r="Z136" s="7"/>
      <c r="AA136" s="7"/>
      <c r="AB136" s="7"/>
      <c r="AC136" s="7"/>
      <c r="AD136" s="7"/>
      <c r="AE136" s="7"/>
      <c r="AF136" s="7"/>
      <c r="AG136" s="7"/>
      <c r="AH136" s="7"/>
      <c r="AI136" s="7"/>
      <c r="AJ136" s="7"/>
      <c r="AK136" s="7"/>
      <c r="AL136" s="7"/>
    </row>
    <row r="137" spans="1:38" x14ac:dyDescent="0.25">
      <c r="A137" s="2"/>
      <c r="B137" s="3"/>
      <c r="C137" s="3"/>
      <c r="D137" s="15"/>
      <c r="E137" s="2061" t="str">
        <f>Translations!$B$827</f>
        <v>Med hjälp av detta verktyg kan ni fastställa de historiska verksamhetsnivåerna för dolimeriktmärket (punkt 3 i bilaga III till FAR). Det ska inte användas för sintrad dolime.</v>
      </c>
      <c r="F137" s="1963"/>
      <c r="G137" s="1963"/>
      <c r="H137" s="1963"/>
      <c r="I137" s="1963"/>
      <c r="J137" s="1963"/>
      <c r="K137" s="1963"/>
      <c r="L137" s="1963"/>
      <c r="M137" s="1963"/>
      <c r="N137" s="1963"/>
      <c r="O137" s="6"/>
      <c r="P137" s="15"/>
      <c r="Q137" s="7"/>
      <c r="R137" s="2"/>
      <c r="S137" s="2"/>
      <c r="T137" s="2"/>
      <c r="U137" s="2"/>
      <c r="V137" s="2"/>
      <c r="W137" s="2"/>
      <c r="X137" s="2"/>
      <c r="Y137" s="7"/>
      <c r="Z137" s="7"/>
      <c r="AA137" s="7"/>
      <c r="AB137" s="7"/>
      <c r="AC137" s="7"/>
      <c r="AD137" s="7"/>
      <c r="AE137" s="7"/>
      <c r="AF137" s="7"/>
      <c r="AG137" s="7"/>
      <c r="AH137" s="7"/>
      <c r="AI137" s="7"/>
      <c r="AJ137" s="7"/>
      <c r="AK137" s="7"/>
      <c r="AL137" s="7"/>
    </row>
    <row r="138" spans="1:38" x14ac:dyDescent="0.25">
      <c r="A138" s="2"/>
      <c r="B138" s="3"/>
      <c r="C138" s="3"/>
      <c r="D138" s="15"/>
      <c r="E138" s="2061" t="str">
        <f>Translations!$B$731</f>
        <v>Resultatet av verktyget kopieras automatiskt in i blad ”F_ProductBM”, inmatningsrad a.ii för delanläggningen i fråga.</v>
      </c>
      <c r="F138" s="1963"/>
      <c r="G138" s="1963"/>
      <c r="H138" s="1963"/>
      <c r="I138" s="1963"/>
      <c r="J138" s="1963"/>
      <c r="K138" s="1963"/>
      <c r="L138" s="1963"/>
      <c r="M138" s="1963"/>
      <c r="N138" s="1963"/>
      <c r="O138" s="6"/>
      <c r="P138" s="15"/>
      <c r="Q138" s="7"/>
      <c r="R138" s="2"/>
      <c r="S138" s="2"/>
      <c r="T138" s="2"/>
      <c r="U138" s="2"/>
      <c r="V138" s="2"/>
      <c r="W138" s="2"/>
      <c r="X138" s="2"/>
      <c r="Y138" s="7"/>
      <c r="Z138" s="7"/>
      <c r="AA138" s="7"/>
      <c r="AB138" s="7"/>
      <c r="AC138" s="7"/>
      <c r="AD138" s="7"/>
      <c r="AE138" s="7"/>
      <c r="AF138" s="7"/>
      <c r="AG138" s="7"/>
      <c r="AH138" s="7"/>
      <c r="AI138" s="7"/>
      <c r="AJ138" s="7"/>
      <c r="AK138" s="7"/>
      <c r="AL138" s="7"/>
    </row>
    <row r="139" spans="1:38" ht="5.15" customHeight="1" x14ac:dyDescent="0.25">
      <c r="A139" s="2"/>
      <c r="B139" s="3"/>
      <c r="C139" s="3"/>
      <c r="D139" s="3"/>
      <c r="E139" s="3"/>
      <c r="F139" s="3"/>
      <c r="G139" s="3"/>
      <c r="H139" s="3"/>
      <c r="I139" s="3"/>
      <c r="J139" s="3"/>
      <c r="K139" s="3"/>
      <c r="L139" s="3"/>
      <c r="M139" s="6"/>
      <c r="N139" s="6"/>
      <c r="O139" s="6"/>
      <c r="P139" s="15"/>
      <c r="Q139" s="7"/>
      <c r="R139" s="2"/>
      <c r="S139" s="2"/>
      <c r="T139" s="2"/>
      <c r="U139" s="2"/>
      <c r="V139" s="2"/>
      <c r="W139" s="2"/>
      <c r="X139" s="2"/>
      <c r="Y139" s="7"/>
      <c r="Z139" s="7"/>
      <c r="AA139" s="7"/>
      <c r="AB139" s="7"/>
      <c r="AC139" s="7"/>
      <c r="AD139" s="7"/>
      <c r="AE139" s="7"/>
      <c r="AF139" s="7"/>
      <c r="AG139" s="7"/>
      <c r="AH139" s="7"/>
      <c r="AI139" s="7"/>
      <c r="AJ139" s="7"/>
      <c r="AK139" s="7"/>
      <c r="AL139" s="7"/>
    </row>
    <row r="140" spans="1:38" ht="14" x14ac:dyDescent="0.3">
      <c r="A140" s="2"/>
      <c r="B140" s="3"/>
      <c r="C140" s="3"/>
      <c r="D140" s="13" t="s">
        <v>442</v>
      </c>
      <c r="E140" s="1943" t="str">
        <f>Translations!$B$732</f>
        <v>Verktygets relevans för er anläggning:</v>
      </c>
      <c r="F140" s="1943"/>
      <c r="G140" s="1943"/>
      <c r="H140" s="1943"/>
      <c r="I140" s="1943"/>
      <c r="J140" s="1943"/>
      <c r="K140" s="2067"/>
      <c r="L140" s="2751" t="str">
        <f>IF(CNTR_ExistSubInstEntries,IF(COUNTIF(CNTR_SubInstListNames,INDEX(EUconst_BMlistNames,R140))&gt;0,EUconst_Relevant,EUconst_NotRelevant),"")</f>
        <v/>
      </c>
      <c r="M140" s="2752"/>
      <c r="N140" s="2753"/>
      <c r="O140" s="6"/>
      <c r="P140" s="15"/>
      <c r="Q140" s="309" t="s">
        <v>128</v>
      </c>
      <c r="R140" s="297">
        <v>13</v>
      </c>
      <c r="S140" s="2"/>
      <c r="T140" s="2"/>
      <c r="U140" s="2"/>
      <c r="V140" s="2"/>
      <c r="W140" s="2"/>
      <c r="X140" s="2"/>
      <c r="Y140" s="7"/>
      <c r="Z140" s="7"/>
      <c r="AA140" s="7"/>
      <c r="AB140" s="7"/>
      <c r="AC140" s="7"/>
      <c r="AD140" s="7"/>
      <c r="AE140" s="7"/>
      <c r="AF140" s="7"/>
      <c r="AG140" s="7"/>
      <c r="AH140" s="7"/>
      <c r="AI140" s="7"/>
      <c r="AJ140" s="7"/>
      <c r="AK140" s="7"/>
      <c r="AL140" s="7"/>
    </row>
    <row r="141" spans="1:38" x14ac:dyDescent="0.25">
      <c r="A141" s="2"/>
      <c r="B141" s="3"/>
      <c r="C141" s="3"/>
      <c r="D141" s="15"/>
      <c r="E141" s="1999" t="str">
        <f>Translations!$B$733</f>
        <v>Detta meddelande visas automatiskt på grundval av er tidigare inmatning i blad ”A_InstallationData", avsnitt A.III.1.</v>
      </c>
      <c r="F141" s="2000"/>
      <c r="G141" s="2000"/>
      <c r="H141" s="2000"/>
      <c r="I141" s="2000"/>
      <c r="J141" s="2000"/>
      <c r="K141" s="2000"/>
      <c r="L141" s="2000"/>
      <c r="M141" s="2000"/>
      <c r="N141" s="2000"/>
      <c r="O141" s="6"/>
      <c r="P141" s="15"/>
      <c r="Q141" s="7"/>
      <c r="R141" s="2"/>
      <c r="S141" s="2"/>
      <c r="T141" s="2"/>
      <c r="U141" s="2"/>
      <c r="V141" s="2"/>
      <c r="W141" s="2"/>
      <c r="X141" s="2"/>
      <c r="Y141" s="7"/>
      <c r="Z141" s="7"/>
      <c r="AA141" s="7"/>
      <c r="AB141" s="7"/>
      <c r="AC141" s="7"/>
      <c r="AD141" s="7"/>
      <c r="AE141" s="7"/>
      <c r="AF141" s="7"/>
      <c r="AG141" s="7"/>
      <c r="AH141" s="7"/>
      <c r="AI141" s="7"/>
      <c r="AJ141" s="7"/>
      <c r="AK141" s="7"/>
      <c r="AL141" s="7"/>
    </row>
    <row r="142" spans="1:38" ht="13" x14ac:dyDescent="0.25">
      <c r="A142" s="2"/>
      <c r="B142" s="3"/>
      <c r="C142" s="3"/>
      <c r="D142" s="3"/>
      <c r="E142" s="2748" t="str">
        <f>IF(L140=EUconst_Relevant,HYPERLINK(R142,EUconst_MsgBackToSheetF),"")</f>
        <v/>
      </c>
      <c r="F142" s="2749"/>
      <c r="G142" s="2749"/>
      <c r="H142" s="2749"/>
      <c r="I142" s="2749"/>
      <c r="J142" s="2749"/>
      <c r="K142" s="2749"/>
      <c r="L142" s="2749"/>
      <c r="M142" s="2749"/>
      <c r="N142" s="2750"/>
      <c r="O142" s="6"/>
      <c r="P142" s="15"/>
      <c r="Q142" s="309" t="s">
        <v>127</v>
      </c>
      <c r="R142" s="108" t="str">
        <f>IF(ISNUMBER(MATCH(R140,CNTR_SubInstListBMnumbers,0)),"#JUMP_F"&amp;MATCH(R140,CNTR_SubInstListBMnumbers,0),"")</f>
        <v/>
      </c>
      <c r="S142" s="2"/>
      <c r="T142" s="2"/>
      <c r="U142" s="2"/>
      <c r="V142" s="2"/>
      <c r="W142" s="2"/>
      <c r="X142" s="2"/>
      <c r="Y142" s="7"/>
      <c r="Z142" s="7"/>
      <c r="AA142" s="7"/>
      <c r="AB142" s="7"/>
      <c r="AC142" s="7"/>
      <c r="AD142" s="7"/>
      <c r="AE142" s="7"/>
      <c r="AF142" s="7"/>
      <c r="AG142" s="7"/>
      <c r="AH142" s="7"/>
      <c r="AI142" s="7"/>
      <c r="AJ142" s="7"/>
      <c r="AK142" s="7"/>
      <c r="AL142" s="7"/>
    </row>
    <row r="143" spans="1:38" ht="5.15" customHeight="1" x14ac:dyDescent="0.25">
      <c r="A143" s="2"/>
      <c r="B143" s="3"/>
      <c r="C143" s="3"/>
      <c r="D143" s="3"/>
      <c r="E143" s="3"/>
      <c r="F143" s="3"/>
      <c r="G143" s="3"/>
      <c r="H143" s="3"/>
      <c r="I143" s="3"/>
      <c r="J143" s="3"/>
      <c r="K143" s="3"/>
      <c r="L143" s="3"/>
      <c r="M143" s="6"/>
      <c r="N143" s="6"/>
      <c r="O143" s="6"/>
      <c r="P143" s="15"/>
      <c r="Q143" s="7"/>
      <c r="R143" s="2"/>
      <c r="S143" s="2"/>
      <c r="T143" s="2"/>
      <c r="U143" s="2"/>
      <c r="V143" s="2"/>
      <c r="W143" s="2"/>
      <c r="X143" s="2"/>
      <c r="Y143" s="7"/>
      <c r="Z143" s="7"/>
      <c r="AA143" s="7"/>
      <c r="AB143" s="7"/>
      <c r="AC143" s="7"/>
      <c r="AD143" s="7"/>
      <c r="AE143" s="7"/>
      <c r="AF143" s="7"/>
      <c r="AG143" s="7"/>
      <c r="AH143" s="7"/>
      <c r="AI143" s="7"/>
      <c r="AJ143" s="7"/>
      <c r="AK143" s="7"/>
      <c r="AL143" s="7"/>
    </row>
    <row r="144" spans="1:38" ht="13" x14ac:dyDescent="0.25">
      <c r="A144" s="2"/>
      <c r="B144" s="3"/>
      <c r="C144" s="3"/>
      <c r="D144" s="13" t="s">
        <v>955</v>
      </c>
      <c r="E144" s="1943" t="str">
        <f>Translations!$B$828</f>
        <v>Okorrigerad dolimeproduktion:</v>
      </c>
      <c r="F144" s="1963"/>
      <c r="G144" s="1963"/>
      <c r="H144" s="1963"/>
      <c r="I144" s="1963"/>
      <c r="J144" s="1963"/>
      <c r="K144" s="1963"/>
      <c r="L144" s="1963"/>
      <c r="M144" s="1963"/>
      <c r="N144" s="1963"/>
      <c r="O144" s="6"/>
      <c r="P144" s="15"/>
      <c r="Q144" s="7"/>
      <c r="R144" s="2"/>
      <c r="S144" s="2"/>
      <c r="T144" s="2"/>
      <c r="U144" s="2"/>
      <c r="V144" s="2"/>
      <c r="W144" s="2"/>
      <c r="X144" s="2"/>
      <c r="Y144" s="7"/>
      <c r="Z144" s="7"/>
      <c r="AA144" s="7"/>
      <c r="AB144" s="7"/>
      <c r="AC144" s="7"/>
      <c r="AD144" s="7"/>
      <c r="AE144" s="7"/>
      <c r="AF144" s="7"/>
      <c r="AG144" s="7"/>
      <c r="AH144" s="7"/>
      <c r="AI144" s="7"/>
      <c r="AJ144" s="7"/>
      <c r="AK144" s="7"/>
      <c r="AL144" s="7"/>
    </row>
    <row r="145" spans="1:38" x14ac:dyDescent="0.25">
      <c r="A145" s="2"/>
      <c r="B145" s="3"/>
      <c r="C145" s="3"/>
      <c r="D145" s="15"/>
      <c r="E145" s="2061" t="str">
        <f>Translations!$B$829</f>
        <v>Var god ange uppgifter om den årliga produktionen uttryckt i ton dolime, utan korrigering för uppgifter om sammansättning:</v>
      </c>
      <c r="F145" s="1963"/>
      <c r="G145" s="1963"/>
      <c r="H145" s="1963"/>
      <c r="I145" s="1963"/>
      <c r="J145" s="1963"/>
      <c r="K145" s="1963"/>
      <c r="L145" s="1963"/>
      <c r="M145" s="1963"/>
      <c r="N145" s="1963"/>
      <c r="O145" s="6"/>
      <c r="P145" s="15"/>
      <c r="Q145" s="7"/>
      <c r="R145" s="2"/>
      <c r="S145" s="2"/>
      <c r="T145" s="2"/>
      <c r="U145" s="2"/>
      <c r="V145" s="2"/>
      <c r="W145" s="2"/>
      <c r="X145" s="2"/>
      <c r="Y145" s="7"/>
      <c r="Z145" s="7"/>
      <c r="AA145" s="7"/>
      <c r="AB145" s="7"/>
      <c r="AC145" s="7"/>
      <c r="AD145" s="7"/>
      <c r="AE145" s="7"/>
      <c r="AF145" s="7"/>
      <c r="AG145" s="7"/>
      <c r="AH145" s="7"/>
      <c r="AI145" s="7"/>
      <c r="AJ145" s="7"/>
      <c r="AK145" s="7"/>
      <c r="AL145" s="7"/>
    </row>
    <row r="146" spans="1:38" ht="13.5" thickBot="1" x14ac:dyDescent="0.3">
      <c r="A146" s="2"/>
      <c r="B146" s="19"/>
      <c r="C146" s="19"/>
      <c r="D146" s="13"/>
      <c r="E146" s="24"/>
      <c r="F146" s="21"/>
      <c r="G146" s="30" t="str">
        <f>EUconst_Unit</f>
        <v>Enhet</v>
      </c>
      <c r="H146" s="350">
        <f t="shared" ref="H146:N146" si="20">H$421</f>
        <v>2019</v>
      </c>
      <c r="I146" s="350">
        <f t="shared" si="20"/>
        <v>2020</v>
      </c>
      <c r="J146" s="350">
        <f t="shared" si="20"/>
        <v>2021</v>
      </c>
      <c r="K146" s="350">
        <f t="shared" si="20"/>
        <v>2022</v>
      </c>
      <c r="L146" s="350">
        <f t="shared" si="20"/>
        <v>2023</v>
      </c>
      <c r="M146" s="350">
        <f t="shared" si="20"/>
        <v>2024</v>
      </c>
      <c r="N146" s="350">
        <f t="shared" si="20"/>
        <v>2025</v>
      </c>
      <c r="O146" s="6"/>
      <c r="P146" s="15"/>
      <c r="Q146" s="2"/>
      <c r="R146" s="2"/>
      <c r="S146" s="2"/>
      <c r="T146" s="2"/>
      <c r="U146" s="2"/>
      <c r="V146" s="2"/>
      <c r="W146" s="2"/>
      <c r="X146" s="2"/>
      <c r="Y146" s="7"/>
      <c r="Z146" s="7"/>
      <c r="AA146" s="7"/>
      <c r="AB146" s="2"/>
      <c r="AC146" s="1051">
        <f t="shared" ref="AC146:AI146" si="21">H146</f>
        <v>2019</v>
      </c>
      <c r="AD146" s="1051">
        <f t="shared" si="21"/>
        <v>2020</v>
      </c>
      <c r="AE146" s="1051">
        <f t="shared" si="21"/>
        <v>2021</v>
      </c>
      <c r="AF146" s="1051">
        <f t="shared" si="21"/>
        <v>2022</v>
      </c>
      <c r="AG146" s="1051">
        <f t="shared" si="21"/>
        <v>2023</v>
      </c>
      <c r="AH146" s="1051">
        <f t="shared" si="21"/>
        <v>2024</v>
      </c>
      <c r="AI146" s="1051">
        <f t="shared" si="21"/>
        <v>2025</v>
      </c>
      <c r="AJ146" s="7"/>
      <c r="AK146" s="7"/>
      <c r="AL146" s="7"/>
    </row>
    <row r="147" spans="1:38" ht="13" customHeight="1" x14ac:dyDescent="0.25">
      <c r="A147" s="2"/>
      <c r="B147" s="19"/>
      <c r="C147" s="19"/>
      <c r="D147" s="19"/>
      <c r="E147" s="915" t="str">
        <f>Translations!$B$830</f>
        <v>okorrigerad dolimeproduktion</v>
      </c>
      <c r="F147" s="915"/>
      <c r="G147" s="43" t="str">
        <f>EUconst_tpa</f>
        <v>t / år</v>
      </c>
      <c r="H147" s="269"/>
      <c r="I147" s="269"/>
      <c r="J147" s="269"/>
      <c r="K147" s="269"/>
      <c r="L147" s="269"/>
      <c r="M147" s="269"/>
      <c r="N147" s="269"/>
      <c r="O147" s="6"/>
      <c r="P147" s="15"/>
      <c r="Q147" s="2"/>
      <c r="R147" s="2"/>
      <c r="S147" s="2"/>
      <c r="T147" s="2"/>
      <c r="U147" s="2"/>
      <c r="V147" s="2"/>
      <c r="W147" s="2"/>
      <c r="X147" s="2"/>
      <c r="Y147" s="7"/>
      <c r="Z147" s="7"/>
      <c r="AA147" s="7"/>
      <c r="AB147" s="672" t="s">
        <v>782</v>
      </c>
      <c r="AC147" s="1059" t="b">
        <f t="shared" ref="AC147:AI147" si="22">IF(CNTR_ExistSubInstEntries,IF($L140=EUconst_Relevant,AC146&gt;=CNTR_ReportingYear,TRUE),FALSE)</f>
        <v>0</v>
      </c>
      <c r="AD147" s="1057" t="b">
        <f t="shared" si="22"/>
        <v>0</v>
      </c>
      <c r="AE147" s="1057" t="b">
        <f t="shared" si="22"/>
        <v>0</v>
      </c>
      <c r="AF147" s="1057" t="b">
        <f t="shared" si="22"/>
        <v>0</v>
      </c>
      <c r="AG147" s="1057" t="b">
        <f t="shared" si="22"/>
        <v>0</v>
      </c>
      <c r="AH147" s="1057" t="b">
        <f t="shared" si="22"/>
        <v>0</v>
      </c>
      <c r="AI147" s="1058" t="b">
        <f t="shared" si="22"/>
        <v>0</v>
      </c>
      <c r="AJ147" s="7"/>
      <c r="AK147" s="7"/>
      <c r="AL147" s="7"/>
    </row>
    <row r="148" spans="1:38" ht="5.15" customHeight="1" x14ac:dyDescent="0.25">
      <c r="A148" s="2"/>
      <c r="B148" s="3"/>
      <c r="C148" s="3"/>
      <c r="D148" s="3"/>
      <c r="E148" s="3"/>
      <c r="F148" s="3"/>
      <c r="G148" s="3"/>
      <c r="H148" s="3"/>
      <c r="I148" s="3"/>
      <c r="J148" s="3"/>
      <c r="K148" s="3"/>
      <c r="L148" s="3"/>
      <c r="M148" s="6"/>
      <c r="N148" s="6"/>
      <c r="O148" s="6"/>
      <c r="P148" s="15"/>
      <c r="Q148" s="7"/>
      <c r="R148" s="2"/>
      <c r="S148" s="2"/>
      <c r="T148" s="2"/>
      <c r="U148" s="2"/>
      <c r="V148" s="2"/>
      <c r="W148" s="2"/>
      <c r="X148" s="2"/>
      <c r="Y148" s="7"/>
      <c r="Z148" s="7"/>
      <c r="AA148" s="7"/>
      <c r="AB148" s="7"/>
      <c r="AC148" s="1066"/>
      <c r="AD148" s="7"/>
      <c r="AE148" s="7"/>
      <c r="AF148" s="7"/>
      <c r="AG148" s="7"/>
      <c r="AH148" s="7"/>
      <c r="AI148" s="1067"/>
      <c r="AJ148" s="7"/>
      <c r="AK148" s="7"/>
      <c r="AL148" s="7"/>
    </row>
    <row r="149" spans="1:38" ht="13" x14ac:dyDescent="0.25">
      <c r="A149" s="2"/>
      <c r="B149" s="3"/>
      <c r="C149" s="3"/>
      <c r="D149" s="13" t="s">
        <v>55</v>
      </c>
      <c r="E149" s="1943" t="str">
        <f>Translations!$B$814</f>
        <v>Uppgifter om sammansättning:</v>
      </c>
      <c r="F149" s="1963"/>
      <c r="G149" s="1963"/>
      <c r="H149" s="1963"/>
      <c r="I149" s="1963"/>
      <c r="J149" s="1963"/>
      <c r="K149" s="1963"/>
      <c r="L149" s="1963"/>
      <c r="M149" s="1963"/>
      <c r="N149" s="1963"/>
      <c r="O149" s="6"/>
      <c r="P149" s="15"/>
      <c r="Q149" s="7"/>
      <c r="R149" s="2"/>
      <c r="S149" s="2"/>
      <c r="T149" s="2"/>
      <c r="U149" s="2"/>
      <c r="V149" s="2"/>
      <c r="W149" s="2"/>
      <c r="X149" s="2"/>
      <c r="Y149" s="7"/>
      <c r="Z149" s="7"/>
      <c r="AA149" s="7"/>
      <c r="AB149" s="7"/>
      <c r="AC149" s="1066"/>
      <c r="AD149" s="7"/>
      <c r="AE149" s="7"/>
      <c r="AF149" s="7"/>
      <c r="AG149" s="7"/>
      <c r="AH149" s="7"/>
      <c r="AI149" s="1067"/>
      <c r="AJ149" s="7"/>
      <c r="AK149" s="7"/>
      <c r="AL149" s="7"/>
    </row>
    <row r="150" spans="1:38" x14ac:dyDescent="0.25">
      <c r="A150" s="2"/>
      <c r="B150" s="3"/>
      <c r="C150" s="3"/>
      <c r="D150" s="15"/>
      <c r="E150" s="2061" t="str">
        <f>Translations!$B$831</f>
        <v>Enligt punkt 3 i bilaga III till FAR krävs följande uppgifter:</v>
      </c>
      <c r="F150" s="1963"/>
      <c r="G150" s="1963"/>
      <c r="H150" s="1963"/>
      <c r="I150" s="1963"/>
      <c r="J150" s="1963"/>
      <c r="K150" s="1963"/>
      <c r="L150" s="1963"/>
      <c r="M150" s="1963"/>
      <c r="N150" s="1963"/>
      <c r="O150" s="6"/>
      <c r="P150" s="15"/>
      <c r="Q150" s="7"/>
      <c r="R150" s="2"/>
      <c r="S150" s="2"/>
      <c r="T150" s="2"/>
      <c r="U150" s="2"/>
      <c r="V150" s="2"/>
      <c r="W150" s="2"/>
      <c r="X150" s="2"/>
      <c r="Y150" s="7"/>
      <c r="Z150" s="7"/>
      <c r="AA150" s="7"/>
      <c r="AB150" s="7"/>
      <c r="AC150" s="1066"/>
      <c r="AD150" s="7"/>
      <c r="AE150" s="7"/>
      <c r="AF150" s="7"/>
      <c r="AG150" s="7"/>
      <c r="AH150" s="7"/>
      <c r="AI150" s="1067"/>
      <c r="AJ150" s="7"/>
      <c r="AK150" s="7"/>
      <c r="AL150" s="7"/>
    </row>
    <row r="151" spans="1:38" x14ac:dyDescent="0.25">
      <c r="A151" s="2"/>
      <c r="B151" s="3"/>
      <c r="C151" s="3"/>
      <c r="D151" s="15"/>
      <c r="E151" s="16" t="s">
        <v>111</v>
      </c>
      <c r="F151" s="2061" t="str">
        <f>Translations!$B$832</f>
        <v>halten fri CaO i den dolime som produceras för varje år under referensperioden uttryckt som viktprocent</v>
      </c>
      <c r="G151" s="1963"/>
      <c r="H151" s="1963"/>
      <c r="I151" s="1963"/>
      <c r="J151" s="1963"/>
      <c r="K151" s="1963"/>
      <c r="L151" s="1963"/>
      <c r="M151" s="1963"/>
      <c r="N151" s="1963"/>
      <c r="O151" s="6"/>
      <c r="P151" s="15"/>
      <c r="Q151" s="7"/>
      <c r="R151" s="2"/>
      <c r="S151" s="2"/>
      <c r="T151" s="2"/>
      <c r="U151" s="2"/>
      <c r="V151" s="2"/>
      <c r="W151" s="2"/>
      <c r="X151" s="2"/>
      <c r="Y151" s="7"/>
      <c r="Z151" s="7"/>
      <c r="AA151" s="7"/>
      <c r="AB151" s="7"/>
      <c r="AC151" s="1066"/>
      <c r="AD151" s="7"/>
      <c r="AE151" s="7"/>
      <c r="AF151" s="7"/>
      <c r="AG151" s="7"/>
      <c r="AH151" s="7"/>
      <c r="AI151" s="1067"/>
      <c r="AJ151" s="7"/>
      <c r="AK151" s="7"/>
      <c r="AL151" s="7"/>
    </row>
    <row r="152" spans="1:38" x14ac:dyDescent="0.25">
      <c r="A152" s="2"/>
      <c r="B152" s="3"/>
      <c r="C152" s="3"/>
      <c r="D152" s="15"/>
      <c r="E152" s="16"/>
      <c r="F152" s="2061" t="str">
        <f>Translations!$B$833</f>
        <v>Om data för halten fri CaO saknas, ska en konservativ skattning på högst 52 % användas.</v>
      </c>
      <c r="G152" s="1963"/>
      <c r="H152" s="1963"/>
      <c r="I152" s="1963"/>
      <c r="J152" s="1963"/>
      <c r="K152" s="1963"/>
      <c r="L152" s="1963"/>
      <c r="M152" s="1963"/>
      <c r="N152" s="1963"/>
      <c r="O152" s="6"/>
      <c r="P152" s="15"/>
      <c r="Q152" s="7"/>
      <c r="R152" s="2"/>
      <c r="S152" s="2"/>
      <c r="T152" s="2"/>
      <c r="U152" s="2"/>
      <c r="V152" s="2"/>
      <c r="W152" s="2"/>
      <c r="X152" s="2"/>
      <c r="Y152" s="7"/>
      <c r="Z152" s="7"/>
      <c r="AA152" s="7"/>
      <c r="AB152" s="7"/>
      <c r="AC152" s="1066"/>
      <c r="AD152" s="7"/>
      <c r="AE152" s="7"/>
      <c r="AF152" s="7"/>
      <c r="AG152" s="7"/>
      <c r="AH152" s="7"/>
      <c r="AI152" s="1067"/>
      <c r="AJ152" s="7"/>
      <c r="AK152" s="7"/>
      <c r="AL152" s="7"/>
    </row>
    <row r="153" spans="1:38" x14ac:dyDescent="0.25">
      <c r="A153" s="2"/>
      <c r="B153" s="3"/>
      <c r="C153" s="3"/>
      <c r="D153" s="15"/>
      <c r="E153" s="16" t="s">
        <v>113</v>
      </c>
      <c r="F153" s="2061" t="str">
        <f>Translations!$B$834</f>
        <v>halten fri MgO i den dolime som produceras för varje år under referensperioden uttryckt som viktprocent</v>
      </c>
      <c r="G153" s="1963"/>
      <c r="H153" s="1963"/>
      <c r="I153" s="1963"/>
      <c r="J153" s="1963"/>
      <c r="K153" s="1963"/>
      <c r="L153" s="1963"/>
      <c r="M153" s="1963"/>
      <c r="N153" s="1963"/>
      <c r="O153" s="6"/>
      <c r="P153" s="15"/>
      <c r="Q153" s="7"/>
      <c r="R153" s="2"/>
      <c r="S153" s="2"/>
      <c r="T153" s="2"/>
      <c r="U153" s="2"/>
      <c r="V153" s="2"/>
      <c r="W153" s="2"/>
      <c r="X153" s="2"/>
      <c r="Y153" s="7"/>
      <c r="Z153" s="7"/>
      <c r="AA153" s="7"/>
      <c r="AB153" s="7"/>
      <c r="AC153" s="1066"/>
      <c r="AD153" s="7"/>
      <c r="AE153" s="7"/>
      <c r="AF153" s="7"/>
      <c r="AG153" s="7"/>
      <c r="AH153" s="7"/>
      <c r="AI153" s="1067"/>
      <c r="AJ153" s="7"/>
      <c r="AK153" s="7"/>
      <c r="AL153" s="7"/>
    </row>
    <row r="154" spans="1:38" x14ac:dyDescent="0.25">
      <c r="A154" s="2"/>
      <c r="B154" s="3"/>
      <c r="C154" s="3"/>
      <c r="D154" s="15"/>
      <c r="E154" s="16"/>
      <c r="F154" s="2061" t="str">
        <f>Translations!$B$835</f>
        <v>Om data för halten fri MgO saknas, ska en konservativ skattning på högst 33 % användas.</v>
      </c>
      <c r="G154" s="1963"/>
      <c r="H154" s="1963"/>
      <c r="I154" s="1963"/>
      <c r="J154" s="1963"/>
      <c r="K154" s="1963"/>
      <c r="L154" s="1963"/>
      <c r="M154" s="1963"/>
      <c r="N154" s="1963"/>
      <c r="O154" s="6"/>
      <c r="P154" s="15"/>
      <c r="Q154" s="7"/>
      <c r="R154" s="2"/>
      <c r="S154" s="2"/>
      <c r="T154" s="2"/>
      <c r="U154" s="2"/>
      <c r="V154" s="2"/>
      <c r="W154" s="2"/>
      <c r="X154" s="2"/>
      <c r="Y154" s="7"/>
      <c r="Z154" s="7"/>
      <c r="AA154" s="7"/>
      <c r="AB154" s="7"/>
      <c r="AC154" s="1066"/>
      <c r="AD154" s="7"/>
      <c r="AE154" s="7"/>
      <c r="AF154" s="7"/>
      <c r="AG154" s="7"/>
      <c r="AH154" s="7"/>
      <c r="AI154" s="1067"/>
      <c r="AJ154" s="7"/>
      <c r="AK154" s="7"/>
      <c r="AL154" s="7"/>
    </row>
    <row r="155" spans="1:38" ht="13" x14ac:dyDescent="0.25">
      <c r="A155" s="2"/>
      <c r="B155" s="19"/>
      <c r="C155" s="19"/>
      <c r="D155" s="13"/>
      <c r="E155" s="24"/>
      <c r="F155" s="21"/>
      <c r="G155" s="30" t="str">
        <f>EUconst_Unit</f>
        <v>Enhet</v>
      </c>
      <c r="H155" s="350">
        <f t="shared" ref="H155:N155" si="23">H$421</f>
        <v>2019</v>
      </c>
      <c r="I155" s="350">
        <f t="shared" si="23"/>
        <v>2020</v>
      </c>
      <c r="J155" s="350">
        <f t="shared" si="23"/>
        <v>2021</v>
      </c>
      <c r="K155" s="350">
        <f t="shared" si="23"/>
        <v>2022</v>
      </c>
      <c r="L155" s="350">
        <f t="shared" si="23"/>
        <v>2023</v>
      </c>
      <c r="M155" s="350">
        <f t="shared" si="23"/>
        <v>2024</v>
      </c>
      <c r="N155" s="673">
        <f t="shared" si="23"/>
        <v>2025</v>
      </c>
      <c r="O155" s="6"/>
      <c r="P155" s="15"/>
      <c r="Q155" s="2"/>
      <c r="R155" s="2"/>
      <c r="S155" s="2"/>
      <c r="T155" s="2"/>
      <c r="U155" s="2"/>
      <c r="V155" s="2"/>
      <c r="W155" s="2"/>
      <c r="X155" s="2"/>
      <c r="Y155" s="7"/>
      <c r="Z155" s="7"/>
      <c r="AA155" s="7"/>
      <c r="AB155" s="7"/>
      <c r="AC155" s="1066"/>
      <c r="AD155" s="7"/>
      <c r="AE155" s="7"/>
      <c r="AF155" s="7"/>
      <c r="AG155" s="7"/>
      <c r="AH155" s="7"/>
      <c r="AI155" s="1067"/>
      <c r="AJ155" s="7"/>
      <c r="AK155" s="7"/>
      <c r="AL155" s="7"/>
    </row>
    <row r="156" spans="1:38" x14ac:dyDescent="0.25">
      <c r="A156" s="2"/>
      <c r="B156" s="19"/>
      <c r="C156" s="19"/>
      <c r="D156" s="19"/>
      <c r="E156" s="916" t="str">
        <f>Translations!$B$820</f>
        <v>Halt CaO</v>
      </c>
      <c r="F156" s="916"/>
      <c r="G156" s="25" t="s">
        <v>1113</v>
      </c>
      <c r="H156" s="280"/>
      <c r="I156" s="280"/>
      <c r="J156" s="280"/>
      <c r="K156" s="280"/>
      <c r="L156" s="280"/>
      <c r="M156" s="280"/>
      <c r="N156" s="467"/>
      <c r="O156" s="6"/>
      <c r="P156" s="15"/>
      <c r="Q156" s="2"/>
      <c r="R156" s="2"/>
      <c r="S156" s="2"/>
      <c r="T156" s="2"/>
      <c r="U156" s="2"/>
      <c r="V156" s="2"/>
      <c r="W156" s="2"/>
      <c r="X156" s="2"/>
      <c r="Y156" s="7"/>
      <c r="Z156" s="7"/>
      <c r="AA156" s="7"/>
      <c r="AB156" s="7"/>
      <c r="AC156" s="1060" t="b">
        <f>AC147</f>
        <v>0</v>
      </c>
      <c r="AD156" s="298" t="b">
        <f t="shared" ref="AD156:AI156" si="24">AD147</f>
        <v>0</v>
      </c>
      <c r="AE156" s="298" t="b">
        <f t="shared" si="24"/>
        <v>0</v>
      </c>
      <c r="AF156" s="298" t="b">
        <f t="shared" si="24"/>
        <v>0</v>
      </c>
      <c r="AG156" s="298" t="b">
        <f t="shared" si="24"/>
        <v>0</v>
      </c>
      <c r="AH156" s="298" t="b">
        <f t="shared" si="24"/>
        <v>0</v>
      </c>
      <c r="AI156" s="1061" t="b">
        <f t="shared" si="24"/>
        <v>0</v>
      </c>
      <c r="AJ156" s="7"/>
      <c r="AK156" s="7"/>
      <c r="AL156" s="7"/>
    </row>
    <row r="157" spans="1:38" ht="13" thickBot="1" x14ac:dyDescent="0.3">
      <c r="A157" s="2"/>
      <c r="B157" s="19"/>
      <c r="C157" s="19"/>
      <c r="D157" s="19"/>
      <c r="E157" s="1520" t="str">
        <f>Translations!$B$821</f>
        <v>Halt MgO</v>
      </c>
      <c r="F157" s="1520"/>
      <c r="G157" s="27" t="s">
        <v>1113</v>
      </c>
      <c r="H157" s="277"/>
      <c r="I157" s="277"/>
      <c r="J157" s="277"/>
      <c r="K157" s="277"/>
      <c r="L157" s="277"/>
      <c r="M157" s="277"/>
      <c r="N157" s="469"/>
      <c r="O157" s="6"/>
      <c r="P157" s="15"/>
      <c r="Q157" s="2"/>
      <c r="R157" s="2"/>
      <c r="S157" s="2"/>
      <c r="T157" s="2"/>
      <c r="U157" s="2"/>
      <c r="V157" s="2"/>
      <c r="W157" s="2"/>
      <c r="X157" s="2"/>
      <c r="Y157" s="7"/>
      <c r="Z157" s="7"/>
      <c r="AA157" s="7"/>
      <c r="AB157" s="7"/>
      <c r="AC157" s="1062" t="b">
        <f>AC156</f>
        <v>0</v>
      </c>
      <c r="AD157" s="1063" t="b">
        <f t="shared" ref="AD157:AI157" si="25">AD156</f>
        <v>0</v>
      </c>
      <c r="AE157" s="1063" t="b">
        <f t="shared" si="25"/>
        <v>0</v>
      </c>
      <c r="AF157" s="1063" t="b">
        <f t="shared" si="25"/>
        <v>0</v>
      </c>
      <c r="AG157" s="1063" t="b">
        <f t="shared" si="25"/>
        <v>0</v>
      </c>
      <c r="AH157" s="1063" t="b">
        <f t="shared" si="25"/>
        <v>0</v>
      </c>
      <c r="AI157" s="1064" t="b">
        <f t="shared" si="25"/>
        <v>0</v>
      </c>
      <c r="AJ157" s="7"/>
      <c r="AK157" s="7"/>
      <c r="AL157" s="7"/>
    </row>
    <row r="158" spans="1:38" ht="5.15" customHeight="1" x14ac:dyDescent="0.25">
      <c r="A158" s="2"/>
      <c r="B158" s="3"/>
      <c r="C158" s="3"/>
      <c r="D158" s="3"/>
      <c r="E158" s="3"/>
      <c r="F158" s="3"/>
      <c r="G158" s="3"/>
      <c r="H158" s="3"/>
      <c r="I158" s="3"/>
      <c r="J158" s="3"/>
      <c r="K158" s="3"/>
      <c r="L158" s="3"/>
      <c r="M158" s="6"/>
      <c r="N158" s="6"/>
      <c r="O158" s="6"/>
      <c r="P158" s="15"/>
      <c r="Q158" s="7"/>
      <c r="R158" s="2"/>
      <c r="S158" s="2"/>
      <c r="T158" s="2"/>
      <c r="U158" s="2"/>
      <c r="V158" s="2"/>
      <c r="W158" s="2"/>
      <c r="X158" s="2"/>
      <c r="Y158" s="7"/>
      <c r="Z158" s="7"/>
      <c r="AA158" s="7"/>
      <c r="AB158" s="7"/>
      <c r="AC158" s="7"/>
      <c r="AD158" s="7"/>
      <c r="AE158" s="7"/>
      <c r="AF158" s="7"/>
      <c r="AG158" s="7"/>
      <c r="AH158" s="7"/>
      <c r="AI158" s="7"/>
      <c r="AJ158" s="7"/>
      <c r="AK158" s="7"/>
      <c r="AL158" s="7"/>
    </row>
    <row r="159" spans="1:38" ht="13" x14ac:dyDescent="0.25">
      <c r="A159" s="2"/>
      <c r="B159" s="3"/>
      <c r="C159" s="3"/>
      <c r="D159" s="13" t="s">
        <v>960</v>
      </c>
      <c r="E159" s="1943" t="str">
        <f>Translations!$B$836</f>
        <v>Resultat: Verksamhetsnivåer för dolime uttryckt i dolime av standardkvalitet</v>
      </c>
      <c r="F159" s="1963"/>
      <c r="G159" s="1963"/>
      <c r="H159" s="1963"/>
      <c r="I159" s="1963"/>
      <c r="J159" s="1963"/>
      <c r="K159" s="1963"/>
      <c r="L159" s="1963"/>
      <c r="M159" s="1963"/>
      <c r="N159" s="1963"/>
      <c r="O159" s="6"/>
      <c r="P159" s="15"/>
      <c r="Q159" s="7"/>
      <c r="R159" s="2"/>
      <c r="S159" s="2"/>
      <c r="T159" s="2"/>
      <c r="U159" s="2"/>
      <c r="V159" s="2"/>
      <c r="W159" s="2"/>
      <c r="X159" s="2"/>
      <c r="Y159" s="7"/>
      <c r="Z159" s="7"/>
      <c r="AA159" s="7"/>
      <c r="AB159" s="7"/>
      <c r="AC159" s="7"/>
      <c r="AD159" s="7"/>
      <c r="AE159" s="7"/>
      <c r="AF159" s="7"/>
      <c r="AG159" s="7"/>
      <c r="AH159" s="7"/>
      <c r="AI159" s="7"/>
      <c r="AJ159" s="7"/>
      <c r="AK159" s="7"/>
      <c r="AL159" s="7"/>
    </row>
    <row r="160" spans="1:38" x14ac:dyDescent="0.25">
      <c r="A160" s="2"/>
      <c r="B160" s="3"/>
      <c r="C160" s="3"/>
      <c r="D160" s="15"/>
      <c r="E160" s="2061" t="str">
        <f>Translations!$B$837</f>
        <v>Den korrigerade dolimeverksamhetsnivån beräknas med hjälp av formeln i punkt 3 i bilaga III till FAR (innan genomsnittsvärdet fastställs).</v>
      </c>
      <c r="F160" s="1963"/>
      <c r="G160" s="1963"/>
      <c r="H160" s="1963"/>
      <c r="I160" s="1963"/>
      <c r="J160" s="1963"/>
      <c r="K160" s="1963"/>
      <c r="L160" s="1963"/>
      <c r="M160" s="1963"/>
      <c r="N160" s="1963"/>
      <c r="O160" s="6"/>
      <c r="P160" s="15"/>
      <c r="Q160" s="7"/>
      <c r="R160" s="2"/>
      <c r="S160" s="2"/>
      <c r="T160" s="2"/>
      <c r="U160" s="2"/>
      <c r="V160" s="2"/>
      <c r="W160" s="2"/>
      <c r="X160" s="2"/>
      <c r="Y160" s="7"/>
      <c r="Z160" s="7"/>
      <c r="AA160" s="7"/>
      <c r="AB160" s="7"/>
      <c r="AC160" s="7"/>
      <c r="AD160" s="7"/>
      <c r="AE160" s="7"/>
      <c r="AF160" s="7"/>
      <c r="AG160" s="7"/>
      <c r="AH160" s="7"/>
      <c r="AI160" s="7"/>
      <c r="AJ160" s="7"/>
      <c r="AK160" s="7"/>
      <c r="AL160" s="7"/>
    </row>
    <row r="161" spans="1:38" x14ac:dyDescent="0.25">
      <c r="A161" s="2"/>
      <c r="B161" s="3"/>
      <c r="C161" s="3"/>
      <c r="D161" s="15"/>
      <c r="E161" s="2061" t="str">
        <f>Translations!$B$806</f>
        <v>Resultatet av verktyget används i bladet ”F_ProductBM”, inmatningsrad a.ii för delanläggningen i fråga, och genomsnittet beräknas utifrån detta.</v>
      </c>
      <c r="F161" s="1963"/>
      <c r="G161" s="1963"/>
      <c r="H161" s="1963"/>
      <c r="I161" s="1963"/>
      <c r="J161" s="1963"/>
      <c r="K161" s="1963"/>
      <c r="L161" s="1963"/>
      <c r="M161" s="1963"/>
      <c r="N161" s="1963"/>
      <c r="O161" s="6"/>
      <c r="P161" s="15"/>
      <c r="Q161" s="7"/>
      <c r="R161" s="2"/>
      <c r="S161" s="2"/>
      <c r="T161" s="2"/>
      <c r="U161" s="2"/>
      <c r="V161" s="2"/>
      <c r="W161" s="2"/>
      <c r="X161" s="2"/>
      <c r="Y161" s="7"/>
      <c r="Z161" s="7"/>
      <c r="AA161" s="7"/>
      <c r="AB161" s="7"/>
      <c r="AC161" s="7"/>
      <c r="AD161" s="7"/>
      <c r="AE161" s="7"/>
      <c r="AF161" s="7"/>
      <c r="AG161" s="7"/>
      <c r="AH161" s="7"/>
      <c r="AI161" s="7"/>
      <c r="AJ161" s="7"/>
      <c r="AK161" s="7"/>
      <c r="AL161" s="7"/>
    </row>
    <row r="162" spans="1:38" ht="13" x14ac:dyDescent="0.25">
      <c r="A162" s="2"/>
      <c r="B162" s="19"/>
      <c r="C162" s="19"/>
      <c r="D162" s="13"/>
      <c r="E162" s="21"/>
      <c r="F162" s="21"/>
      <c r="G162" s="30" t="str">
        <f>EUconst_Unit</f>
        <v>Enhet</v>
      </c>
      <c r="H162" s="350">
        <f t="shared" ref="H162:N162" si="26">H$421</f>
        <v>2019</v>
      </c>
      <c r="I162" s="350">
        <f t="shared" si="26"/>
        <v>2020</v>
      </c>
      <c r="J162" s="350">
        <f t="shared" si="26"/>
        <v>2021</v>
      </c>
      <c r="K162" s="350">
        <f t="shared" si="26"/>
        <v>2022</v>
      </c>
      <c r="L162" s="350">
        <f t="shared" si="26"/>
        <v>2023</v>
      </c>
      <c r="M162" s="350">
        <f t="shared" si="26"/>
        <v>2024</v>
      </c>
      <c r="N162" s="673">
        <f t="shared" si="26"/>
        <v>2025</v>
      </c>
      <c r="O162" s="6"/>
      <c r="P162" s="15"/>
      <c r="Q162" s="2"/>
      <c r="R162" s="2"/>
      <c r="S162" s="2"/>
      <c r="T162" s="2"/>
      <c r="U162" s="2"/>
      <c r="V162" s="2"/>
      <c r="W162" s="2"/>
      <c r="X162" s="2"/>
      <c r="Y162" s="7"/>
      <c r="Z162" s="7"/>
      <c r="AA162" s="7"/>
      <c r="AB162" s="7"/>
      <c r="AC162" s="7"/>
      <c r="AD162" s="7"/>
      <c r="AE162" s="7"/>
      <c r="AF162" s="7"/>
      <c r="AG162" s="7"/>
      <c r="AH162" s="7"/>
      <c r="AI162" s="7"/>
      <c r="AJ162" s="7"/>
      <c r="AK162" s="7"/>
      <c r="AL162" s="7"/>
    </row>
    <row r="163" spans="1:38" ht="13" customHeight="1" x14ac:dyDescent="0.25">
      <c r="A163" s="2"/>
      <c r="B163" s="19"/>
      <c r="C163" s="19"/>
      <c r="D163" s="19"/>
      <c r="E163" s="915" t="str">
        <f>Translations!$B$838</f>
        <v>produktion av dolime av standardkvalitet</v>
      </c>
      <c r="F163" s="915"/>
      <c r="G163" s="43" t="str">
        <f>EUconst_tpa</f>
        <v>t / år</v>
      </c>
      <c r="H163" s="268" t="str">
        <f t="shared" ref="H163:N163" si="27">IF(ISNUMBER(H147),H147*(785*H156/100+1092*H157/100)/865.6,"")</f>
        <v/>
      </c>
      <c r="I163" s="268" t="str">
        <f t="shared" si="27"/>
        <v/>
      </c>
      <c r="J163" s="268" t="str">
        <f t="shared" si="27"/>
        <v/>
      </c>
      <c r="K163" s="268" t="str">
        <f t="shared" si="27"/>
        <v/>
      </c>
      <c r="L163" s="268" t="str">
        <f t="shared" si="27"/>
        <v/>
      </c>
      <c r="M163" s="268" t="str">
        <f t="shared" si="27"/>
        <v/>
      </c>
      <c r="N163" s="667" t="str">
        <f t="shared" si="27"/>
        <v/>
      </c>
      <c r="O163" s="6"/>
      <c r="P163" s="15"/>
      <c r="Q163" s="108" t="str">
        <f>IF(L140=EUconst_Relevant,EUconst_CNTR_HALspecial &amp; INDEX(EUconst_BMlistNames,R140),"")</f>
        <v/>
      </c>
      <c r="R163" s="2"/>
      <c r="S163" s="2"/>
      <c r="T163" s="2"/>
      <c r="U163" s="2"/>
      <c r="V163" s="2"/>
      <c r="W163" s="2"/>
      <c r="X163" s="2"/>
      <c r="Y163" s="7"/>
      <c r="Z163" s="7"/>
      <c r="AA163" s="7"/>
      <c r="AB163" s="7"/>
      <c r="AC163" s="7"/>
      <c r="AD163" s="7"/>
      <c r="AE163" s="7"/>
      <c r="AF163" s="7"/>
      <c r="AG163" s="7"/>
      <c r="AH163" s="7"/>
      <c r="AI163" s="7"/>
      <c r="AJ163" s="7"/>
      <c r="AK163" s="7"/>
      <c r="AL163" s="7"/>
    </row>
    <row r="164" spans="1:38" ht="5.15" customHeight="1" x14ac:dyDescent="0.25">
      <c r="A164" s="2"/>
      <c r="B164" s="3"/>
      <c r="C164" s="3"/>
      <c r="D164" s="3"/>
      <c r="E164" s="3"/>
      <c r="F164" s="3"/>
      <c r="G164" s="3"/>
      <c r="H164" s="3"/>
      <c r="I164" s="3"/>
      <c r="J164" s="3"/>
      <c r="K164" s="3"/>
      <c r="L164" s="3"/>
      <c r="M164" s="6"/>
      <c r="N164" s="6"/>
      <c r="O164" s="6"/>
      <c r="P164" s="15"/>
      <c r="Q164" s="7"/>
      <c r="R164" s="2"/>
      <c r="S164" s="2"/>
      <c r="T164" s="2"/>
      <c r="U164" s="2"/>
      <c r="V164" s="2"/>
      <c r="W164" s="2"/>
      <c r="X164" s="2"/>
      <c r="Y164" s="7"/>
      <c r="Z164" s="7"/>
      <c r="AA164" s="7"/>
      <c r="AB164" s="7"/>
      <c r="AC164" s="7"/>
      <c r="AD164" s="7"/>
      <c r="AE164" s="7"/>
      <c r="AF164" s="7"/>
      <c r="AG164" s="7"/>
      <c r="AH164" s="7"/>
      <c r="AI164" s="7"/>
      <c r="AJ164" s="7"/>
      <c r="AK164" s="7"/>
      <c r="AL164" s="7"/>
    </row>
    <row r="165" spans="1:38" ht="13" x14ac:dyDescent="0.25">
      <c r="A165" s="2"/>
      <c r="B165" s="3"/>
      <c r="C165" s="3"/>
      <c r="D165" s="3"/>
      <c r="E165" s="2748" t="str">
        <f>IF(L140=EUconst_Relevant,HYPERLINK(R165,EUconst_MsgBackToSheetF),"")</f>
        <v/>
      </c>
      <c r="F165" s="2749"/>
      <c r="G165" s="2749"/>
      <c r="H165" s="2749"/>
      <c r="I165" s="2749"/>
      <c r="J165" s="2749"/>
      <c r="K165" s="2749"/>
      <c r="L165" s="2749"/>
      <c r="M165" s="2749"/>
      <c r="N165" s="2750"/>
      <c r="O165" s="6"/>
      <c r="P165" s="15"/>
      <c r="Q165" s="309" t="s">
        <v>127</v>
      </c>
      <c r="R165" s="108" t="str">
        <f>R142</f>
        <v/>
      </c>
      <c r="S165" s="2"/>
      <c r="T165" s="2"/>
      <c r="U165" s="2"/>
      <c r="V165" s="2"/>
      <c r="W165" s="2"/>
      <c r="X165" s="2"/>
      <c r="Y165" s="7"/>
      <c r="Z165" s="7"/>
      <c r="AA165" s="7"/>
      <c r="AB165" s="7"/>
      <c r="AC165" s="7"/>
      <c r="AD165" s="7"/>
      <c r="AE165" s="7"/>
      <c r="AF165" s="7"/>
      <c r="AG165" s="7"/>
      <c r="AH165" s="7"/>
      <c r="AI165" s="7"/>
      <c r="AJ165" s="7"/>
      <c r="AK165" s="7"/>
      <c r="AL165" s="7"/>
    </row>
    <row r="166" spans="1:38" x14ac:dyDescent="0.25">
      <c r="A166" s="2"/>
      <c r="B166" s="19"/>
      <c r="C166" s="19"/>
      <c r="D166" s="19"/>
      <c r="E166" s="19"/>
      <c r="F166" s="19"/>
      <c r="G166" s="19"/>
      <c r="H166" s="19"/>
      <c r="I166" s="19"/>
      <c r="J166" s="19"/>
      <c r="K166" s="19"/>
      <c r="L166" s="19"/>
      <c r="M166" s="19"/>
      <c r="N166" s="19"/>
      <c r="O166" s="6"/>
      <c r="P166" s="15"/>
      <c r="Q166" s="2"/>
      <c r="R166" s="2"/>
      <c r="S166" s="2"/>
      <c r="T166" s="2"/>
      <c r="U166" s="2"/>
      <c r="V166" s="2"/>
      <c r="W166" s="2"/>
      <c r="X166" s="2"/>
      <c r="Y166" s="7"/>
      <c r="Z166" s="7"/>
      <c r="AA166" s="7"/>
      <c r="AB166" s="7"/>
      <c r="AC166" s="7"/>
      <c r="AD166" s="7"/>
      <c r="AE166" s="7"/>
      <c r="AF166" s="7"/>
      <c r="AG166" s="7"/>
      <c r="AH166" s="7"/>
      <c r="AI166" s="7"/>
      <c r="AJ166" s="7"/>
      <c r="AK166" s="7"/>
      <c r="AL166" s="7"/>
    </row>
    <row r="167" spans="1:38" ht="15.5" x14ac:dyDescent="0.35">
      <c r="A167" s="2"/>
      <c r="B167" s="3"/>
      <c r="C167" s="11" t="s">
        <v>12</v>
      </c>
      <c r="D167" s="1975" t="str">
        <f>Translations!$B$839</f>
        <v>Ångkrackning</v>
      </c>
      <c r="E167" s="1975"/>
      <c r="F167" s="1975"/>
      <c r="G167" s="1975"/>
      <c r="H167" s="1975"/>
      <c r="I167" s="1975"/>
      <c r="J167" s="1975"/>
      <c r="K167" s="1975"/>
      <c r="L167" s="1975"/>
      <c r="M167" s="1975"/>
      <c r="N167" s="1975"/>
      <c r="O167" s="6"/>
      <c r="P167" s="15"/>
      <c r="Q167" s="7"/>
      <c r="R167" s="2"/>
      <c r="S167" s="2"/>
      <c r="T167" s="2"/>
      <c r="U167" s="2"/>
      <c r="V167" s="2"/>
      <c r="W167" s="2"/>
      <c r="X167" s="2"/>
      <c r="Y167" s="7"/>
      <c r="Z167" s="7"/>
      <c r="AA167" s="7"/>
      <c r="AB167" s="7"/>
      <c r="AC167" s="7"/>
      <c r="AD167" s="7"/>
      <c r="AE167" s="7"/>
      <c r="AF167" s="7"/>
      <c r="AG167" s="7"/>
      <c r="AH167" s="7"/>
      <c r="AI167" s="7"/>
      <c r="AJ167" s="7"/>
      <c r="AK167" s="7"/>
      <c r="AL167" s="7"/>
    </row>
    <row r="168" spans="1:38" ht="5.15" customHeight="1" x14ac:dyDescent="0.25">
      <c r="A168" s="2"/>
      <c r="B168" s="3"/>
      <c r="C168" s="3"/>
      <c r="D168" s="3"/>
      <c r="E168" s="3"/>
      <c r="F168" s="3"/>
      <c r="G168" s="3"/>
      <c r="H168" s="3"/>
      <c r="I168" s="3"/>
      <c r="J168" s="3"/>
      <c r="K168" s="3"/>
      <c r="L168" s="3"/>
      <c r="M168" s="6"/>
      <c r="N168" s="6"/>
      <c r="O168" s="6"/>
      <c r="P168" s="15"/>
      <c r="Q168" s="7"/>
      <c r="R168" s="2"/>
      <c r="S168" s="2"/>
      <c r="T168" s="2"/>
      <c r="U168" s="2"/>
      <c r="V168" s="2"/>
      <c r="W168" s="2"/>
      <c r="X168" s="2"/>
      <c r="Y168" s="7"/>
      <c r="Z168" s="7"/>
      <c r="AA168" s="7"/>
      <c r="AB168" s="7"/>
      <c r="AC168" s="7"/>
      <c r="AD168" s="7"/>
      <c r="AE168" s="7"/>
      <c r="AF168" s="7"/>
      <c r="AG168" s="7"/>
      <c r="AH168" s="7"/>
      <c r="AI168" s="7"/>
      <c r="AJ168" s="7"/>
      <c r="AK168" s="7"/>
      <c r="AL168" s="7"/>
    </row>
    <row r="169" spans="1:38" ht="14" x14ac:dyDescent="0.3">
      <c r="A169" s="2"/>
      <c r="B169" s="3"/>
      <c r="C169" s="17">
        <v>1</v>
      </c>
      <c r="D169" s="2053" t="str">
        <f>Translations!$B$840</f>
        <v>Verktyg för att beräkna historiska verksamhetsnivåer för ångkrackningsdelanläggningar</v>
      </c>
      <c r="E169" s="1963"/>
      <c r="F169" s="1963"/>
      <c r="G169" s="1963"/>
      <c r="H169" s="1963"/>
      <c r="I169" s="1963"/>
      <c r="J169" s="1963"/>
      <c r="K169" s="1963"/>
      <c r="L169" s="1963"/>
      <c r="M169" s="1963"/>
      <c r="N169" s="1963"/>
      <c r="O169" s="6"/>
      <c r="P169" s="15"/>
      <c r="Q169" s="7"/>
      <c r="R169" s="2"/>
      <c r="S169" s="2"/>
      <c r="T169" s="2"/>
      <c r="U169" s="2"/>
      <c r="V169" s="2"/>
      <c r="W169" s="2"/>
      <c r="X169" s="2"/>
      <c r="Y169" s="7"/>
      <c r="Z169" s="7"/>
      <c r="AA169" s="7"/>
      <c r="AB169" s="7"/>
      <c r="AC169" s="7"/>
      <c r="AD169" s="7"/>
      <c r="AE169" s="7"/>
      <c r="AF169" s="7"/>
      <c r="AG169" s="7"/>
      <c r="AH169" s="7"/>
      <c r="AI169" s="7"/>
      <c r="AJ169" s="7"/>
      <c r="AK169" s="7"/>
      <c r="AL169" s="7"/>
    </row>
    <row r="170" spans="1:38" ht="5.15" customHeight="1" x14ac:dyDescent="0.25">
      <c r="A170" s="2"/>
      <c r="B170" s="3"/>
      <c r="C170" s="3"/>
      <c r="D170" s="3"/>
      <c r="E170" s="3"/>
      <c r="F170" s="3"/>
      <c r="G170" s="3"/>
      <c r="H170" s="3"/>
      <c r="I170" s="3"/>
      <c r="J170" s="3"/>
      <c r="K170" s="3"/>
      <c r="L170" s="3"/>
      <c r="M170" s="6"/>
      <c r="N170" s="6"/>
      <c r="O170" s="6"/>
      <c r="P170" s="15"/>
      <c r="Q170" s="7"/>
      <c r="R170" s="2"/>
      <c r="S170" s="2"/>
      <c r="T170" s="2"/>
      <c r="U170" s="2"/>
      <c r="V170" s="2"/>
      <c r="W170" s="2"/>
      <c r="X170" s="2"/>
      <c r="Y170" s="7"/>
      <c r="Z170" s="7"/>
      <c r="AA170" s="7"/>
      <c r="AB170" s="7"/>
      <c r="AC170" s="7"/>
      <c r="AD170" s="7"/>
      <c r="AE170" s="7"/>
      <c r="AF170" s="7"/>
      <c r="AG170" s="7"/>
      <c r="AH170" s="7"/>
      <c r="AI170" s="7"/>
      <c r="AJ170" s="7"/>
      <c r="AK170" s="7"/>
      <c r="AL170" s="7"/>
    </row>
    <row r="171" spans="1:38" x14ac:dyDescent="0.25">
      <c r="A171" s="2"/>
      <c r="B171" s="3"/>
      <c r="C171" s="3"/>
      <c r="D171" s="15"/>
      <c r="E171" s="2061" t="str">
        <f>Translations!$B$841</f>
        <v>Med hjälp av detta verktyg kan ni fastställa de historiska verksamhetsnivåerna för ångkrackningsriktmärket (punkt 4 i bilaga III till FAR).</v>
      </c>
      <c r="F171" s="1963"/>
      <c r="G171" s="1963"/>
      <c r="H171" s="1963"/>
      <c r="I171" s="1963"/>
      <c r="J171" s="1963"/>
      <c r="K171" s="1963"/>
      <c r="L171" s="1963"/>
      <c r="M171" s="1963"/>
      <c r="N171" s="1963"/>
      <c r="O171" s="6"/>
      <c r="P171" s="15"/>
      <c r="Q171" s="7"/>
      <c r="R171" s="2"/>
      <c r="S171" s="2"/>
      <c r="T171" s="2"/>
      <c r="U171" s="2"/>
      <c r="V171" s="2"/>
      <c r="W171" s="2"/>
      <c r="X171" s="2"/>
      <c r="Y171" s="7"/>
      <c r="Z171" s="7"/>
      <c r="AA171" s="7"/>
      <c r="AB171" s="7"/>
      <c r="AC171" s="7"/>
      <c r="AD171" s="7"/>
      <c r="AE171" s="7"/>
      <c r="AF171" s="7"/>
      <c r="AG171" s="7"/>
      <c r="AH171" s="7"/>
      <c r="AI171" s="7"/>
      <c r="AJ171" s="7"/>
      <c r="AK171" s="7"/>
      <c r="AL171" s="7"/>
    </row>
    <row r="172" spans="1:38" x14ac:dyDescent="0.25">
      <c r="A172" s="2"/>
      <c r="B172" s="3"/>
      <c r="C172" s="3"/>
      <c r="D172" s="15"/>
      <c r="E172" s="2061" t="str">
        <f>Translations!$B$731</f>
        <v>Resultatet av verktyget kopieras automatiskt in i blad ”F_ProductBM”, inmatningsrad a.ii för delanläggningen i fråga.</v>
      </c>
      <c r="F172" s="1963"/>
      <c r="G172" s="1963"/>
      <c r="H172" s="1963"/>
      <c r="I172" s="1963"/>
      <c r="J172" s="1963"/>
      <c r="K172" s="1963"/>
      <c r="L172" s="1963"/>
      <c r="M172" s="1963"/>
      <c r="N172" s="1963"/>
      <c r="O172" s="6"/>
      <c r="P172" s="15"/>
      <c r="Q172" s="7"/>
      <c r="R172" s="2"/>
      <c r="S172" s="2"/>
      <c r="T172" s="2"/>
      <c r="U172" s="2"/>
      <c r="V172" s="2"/>
      <c r="W172" s="2"/>
      <c r="X172" s="2"/>
      <c r="Y172" s="7"/>
      <c r="Z172" s="7"/>
      <c r="AA172" s="7"/>
      <c r="AB172" s="7"/>
      <c r="AC172" s="7"/>
      <c r="AD172" s="7"/>
      <c r="AE172" s="7"/>
      <c r="AF172" s="7"/>
      <c r="AG172" s="7"/>
      <c r="AH172" s="7"/>
      <c r="AI172" s="7"/>
      <c r="AJ172" s="7"/>
      <c r="AK172" s="7"/>
      <c r="AL172" s="7"/>
    </row>
    <row r="173" spans="1:38" ht="5.15" customHeight="1" x14ac:dyDescent="0.25">
      <c r="A173" s="2"/>
      <c r="B173" s="3"/>
      <c r="C173" s="3"/>
      <c r="D173" s="3"/>
      <c r="E173" s="3"/>
      <c r="F173" s="3"/>
      <c r="G173" s="3"/>
      <c r="H173" s="3"/>
      <c r="I173" s="3"/>
      <c r="J173" s="3"/>
      <c r="K173" s="3"/>
      <c r="L173" s="3"/>
      <c r="M173" s="6"/>
      <c r="N173" s="6"/>
      <c r="O173" s="6"/>
      <c r="P173" s="15"/>
      <c r="Q173" s="7"/>
      <c r="R173" s="2"/>
      <c r="S173" s="2"/>
      <c r="T173" s="2"/>
      <c r="U173" s="2"/>
      <c r="V173" s="2"/>
      <c r="W173" s="2"/>
      <c r="X173" s="2"/>
      <c r="Y173" s="7"/>
      <c r="Z173" s="7"/>
      <c r="AA173" s="7"/>
      <c r="AB173" s="7"/>
      <c r="AC173" s="7"/>
      <c r="AD173" s="7"/>
      <c r="AE173" s="7"/>
      <c r="AF173" s="7"/>
      <c r="AG173" s="7"/>
      <c r="AH173" s="7"/>
      <c r="AI173" s="7"/>
      <c r="AJ173" s="7"/>
      <c r="AK173" s="7"/>
      <c r="AL173" s="7"/>
    </row>
    <row r="174" spans="1:38" ht="14" x14ac:dyDescent="0.3">
      <c r="A174" s="2"/>
      <c r="B174" s="3"/>
      <c r="C174" s="3"/>
      <c r="D174" s="13" t="s">
        <v>442</v>
      </c>
      <c r="E174" s="1943" t="str">
        <f>Translations!$B$732</f>
        <v>Verktygets relevans för er anläggning:</v>
      </c>
      <c r="F174" s="1943"/>
      <c r="G174" s="1943"/>
      <c r="H174" s="1943"/>
      <c r="I174" s="1943"/>
      <c r="J174" s="1943"/>
      <c r="K174" s="2067"/>
      <c r="L174" s="2751" t="str">
        <f>IF(CNTR_ExistSubInstEntries,IF(COUNTIF(CNTR_SubInstListNames,INDEX(EUconst_BMlistNames,R174))&gt;0,EUconst_Relevant,EUconst_NotRelevant),"")</f>
        <v/>
      </c>
      <c r="M174" s="2752"/>
      <c r="N174" s="2753"/>
      <c r="O174" s="6"/>
      <c r="P174" s="15"/>
      <c r="Q174" s="309" t="s">
        <v>128</v>
      </c>
      <c r="R174" s="297">
        <v>42</v>
      </c>
      <c r="S174" s="553" t="s">
        <v>608</v>
      </c>
      <c r="T174" s="979">
        <f>SUMIF(CNTR_SubInstListBMnumbers,$R174,CNTR_SubInstStartDate)</f>
        <v>0</v>
      </c>
      <c r="U174" s="343" t="s">
        <v>1873</v>
      </c>
      <c r="V174" s="663">
        <f>IF(SUM(T174)=0,2005,YEAR($X174))</f>
        <v>2005</v>
      </c>
      <c r="W174" s="553" t="s">
        <v>1876</v>
      </c>
      <c r="X174" s="979">
        <f>SUMIF(CNTR_SubInstListBMnumbers,$R174,CNTR_SubInstCessationDate)</f>
        <v>0</v>
      </c>
      <c r="Y174" s="553" t="s">
        <v>1877</v>
      </c>
      <c r="Z174" s="663">
        <f>IF(SUM(X174)=0,2050,YEAR($X174))</f>
        <v>2050</v>
      </c>
      <c r="AA174" s="553" t="s">
        <v>2201</v>
      </c>
      <c r="AB174" s="663" t="b">
        <f>CNTR_ReportingYear&gt;V174</f>
        <v>1</v>
      </c>
      <c r="AC174" s="7"/>
      <c r="AD174" s="7"/>
      <c r="AE174" s="7"/>
      <c r="AF174" s="7"/>
      <c r="AG174" s="7"/>
      <c r="AH174" s="7"/>
      <c r="AI174" s="7"/>
      <c r="AJ174" s="7"/>
      <c r="AK174" s="7"/>
      <c r="AL174" s="7"/>
    </row>
    <row r="175" spans="1:38" x14ac:dyDescent="0.25">
      <c r="A175" s="2"/>
      <c r="B175" s="3"/>
      <c r="C175" s="3"/>
      <c r="D175" s="15"/>
      <c r="E175" s="1999" t="str">
        <f>Translations!$B$733</f>
        <v>Detta meddelande visas automatiskt på grundval av er tidigare inmatning i blad ”A_InstallationData", avsnitt A.III.1.</v>
      </c>
      <c r="F175" s="2000"/>
      <c r="G175" s="2000"/>
      <c r="H175" s="2000"/>
      <c r="I175" s="2000"/>
      <c r="J175" s="2000"/>
      <c r="K175" s="2000"/>
      <c r="L175" s="2000"/>
      <c r="M175" s="2000"/>
      <c r="N175" s="2000"/>
      <c r="O175" s="6"/>
      <c r="P175" s="15"/>
      <c r="Q175" s="7"/>
      <c r="R175" s="2"/>
      <c r="S175" s="2"/>
      <c r="T175" s="2"/>
      <c r="U175" s="2"/>
      <c r="V175" s="2"/>
      <c r="W175" s="2"/>
      <c r="X175" s="2"/>
      <c r="Y175" s="7"/>
      <c r="Z175" s="7"/>
      <c r="AA175" s="7"/>
      <c r="AB175" s="7"/>
      <c r="AC175" s="7"/>
      <c r="AD175" s="7"/>
      <c r="AE175" s="7"/>
      <c r="AF175" s="7"/>
      <c r="AG175" s="7"/>
      <c r="AH175" s="7"/>
      <c r="AI175" s="7"/>
      <c r="AJ175" s="7"/>
      <c r="AK175" s="7"/>
      <c r="AL175" s="7"/>
    </row>
    <row r="176" spans="1:38" ht="13" x14ac:dyDescent="0.25">
      <c r="A176" s="2"/>
      <c r="B176" s="3"/>
      <c r="C176" s="3"/>
      <c r="D176" s="3"/>
      <c r="E176" s="2748" t="str">
        <f>IF(L174=EUconst_Relevant,HYPERLINK(R176,EUconst_MsgBackToSheetF),"")</f>
        <v/>
      </c>
      <c r="F176" s="2749"/>
      <c r="G176" s="2749"/>
      <c r="H176" s="2749"/>
      <c r="I176" s="2749"/>
      <c r="J176" s="2749"/>
      <c r="K176" s="2749"/>
      <c r="L176" s="2749"/>
      <c r="M176" s="2749"/>
      <c r="N176" s="2750"/>
      <c r="O176" s="6"/>
      <c r="P176" s="15"/>
      <c r="Q176" s="309" t="s">
        <v>127</v>
      </c>
      <c r="R176" s="108" t="str">
        <f>IF(ISNUMBER(MATCH(R174,CNTR_SubInstListBMnumbers,0)),"#JUMP_F"&amp;MATCH(R174,CNTR_SubInstListBMnumbers,0),"")</f>
        <v/>
      </c>
      <c r="S176" s="2"/>
      <c r="T176" s="2"/>
      <c r="U176" s="2"/>
      <c r="V176" s="2"/>
      <c r="W176" s="2"/>
      <c r="X176" s="2"/>
      <c r="Y176" s="7"/>
      <c r="Z176" s="7"/>
      <c r="AA176" s="7"/>
      <c r="AB176" s="7"/>
      <c r="AC176" s="7"/>
      <c r="AD176" s="7"/>
      <c r="AE176" s="7"/>
      <c r="AF176" s="7"/>
      <c r="AG176" s="7"/>
      <c r="AH176" s="7"/>
      <c r="AI176" s="7"/>
      <c r="AJ176" s="7"/>
      <c r="AK176" s="7"/>
      <c r="AL176" s="7"/>
    </row>
    <row r="177" spans="1:38" ht="5.15" customHeight="1" x14ac:dyDescent="0.25">
      <c r="A177" s="2"/>
      <c r="B177" s="3"/>
      <c r="C177" s="3"/>
      <c r="D177" s="3"/>
      <c r="E177" s="3"/>
      <c r="F177" s="3"/>
      <c r="G177" s="3"/>
      <c r="H177" s="3"/>
      <c r="I177" s="3"/>
      <c r="J177" s="3"/>
      <c r="K177" s="3"/>
      <c r="L177" s="3"/>
      <c r="M177" s="6"/>
      <c r="N177" s="6"/>
      <c r="O177" s="6"/>
      <c r="P177" s="15"/>
      <c r="Q177" s="7"/>
      <c r="R177" s="2"/>
      <c r="S177" s="2"/>
      <c r="T177" s="2"/>
      <c r="U177" s="2"/>
      <c r="V177" s="2"/>
      <c r="W177" s="2"/>
      <c r="X177" s="2"/>
      <c r="Y177" s="7"/>
      <c r="Z177" s="7"/>
      <c r="AA177" s="7"/>
      <c r="AB177" s="7"/>
      <c r="AC177" s="7"/>
      <c r="AD177" s="7"/>
      <c r="AE177" s="7"/>
      <c r="AF177" s="7"/>
      <c r="AG177" s="7"/>
      <c r="AH177" s="7"/>
      <c r="AI177" s="7"/>
      <c r="AJ177" s="7"/>
      <c r="AK177" s="7"/>
      <c r="AL177" s="7"/>
    </row>
    <row r="178" spans="1:38" ht="13" x14ac:dyDescent="0.25">
      <c r="A178" s="2"/>
      <c r="B178" s="3"/>
      <c r="C178" s="3"/>
      <c r="D178" s="13" t="s">
        <v>955</v>
      </c>
      <c r="E178" s="1943" t="str">
        <f>Translations!$B$842</f>
        <v>Total produktion av högvärdiga kemikalier (total HVC)</v>
      </c>
      <c r="F178" s="1963"/>
      <c r="G178" s="1963"/>
      <c r="H178" s="1963"/>
      <c r="I178" s="1963"/>
      <c r="J178" s="1963"/>
      <c r="K178" s="1963"/>
      <c r="L178" s="1963"/>
      <c r="M178" s="1963"/>
      <c r="N178" s="1963"/>
      <c r="O178" s="6"/>
      <c r="P178" s="15"/>
      <c r="Q178" s="7"/>
      <c r="R178" s="2"/>
      <c r="S178" s="2"/>
      <c r="T178" s="2"/>
      <c r="U178" s="2"/>
      <c r="V178" s="2"/>
      <c r="W178" s="2"/>
      <c r="X178" s="2"/>
      <c r="Y178" s="7"/>
      <c r="Z178" s="7"/>
      <c r="AA178" s="7"/>
      <c r="AB178" s="7"/>
      <c r="AC178" s="7"/>
      <c r="AD178" s="7"/>
      <c r="AE178" s="7"/>
      <c r="AF178" s="7"/>
      <c r="AG178" s="7"/>
      <c r="AH178" s="7"/>
      <c r="AI178" s="7"/>
      <c r="AJ178" s="7"/>
      <c r="AK178" s="7"/>
      <c r="AL178" s="7"/>
    </row>
    <row r="179" spans="1:38" x14ac:dyDescent="0.25">
      <c r="A179" s="2"/>
      <c r="B179" s="3"/>
      <c r="C179" s="3"/>
      <c r="D179" s="15"/>
      <c r="E179" s="2061" t="str">
        <f>Translations!$B$843</f>
        <v>Var god ange uppgifter om den årliga produktionen uttryckt i ton HVC (utan korrigering)</v>
      </c>
      <c r="F179" s="1963"/>
      <c r="G179" s="1963"/>
      <c r="H179" s="1963"/>
      <c r="I179" s="1963"/>
      <c r="J179" s="1963"/>
      <c r="K179" s="1963"/>
      <c r="L179" s="1963"/>
      <c r="M179" s="1963"/>
      <c r="N179" s="1963"/>
      <c r="O179" s="6"/>
      <c r="P179" s="15"/>
      <c r="Q179" s="7"/>
      <c r="R179" s="2"/>
      <c r="S179" s="2"/>
      <c r="T179" s="2"/>
      <c r="U179" s="2"/>
      <c r="V179" s="2"/>
      <c r="W179" s="2"/>
      <c r="X179" s="2"/>
      <c r="Y179" s="7"/>
      <c r="Z179" s="7"/>
      <c r="AA179" s="7"/>
      <c r="AB179" s="7"/>
      <c r="AC179" s="7"/>
      <c r="AD179" s="7"/>
      <c r="AE179" s="7"/>
      <c r="AF179" s="7"/>
      <c r="AG179" s="7"/>
      <c r="AH179" s="7"/>
      <c r="AI179" s="7"/>
      <c r="AJ179" s="7"/>
      <c r="AK179" s="7"/>
      <c r="AL179" s="7"/>
    </row>
    <row r="180" spans="1:38" ht="13.5" thickBot="1" x14ac:dyDescent="0.3">
      <c r="A180" s="2"/>
      <c r="B180" s="19"/>
      <c r="C180" s="19"/>
      <c r="D180" s="13"/>
      <c r="E180" s="24"/>
      <c r="F180" s="21"/>
      <c r="G180" s="30" t="str">
        <f>EUconst_Unit</f>
        <v>Enhet</v>
      </c>
      <c r="H180" s="350">
        <f t="shared" ref="H180:N180" si="28">H$421</f>
        <v>2019</v>
      </c>
      <c r="I180" s="673">
        <f t="shared" si="28"/>
        <v>2020</v>
      </c>
      <c r="J180" s="1065">
        <f t="shared" si="28"/>
        <v>2021</v>
      </c>
      <c r="K180" s="350">
        <f t="shared" si="28"/>
        <v>2022</v>
      </c>
      <c r="L180" s="350">
        <f t="shared" si="28"/>
        <v>2023</v>
      </c>
      <c r="M180" s="350">
        <f t="shared" si="28"/>
        <v>2024</v>
      </c>
      <c r="N180" s="350">
        <f t="shared" si="28"/>
        <v>2025</v>
      </c>
      <c r="O180" s="6"/>
      <c r="P180" s="15"/>
      <c r="Q180" s="2"/>
      <c r="R180" s="2"/>
      <c r="S180" s="2"/>
      <c r="T180" s="2"/>
      <c r="U180" s="2"/>
      <c r="V180" s="2"/>
      <c r="W180" s="2"/>
      <c r="X180" s="2"/>
      <c r="Y180" s="7"/>
      <c r="Z180" s="7"/>
      <c r="AA180" s="7"/>
      <c r="AB180" s="2"/>
      <c r="AC180" s="1051">
        <f t="shared" ref="AC180:AI180" si="29">H180</f>
        <v>2019</v>
      </c>
      <c r="AD180" s="1051">
        <f t="shared" si="29"/>
        <v>2020</v>
      </c>
      <c r="AE180" s="1051">
        <f t="shared" si="29"/>
        <v>2021</v>
      </c>
      <c r="AF180" s="1051">
        <f t="shared" si="29"/>
        <v>2022</v>
      </c>
      <c r="AG180" s="1051">
        <f t="shared" si="29"/>
        <v>2023</v>
      </c>
      <c r="AH180" s="1051">
        <f t="shared" si="29"/>
        <v>2024</v>
      </c>
      <c r="AI180" s="1051">
        <f t="shared" si="29"/>
        <v>2025</v>
      </c>
      <c r="AJ180" s="7"/>
      <c r="AK180" s="7"/>
      <c r="AL180" s="7"/>
    </row>
    <row r="181" spans="1:38" x14ac:dyDescent="0.25">
      <c r="A181" s="2"/>
      <c r="B181" s="19"/>
      <c r="C181" s="19"/>
      <c r="D181" s="19"/>
      <c r="E181" s="915" t="str">
        <f>Translations!$B$844</f>
        <v>Total HVC</v>
      </c>
      <c r="F181" s="915"/>
      <c r="G181" s="43" t="str">
        <f>EUconst_tpa</f>
        <v>t / år</v>
      </c>
      <c r="H181" s="269"/>
      <c r="I181" s="1075"/>
      <c r="J181" s="1076"/>
      <c r="K181" s="269"/>
      <c r="L181" s="269"/>
      <c r="M181" s="269"/>
      <c r="N181" s="269"/>
      <c r="O181" s="6"/>
      <c r="P181" s="15"/>
      <c r="Q181" s="2"/>
      <c r="R181" s="2"/>
      <c r="S181" s="2"/>
      <c r="T181" s="2"/>
      <c r="U181" s="2"/>
      <c r="V181" s="2"/>
      <c r="W181" s="2"/>
      <c r="X181" s="2"/>
      <c r="Y181" s="7"/>
      <c r="Z181" s="7"/>
      <c r="AA181" s="7"/>
      <c r="AB181" s="672" t="s">
        <v>782</v>
      </c>
      <c r="AC181" s="1059" t="b">
        <f t="shared" ref="AC181:AI181" si="30">IF(CNTR_ExistSubInstEntries,IF($L174=EUconst_Relevant,AC180&gt;=CNTR_ReportingYear,TRUE),FALSE)</f>
        <v>0</v>
      </c>
      <c r="AD181" s="1057" t="b">
        <f t="shared" si="30"/>
        <v>0</v>
      </c>
      <c r="AE181" s="1057" t="b">
        <f t="shared" si="30"/>
        <v>0</v>
      </c>
      <c r="AF181" s="1057" t="b">
        <f t="shared" si="30"/>
        <v>0</v>
      </c>
      <c r="AG181" s="1057" t="b">
        <f t="shared" si="30"/>
        <v>0</v>
      </c>
      <c r="AH181" s="1057" t="b">
        <f t="shared" si="30"/>
        <v>0</v>
      </c>
      <c r="AI181" s="1058" t="b">
        <f t="shared" si="30"/>
        <v>0</v>
      </c>
      <c r="AJ181" s="7"/>
      <c r="AK181" s="7"/>
      <c r="AL181" s="7"/>
    </row>
    <row r="182" spans="1:38" ht="5.15" customHeight="1" x14ac:dyDescent="0.25">
      <c r="A182" s="2"/>
      <c r="B182" s="3"/>
      <c r="C182" s="3"/>
      <c r="D182" s="3"/>
      <c r="E182" s="3"/>
      <c r="F182" s="3"/>
      <c r="G182" s="3"/>
      <c r="H182" s="3"/>
      <c r="I182" s="3"/>
      <c r="J182" s="3"/>
      <c r="K182" s="3"/>
      <c r="L182" s="3"/>
      <c r="M182" s="6"/>
      <c r="N182" s="6"/>
      <c r="O182" s="6"/>
      <c r="P182" s="15"/>
      <c r="Q182" s="7"/>
      <c r="R182" s="2"/>
      <c r="S182" s="2"/>
      <c r="T182" s="2"/>
      <c r="U182" s="2"/>
      <c r="V182" s="2"/>
      <c r="W182" s="2"/>
      <c r="X182" s="2"/>
      <c r="Y182" s="7"/>
      <c r="Z182" s="7"/>
      <c r="AA182" s="7"/>
      <c r="AB182" s="7"/>
      <c r="AC182" s="1066"/>
      <c r="AD182" s="7"/>
      <c r="AE182" s="7"/>
      <c r="AF182" s="7"/>
      <c r="AG182" s="7"/>
      <c r="AH182" s="7"/>
      <c r="AI182" s="1067"/>
      <c r="AJ182" s="7"/>
      <c r="AK182" s="7"/>
      <c r="AL182" s="7"/>
    </row>
    <row r="183" spans="1:38" ht="13" x14ac:dyDescent="0.25">
      <c r="A183" s="2"/>
      <c r="B183" s="3"/>
      <c r="C183" s="3"/>
      <c r="D183" s="13" t="s">
        <v>55</v>
      </c>
      <c r="E183" s="1943" t="str">
        <f>Translations!$B$845</f>
        <v>Uppgifter om kompletterande insatsvaror:</v>
      </c>
      <c r="F183" s="1963"/>
      <c r="G183" s="1963"/>
      <c r="H183" s="1963"/>
      <c r="I183" s="1963"/>
      <c r="J183" s="1963"/>
      <c r="K183" s="1963"/>
      <c r="L183" s="1963"/>
      <c r="M183" s="1963"/>
      <c r="N183" s="1963"/>
      <c r="O183" s="6"/>
      <c r="P183" s="15"/>
      <c r="Q183" s="7"/>
      <c r="R183" s="2"/>
      <c r="S183" s="2"/>
      <c r="T183" s="2"/>
      <c r="U183" s="2"/>
      <c r="V183" s="2"/>
      <c r="W183" s="2"/>
      <c r="X183" s="2"/>
      <c r="Y183" s="7"/>
      <c r="Z183" s="7"/>
      <c r="AA183" s="7"/>
      <c r="AB183" s="7"/>
      <c r="AC183" s="1066"/>
      <c r="AD183" s="7"/>
      <c r="AE183" s="7"/>
      <c r="AF183" s="7"/>
      <c r="AG183" s="7"/>
      <c r="AH183" s="7"/>
      <c r="AI183" s="1067"/>
      <c r="AJ183" s="7"/>
      <c r="AK183" s="7"/>
      <c r="AL183" s="7"/>
    </row>
    <row r="184" spans="1:38" x14ac:dyDescent="0.25">
      <c r="A184" s="2"/>
      <c r="B184" s="3"/>
      <c r="C184" s="3"/>
      <c r="D184" s="15"/>
      <c r="E184" s="2061" t="str">
        <f>Translations!$B$846</f>
        <v>Enligt punkt 4 i bilaga III till FAR krävs följande uppgifter:</v>
      </c>
      <c r="F184" s="1963"/>
      <c r="G184" s="1963"/>
      <c r="H184" s="1963"/>
      <c r="I184" s="1963"/>
      <c r="J184" s="1963"/>
      <c r="K184" s="1963"/>
      <c r="L184" s="1963"/>
      <c r="M184" s="1963"/>
      <c r="N184" s="1963"/>
      <c r="O184" s="6"/>
      <c r="P184" s="15"/>
      <c r="Q184" s="7"/>
      <c r="R184" s="2"/>
      <c r="S184" s="2"/>
      <c r="T184" s="2"/>
      <c r="U184" s="2"/>
      <c r="V184" s="2"/>
      <c r="W184" s="2"/>
      <c r="X184" s="2"/>
      <c r="Y184" s="7"/>
      <c r="Z184" s="7"/>
      <c r="AA184" s="7"/>
      <c r="AB184" s="7"/>
      <c r="AC184" s="1066"/>
      <c r="AD184" s="7"/>
      <c r="AE184" s="7"/>
      <c r="AF184" s="7"/>
      <c r="AG184" s="7"/>
      <c r="AH184" s="7"/>
      <c r="AI184" s="1067"/>
      <c r="AJ184" s="7"/>
      <c r="AK184" s="7"/>
      <c r="AL184" s="7"/>
    </row>
    <row r="185" spans="1:38" x14ac:dyDescent="0.25">
      <c r="A185" s="2"/>
      <c r="B185" s="3"/>
      <c r="C185" s="3"/>
      <c r="D185" s="15"/>
      <c r="E185" s="114" t="s">
        <v>1112</v>
      </c>
      <c r="F185" s="2061" t="str">
        <f>Translations!$B$847</f>
        <v>historisk användning av vätgas från kompletterande insatsvaror för varje år under referensperioden uttryckt som ton vätgas</v>
      </c>
      <c r="G185" s="1963"/>
      <c r="H185" s="1963"/>
      <c r="I185" s="1963"/>
      <c r="J185" s="1963"/>
      <c r="K185" s="1963"/>
      <c r="L185" s="1963"/>
      <c r="M185" s="1963"/>
      <c r="N185" s="1963"/>
      <c r="O185" s="6"/>
      <c r="P185" s="15"/>
      <c r="Q185" s="7"/>
      <c r="R185" s="2"/>
      <c r="S185" s="2"/>
      <c r="T185" s="2"/>
      <c r="U185" s="2"/>
      <c r="V185" s="2"/>
      <c r="W185" s="2"/>
      <c r="X185" s="2"/>
      <c r="Y185" s="7"/>
      <c r="Z185" s="7"/>
      <c r="AA185" s="7"/>
      <c r="AB185" s="7"/>
      <c r="AC185" s="1066"/>
      <c r="AD185" s="7"/>
      <c r="AE185" s="7"/>
      <c r="AF185" s="7"/>
      <c r="AG185" s="7"/>
      <c r="AH185" s="7"/>
      <c r="AI185" s="1067"/>
      <c r="AJ185" s="7"/>
      <c r="AK185" s="7"/>
      <c r="AL185" s="7"/>
    </row>
    <row r="186" spans="1:38" x14ac:dyDescent="0.25">
      <c r="A186" s="2"/>
      <c r="B186" s="3"/>
      <c r="C186" s="3"/>
      <c r="D186" s="15"/>
      <c r="E186" s="114" t="s">
        <v>1112</v>
      </c>
      <c r="F186" s="2061" t="str">
        <f>Translations!$B$848</f>
        <v>historisk användning av etylen från kompletterande insatsvaror för varje år under referensperioden uttryckt som ton etylen</v>
      </c>
      <c r="G186" s="1963"/>
      <c r="H186" s="1963"/>
      <c r="I186" s="1963"/>
      <c r="J186" s="1963"/>
      <c r="K186" s="1963"/>
      <c r="L186" s="1963"/>
      <c r="M186" s="1963"/>
      <c r="N186" s="1963"/>
      <c r="O186" s="6"/>
      <c r="P186" s="15"/>
      <c r="Q186" s="7"/>
      <c r="R186" s="2"/>
      <c r="S186" s="2"/>
      <c r="T186" s="2"/>
      <c r="U186" s="2"/>
      <c r="V186" s="2"/>
      <c r="W186" s="2"/>
      <c r="X186" s="2"/>
      <c r="Y186" s="7"/>
      <c r="Z186" s="7"/>
      <c r="AA186" s="7"/>
      <c r="AB186" s="7"/>
      <c r="AC186" s="1066"/>
      <c r="AD186" s="7"/>
      <c r="AE186" s="7"/>
      <c r="AF186" s="7"/>
      <c r="AG186" s="7"/>
      <c r="AH186" s="7"/>
      <c r="AI186" s="1067"/>
      <c r="AJ186" s="7"/>
      <c r="AK186" s="7"/>
      <c r="AL186" s="7"/>
    </row>
    <row r="187" spans="1:38" x14ac:dyDescent="0.25">
      <c r="A187" s="2"/>
      <c r="B187" s="3"/>
      <c r="C187" s="3"/>
      <c r="D187" s="15"/>
      <c r="E187" s="114" t="s">
        <v>1112</v>
      </c>
      <c r="F187" s="2061" t="str">
        <f>Translations!$B$849</f>
        <v>historisk användning av andra högvärdiga kemikalier än vätgas och etylen från kompletterande insatsvaror för varje år under referensperioden uttryckt som ton högvärdiga kemikalier</v>
      </c>
      <c r="G187" s="1963"/>
      <c r="H187" s="1963"/>
      <c r="I187" s="1963"/>
      <c r="J187" s="1963"/>
      <c r="K187" s="1963"/>
      <c r="L187" s="1963"/>
      <c r="M187" s="1963"/>
      <c r="N187" s="1963"/>
      <c r="O187" s="6"/>
      <c r="P187" s="15"/>
      <c r="Q187" s="7"/>
      <c r="R187" s="2"/>
      <c r="S187" s="2"/>
      <c r="T187" s="2"/>
      <c r="U187" s="2"/>
      <c r="V187" s="2"/>
      <c r="W187" s="2"/>
      <c r="X187" s="2"/>
      <c r="Y187" s="7"/>
      <c r="Z187" s="7"/>
      <c r="AA187" s="7"/>
      <c r="AB187" s="7"/>
      <c r="AC187" s="1066"/>
      <c r="AD187" s="7"/>
      <c r="AE187" s="7"/>
      <c r="AF187" s="7"/>
      <c r="AG187" s="7"/>
      <c r="AH187" s="7"/>
      <c r="AI187" s="1067"/>
      <c r="AJ187" s="7"/>
      <c r="AK187" s="7"/>
      <c r="AL187" s="7"/>
    </row>
    <row r="188" spans="1:38" ht="12.75" customHeight="1" x14ac:dyDescent="0.25">
      <c r="A188" s="2"/>
      <c r="B188" s="19"/>
      <c r="C188" s="19"/>
      <c r="D188" s="13"/>
      <c r="E188" s="914" t="str">
        <f>Translations!$B$850</f>
        <v>Kompletterande insatsvaror</v>
      </c>
      <c r="F188" s="913"/>
      <c r="G188" s="30" t="str">
        <f>EUconst_Unit</f>
        <v>Enhet</v>
      </c>
      <c r="H188" s="350">
        <f t="shared" ref="H188:N188" si="31">H$421</f>
        <v>2019</v>
      </c>
      <c r="I188" s="673">
        <f t="shared" si="31"/>
        <v>2020</v>
      </c>
      <c r="J188" s="1065">
        <f t="shared" si="31"/>
        <v>2021</v>
      </c>
      <c r="K188" s="350">
        <f t="shared" si="31"/>
        <v>2022</v>
      </c>
      <c r="L188" s="350">
        <f t="shared" si="31"/>
        <v>2023</v>
      </c>
      <c r="M188" s="350">
        <f t="shared" si="31"/>
        <v>2024</v>
      </c>
      <c r="N188" s="350">
        <f t="shared" si="31"/>
        <v>2025</v>
      </c>
      <c r="O188" s="6"/>
      <c r="P188" s="15"/>
      <c r="Q188" s="2"/>
      <c r="R188" s="2"/>
      <c r="S188" s="2"/>
      <c r="T188" s="2"/>
      <c r="U188" s="2"/>
      <c r="V188" s="2"/>
      <c r="W188" s="2"/>
      <c r="X188" s="2"/>
      <c r="Y188" s="7"/>
      <c r="Z188" s="7"/>
      <c r="AA188" s="7"/>
      <c r="AB188" s="7"/>
      <c r="AC188" s="1066"/>
      <c r="AD188" s="7"/>
      <c r="AE188" s="7"/>
      <c r="AF188" s="7"/>
      <c r="AG188" s="7"/>
      <c r="AH188" s="7"/>
      <c r="AI188" s="1067"/>
      <c r="AJ188" s="7"/>
      <c r="AK188" s="7"/>
      <c r="AL188" s="7"/>
    </row>
    <row r="189" spans="1:38" x14ac:dyDescent="0.25">
      <c r="A189" s="2"/>
      <c r="B189" s="19"/>
      <c r="C189" s="19"/>
      <c r="D189" s="19"/>
      <c r="E189" s="916" t="str">
        <f>Translations!$B$851</f>
        <v>Vätgas</v>
      </c>
      <c r="F189" s="916"/>
      <c r="G189" s="25" t="str">
        <f>EUconst_tpa</f>
        <v>t / år</v>
      </c>
      <c r="H189" s="265"/>
      <c r="I189" s="685"/>
      <c r="J189" s="691"/>
      <c r="K189" s="265"/>
      <c r="L189" s="265"/>
      <c r="M189" s="265"/>
      <c r="N189" s="265"/>
      <c r="O189" s="6"/>
      <c r="P189" s="15"/>
      <c r="Q189" s="2"/>
      <c r="R189" s="2"/>
      <c r="S189" s="2"/>
      <c r="T189" s="2"/>
      <c r="U189" s="2"/>
      <c r="V189" s="2"/>
      <c r="W189" s="2"/>
      <c r="X189" s="2"/>
      <c r="Y189" s="7"/>
      <c r="Z189" s="7"/>
      <c r="AA189" s="7"/>
      <c r="AB189" s="7"/>
      <c r="AC189" s="1060" t="b">
        <f>AC181</f>
        <v>0</v>
      </c>
      <c r="AD189" s="298" t="b">
        <f t="shared" ref="AD189:AI189" si="32">AD181</f>
        <v>0</v>
      </c>
      <c r="AE189" s="298" t="b">
        <f t="shared" si="32"/>
        <v>0</v>
      </c>
      <c r="AF189" s="298" t="b">
        <f t="shared" si="32"/>
        <v>0</v>
      </c>
      <c r="AG189" s="298" t="b">
        <f t="shared" si="32"/>
        <v>0</v>
      </c>
      <c r="AH189" s="298" t="b">
        <f t="shared" si="32"/>
        <v>0</v>
      </c>
      <c r="AI189" s="1061" t="b">
        <f t="shared" si="32"/>
        <v>0</v>
      </c>
      <c r="AJ189" s="7"/>
      <c r="AK189" s="7"/>
      <c r="AL189" s="7"/>
    </row>
    <row r="190" spans="1:38" x14ac:dyDescent="0.25">
      <c r="A190" s="2"/>
      <c r="B190" s="19"/>
      <c r="C190" s="19"/>
      <c r="D190" s="19"/>
      <c r="E190" s="932" t="str">
        <f>Translations!$B$852</f>
        <v>Etylen</v>
      </c>
      <c r="F190" s="932"/>
      <c r="G190" s="45" t="str">
        <f>EUconst_tpa</f>
        <v>t / år</v>
      </c>
      <c r="H190" s="240"/>
      <c r="I190" s="686"/>
      <c r="J190" s="692"/>
      <c r="K190" s="240"/>
      <c r="L190" s="240"/>
      <c r="M190" s="240"/>
      <c r="N190" s="240"/>
      <c r="O190" s="6"/>
      <c r="P190" s="15"/>
      <c r="Q190" s="2"/>
      <c r="R190" s="2"/>
      <c r="S190" s="2"/>
      <c r="T190" s="2"/>
      <c r="U190" s="2"/>
      <c r="V190" s="2"/>
      <c r="W190" s="2"/>
      <c r="X190" s="2"/>
      <c r="Y190" s="7"/>
      <c r="Z190" s="7"/>
      <c r="AA190" s="7"/>
      <c r="AB190" s="7"/>
      <c r="AC190" s="1060" t="b">
        <f>AC189</f>
        <v>0</v>
      </c>
      <c r="AD190" s="298" t="b">
        <f t="shared" ref="AD190:AI191" si="33">AD189</f>
        <v>0</v>
      </c>
      <c r="AE190" s="298" t="b">
        <f t="shared" si="33"/>
        <v>0</v>
      </c>
      <c r="AF190" s="298" t="b">
        <f t="shared" si="33"/>
        <v>0</v>
      </c>
      <c r="AG190" s="298" t="b">
        <f t="shared" si="33"/>
        <v>0</v>
      </c>
      <c r="AH190" s="298" t="b">
        <f t="shared" si="33"/>
        <v>0</v>
      </c>
      <c r="AI190" s="1061" t="b">
        <f t="shared" si="33"/>
        <v>0</v>
      </c>
      <c r="AJ190" s="7"/>
      <c r="AK190" s="7"/>
      <c r="AL190" s="7"/>
    </row>
    <row r="191" spans="1:38" ht="13" thickBot="1" x14ac:dyDescent="0.3">
      <c r="A191" s="2"/>
      <c r="B191" s="19"/>
      <c r="C191" s="19"/>
      <c r="D191" s="19"/>
      <c r="E191" s="1520" t="str">
        <f>Translations!$B$853</f>
        <v>Andra HVC</v>
      </c>
      <c r="F191" s="1520"/>
      <c r="G191" s="27" t="str">
        <f>EUconst_tpa</f>
        <v>t / år</v>
      </c>
      <c r="H191" s="264"/>
      <c r="I191" s="687"/>
      <c r="J191" s="693"/>
      <c r="K191" s="264"/>
      <c r="L191" s="264"/>
      <c r="M191" s="264"/>
      <c r="N191" s="264"/>
      <c r="O191" s="6"/>
      <c r="P191" s="15"/>
      <c r="Q191" s="2"/>
      <c r="R191" s="2"/>
      <c r="S191" s="2"/>
      <c r="T191" s="2"/>
      <c r="U191" s="2"/>
      <c r="V191" s="2"/>
      <c r="W191" s="2"/>
      <c r="X191" s="2"/>
      <c r="Y191" s="7"/>
      <c r="Z191" s="7"/>
      <c r="AA191" s="7"/>
      <c r="AB191" s="7"/>
      <c r="AC191" s="1062" t="b">
        <f>AC190</f>
        <v>0</v>
      </c>
      <c r="AD191" s="1063" t="b">
        <f t="shared" si="33"/>
        <v>0</v>
      </c>
      <c r="AE191" s="1063" t="b">
        <f t="shared" si="33"/>
        <v>0</v>
      </c>
      <c r="AF191" s="1063" t="b">
        <f t="shared" si="33"/>
        <v>0</v>
      </c>
      <c r="AG191" s="1063" t="b">
        <f t="shared" si="33"/>
        <v>0</v>
      </c>
      <c r="AH191" s="1063" t="b">
        <f t="shared" si="33"/>
        <v>0</v>
      </c>
      <c r="AI191" s="1064" t="b">
        <f t="shared" si="33"/>
        <v>0</v>
      </c>
      <c r="AJ191" s="7"/>
      <c r="AK191" s="7"/>
      <c r="AL191" s="7"/>
    </row>
    <row r="192" spans="1:38" ht="5.15" customHeight="1" x14ac:dyDescent="0.25">
      <c r="A192" s="2"/>
      <c r="B192" s="3"/>
      <c r="C192" s="3"/>
      <c r="D192" s="3"/>
      <c r="E192" s="3"/>
      <c r="F192" s="3"/>
      <c r="G192" s="3"/>
      <c r="H192" s="3"/>
      <c r="I192" s="3"/>
      <c r="J192" s="3"/>
      <c r="K192" s="3"/>
      <c r="L192" s="3"/>
      <c r="M192" s="6"/>
      <c r="N192" s="6"/>
      <c r="O192" s="6"/>
      <c r="P192" s="15"/>
      <c r="Q192" s="7"/>
      <c r="R192" s="2"/>
      <c r="S192" s="2"/>
      <c r="T192" s="2"/>
      <c r="U192" s="2"/>
      <c r="V192" s="2"/>
      <c r="W192" s="2"/>
      <c r="X192" s="2"/>
      <c r="Y192" s="7"/>
      <c r="Z192" s="7"/>
      <c r="AA192" s="7"/>
      <c r="AB192" s="7"/>
      <c r="AC192" s="7"/>
      <c r="AD192" s="7"/>
      <c r="AE192" s="7"/>
      <c r="AF192" s="7"/>
      <c r="AG192" s="7"/>
      <c r="AH192" s="7"/>
      <c r="AI192" s="7"/>
      <c r="AJ192" s="7"/>
      <c r="AK192" s="7"/>
      <c r="AL192" s="7"/>
    </row>
    <row r="193" spans="1:38" ht="13" x14ac:dyDescent="0.25">
      <c r="A193" s="2"/>
      <c r="B193" s="3"/>
      <c r="C193" s="3"/>
      <c r="D193" s="13" t="s">
        <v>960</v>
      </c>
      <c r="E193" s="1943" t="str">
        <f>Translations!$B$854</f>
        <v>Resultat: Verksamhetsnivåer för nettomängd HVC</v>
      </c>
      <c r="F193" s="1963"/>
      <c r="G193" s="1963"/>
      <c r="H193" s="1963"/>
      <c r="I193" s="1963"/>
      <c r="J193" s="1963"/>
      <c r="K193" s="1963"/>
      <c r="L193" s="1963"/>
      <c r="M193" s="1963"/>
      <c r="N193" s="1963"/>
      <c r="O193" s="6"/>
      <c r="P193" s="15"/>
      <c r="Q193" s="7"/>
      <c r="R193" s="2"/>
      <c r="S193" s="2"/>
      <c r="T193" s="2"/>
      <c r="U193" s="2"/>
      <c r="V193" s="2"/>
      <c r="W193" s="2"/>
      <c r="X193" s="2"/>
      <c r="Y193" s="7"/>
      <c r="Z193" s="7"/>
      <c r="AA193" s="7"/>
      <c r="AB193" s="7"/>
      <c r="AC193" s="7"/>
      <c r="AD193" s="7"/>
      <c r="AE193" s="7"/>
      <c r="AF193" s="7"/>
      <c r="AG193" s="7"/>
      <c r="AH193" s="7"/>
      <c r="AI193" s="7"/>
      <c r="AJ193" s="7"/>
      <c r="AK193" s="7"/>
      <c r="AL193" s="7"/>
    </row>
    <row r="194" spans="1:38" x14ac:dyDescent="0.25">
      <c r="A194" s="2"/>
      <c r="B194" s="3"/>
      <c r="C194" s="3"/>
      <c r="D194" s="15"/>
      <c r="E194" s="2061" t="str">
        <f>Translations!$B$855</f>
        <v>Den korrigerade verksamhetsnivån (nettomängden HVC) beräknas med hjälp av formeln i punkt 4 i bilaga III till FAR (innan genomsnittsvärdet fastställs).</v>
      </c>
      <c r="F194" s="1963"/>
      <c r="G194" s="1963"/>
      <c r="H194" s="1963"/>
      <c r="I194" s="1963"/>
      <c r="J194" s="1963"/>
      <c r="K194" s="1963"/>
      <c r="L194" s="1963"/>
      <c r="M194" s="1963"/>
      <c r="N194" s="1963"/>
      <c r="O194" s="6"/>
      <c r="P194" s="15"/>
      <c r="Q194" s="7"/>
      <c r="R194" s="2"/>
      <c r="S194" s="2"/>
      <c r="T194" s="2"/>
      <c r="U194" s="2"/>
      <c r="V194" s="2"/>
      <c r="W194" s="2"/>
      <c r="X194" s="2"/>
      <c r="Y194" s="7"/>
      <c r="Z194" s="7"/>
      <c r="AA194" s="7"/>
      <c r="AB194" s="7"/>
      <c r="AC194" s="7"/>
      <c r="AD194" s="7"/>
      <c r="AE194" s="7"/>
      <c r="AF194" s="7"/>
      <c r="AG194" s="7"/>
      <c r="AH194" s="7"/>
      <c r="AI194" s="7"/>
      <c r="AJ194" s="7"/>
      <c r="AK194" s="7"/>
      <c r="AL194" s="7"/>
    </row>
    <row r="195" spans="1:38" x14ac:dyDescent="0.25">
      <c r="A195" s="2"/>
      <c r="B195" s="3"/>
      <c r="C195" s="3"/>
      <c r="D195" s="15"/>
      <c r="E195" s="2061" t="str">
        <f>Translations!$B$806</f>
        <v>Resultatet av verktyget används i bladet ”F_ProductBM”, inmatningsrad a.ii för delanläggningen i fråga, och genomsnittet beräknas utifrån detta.</v>
      </c>
      <c r="F195" s="1963"/>
      <c r="G195" s="1963"/>
      <c r="H195" s="1963"/>
      <c r="I195" s="1963"/>
      <c r="J195" s="1963"/>
      <c r="K195" s="1963"/>
      <c r="L195" s="1963"/>
      <c r="M195" s="1963"/>
      <c r="N195" s="1963"/>
      <c r="O195" s="6"/>
      <c r="P195" s="15"/>
      <c r="Q195" s="7"/>
      <c r="R195" s="2"/>
      <c r="S195" s="2"/>
      <c r="T195" s="2"/>
      <c r="U195" s="2"/>
      <c r="V195" s="2"/>
      <c r="W195" s="2"/>
      <c r="X195" s="2"/>
      <c r="Y195" s="7"/>
      <c r="Z195" s="7"/>
      <c r="AA195" s="7"/>
      <c r="AB195" s="7"/>
      <c r="AC195" s="7"/>
      <c r="AD195" s="7"/>
      <c r="AE195" s="7"/>
      <c r="AF195" s="7"/>
      <c r="AG195" s="7"/>
      <c r="AH195" s="7"/>
      <c r="AI195" s="7"/>
      <c r="AJ195" s="7"/>
      <c r="AK195" s="7"/>
      <c r="AL195" s="7"/>
    </row>
    <row r="196" spans="1:38" ht="13" x14ac:dyDescent="0.25">
      <c r="A196" s="2"/>
      <c r="B196" s="19"/>
      <c r="C196" s="19"/>
      <c r="D196" s="13"/>
      <c r="E196" s="21"/>
      <c r="F196" s="21"/>
      <c r="G196" s="30" t="str">
        <f>EUconst_Unit</f>
        <v>Enhet</v>
      </c>
      <c r="H196" s="350">
        <f t="shared" ref="H196:N196" si="34">H$421</f>
        <v>2019</v>
      </c>
      <c r="I196" s="673">
        <f t="shared" si="34"/>
        <v>2020</v>
      </c>
      <c r="J196" s="1065">
        <f t="shared" si="34"/>
        <v>2021</v>
      </c>
      <c r="K196" s="350">
        <f t="shared" si="34"/>
        <v>2022</v>
      </c>
      <c r="L196" s="350">
        <f t="shared" si="34"/>
        <v>2023</v>
      </c>
      <c r="M196" s="350">
        <f t="shared" si="34"/>
        <v>2024</v>
      </c>
      <c r="N196" s="350">
        <f t="shared" si="34"/>
        <v>2025</v>
      </c>
      <c r="O196" s="6"/>
      <c r="P196" s="15"/>
      <c r="Q196" s="2"/>
      <c r="R196" s="2"/>
      <c r="S196" s="2"/>
      <c r="T196" s="2"/>
      <c r="U196" s="2"/>
      <c r="V196" s="2"/>
      <c r="W196" s="2"/>
      <c r="X196" s="2"/>
      <c r="Y196" s="7"/>
      <c r="Z196" s="7"/>
      <c r="AA196" s="7"/>
      <c r="AB196" s="7"/>
      <c r="AC196" s="7"/>
      <c r="AD196" s="7"/>
      <c r="AE196" s="7"/>
      <c r="AF196" s="7"/>
      <c r="AG196" s="7"/>
      <c r="AH196" s="7"/>
      <c r="AI196" s="7"/>
      <c r="AJ196" s="7"/>
      <c r="AK196" s="7"/>
      <c r="AL196" s="7"/>
    </row>
    <row r="197" spans="1:38" ht="12.75" customHeight="1" x14ac:dyDescent="0.25">
      <c r="A197" s="2"/>
      <c r="B197" s="19"/>
      <c r="C197" s="19"/>
      <c r="D197" s="19"/>
      <c r="E197" s="915" t="str">
        <f>Translations!$B$856</f>
        <v>Produktionsnivåer för nettomängd HVC</v>
      </c>
      <c r="F197" s="915"/>
      <c r="G197" s="43" t="str">
        <f>EUconst_tpa</f>
        <v>t / år</v>
      </c>
      <c r="H197" s="268" t="str">
        <f t="shared" ref="H197:N197" si="35">IF(ISNUMBER(H181),H181-SUM(H189:H191),"")</f>
        <v/>
      </c>
      <c r="I197" s="667" t="str">
        <f t="shared" si="35"/>
        <v/>
      </c>
      <c r="J197" s="668" t="str">
        <f t="shared" si="35"/>
        <v/>
      </c>
      <c r="K197" s="268" t="str">
        <f t="shared" si="35"/>
        <v/>
      </c>
      <c r="L197" s="268" t="str">
        <f t="shared" si="35"/>
        <v/>
      </c>
      <c r="M197" s="268" t="str">
        <f t="shared" si="35"/>
        <v/>
      </c>
      <c r="N197" s="268" t="str">
        <f t="shared" si="35"/>
        <v/>
      </c>
      <c r="O197" s="6"/>
      <c r="P197" s="15"/>
      <c r="Q197" s="108" t="str">
        <f>IF(L174=EUconst_Relevant,EUconst_CNTR_HALspecial &amp; INDEX(EUconst_BMlistNames,R174),"")</f>
        <v/>
      </c>
      <c r="R197" s="2"/>
      <c r="S197" s="2"/>
      <c r="T197" s="2"/>
      <c r="U197" s="2"/>
      <c r="V197" s="2"/>
      <c r="W197" s="2"/>
      <c r="X197" s="2"/>
      <c r="Y197" s="7"/>
      <c r="Z197" s="7"/>
      <c r="AA197" s="7"/>
      <c r="AB197" s="7"/>
      <c r="AC197" s="7"/>
      <c r="AD197" s="7"/>
      <c r="AE197" s="7"/>
      <c r="AF197" s="7"/>
      <c r="AG197" s="7"/>
      <c r="AH197" s="7"/>
      <c r="AI197" s="7"/>
      <c r="AJ197" s="7"/>
      <c r="AK197" s="7"/>
      <c r="AL197" s="7"/>
    </row>
    <row r="198" spans="1:38" x14ac:dyDescent="0.25">
      <c r="A198" s="2"/>
      <c r="B198" s="19"/>
      <c r="C198" s="19"/>
      <c r="D198" s="19"/>
      <c r="E198" s="19"/>
      <c r="F198" s="19"/>
      <c r="G198" s="19"/>
      <c r="H198" s="19"/>
      <c r="I198" s="19"/>
      <c r="J198" s="19"/>
      <c r="K198" s="19"/>
      <c r="L198" s="19"/>
      <c r="M198" s="19"/>
      <c r="N198" s="19"/>
      <c r="O198" s="6"/>
      <c r="P198" s="15"/>
      <c r="Q198" s="2"/>
      <c r="R198" s="2"/>
      <c r="S198" s="2"/>
      <c r="T198" s="2"/>
      <c r="U198" s="2"/>
      <c r="V198" s="2"/>
      <c r="W198" s="2"/>
      <c r="X198" s="2"/>
      <c r="Y198" s="7"/>
      <c r="Z198" s="7"/>
      <c r="AA198" s="7"/>
      <c r="AB198" s="7"/>
      <c r="AC198" s="7"/>
      <c r="AD198" s="7"/>
      <c r="AE198" s="7"/>
      <c r="AF198" s="7"/>
      <c r="AG198" s="7"/>
      <c r="AH198" s="7"/>
      <c r="AI198" s="7"/>
      <c r="AJ198" s="7"/>
      <c r="AK198" s="7"/>
      <c r="AL198" s="7"/>
    </row>
    <row r="199" spans="1:38" ht="14" x14ac:dyDescent="0.3">
      <c r="A199" s="2"/>
      <c r="B199" s="3"/>
      <c r="C199" s="17">
        <v>2</v>
      </c>
      <c r="D199" s="2053" t="str">
        <f>Translations!$B$857</f>
        <v>Ångkrackningsverktyget del 2: Preliminär tilldelning (artikel 19 i FAR)</v>
      </c>
      <c r="E199" s="1963"/>
      <c r="F199" s="1963"/>
      <c r="G199" s="1963"/>
      <c r="H199" s="1963"/>
      <c r="I199" s="1963"/>
      <c r="J199" s="1963"/>
      <c r="K199" s="1963"/>
      <c r="L199" s="1963"/>
      <c r="M199" s="1963"/>
      <c r="N199" s="1963"/>
      <c r="O199" s="6"/>
      <c r="P199" s="15"/>
      <c r="Q199" s="7"/>
      <c r="R199" s="2"/>
      <c r="S199" s="2"/>
      <c r="T199" s="2"/>
      <c r="U199" s="2"/>
      <c r="V199" s="2"/>
      <c r="W199" s="2"/>
      <c r="X199" s="2"/>
      <c r="Y199" s="7"/>
      <c r="Z199" s="7"/>
      <c r="AA199" s="7"/>
      <c r="AB199" s="7"/>
      <c r="AC199" s="7"/>
      <c r="AD199" s="7"/>
      <c r="AE199" s="7"/>
      <c r="AF199" s="7"/>
      <c r="AG199" s="7"/>
      <c r="AH199" s="7"/>
      <c r="AI199" s="7"/>
      <c r="AJ199" s="7"/>
      <c r="AK199" s="7"/>
      <c r="AL199" s="7"/>
    </row>
    <row r="200" spans="1:38" ht="5.15" customHeight="1" x14ac:dyDescent="0.25">
      <c r="A200" s="2"/>
      <c r="B200" s="3"/>
      <c r="C200" s="3"/>
      <c r="D200" s="3"/>
      <c r="E200" s="3"/>
      <c r="F200" s="3"/>
      <c r="G200" s="3"/>
      <c r="H200" s="3"/>
      <c r="I200" s="3"/>
      <c r="J200" s="3"/>
      <c r="K200" s="3"/>
      <c r="L200" s="3"/>
      <c r="M200" s="6"/>
      <c r="N200" s="6"/>
      <c r="O200" s="6"/>
      <c r="P200" s="15"/>
      <c r="Q200" s="7"/>
      <c r="R200" s="2"/>
      <c r="S200" s="2"/>
      <c r="T200" s="2"/>
      <c r="U200" s="2"/>
      <c r="V200" s="2"/>
      <c r="W200" s="2"/>
      <c r="X200" s="2"/>
      <c r="Y200" s="7"/>
      <c r="Z200" s="7"/>
      <c r="AA200" s="7"/>
      <c r="AB200" s="7"/>
      <c r="AC200" s="7"/>
      <c r="AD200" s="7"/>
      <c r="AE200" s="7"/>
      <c r="AF200" s="7"/>
      <c r="AG200" s="7"/>
      <c r="AH200" s="7"/>
      <c r="AI200" s="7"/>
      <c r="AJ200" s="7"/>
      <c r="AK200" s="7"/>
      <c r="AL200" s="7"/>
    </row>
    <row r="201" spans="1:38" x14ac:dyDescent="0.25">
      <c r="A201" s="2"/>
      <c r="B201" s="3"/>
      <c r="C201" s="3"/>
      <c r="D201" s="15"/>
      <c r="E201" s="2061" t="str">
        <f>Translations!$B$858</f>
        <v>Med hjälp av detta verktyg kan ni fastställa den preliminära tilldelningen för ångkrackningsdelanläggningen (artikel 19 i FAR).</v>
      </c>
      <c r="F201" s="1963"/>
      <c r="G201" s="1963"/>
      <c r="H201" s="1963"/>
      <c r="I201" s="1963"/>
      <c r="J201" s="1963"/>
      <c r="K201" s="1963"/>
      <c r="L201" s="1963"/>
      <c r="M201" s="1963"/>
      <c r="N201" s="1963"/>
      <c r="O201" s="6"/>
      <c r="P201" s="15"/>
      <c r="Q201" s="7"/>
      <c r="R201" s="2"/>
      <c r="S201" s="2"/>
      <c r="T201" s="2"/>
      <c r="U201" s="2"/>
      <c r="V201" s="2"/>
      <c r="W201" s="2"/>
      <c r="X201" s="2"/>
      <c r="Y201" s="7"/>
      <c r="Z201" s="7"/>
      <c r="AA201" s="7"/>
      <c r="AB201" s="7"/>
      <c r="AC201" s="7"/>
      <c r="AD201" s="7"/>
      <c r="AE201" s="7"/>
      <c r="AF201" s="7"/>
      <c r="AG201" s="7"/>
      <c r="AH201" s="7"/>
      <c r="AI201" s="7"/>
      <c r="AJ201" s="7"/>
      <c r="AK201" s="7"/>
      <c r="AL201" s="7"/>
    </row>
    <row r="202" spans="1:38" x14ac:dyDescent="0.25">
      <c r="A202" s="2"/>
      <c r="B202" s="3"/>
      <c r="C202" s="3"/>
      <c r="D202" s="15"/>
      <c r="E202" s="2061" t="str">
        <f>Translations!$B$859</f>
        <v>Genom verktyget fastställs den mängd som ska läggas till den preliminära årliga tilldelningen efter korrigering för elens utbytbarhet.</v>
      </c>
      <c r="F202" s="1963"/>
      <c r="G202" s="1963"/>
      <c r="H202" s="1963"/>
      <c r="I202" s="1963"/>
      <c r="J202" s="1963"/>
      <c r="K202" s="1963"/>
      <c r="L202" s="1963"/>
      <c r="M202" s="1963"/>
      <c r="N202" s="1963"/>
      <c r="O202" s="6"/>
      <c r="P202" s="15"/>
      <c r="Q202" s="7"/>
      <c r="R202" s="2"/>
      <c r="S202" s="2"/>
      <c r="T202" s="2"/>
      <c r="U202" s="2"/>
      <c r="V202" s="2"/>
      <c r="W202" s="2"/>
      <c r="X202" s="2"/>
      <c r="Y202" s="7"/>
      <c r="Z202" s="7"/>
      <c r="AA202" s="7"/>
      <c r="AB202" s="7"/>
      <c r="AC202" s="7"/>
      <c r="AD202" s="7"/>
      <c r="AE202" s="7"/>
      <c r="AF202" s="7"/>
      <c r="AG202" s="7"/>
      <c r="AH202" s="7"/>
      <c r="AI202" s="7"/>
      <c r="AJ202" s="7"/>
      <c r="AK202" s="7"/>
      <c r="AL202" s="7"/>
    </row>
    <row r="203" spans="1:38" x14ac:dyDescent="0.25">
      <c r="A203" s="2"/>
      <c r="B203" s="3"/>
      <c r="C203" s="3"/>
      <c r="D203" s="15"/>
      <c r="E203" s="2061" t="str">
        <f>Translations!$B$860</f>
        <v>De uppgifter som behövs om den historiska produktionen av vätgas, etylen och andra högvärdiga kemikalier från kompletterande insatsvaror hämtas från avsnitt IV.1.c ovan.</v>
      </c>
      <c r="F203" s="1963"/>
      <c r="G203" s="1963"/>
      <c r="H203" s="1963"/>
      <c r="I203" s="1963"/>
      <c r="J203" s="1963"/>
      <c r="K203" s="1963"/>
      <c r="L203" s="1963"/>
      <c r="M203" s="1963"/>
      <c r="N203" s="1963"/>
      <c r="O203" s="6"/>
      <c r="P203" s="15"/>
      <c r="Q203" s="7"/>
      <c r="R203" s="2"/>
      <c r="S203" s="2"/>
      <c r="T203" s="2"/>
      <c r="U203" s="2"/>
      <c r="V203" s="2"/>
      <c r="W203" s="2"/>
      <c r="X203" s="2"/>
      <c r="Y203" s="7"/>
      <c r="Z203" s="7"/>
      <c r="AA203" s="7"/>
      <c r="AB203" s="7"/>
      <c r="AC203" s="7"/>
      <c r="AD203" s="7"/>
      <c r="AE203" s="7"/>
      <c r="AF203" s="7"/>
      <c r="AG203" s="7"/>
      <c r="AH203" s="7"/>
      <c r="AI203" s="7"/>
      <c r="AJ203" s="7"/>
      <c r="AK203" s="7"/>
      <c r="AL203" s="7"/>
    </row>
    <row r="204" spans="1:38" ht="5.15" customHeight="1" x14ac:dyDescent="0.25">
      <c r="A204" s="2"/>
      <c r="B204" s="3"/>
      <c r="C204" s="3"/>
      <c r="D204" s="3"/>
      <c r="E204" s="3"/>
      <c r="F204" s="3"/>
      <c r="G204" s="3"/>
      <c r="H204" s="3"/>
      <c r="I204" s="3"/>
      <c r="J204" s="3"/>
      <c r="K204" s="3"/>
      <c r="L204" s="3"/>
      <c r="M204" s="6"/>
      <c r="N204" s="6"/>
      <c r="O204" s="6"/>
      <c r="P204" s="15"/>
      <c r="Q204" s="7"/>
      <c r="R204" s="2"/>
      <c r="S204" s="2"/>
      <c r="T204" s="2"/>
      <c r="U204" s="2"/>
      <c r="V204" s="2"/>
      <c r="W204" s="2"/>
      <c r="X204" s="2"/>
      <c r="Y204" s="7"/>
      <c r="Z204" s="7"/>
      <c r="AA204" s="7"/>
      <c r="AB204" s="7"/>
      <c r="AC204" s="7"/>
      <c r="AD204" s="7"/>
      <c r="AE204" s="7"/>
      <c r="AF204" s="7"/>
      <c r="AG204" s="7"/>
      <c r="AH204" s="7"/>
      <c r="AI204" s="7"/>
      <c r="AJ204" s="7"/>
      <c r="AK204" s="7"/>
      <c r="AL204" s="7"/>
    </row>
    <row r="205" spans="1:38" ht="13" x14ac:dyDescent="0.25">
      <c r="A205" s="2"/>
      <c r="B205" s="3"/>
      <c r="C205" s="3"/>
      <c r="D205" s="13" t="s">
        <v>442</v>
      </c>
      <c r="E205" s="1943" t="str">
        <f>Translations!$B$861</f>
        <v>Produktion av kompletterande insatsvaror:</v>
      </c>
      <c r="F205" s="1963"/>
      <c r="G205" s="1963"/>
      <c r="H205" s="1963"/>
      <c r="I205" s="1963"/>
      <c r="J205" s="1963"/>
      <c r="K205" s="1963"/>
      <c r="L205" s="1963"/>
      <c r="M205" s="1963"/>
      <c r="N205" s="1963"/>
      <c r="O205" s="6"/>
      <c r="P205" s="15"/>
      <c r="Q205" s="7"/>
      <c r="R205" s="2"/>
      <c r="S205" s="2"/>
      <c r="T205" s="2"/>
      <c r="U205" s="2"/>
      <c r="V205" s="2"/>
      <c r="W205" s="2"/>
      <c r="X205" s="2"/>
      <c r="Y205" s="7"/>
      <c r="Z205" s="7"/>
      <c r="AA205" s="7"/>
      <c r="AB205" s="7"/>
      <c r="AC205" s="7"/>
      <c r="AD205" s="7"/>
      <c r="AE205" s="7"/>
      <c r="AF205" s="7"/>
      <c r="AG205" s="7"/>
      <c r="AH205" s="7"/>
      <c r="AI205" s="7"/>
      <c r="AJ205" s="7"/>
      <c r="AK205" s="7"/>
      <c r="AL205" s="7"/>
    </row>
    <row r="206" spans="1:38" x14ac:dyDescent="0.25">
      <c r="A206" s="2"/>
      <c r="B206" s="3"/>
      <c r="C206" s="3"/>
      <c r="D206" s="15"/>
      <c r="E206" s="2061" t="str">
        <f>Translations!$B$862</f>
        <v>Uppgifterna hämtas automatiskt från avsnitt IV.1.c ovan. Multiplikatorerna tas från artikel 19 i FAR.</v>
      </c>
      <c r="F206" s="1963"/>
      <c r="G206" s="1963"/>
      <c r="H206" s="1963"/>
      <c r="I206" s="1963"/>
      <c r="J206" s="1963"/>
      <c r="K206" s="1963"/>
      <c r="L206" s="1963"/>
      <c r="M206" s="1963"/>
      <c r="N206" s="1963"/>
      <c r="O206" s="6"/>
      <c r="P206" s="15"/>
      <c r="Q206" s="7"/>
      <c r="R206" s="2"/>
      <c r="S206" s="2"/>
      <c r="T206" s="2"/>
      <c r="U206" s="2"/>
      <c r="V206" s="2"/>
      <c r="W206" s="2"/>
      <c r="X206" s="2"/>
      <c r="Y206" s="7"/>
      <c r="Z206" s="7"/>
      <c r="AA206" s="7"/>
      <c r="AB206" s="7"/>
      <c r="AC206" s="7"/>
      <c r="AD206" s="7"/>
      <c r="AE206" s="7"/>
      <c r="AF206" s="7"/>
      <c r="AG206" s="7"/>
      <c r="AH206" s="7"/>
      <c r="AI206" s="7"/>
      <c r="AJ206" s="7"/>
      <c r="AK206" s="7"/>
      <c r="AL206" s="7"/>
    </row>
    <row r="207" spans="1:38" ht="25.5" customHeight="1" x14ac:dyDescent="0.3">
      <c r="A207" s="2"/>
      <c r="B207" s="19"/>
      <c r="C207" s="19"/>
      <c r="D207" s="13"/>
      <c r="E207" s="1093" t="str">
        <f>Translations!$B$863</f>
        <v>Produktion av kompletterande insatsvaror</v>
      </c>
      <c r="F207" s="1094" t="str">
        <f>Translations!$B$864</f>
        <v>Multiplikator
(t CO2 / t)</v>
      </c>
      <c r="G207" s="1095" t="str">
        <f>EUconst_Unit</f>
        <v>Enhet</v>
      </c>
      <c r="H207" s="1096">
        <f t="shared" ref="H207:N207" si="36">H$421</f>
        <v>2019</v>
      </c>
      <c r="I207" s="1097">
        <f t="shared" si="36"/>
        <v>2020</v>
      </c>
      <c r="J207" s="1098">
        <f t="shared" si="36"/>
        <v>2021</v>
      </c>
      <c r="K207" s="1096">
        <f t="shared" si="36"/>
        <v>2022</v>
      </c>
      <c r="L207" s="1096">
        <f t="shared" si="36"/>
        <v>2023</v>
      </c>
      <c r="M207" s="1096">
        <f t="shared" si="36"/>
        <v>2024</v>
      </c>
      <c r="N207" s="1096">
        <f t="shared" si="36"/>
        <v>2025</v>
      </c>
      <c r="O207" s="6"/>
      <c r="P207" s="15"/>
      <c r="Q207" s="7"/>
      <c r="R207" s="2"/>
      <c r="S207" s="2"/>
      <c r="T207" s="2"/>
      <c r="U207" s="2"/>
      <c r="V207" s="2"/>
      <c r="W207" s="2"/>
      <c r="X207" s="2"/>
      <c r="Y207" s="7"/>
      <c r="Z207" s="7"/>
      <c r="AA207" s="7"/>
      <c r="AB207" s="7"/>
      <c r="AC207" s="7"/>
      <c r="AD207" s="7"/>
      <c r="AE207" s="7"/>
      <c r="AF207" s="7"/>
      <c r="AG207" s="7"/>
      <c r="AH207" s="7"/>
      <c r="AI207" s="7"/>
      <c r="AJ207" s="7"/>
      <c r="AK207" s="7"/>
      <c r="AL207" s="7"/>
    </row>
    <row r="208" spans="1:38" ht="12.75" customHeight="1" x14ac:dyDescent="0.25">
      <c r="A208" s="2"/>
      <c r="B208" s="19"/>
      <c r="C208" s="19"/>
      <c r="D208" s="19"/>
      <c r="E208" s="916" t="str">
        <f>Translations!$B$851</f>
        <v>Vätgas</v>
      </c>
      <c r="F208" s="25">
        <v>1.78</v>
      </c>
      <c r="G208" s="25" t="str">
        <f>EUconst_tpa</f>
        <v>t / år</v>
      </c>
      <c r="H208" s="282" t="str">
        <f t="shared" ref="H208:N210" si="37">IF(ISNUMBER(H189),H189,"")</f>
        <v/>
      </c>
      <c r="I208" s="682" t="str">
        <f t="shared" si="37"/>
        <v/>
      </c>
      <c r="J208" s="688" t="str">
        <f t="shared" si="37"/>
        <v/>
      </c>
      <c r="K208" s="282" t="str">
        <f t="shared" si="37"/>
        <v/>
      </c>
      <c r="L208" s="282" t="str">
        <f t="shared" si="37"/>
        <v/>
      </c>
      <c r="M208" s="282" t="str">
        <f t="shared" si="37"/>
        <v/>
      </c>
      <c r="N208" s="282" t="str">
        <f t="shared" si="37"/>
        <v/>
      </c>
      <c r="O208" s="6"/>
      <c r="P208" s="15"/>
      <c r="Q208" s="7"/>
      <c r="R208" s="2"/>
      <c r="S208" s="2"/>
      <c r="T208" s="2"/>
      <c r="U208" s="2"/>
      <c r="V208" s="2"/>
      <c r="W208" s="2"/>
      <c r="X208" s="2"/>
      <c r="Y208" s="7"/>
      <c r="Z208" s="7"/>
      <c r="AA208" s="7"/>
      <c r="AB208" s="7"/>
      <c r="AC208" s="7"/>
      <c r="AD208" s="7"/>
      <c r="AE208" s="7"/>
      <c r="AF208" s="7"/>
      <c r="AG208" s="7"/>
      <c r="AH208" s="7"/>
      <c r="AI208" s="7"/>
      <c r="AJ208" s="7"/>
      <c r="AK208" s="7"/>
      <c r="AL208" s="7"/>
    </row>
    <row r="209" spans="1:38" ht="12.75" customHeight="1" x14ac:dyDescent="0.25">
      <c r="A209" s="2"/>
      <c r="B209" s="19"/>
      <c r="C209" s="19"/>
      <c r="D209" s="19"/>
      <c r="E209" s="932" t="str">
        <f>Translations!$B$852</f>
        <v>Etylen</v>
      </c>
      <c r="F209" s="45">
        <v>0.24</v>
      </c>
      <c r="G209" s="45" t="str">
        <f>EUconst_tpa</f>
        <v>t / år</v>
      </c>
      <c r="H209" s="239" t="str">
        <f t="shared" si="37"/>
        <v/>
      </c>
      <c r="I209" s="683" t="str">
        <f t="shared" si="37"/>
        <v/>
      </c>
      <c r="J209" s="689" t="str">
        <f t="shared" si="37"/>
        <v/>
      </c>
      <c r="K209" s="239" t="str">
        <f t="shared" si="37"/>
        <v/>
      </c>
      <c r="L209" s="239" t="str">
        <f t="shared" si="37"/>
        <v/>
      </c>
      <c r="M209" s="239" t="str">
        <f t="shared" si="37"/>
        <v/>
      </c>
      <c r="N209" s="239" t="str">
        <f t="shared" si="37"/>
        <v/>
      </c>
      <c r="O209" s="6"/>
      <c r="P209" s="15"/>
      <c r="Q209" s="7"/>
      <c r="R209" s="2"/>
      <c r="S209" s="2"/>
      <c r="T209" s="2"/>
      <c r="U209" s="2"/>
      <c r="V209" s="2"/>
      <c r="W209" s="2"/>
      <c r="X209" s="2"/>
      <c r="Y209" s="7"/>
      <c r="Z209" s="7"/>
      <c r="AA209" s="7"/>
      <c r="AB209" s="7"/>
      <c r="AC209" s="7"/>
      <c r="AD209" s="7"/>
      <c r="AE209" s="7"/>
      <c r="AF209" s="7"/>
      <c r="AG209" s="7"/>
      <c r="AH209" s="7"/>
      <c r="AI209" s="7"/>
      <c r="AJ209" s="7"/>
      <c r="AK209" s="7"/>
      <c r="AL209" s="7"/>
    </row>
    <row r="210" spans="1:38" ht="12.75" customHeight="1" x14ac:dyDescent="0.25">
      <c r="A210" s="2"/>
      <c r="B210" s="19"/>
      <c r="C210" s="19"/>
      <c r="D210" s="19"/>
      <c r="E210" s="1520" t="str">
        <f>Translations!$B$853</f>
        <v>Andra HVC</v>
      </c>
      <c r="F210" s="27">
        <v>0.16</v>
      </c>
      <c r="G210" s="27" t="str">
        <f>EUconst_tpa</f>
        <v>t / år</v>
      </c>
      <c r="H210" s="266" t="str">
        <f t="shared" si="37"/>
        <v/>
      </c>
      <c r="I210" s="684" t="str">
        <f t="shared" si="37"/>
        <v/>
      </c>
      <c r="J210" s="690" t="str">
        <f t="shared" si="37"/>
        <v/>
      </c>
      <c r="K210" s="266" t="str">
        <f t="shared" si="37"/>
        <v/>
      </c>
      <c r="L210" s="266" t="str">
        <f t="shared" si="37"/>
        <v/>
      </c>
      <c r="M210" s="266" t="str">
        <f t="shared" si="37"/>
        <v/>
      </c>
      <c r="N210" s="266" t="str">
        <f t="shared" si="37"/>
        <v/>
      </c>
      <c r="O210" s="6"/>
      <c r="P210" s="15"/>
      <c r="Q210" s="7"/>
      <c r="R210" s="2"/>
      <c r="S210" s="2"/>
      <c r="T210" s="2"/>
      <c r="U210" s="2"/>
      <c r="V210" s="2"/>
      <c r="W210" s="2"/>
      <c r="X210" s="2"/>
      <c r="Y210" s="7"/>
      <c r="Z210" s="7"/>
      <c r="AA210" s="7"/>
      <c r="AB210" s="7"/>
      <c r="AC210" s="7"/>
      <c r="AD210" s="7"/>
      <c r="AE210" s="7"/>
      <c r="AF210" s="7"/>
      <c r="AG210" s="7"/>
      <c r="AH210" s="7"/>
      <c r="AI210" s="7"/>
      <c r="AJ210" s="7"/>
      <c r="AK210" s="7"/>
      <c r="AL210" s="7"/>
    </row>
    <row r="211" spans="1:38" ht="5.15" customHeight="1" x14ac:dyDescent="0.25">
      <c r="A211" s="2"/>
      <c r="B211" s="3"/>
      <c r="C211" s="3"/>
      <c r="D211" s="3"/>
      <c r="E211" s="3"/>
      <c r="F211" s="3"/>
      <c r="G211" s="3"/>
      <c r="H211" s="3"/>
      <c r="I211" s="3"/>
      <c r="J211" s="3"/>
      <c r="K211" s="3"/>
      <c r="L211" s="3"/>
      <c r="M211" s="6"/>
      <c r="N211" s="6"/>
      <c r="O211" s="6"/>
      <c r="P211" s="15"/>
      <c r="Q211" s="7"/>
      <c r="R211" s="2"/>
      <c r="S211" s="2"/>
      <c r="T211" s="2"/>
      <c r="U211" s="2"/>
      <c r="V211" s="2"/>
      <c r="W211" s="2"/>
      <c r="X211" s="2"/>
      <c r="Y211" s="7"/>
      <c r="Z211" s="7"/>
      <c r="AA211" s="7"/>
      <c r="AB211" s="7"/>
      <c r="AC211" s="7"/>
      <c r="AD211" s="7"/>
      <c r="AE211" s="7"/>
      <c r="AF211" s="7"/>
      <c r="AG211" s="7"/>
      <c r="AH211" s="7"/>
      <c r="AI211" s="7"/>
      <c r="AJ211" s="7"/>
      <c r="AK211" s="7"/>
      <c r="AL211" s="7"/>
    </row>
    <row r="212" spans="1:38" ht="13" x14ac:dyDescent="0.25">
      <c r="A212" s="2"/>
      <c r="B212" s="3"/>
      <c r="C212" s="3"/>
      <c r="D212" s="13" t="s">
        <v>955</v>
      </c>
      <c r="E212" s="1943" t="str">
        <f>Translations!$B$865</f>
        <v>Resultat: Mängd som ska tillföras den preliminära totala tilldelningen för ångkrackningsdelanläggningen</v>
      </c>
      <c r="F212" s="1963"/>
      <c r="G212" s="1963"/>
      <c r="H212" s="1963"/>
      <c r="I212" s="1963"/>
      <c r="J212" s="1963"/>
      <c r="K212" s="1963"/>
      <c r="L212" s="1963"/>
      <c r="M212" s="1963"/>
      <c r="N212" s="1963"/>
      <c r="O212" s="6"/>
      <c r="P212" s="15"/>
      <c r="Q212" s="7"/>
      <c r="R212" s="2"/>
      <c r="S212" s="2"/>
      <c r="T212" s="2"/>
      <c r="U212" s="2"/>
      <c r="V212" s="2"/>
      <c r="W212" s="2"/>
      <c r="X212" s="2"/>
      <c r="Y212" s="7"/>
      <c r="Z212" s="7"/>
      <c r="AA212" s="7"/>
      <c r="AB212" s="7"/>
      <c r="AC212" s="7"/>
      <c r="AD212" s="7"/>
      <c r="AE212" s="7"/>
      <c r="AF212" s="7"/>
      <c r="AG212" s="7"/>
      <c r="AH212" s="7"/>
      <c r="AI212" s="7"/>
      <c r="AJ212" s="7"/>
      <c r="AK212" s="7"/>
      <c r="AL212" s="7"/>
    </row>
    <row r="213" spans="1:38" x14ac:dyDescent="0.25">
      <c r="A213" s="2"/>
      <c r="B213" s="3"/>
      <c r="C213" s="3"/>
      <c r="D213" s="15"/>
      <c r="E213" s="2061" t="str">
        <f>Translations!$B$866</f>
        <v>Beräkning baserad på formeln i artikel 19 i FAR.</v>
      </c>
      <c r="F213" s="1963"/>
      <c r="G213" s="1963"/>
      <c r="H213" s="1963"/>
      <c r="I213" s="1963"/>
      <c r="J213" s="1963"/>
      <c r="K213" s="1963"/>
      <c r="L213" s="1963"/>
      <c r="M213" s="1963"/>
      <c r="N213" s="1963"/>
      <c r="O213" s="6"/>
      <c r="P213" s="15"/>
      <c r="Q213" s="7"/>
      <c r="R213" s="2"/>
      <c r="S213" s="2"/>
      <c r="T213" s="2"/>
      <c r="U213" s="2"/>
      <c r="V213" s="2"/>
      <c r="W213" s="2"/>
      <c r="X213" s="2"/>
      <c r="Y213" s="7"/>
      <c r="Z213" s="7"/>
      <c r="AA213" s="7"/>
      <c r="AB213" s="7"/>
      <c r="AC213" s="7"/>
      <c r="AD213" s="7"/>
      <c r="AE213" s="7"/>
      <c r="AF213" s="7"/>
      <c r="AG213" s="7"/>
      <c r="AH213" s="7"/>
      <c r="AI213" s="7"/>
      <c r="AJ213" s="7"/>
      <c r="AK213" s="7"/>
      <c r="AL213" s="7"/>
    </row>
    <row r="214" spans="1:38" ht="5.15" customHeight="1" thickBot="1" x14ac:dyDescent="0.3">
      <c r="A214" s="2"/>
      <c r="B214" s="3"/>
      <c r="C214" s="3"/>
      <c r="D214" s="3"/>
      <c r="E214" s="3"/>
      <c r="F214" s="3"/>
      <c r="G214" s="3"/>
      <c r="H214" s="3"/>
      <c r="I214" s="3"/>
      <c r="J214" s="3"/>
      <c r="K214" s="3"/>
      <c r="L214" s="3"/>
      <c r="M214" s="6"/>
      <c r="N214" s="6"/>
      <c r="O214" s="6"/>
      <c r="P214" s="15"/>
      <c r="Q214" s="7"/>
      <c r="R214" s="2"/>
      <c r="S214" s="2"/>
      <c r="T214" s="2"/>
      <c r="U214" s="2"/>
      <c r="V214" s="2"/>
      <c r="W214" s="2"/>
      <c r="X214" s="2"/>
      <c r="Y214" s="7"/>
      <c r="Z214" s="7"/>
      <c r="AA214" s="7"/>
      <c r="AB214" s="7"/>
      <c r="AC214" s="7"/>
      <c r="AD214" s="7"/>
      <c r="AE214" s="7"/>
      <c r="AF214" s="7"/>
      <c r="AG214" s="7"/>
      <c r="AH214" s="7"/>
      <c r="AI214" s="7"/>
      <c r="AJ214" s="7"/>
      <c r="AK214" s="7"/>
      <c r="AL214" s="7"/>
    </row>
    <row r="215" spans="1:38" ht="5.15" customHeight="1" x14ac:dyDescent="0.25">
      <c r="A215" s="2"/>
      <c r="B215" s="178"/>
      <c r="C215" s="178"/>
      <c r="D215" s="1238"/>
      <c r="E215" s="1239"/>
      <c r="F215" s="1240"/>
      <c r="G215" s="1240"/>
      <c r="H215" s="1240"/>
      <c r="I215" s="1240"/>
      <c r="J215" s="1240"/>
      <c r="K215" s="1240"/>
      <c r="L215" s="1240"/>
      <c r="M215" s="1240"/>
      <c r="N215" s="1241"/>
      <c r="O215" s="15"/>
      <c r="P215" s="15"/>
      <c r="Q215" s="343"/>
      <c r="R215" s="2"/>
      <c r="S215" s="343"/>
      <c r="T215" s="343"/>
      <c r="U215" s="343"/>
      <c r="V215" s="2"/>
      <c r="W215" s="2"/>
      <c r="X215" s="2"/>
      <c r="Y215" s="2"/>
      <c r="Z215" s="2"/>
      <c r="AA215" s="2"/>
      <c r="AB215" s="2"/>
      <c r="AC215" s="2"/>
      <c r="AD215" s="2"/>
      <c r="AE215" s="2"/>
      <c r="AF215" s="2"/>
      <c r="AG215" s="2"/>
      <c r="AH215" s="2"/>
      <c r="AI215" s="2"/>
      <c r="AJ215" s="2"/>
      <c r="AK215" s="7"/>
      <c r="AL215" s="7"/>
    </row>
    <row r="216" spans="1:38" ht="12.75" customHeight="1" x14ac:dyDescent="0.25">
      <c r="A216" s="2"/>
      <c r="B216" s="3"/>
      <c r="C216" s="3"/>
      <c r="D216" s="1256"/>
      <c r="E216" s="1257"/>
      <c r="F216" s="1257"/>
      <c r="G216" s="1228" t="str">
        <f>EUconst_Unit</f>
        <v>Enhet</v>
      </c>
      <c r="H216" s="1253">
        <f t="shared" ref="H216:N216" si="38">H$421</f>
        <v>2019</v>
      </c>
      <c r="I216" s="1254">
        <f t="shared" si="38"/>
        <v>2020</v>
      </c>
      <c r="J216" s="1255">
        <f t="shared" si="38"/>
        <v>2021</v>
      </c>
      <c r="K216" s="1253">
        <f t="shared" si="38"/>
        <v>2022</v>
      </c>
      <c r="L216" s="1253">
        <f t="shared" si="38"/>
        <v>2023</v>
      </c>
      <c r="M216" s="1253">
        <f t="shared" si="38"/>
        <v>2024</v>
      </c>
      <c r="N216" s="1258">
        <f t="shared" si="38"/>
        <v>2025</v>
      </c>
      <c r="O216" s="6"/>
      <c r="P216" s="15"/>
      <c r="Q216" s="7"/>
      <c r="R216" s="2"/>
      <c r="S216" s="2"/>
      <c r="T216" s="2"/>
      <c r="U216" s="2"/>
      <c r="V216" s="2"/>
      <c r="W216" s="2"/>
      <c r="X216" s="2"/>
      <c r="Y216" s="7"/>
      <c r="Z216" s="7"/>
      <c r="AA216" s="7"/>
      <c r="AB216" s="7"/>
      <c r="AC216" s="7"/>
      <c r="AD216" s="7"/>
      <c r="AE216" s="7"/>
      <c r="AF216" s="7"/>
      <c r="AG216" s="7"/>
      <c r="AH216" s="7"/>
      <c r="AI216" s="7"/>
      <c r="AJ216" s="7"/>
      <c r="AK216" s="7"/>
      <c r="AL216" s="7"/>
    </row>
    <row r="217" spans="1:38" ht="12.75" customHeight="1" x14ac:dyDescent="0.25">
      <c r="A217" s="2"/>
      <c r="B217" s="3"/>
      <c r="C217" s="3"/>
      <c r="D217" s="1259"/>
      <c r="E217" s="2754" t="str">
        <f>Translations!$B$867</f>
        <v>Mängd för tilldelningskorrigering:</v>
      </c>
      <c r="F217" s="2717"/>
      <c r="G217" s="1232" t="str">
        <f>EUconst_EUA</f>
        <v>EUA</v>
      </c>
      <c r="H217" s="268" t="str">
        <f t="shared" ref="H217:N217" si="39">IF(COUNT(H208:H210)&gt;0,SUMPRODUCT(H208:H210,$F$208:$F$210),"")</f>
        <v/>
      </c>
      <c r="I217" s="667" t="str">
        <f t="shared" si="39"/>
        <v/>
      </c>
      <c r="J217" s="668" t="str">
        <f t="shared" si="39"/>
        <v/>
      </c>
      <c r="K217" s="268" t="str">
        <f t="shared" si="39"/>
        <v/>
      </c>
      <c r="L217" s="268" t="str">
        <f t="shared" si="39"/>
        <v/>
      </c>
      <c r="M217" s="268" t="str">
        <f t="shared" si="39"/>
        <v/>
      </c>
      <c r="N217" s="1260" t="str">
        <f t="shared" si="39"/>
        <v/>
      </c>
      <c r="O217" s="6"/>
      <c r="P217" s="15"/>
      <c r="Q217" s="298" t="str">
        <f>EUconst_CNTR_HVC</f>
        <v>HVC_</v>
      </c>
      <c r="R217" s="2"/>
      <c r="S217" s="2"/>
      <c r="T217" s="2"/>
      <c r="U217" s="2"/>
      <c r="V217" s="2"/>
      <c r="W217" s="2"/>
      <c r="X217" s="2"/>
      <c r="Y217" s="7"/>
      <c r="Z217" s="7"/>
      <c r="AA217" s="7"/>
      <c r="AB217" s="7"/>
      <c r="AC217" s="7"/>
      <c r="AD217" s="7"/>
      <c r="AE217" s="7"/>
      <c r="AF217" s="7"/>
      <c r="AG217" s="7"/>
      <c r="AH217" s="7"/>
      <c r="AI217" s="7"/>
      <c r="AJ217" s="7"/>
      <c r="AK217" s="7"/>
      <c r="AL217" s="7"/>
    </row>
    <row r="218" spans="1:38" ht="5.15" customHeight="1" thickBot="1" x14ac:dyDescent="0.3">
      <c r="A218" s="2"/>
      <c r="B218" s="3"/>
      <c r="C218" s="3"/>
      <c r="D218" s="1242"/>
      <c r="E218" s="1257"/>
      <c r="F218" s="1257"/>
      <c r="G218" s="1257"/>
      <c r="H218" s="1257"/>
      <c r="I218" s="1257"/>
      <c r="J218" s="1257"/>
      <c r="K218" s="1257"/>
      <c r="L218" s="1257"/>
      <c r="M218" s="1261"/>
      <c r="N218" s="1262"/>
      <c r="O218" s="6"/>
      <c r="P218" s="15"/>
      <c r="Q218" s="7"/>
      <c r="R218" s="2"/>
      <c r="S218" s="2"/>
      <c r="T218" s="2"/>
      <c r="U218" s="2"/>
      <c r="V218" s="2"/>
      <c r="W218" s="2"/>
      <c r="X218" s="2"/>
      <c r="Y218" s="7"/>
      <c r="Z218" s="7"/>
      <c r="AA218" s="7"/>
      <c r="AB218" s="7"/>
      <c r="AC218" s="7"/>
      <c r="AD218" s="7"/>
      <c r="AE218" s="7"/>
      <c r="AF218" s="7"/>
      <c r="AG218" s="7"/>
      <c r="AH218" s="7"/>
      <c r="AI218" s="7"/>
      <c r="AJ218" s="7"/>
      <c r="AK218" s="7"/>
      <c r="AL218" s="7"/>
    </row>
    <row r="219" spans="1:38" ht="12.75" customHeight="1" x14ac:dyDescent="0.25">
      <c r="A219" s="2"/>
      <c r="B219" s="178"/>
      <c r="C219" s="178"/>
      <c r="D219" s="1242"/>
      <c r="E219" s="2755" t="str">
        <f>Translations!$B$1489</f>
        <v>Preliminär justering</v>
      </c>
      <c r="F219" s="2756"/>
      <c r="G219" s="2756"/>
      <c r="H219" s="1228" t="str">
        <f>EUconst_Unit</f>
        <v>Enhet</v>
      </c>
      <c r="I219" s="1229" t="str">
        <f>Translations!$B$1481</f>
        <v>Värde (NIMs)</v>
      </c>
      <c r="J219" s="1255">
        <f>J$421</f>
        <v>2021</v>
      </c>
      <c r="K219" s="1253">
        <f>K$421</f>
        <v>2022</v>
      </c>
      <c r="L219" s="1253">
        <f>L$421</f>
        <v>2023</v>
      </c>
      <c r="M219" s="1253">
        <f>M$421</f>
        <v>2024</v>
      </c>
      <c r="N219" s="1258">
        <f>N$421</f>
        <v>2025</v>
      </c>
      <c r="O219" s="15"/>
      <c r="P219" s="15"/>
      <c r="Q219" s="343"/>
      <c r="R219" s="2"/>
      <c r="S219" s="2"/>
      <c r="T219" s="2"/>
      <c r="U219" s="772"/>
      <c r="V219" s="1077">
        <f>J219</f>
        <v>2021</v>
      </c>
      <c r="W219" s="1077">
        <f>K219</f>
        <v>2022</v>
      </c>
      <c r="X219" s="1077">
        <f>L219</f>
        <v>2023</v>
      </c>
      <c r="Y219" s="1077">
        <f>M219</f>
        <v>2024</v>
      </c>
      <c r="Z219" s="1078">
        <f>N219</f>
        <v>2025</v>
      </c>
      <c r="AA219" s="2"/>
      <c r="AB219" s="2"/>
      <c r="AC219" s="2"/>
      <c r="AD219" s="2"/>
      <c r="AE219" s="2"/>
      <c r="AF219" s="2"/>
      <c r="AG219" s="2"/>
      <c r="AH219" s="2"/>
      <c r="AI219" s="2"/>
      <c r="AJ219" s="2"/>
      <c r="AK219" s="7"/>
      <c r="AL219" s="7"/>
    </row>
    <row r="220" spans="1:38" ht="12.75" customHeight="1" x14ac:dyDescent="0.25">
      <c r="A220" s="2"/>
      <c r="B220" s="178"/>
      <c r="C220" s="178"/>
      <c r="D220" s="1242"/>
      <c r="E220" s="2712" t="str">
        <f>Translations!$B$1482</f>
        <v>Genomsnittligt årligt värde</v>
      </c>
      <c r="F220" s="2717"/>
      <c r="G220" s="2717"/>
      <c r="H220" s="1232" t="str">
        <f>EUconst_EUA</f>
        <v>EUA</v>
      </c>
      <c r="I220" s="1021" t="str">
        <f>IF(ISNUMBER(INDEX('B+C_SubInstallations'!$M:$M,MATCH(Q220,'B+C_SubInstallations'!$X:$X,0))),INDEX('B+C_SubInstallations'!$M:$M,MATCH(Q220,'B+C_SubInstallations'!$X:$X,0)),"")</f>
        <v/>
      </c>
      <c r="J220" s="1024" t="str">
        <f>IF($L174&lt;&gt;EUconst_Relevant,"",IF(AND(V220&gt;=3,CNTR_ReportingYear&gt;J219-1),AVERAGE(SUM(H217),SUM(I217)),""))</f>
        <v/>
      </c>
      <c r="K220" s="1025" t="str">
        <f>IF($L174&lt;&gt;EUconst_Relevant,"",IF(AND(W220&gt;=3,CNTR_ReportingYear&gt;K219-1),AVERAGE(SUM(I217),SUM(J217)),""))</f>
        <v/>
      </c>
      <c r="L220" s="1025" t="str">
        <f>IF($L174&lt;&gt;EUconst_Relevant,"",IF(AND(X220&gt;=3,CNTR_ReportingYear&gt;L219-1),AVERAGE(SUM(J217),SUM(K217)),""))</f>
        <v/>
      </c>
      <c r="M220" s="1025" t="str">
        <f>IF($L174&lt;&gt;EUconst_Relevant,"",IF(AND(Y220&gt;=3,CNTR_ReportingYear&gt;M219-1),AVERAGE(SUM(K217),SUM(L217)),""))</f>
        <v/>
      </c>
      <c r="N220" s="1225" t="str">
        <f>IF($L174&lt;&gt;EUconst_Relevant,"",IF(AND(Z220&gt;=3,CNTR_ReportingYear&gt;N219-1),AVERAGE(SUM(L217),SUM(M217)),""))</f>
        <v/>
      </c>
      <c r="O220" s="15"/>
      <c r="P220" s="15"/>
      <c r="Q220" s="298" t="str">
        <f>EUconst_CNTR_HVCInitial &amp; INDEX(EUconst_BMlistNames,R174)</f>
        <v>HVCIni_Ångkrackning</v>
      </c>
      <c r="R220" s="2"/>
      <c r="S220" s="2"/>
      <c r="T220" s="2"/>
      <c r="U220" s="1079" t="s">
        <v>1850</v>
      </c>
      <c r="V220" s="663">
        <f>V219-$V174+1</f>
        <v>17</v>
      </c>
      <c r="W220" s="663">
        <f>W219-$V174+1</f>
        <v>18</v>
      </c>
      <c r="X220" s="663">
        <f>X219-$V174+1</f>
        <v>19</v>
      </c>
      <c r="Y220" s="663">
        <f>Y219-$V174+1</f>
        <v>20</v>
      </c>
      <c r="Z220" s="1080">
        <f>Z219-$V174+1</f>
        <v>21</v>
      </c>
      <c r="AA220" s="2"/>
      <c r="AB220" s="2"/>
      <c r="AC220" s="2"/>
      <c r="AD220" s="2"/>
      <c r="AE220" s="2"/>
      <c r="AF220" s="2"/>
      <c r="AG220" s="2"/>
      <c r="AH220" s="2"/>
      <c r="AI220" s="2"/>
      <c r="AJ220" s="2"/>
      <c r="AK220" s="7"/>
      <c r="AL220" s="7"/>
    </row>
    <row r="221" spans="1:38" ht="12.75" hidden="1" customHeight="1" x14ac:dyDescent="0.25">
      <c r="A221" s="343" t="s">
        <v>346</v>
      </c>
      <c r="B221" s="178"/>
      <c r="C221" s="178"/>
      <c r="D221" s="1242"/>
      <c r="E221" s="2712" t="s">
        <v>1980</v>
      </c>
      <c r="F221" s="2717"/>
      <c r="G221" s="2717"/>
      <c r="H221" s="2717"/>
      <c r="I221" s="2720"/>
      <c r="J221" s="1013" t="str">
        <f>IF(J220="","",IF($I223=0,100%,J220/$I223-1))</f>
        <v/>
      </c>
      <c r="K221" s="938" t="str">
        <f>IF(K220="","",IF($I223=0,100%,K220/$I223-1))</f>
        <v/>
      </c>
      <c r="L221" s="938" t="str">
        <f>IF(L220="","",IF($I223=0,100%,L220/$I223-1))</f>
        <v/>
      </c>
      <c r="M221" s="938" t="str">
        <f>IF(M220="","",IF($I223=0,100%,M220/$I223-1))</f>
        <v/>
      </c>
      <c r="N221" s="1223" t="str">
        <f>IF(N220="","",IF($I223=0,100%,N220/$I223-1))</f>
        <v/>
      </c>
      <c r="O221" s="15"/>
      <c r="P221" s="15"/>
      <c r="Q221" s="165" t="str">
        <f>EUconst_CNTR_RelThreshold &amp; Q223</f>
        <v>RelThresh_HVCprelim_</v>
      </c>
      <c r="R221" s="2"/>
      <c r="S221" s="2"/>
      <c r="T221" s="2"/>
      <c r="U221" s="1079" t="s">
        <v>1855</v>
      </c>
      <c r="V221" s="603" t="str">
        <f>IF(J220="","",ABS(J221)&gt;15%)</f>
        <v/>
      </c>
      <c r="W221" s="603" t="str">
        <f>IF(K220="","",ABS(K221)&gt;15%)</f>
        <v/>
      </c>
      <c r="X221" s="603" t="str">
        <f>IF(L220="","",ABS(L221)&gt;15%)</f>
        <v/>
      </c>
      <c r="Y221" s="603" t="str">
        <f>IF(M220="","",ABS(M221)&gt;15%)</f>
        <v/>
      </c>
      <c r="Z221" s="1756" t="str">
        <f>IF(N220="","",ABS(N221)&gt;15%)</f>
        <v/>
      </c>
      <c r="AA221" s="2"/>
      <c r="AB221" s="2"/>
      <c r="AC221" s="2"/>
      <c r="AD221" s="2"/>
      <c r="AE221" s="2"/>
      <c r="AF221" s="2"/>
      <c r="AG221" s="2"/>
      <c r="AH221" s="2"/>
      <c r="AI221" s="2"/>
      <c r="AJ221" s="2"/>
      <c r="AK221" s="7"/>
      <c r="AL221" s="7"/>
    </row>
    <row r="222" spans="1:38" ht="12.75" customHeight="1" x14ac:dyDescent="0.25">
      <c r="A222" s="343"/>
      <c r="B222" s="178"/>
      <c r="C222" s="178"/>
      <c r="D222" s="1242"/>
      <c r="E222" s="2712" t="str">
        <f>Translations!$B$1474</f>
        <v>Preliminär justering (om relativa tröskelvärden överskrids)</v>
      </c>
      <c r="F222" s="2717"/>
      <c r="G222" s="2717"/>
      <c r="H222" s="2717"/>
      <c r="I222" s="2720"/>
      <c r="J222" s="992" t="str">
        <f>IF(J220="","",IF(V221=FALSE,0%,J221))</f>
        <v/>
      </c>
      <c r="K222" s="937" t="str">
        <f>IF(K220="","",IF(W221=FALSE,0%,K221))</f>
        <v/>
      </c>
      <c r="L222" s="937" t="str">
        <f>IF(L220="","",IF(X221=FALSE,0%,L221))</f>
        <v/>
      </c>
      <c r="M222" s="937" t="str">
        <f>IF(M220="","",IF(Y221=FALSE,0%,M221))</f>
        <v/>
      </c>
      <c r="N222" s="1220" t="str">
        <f>IF(N220="","",IF(Z221=FALSE,0%,N221))</f>
        <v/>
      </c>
      <c r="O222" s="15"/>
      <c r="P222" s="15"/>
      <c r="Q222" s="343"/>
      <c r="R222" s="2"/>
      <c r="S222" s="2"/>
      <c r="T222" s="2"/>
      <c r="U222" s="1081"/>
      <c r="V222" s="2"/>
      <c r="W222" s="2"/>
      <c r="X222" s="2"/>
      <c r="Y222" s="2"/>
      <c r="Z222" s="228"/>
      <c r="AA222" s="2"/>
      <c r="AB222" s="2"/>
      <c r="AC222" s="2"/>
      <c r="AD222" s="2"/>
      <c r="AE222" s="2"/>
      <c r="AF222" s="2"/>
      <c r="AG222" s="2"/>
      <c r="AH222" s="2"/>
      <c r="AI222" s="2"/>
      <c r="AJ222" s="343"/>
      <c r="AK222" s="7"/>
      <c r="AL222" s="7"/>
    </row>
    <row r="223" spans="1:38" ht="12.75" hidden="1" customHeight="1" thickBot="1" x14ac:dyDescent="0.3">
      <c r="A223" s="343" t="s">
        <v>346</v>
      </c>
      <c r="B223" s="178"/>
      <c r="C223" s="178"/>
      <c r="D223" s="1242"/>
      <c r="E223" s="2712" t="s">
        <v>1889</v>
      </c>
      <c r="F223" s="2717"/>
      <c r="G223" s="2717"/>
      <c r="H223" s="1232" t="str">
        <f>EUconst_EUA</f>
        <v>EUA</v>
      </c>
      <c r="I223" s="1021" t="str">
        <f>IF(L174&lt;&gt;EUconst_Relevant,"",IF(AB174=FALSE,EUconst_NA,IF(V174&gt;2018,INDEX(H217:N217,MATCH(V174,H216:N216,0)),SUM(I220))))</f>
        <v/>
      </c>
      <c r="J223" s="1022" t="str">
        <f>IF(V220&lt;2,SUM(J217),IF(V220&lt;3,SUM(I217),IF(V223="",I223,V223)))</f>
        <v/>
      </c>
      <c r="K223" s="1023" t="str">
        <f>IF(W220&lt;2,SUM(K217),IF(W220&lt;3,SUM(J217),IF(W223="",J223,W223)))</f>
        <v/>
      </c>
      <c r="L223" s="1023" t="str">
        <f>IF(X220&lt;2,SUM(L217),IF(X220&lt;3,SUM(K217),IF(X223="",K223,X223)))</f>
        <v/>
      </c>
      <c r="M223" s="1023" t="str">
        <f>IF(Y220&lt;2,SUM(M217),IF(Y220&lt;3,SUM(L217),IF(Y223="",L223,Y223)))</f>
        <v/>
      </c>
      <c r="N223" s="1226" t="str">
        <f>IF(Z220&lt;2,SUM(N217),IF(Z220&lt;3,SUM(M217),IF(Z223="",M223,Z223)))</f>
        <v/>
      </c>
      <c r="O223" s="15"/>
      <c r="P223" s="15"/>
      <c r="Q223" s="165" t="str">
        <f>EUconst_CNTR_HVCprelim</f>
        <v>HVCprelim_</v>
      </c>
      <c r="R223" s="2"/>
      <c r="S223" s="2"/>
      <c r="T223" s="2"/>
      <c r="U223" s="1082" t="s">
        <v>1851</v>
      </c>
      <c r="V223" s="1083" t="str">
        <f>IF(J220="","",IF(CNTR_ReportingYear&lt;J219,I222,IF($I223=0,J220,$I223*(1+J222))))</f>
        <v/>
      </c>
      <c r="W223" s="1083" t="str">
        <f>IF(K220="","",IF(CNTR_ReportingYear&lt;K219,J222,IF($I223=0,K220,$I223*(1+K222))))</f>
        <v/>
      </c>
      <c r="X223" s="1083" t="str">
        <f>IF(L220="","",IF(CNTR_ReportingYear&lt;L219,K222,IF($I223=0,L220,$I223*(1+L222))))</f>
        <v/>
      </c>
      <c r="Y223" s="1083" t="str">
        <f>IF(M220="","",IF(CNTR_ReportingYear&lt;M219,L222,IF($I223=0,M220,$I223*(1+M222))))</f>
        <v/>
      </c>
      <c r="Z223" s="1084" t="str">
        <f>IF(N220="","",IF(CNTR_ReportingYear&lt;N219,M222,IF($I223=0,N220,$I223*(1+N222))))</f>
        <v/>
      </c>
      <c r="AA223" s="2"/>
      <c r="AB223" s="2"/>
      <c r="AC223" s="2"/>
      <c r="AD223" s="2"/>
      <c r="AE223" s="2"/>
      <c r="AF223" s="2"/>
      <c r="AG223" s="2"/>
      <c r="AH223" s="2"/>
      <c r="AI223" s="2"/>
      <c r="AJ223" s="343"/>
      <c r="AK223" s="7"/>
      <c r="AL223" s="7"/>
    </row>
    <row r="224" spans="1:38" ht="5.15" customHeight="1" x14ac:dyDescent="0.25">
      <c r="A224" s="343"/>
      <c r="B224" s="178"/>
      <c r="C224" s="178"/>
      <c r="D224" s="1242"/>
      <c r="E224" s="1244"/>
      <c r="F224" s="1244"/>
      <c r="G224" s="1244"/>
      <c r="H224" s="1244"/>
      <c r="I224" s="1244"/>
      <c r="J224" s="1236"/>
      <c r="K224" s="1236"/>
      <c r="L224" s="1236"/>
      <c r="M224" s="1236"/>
      <c r="N224" s="1247"/>
      <c r="O224" s="15"/>
      <c r="P224" s="15"/>
      <c r="Q224" s="343"/>
      <c r="R224" s="2"/>
      <c r="S224" s="2"/>
      <c r="T224" s="2"/>
      <c r="U224" s="343"/>
      <c r="V224" s="343"/>
      <c r="W224" s="2"/>
      <c r="X224" s="2"/>
      <c r="Y224" s="2"/>
      <c r="Z224" s="2"/>
      <c r="AA224" s="2"/>
      <c r="AB224" s="2"/>
      <c r="AC224" s="2"/>
      <c r="AD224" s="2"/>
      <c r="AE224" s="2"/>
      <c r="AF224" s="2"/>
      <c r="AG224" s="2"/>
      <c r="AH224" s="2"/>
      <c r="AI224" s="2"/>
      <c r="AJ224" s="343"/>
      <c r="AK224" s="7"/>
      <c r="AL224" s="7"/>
    </row>
    <row r="225" spans="1:38" ht="12.75" customHeight="1" x14ac:dyDescent="0.25">
      <c r="A225" s="343"/>
      <c r="B225" s="178"/>
      <c r="C225" s="178"/>
      <c r="D225" s="1242"/>
      <c r="E225" s="2755" t="str">
        <f>Translations!$B$1475</f>
        <v>Faktisk justering (grund för följande år)</v>
      </c>
      <c r="F225" s="2756"/>
      <c r="G225" s="2756"/>
      <c r="H225" s="2756"/>
      <c r="I225" s="2757"/>
      <c r="J225" s="1255">
        <f>J$421</f>
        <v>2021</v>
      </c>
      <c r="K225" s="1253">
        <f>K$421</f>
        <v>2022</v>
      </c>
      <c r="L225" s="1253">
        <f>L$421</f>
        <v>2023</v>
      </c>
      <c r="M225" s="1253">
        <f>M$421</f>
        <v>2024</v>
      </c>
      <c r="N225" s="1258">
        <f>N$421</f>
        <v>2025</v>
      </c>
      <c r="O225" s="15"/>
      <c r="P225" s="15"/>
      <c r="Q225" s="343"/>
      <c r="R225" s="2"/>
      <c r="S225" s="2"/>
      <c r="T225" s="2"/>
      <c r="U225" s="2"/>
      <c r="V225" s="2"/>
      <c r="W225" s="2"/>
      <c r="X225" s="2"/>
      <c r="Y225" s="2"/>
      <c r="Z225" s="2"/>
      <c r="AA225" s="2"/>
      <c r="AB225" s="2"/>
      <c r="AC225" s="2"/>
      <c r="AD225" s="2"/>
      <c r="AE225" s="2"/>
      <c r="AF225" s="2"/>
      <c r="AG225" s="2"/>
      <c r="AH225" s="2"/>
      <c r="AI225" s="2"/>
      <c r="AJ225" s="343"/>
      <c r="AK225" s="7"/>
      <c r="AL225" s="7"/>
    </row>
    <row r="226" spans="1:38" ht="12.75" customHeight="1" x14ac:dyDescent="0.25">
      <c r="A226" s="343"/>
      <c r="B226" s="178"/>
      <c r="C226" s="178"/>
      <c r="D226" s="1242"/>
      <c r="E226" s="2712" t="str">
        <f>Translations!$B$1476</f>
        <v>&gt;= 100 utsläppsrätter kriterium uppnått?</v>
      </c>
      <c r="F226" s="2717"/>
      <c r="G226" s="2717"/>
      <c r="H226" s="2717"/>
      <c r="I226" s="2720"/>
      <c r="J226" s="994" t="str">
        <f>IF($L174&lt;&gt;EUconst_Relevant,"",INDEX(K_Summary!J:J,MATCH($Q226,K_Summary!$P:$P,0)))</f>
        <v/>
      </c>
      <c r="K226" s="912" t="str">
        <f>IF($L174&lt;&gt;EUconst_Relevant,"",INDEX(K_Summary!K:K,MATCH($Q226,K_Summary!$P:$P,0)))</f>
        <v/>
      </c>
      <c r="L226" s="912" t="str">
        <f>IF($L174&lt;&gt;EUconst_Relevant,"",INDEX(K_Summary!L:L,MATCH($Q226,K_Summary!$P:$P,0)))</f>
        <v/>
      </c>
      <c r="M226" s="912" t="str">
        <f>IF($L174&lt;&gt;EUconst_Relevant,"",INDEX(K_Summary!M:M,MATCH($Q226,K_Summary!$P:$P,0)))</f>
        <v/>
      </c>
      <c r="N226" s="1221" t="str">
        <f>IF($L174&lt;&gt;EUconst_Relevant,"",INDEX(K_Summary!N:N,MATCH($Q226,K_Summary!$P:$P,0)))</f>
        <v/>
      </c>
      <c r="O226" s="15"/>
      <c r="P226" s="15"/>
      <c r="Q226" s="165" t="str">
        <f>EUconst_CNTR_100EUA_HVC &amp; INDEX(EUconst_BMlistNames,R174)</f>
        <v>EUA100HVC_Ångkrackning</v>
      </c>
      <c r="R226" s="2"/>
      <c r="S226" s="2"/>
      <c r="T226" s="2"/>
      <c r="U226" s="2"/>
      <c r="V226" s="2"/>
      <c r="W226" s="2"/>
      <c r="X226" s="2"/>
      <c r="Y226" s="2"/>
      <c r="Z226" s="2"/>
      <c r="AA226" s="2"/>
      <c r="AB226" s="2"/>
      <c r="AC226" s="2"/>
      <c r="AD226" s="2"/>
      <c r="AE226" s="2"/>
      <c r="AF226" s="2"/>
      <c r="AG226" s="2"/>
      <c r="AH226" s="2"/>
      <c r="AI226" s="2"/>
      <c r="AJ226" s="343"/>
      <c r="AK226" s="7"/>
      <c r="AL226" s="7"/>
    </row>
    <row r="227" spans="1:38" ht="5.15" customHeight="1" thickBot="1" x14ac:dyDescent="0.3">
      <c r="A227" s="343"/>
      <c r="B227" s="178"/>
      <c r="C227" s="178"/>
      <c r="D227" s="1242"/>
      <c r="E227" s="1244"/>
      <c r="F227" s="1244"/>
      <c r="G227" s="1244"/>
      <c r="H227" s="1244"/>
      <c r="I227" s="1244"/>
      <c r="J227" s="1244"/>
      <c r="K227" s="1244"/>
      <c r="L227" s="1244"/>
      <c r="M227" s="1244"/>
      <c r="N227" s="1248"/>
      <c r="O227" s="15"/>
      <c r="P227" s="15"/>
      <c r="Q227" s="343"/>
      <c r="R227" s="2"/>
      <c r="S227" s="2"/>
      <c r="T227" s="2"/>
      <c r="U227" s="343"/>
      <c r="V227" s="343"/>
      <c r="W227" s="2"/>
      <c r="X227" s="2"/>
      <c r="Y227" s="2"/>
      <c r="Z227" s="2"/>
      <c r="AA227" s="2"/>
      <c r="AB227" s="2"/>
      <c r="AC227" s="2"/>
      <c r="AD227" s="2"/>
      <c r="AE227" s="2"/>
      <c r="AF227" s="2"/>
      <c r="AG227" s="2"/>
      <c r="AH227" s="2"/>
      <c r="AI227" s="2"/>
      <c r="AJ227" s="343"/>
      <c r="AK227" s="7"/>
      <c r="AL227" s="7"/>
    </row>
    <row r="228" spans="1:38" ht="12.75" customHeight="1" thickBot="1" x14ac:dyDescent="0.3">
      <c r="A228" s="2"/>
      <c r="B228" s="178"/>
      <c r="C228" s="178"/>
      <c r="D228" s="1242"/>
      <c r="E228" s="2712" t="str">
        <f>Translations!$B$1477</f>
        <v>Faktisk justering (om alla tröskelvärden överskrids)</v>
      </c>
      <c r="F228" s="2717"/>
      <c r="G228" s="2717"/>
      <c r="H228" s="2717"/>
      <c r="I228" s="2720"/>
      <c r="J228" s="1099" t="str">
        <f>IF(J226="","",IF(J226,J222,I228))</f>
        <v/>
      </c>
      <c r="K228" s="1100" t="str">
        <f>IF(K226="","",IF(K226,K222,J228))</f>
        <v/>
      </c>
      <c r="L228" s="1100" t="str">
        <f>IF(L226="","",IF(L226,L222,K228))</f>
        <v/>
      </c>
      <c r="M228" s="1100" t="str">
        <f>IF(M226="","",IF(M226,M222,L228))</f>
        <v/>
      </c>
      <c r="N228" s="1101" t="str">
        <f>IF(N226="","",IF(N226,N222,M228))</f>
        <v/>
      </c>
      <c r="O228" s="15"/>
      <c r="P228" s="15"/>
      <c r="Q228" s="343"/>
      <c r="R228" s="2"/>
      <c r="S228" s="2"/>
      <c r="T228" s="2"/>
      <c r="U228" s="772" t="s">
        <v>1858</v>
      </c>
      <c r="V228" s="1077">
        <f>V219</f>
        <v>2021</v>
      </c>
      <c r="W228" s="1077">
        <f>W219</f>
        <v>2022</v>
      </c>
      <c r="X228" s="1077">
        <f>X219</f>
        <v>2023</v>
      </c>
      <c r="Y228" s="1077">
        <f>Y219</f>
        <v>2024</v>
      </c>
      <c r="Z228" s="1078">
        <f>Z219</f>
        <v>2025</v>
      </c>
      <c r="AA228" s="2"/>
      <c r="AB228" s="2"/>
      <c r="AC228" s="2"/>
      <c r="AD228" s="2"/>
      <c r="AE228" s="2"/>
      <c r="AF228" s="2"/>
      <c r="AG228" s="2"/>
      <c r="AH228" s="2"/>
      <c r="AI228" s="2"/>
      <c r="AJ228" s="343"/>
      <c r="AK228" s="7"/>
      <c r="AL228" s="7"/>
    </row>
    <row r="229" spans="1:38" ht="12.75" hidden="1" customHeight="1" thickBot="1" x14ac:dyDescent="0.3">
      <c r="A229" s="343" t="s">
        <v>346</v>
      </c>
      <c r="B229" s="178"/>
      <c r="C229" s="178"/>
      <c r="D229" s="1242"/>
      <c r="E229" s="2712" t="s">
        <v>1859</v>
      </c>
      <c r="F229" s="2717"/>
      <c r="G229" s="2717"/>
      <c r="H229" s="1232" t="str">
        <f>EUconst_EUA</f>
        <v>EUA</v>
      </c>
      <c r="I229" s="1021" t="str">
        <f>I223</f>
        <v/>
      </c>
      <c r="J229" s="735" t="str">
        <f>IF($L174&lt;&gt;EUconst_Relevant,"",IF(J207&gt;$Z174,1,IF(OR($I229=EUconst_NA,J226=TRUE,J228="",J225&lt;=$V174),J223,I229)))</f>
        <v/>
      </c>
      <c r="K229" s="736" t="str">
        <f>IF($L174&lt;&gt;EUconst_Relevant,"",IF(K207&gt;$Z174,1,IF(OR($I229=EUconst_NA,K226=TRUE,K228="",K225&lt;=$V174),K223,J229)))</f>
        <v/>
      </c>
      <c r="L229" s="736" t="str">
        <f>IF($L174&lt;&gt;EUconst_Relevant,"",IF(L207&gt;$Z174,1,IF(OR($I229=EUconst_NA,L226=TRUE,L228="",L225&lt;=$V174),L223,K229)))</f>
        <v/>
      </c>
      <c r="M229" s="736" t="str">
        <f>IF($L174&lt;&gt;EUconst_Relevant,"",IF(M207&gt;$Z174,1,IF(OR($I229=EUconst_NA,M226=TRUE,M228="",M225&lt;=$V174),M223,L229)))</f>
        <v/>
      </c>
      <c r="N229" s="737" t="str">
        <f>IF($L174&lt;&gt;EUconst_Relevant,"",IF(N207&gt;$Z174,1,IF(OR($I229=EUconst_NA,N226=TRUE,N228="",N225&lt;=$V174),N223,M229)))</f>
        <v/>
      </c>
      <c r="O229" s="15"/>
      <c r="P229" s="15"/>
      <c r="Q229" s="165" t="str">
        <f>EUconst_CNTR_HVCfinal</f>
        <v>HVCfinal_</v>
      </c>
      <c r="R229" s="2"/>
      <c r="S229" s="2"/>
      <c r="T229" s="2"/>
      <c r="U229" s="1085" t="b">
        <v>0</v>
      </c>
      <c r="V229" s="1757" t="b">
        <f>IF(J226=TRUE,V221,U229)</f>
        <v>0</v>
      </c>
      <c r="W229" s="1757" t="b">
        <f>IF(K226=TRUE,W221,V229)</f>
        <v>0</v>
      </c>
      <c r="X229" s="1757" t="b">
        <f>IF(L226=TRUE,X221,W229)</f>
        <v>0</v>
      </c>
      <c r="Y229" s="1757" t="b">
        <f>IF(M226=TRUE,Y221,X229)</f>
        <v>0</v>
      </c>
      <c r="Z229" s="1758" t="b">
        <f>IF(N226=TRUE,Z221,Y229)</f>
        <v>0</v>
      </c>
      <c r="AA229" s="2"/>
      <c r="AB229" s="2"/>
      <c r="AC229" s="2"/>
      <c r="AD229" s="2"/>
      <c r="AE229" s="2"/>
      <c r="AF229" s="2"/>
      <c r="AG229" s="2"/>
      <c r="AH229" s="2"/>
      <c r="AI229" s="2"/>
      <c r="AJ229" s="2"/>
      <c r="AK229" s="7"/>
      <c r="AL229" s="7"/>
    </row>
    <row r="230" spans="1:38" ht="5.15" customHeight="1" thickBot="1" x14ac:dyDescent="0.3">
      <c r="A230" s="2"/>
      <c r="B230" s="3"/>
      <c r="C230" s="3"/>
      <c r="D230" s="1249"/>
      <c r="E230" s="1250"/>
      <c r="F230" s="1250"/>
      <c r="G230" s="1250"/>
      <c r="H230" s="1250"/>
      <c r="I230" s="1250"/>
      <c r="J230" s="1250"/>
      <c r="K230" s="1250"/>
      <c r="L230" s="1250"/>
      <c r="M230" s="1251"/>
      <c r="N230" s="1252"/>
      <c r="O230" s="6"/>
      <c r="P230" s="15"/>
      <c r="Q230" s="7"/>
      <c r="R230" s="2"/>
      <c r="S230" s="2"/>
      <c r="T230" s="2"/>
      <c r="U230" s="2"/>
      <c r="V230" s="2"/>
      <c r="W230" s="2"/>
      <c r="X230" s="2"/>
      <c r="Y230" s="7"/>
      <c r="Z230" s="7"/>
      <c r="AA230" s="7"/>
      <c r="AB230" s="7"/>
      <c r="AC230" s="7"/>
      <c r="AD230" s="7"/>
      <c r="AE230" s="7"/>
      <c r="AF230" s="7"/>
      <c r="AG230" s="7"/>
      <c r="AH230" s="7"/>
      <c r="AI230" s="7"/>
      <c r="AJ230" s="7"/>
      <c r="AK230" s="7"/>
      <c r="AL230" s="7"/>
    </row>
    <row r="231" spans="1:38" ht="5.15" customHeight="1" x14ac:dyDescent="0.25">
      <c r="A231" s="2"/>
      <c r="B231" s="3"/>
      <c r="C231" s="3"/>
      <c r="D231" s="3"/>
      <c r="E231" s="3"/>
      <c r="F231" s="3"/>
      <c r="G231" s="3"/>
      <c r="H231" s="3"/>
      <c r="I231" s="3"/>
      <c r="J231" s="3"/>
      <c r="K231" s="3"/>
      <c r="L231" s="3"/>
      <c r="M231" s="6"/>
      <c r="N231" s="6"/>
      <c r="O231" s="6"/>
      <c r="P231" s="15"/>
      <c r="Q231" s="7"/>
      <c r="R231" s="2"/>
      <c r="S231" s="2"/>
      <c r="T231" s="2"/>
      <c r="U231" s="2"/>
      <c r="V231" s="2"/>
      <c r="W231" s="2"/>
      <c r="X231" s="2"/>
      <c r="Y231" s="7"/>
      <c r="Z231" s="7"/>
      <c r="AA231" s="7"/>
      <c r="AB231" s="7"/>
      <c r="AC231" s="7"/>
      <c r="AD231" s="7"/>
      <c r="AE231" s="7"/>
      <c r="AF231" s="7"/>
      <c r="AG231" s="7"/>
      <c r="AH231" s="7"/>
      <c r="AI231" s="7"/>
      <c r="AJ231" s="7"/>
      <c r="AK231" s="7"/>
      <c r="AL231" s="7"/>
    </row>
    <row r="232" spans="1:38" ht="13" x14ac:dyDescent="0.25">
      <c r="A232" s="2"/>
      <c r="B232" s="3"/>
      <c r="C232" s="3"/>
      <c r="D232" s="3"/>
      <c r="E232" s="2748" t="str">
        <f>IF(L174=EUconst_Relevant,HYPERLINK(R232,EUconst_MsgBackToSheetF),"")</f>
        <v/>
      </c>
      <c r="F232" s="2749"/>
      <c r="G232" s="2749"/>
      <c r="H232" s="2749"/>
      <c r="I232" s="2749"/>
      <c r="J232" s="2749"/>
      <c r="K232" s="2749"/>
      <c r="L232" s="2749"/>
      <c r="M232" s="2749"/>
      <c r="N232" s="2750"/>
      <c r="O232" s="6"/>
      <c r="P232" s="15"/>
      <c r="Q232" s="309" t="s">
        <v>127</v>
      </c>
      <c r="R232" s="108" t="str">
        <f>R176</f>
        <v/>
      </c>
      <c r="S232" s="2"/>
      <c r="T232" s="2"/>
      <c r="U232" s="2"/>
      <c r="V232" s="2"/>
      <c r="W232" s="2"/>
      <c r="X232" s="2"/>
      <c r="Y232" s="7"/>
      <c r="Z232" s="7"/>
      <c r="AA232" s="7"/>
      <c r="AB232" s="7"/>
      <c r="AC232" s="7"/>
      <c r="AD232" s="7"/>
      <c r="AE232" s="7"/>
      <c r="AF232" s="7"/>
      <c r="AG232" s="7"/>
      <c r="AH232" s="7"/>
      <c r="AI232" s="7"/>
      <c r="AJ232" s="7"/>
      <c r="AK232" s="7"/>
      <c r="AL232" s="7"/>
    </row>
    <row r="233" spans="1:38" x14ac:dyDescent="0.25">
      <c r="A233" s="2"/>
      <c r="B233" s="19"/>
      <c r="C233" s="19"/>
      <c r="D233" s="19"/>
      <c r="E233" s="19"/>
      <c r="F233" s="19"/>
      <c r="G233" s="19"/>
      <c r="H233" s="19"/>
      <c r="I233" s="19"/>
      <c r="J233" s="19"/>
      <c r="K233" s="19"/>
      <c r="L233" s="19"/>
      <c r="M233" s="19"/>
      <c r="N233" s="19"/>
      <c r="O233" s="6"/>
      <c r="P233" s="15"/>
      <c r="Q233" s="2"/>
      <c r="R233" s="2"/>
      <c r="S233" s="2"/>
      <c r="T233" s="2"/>
      <c r="U233" s="2"/>
      <c r="V233" s="2"/>
      <c r="W233" s="2"/>
      <c r="X233" s="2"/>
      <c r="Y233" s="7"/>
      <c r="Z233" s="7"/>
      <c r="AA233" s="7"/>
      <c r="AB233" s="7"/>
      <c r="AC233" s="7"/>
      <c r="AD233" s="7"/>
      <c r="AE233" s="7"/>
      <c r="AF233" s="7"/>
      <c r="AG233" s="7"/>
      <c r="AH233" s="7"/>
      <c r="AI233" s="7"/>
      <c r="AJ233" s="7"/>
      <c r="AK233" s="7"/>
      <c r="AL233" s="7"/>
    </row>
    <row r="234" spans="1:38" ht="15.5" x14ac:dyDescent="0.35">
      <c r="A234" s="2"/>
      <c r="B234" s="3"/>
      <c r="C234" s="11" t="s">
        <v>696</v>
      </c>
      <c r="D234" s="1975" t="str">
        <f>Translations!$B$868</f>
        <v>CWT (aromater)</v>
      </c>
      <c r="E234" s="1975"/>
      <c r="F234" s="1975"/>
      <c r="G234" s="1975"/>
      <c r="H234" s="1975"/>
      <c r="I234" s="1975"/>
      <c r="J234" s="1975"/>
      <c r="K234" s="1975"/>
      <c r="L234" s="1975"/>
      <c r="M234" s="1975"/>
      <c r="N234" s="1975"/>
      <c r="O234" s="6"/>
      <c r="P234" s="15"/>
      <c r="Q234" s="7"/>
      <c r="R234" s="2"/>
      <c r="S234" s="2"/>
      <c r="T234" s="2"/>
      <c r="U234" s="2"/>
      <c r="V234" s="2"/>
      <c r="W234" s="2"/>
      <c r="X234" s="2"/>
      <c r="Y234" s="7"/>
      <c r="Z234" s="7"/>
      <c r="AA234" s="7"/>
      <c r="AB234" s="7"/>
      <c r="AC234" s="7"/>
      <c r="AD234" s="7"/>
      <c r="AE234" s="7"/>
      <c r="AF234" s="7"/>
      <c r="AG234" s="7"/>
      <c r="AH234" s="7"/>
      <c r="AI234" s="7"/>
      <c r="AJ234" s="7"/>
      <c r="AK234" s="7"/>
      <c r="AL234" s="7"/>
    </row>
    <row r="235" spans="1:38" ht="5.15" customHeight="1" x14ac:dyDescent="0.25">
      <c r="A235" s="2"/>
      <c r="B235" s="3"/>
      <c r="C235" s="3"/>
      <c r="D235" s="3"/>
      <c r="E235" s="3"/>
      <c r="F235" s="3"/>
      <c r="G235" s="3"/>
      <c r="H235" s="3"/>
      <c r="I235" s="3"/>
      <c r="J235" s="3"/>
      <c r="K235" s="3"/>
      <c r="L235" s="3"/>
      <c r="M235" s="6"/>
      <c r="N235" s="6"/>
      <c r="O235" s="6"/>
      <c r="P235" s="15"/>
      <c r="Q235" s="7"/>
      <c r="R235" s="2"/>
      <c r="S235" s="2"/>
      <c r="T235" s="2"/>
      <c r="U235" s="2"/>
      <c r="V235" s="2"/>
      <c r="W235" s="2"/>
      <c r="X235" s="2"/>
      <c r="Y235" s="7"/>
      <c r="Z235" s="7"/>
      <c r="AA235" s="7"/>
      <c r="AB235" s="7"/>
      <c r="AC235" s="7"/>
      <c r="AD235" s="7"/>
      <c r="AE235" s="7"/>
      <c r="AF235" s="7"/>
      <c r="AG235" s="7"/>
      <c r="AH235" s="7"/>
      <c r="AI235" s="7"/>
      <c r="AJ235" s="7"/>
      <c r="AK235" s="7"/>
      <c r="AL235" s="7"/>
    </row>
    <row r="236" spans="1:38" ht="14" x14ac:dyDescent="0.3">
      <c r="A236" s="2"/>
      <c r="B236" s="3"/>
      <c r="C236" s="17"/>
      <c r="D236" s="2053" t="str">
        <f>Translations!$B$869</f>
        <v>Verktyg för att beräkna historiska verksamhetsnivåer för aromatdelanläggningar</v>
      </c>
      <c r="E236" s="1963"/>
      <c r="F236" s="1963"/>
      <c r="G236" s="1963"/>
      <c r="H236" s="1963"/>
      <c r="I236" s="1963"/>
      <c r="J236" s="1963"/>
      <c r="K236" s="1963"/>
      <c r="L236" s="1963"/>
      <c r="M236" s="1963"/>
      <c r="N236" s="1963"/>
      <c r="O236" s="6"/>
      <c r="P236" s="15"/>
      <c r="Q236" s="7"/>
      <c r="R236" s="2"/>
      <c r="S236" s="2"/>
      <c r="T236" s="2"/>
      <c r="U236" s="2"/>
      <c r="V236" s="2"/>
      <c r="W236" s="2"/>
      <c r="X236" s="2"/>
      <c r="Y236" s="7"/>
      <c r="Z236" s="7"/>
      <c r="AA236" s="7"/>
      <c r="AB236" s="7"/>
      <c r="AC236" s="7"/>
      <c r="AD236" s="7"/>
      <c r="AE236" s="7"/>
      <c r="AF236" s="7"/>
      <c r="AG236" s="7"/>
      <c r="AH236" s="7"/>
      <c r="AI236" s="7"/>
      <c r="AJ236" s="7"/>
      <c r="AK236" s="7"/>
      <c r="AL236" s="7"/>
    </row>
    <row r="237" spans="1:38" ht="5.15" customHeight="1" x14ac:dyDescent="0.25">
      <c r="A237" s="2"/>
      <c r="B237" s="3"/>
      <c r="C237" s="3"/>
      <c r="D237" s="3"/>
      <c r="E237" s="3"/>
      <c r="F237" s="3"/>
      <c r="G237" s="3"/>
      <c r="H237" s="3"/>
      <c r="I237" s="3"/>
      <c r="J237" s="3"/>
      <c r="K237" s="3"/>
      <c r="L237" s="3"/>
      <c r="M237" s="6"/>
      <c r="N237" s="6"/>
      <c r="O237" s="6"/>
      <c r="P237" s="15"/>
      <c r="Q237" s="7"/>
      <c r="R237" s="2"/>
      <c r="S237" s="2"/>
      <c r="T237" s="2"/>
      <c r="U237" s="2"/>
      <c r="V237" s="2"/>
      <c r="W237" s="2"/>
      <c r="X237" s="2"/>
      <c r="Y237" s="7"/>
      <c r="Z237" s="7"/>
      <c r="AA237" s="7"/>
      <c r="AB237" s="7"/>
      <c r="AC237" s="7"/>
      <c r="AD237" s="7"/>
      <c r="AE237" s="7"/>
      <c r="AF237" s="7"/>
      <c r="AG237" s="7"/>
      <c r="AH237" s="7"/>
      <c r="AI237" s="7"/>
      <c r="AJ237" s="7"/>
      <c r="AK237" s="7"/>
      <c r="AL237" s="7"/>
    </row>
    <row r="238" spans="1:38" x14ac:dyDescent="0.25">
      <c r="A238" s="2"/>
      <c r="B238" s="3"/>
      <c r="C238" s="3"/>
      <c r="D238" s="15"/>
      <c r="E238" s="2061" t="str">
        <f>Translations!$B$870</f>
        <v>Med hjälp av detta verktyg kan ni fastställa de historiska verksamhetsnivåerna för aromatriktmärket (punkt 5 i bilaga III till FAR)</v>
      </c>
      <c r="F238" s="1963"/>
      <c r="G238" s="1963"/>
      <c r="H238" s="1963"/>
      <c r="I238" s="1963"/>
      <c r="J238" s="1963"/>
      <c r="K238" s="1963"/>
      <c r="L238" s="1963"/>
      <c r="M238" s="1963"/>
      <c r="N238" s="1963"/>
      <c r="O238" s="6"/>
      <c r="P238" s="15"/>
      <c r="Q238" s="7"/>
      <c r="R238" s="2"/>
      <c r="S238" s="2"/>
      <c r="T238" s="2"/>
      <c r="U238" s="2"/>
      <c r="V238" s="2"/>
      <c r="W238" s="2"/>
      <c r="X238" s="2"/>
      <c r="Y238" s="7"/>
      <c r="Z238" s="7"/>
      <c r="AA238" s="7"/>
      <c r="AB238" s="7"/>
      <c r="AC238" s="7"/>
      <c r="AD238" s="7"/>
      <c r="AE238" s="7"/>
      <c r="AF238" s="7"/>
      <c r="AG238" s="7"/>
      <c r="AH238" s="7"/>
      <c r="AI238" s="7"/>
      <c r="AJ238" s="7"/>
      <c r="AK238" s="7"/>
      <c r="AL238" s="7"/>
    </row>
    <row r="239" spans="1:38" x14ac:dyDescent="0.25">
      <c r="A239" s="2"/>
      <c r="B239" s="3"/>
      <c r="C239" s="3"/>
      <c r="D239" s="15"/>
      <c r="E239" s="2061" t="str">
        <f>Translations!$B$871</f>
        <v>För aromatriktmärket, där CWT också används, var god använd det särskilda CWT-verktyget för raffinaderier ovan (avsnitt I i detta blad).</v>
      </c>
      <c r="F239" s="1963"/>
      <c r="G239" s="1963"/>
      <c r="H239" s="1963"/>
      <c r="I239" s="1963"/>
      <c r="J239" s="1963"/>
      <c r="K239" s="1963"/>
      <c r="L239" s="1963"/>
      <c r="M239" s="1963"/>
      <c r="N239" s="1963"/>
      <c r="O239" s="6"/>
      <c r="P239" s="15"/>
      <c r="Q239" s="7"/>
      <c r="R239" s="2"/>
      <c r="S239" s="2"/>
      <c r="T239" s="2"/>
      <c r="U239" s="2"/>
      <c r="V239" s="2"/>
      <c r="W239" s="2"/>
      <c r="X239" s="2"/>
      <c r="Y239" s="7"/>
      <c r="Z239" s="7"/>
      <c r="AA239" s="7"/>
      <c r="AB239" s="7"/>
      <c r="AC239" s="7"/>
      <c r="AD239" s="7"/>
      <c r="AE239" s="7"/>
      <c r="AF239" s="7"/>
      <c r="AG239" s="7"/>
      <c r="AH239" s="7"/>
      <c r="AI239" s="7"/>
      <c r="AJ239" s="7"/>
      <c r="AK239" s="7"/>
      <c r="AL239" s="7"/>
    </row>
    <row r="240" spans="1:38" x14ac:dyDescent="0.25">
      <c r="A240" s="2"/>
      <c r="B240" s="3"/>
      <c r="C240" s="3"/>
      <c r="D240" s="15"/>
      <c r="E240" s="2061" t="str">
        <f>Translations!$B$731</f>
        <v>Resultatet av verktyget kopieras automatiskt in i blad ”F_ProductBM”, inmatningsrad a.ii för delanläggningen i fråga.</v>
      </c>
      <c r="F240" s="1963"/>
      <c r="G240" s="1963"/>
      <c r="H240" s="1963"/>
      <c r="I240" s="1963"/>
      <c r="J240" s="1963"/>
      <c r="K240" s="1963"/>
      <c r="L240" s="1963"/>
      <c r="M240" s="1963"/>
      <c r="N240" s="1963"/>
      <c r="O240" s="6"/>
      <c r="P240" s="15"/>
      <c r="Q240" s="7"/>
      <c r="R240" s="2"/>
      <c r="S240" s="2"/>
      <c r="T240" s="2"/>
      <c r="U240" s="2"/>
      <c r="V240" s="2"/>
      <c r="W240" s="2"/>
      <c r="X240" s="2"/>
      <c r="Y240" s="7"/>
      <c r="Z240" s="7"/>
      <c r="AA240" s="7"/>
      <c r="AB240" s="7"/>
      <c r="AC240" s="7"/>
      <c r="AD240" s="7"/>
      <c r="AE240" s="7"/>
      <c r="AF240" s="7"/>
      <c r="AG240" s="7"/>
      <c r="AH240" s="7"/>
      <c r="AI240" s="7"/>
      <c r="AJ240" s="7"/>
      <c r="AK240" s="7"/>
      <c r="AL240" s="7"/>
    </row>
    <row r="241" spans="1:38" ht="5.15" customHeight="1" x14ac:dyDescent="0.25">
      <c r="A241" s="2"/>
      <c r="B241" s="3"/>
      <c r="C241" s="3"/>
      <c r="D241" s="3"/>
      <c r="E241" s="3"/>
      <c r="F241" s="3"/>
      <c r="G241" s="3"/>
      <c r="H241" s="3"/>
      <c r="I241" s="3"/>
      <c r="J241" s="3"/>
      <c r="K241" s="3"/>
      <c r="L241" s="3"/>
      <c r="M241" s="6"/>
      <c r="N241" s="6"/>
      <c r="O241" s="6"/>
      <c r="P241" s="15"/>
      <c r="Q241" s="7"/>
      <c r="R241" s="2"/>
      <c r="S241" s="2"/>
      <c r="T241" s="2"/>
      <c r="U241" s="2"/>
      <c r="V241" s="2"/>
      <c r="W241" s="2"/>
      <c r="X241" s="2"/>
      <c r="Y241" s="7"/>
      <c r="Z241" s="7"/>
      <c r="AA241" s="7"/>
      <c r="AB241" s="7"/>
      <c r="AC241" s="7"/>
      <c r="AD241" s="7"/>
      <c r="AE241" s="7"/>
      <c r="AF241" s="7"/>
      <c r="AG241" s="7"/>
      <c r="AH241" s="7"/>
      <c r="AI241" s="7"/>
      <c r="AJ241" s="7"/>
      <c r="AK241" s="7"/>
      <c r="AL241" s="7"/>
    </row>
    <row r="242" spans="1:38" ht="14" x14ac:dyDescent="0.3">
      <c r="A242" s="2"/>
      <c r="B242" s="3"/>
      <c r="C242" s="3"/>
      <c r="D242" s="13" t="s">
        <v>442</v>
      </c>
      <c r="E242" s="1943" t="str">
        <f>Translations!$B$732</f>
        <v>Verktygets relevans för er anläggning:</v>
      </c>
      <c r="F242" s="1943"/>
      <c r="G242" s="1943"/>
      <c r="H242" s="1943"/>
      <c r="I242" s="1943"/>
      <c r="J242" s="1943"/>
      <c r="K242" s="2067"/>
      <c r="L242" s="2751" t="str">
        <f>IF(CNTR_ExistSubInstEntries,IF(COUNTIF(CNTR_SubInstListNames,INDEX(EUconst_BMlistNames,R242))&gt;0,EUconst_Relevant,EUconst_NotRelevant),"")</f>
        <v/>
      </c>
      <c r="M242" s="2752"/>
      <c r="N242" s="2753"/>
      <c r="O242" s="6"/>
      <c r="P242" s="15"/>
      <c r="Q242" s="309" t="s">
        <v>128</v>
      </c>
      <c r="R242" s="297">
        <v>43</v>
      </c>
      <c r="S242" s="2"/>
      <c r="T242" s="2"/>
      <c r="U242" s="2"/>
      <c r="V242" s="2"/>
      <c r="W242" s="2"/>
      <c r="X242" s="2"/>
      <c r="Y242" s="7"/>
      <c r="Z242" s="7"/>
      <c r="AA242" s="7"/>
      <c r="AB242" s="7"/>
      <c r="AC242" s="7"/>
      <c r="AD242" s="7"/>
      <c r="AE242" s="7"/>
      <c r="AF242" s="7"/>
      <c r="AG242" s="7"/>
      <c r="AH242" s="7"/>
      <c r="AI242" s="7"/>
      <c r="AJ242" s="7"/>
      <c r="AK242" s="7"/>
      <c r="AL242" s="7"/>
    </row>
    <row r="243" spans="1:38" x14ac:dyDescent="0.25">
      <c r="A243" s="2"/>
      <c r="B243" s="3"/>
      <c r="C243" s="3"/>
      <c r="D243" s="15"/>
      <c r="E243" s="1999" t="str">
        <f>Translations!$B$733</f>
        <v>Detta meddelande visas automatiskt på grundval av er tidigare inmatning i blad ”A_InstallationData", avsnitt A.III.1.</v>
      </c>
      <c r="F243" s="2000"/>
      <c r="G243" s="2000"/>
      <c r="H243" s="2000"/>
      <c r="I243" s="2000"/>
      <c r="J243" s="2000"/>
      <c r="K243" s="2000"/>
      <c r="L243" s="2000"/>
      <c r="M243" s="2000"/>
      <c r="N243" s="2000"/>
      <c r="O243" s="6"/>
      <c r="P243" s="15"/>
      <c r="Q243" s="7"/>
      <c r="R243" s="2"/>
      <c r="S243" s="2"/>
      <c r="T243" s="2"/>
      <c r="U243" s="2"/>
      <c r="V243" s="2"/>
      <c r="W243" s="2"/>
      <c r="X243" s="2"/>
      <c r="Y243" s="7"/>
      <c r="Z243" s="7"/>
      <c r="AA243" s="7"/>
      <c r="AB243" s="7"/>
      <c r="AC243" s="7"/>
      <c r="AD243" s="7"/>
      <c r="AE243" s="7"/>
      <c r="AF243" s="7"/>
      <c r="AG243" s="7"/>
      <c r="AH243" s="7"/>
      <c r="AI243" s="7"/>
      <c r="AJ243" s="7"/>
      <c r="AK243" s="7"/>
      <c r="AL243" s="7"/>
    </row>
    <row r="244" spans="1:38" ht="13" x14ac:dyDescent="0.25">
      <c r="A244" s="2"/>
      <c r="B244" s="3"/>
      <c r="C244" s="3"/>
      <c r="D244" s="3"/>
      <c r="E244" s="2748" t="str">
        <f>IF(L242=EUconst_Relevant,HYPERLINK(R244,EUconst_MsgBackToSheetF),"")</f>
        <v/>
      </c>
      <c r="F244" s="2749"/>
      <c r="G244" s="2749"/>
      <c r="H244" s="2749"/>
      <c r="I244" s="2749"/>
      <c r="J244" s="2749"/>
      <c r="K244" s="2749"/>
      <c r="L244" s="2749"/>
      <c r="M244" s="2749"/>
      <c r="N244" s="2750"/>
      <c r="O244" s="6"/>
      <c r="P244" s="15"/>
      <c r="Q244" s="309" t="s">
        <v>127</v>
      </c>
      <c r="R244" s="108" t="str">
        <f>IF(ISNUMBER(MATCH(R242,CNTR_SubInstListBMnumbers,0)),"#JUMP_F"&amp;MATCH(R242,CNTR_SubInstListBMnumbers,0),"")</f>
        <v/>
      </c>
      <c r="S244" s="2"/>
      <c r="T244" s="2"/>
      <c r="U244" s="2"/>
      <c r="V244" s="2"/>
      <c r="W244" s="2"/>
      <c r="X244" s="2"/>
      <c r="Y244" s="7"/>
      <c r="Z244" s="7"/>
      <c r="AA244" s="7"/>
      <c r="AB244" s="7"/>
      <c r="AC244" s="7"/>
      <c r="AD244" s="7"/>
      <c r="AE244" s="7"/>
      <c r="AF244" s="7"/>
      <c r="AG244" s="7"/>
      <c r="AH244" s="7"/>
      <c r="AI244" s="7"/>
      <c r="AJ244" s="7"/>
      <c r="AK244" s="7"/>
      <c r="AL244" s="7"/>
    </row>
    <row r="245" spans="1:38" ht="5.15" customHeight="1" x14ac:dyDescent="0.25">
      <c r="A245" s="2"/>
      <c r="B245" s="3"/>
      <c r="C245" s="3"/>
      <c r="D245" s="3"/>
      <c r="E245" s="3"/>
      <c r="F245" s="3"/>
      <c r="G245" s="3"/>
      <c r="H245" s="3"/>
      <c r="I245" s="3"/>
      <c r="J245" s="3"/>
      <c r="K245" s="3"/>
      <c r="L245" s="3"/>
      <c r="M245" s="6"/>
      <c r="N245" s="6"/>
      <c r="O245" s="6"/>
      <c r="P245" s="15"/>
      <c r="Q245" s="7"/>
      <c r="R245" s="2"/>
      <c r="S245" s="2"/>
      <c r="T245" s="2"/>
      <c r="U245" s="2"/>
      <c r="V245" s="2"/>
      <c r="W245" s="2"/>
      <c r="X245" s="2"/>
      <c r="Y245" s="7"/>
      <c r="Z245" s="7"/>
      <c r="AA245" s="7"/>
      <c r="AB245" s="7"/>
      <c r="AC245" s="7"/>
      <c r="AD245" s="7"/>
      <c r="AE245" s="7"/>
      <c r="AF245" s="7"/>
      <c r="AG245" s="7"/>
      <c r="AH245" s="7"/>
      <c r="AI245" s="7"/>
      <c r="AJ245" s="7"/>
      <c r="AK245" s="7"/>
      <c r="AL245" s="7"/>
    </row>
    <row r="246" spans="1:38" ht="13" x14ac:dyDescent="0.25">
      <c r="A246" s="2"/>
      <c r="B246" s="3"/>
      <c r="C246" s="3"/>
      <c r="D246" s="13" t="s">
        <v>955</v>
      </c>
      <c r="E246" s="1943" t="str">
        <f>Translations!$B$734</f>
        <v>CWT-genomströmningsdata</v>
      </c>
      <c r="F246" s="1963"/>
      <c r="G246" s="1963"/>
      <c r="H246" s="1963"/>
      <c r="I246" s="1963"/>
      <c r="J246" s="1963"/>
      <c r="K246" s="1963"/>
      <c r="L246" s="1963"/>
      <c r="M246" s="1963"/>
      <c r="N246" s="1963"/>
      <c r="O246" s="6"/>
      <c r="P246" s="15"/>
      <c r="Q246" s="7"/>
      <c r="R246" s="2"/>
      <c r="S246" s="2"/>
      <c r="T246" s="2"/>
      <c r="U246" s="2"/>
      <c r="V246" s="2"/>
      <c r="W246" s="2"/>
      <c r="X246" s="2"/>
      <c r="Y246" s="7"/>
      <c r="Z246" s="7"/>
      <c r="AA246" s="7"/>
      <c r="AB246" s="7"/>
      <c r="AC246" s="7"/>
      <c r="AD246" s="7"/>
      <c r="AE246" s="7"/>
      <c r="AF246" s="7"/>
      <c r="AG246" s="7"/>
      <c r="AH246" s="7"/>
      <c r="AI246" s="7"/>
      <c r="AJ246" s="7"/>
      <c r="AK246" s="7"/>
      <c r="AL246" s="7"/>
    </row>
    <row r="247" spans="1:38" x14ac:dyDescent="0.25">
      <c r="A247" s="2"/>
      <c r="B247" s="3"/>
      <c r="C247" s="3"/>
      <c r="D247" s="15"/>
      <c r="E247" s="2061" t="str">
        <f>Translations!$B$735</f>
        <v>Var god ange årlig genomströmningsdata för varje CWT-funktion.</v>
      </c>
      <c r="F247" s="1963"/>
      <c r="G247" s="1963"/>
      <c r="H247" s="1963"/>
      <c r="I247" s="1963"/>
      <c r="J247" s="1963"/>
      <c r="K247" s="1963"/>
      <c r="L247" s="1963"/>
      <c r="M247" s="1963"/>
      <c r="N247" s="1963"/>
      <c r="O247" s="6"/>
      <c r="P247" s="15"/>
      <c r="Q247" s="7"/>
      <c r="R247" s="2"/>
      <c r="S247" s="2"/>
      <c r="T247" s="2"/>
      <c r="U247" s="2"/>
      <c r="V247" s="2"/>
      <c r="W247" s="2"/>
      <c r="X247" s="2"/>
      <c r="Y247" s="7"/>
      <c r="Z247" s="7"/>
      <c r="AA247" s="7"/>
      <c r="AB247" s="7"/>
      <c r="AC247" s="7"/>
      <c r="AD247" s="7"/>
      <c r="AE247" s="7"/>
      <c r="AF247" s="7"/>
      <c r="AG247" s="7"/>
      <c r="AH247" s="7"/>
      <c r="AI247" s="7"/>
      <c r="AJ247" s="7"/>
      <c r="AK247" s="7"/>
      <c r="AL247" s="7"/>
    </row>
    <row r="248" spans="1:38" x14ac:dyDescent="0.25">
      <c r="A248" s="2"/>
      <c r="B248" s="3"/>
      <c r="C248" s="3"/>
      <c r="D248" s="15"/>
      <c r="E248" s="2061" t="str">
        <f>Translations!$B$872</f>
        <v>För definition och gränser för varje CWT-funktion, var god se punkt 2 i bilaga II till FAR.</v>
      </c>
      <c r="F248" s="1963"/>
      <c r="G248" s="1963"/>
      <c r="H248" s="1963"/>
      <c r="I248" s="1963"/>
      <c r="J248" s="1963"/>
      <c r="K248" s="1963"/>
      <c r="L248" s="1963"/>
      <c r="M248" s="1963"/>
      <c r="N248" s="1963"/>
      <c r="O248" s="6"/>
      <c r="P248" s="15"/>
      <c r="Q248" s="7"/>
      <c r="R248" s="2"/>
      <c r="S248" s="2"/>
      <c r="T248" s="2"/>
      <c r="U248" s="2"/>
      <c r="V248" s="2"/>
      <c r="W248" s="2"/>
      <c r="X248" s="2"/>
      <c r="Y248" s="7"/>
      <c r="Z248" s="7"/>
      <c r="AA248" s="7"/>
      <c r="AB248" s="7"/>
      <c r="AC248" s="7"/>
      <c r="AD248" s="7"/>
      <c r="AE248" s="7"/>
      <c r="AF248" s="7"/>
      <c r="AG248" s="7"/>
      <c r="AH248" s="7"/>
      <c r="AI248" s="7"/>
      <c r="AJ248" s="7"/>
      <c r="AK248" s="7"/>
      <c r="AL248" s="7"/>
    </row>
    <row r="249" spans="1:38" x14ac:dyDescent="0.25">
      <c r="A249" s="2"/>
      <c r="B249" s="3"/>
      <c r="C249" s="3"/>
      <c r="D249" s="15"/>
      <c r="E249" s="2061" t="str">
        <f>Translations!$B$737</f>
        <v>Följande förkortningar används för grunden:</v>
      </c>
      <c r="F249" s="1963"/>
      <c r="G249" s="1963"/>
      <c r="H249" s="1963"/>
      <c r="I249" s="1963"/>
      <c r="J249" s="1963"/>
      <c r="K249" s="1963"/>
      <c r="L249" s="1963"/>
      <c r="M249" s="1963"/>
      <c r="N249" s="1963"/>
      <c r="O249" s="6"/>
      <c r="P249" s="15"/>
      <c r="Q249" s="7"/>
      <c r="R249" s="2"/>
      <c r="S249" s="2"/>
      <c r="T249" s="2"/>
      <c r="U249" s="2"/>
      <c r="V249" s="2"/>
      <c r="W249" s="2"/>
      <c r="X249" s="2"/>
      <c r="Y249" s="7"/>
      <c r="Z249" s="7"/>
      <c r="AA249" s="7"/>
      <c r="AB249" s="7"/>
      <c r="AC249" s="7"/>
      <c r="AD249" s="7"/>
      <c r="AE249" s="7"/>
      <c r="AF249" s="7"/>
      <c r="AG249" s="7"/>
      <c r="AH249" s="7"/>
      <c r="AI249" s="7"/>
      <c r="AJ249" s="7"/>
      <c r="AK249" s="7"/>
      <c r="AL249" s="7"/>
    </row>
    <row r="250" spans="1:38" x14ac:dyDescent="0.25">
      <c r="A250" s="2"/>
      <c r="B250" s="3"/>
      <c r="C250" s="3"/>
      <c r="D250" s="15"/>
      <c r="E250" s="126" t="s">
        <v>326</v>
      </c>
      <c r="F250" s="2061" t="str">
        <f>Translations!$B$738</f>
        <v>Nettoinmatning av färska insatsvaror</v>
      </c>
      <c r="G250" s="1963"/>
      <c r="H250" s="1963"/>
      <c r="I250" s="1963"/>
      <c r="J250" s="1963"/>
      <c r="K250" s="1963"/>
      <c r="L250" s="1963"/>
      <c r="M250" s="1963"/>
      <c r="N250" s="1963"/>
      <c r="O250" s="6"/>
      <c r="P250" s="15"/>
      <c r="Q250" s="7"/>
      <c r="R250" s="2"/>
      <c r="S250" s="2"/>
      <c r="T250" s="2"/>
      <c r="U250" s="2"/>
      <c r="V250" s="2"/>
      <c r="W250" s="2"/>
      <c r="X250" s="2"/>
      <c r="Y250" s="7"/>
      <c r="Z250" s="7"/>
      <c r="AA250" s="7"/>
      <c r="AB250" s="7"/>
      <c r="AC250" s="7"/>
      <c r="AD250" s="7"/>
      <c r="AE250" s="7"/>
      <c r="AF250" s="7"/>
      <c r="AG250" s="7"/>
      <c r="AH250" s="7"/>
      <c r="AI250" s="7"/>
      <c r="AJ250" s="7"/>
      <c r="AK250" s="7"/>
      <c r="AL250" s="7"/>
    </row>
    <row r="251" spans="1:38" x14ac:dyDescent="0.25">
      <c r="A251" s="2"/>
      <c r="B251" s="3"/>
      <c r="C251" s="3"/>
      <c r="D251" s="15"/>
      <c r="E251" s="126" t="s">
        <v>406</v>
      </c>
      <c r="F251" s="2061" t="str">
        <f>Translations!$B$740</f>
        <v>Produktinmatning</v>
      </c>
      <c r="G251" s="1963"/>
      <c r="H251" s="1963"/>
      <c r="I251" s="1963"/>
      <c r="J251" s="1963"/>
      <c r="K251" s="1963"/>
      <c r="L251" s="1963"/>
      <c r="M251" s="1963"/>
      <c r="N251" s="1963"/>
      <c r="O251" s="6"/>
      <c r="P251" s="15"/>
      <c r="Q251" s="7"/>
      <c r="R251" s="2"/>
      <c r="S251" s="2"/>
      <c r="T251" s="2"/>
      <c r="U251" s="2"/>
      <c r="V251" s="2"/>
      <c r="W251" s="7"/>
      <c r="X251" s="2"/>
      <c r="Y251" s="7"/>
      <c r="Z251" s="7"/>
      <c r="AA251" s="7"/>
      <c r="AB251" s="7"/>
      <c r="AC251" s="7"/>
      <c r="AD251" s="7"/>
      <c r="AE251" s="7"/>
      <c r="AF251" s="7"/>
      <c r="AG251" s="7"/>
      <c r="AH251" s="7"/>
      <c r="AI251" s="7"/>
      <c r="AJ251" s="7"/>
      <c r="AK251" s="7"/>
      <c r="AL251" s="7"/>
    </row>
    <row r="252" spans="1:38" x14ac:dyDescent="0.25">
      <c r="A252" s="2"/>
      <c r="B252" s="3"/>
      <c r="C252" s="3"/>
      <c r="D252" s="16"/>
      <c r="E252" s="2070" t="str">
        <f>Translations!$B$742</f>
        <v>Viktig anmärkning:  I enlighet med bilaga II till FAR ska enheterna anges i kapacitet per kiloton.</v>
      </c>
      <c r="F252" s="1963"/>
      <c r="G252" s="1963"/>
      <c r="H252" s="1963"/>
      <c r="I252" s="1963"/>
      <c r="J252" s="1963"/>
      <c r="K252" s="1963"/>
      <c r="L252" s="1963"/>
      <c r="M252" s="1963"/>
      <c r="N252" s="1963"/>
      <c r="O252" s="6"/>
      <c r="P252" s="15"/>
      <c r="Q252" s="7"/>
      <c r="R252" s="2"/>
      <c r="S252" s="2"/>
      <c r="T252" s="7"/>
      <c r="U252" s="7"/>
      <c r="V252" s="2"/>
      <c r="W252" s="7"/>
      <c r="X252" s="2"/>
      <c r="Y252" s="7"/>
      <c r="Z252" s="7"/>
      <c r="AA252" s="7"/>
      <c r="AB252" s="7"/>
      <c r="AC252" s="7"/>
      <c r="AD252" s="7"/>
      <c r="AE252" s="7"/>
      <c r="AF252" s="7"/>
      <c r="AG252" s="7"/>
      <c r="AH252" s="7"/>
      <c r="AI252" s="7"/>
      <c r="AJ252" s="7"/>
      <c r="AK252" s="7"/>
      <c r="AL252" s="7"/>
    </row>
    <row r="253" spans="1:38" ht="5.15" customHeight="1" x14ac:dyDescent="0.25">
      <c r="A253" s="2"/>
      <c r="B253" s="3"/>
      <c r="C253" s="3"/>
      <c r="D253" s="3"/>
      <c r="E253" s="3"/>
      <c r="F253" s="3"/>
      <c r="G253" s="3"/>
      <c r="H253" s="3"/>
      <c r="I253" s="3"/>
      <c r="J253" s="3"/>
      <c r="K253" s="3"/>
      <c r="L253" s="3"/>
      <c r="M253" s="6"/>
      <c r="N253" s="6"/>
      <c r="O253" s="6"/>
      <c r="P253" s="15"/>
      <c r="Q253" s="7"/>
      <c r="R253" s="2"/>
      <c r="S253" s="2"/>
      <c r="T253" s="7"/>
      <c r="U253" s="7"/>
      <c r="V253" s="2"/>
      <c r="W253" s="7"/>
      <c r="X253" s="2"/>
      <c r="Y253" s="7"/>
      <c r="Z253" s="7"/>
      <c r="AA253" s="7"/>
      <c r="AB253" s="7"/>
      <c r="AC253" s="7"/>
      <c r="AD253" s="7"/>
      <c r="AE253" s="7"/>
      <c r="AF253" s="7"/>
      <c r="AG253" s="7"/>
      <c r="AH253" s="7"/>
      <c r="AI253" s="7"/>
      <c r="AJ253" s="7"/>
      <c r="AK253" s="7"/>
      <c r="AL253" s="7"/>
    </row>
    <row r="254" spans="1:38" ht="13.5" thickBot="1" x14ac:dyDescent="0.3">
      <c r="A254" s="2"/>
      <c r="B254" s="19"/>
      <c r="C254" s="19"/>
      <c r="D254" s="19"/>
      <c r="E254" s="914" t="str">
        <f>Translations!$B$743</f>
        <v>CWT-funktion</v>
      </c>
      <c r="F254" s="42" t="str">
        <f>Translations!$B$744</f>
        <v>Grund (kt/år)</v>
      </c>
      <c r="G254" s="123" t="str">
        <f>Translations!$B$745</f>
        <v>CWT-faktor</v>
      </c>
      <c r="H254" s="350">
        <f t="shared" ref="H254:N254" si="40">H$421</f>
        <v>2019</v>
      </c>
      <c r="I254" s="350">
        <f t="shared" si="40"/>
        <v>2020</v>
      </c>
      <c r="J254" s="350">
        <f t="shared" si="40"/>
        <v>2021</v>
      </c>
      <c r="K254" s="350">
        <f t="shared" si="40"/>
        <v>2022</v>
      </c>
      <c r="L254" s="350">
        <f t="shared" si="40"/>
        <v>2023</v>
      </c>
      <c r="M254" s="350">
        <f t="shared" si="40"/>
        <v>2024</v>
      </c>
      <c r="N254" s="350">
        <f t="shared" si="40"/>
        <v>2025</v>
      </c>
      <c r="O254" s="6"/>
      <c r="P254" s="15"/>
      <c r="Q254" s="2"/>
      <c r="R254" s="2"/>
      <c r="S254" s="2"/>
      <c r="T254" s="7"/>
      <c r="U254" s="7"/>
      <c r="V254" s="2"/>
      <c r="W254" s="7"/>
      <c r="X254" s="2"/>
      <c r="Y254" s="7"/>
      <c r="Z254" s="7"/>
      <c r="AA254" s="7"/>
      <c r="AB254" s="2"/>
      <c r="AC254" s="1051">
        <f t="shared" ref="AC254:AI254" si="41">H254</f>
        <v>2019</v>
      </c>
      <c r="AD254" s="1051">
        <f t="shared" si="41"/>
        <v>2020</v>
      </c>
      <c r="AE254" s="1051">
        <f t="shared" si="41"/>
        <v>2021</v>
      </c>
      <c r="AF254" s="1051">
        <f t="shared" si="41"/>
        <v>2022</v>
      </c>
      <c r="AG254" s="1051">
        <f t="shared" si="41"/>
        <v>2023</v>
      </c>
      <c r="AH254" s="1051">
        <f t="shared" si="41"/>
        <v>2024</v>
      </c>
      <c r="AI254" s="1051">
        <f t="shared" si="41"/>
        <v>2025</v>
      </c>
      <c r="AJ254" s="7"/>
      <c r="AK254" s="7"/>
      <c r="AL254" s="7"/>
    </row>
    <row r="255" spans="1:38" ht="25.5" customHeight="1" x14ac:dyDescent="0.25">
      <c r="A255" s="2"/>
      <c r="B255" s="19"/>
      <c r="C255" s="19"/>
      <c r="D255" s="19"/>
      <c r="E255" s="916" t="str">
        <f>Translations!$B$873</f>
        <v>Hydrering av nafta/bensin</v>
      </c>
      <c r="F255" s="26" t="s">
        <v>326</v>
      </c>
      <c r="G255" s="124">
        <v>1.1000000000000001</v>
      </c>
      <c r="H255" s="238"/>
      <c r="I255" s="238"/>
      <c r="J255" s="238"/>
      <c r="K255" s="238"/>
      <c r="L255" s="238"/>
      <c r="M255" s="238"/>
      <c r="N255" s="238"/>
      <c r="O255" s="6"/>
      <c r="P255" s="15"/>
      <c r="Q255" s="2"/>
      <c r="R255" s="2"/>
      <c r="S255" s="2"/>
      <c r="T255" s="7"/>
      <c r="U255" s="7"/>
      <c r="V255" s="2"/>
      <c r="W255" s="7"/>
      <c r="X255" s="2"/>
      <c r="Y255" s="7"/>
      <c r="Z255" s="7"/>
      <c r="AA255" s="7"/>
      <c r="AB255" s="672" t="s">
        <v>782</v>
      </c>
      <c r="AC255" s="1059" t="b">
        <f t="shared" ref="AC255:AI255" si="42">IF(CNTR_ExistSubInstEntries,IF($L242=EUconst_Relevant,AC254&gt;=CNTR_ReportingYear,TRUE),FALSE)</f>
        <v>0</v>
      </c>
      <c r="AD255" s="1057" t="b">
        <f t="shared" si="42"/>
        <v>0</v>
      </c>
      <c r="AE255" s="1057" t="b">
        <f t="shared" si="42"/>
        <v>0</v>
      </c>
      <c r="AF255" s="1057" t="b">
        <f t="shared" si="42"/>
        <v>0</v>
      </c>
      <c r="AG255" s="1057" t="b">
        <f t="shared" si="42"/>
        <v>0</v>
      </c>
      <c r="AH255" s="1057" t="b">
        <f t="shared" si="42"/>
        <v>0</v>
      </c>
      <c r="AI255" s="1058" t="b">
        <f t="shared" si="42"/>
        <v>0</v>
      </c>
      <c r="AJ255" s="7"/>
      <c r="AK255" s="7"/>
      <c r="AL255" s="7"/>
    </row>
    <row r="256" spans="1:38" ht="12.65" customHeight="1" x14ac:dyDescent="0.25">
      <c r="A256" s="2"/>
      <c r="B256" s="19"/>
      <c r="C256" s="19"/>
      <c r="D256" s="19"/>
      <c r="E256" s="932" t="str">
        <f>Translations!$B$773</f>
        <v>Lösningsmedelsextraktion av aromater (ASE)</v>
      </c>
      <c r="F256" s="26" t="s">
        <v>326</v>
      </c>
      <c r="G256" s="124">
        <v>5.25</v>
      </c>
      <c r="H256" s="238"/>
      <c r="I256" s="238"/>
      <c r="J256" s="238"/>
      <c r="K256" s="238"/>
      <c r="L256" s="238"/>
      <c r="M256" s="238"/>
      <c r="N256" s="238"/>
      <c r="O256" s="6"/>
      <c r="P256" s="15"/>
      <c r="Q256" s="2"/>
      <c r="R256" s="2"/>
      <c r="S256" s="2"/>
      <c r="T256" s="2"/>
      <c r="U256" s="2"/>
      <c r="V256" s="2"/>
      <c r="W256" s="7"/>
      <c r="X256" s="2"/>
      <c r="Y256" s="7"/>
      <c r="Z256" s="7"/>
      <c r="AA256" s="7"/>
      <c r="AB256" s="7"/>
      <c r="AC256" s="1060" t="b">
        <f>AC255</f>
        <v>0</v>
      </c>
      <c r="AD256" s="298" t="b">
        <f t="shared" ref="AD256:AD262" si="43">AD255</f>
        <v>0</v>
      </c>
      <c r="AE256" s="298" t="b">
        <f t="shared" ref="AE256:AE262" si="44">AE255</f>
        <v>0</v>
      </c>
      <c r="AF256" s="298" t="b">
        <f t="shared" ref="AF256:AF262" si="45">AF255</f>
        <v>0</v>
      </c>
      <c r="AG256" s="298" t="b">
        <f t="shared" ref="AG256:AG262" si="46">AG255</f>
        <v>0</v>
      </c>
      <c r="AH256" s="298" t="b">
        <f t="shared" ref="AH256:AH262" si="47">AH255</f>
        <v>0</v>
      </c>
      <c r="AI256" s="1061" t="b">
        <f t="shared" ref="AI256:AI262" si="48">AI255</f>
        <v>0</v>
      </c>
      <c r="AJ256" s="7"/>
      <c r="AK256" s="7"/>
      <c r="AL256" s="7"/>
    </row>
    <row r="257" spans="1:38" x14ac:dyDescent="0.25">
      <c r="A257" s="2"/>
      <c r="B257" s="19"/>
      <c r="C257" s="19"/>
      <c r="D257" s="19"/>
      <c r="E257" s="932" t="str">
        <f>Translations!$B$775</f>
        <v>TDP/TDA</v>
      </c>
      <c r="F257" s="26" t="s">
        <v>326</v>
      </c>
      <c r="G257" s="124">
        <v>1.85</v>
      </c>
      <c r="H257" s="238"/>
      <c r="I257" s="238"/>
      <c r="J257" s="238"/>
      <c r="K257" s="238"/>
      <c r="L257" s="238"/>
      <c r="M257" s="238"/>
      <c r="N257" s="238"/>
      <c r="O257" s="6"/>
      <c r="P257" s="15"/>
      <c r="Q257" s="2"/>
      <c r="R257" s="2"/>
      <c r="S257" s="2"/>
      <c r="T257" s="2"/>
      <c r="U257" s="2"/>
      <c r="V257" s="2"/>
      <c r="W257" s="7"/>
      <c r="X257" s="2"/>
      <c r="Y257" s="7"/>
      <c r="Z257" s="7"/>
      <c r="AA257" s="7"/>
      <c r="AB257" s="7"/>
      <c r="AC257" s="1060" t="b">
        <f t="shared" ref="AC257:AC262" si="49">AC256</f>
        <v>0</v>
      </c>
      <c r="AD257" s="298" t="b">
        <f t="shared" si="43"/>
        <v>0</v>
      </c>
      <c r="AE257" s="298" t="b">
        <f t="shared" si="44"/>
        <v>0</v>
      </c>
      <c r="AF257" s="298" t="b">
        <f t="shared" si="45"/>
        <v>0</v>
      </c>
      <c r="AG257" s="298" t="b">
        <f t="shared" si="46"/>
        <v>0</v>
      </c>
      <c r="AH257" s="298" t="b">
        <f t="shared" si="47"/>
        <v>0</v>
      </c>
      <c r="AI257" s="1061" t="b">
        <f t="shared" si="48"/>
        <v>0</v>
      </c>
      <c r="AJ257" s="7"/>
      <c r="AK257" s="7"/>
      <c r="AL257" s="7"/>
    </row>
    <row r="258" spans="1:38" x14ac:dyDescent="0.25">
      <c r="A258" s="2"/>
      <c r="B258" s="19"/>
      <c r="C258" s="19"/>
      <c r="D258" s="19"/>
      <c r="E258" s="932" t="str">
        <f>Translations!$B$774</f>
        <v>Hydrodealkylering</v>
      </c>
      <c r="F258" s="26" t="s">
        <v>326</v>
      </c>
      <c r="G258" s="124">
        <v>2.4500000000000002</v>
      </c>
      <c r="H258" s="238"/>
      <c r="I258" s="238"/>
      <c r="J258" s="238"/>
      <c r="K258" s="238"/>
      <c r="L258" s="238"/>
      <c r="M258" s="238"/>
      <c r="N258" s="238"/>
      <c r="O258" s="6"/>
      <c r="P258" s="15"/>
      <c r="Q258" s="2"/>
      <c r="R258" s="2"/>
      <c r="S258" s="2"/>
      <c r="T258" s="2"/>
      <c r="U258" s="2"/>
      <c r="V258" s="2"/>
      <c r="W258" s="7"/>
      <c r="X258" s="2"/>
      <c r="Y258" s="7"/>
      <c r="Z258" s="7"/>
      <c r="AA258" s="7"/>
      <c r="AB258" s="7"/>
      <c r="AC258" s="1060" t="b">
        <f t="shared" si="49"/>
        <v>0</v>
      </c>
      <c r="AD258" s="298" t="b">
        <f t="shared" si="43"/>
        <v>0</v>
      </c>
      <c r="AE258" s="298" t="b">
        <f t="shared" si="44"/>
        <v>0</v>
      </c>
      <c r="AF258" s="298" t="b">
        <f t="shared" si="45"/>
        <v>0</v>
      </c>
      <c r="AG258" s="298" t="b">
        <f t="shared" si="46"/>
        <v>0</v>
      </c>
      <c r="AH258" s="298" t="b">
        <f t="shared" si="47"/>
        <v>0</v>
      </c>
      <c r="AI258" s="1061" t="b">
        <f t="shared" si="48"/>
        <v>0</v>
      </c>
      <c r="AJ258" s="7"/>
      <c r="AK258" s="7"/>
      <c r="AL258" s="7"/>
    </row>
    <row r="259" spans="1:38" x14ac:dyDescent="0.25">
      <c r="A259" s="2"/>
      <c r="B259" s="19"/>
      <c r="C259" s="19"/>
      <c r="D259" s="19"/>
      <c r="E259" s="932" t="str">
        <f>Translations!$B$777</f>
        <v>Isomerisering av xylen</v>
      </c>
      <c r="F259" s="26" t="s">
        <v>326</v>
      </c>
      <c r="G259" s="124">
        <v>1.85</v>
      </c>
      <c r="H259" s="238"/>
      <c r="I259" s="238"/>
      <c r="J259" s="238"/>
      <c r="K259" s="238"/>
      <c r="L259" s="238"/>
      <c r="M259" s="238"/>
      <c r="N259" s="238"/>
      <c r="O259" s="6"/>
      <c r="P259" s="15"/>
      <c r="Q259" s="2"/>
      <c r="R259" s="2"/>
      <c r="S259" s="2"/>
      <c r="T259" s="2"/>
      <c r="U259" s="2"/>
      <c r="V259" s="2"/>
      <c r="W259" s="7"/>
      <c r="X259" s="2"/>
      <c r="Y259" s="7"/>
      <c r="Z259" s="7"/>
      <c r="AA259" s="7"/>
      <c r="AB259" s="7"/>
      <c r="AC259" s="1060" t="b">
        <f t="shared" si="49"/>
        <v>0</v>
      </c>
      <c r="AD259" s="298" t="b">
        <f t="shared" si="43"/>
        <v>0</v>
      </c>
      <c r="AE259" s="298" t="b">
        <f t="shared" si="44"/>
        <v>0</v>
      </c>
      <c r="AF259" s="298" t="b">
        <f t="shared" si="45"/>
        <v>0</v>
      </c>
      <c r="AG259" s="298" t="b">
        <f t="shared" si="46"/>
        <v>0</v>
      </c>
      <c r="AH259" s="298" t="b">
        <f t="shared" si="47"/>
        <v>0</v>
      </c>
      <c r="AI259" s="1061" t="b">
        <f t="shared" si="48"/>
        <v>0</v>
      </c>
      <c r="AJ259" s="7"/>
      <c r="AK259" s="7"/>
      <c r="AL259" s="7"/>
    </row>
    <row r="260" spans="1:38" x14ac:dyDescent="0.25">
      <c r="A260" s="2"/>
      <c r="B260" s="19"/>
      <c r="C260" s="19"/>
      <c r="D260" s="19"/>
      <c r="E260" s="932" t="str">
        <f>Translations!$B$778</f>
        <v>Produktion av paraxylen</v>
      </c>
      <c r="F260" s="26" t="s">
        <v>406</v>
      </c>
      <c r="G260" s="124">
        <v>6.4</v>
      </c>
      <c r="H260" s="238"/>
      <c r="I260" s="238"/>
      <c r="J260" s="238"/>
      <c r="K260" s="238"/>
      <c r="L260" s="238"/>
      <c r="M260" s="238"/>
      <c r="N260" s="238"/>
      <c r="O260" s="6"/>
      <c r="P260" s="15"/>
      <c r="Q260" s="2"/>
      <c r="R260" s="2"/>
      <c r="S260" s="2"/>
      <c r="T260" s="2"/>
      <c r="U260" s="2"/>
      <c r="V260" s="2"/>
      <c r="W260" s="7"/>
      <c r="X260" s="2"/>
      <c r="Y260" s="7"/>
      <c r="Z260" s="7"/>
      <c r="AA260" s="7"/>
      <c r="AB260" s="7"/>
      <c r="AC260" s="1060" t="b">
        <f t="shared" si="49"/>
        <v>0</v>
      </c>
      <c r="AD260" s="298" t="b">
        <f t="shared" si="43"/>
        <v>0</v>
      </c>
      <c r="AE260" s="298" t="b">
        <f t="shared" si="44"/>
        <v>0</v>
      </c>
      <c r="AF260" s="298" t="b">
        <f t="shared" si="45"/>
        <v>0</v>
      </c>
      <c r="AG260" s="298" t="b">
        <f t="shared" si="46"/>
        <v>0</v>
      </c>
      <c r="AH260" s="298" t="b">
        <f t="shared" si="47"/>
        <v>0</v>
      </c>
      <c r="AI260" s="1061" t="b">
        <f t="shared" si="48"/>
        <v>0</v>
      </c>
      <c r="AJ260" s="7"/>
      <c r="AK260" s="7"/>
      <c r="AL260" s="7"/>
    </row>
    <row r="261" spans="1:38" x14ac:dyDescent="0.25">
      <c r="A261" s="2"/>
      <c r="B261" s="19"/>
      <c r="C261" s="19"/>
      <c r="D261" s="19"/>
      <c r="E261" s="932" t="str">
        <f>Translations!$B$776</f>
        <v>Produktion av cyklohexan</v>
      </c>
      <c r="F261" s="26" t="s">
        <v>406</v>
      </c>
      <c r="G261" s="124">
        <v>3</v>
      </c>
      <c r="H261" s="238"/>
      <c r="I261" s="238"/>
      <c r="J261" s="238"/>
      <c r="K261" s="238"/>
      <c r="L261" s="238"/>
      <c r="M261" s="238"/>
      <c r="N261" s="238"/>
      <c r="O261" s="6"/>
      <c r="P261" s="15"/>
      <c r="Q261" s="2"/>
      <c r="R261" s="2"/>
      <c r="S261" s="2"/>
      <c r="T261" s="2"/>
      <c r="U261" s="2"/>
      <c r="V261" s="2"/>
      <c r="W261" s="7"/>
      <c r="X261" s="2"/>
      <c r="Y261" s="7"/>
      <c r="Z261" s="7"/>
      <c r="AA261" s="7"/>
      <c r="AB261" s="7"/>
      <c r="AC261" s="1060" t="b">
        <f t="shared" si="49"/>
        <v>0</v>
      </c>
      <c r="AD261" s="298" t="b">
        <f t="shared" si="43"/>
        <v>0</v>
      </c>
      <c r="AE261" s="298" t="b">
        <f t="shared" si="44"/>
        <v>0</v>
      </c>
      <c r="AF261" s="298" t="b">
        <f t="shared" si="45"/>
        <v>0</v>
      </c>
      <c r="AG261" s="298" t="b">
        <f t="shared" si="46"/>
        <v>0</v>
      </c>
      <c r="AH261" s="298" t="b">
        <f t="shared" si="47"/>
        <v>0</v>
      </c>
      <c r="AI261" s="1061" t="b">
        <f t="shared" si="48"/>
        <v>0</v>
      </c>
      <c r="AJ261" s="7"/>
      <c r="AK261" s="7"/>
      <c r="AL261" s="7"/>
    </row>
    <row r="262" spans="1:38" ht="13" thickBot="1" x14ac:dyDescent="0.3">
      <c r="A262" s="2"/>
      <c r="B262" s="19"/>
      <c r="C262" s="19"/>
      <c r="D262" s="19"/>
      <c r="E262" s="1520" t="str">
        <f>Translations!$B$783</f>
        <v>Produktion av kumen</v>
      </c>
      <c r="F262" s="27" t="s">
        <v>406</v>
      </c>
      <c r="G262" s="125">
        <v>5</v>
      </c>
      <c r="H262" s="237"/>
      <c r="I262" s="237"/>
      <c r="J262" s="237"/>
      <c r="K262" s="237"/>
      <c r="L262" s="237"/>
      <c r="M262" s="237"/>
      <c r="N262" s="237"/>
      <c r="O262" s="6"/>
      <c r="P262" s="15"/>
      <c r="Q262" s="2"/>
      <c r="R262" s="2"/>
      <c r="S262" s="2"/>
      <c r="T262" s="2"/>
      <c r="U262" s="2"/>
      <c r="V262" s="2"/>
      <c r="W262" s="7"/>
      <c r="X262" s="2"/>
      <c r="Y262" s="7"/>
      <c r="Z262" s="7"/>
      <c r="AA262" s="7"/>
      <c r="AB262" s="7"/>
      <c r="AC262" s="1062" t="b">
        <f t="shared" si="49"/>
        <v>0</v>
      </c>
      <c r="AD262" s="1063" t="b">
        <f t="shared" si="43"/>
        <v>0</v>
      </c>
      <c r="AE262" s="1063" t="b">
        <f t="shared" si="44"/>
        <v>0</v>
      </c>
      <c r="AF262" s="1063" t="b">
        <f t="shared" si="45"/>
        <v>0</v>
      </c>
      <c r="AG262" s="1063" t="b">
        <f t="shared" si="46"/>
        <v>0</v>
      </c>
      <c r="AH262" s="1063" t="b">
        <f t="shared" si="47"/>
        <v>0</v>
      </c>
      <c r="AI262" s="1064" t="b">
        <f t="shared" si="48"/>
        <v>0</v>
      </c>
      <c r="AJ262" s="7"/>
      <c r="AK262" s="7"/>
      <c r="AL262" s="7"/>
    </row>
    <row r="263" spans="1:38" ht="5.15" customHeight="1" x14ac:dyDescent="0.25">
      <c r="A263" s="2"/>
      <c r="B263" s="3"/>
      <c r="C263" s="3"/>
      <c r="D263" s="3"/>
      <c r="E263" s="3"/>
      <c r="F263" s="3"/>
      <c r="G263" s="3"/>
      <c r="H263" s="3"/>
      <c r="I263" s="3"/>
      <c r="J263" s="3"/>
      <c r="K263" s="3"/>
      <c r="L263" s="3"/>
      <c r="M263" s="6"/>
      <c r="N263" s="19"/>
      <c r="O263" s="6"/>
      <c r="P263" s="15"/>
      <c r="Q263" s="7"/>
      <c r="R263" s="2"/>
      <c r="S263" s="2"/>
      <c r="T263" s="2"/>
      <c r="U263" s="2"/>
      <c r="V263" s="2"/>
      <c r="W263" s="7"/>
      <c r="X263" s="2"/>
      <c r="Y263" s="7"/>
      <c r="Z263" s="7"/>
      <c r="AA263" s="7"/>
      <c r="AB263" s="7"/>
      <c r="AC263" s="7"/>
      <c r="AD263" s="7"/>
      <c r="AE263" s="7"/>
      <c r="AF263" s="7"/>
      <c r="AG263" s="7"/>
      <c r="AH263" s="7"/>
      <c r="AI263" s="7"/>
      <c r="AJ263" s="7"/>
      <c r="AK263" s="7"/>
      <c r="AL263" s="7"/>
    </row>
    <row r="264" spans="1:38" ht="13" x14ac:dyDescent="0.25">
      <c r="A264" s="2"/>
      <c r="B264" s="3"/>
      <c r="C264" s="3"/>
      <c r="D264" s="13" t="s">
        <v>55</v>
      </c>
      <c r="E264" s="1943" t="str">
        <f>Translations!$B$874</f>
        <v>Resultat: Verksamhetsnivåer för aromatriktmärket uttryckt i CWT</v>
      </c>
      <c r="F264" s="1963"/>
      <c r="G264" s="1963"/>
      <c r="H264" s="1963"/>
      <c r="I264" s="1963"/>
      <c r="J264" s="1963"/>
      <c r="K264" s="1963"/>
      <c r="L264" s="1963"/>
      <c r="M264" s="1963"/>
      <c r="N264" s="1963"/>
      <c r="O264" s="6"/>
      <c r="P264" s="15"/>
      <c r="Q264" s="7"/>
      <c r="R264" s="2"/>
      <c r="S264" s="2"/>
      <c r="T264" s="2"/>
      <c r="U264" s="2"/>
      <c r="V264" s="2"/>
      <c r="W264" s="2"/>
      <c r="X264" s="2"/>
      <c r="Y264" s="7"/>
      <c r="Z264" s="7"/>
      <c r="AA264" s="7"/>
      <c r="AB264" s="7"/>
      <c r="AC264" s="7"/>
      <c r="AD264" s="7"/>
      <c r="AE264" s="7"/>
      <c r="AF264" s="7"/>
      <c r="AG264" s="7"/>
      <c r="AH264" s="7"/>
      <c r="AI264" s="7"/>
      <c r="AJ264" s="7"/>
      <c r="AK264" s="7"/>
      <c r="AL264" s="7"/>
    </row>
    <row r="265" spans="1:38" x14ac:dyDescent="0.25">
      <c r="A265" s="2"/>
      <c r="B265" s="3"/>
      <c r="C265" s="3"/>
      <c r="D265" s="15"/>
      <c r="E265" s="2061" t="str">
        <f>Translations!$B$875</f>
        <v>Verksamhetsnivån för aromater beräknas med hjälp av formeln i punkt 5 i bilaga III till FAR (innan genomsnittsvärdet fastställs).</v>
      </c>
      <c r="F265" s="1963"/>
      <c r="G265" s="1963"/>
      <c r="H265" s="1963"/>
      <c r="I265" s="1963"/>
      <c r="J265" s="1963"/>
      <c r="K265" s="1963"/>
      <c r="L265" s="1963"/>
      <c r="M265" s="1963"/>
      <c r="N265" s="1963"/>
      <c r="O265" s="6"/>
      <c r="P265" s="15"/>
      <c r="Q265" s="7"/>
      <c r="R265" s="2"/>
      <c r="S265" s="2"/>
      <c r="T265" s="2"/>
      <c r="U265" s="2"/>
      <c r="V265" s="2"/>
      <c r="W265" s="2"/>
      <c r="X265" s="2"/>
      <c r="Y265" s="7"/>
      <c r="Z265" s="7"/>
      <c r="AA265" s="7"/>
      <c r="AB265" s="7"/>
      <c r="AC265" s="7"/>
      <c r="AD265" s="7"/>
      <c r="AE265" s="7"/>
      <c r="AF265" s="7"/>
      <c r="AG265" s="7"/>
      <c r="AH265" s="7"/>
      <c r="AI265" s="7"/>
      <c r="AJ265" s="7"/>
      <c r="AK265" s="7"/>
      <c r="AL265" s="7"/>
    </row>
    <row r="266" spans="1:38" x14ac:dyDescent="0.25">
      <c r="A266" s="2"/>
      <c r="B266" s="3"/>
      <c r="C266" s="3"/>
      <c r="D266" s="15"/>
      <c r="E266" s="2070" t="str">
        <f>Translations!$B$876</f>
        <v>Viktig anmärkning: Rapporteringen ska göras i kiloton, men riktmärket uttrycks i ton CO2/CWT, där CWT uttrycks i ton.</v>
      </c>
      <c r="F266" s="1963"/>
      <c r="G266" s="1963"/>
      <c r="H266" s="1963"/>
      <c r="I266" s="1963"/>
      <c r="J266" s="1963"/>
      <c r="K266" s="1963"/>
      <c r="L266" s="1963"/>
      <c r="M266" s="1963"/>
      <c r="N266" s="1963"/>
      <c r="O266" s="6"/>
      <c r="P266" s="15"/>
      <c r="Q266" s="7"/>
      <c r="R266" s="2"/>
      <c r="S266" s="2"/>
      <c r="T266" s="2"/>
      <c r="U266" s="2"/>
      <c r="V266" s="2"/>
      <c r="W266" s="2"/>
      <c r="X266" s="2"/>
      <c r="Y266" s="7"/>
      <c r="Z266" s="7"/>
      <c r="AA266" s="7"/>
      <c r="AB266" s="7"/>
      <c r="AC266" s="7"/>
      <c r="AD266" s="7"/>
      <c r="AE266" s="7"/>
      <c r="AF266" s="7"/>
      <c r="AG266" s="7"/>
      <c r="AH266" s="7"/>
      <c r="AI266" s="7"/>
      <c r="AJ266" s="7"/>
      <c r="AK266" s="7"/>
      <c r="AL266" s="7"/>
    </row>
    <row r="267" spans="1:38" x14ac:dyDescent="0.25">
      <c r="A267" s="2"/>
      <c r="B267" s="3"/>
      <c r="C267" s="3"/>
      <c r="D267" s="15"/>
      <c r="E267" s="2070" t="str">
        <f>Translations!$B$877</f>
        <v>Resultatet nedan multipliceras därför med en faktor på 1 000, vilket inte uttryckligen anges i punkt 5 i bilaga III till FAR.</v>
      </c>
      <c r="F267" s="1963"/>
      <c r="G267" s="1963"/>
      <c r="H267" s="1963"/>
      <c r="I267" s="1963"/>
      <c r="J267" s="1963"/>
      <c r="K267" s="1963"/>
      <c r="L267" s="1963"/>
      <c r="M267" s="1963"/>
      <c r="N267" s="1963"/>
      <c r="O267" s="6"/>
      <c r="P267" s="15"/>
      <c r="Q267" s="7"/>
      <c r="R267" s="2"/>
      <c r="S267" s="2"/>
      <c r="T267" s="2"/>
      <c r="U267" s="2"/>
      <c r="V267" s="2"/>
      <c r="W267" s="2"/>
      <c r="X267" s="2"/>
      <c r="Y267" s="7"/>
      <c r="Z267" s="7"/>
      <c r="AA267" s="7"/>
      <c r="AB267" s="7"/>
      <c r="AC267" s="7"/>
      <c r="AD267" s="7"/>
      <c r="AE267" s="7"/>
      <c r="AF267" s="7"/>
      <c r="AG267" s="7"/>
      <c r="AH267" s="7"/>
      <c r="AI267" s="7"/>
      <c r="AJ267" s="7"/>
      <c r="AK267" s="7"/>
      <c r="AL267" s="7"/>
    </row>
    <row r="268" spans="1:38" x14ac:dyDescent="0.25">
      <c r="A268" s="2"/>
      <c r="B268" s="3"/>
      <c r="C268" s="3"/>
      <c r="D268" s="15"/>
      <c r="E268" s="2061" t="str">
        <f>Translations!$B$806</f>
        <v>Resultatet av verktyget används i bladet ”F_ProductBM”, inmatningsrad a.ii för delanläggningen i fråga, och genomsnittet beräknas utifrån detta.</v>
      </c>
      <c r="F268" s="1963"/>
      <c r="G268" s="1963"/>
      <c r="H268" s="1963"/>
      <c r="I268" s="1963"/>
      <c r="J268" s="1963"/>
      <c r="K268" s="1963"/>
      <c r="L268" s="1963"/>
      <c r="M268" s="1963"/>
      <c r="N268" s="1963"/>
      <c r="O268" s="6"/>
      <c r="P268" s="15"/>
      <c r="Q268" s="7"/>
      <c r="R268" s="2"/>
      <c r="S268" s="2"/>
      <c r="T268" s="2"/>
      <c r="U268" s="2"/>
      <c r="V268" s="2"/>
      <c r="W268" s="2"/>
      <c r="X268" s="2"/>
      <c r="Y268" s="7"/>
      <c r="Z268" s="7"/>
      <c r="AA268" s="7"/>
      <c r="AB268" s="7"/>
      <c r="AC268" s="7"/>
      <c r="AD268" s="7"/>
      <c r="AE268" s="7"/>
      <c r="AF268" s="7"/>
      <c r="AG268" s="7"/>
      <c r="AH268" s="7"/>
      <c r="AI268" s="7"/>
      <c r="AJ268" s="7"/>
      <c r="AK268" s="7"/>
      <c r="AL268" s="7"/>
    </row>
    <row r="269" spans="1:38" ht="13" x14ac:dyDescent="0.25">
      <c r="A269" s="2"/>
      <c r="B269" s="19"/>
      <c r="C269" s="19"/>
      <c r="D269" s="13"/>
      <c r="E269" s="21"/>
      <c r="F269" s="21"/>
      <c r="G269" s="30" t="str">
        <f>EUconst_Unit</f>
        <v>Enhet</v>
      </c>
      <c r="H269" s="350">
        <f t="shared" ref="H269:N269" si="50">H$421</f>
        <v>2019</v>
      </c>
      <c r="I269" s="350">
        <f t="shared" si="50"/>
        <v>2020</v>
      </c>
      <c r="J269" s="350">
        <f t="shared" si="50"/>
        <v>2021</v>
      </c>
      <c r="K269" s="350">
        <f t="shared" si="50"/>
        <v>2022</v>
      </c>
      <c r="L269" s="350">
        <f t="shared" si="50"/>
        <v>2023</v>
      </c>
      <c r="M269" s="350">
        <f t="shared" si="50"/>
        <v>2024</v>
      </c>
      <c r="N269" s="673">
        <f t="shared" si="50"/>
        <v>2025</v>
      </c>
      <c r="O269" s="6"/>
      <c r="P269" s="15"/>
      <c r="Q269" s="2"/>
      <c r="R269" s="2"/>
      <c r="S269" s="2"/>
      <c r="T269" s="2"/>
      <c r="U269" s="2"/>
      <c r="V269" s="2"/>
      <c r="W269" s="2"/>
      <c r="X269" s="2"/>
      <c r="Y269" s="7"/>
      <c r="Z269" s="7"/>
      <c r="AA269" s="7"/>
      <c r="AB269" s="7"/>
      <c r="AC269" s="7"/>
      <c r="AD269" s="7"/>
      <c r="AE269" s="7"/>
      <c r="AF269" s="7"/>
      <c r="AG269" s="7"/>
      <c r="AH269" s="7"/>
      <c r="AI269" s="7"/>
      <c r="AJ269" s="7"/>
      <c r="AK269" s="7"/>
      <c r="AL269" s="7"/>
    </row>
    <row r="270" spans="1:38" x14ac:dyDescent="0.25">
      <c r="A270" s="2"/>
      <c r="B270" s="19"/>
      <c r="C270" s="19"/>
      <c r="D270" s="19"/>
      <c r="E270" s="1779" t="str">
        <f>Translations!$B$878</f>
        <v>Verksamhetsnivå för aromater</v>
      </c>
      <c r="F270" s="1779"/>
      <c r="G270" s="129" t="str">
        <f>EUconst_CWTpa</f>
        <v>CWT / år</v>
      </c>
      <c r="H270" s="268" t="str">
        <f t="shared" ref="H270:N270" si="51">IF(COUNT(H255:H262)&gt;0,1000*SUMPRODUCT($G255:$G262,H255:H262),"")</f>
        <v/>
      </c>
      <c r="I270" s="268" t="str">
        <f t="shared" si="51"/>
        <v/>
      </c>
      <c r="J270" s="268" t="str">
        <f t="shared" si="51"/>
        <v/>
      </c>
      <c r="K270" s="268" t="str">
        <f t="shared" si="51"/>
        <v/>
      </c>
      <c r="L270" s="268" t="str">
        <f t="shared" si="51"/>
        <v/>
      </c>
      <c r="M270" s="268" t="str">
        <f t="shared" si="51"/>
        <v/>
      </c>
      <c r="N270" s="667" t="str">
        <f t="shared" si="51"/>
        <v/>
      </c>
      <c r="O270" s="6"/>
      <c r="P270" s="15"/>
      <c r="Q270" s="108" t="str">
        <f>IF(L242=EUconst_Relevant,EUconst_CNTR_HALspecial &amp; INDEX(EUconst_BMlistNames,R242),"")</f>
        <v/>
      </c>
      <c r="R270" s="2"/>
      <c r="S270" s="2"/>
      <c r="T270" s="2"/>
      <c r="U270" s="2"/>
      <c r="V270" s="2"/>
      <c r="W270" s="2"/>
      <c r="X270" s="2"/>
      <c r="Y270" s="7"/>
      <c r="Z270" s="7"/>
      <c r="AA270" s="7"/>
      <c r="AB270" s="7"/>
      <c r="AC270" s="7"/>
      <c r="AD270" s="7"/>
      <c r="AE270" s="7"/>
      <c r="AF270" s="7"/>
      <c r="AG270" s="7"/>
      <c r="AH270" s="7"/>
      <c r="AI270" s="7"/>
      <c r="AJ270" s="7"/>
      <c r="AK270" s="7"/>
      <c r="AL270" s="7"/>
    </row>
    <row r="271" spans="1:38" ht="5.15" customHeight="1" x14ac:dyDescent="0.25">
      <c r="A271" s="2"/>
      <c r="B271" s="3"/>
      <c r="C271" s="3"/>
      <c r="D271" s="3"/>
      <c r="E271" s="3"/>
      <c r="F271" s="3"/>
      <c r="G271" s="3"/>
      <c r="H271" s="3"/>
      <c r="I271" s="3"/>
      <c r="J271" s="3"/>
      <c r="K271" s="3"/>
      <c r="L271" s="3"/>
      <c r="M271" s="6"/>
      <c r="N271" s="6"/>
      <c r="O271" s="6"/>
      <c r="P271" s="15"/>
      <c r="Q271" s="7"/>
      <c r="R271" s="2"/>
      <c r="S271" s="2"/>
      <c r="T271" s="2"/>
      <c r="U271" s="2"/>
      <c r="V271" s="2"/>
      <c r="W271" s="2"/>
      <c r="X271" s="2"/>
      <c r="Y271" s="7"/>
      <c r="Z271" s="7"/>
      <c r="AA271" s="7"/>
      <c r="AB271" s="7"/>
      <c r="AC271" s="7"/>
      <c r="AD271" s="7"/>
      <c r="AE271" s="7"/>
      <c r="AF271" s="7"/>
      <c r="AG271" s="7"/>
      <c r="AH271" s="7"/>
      <c r="AI271" s="7"/>
      <c r="AJ271" s="7"/>
      <c r="AK271" s="7"/>
      <c r="AL271" s="7"/>
    </row>
    <row r="272" spans="1:38" ht="13" x14ac:dyDescent="0.25">
      <c r="A272" s="2"/>
      <c r="B272" s="3"/>
      <c r="C272" s="3"/>
      <c r="D272" s="3"/>
      <c r="E272" s="2748" t="str">
        <f>IF(L242=EUconst_Relevant,HYPERLINK(R272,EUconst_MsgBackToSheetF),"")</f>
        <v/>
      </c>
      <c r="F272" s="2749"/>
      <c r="G272" s="2749"/>
      <c r="H272" s="2749"/>
      <c r="I272" s="2749"/>
      <c r="J272" s="2749"/>
      <c r="K272" s="2749"/>
      <c r="L272" s="2749"/>
      <c r="M272" s="2749"/>
      <c r="N272" s="2750"/>
      <c r="O272" s="6"/>
      <c r="P272" s="15"/>
      <c r="Q272" s="309" t="s">
        <v>127</v>
      </c>
      <c r="R272" s="108" t="str">
        <f>R244</f>
        <v/>
      </c>
      <c r="S272" s="2"/>
      <c r="T272" s="2"/>
      <c r="U272" s="2"/>
      <c r="V272" s="2"/>
      <c r="W272" s="2"/>
      <c r="X272" s="2"/>
      <c r="Y272" s="7"/>
      <c r="Z272" s="7"/>
      <c r="AA272" s="7"/>
      <c r="AB272" s="7"/>
      <c r="AC272" s="7"/>
      <c r="AD272" s="7"/>
      <c r="AE272" s="7"/>
      <c r="AF272" s="7"/>
      <c r="AG272" s="7"/>
      <c r="AH272" s="7"/>
      <c r="AI272" s="7"/>
      <c r="AJ272" s="7"/>
      <c r="AK272" s="7"/>
      <c r="AL272" s="7"/>
    </row>
    <row r="273" spans="1:38" x14ac:dyDescent="0.25">
      <c r="A273" s="2"/>
      <c r="B273" s="19"/>
      <c r="C273" s="19"/>
      <c r="D273" s="19"/>
      <c r="E273" s="19"/>
      <c r="F273" s="19"/>
      <c r="G273" s="19"/>
      <c r="H273" s="19"/>
      <c r="I273" s="19"/>
      <c r="J273" s="19"/>
      <c r="K273" s="19"/>
      <c r="L273" s="19"/>
      <c r="M273" s="19"/>
      <c r="N273" s="19"/>
      <c r="O273" s="6"/>
      <c r="P273" s="15"/>
      <c r="Q273" s="2"/>
      <c r="R273" s="2"/>
      <c r="S273" s="2"/>
      <c r="T273" s="2"/>
      <c r="U273" s="2"/>
      <c r="V273" s="2"/>
      <c r="W273" s="2"/>
      <c r="X273" s="2"/>
      <c r="Y273" s="7"/>
      <c r="Z273" s="7"/>
      <c r="AA273" s="7"/>
      <c r="AB273" s="7"/>
      <c r="AC273" s="7"/>
      <c r="AD273" s="7"/>
      <c r="AE273" s="7"/>
      <c r="AF273" s="7"/>
      <c r="AG273" s="7"/>
      <c r="AH273" s="7"/>
      <c r="AI273" s="7"/>
      <c r="AJ273" s="7"/>
      <c r="AK273" s="7"/>
      <c r="AL273" s="7"/>
    </row>
    <row r="274" spans="1:38" ht="15.5" x14ac:dyDescent="0.35">
      <c r="A274" s="2"/>
      <c r="B274" s="3"/>
      <c r="C274" s="11" t="s">
        <v>69</v>
      </c>
      <c r="D274" s="1975" t="str">
        <f>Translations!$B$851</f>
        <v>Vätgas</v>
      </c>
      <c r="E274" s="1975"/>
      <c r="F274" s="1975"/>
      <c r="G274" s="1975"/>
      <c r="H274" s="1975"/>
      <c r="I274" s="1975"/>
      <c r="J274" s="1975"/>
      <c r="K274" s="1975"/>
      <c r="L274" s="1975"/>
      <c r="M274" s="1975"/>
      <c r="N274" s="1975"/>
      <c r="O274" s="6"/>
      <c r="P274" s="15"/>
      <c r="Q274" s="7"/>
      <c r="R274" s="2"/>
      <c r="S274" s="2"/>
      <c r="T274" s="2"/>
      <c r="U274" s="2"/>
      <c r="V274" s="2"/>
      <c r="W274" s="2"/>
      <c r="X274" s="2"/>
      <c r="Y274" s="7"/>
      <c r="Z274" s="7"/>
      <c r="AA274" s="7"/>
      <c r="AB274" s="7"/>
      <c r="AC274" s="7"/>
      <c r="AD274" s="7"/>
      <c r="AE274" s="7"/>
      <c r="AF274" s="7"/>
      <c r="AG274" s="7"/>
      <c r="AH274" s="7"/>
      <c r="AI274" s="7"/>
      <c r="AJ274" s="7"/>
      <c r="AK274" s="7"/>
      <c r="AL274" s="7"/>
    </row>
    <row r="275" spans="1:38" ht="5.15" customHeight="1" x14ac:dyDescent="0.25">
      <c r="A275" s="2"/>
      <c r="B275" s="3"/>
      <c r="C275" s="3"/>
      <c r="D275" s="3"/>
      <c r="E275" s="3"/>
      <c r="F275" s="3"/>
      <c r="G275" s="3"/>
      <c r="H275" s="3"/>
      <c r="I275" s="3"/>
      <c r="J275" s="3"/>
      <c r="K275" s="3"/>
      <c r="L275" s="3"/>
      <c r="M275" s="6"/>
      <c r="N275" s="6"/>
      <c r="O275" s="6"/>
      <c r="P275" s="15"/>
      <c r="Q275" s="7"/>
      <c r="R275" s="2"/>
      <c r="S275" s="2"/>
      <c r="T275" s="2"/>
      <c r="U275" s="2"/>
      <c r="V275" s="2"/>
      <c r="W275" s="2"/>
      <c r="X275" s="2"/>
      <c r="Y275" s="7"/>
      <c r="Z275" s="7"/>
      <c r="AA275" s="7"/>
      <c r="AB275" s="7"/>
      <c r="AC275" s="7"/>
      <c r="AD275" s="7"/>
      <c r="AE275" s="7"/>
      <c r="AF275" s="7"/>
      <c r="AG275" s="7"/>
      <c r="AH275" s="7"/>
      <c r="AI275" s="7"/>
      <c r="AJ275" s="7"/>
      <c r="AK275" s="7"/>
      <c r="AL275" s="7"/>
    </row>
    <row r="276" spans="1:38" ht="14" x14ac:dyDescent="0.3">
      <c r="A276" s="2"/>
      <c r="B276" s="3"/>
      <c r="C276" s="17"/>
      <c r="D276" s="2053" t="str">
        <f>Translations!$B$879</f>
        <v>Verktyg för att beräkna historiska verksamhetsnivåer för vätgasdelanläggningar</v>
      </c>
      <c r="E276" s="1963"/>
      <c r="F276" s="1963"/>
      <c r="G276" s="1963"/>
      <c r="H276" s="1963"/>
      <c r="I276" s="1963"/>
      <c r="J276" s="1963"/>
      <c r="K276" s="1963"/>
      <c r="L276" s="1963"/>
      <c r="M276" s="1963"/>
      <c r="N276" s="1963"/>
      <c r="O276" s="6"/>
      <c r="P276" s="15"/>
      <c r="Q276" s="7"/>
      <c r="R276" s="2"/>
      <c r="S276" s="2"/>
      <c r="T276" s="2"/>
      <c r="U276" s="2"/>
      <c r="V276" s="2"/>
      <c r="W276" s="2"/>
      <c r="X276" s="2"/>
      <c r="Y276" s="7"/>
      <c r="Z276" s="7"/>
      <c r="AA276" s="7"/>
      <c r="AB276" s="7"/>
      <c r="AC276" s="7"/>
      <c r="AD276" s="7"/>
      <c r="AE276" s="7"/>
      <c r="AF276" s="7"/>
      <c r="AG276" s="7"/>
      <c r="AH276" s="7"/>
      <c r="AI276" s="7"/>
      <c r="AJ276" s="7"/>
      <c r="AK276" s="7"/>
      <c r="AL276" s="7"/>
    </row>
    <row r="277" spans="1:38" ht="5.15" customHeight="1" x14ac:dyDescent="0.25">
      <c r="A277" s="2"/>
      <c r="B277" s="3"/>
      <c r="C277" s="3"/>
      <c r="D277" s="3"/>
      <c r="E277" s="3"/>
      <c r="F277" s="3"/>
      <c r="G277" s="3"/>
      <c r="H277" s="3"/>
      <c r="I277" s="3"/>
      <c r="J277" s="3"/>
      <c r="K277" s="3"/>
      <c r="L277" s="3"/>
      <c r="M277" s="6"/>
      <c r="N277" s="6"/>
      <c r="O277" s="6"/>
      <c r="P277" s="15"/>
      <c r="Q277" s="7"/>
      <c r="R277" s="2"/>
      <c r="S277" s="2"/>
      <c r="T277" s="2"/>
      <c r="U277" s="2"/>
      <c r="V277" s="2"/>
      <c r="W277" s="2"/>
      <c r="X277" s="2"/>
      <c r="Y277" s="7"/>
      <c r="Z277" s="7"/>
      <c r="AA277" s="7"/>
      <c r="AB277" s="7"/>
      <c r="AC277" s="7"/>
      <c r="AD277" s="7"/>
      <c r="AE277" s="7"/>
      <c r="AF277" s="7"/>
      <c r="AG277" s="7"/>
      <c r="AH277" s="7"/>
      <c r="AI277" s="7"/>
      <c r="AJ277" s="7"/>
      <c r="AK277" s="7"/>
      <c r="AL277" s="7"/>
    </row>
    <row r="278" spans="1:38" x14ac:dyDescent="0.25">
      <c r="A278" s="2"/>
      <c r="B278" s="3"/>
      <c r="C278" s="3"/>
      <c r="D278" s="15"/>
      <c r="E278" s="2061" t="str">
        <f>Translations!$B$880</f>
        <v>Med hjälp av detta verktyg kan ni fastställa de historiska verksamhetsnivåerna för vätgasriktmärket (punkt 6 i bilaga III till FAR).</v>
      </c>
      <c r="F278" s="1963"/>
      <c r="G278" s="1963"/>
      <c r="H278" s="1963"/>
      <c r="I278" s="1963"/>
      <c r="J278" s="1963"/>
      <c r="K278" s="1963"/>
      <c r="L278" s="1963"/>
      <c r="M278" s="1963"/>
      <c r="N278" s="1963"/>
      <c r="O278" s="6"/>
      <c r="P278" s="15"/>
      <c r="Q278" s="7"/>
      <c r="R278" s="2"/>
      <c r="S278" s="2"/>
      <c r="T278" s="2"/>
      <c r="U278" s="2"/>
      <c r="V278" s="2"/>
      <c r="W278" s="2"/>
      <c r="X278" s="2"/>
      <c r="Y278" s="7"/>
      <c r="Z278" s="7"/>
      <c r="AA278" s="7"/>
      <c r="AB278" s="7"/>
      <c r="AC278" s="7"/>
      <c r="AD278" s="7"/>
      <c r="AE278" s="7"/>
      <c r="AF278" s="7"/>
      <c r="AG278" s="7"/>
      <c r="AH278" s="7"/>
      <c r="AI278" s="7"/>
      <c r="AJ278" s="7"/>
      <c r="AK278" s="7"/>
      <c r="AL278" s="7"/>
    </row>
    <row r="279" spans="1:38" x14ac:dyDescent="0.25">
      <c r="A279" s="2"/>
      <c r="B279" s="3"/>
      <c r="C279" s="3"/>
      <c r="D279" s="15"/>
      <c r="E279" s="2061" t="str">
        <f>Translations!$B$731</f>
        <v>Resultatet av verktyget kopieras automatiskt in i blad ”F_ProductBM”, inmatningsrad a.ii för delanläggningen i fråga.</v>
      </c>
      <c r="F279" s="1963"/>
      <c r="G279" s="1963"/>
      <c r="H279" s="1963"/>
      <c r="I279" s="1963"/>
      <c r="J279" s="1963"/>
      <c r="K279" s="1963"/>
      <c r="L279" s="1963"/>
      <c r="M279" s="1963"/>
      <c r="N279" s="1963"/>
      <c r="O279" s="6"/>
      <c r="P279" s="15"/>
      <c r="Q279" s="7"/>
      <c r="R279" s="2"/>
      <c r="S279" s="2"/>
      <c r="T279" s="2"/>
      <c r="U279" s="2"/>
      <c r="V279" s="2"/>
      <c r="W279" s="2"/>
      <c r="X279" s="2"/>
      <c r="Y279" s="7"/>
      <c r="Z279" s="7"/>
      <c r="AA279" s="7"/>
      <c r="AB279" s="7"/>
      <c r="AC279" s="7"/>
      <c r="AD279" s="7"/>
      <c r="AE279" s="7"/>
      <c r="AF279" s="7"/>
      <c r="AG279" s="7"/>
      <c r="AH279" s="7"/>
      <c r="AI279" s="7"/>
      <c r="AJ279" s="7"/>
      <c r="AK279" s="7"/>
      <c r="AL279" s="7"/>
    </row>
    <row r="280" spans="1:38" x14ac:dyDescent="0.25">
      <c r="A280" s="2"/>
      <c r="B280" s="3"/>
      <c r="C280" s="3"/>
      <c r="D280" s="15"/>
      <c r="E280" s="2070" t="str">
        <f>Translations!$B$881</f>
        <v>Var god notera att procentandelarna för vätgasinnehåll ska uttryckas som volymprocent.</v>
      </c>
      <c r="F280" s="1963"/>
      <c r="G280" s="1963"/>
      <c r="H280" s="1963"/>
      <c r="I280" s="1963"/>
      <c r="J280" s="1963"/>
      <c r="K280" s="1963"/>
      <c r="L280" s="1963"/>
      <c r="M280" s="1963"/>
      <c r="N280" s="1963"/>
      <c r="O280" s="6"/>
      <c r="P280" s="15"/>
      <c r="Q280" s="7"/>
      <c r="R280" s="2"/>
      <c r="S280" s="2"/>
      <c r="T280" s="2"/>
      <c r="U280" s="2"/>
      <c r="V280" s="2"/>
      <c r="W280" s="2"/>
      <c r="X280" s="2"/>
      <c r="Y280" s="7"/>
      <c r="Z280" s="7"/>
      <c r="AA280" s="7"/>
      <c r="AB280" s="7"/>
      <c r="AC280" s="7"/>
      <c r="AD280" s="7"/>
      <c r="AE280" s="7"/>
      <c r="AF280" s="7"/>
      <c r="AG280" s="7"/>
      <c r="AH280" s="7"/>
      <c r="AI280" s="7"/>
      <c r="AJ280" s="7"/>
      <c r="AK280" s="7"/>
      <c r="AL280" s="7"/>
    </row>
    <row r="281" spans="1:38" ht="5.15" customHeight="1" x14ac:dyDescent="0.25">
      <c r="A281" s="2"/>
      <c r="B281" s="3"/>
      <c r="C281" s="3"/>
      <c r="D281" s="3"/>
      <c r="E281" s="3"/>
      <c r="F281" s="3"/>
      <c r="G281" s="3"/>
      <c r="H281" s="3"/>
      <c r="I281" s="3"/>
      <c r="J281" s="3"/>
      <c r="K281" s="3"/>
      <c r="L281" s="3"/>
      <c r="M281" s="6"/>
      <c r="N281" s="6"/>
      <c r="O281" s="6"/>
      <c r="P281" s="15"/>
      <c r="Q281" s="7"/>
      <c r="R281" s="2"/>
      <c r="S281" s="2"/>
      <c r="T281" s="2"/>
      <c r="U281" s="2"/>
      <c r="V281" s="2"/>
      <c r="W281" s="2"/>
      <c r="X281" s="2"/>
      <c r="Y281" s="7"/>
      <c r="Z281" s="7"/>
      <c r="AA281" s="7"/>
      <c r="AB281" s="7"/>
      <c r="AC281" s="7"/>
      <c r="AD281" s="7"/>
      <c r="AE281" s="7"/>
      <c r="AF281" s="7"/>
      <c r="AG281" s="7"/>
      <c r="AH281" s="7"/>
      <c r="AI281" s="7"/>
      <c r="AJ281" s="7"/>
      <c r="AK281" s="7"/>
      <c r="AL281" s="7"/>
    </row>
    <row r="282" spans="1:38" ht="14" x14ac:dyDescent="0.3">
      <c r="A282" s="2"/>
      <c r="B282" s="3"/>
      <c r="C282" s="3"/>
      <c r="D282" s="13" t="s">
        <v>442</v>
      </c>
      <c r="E282" s="1943" t="str">
        <f>Translations!$B$732</f>
        <v>Verktygets relevans för er anläggning:</v>
      </c>
      <c r="F282" s="1943"/>
      <c r="G282" s="1943"/>
      <c r="H282" s="1943"/>
      <c r="I282" s="1943"/>
      <c r="J282" s="1943"/>
      <c r="K282" s="2067"/>
      <c r="L282" s="2751" t="str">
        <f>IF(CNTR_ExistSubInstEntries,IF(COUNTIF(CNTR_SubInstListNames,INDEX(EUconst_BMlistNames,R282))&gt;0,EUconst_Relevant,EUconst_NotRelevant),"")</f>
        <v/>
      </c>
      <c r="M282" s="2752"/>
      <c r="N282" s="2753"/>
      <c r="O282" s="6"/>
      <c r="P282" s="15"/>
      <c r="Q282" s="309" t="s">
        <v>128</v>
      </c>
      <c r="R282" s="297">
        <v>50</v>
      </c>
      <c r="S282" s="2"/>
      <c r="T282" s="2"/>
      <c r="U282" s="2"/>
      <c r="V282" s="2"/>
      <c r="W282" s="2"/>
      <c r="X282" s="2"/>
      <c r="Y282" s="7"/>
      <c r="Z282" s="7"/>
      <c r="AA282" s="7"/>
      <c r="AB282" s="7"/>
      <c r="AC282" s="7"/>
      <c r="AD282" s="7"/>
      <c r="AE282" s="7"/>
      <c r="AF282" s="7"/>
      <c r="AG282" s="7"/>
      <c r="AH282" s="7"/>
      <c r="AI282" s="7"/>
      <c r="AJ282" s="7"/>
      <c r="AK282" s="7"/>
      <c r="AL282" s="7"/>
    </row>
    <row r="283" spans="1:38" x14ac:dyDescent="0.25">
      <c r="A283" s="2"/>
      <c r="B283" s="3"/>
      <c r="C283" s="3"/>
      <c r="D283" s="15"/>
      <c r="E283" s="1999" t="str">
        <f>Translations!$B$733</f>
        <v>Detta meddelande visas automatiskt på grundval av er tidigare inmatning i blad ”A_InstallationData", avsnitt A.III.1.</v>
      </c>
      <c r="F283" s="2000"/>
      <c r="G283" s="2000"/>
      <c r="H283" s="2000"/>
      <c r="I283" s="2000"/>
      <c r="J283" s="2000"/>
      <c r="K283" s="2000"/>
      <c r="L283" s="2000"/>
      <c r="M283" s="2000"/>
      <c r="N283" s="2000"/>
      <c r="O283" s="6"/>
      <c r="P283" s="15"/>
      <c r="Q283" s="7"/>
      <c r="R283" s="2"/>
      <c r="S283" s="2"/>
      <c r="T283" s="2"/>
      <c r="U283" s="2"/>
      <c r="V283" s="2"/>
      <c r="W283" s="2"/>
      <c r="X283" s="2"/>
      <c r="Y283" s="7"/>
      <c r="Z283" s="7"/>
      <c r="AA283" s="7"/>
      <c r="AB283" s="7"/>
      <c r="AC283" s="7"/>
      <c r="AD283" s="7"/>
      <c r="AE283" s="7"/>
      <c r="AF283" s="7"/>
      <c r="AG283" s="7"/>
      <c r="AH283" s="7"/>
      <c r="AI283" s="7"/>
      <c r="AJ283" s="7"/>
      <c r="AK283" s="7"/>
      <c r="AL283" s="7"/>
    </row>
    <row r="284" spans="1:38" ht="13" x14ac:dyDescent="0.25">
      <c r="A284" s="2"/>
      <c r="B284" s="3"/>
      <c r="C284" s="3"/>
      <c r="D284" s="3"/>
      <c r="E284" s="2748" t="str">
        <f>IF(L282=EUconst_Relevant,HYPERLINK(R284,EUconst_MsgBackToSheetF),"")</f>
        <v/>
      </c>
      <c r="F284" s="2749"/>
      <c r="G284" s="2749"/>
      <c r="H284" s="2749"/>
      <c r="I284" s="2749"/>
      <c r="J284" s="2749"/>
      <c r="K284" s="2749"/>
      <c r="L284" s="2749"/>
      <c r="M284" s="2749"/>
      <c r="N284" s="2750"/>
      <c r="O284" s="6"/>
      <c r="P284" s="15"/>
      <c r="Q284" s="309" t="s">
        <v>127</v>
      </c>
      <c r="R284" s="108" t="str">
        <f>IF(ISNUMBER(MATCH(R282,CNTR_SubInstListBMnumbers,0)),"#JUMP_F"&amp;MATCH(R282,CNTR_SubInstListBMnumbers,0),"")</f>
        <v/>
      </c>
      <c r="S284" s="2"/>
      <c r="T284" s="2"/>
      <c r="U284" s="2"/>
      <c r="V284" s="2"/>
      <c r="W284" s="2"/>
      <c r="X284" s="2"/>
      <c r="Y284" s="7"/>
      <c r="Z284" s="7"/>
      <c r="AA284" s="7"/>
      <c r="AB284" s="7"/>
      <c r="AC284" s="7"/>
      <c r="AD284" s="7"/>
      <c r="AE284" s="7"/>
      <c r="AF284" s="7"/>
      <c r="AG284" s="7"/>
      <c r="AH284" s="7"/>
      <c r="AI284" s="7"/>
      <c r="AJ284" s="7"/>
      <c r="AK284" s="7"/>
      <c r="AL284" s="7"/>
    </row>
    <row r="285" spans="1:38" ht="5.15" customHeight="1" x14ac:dyDescent="0.25">
      <c r="A285" s="2"/>
      <c r="B285" s="3"/>
      <c r="C285" s="3"/>
      <c r="D285" s="3"/>
      <c r="E285" s="3"/>
      <c r="F285" s="3"/>
      <c r="G285" s="3"/>
      <c r="H285" s="3"/>
      <c r="I285" s="3"/>
      <c r="J285" s="3"/>
      <c r="K285" s="3"/>
      <c r="L285" s="3"/>
      <c r="M285" s="6"/>
      <c r="N285" s="6"/>
      <c r="O285" s="6"/>
      <c r="P285" s="15"/>
      <c r="Q285" s="7"/>
      <c r="R285" s="2"/>
      <c r="S285" s="2"/>
      <c r="T285" s="2"/>
      <c r="U285" s="2"/>
      <c r="V285" s="2"/>
      <c r="W285" s="2"/>
      <c r="X285" s="2"/>
      <c r="Y285" s="7"/>
      <c r="Z285" s="7"/>
      <c r="AA285" s="7"/>
      <c r="AB285" s="7"/>
      <c r="AC285" s="7"/>
      <c r="AD285" s="7"/>
      <c r="AE285" s="7"/>
      <c r="AF285" s="7"/>
      <c r="AG285" s="7"/>
      <c r="AH285" s="7"/>
      <c r="AI285" s="7"/>
      <c r="AJ285" s="7"/>
      <c r="AK285" s="7"/>
      <c r="AL285" s="7"/>
    </row>
    <row r="286" spans="1:38" ht="13" x14ac:dyDescent="0.25">
      <c r="A286" s="2"/>
      <c r="B286" s="3"/>
      <c r="C286" s="3"/>
      <c r="D286" s="13" t="s">
        <v>955</v>
      </c>
      <c r="E286" s="1943" t="str">
        <f>Translations!$B$882</f>
        <v>Volym av total vätgasproduktion (okorrigerad)</v>
      </c>
      <c r="F286" s="1963"/>
      <c r="G286" s="1963"/>
      <c r="H286" s="1963"/>
      <c r="I286" s="1963"/>
      <c r="J286" s="1963"/>
      <c r="K286" s="1963"/>
      <c r="L286" s="1963"/>
      <c r="M286" s="1963"/>
      <c r="N286" s="1963"/>
      <c r="O286" s="6"/>
      <c r="P286" s="15"/>
      <c r="Q286" s="7"/>
      <c r="R286" s="2"/>
      <c r="S286" s="2"/>
      <c r="T286" s="7"/>
      <c r="U286" s="7"/>
      <c r="V286" s="2"/>
      <c r="W286" s="2"/>
      <c r="X286" s="2"/>
      <c r="Y286" s="7"/>
      <c r="Z286" s="7"/>
      <c r="AA286" s="7"/>
      <c r="AB286" s="7"/>
      <c r="AC286" s="7"/>
      <c r="AD286" s="7"/>
      <c r="AE286" s="7"/>
      <c r="AF286" s="7"/>
      <c r="AG286" s="7"/>
      <c r="AH286" s="7"/>
      <c r="AI286" s="7"/>
      <c r="AJ286" s="7"/>
      <c r="AK286" s="7"/>
      <c r="AL286" s="7"/>
    </row>
    <row r="287" spans="1:38" x14ac:dyDescent="0.25">
      <c r="A287" s="2"/>
      <c r="B287" s="3"/>
      <c r="C287" s="3"/>
      <c r="D287" s="15"/>
      <c r="E287" s="2061" t="str">
        <f>Translations!$B$1529</f>
        <v>Var god ange de årliga produktionsuppgifterna för vätgas avseende det historiska vätgasinnehållet för varje år.</v>
      </c>
      <c r="F287" s="1963"/>
      <c r="G287" s="1963"/>
      <c r="H287" s="1963"/>
      <c r="I287" s="1963"/>
      <c r="J287" s="1963"/>
      <c r="K287" s="1963"/>
      <c r="L287" s="1963"/>
      <c r="M287" s="1963"/>
      <c r="N287" s="1963"/>
      <c r="O287" s="6"/>
      <c r="P287" s="15"/>
      <c r="Q287" s="7"/>
      <c r="R287" s="2"/>
      <c r="S287" s="2"/>
      <c r="T287" s="7"/>
      <c r="U287" s="7"/>
      <c r="V287" s="2"/>
      <c r="W287" s="2"/>
      <c r="X287" s="2"/>
      <c r="Y287" s="7"/>
      <c r="Z287" s="7"/>
      <c r="AA287" s="7"/>
      <c r="AB287" s="7"/>
      <c r="AC287" s="7"/>
      <c r="AD287" s="7"/>
      <c r="AE287" s="7"/>
      <c r="AF287" s="7"/>
      <c r="AG287" s="7"/>
      <c r="AH287" s="7"/>
      <c r="AI287" s="7"/>
      <c r="AJ287" s="7"/>
      <c r="AK287" s="7"/>
      <c r="AL287" s="7"/>
    </row>
    <row r="288" spans="1:38" x14ac:dyDescent="0.25">
      <c r="A288" s="2"/>
      <c r="B288" s="3"/>
      <c r="C288" s="3"/>
      <c r="D288" s="15"/>
      <c r="E288" s="2070" t="str">
        <f>Translations!$B$883</f>
        <v>På grund av de mycket stora talen som uttrycks i m3 ska siffrorna uttryckas som 1 000 Nm3 (normalkubikmeter vid 0 °C och 101,325 kPa).</v>
      </c>
      <c r="F288" s="1963"/>
      <c r="G288" s="1963"/>
      <c r="H288" s="1963"/>
      <c r="I288" s="1963"/>
      <c r="J288" s="1963"/>
      <c r="K288" s="1963"/>
      <c r="L288" s="1963"/>
      <c r="M288" s="1963"/>
      <c r="N288" s="1963"/>
      <c r="O288" s="6"/>
      <c r="P288" s="15"/>
      <c r="Q288" s="7"/>
      <c r="R288" s="2"/>
      <c r="S288" s="2"/>
      <c r="T288" s="7"/>
      <c r="U288" s="7"/>
      <c r="V288" s="2"/>
      <c r="W288" s="2"/>
      <c r="X288" s="2"/>
      <c r="Y288" s="7"/>
      <c r="Z288" s="7"/>
      <c r="AA288" s="7"/>
      <c r="AB288" s="7"/>
      <c r="AC288" s="7"/>
      <c r="AD288" s="7"/>
      <c r="AE288" s="7"/>
      <c r="AF288" s="7"/>
      <c r="AG288" s="7"/>
      <c r="AH288" s="7"/>
      <c r="AI288" s="7"/>
      <c r="AJ288" s="7"/>
      <c r="AK288" s="7"/>
      <c r="AL288" s="7"/>
    </row>
    <row r="289" spans="1:38" ht="13.5" thickBot="1" x14ac:dyDescent="0.3">
      <c r="A289" s="2"/>
      <c r="B289" s="19"/>
      <c r="C289" s="19"/>
      <c r="D289" s="13"/>
      <c r="E289" s="24"/>
      <c r="F289" s="21"/>
      <c r="G289" s="30" t="str">
        <f>EUconst_Unit</f>
        <v>Enhet</v>
      </c>
      <c r="H289" s="350">
        <f t="shared" ref="H289:N289" si="52">H$421</f>
        <v>2019</v>
      </c>
      <c r="I289" s="350">
        <f t="shared" si="52"/>
        <v>2020</v>
      </c>
      <c r="J289" s="350">
        <f t="shared" si="52"/>
        <v>2021</v>
      </c>
      <c r="K289" s="350">
        <f t="shared" si="52"/>
        <v>2022</v>
      </c>
      <c r="L289" s="350">
        <f t="shared" si="52"/>
        <v>2023</v>
      </c>
      <c r="M289" s="350">
        <f t="shared" si="52"/>
        <v>2024</v>
      </c>
      <c r="N289" s="673">
        <f t="shared" si="52"/>
        <v>2025</v>
      </c>
      <c r="O289" s="6"/>
      <c r="P289" s="15"/>
      <c r="Q289" s="2"/>
      <c r="R289" s="2"/>
      <c r="S289" s="2"/>
      <c r="T289" s="7"/>
      <c r="U289" s="7"/>
      <c r="V289" s="2"/>
      <c r="W289" s="2"/>
      <c r="X289" s="2"/>
      <c r="Y289" s="7"/>
      <c r="Z289" s="7"/>
      <c r="AA289" s="7"/>
      <c r="AB289" s="2"/>
      <c r="AC289" s="1051">
        <f t="shared" ref="AC289:AI289" si="53">H289</f>
        <v>2019</v>
      </c>
      <c r="AD289" s="1051">
        <f t="shared" si="53"/>
        <v>2020</v>
      </c>
      <c r="AE289" s="1051">
        <f t="shared" si="53"/>
        <v>2021</v>
      </c>
      <c r="AF289" s="1051">
        <f t="shared" si="53"/>
        <v>2022</v>
      </c>
      <c r="AG289" s="1051">
        <f t="shared" si="53"/>
        <v>2023</v>
      </c>
      <c r="AH289" s="1051">
        <f t="shared" si="53"/>
        <v>2024</v>
      </c>
      <c r="AI289" s="1051">
        <f t="shared" si="53"/>
        <v>2025</v>
      </c>
      <c r="AJ289" s="7"/>
      <c r="AK289" s="7"/>
      <c r="AL289" s="7"/>
    </row>
    <row r="290" spans="1:38" ht="13" customHeight="1" x14ac:dyDescent="0.25">
      <c r="A290" s="2"/>
      <c r="B290" s="19"/>
      <c r="C290" s="19"/>
      <c r="D290" s="19"/>
      <c r="E290" s="2496" t="str">
        <f>Translations!$B$884</f>
        <v>Total vätgasproduktion</v>
      </c>
      <c r="F290" s="2496"/>
      <c r="G290" s="43" t="str">
        <f>EUconst_kNm3pa</f>
        <v>1000Nm3/år</v>
      </c>
      <c r="H290" s="260"/>
      <c r="I290" s="260"/>
      <c r="J290" s="260"/>
      <c r="K290" s="260"/>
      <c r="L290" s="260"/>
      <c r="M290" s="260"/>
      <c r="N290" s="670"/>
      <c r="O290" s="6"/>
      <c r="P290" s="15"/>
      <c r="Q290" s="2"/>
      <c r="R290" s="2"/>
      <c r="S290" s="2"/>
      <c r="T290" s="7"/>
      <c r="U290" s="7"/>
      <c r="V290" s="2"/>
      <c r="W290" s="2"/>
      <c r="X290" s="2"/>
      <c r="Y290" s="7"/>
      <c r="Z290" s="7"/>
      <c r="AA290" s="7"/>
      <c r="AB290" s="672" t="s">
        <v>782</v>
      </c>
      <c r="AC290" s="1059" t="b">
        <f t="shared" ref="AC290:AI290" si="54">IF(CNTR_ExistSubInstEntries,IF($L282=EUconst_Relevant,AC289&gt;=CNTR_ReportingYear,TRUE),FALSE)</f>
        <v>0</v>
      </c>
      <c r="AD290" s="1057" t="b">
        <f t="shared" si="54"/>
        <v>0</v>
      </c>
      <c r="AE290" s="1057" t="b">
        <f t="shared" si="54"/>
        <v>0</v>
      </c>
      <c r="AF290" s="1057" t="b">
        <f t="shared" si="54"/>
        <v>0</v>
      </c>
      <c r="AG290" s="1057" t="b">
        <f t="shared" si="54"/>
        <v>0</v>
      </c>
      <c r="AH290" s="1057" t="b">
        <f t="shared" si="54"/>
        <v>0</v>
      </c>
      <c r="AI290" s="1058" t="b">
        <f t="shared" si="54"/>
        <v>0</v>
      </c>
      <c r="AJ290" s="7"/>
      <c r="AK290" s="7"/>
      <c r="AL290" s="7"/>
    </row>
    <row r="291" spans="1:38" ht="5.15" customHeight="1" x14ac:dyDescent="0.25">
      <c r="A291" s="2"/>
      <c r="B291" s="3"/>
      <c r="C291" s="3"/>
      <c r="D291" s="3"/>
      <c r="E291" s="3"/>
      <c r="F291" s="3"/>
      <c r="G291" s="3"/>
      <c r="H291" s="3"/>
      <c r="I291" s="3"/>
      <c r="J291" s="3"/>
      <c r="K291" s="3"/>
      <c r="L291" s="3"/>
      <c r="M291" s="3"/>
      <c r="N291" s="6"/>
      <c r="O291" s="6"/>
      <c r="P291" s="15"/>
      <c r="Q291" s="7"/>
      <c r="R291" s="2"/>
      <c r="S291" s="2"/>
      <c r="T291" s="7"/>
      <c r="U291" s="7"/>
      <c r="V291" s="2"/>
      <c r="W291" s="2"/>
      <c r="X291" s="2"/>
      <c r="Y291" s="7"/>
      <c r="Z291" s="7"/>
      <c r="AA291" s="7"/>
      <c r="AB291" s="7"/>
      <c r="AC291" s="1066"/>
      <c r="AD291" s="7"/>
      <c r="AE291" s="7"/>
      <c r="AF291" s="7"/>
      <c r="AG291" s="7"/>
      <c r="AH291" s="7"/>
      <c r="AI291" s="1067"/>
      <c r="AJ291" s="7"/>
      <c r="AK291" s="7"/>
      <c r="AL291" s="7"/>
    </row>
    <row r="292" spans="1:38" ht="13" customHeight="1" x14ac:dyDescent="0.25">
      <c r="A292" s="2"/>
      <c r="B292" s="3"/>
      <c r="C292" s="3"/>
      <c r="D292" s="13" t="s">
        <v>55</v>
      </c>
      <c r="E292" s="2106" t="str">
        <f>Translations!$B$885</f>
        <v>Volymfraktion vätgas VF(H2)</v>
      </c>
      <c r="F292" s="1960"/>
      <c r="G292" s="1960"/>
      <c r="H292" s="1960"/>
      <c r="I292" s="1960"/>
      <c r="J292" s="1960"/>
      <c r="K292" s="1960"/>
      <c r="L292" s="1960"/>
      <c r="M292" s="1960"/>
      <c r="N292" s="1960"/>
      <c r="O292" s="6"/>
      <c r="P292" s="15"/>
      <c r="Q292" s="7"/>
      <c r="R292" s="2"/>
      <c r="S292" s="2"/>
      <c r="T292" s="7"/>
      <c r="U292" s="7"/>
      <c r="V292" s="2"/>
      <c r="W292" s="2"/>
      <c r="X292" s="2"/>
      <c r="Y292" s="7"/>
      <c r="Z292" s="7"/>
      <c r="AA292" s="7"/>
      <c r="AB292" s="7"/>
      <c r="AC292" s="1066"/>
      <c r="AD292" s="7"/>
      <c r="AE292" s="7"/>
      <c r="AF292" s="7"/>
      <c r="AG292" s="7"/>
      <c r="AH292" s="7"/>
      <c r="AI292" s="1067"/>
      <c r="AJ292" s="7"/>
      <c r="AK292" s="7"/>
      <c r="AL292" s="7"/>
    </row>
    <row r="293" spans="1:38" ht="12.65" customHeight="1" x14ac:dyDescent="0.25">
      <c r="A293" s="2"/>
      <c r="B293" s="3"/>
      <c r="C293" s="3"/>
      <c r="D293" s="15"/>
      <c r="E293" s="2075" t="str">
        <f>Translations!$B$1530</f>
        <v>Var god ange den historiska produktionens volymfraktion ren vätgas för varje år. Detta är en dimensionslös siffra.</v>
      </c>
      <c r="F293" s="1960"/>
      <c r="G293" s="1960"/>
      <c r="H293" s="1960"/>
      <c r="I293" s="1960"/>
      <c r="J293" s="1960"/>
      <c r="K293" s="1960"/>
      <c r="L293" s="1960"/>
      <c r="M293" s="1960"/>
      <c r="N293" s="1960"/>
      <c r="O293" s="6"/>
      <c r="P293" s="15"/>
      <c r="Q293" s="7"/>
      <c r="R293" s="2"/>
      <c r="S293" s="2"/>
      <c r="T293" s="7"/>
      <c r="U293" s="7"/>
      <c r="V293" s="2"/>
      <c r="W293" s="2"/>
      <c r="X293" s="2"/>
      <c r="Y293" s="7"/>
      <c r="Z293" s="7"/>
      <c r="AA293" s="7"/>
      <c r="AB293" s="7"/>
      <c r="AC293" s="1066"/>
      <c r="AD293" s="7"/>
      <c r="AE293" s="7"/>
      <c r="AF293" s="7"/>
      <c r="AG293" s="7"/>
      <c r="AH293" s="7"/>
      <c r="AI293" s="1067"/>
      <c r="AJ293" s="7"/>
      <c r="AK293" s="7"/>
      <c r="AL293" s="7"/>
    </row>
    <row r="294" spans="1:38" ht="13" customHeight="1" x14ac:dyDescent="0.25">
      <c r="A294" s="2"/>
      <c r="B294" s="3"/>
      <c r="C294" s="3"/>
      <c r="D294" s="15"/>
      <c r="E294" s="2075" t="str">
        <f>Translations!$B$886</f>
        <v xml:space="preserve">Ni kan ange siffran 95 % som ”0,95” eller ”95 %”. </v>
      </c>
      <c r="F294" s="1960"/>
      <c r="G294" s="1960"/>
      <c r="H294" s="1960"/>
      <c r="I294" s="1960"/>
      <c r="J294" s="1960"/>
      <c r="K294" s="1960"/>
      <c r="L294" s="1960"/>
      <c r="M294" s="1960"/>
      <c r="N294" s="1960"/>
      <c r="O294" s="6"/>
      <c r="P294" s="15"/>
      <c r="Q294" s="7"/>
      <c r="R294" s="2"/>
      <c r="S294" s="2"/>
      <c r="T294" s="7"/>
      <c r="U294" s="7"/>
      <c r="V294" s="2"/>
      <c r="W294" s="2"/>
      <c r="X294" s="2"/>
      <c r="Y294" s="7"/>
      <c r="Z294" s="7"/>
      <c r="AA294" s="7"/>
      <c r="AB294" s="7"/>
      <c r="AC294" s="1066"/>
      <c r="AD294" s="7"/>
      <c r="AE294" s="7"/>
      <c r="AF294" s="7"/>
      <c r="AG294" s="7"/>
      <c r="AH294" s="7"/>
      <c r="AI294" s="1067"/>
      <c r="AJ294" s="7"/>
      <c r="AK294" s="7"/>
      <c r="AL294" s="7"/>
    </row>
    <row r="295" spans="1:38" ht="13" x14ac:dyDescent="0.25">
      <c r="A295" s="2"/>
      <c r="B295" s="19"/>
      <c r="C295" s="19"/>
      <c r="D295" s="13"/>
      <c r="E295" s="24"/>
      <c r="F295" s="21"/>
      <c r="G295" s="30" t="str">
        <f>EUconst_Unit</f>
        <v>Enhet</v>
      </c>
      <c r="H295" s="350">
        <f t="shared" ref="H295:N295" si="55">H$421</f>
        <v>2019</v>
      </c>
      <c r="I295" s="350">
        <f t="shared" si="55"/>
        <v>2020</v>
      </c>
      <c r="J295" s="350">
        <f t="shared" si="55"/>
        <v>2021</v>
      </c>
      <c r="K295" s="350">
        <f t="shared" si="55"/>
        <v>2022</v>
      </c>
      <c r="L295" s="350">
        <f t="shared" si="55"/>
        <v>2023</v>
      </c>
      <c r="M295" s="350">
        <f t="shared" si="55"/>
        <v>2024</v>
      </c>
      <c r="N295" s="673">
        <f t="shared" si="55"/>
        <v>2025</v>
      </c>
      <c r="O295" s="6"/>
      <c r="P295" s="15"/>
      <c r="Q295" s="2"/>
      <c r="R295" s="2"/>
      <c r="S295" s="2"/>
      <c r="T295" s="7"/>
      <c r="U295" s="7"/>
      <c r="V295" s="2"/>
      <c r="W295" s="2"/>
      <c r="X295" s="2"/>
      <c r="Y295" s="7"/>
      <c r="Z295" s="7"/>
      <c r="AA295" s="7"/>
      <c r="AB295" s="7"/>
      <c r="AC295" s="1066"/>
      <c r="AD295" s="7"/>
      <c r="AE295" s="7"/>
      <c r="AF295" s="7"/>
      <c r="AG295" s="7"/>
      <c r="AH295" s="7"/>
      <c r="AI295" s="1067"/>
      <c r="AJ295" s="7"/>
      <c r="AK295" s="7"/>
      <c r="AL295" s="7"/>
    </row>
    <row r="296" spans="1:38" ht="13" customHeight="1" thickBot="1" x14ac:dyDescent="0.3">
      <c r="A296" s="2"/>
      <c r="B296" s="19"/>
      <c r="C296" s="19"/>
      <c r="D296" s="19"/>
      <c r="E296" s="2496" t="str">
        <f>Translations!$B$887</f>
        <v>Volymfraktion vätgas</v>
      </c>
      <c r="F296" s="1997"/>
      <c r="G296" s="117" t="s">
        <v>1112</v>
      </c>
      <c r="H296" s="236"/>
      <c r="I296" s="236"/>
      <c r="J296" s="236"/>
      <c r="K296" s="236"/>
      <c r="L296" s="236"/>
      <c r="M296" s="236"/>
      <c r="N296" s="694"/>
      <c r="O296" s="6"/>
      <c r="P296" s="15"/>
      <c r="Q296" s="2"/>
      <c r="R296" s="2"/>
      <c r="S296" s="2"/>
      <c r="T296" s="7"/>
      <c r="U296" s="7"/>
      <c r="V296" s="2"/>
      <c r="W296" s="2"/>
      <c r="X296" s="2"/>
      <c r="Y296" s="7"/>
      <c r="Z296" s="7"/>
      <c r="AA296" s="7"/>
      <c r="AB296" s="7"/>
      <c r="AC296" s="1062" t="b">
        <f>AC290</f>
        <v>0</v>
      </c>
      <c r="AD296" s="1063" t="b">
        <f t="shared" ref="AD296:AI296" si="56">AD290</f>
        <v>0</v>
      </c>
      <c r="AE296" s="1063" t="b">
        <f t="shared" si="56"/>
        <v>0</v>
      </c>
      <c r="AF296" s="1063" t="b">
        <f t="shared" si="56"/>
        <v>0</v>
      </c>
      <c r="AG296" s="1063" t="b">
        <f t="shared" si="56"/>
        <v>0</v>
      </c>
      <c r="AH296" s="1063" t="b">
        <f t="shared" si="56"/>
        <v>0</v>
      </c>
      <c r="AI296" s="1064" t="b">
        <f t="shared" si="56"/>
        <v>0</v>
      </c>
      <c r="AJ296" s="7"/>
      <c r="AK296" s="7"/>
      <c r="AL296" s="7"/>
    </row>
    <row r="297" spans="1:38" ht="5.15" customHeight="1" x14ac:dyDescent="0.25">
      <c r="A297" s="2"/>
      <c r="B297" s="3"/>
      <c r="C297" s="3"/>
      <c r="D297" s="3"/>
      <c r="E297" s="3"/>
      <c r="F297" s="3"/>
      <c r="G297" s="3"/>
      <c r="H297" s="3"/>
      <c r="I297" s="3"/>
      <c r="J297" s="3"/>
      <c r="K297" s="3"/>
      <c r="L297" s="3"/>
      <c r="M297" s="3"/>
      <c r="N297" s="6"/>
      <c r="O297" s="6"/>
      <c r="P297" s="15"/>
      <c r="Q297" s="7"/>
      <c r="R297" s="2"/>
      <c r="S297" s="2"/>
      <c r="T297" s="2"/>
      <c r="U297" s="2"/>
      <c r="V297" s="2"/>
      <c r="W297" s="2"/>
      <c r="X297" s="2"/>
      <c r="Y297" s="7"/>
      <c r="Z297" s="7"/>
      <c r="AA297" s="7"/>
      <c r="AB297" s="7"/>
      <c r="AC297" s="7"/>
      <c r="AD297" s="7"/>
      <c r="AE297" s="7"/>
      <c r="AF297" s="7"/>
      <c r="AG297" s="7"/>
      <c r="AH297" s="7"/>
      <c r="AI297" s="7"/>
      <c r="AJ297" s="7"/>
      <c r="AK297" s="7"/>
      <c r="AL297" s="7"/>
    </row>
    <row r="298" spans="1:38" ht="13" customHeight="1" x14ac:dyDescent="0.25">
      <c r="A298" s="2"/>
      <c r="B298" s="3"/>
      <c r="C298" s="3"/>
      <c r="D298" s="13" t="s">
        <v>960</v>
      </c>
      <c r="E298" s="2106" t="str">
        <f>Translations!$B$888</f>
        <v>Resultat: Verksamhetsnivåer för vätgas uttryckt i ton 100 % vätgas</v>
      </c>
      <c r="F298" s="1960"/>
      <c r="G298" s="1960"/>
      <c r="H298" s="1960"/>
      <c r="I298" s="1960"/>
      <c r="J298" s="1960"/>
      <c r="K298" s="1960"/>
      <c r="L298" s="1960"/>
      <c r="M298" s="1960"/>
      <c r="N298" s="1960"/>
      <c r="O298" s="6"/>
      <c r="P298" s="15"/>
      <c r="Q298" s="7"/>
      <c r="R298" s="2"/>
      <c r="S298" s="2"/>
      <c r="T298" s="2"/>
      <c r="U298" s="2"/>
      <c r="V298" s="2"/>
      <c r="W298" s="2"/>
      <c r="X298" s="2"/>
      <c r="Y298" s="7"/>
      <c r="Z298" s="7"/>
      <c r="AA298" s="7"/>
      <c r="AB298" s="7"/>
      <c r="AC298" s="7"/>
      <c r="AD298" s="7"/>
      <c r="AE298" s="7"/>
      <c r="AF298" s="7"/>
      <c r="AG298" s="7"/>
      <c r="AH298" s="7"/>
      <c r="AI298" s="7"/>
      <c r="AJ298" s="7"/>
      <c r="AK298" s="7"/>
      <c r="AL298" s="7"/>
    </row>
    <row r="299" spans="1:38" ht="12.65" customHeight="1" x14ac:dyDescent="0.25">
      <c r="A299" s="2"/>
      <c r="B299" s="3"/>
      <c r="C299" s="3"/>
      <c r="D299" s="15"/>
      <c r="E299" s="2075" t="str">
        <f>Translations!$B$889</f>
        <v>Den korrigerade verksamhetsnivån (100 % vätgas) beräknas med hjälp av formeln i punkt 6 i bilaga III till FAR (innan genomsnittsvärdet fastställs).</v>
      </c>
      <c r="F299" s="1960"/>
      <c r="G299" s="1960"/>
      <c r="H299" s="1960"/>
      <c r="I299" s="1960"/>
      <c r="J299" s="1960"/>
      <c r="K299" s="1960"/>
      <c r="L299" s="1960"/>
      <c r="M299" s="1960"/>
      <c r="N299" s="1960"/>
      <c r="O299" s="6"/>
      <c r="P299" s="15"/>
      <c r="Q299" s="7"/>
      <c r="R299" s="2"/>
      <c r="S299" s="2"/>
      <c r="T299" s="2"/>
      <c r="U299" s="2"/>
      <c r="V299" s="2"/>
      <c r="W299" s="2"/>
      <c r="X299" s="2"/>
      <c r="Y299" s="7"/>
      <c r="Z299" s="7"/>
      <c r="AA299" s="7"/>
      <c r="AB299" s="7"/>
      <c r="AC299" s="7"/>
      <c r="AD299" s="7"/>
      <c r="AE299" s="7"/>
      <c r="AF299" s="7"/>
      <c r="AG299" s="7"/>
      <c r="AH299" s="7"/>
      <c r="AI299" s="7"/>
      <c r="AJ299" s="7"/>
      <c r="AK299" s="7"/>
      <c r="AL299" s="7"/>
    </row>
    <row r="300" spans="1:38" ht="12.65" customHeight="1" x14ac:dyDescent="0.25">
      <c r="A300" s="2"/>
      <c r="B300" s="3"/>
      <c r="C300" s="3"/>
      <c r="D300" s="15"/>
      <c r="E300" s="2075" t="str">
        <f>Translations!$B$890</f>
        <v>Om formeln resulterar i ett negativt värde ska detta ersättas med noll.</v>
      </c>
      <c r="F300" s="1960"/>
      <c r="G300" s="1960"/>
      <c r="H300" s="1960"/>
      <c r="I300" s="1960"/>
      <c r="J300" s="1960"/>
      <c r="K300" s="1960"/>
      <c r="L300" s="1960"/>
      <c r="M300" s="1960"/>
      <c r="N300" s="1960"/>
      <c r="O300" s="6"/>
      <c r="P300" s="15"/>
      <c r="Q300" s="7"/>
      <c r="R300" s="2"/>
      <c r="S300" s="2"/>
      <c r="T300" s="2"/>
      <c r="U300" s="2"/>
      <c r="V300" s="2"/>
      <c r="W300" s="2"/>
      <c r="X300" s="2"/>
      <c r="Y300" s="7"/>
      <c r="Z300" s="7"/>
      <c r="AA300" s="7"/>
      <c r="AB300" s="7"/>
      <c r="AC300" s="7"/>
      <c r="AD300" s="7"/>
      <c r="AE300" s="7"/>
      <c r="AF300" s="7"/>
      <c r="AG300" s="7"/>
      <c r="AH300" s="7"/>
      <c r="AI300" s="7"/>
      <c r="AJ300" s="7"/>
      <c r="AK300" s="7"/>
      <c r="AL300" s="7"/>
    </row>
    <row r="301" spans="1:38" ht="13" customHeight="1" x14ac:dyDescent="0.25">
      <c r="A301" s="2"/>
      <c r="B301" s="3"/>
      <c r="C301" s="3"/>
      <c r="D301" s="15"/>
      <c r="E301" s="2075" t="str">
        <f>Translations!$B$806</f>
        <v>Resultatet av verktyget används i bladet ”F_ProductBM”, inmatningsrad a.ii för delanläggningen i fråga, och genomsnittet beräknas utifrån detta.</v>
      </c>
      <c r="F301" s="1960"/>
      <c r="G301" s="1960"/>
      <c r="H301" s="1960"/>
      <c r="I301" s="1960"/>
      <c r="J301" s="1960"/>
      <c r="K301" s="1960"/>
      <c r="L301" s="1960"/>
      <c r="M301" s="1960"/>
      <c r="N301" s="1960"/>
      <c r="O301" s="6"/>
      <c r="P301" s="15"/>
      <c r="Q301" s="7"/>
      <c r="R301" s="2"/>
      <c r="S301" s="2"/>
      <c r="T301" s="2"/>
      <c r="U301" s="2"/>
      <c r="V301" s="2"/>
      <c r="W301" s="2"/>
      <c r="X301" s="2"/>
      <c r="Y301" s="7"/>
      <c r="Z301" s="7"/>
      <c r="AA301" s="7"/>
      <c r="AB301" s="7"/>
      <c r="AC301" s="7"/>
      <c r="AD301" s="7"/>
      <c r="AE301" s="7"/>
      <c r="AF301" s="7"/>
      <c r="AG301" s="7"/>
      <c r="AH301" s="7"/>
      <c r="AI301" s="7"/>
      <c r="AJ301" s="7"/>
      <c r="AK301" s="7"/>
      <c r="AL301" s="7"/>
    </row>
    <row r="302" spans="1:38" ht="13" x14ac:dyDescent="0.25">
      <c r="A302" s="2"/>
      <c r="B302" s="19"/>
      <c r="C302" s="19"/>
      <c r="D302" s="13"/>
      <c r="E302" s="21"/>
      <c r="F302" s="21"/>
      <c r="G302" s="30" t="str">
        <f>EUconst_Unit</f>
        <v>Enhet</v>
      </c>
      <c r="H302" s="350">
        <f t="shared" ref="H302:N302" si="57">H$421</f>
        <v>2019</v>
      </c>
      <c r="I302" s="350">
        <f t="shared" si="57"/>
        <v>2020</v>
      </c>
      <c r="J302" s="350">
        <f t="shared" si="57"/>
        <v>2021</v>
      </c>
      <c r="K302" s="350">
        <f t="shared" si="57"/>
        <v>2022</v>
      </c>
      <c r="L302" s="350">
        <f t="shared" si="57"/>
        <v>2023</v>
      </c>
      <c r="M302" s="350">
        <f t="shared" si="57"/>
        <v>2024</v>
      </c>
      <c r="N302" s="673">
        <f t="shared" si="57"/>
        <v>2025</v>
      </c>
      <c r="O302" s="6"/>
      <c r="P302" s="15"/>
      <c r="Q302" s="2"/>
      <c r="R302" s="2"/>
      <c r="S302" s="2"/>
      <c r="T302" s="2"/>
      <c r="U302" s="2"/>
      <c r="V302" s="2"/>
      <c r="W302" s="2"/>
      <c r="X302" s="2"/>
      <c r="Y302" s="7"/>
      <c r="Z302" s="7"/>
      <c r="AA302" s="7"/>
      <c r="AB302" s="7"/>
      <c r="AC302" s="7"/>
      <c r="AD302" s="7"/>
      <c r="AE302" s="7"/>
      <c r="AF302" s="7"/>
      <c r="AG302" s="7"/>
      <c r="AH302" s="7"/>
      <c r="AI302" s="7"/>
      <c r="AJ302" s="7"/>
      <c r="AK302" s="7"/>
      <c r="AL302" s="7"/>
    </row>
    <row r="303" spans="1:38" ht="13" customHeight="1" x14ac:dyDescent="0.25">
      <c r="A303" s="2"/>
      <c r="B303" s="19"/>
      <c r="C303" s="19"/>
      <c r="D303" s="19"/>
      <c r="E303" s="2496" t="str">
        <f>Translations!$B$891</f>
        <v>Vätgas (i 100 % ren vätgas)</v>
      </c>
      <c r="F303" s="1997"/>
      <c r="G303" s="43" t="str">
        <f>EUconst_tpa</f>
        <v>t / år</v>
      </c>
      <c r="H303" s="258" t="str">
        <f t="shared" ref="H303:N303" si="58">IF(AND(ISNUMBER(H290),ISNUMBER(H296)),IF((H290*0.08987*(1-(1-H296)/0.4027)&gt;0),H290*0.08987*(1-(1-H296)/0.4027),0),"")</f>
        <v/>
      </c>
      <c r="I303" s="258" t="str">
        <f t="shared" si="58"/>
        <v/>
      </c>
      <c r="J303" s="258" t="str">
        <f t="shared" si="58"/>
        <v/>
      </c>
      <c r="K303" s="258" t="str">
        <f t="shared" si="58"/>
        <v/>
      </c>
      <c r="L303" s="258" t="str">
        <f t="shared" si="58"/>
        <v/>
      </c>
      <c r="M303" s="258" t="str">
        <f t="shared" si="58"/>
        <v/>
      </c>
      <c r="N303" s="695" t="str">
        <f t="shared" si="58"/>
        <v/>
      </c>
      <c r="O303" s="6"/>
      <c r="P303" s="15"/>
      <c r="Q303" s="108" t="str">
        <f>IF(L282=EUconst_Relevant,EUconst_CNTR_HALspecial &amp; INDEX(EUconst_BMlistNames,R282),"")</f>
        <v/>
      </c>
      <c r="R303" s="2"/>
      <c r="S303" s="2"/>
      <c r="T303" s="2"/>
      <c r="U303" s="2"/>
      <c r="V303" s="2"/>
      <c r="W303" s="2"/>
      <c r="X303" s="2"/>
      <c r="Y303" s="7"/>
      <c r="Z303" s="7"/>
      <c r="AA303" s="7"/>
      <c r="AB303" s="7"/>
      <c r="AC303" s="7"/>
      <c r="AD303" s="7"/>
      <c r="AE303" s="7"/>
      <c r="AF303" s="7"/>
      <c r="AG303" s="7"/>
      <c r="AH303" s="7"/>
      <c r="AI303" s="7"/>
      <c r="AJ303" s="7"/>
      <c r="AK303" s="7"/>
      <c r="AL303" s="7"/>
    </row>
    <row r="304" spans="1:38" ht="5.15" customHeight="1" x14ac:dyDescent="0.25">
      <c r="A304" s="2"/>
      <c r="B304" s="3"/>
      <c r="C304" s="3"/>
      <c r="D304" s="3"/>
      <c r="E304" s="3"/>
      <c r="F304" s="3"/>
      <c r="G304" s="3"/>
      <c r="H304" s="3"/>
      <c r="I304" s="3"/>
      <c r="J304" s="3"/>
      <c r="K304" s="3"/>
      <c r="L304" s="3"/>
      <c r="M304" s="6"/>
      <c r="N304" s="6"/>
      <c r="O304" s="6"/>
      <c r="P304" s="15"/>
      <c r="Q304" s="7"/>
      <c r="R304" s="2"/>
      <c r="S304" s="2"/>
      <c r="T304" s="2"/>
      <c r="U304" s="2"/>
      <c r="V304" s="2"/>
      <c r="W304" s="2"/>
      <c r="X304" s="2"/>
      <c r="Y304" s="7"/>
      <c r="Z304" s="7"/>
      <c r="AA304" s="7"/>
      <c r="AB304" s="7"/>
      <c r="AC304" s="7"/>
      <c r="AD304" s="7"/>
      <c r="AE304" s="7"/>
      <c r="AF304" s="7"/>
      <c r="AG304" s="7"/>
      <c r="AH304" s="7"/>
      <c r="AI304" s="7"/>
      <c r="AJ304" s="7"/>
      <c r="AK304" s="7"/>
      <c r="AL304" s="7"/>
    </row>
    <row r="305" spans="1:38" ht="13" x14ac:dyDescent="0.25">
      <c r="A305" s="2"/>
      <c r="B305" s="3"/>
      <c r="C305" s="3"/>
      <c r="D305" s="3"/>
      <c r="E305" s="2748" t="str">
        <f>IF(L282=EUconst_Relevant,HYPERLINK(R305,EUconst_MsgBackToSheetF),"")</f>
        <v/>
      </c>
      <c r="F305" s="2749"/>
      <c r="G305" s="2749"/>
      <c r="H305" s="2749"/>
      <c r="I305" s="2749"/>
      <c r="J305" s="2749"/>
      <c r="K305" s="2749"/>
      <c r="L305" s="2749"/>
      <c r="M305" s="2749"/>
      <c r="N305" s="2750"/>
      <c r="O305" s="6"/>
      <c r="P305" s="15"/>
      <c r="Q305" s="309" t="s">
        <v>127</v>
      </c>
      <c r="R305" s="108" t="str">
        <f>R284</f>
        <v/>
      </c>
      <c r="S305" s="2"/>
      <c r="T305" s="2"/>
      <c r="U305" s="2"/>
      <c r="V305" s="2"/>
      <c r="W305" s="2"/>
      <c r="X305" s="2"/>
      <c r="Y305" s="7"/>
      <c r="Z305" s="7"/>
      <c r="AA305" s="7"/>
      <c r="AB305" s="7"/>
      <c r="AC305" s="7"/>
      <c r="AD305" s="7"/>
      <c r="AE305" s="7"/>
      <c r="AF305" s="7"/>
      <c r="AG305" s="7"/>
      <c r="AH305" s="7"/>
      <c r="AI305" s="7"/>
      <c r="AJ305" s="7"/>
      <c r="AK305" s="7"/>
      <c r="AL305" s="7"/>
    </row>
    <row r="306" spans="1:38" x14ac:dyDescent="0.25">
      <c r="A306" s="2"/>
      <c r="B306" s="19"/>
      <c r="C306" s="19"/>
      <c r="D306" s="19"/>
      <c r="E306" s="19"/>
      <c r="F306" s="19"/>
      <c r="G306" s="19"/>
      <c r="H306" s="19"/>
      <c r="I306" s="19"/>
      <c r="J306" s="19"/>
      <c r="K306" s="19"/>
      <c r="L306" s="19"/>
      <c r="M306" s="19"/>
      <c r="N306" s="19"/>
      <c r="O306" s="6"/>
      <c r="P306" s="15"/>
      <c r="Q306" s="2"/>
      <c r="R306" s="2"/>
      <c r="S306" s="2"/>
      <c r="T306" s="2"/>
      <c r="U306" s="2"/>
      <c r="V306" s="2"/>
      <c r="W306" s="2"/>
      <c r="X306" s="2"/>
      <c r="Y306" s="7"/>
      <c r="Z306" s="7"/>
      <c r="AA306" s="7"/>
      <c r="AB306" s="7"/>
      <c r="AC306" s="7"/>
      <c r="AD306" s="7"/>
      <c r="AE306" s="7"/>
      <c r="AF306" s="7"/>
      <c r="AG306" s="7"/>
      <c r="AH306" s="7"/>
      <c r="AI306" s="7"/>
      <c r="AJ306" s="7"/>
      <c r="AK306" s="7"/>
      <c r="AL306" s="7"/>
    </row>
    <row r="307" spans="1:38" ht="15.5" x14ac:dyDescent="0.35">
      <c r="A307" s="2"/>
      <c r="B307" s="3"/>
      <c r="C307" s="11" t="s">
        <v>1010</v>
      </c>
      <c r="D307" s="1975" t="str">
        <f>Translations!$B$892</f>
        <v>Syntesgas</v>
      </c>
      <c r="E307" s="1975"/>
      <c r="F307" s="1975"/>
      <c r="G307" s="1975"/>
      <c r="H307" s="1975"/>
      <c r="I307" s="1975"/>
      <c r="J307" s="1975"/>
      <c r="K307" s="1975"/>
      <c r="L307" s="1975"/>
      <c r="M307" s="1975"/>
      <c r="N307" s="1975"/>
      <c r="O307" s="6"/>
      <c r="P307" s="15"/>
      <c r="Q307" s="7"/>
      <c r="R307" s="2"/>
      <c r="S307" s="2"/>
      <c r="T307" s="2"/>
      <c r="U307" s="2"/>
      <c r="V307" s="2"/>
      <c r="W307" s="2"/>
      <c r="X307" s="2"/>
      <c r="Y307" s="7"/>
      <c r="Z307" s="7"/>
      <c r="AA307" s="7"/>
      <c r="AB307" s="7"/>
      <c r="AC307" s="7"/>
      <c r="AD307" s="7"/>
      <c r="AE307" s="7"/>
      <c r="AF307" s="7"/>
      <c r="AG307" s="7"/>
      <c r="AH307" s="7"/>
      <c r="AI307" s="7"/>
      <c r="AJ307" s="7"/>
      <c r="AK307" s="7"/>
      <c r="AL307" s="7"/>
    </row>
    <row r="308" spans="1:38" ht="5.15" customHeight="1" x14ac:dyDescent="0.25">
      <c r="A308" s="2"/>
      <c r="B308" s="3"/>
      <c r="C308" s="3"/>
      <c r="D308" s="3"/>
      <c r="E308" s="3"/>
      <c r="F308" s="3"/>
      <c r="G308" s="3"/>
      <c r="H308" s="3"/>
      <c r="I308" s="3"/>
      <c r="J308" s="3"/>
      <c r="K308" s="3"/>
      <c r="L308" s="3"/>
      <c r="M308" s="6"/>
      <c r="N308" s="6"/>
      <c r="O308" s="6"/>
      <c r="P308" s="15"/>
      <c r="Q308" s="7"/>
      <c r="R308" s="2"/>
      <c r="S308" s="2"/>
      <c r="T308" s="2"/>
      <c r="U308" s="2"/>
      <c r="V308" s="2"/>
      <c r="W308" s="2"/>
      <c r="X308" s="2"/>
      <c r="Y308" s="7"/>
      <c r="Z308" s="7"/>
      <c r="AA308" s="7"/>
      <c r="AB308" s="7"/>
      <c r="AC308" s="7"/>
      <c r="AD308" s="7"/>
      <c r="AE308" s="7"/>
      <c r="AF308" s="7"/>
      <c r="AG308" s="7"/>
      <c r="AH308" s="7"/>
      <c r="AI308" s="7"/>
      <c r="AJ308" s="7"/>
      <c r="AK308" s="7"/>
      <c r="AL308" s="7"/>
    </row>
    <row r="309" spans="1:38" ht="14" x14ac:dyDescent="0.3">
      <c r="A309" s="2"/>
      <c r="B309" s="3"/>
      <c r="C309" s="17"/>
      <c r="D309" s="2053" t="str">
        <f>Translations!$B$893</f>
        <v>Verktyg för att beräkna historiska verksamhetsnivåer för syntesgasdelanläggningar</v>
      </c>
      <c r="E309" s="1963"/>
      <c r="F309" s="1963"/>
      <c r="G309" s="1963"/>
      <c r="H309" s="1963"/>
      <c r="I309" s="1963"/>
      <c r="J309" s="1963"/>
      <c r="K309" s="1963"/>
      <c r="L309" s="1963"/>
      <c r="M309" s="1963"/>
      <c r="N309" s="1963"/>
      <c r="O309" s="6"/>
      <c r="P309" s="15"/>
      <c r="Q309" s="7"/>
      <c r="R309" s="2"/>
      <c r="S309" s="2"/>
      <c r="T309" s="2"/>
      <c r="U309" s="2"/>
      <c r="V309" s="2"/>
      <c r="W309" s="2"/>
      <c r="X309" s="2"/>
      <c r="Y309" s="7"/>
      <c r="Z309" s="7"/>
      <c r="AA309" s="7"/>
      <c r="AB309" s="7"/>
      <c r="AC309" s="7"/>
      <c r="AD309" s="7"/>
      <c r="AE309" s="7"/>
      <c r="AF309" s="7"/>
      <c r="AG309" s="7"/>
      <c r="AH309" s="7"/>
      <c r="AI309" s="7"/>
      <c r="AJ309" s="7"/>
      <c r="AK309" s="7"/>
      <c r="AL309" s="7"/>
    </row>
    <row r="310" spans="1:38" ht="5.15" customHeight="1" x14ac:dyDescent="0.25">
      <c r="A310" s="2"/>
      <c r="B310" s="3"/>
      <c r="C310" s="3"/>
      <c r="D310" s="3"/>
      <c r="E310" s="3"/>
      <c r="F310" s="3"/>
      <c r="G310" s="3"/>
      <c r="H310" s="3"/>
      <c r="I310" s="3"/>
      <c r="J310" s="3"/>
      <c r="K310" s="3"/>
      <c r="L310" s="3"/>
      <c r="M310" s="6"/>
      <c r="N310" s="6"/>
      <c r="O310" s="6"/>
      <c r="P310" s="15"/>
      <c r="Q310" s="7"/>
      <c r="R310" s="2"/>
      <c r="S310" s="2"/>
      <c r="T310" s="2"/>
      <c r="U310" s="2"/>
      <c r="V310" s="2"/>
      <c r="W310" s="2"/>
      <c r="X310" s="2"/>
      <c r="Y310" s="7"/>
      <c r="Z310" s="7"/>
      <c r="AA310" s="7"/>
      <c r="AB310" s="7"/>
      <c r="AC310" s="7"/>
      <c r="AD310" s="7"/>
      <c r="AE310" s="7"/>
      <c r="AF310" s="7"/>
      <c r="AG310" s="7"/>
      <c r="AH310" s="7"/>
      <c r="AI310" s="7"/>
      <c r="AJ310" s="7"/>
      <c r="AK310" s="7"/>
      <c r="AL310" s="7"/>
    </row>
    <row r="311" spans="1:38" x14ac:dyDescent="0.25">
      <c r="A311" s="2"/>
      <c r="B311" s="3"/>
      <c r="C311" s="3"/>
      <c r="D311" s="15"/>
      <c r="E311" s="2061" t="str">
        <f>Translations!$B$894</f>
        <v>Med hjälp av detta verktyg kan ni fastställa de historiska verksamhetsnivåerna för syntesgasriktmärket (punkt 7 i bilaga III till FAR).</v>
      </c>
      <c r="F311" s="1963"/>
      <c r="G311" s="1963"/>
      <c r="H311" s="1963"/>
      <c r="I311" s="1963"/>
      <c r="J311" s="1963"/>
      <c r="K311" s="1963"/>
      <c r="L311" s="1963"/>
      <c r="M311" s="1963"/>
      <c r="N311" s="1963"/>
      <c r="O311" s="6"/>
      <c r="P311" s="15"/>
      <c r="Q311" s="7"/>
      <c r="R311" s="2"/>
      <c r="S311" s="2"/>
      <c r="T311" s="2"/>
      <c r="U311" s="2"/>
      <c r="V311" s="2"/>
      <c r="W311" s="2"/>
      <c r="X311" s="2"/>
      <c r="Y311" s="7"/>
      <c r="Z311" s="7"/>
      <c r="AA311" s="7"/>
      <c r="AB311" s="7"/>
      <c r="AC311" s="7"/>
      <c r="AD311" s="7"/>
      <c r="AE311" s="7"/>
      <c r="AF311" s="7"/>
      <c r="AG311" s="7"/>
      <c r="AH311" s="7"/>
      <c r="AI311" s="7"/>
      <c r="AJ311" s="7"/>
      <c r="AK311" s="7"/>
      <c r="AL311" s="7"/>
    </row>
    <row r="312" spans="1:38" x14ac:dyDescent="0.25">
      <c r="A312" s="2"/>
      <c r="B312" s="3"/>
      <c r="C312" s="3"/>
      <c r="D312" s="15"/>
      <c r="E312" s="2061" t="str">
        <f>Translations!$B$731</f>
        <v>Resultatet av verktyget kopieras automatiskt in i blad ”F_ProductBM”, inmatningsrad a.ii för delanläggningen i fråga.</v>
      </c>
      <c r="F312" s="1963"/>
      <c r="G312" s="1963"/>
      <c r="H312" s="1963"/>
      <c r="I312" s="1963"/>
      <c r="J312" s="1963"/>
      <c r="K312" s="1963"/>
      <c r="L312" s="1963"/>
      <c r="M312" s="1963"/>
      <c r="N312" s="1963"/>
      <c r="O312" s="6"/>
      <c r="P312" s="15"/>
      <c r="Q312" s="7"/>
      <c r="R312" s="2"/>
      <c r="S312" s="2"/>
      <c r="T312" s="2"/>
      <c r="U312" s="2"/>
      <c r="V312" s="2"/>
      <c r="W312" s="2"/>
      <c r="X312" s="2"/>
      <c r="Y312" s="7"/>
      <c r="Z312" s="7"/>
      <c r="AA312" s="7"/>
      <c r="AB312" s="7"/>
      <c r="AC312" s="7"/>
      <c r="AD312" s="7"/>
      <c r="AE312" s="7"/>
      <c r="AF312" s="7"/>
      <c r="AG312" s="7"/>
      <c r="AH312" s="7"/>
      <c r="AI312" s="7"/>
      <c r="AJ312" s="7"/>
      <c r="AK312" s="7"/>
      <c r="AL312" s="7"/>
    </row>
    <row r="313" spans="1:38" x14ac:dyDescent="0.25">
      <c r="A313" s="2"/>
      <c r="B313" s="3"/>
      <c r="C313" s="3"/>
      <c r="D313" s="15"/>
      <c r="E313" s="2070" t="str">
        <f>Translations!$B$895</f>
        <v>Var god notera att procentandelarna för vätgasinnehåll ska uttryckas som volymprocent.</v>
      </c>
      <c r="F313" s="1963"/>
      <c r="G313" s="1963"/>
      <c r="H313" s="1963"/>
      <c r="I313" s="1963"/>
      <c r="J313" s="1963"/>
      <c r="K313" s="1963"/>
      <c r="L313" s="1963"/>
      <c r="M313" s="1963"/>
      <c r="N313" s="1963"/>
      <c r="O313" s="6"/>
      <c r="P313" s="15"/>
      <c r="Q313" s="7"/>
      <c r="R313" s="2"/>
      <c r="S313" s="2"/>
      <c r="T313" s="2"/>
      <c r="U313" s="2"/>
      <c r="V313" s="2"/>
      <c r="W313" s="2"/>
      <c r="X313" s="2"/>
      <c r="Y313" s="7"/>
      <c r="Z313" s="7"/>
      <c r="AA313" s="7"/>
      <c r="AB313" s="7"/>
      <c r="AC313" s="7"/>
      <c r="AD313" s="7"/>
      <c r="AE313" s="7"/>
      <c r="AF313" s="7"/>
      <c r="AG313" s="7"/>
      <c r="AH313" s="7"/>
      <c r="AI313" s="7"/>
      <c r="AJ313" s="7"/>
      <c r="AK313" s="7"/>
      <c r="AL313" s="7"/>
    </row>
    <row r="314" spans="1:38" ht="5.15" customHeight="1" x14ac:dyDescent="0.25">
      <c r="A314" s="2"/>
      <c r="B314" s="3"/>
      <c r="C314" s="3"/>
      <c r="D314" s="3"/>
      <c r="E314" s="3"/>
      <c r="F314" s="3"/>
      <c r="G314" s="3"/>
      <c r="H314" s="3"/>
      <c r="I314" s="3"/>
      <c r="J314" s="3"/>
      <c r="K314" s="3"/>
      <c r="L314" s="3"/>
      <c r="M314" s="6"/>
      <c r="N314" s="6"/>
      <c r="O314" s="6"/>
      <c r="P314" s="15"/>
      <c r="Q314" s="7"/>
      <c r="R314" s="2"/>
      <c r="S314" s="2"/>
      <c r="T314" s="2"/>
      <c r="U314" s="2"/>
      <c r="V314" s="2"/>
      <c r="W314" s="2"/>
      <c r="X314" s="2"/>
      <c r="Y314" s="7"/>
      <c r="Z314" s="7"/>
      <c r="AA314" s="7"/>
      <c r="AB314" s="7"/>
      <c r="AC314" s="7"/>
      <c r="AD314" s="7"/>
      <c r="AE314" s="7"/>
      <c r="AF314" s="7"/>
      <c r="AG314" s="7"/>
      <c r="AH314" s="7"/>
      <c r="AI314" s="7"/>
      <c r="AJ314" s="7"/>
      <c r="AK314" s="7"/>
      <c r="AL314" s="7"/>
    </row>
    <row r="315" spans="1:38" ht="14" x14ac:dyDescent="0.3">
      <c r="A315" s="2"/>
      <c r="B315" s="3"/>
      <c r="C315" s="3"/>
      <c r="D315" s="13" t="s">
        <v>442</v>
      </c>
      <c r="E315" s="1943" t="str">
        <f>Translations!$B$732</f>
        <v>Verktygets relevans för er anläggning:</v>
      </c>
      <c r="F315" s="1943"/>
      <c r="G315" s="1943"/>
      <c r="H315" s="1943"/>
      <c r="I315" s="1943"/>
      <c r="J315" s="1943"/>
      <c r="K315" s="2067"/>
      <c r="L315" s="2751" t="str">
        <f>IF(CNTR_ExistSubInstEntries,IF(COUNTIF(CNTR_SubInstListNames,INDEX(EUconst_BMlistNames,R315))&gt;0,EUconst_Relevant,EUconst_NotRelevant),"")</f>
        <v/>
      </c>
      <c r="M315" s="2752"/>
      <c r="N315" s="2753"/>
      <c r="O315" s="6"/>
      <c r="P315" s="15"/>
      <c r="Q315" s="309" t="s">
        <v>128</v>
      </c>
      <c r="R315" s="297">
        <v>51</v>
      </c>
      <c r="S315" s="2"/>
      <c r="T315" s="2"/>
      <c r="U315" s="2"/>
      <c r="V315" s="2"/>
      <c r="W315" s="2"/>
      <c r="X315" s="2"/>
      <c r="Y315" s="7"/>
      <c r="Z315" s="7"/>
      <c r="AA315" s="7"/>
      <c r="AB315" s="7"/>
      <c r="AC315" s="7"/>
      <c r="AD315" s="7"/>
      <c r="AE315" s="7"/>
      <c r="AF315" s="7"/>
      <c r="AG315" s="7"/>
      <c r="AH315" s="7"/>
      <c r="AI315" s="7"/>
      <c r="AJ315" s="7"/>
      <c r="AK315" s="7"/>
      <c r="AL315" s="7"/>
    </row>
    <row r="316" spans="1:38" x14ac:dyDescent="0.25">
      <c r="A316" s="2"/>
      <c r="B316" s="3"/>
      <c r="C316" s="3"/>
      <c r="D316" s="15"/>
      <c r="E316" s="1999" t="str">
        <f>Translations!$B$733</f>
        <v>Detta meddelande visas automatiskt på grundval av er tidigare inmatning i blad ”A_InstallationData", avsnitt A.III.1.</v>
      </c>
      <c r="F316" s="2000"/>
      <c r="G316" s="2000"/>
      <c r="H316" s="2000"/>
      <c r="I316" s="2000"/>
      <c r="J316" s="2000"/>
      <c r="K316" s="2000"/>
      <c r="L316" s="2000"/>
      <c r="M316" s="2000"/>
      <c r="N316" s="2000"/>
      <c r="O316" s="6"/>
      <c r="P316" s="15"/>
      <c r="Q316" s="7"/>
      <c r="R316" s="2"/>
      <c r="S316" s="2"/>
      <c r="T316" s="2"/>
      <c r="U316" s="2"/>
      <c r="V316" s="2"/>
      <c r="W316" s="2"/>
      <c r="X316" s="2"/>
      <c r="Y316" s="7"/>
      <c r="Z316" s="7"/>
      <c r="AA316" s="7"/>
      <c r="AB316" s="7"/>
      <c r="AC316" s="7"/>
      <c r="AD316" s="7"/>
      <c r="AE316" s="7"/>
      <c r="AF316" s="7"/>
      <c r="AG316" s="7"/>
      <c r="AH316" s="7"/>
      <c r="AI316" s="7"/>
      <c r="AJ316" s="7"/>
      <c r="AK316" s="7"/>
      <c r="AL316" s="7"/>
    </row>
    <row r="317" spans="1:38" ht="13" x14ac:dyDescent="0.25">
      <c r="A317" s="2"/>
      <c r="B317" s="3"/>
      <c r="C317" s="3"/>
      <c r="D317" s="3"/>
      <c r="E317" s="2748" t="str">
        <f>IF(L315=EUconst_Relevant,HYPERLINK(R317,EUconst_MsgBackToSheetF),"")</f>
        <v/>
      </c>
      <c r="F317" s="2749"/>
      <c r="G317" s="2749"/>
      <c r="H317" s="2749"/>
      <c r="I317" s="2749"/>
      <c r="J317" s="2749"/>
      <c r="K317" s="2749"/>
      <c r="L317" s="2749"/>
      <c r="M317" s="2749"/>
      <c r="N317" s="2750"/>
      <c r="O317" s="6"/>
      <c r="P317" s="15"/>
      <c r="Q317" s="309" t="s">
        <v>127</v>
      </c>
      <c r="R317" s="108" t="str">
        <f>IF(ISNUMBER(MATCH(R315,CNTR_SubInstListBMnumbers,0)),"#JUMP_F"&amp;MATCH(R315,CNTR_SubInstListBMnumbers,0),"")</f>
        <v/>
      </c>
      <c r="S317" s="2"/>
      <c r="T317" s="7"/>
      <c r="U317" s="7"/>
      <c r="V317" s="2"/>
      <c r="W317" s="2"/>
      <c r="X317" s="2"/>
      <c r="Y317" s="7"/>
      <c r="Z317" s="7"/>
      <c r="AA317" s="7"/>
      <c r="AB317" s="7"/>
      <c r="AC317" s="7"/>
      <c r="AD317" s="7"/>
      <c r="AE317" s="7"/>
      <c r="AF317" s="7"/>
      <c r="AG317" s="7"/>
      <c r="AH317" s="7"/>
      <c r="AI317" s="7"/>
      <c r="AJ317" s="7"/>
      <c r="AK317" s="7"/>
      <c r="AL317" s="7"/>
    </row>
    <row r="318" spans="1:38" ht="5.15" customHeight="1" x14ac:dyDescent="0.25">
      <c r="A318" s="2"/>
      <c r="B318" s="3"/>
      <c r="C318" s="3"/>
      <c r="D318" s="3"/>
      <c r="E318" s="3"/>
      <c r="F318" s="3"/>
      <c r="G318" s="3"/>
      <c r="H318" s="3"/>
      <c r="I318" s="3"/>
      <c r="J318" s="3"/>
      <c r="K318" s="3"/>
      <c r="L318" s="3"/>
      <c r="M318" s="6"/>
      <c r="N318" s="6"/>
      <c r="O318" s="6"/>
      <c r="P318" s="15"/>
      <c r="Q318" s="7"/>
      <c r="R318" s="2"/>
      <c r="S318" s="2"/>
      <c r="T318" s="7"/>
      <c r="U318" s="7"/>
      <c r="V318" s="2"/>
      <c r="W318" s="2"/>
      <c r="X318" s="2"/>
      <c r="Y318" s="7"/>
      <c r="Z318" s="7"/>
      <c r="AA318" s="7"/>
      <c r="AB318" s="7"/>
      <c r="AC318" s="7"/>
      <c r="AD318" s="7"/>
      <c r="AE318" s="7"/>
      <c r="AF318" s="7"/>
      <c r="AG318" s="7"/>
      <c r="AH318" s="7"/>
      <c r="AI318" s="7"/>
      <c r="AJ318" s="7"/>
      <c r="AK318" s="7"/>
      <c r="AL318" s="7"/>
    </row>
    <row r="319" spans="1:38" ht="13" x14ac:dyDescent="0.25">
      <c r="A319" s="2"/>
      <c r="B319" s="3"/>
      <c r="C319" s="3"/>
      <c r="D319" s="13" t="s">
        <v>955</v>
      </c>
      <c r="E319" s="1943" t="str">
        <f>Translations!$B$896</f>
        <v>Volym av total syntesgasproduktion (okorrigerad)</v>
      </c>
      <c r="F319" s="1963"/>
      <c r="G319" s="1963"/>
      <c r="H319" s="1963"/>
      <c r="I319" s="1963"/>
      <c r="J319" s="1963"/>
      <c r="K319" s="1963"/>
      <c r="L319" s="1963"/>
      <c r="M319" s="1963"/>
      <c r="N319" s="1963"/>
      <c r="O319" s="6"/>
      <c r="P319" s="15"/>
      <c r="Q319" s="7"/>
      <c r="R319" s="2"/>
      <c r="S319" s="2"/>
      <c r="T319" s="7"/>
      <c r="U319" s="7"/>
      <c r="V319" s="2"/>
      <c r="W319" s="2"/>
      <c r="X319" s="2"/>
      <c r="Y319" s="7"/>
      <c r="Z319" s="7"/>
      <c r="AA319" s="7"/>
      <c r="AB319" s="7"/>
      <c r="AC319" s="7"/>
      <c r="AD319" s="7"/>
      <c r="AE319" s="7"/>
      <c r="AF319" s="7"/>
      <c r="AG319" s="7"/>
      <c r="AH319" s="7"/>
      <c r="AI319" s="7"/>
      <c r="AJ319" s="7"/>
      <c r="AK319" s="7"/>
      <c r="AL319" s="7"/>
    </row>
    <row r="320" spans="1:38" x14ac:dyDescent="0.25">
      <c r="A320" s="2"/>
      <c r="B320" s="3"/>
      <c r="C320" s="3"/>
      <c r="D320" s="15"/>
      <c r="E320" s="2061" t="str">
        <f>Translations!$B$1531</f>
        <v>Var god ange de årliga produktionsuppgifterna för syntesgas avseende det historiska syntesgasinnehållet för varje år.</v>
      </c>
      <c r="F320" s="1963"/>
      <c r="G320" s="1963"/>
      <c r="H320" s="1963"/>
      <c r="I320" s="1963"/>
      <c r="J320" s="1963"/>
      <c r="K320" s="1963"/>
      <c r="L320" s="1963"/>
      <c r="M320" s="1963"/>
      <c r="N320" s="1963"/>
      <c r="O320" s="6"/>
      <c r="P320" s="15"/>
      <c r="Q320" s="7"/>
      <c r="R320" s="2"/>
      <c r="S320" s="2"/>
      <c r="T320" s="7"/>
      <c r="U320" s="7"/>
      <c r="V320" s="2"/>
      <c r="W320" s="2"/>
      <c r="X320" s="2"/>
      <c r="Y320" s="7"/>
      <c r="Z320" s="7"/>
      <c r="AA320" s="7"/>
      <c r="AB320" s="7"/>
      <c r="AC320" s="7"/>
      <c r="AD320" s="7"/>
      <c r="AE320" s="7"/>
      <c r="AF320" s="7"/>
      <c r="AG320" s="7"/>
      <c r="AH320" s="7"/>
      <c r="AI320" s="7"/>
      <c r="AJ320" s="7"/>
      <c r="AK320" s="7"/>
      <c r="AL320" s="7"/>
    </row>
    <row r="321" spans="1:38" x14ac:dyDescent="0.25">
      <c r="A321" s="2"/>
      <c r="B321" s="3"/>
      <c r="C321" s="3"/>
      <c r="D321" s="15"/>
      <c r="E321" s="2070" t="str">
        <f>Translations!$B$883</f>
        <v>På grund av de mycket stora talen som uttrycks i m3 ska siffrorna uttryckas som 1 000 Nm3 (normalkubikmeter vid 0 °C och 101,325 kPa).</v>
      </c>
      <c r="F321" s="1963"/>
      <c r="G321" s="1963"/>
      <c r="H321" s="1963"/>
      <c r="I321" s="1963"/>
      <c r="J321" s="1963"/>
      <c r="K321" s="1963"/>
      <c r="L321" s="1963"/>
      <c r="M321" s="1963"/>
      <c r="N321" s="1963"/>
      <c r="O321" s="6"/>
      <c r="P321" s="15"/>
      <c r="Q321" s="7"/>
      <c r="R321" s="2"/>
      <c r="S321" s="2"/>
      <c r="T321" s="7"/>
      <c r="U321" s="7"/>
      <c r="V321" s="2"/>
      <c r="W321" s="2"/>
      <c r="X321" s="2"/>
      <c r="Y321" s="7"/>
      <c r="Z321" s="7"/>
      <c r="AA321" s="7"/>
      <c r="AB321" s="7"/>
      <c r="AC321" s="7"/>
      <c r="AD321" s="7"/>
      <c r="AE321" s="7"/>
      <c r="AF321" s="7"/>
      <c r="AG321" s="7"/>
      <c r="AH321" s="7"/>
      <c r="AI321" s="7"/>
      <c r="AJ321" s="7"/>
      <c r="AK321" s="7"/>
      <c r="AL321" s="7"/>
    </row>
    <row r="322" spans="1:38" ht="13.5" thickBot="1" x14ac:dyDescent="0.3">
      <c r="A322" s="2"/>
      <c r="B322" s="19"/>
      <c r="C322" s="19"/>
      <c r="D322" s="13"/>
      <c r="E322" s="24"/>
      <c r="F322" s="21"/>
      <c r="G322" s="30" t="str">
        <f>EUconst_Unit</f>
        <v>Enhet</v>
      </c>
      <c r="H322" s="350">
        <f t="shared" ref="H322:N322" si="59">H$421</f>
        <v>2019</v>
      </c>
      <c r="I322" s="350">
        <f t="shared" si="59"/>
        <v>2020</v>
      </c>
      <c r="J322" s="350">
        <f t="shared" si="59"/>
        <v>2021</v>
      </c>
      <c r="K322" s="350">
        <f t="shared" si="59"/>
        <v>2022</v>
      </c>
      <c r="L322" s="350">
        <f t="shared" si="59"/>
        <v>2023</v>
      </c>
      <c r="M322" s="350">
        <f t="shared" si="59"/>
        <v>2024</v>
      </c>
      <c r="N322" s="673">
        <f t="shared" si="59"/>
        <v>2025</v>
      </c>
      <c r="O322" s="6"/>
      <c r="P322" s="15"/>
      <c r="Q322" s="2"/>
      <c r="R322" s="2"/>
      <c r="S322" s="2"/>
      <c r="T322" s="7"/>
      <c r="U322" s="7"/>
      <c r="V322" s="2"/>
      <c r="W322" s="2"/>
      <c r="X322" s="2"/>
      <c r="Y322" s="7"/>
      <c r="Z322" s="7"/>
      <c r="AA322" s="7"/>
      <c r="AB322" s="2"/>
      <c r="AC322" s="1051">
        <f t="shared" ref="AC322:AI322" si="60">H322</f>
        <v>2019</v>
      </c>
      <c r="AD322" s="1051">
        <f t="shared" si="60"/>
        <v>2020</v>
      </c>
      <c r="AE322" s="1051">
        <f t="shared" si="60"/>
        <v>2021</v>
      </c>
      <c r="AF322" s="1051">
        <f t="shared" si="60"/>
        <v>2022</v>
      </c>
      <c r="AG322" s="1051">
        <f t="shared" si="60"/>
        <v>2023</v>
      </c>
      <c r="AH322" s="1051">
        <f t="shared" si="60"/>
        <v>2024</v>
      </c>
      <c r="AI322" s="1051">
        <f t="shared" si="60"/>
        <v>2025</v>
      </c>
      <c r="AJ322" s="7"/>
      <c r="AK322" s="7"/>
      <c r="AL322" s="7"/>
    </row>
    <row r="323" spans="1:38" ht="13" customHeight="1" x14ac:dyDescent="0.25">
      <c r="A323" s="2"/>
      <c r="B323" s="19"/>
      <c r="C323" s="19"/>
      <c r="D323" s="19"/>
      <c r="E323" s="2496" t="str">
        <f>Translations!$B$897</f>
        <v>Total syntesgasproduktion</v>
      </c>
      <c r="F323" s="1997"/>
      <c r="G323" s="43" t="str">
        <f>EUconst_kNm3pa</f>
        <v>1000Nm3/år</v>
      </c>
      <c r="H323" s="260"/>
      <c r="I323" s="260"/>
      <c r="J323" s="260"/>
      <c r="K323" s="260"/>
      <c r="L323" s="260"/>
      <c r="M323" s="260"/>
      <c r="N323" s="670"/>
      <c r="O323" s="6"/>
      <c r="P323" s="15"/>
      <c r="Q323" s="2"/>
      <c r="R323" s="2"/>
      <c r="S323" s="2"/>
      <c r="T323" s="7"/>
      <c r="U323" s="7"/>
      <c r="V323" s="2"/>
      <c r="W323" s="2"/>
      <c r="X323" s="2"/>
      <c r="Y323" s="7"/>
      <c r="Z323" s="7"/>
      <c r="AA323" s="7"/>
      <c r="AB323" s="672" t="s">
        <v>782</v>
      </c>
      <c r="AC323" s="1059" t="b">
        <f t="shared" ref="AC323:AI323" si="61">IF(CNTR_ExistSubInstEntries,IF($L315=EUconst_Relevant,AC322&gt;=CNTR_ReportingYear,TRUE),FALSE)</f>
        <v>0</v>
      </c>
      <c r="AD323" s="1057" t="b">
        <f t="shared" si="61"/>
        <v>0</v>
      </c>
      <c r="AE323" s="1057" t="b">
        <f t="shared" si="61"/>
        <v>0</v>
      </c>
      <c r="AF323" s="1057" t="b">
        <f t="shared" si="61"/>
        <v>0</v>
      </c>
      <c r="AG323" s="1057" t="b">
        <f t="shared" si="61"/>
        <v>0</v>
      </c>
      <c r="AH323" s="1057" t="b">
        <f t="shared" si="61"/>
        <v>0</v>
      </c>
      <c r="AI323" s="1058" t="b">
        <f t="shared" si="61"/>
        <v>0</v>
      </c>
      <c r="AJ323" s="7"/>
      <c r="AK323" s="7"/>
      <c r="AL323" s="7"/>
    </row>
    <row r="324" spans="1:38" ht="5.15" customHeight="1" x14ac:dyDescent="0.25">
      <c r="A324" s="2"/>
      <c r="B324" s="3"/>
      <c r="C324" s="3"/>
      <c r="D324" s="3"/>
      <c r="E324" s="3"/>
      <c r="F324" s="3"/>
      <c r="G324" s="3"/>
      <c r="H324" s="3"/>
      <c r="I324" s="3"/>
      <c r="J324" s="3"/>
      <c r="K324" s="3"/>
      <c r="L324" s="3"/>
      <c r="M324" s="3"/>
      <c r="N324" s="6"/>
      <c r="O324" s="6"/>
      <c r="P324" s="15"/>
      <c r="Q324" s="7"/>
      <c r="R324" s="2"/>
      <c r="S324" s="2"/>
      <c r="T324" s="7"/>
      <c r="U324" s="7"/>
      <c r="V324" s="2"/>
      <c r="W324" s="2"/>
      <c r="X324" s="2"/>
      <c r="Y324" s="7"/>
      <c r="Z324" s="7"/>
      <c r="AA324" s="7"/>
      <c r="AB324" s="7"/>
      <c r="AC324" s="1066"/>
      <c r="AD324" s="7"/>
      <c r="AE324" s="7"/>
      <c r="AF324" s="7"/>
      <c r="AG324" s="7"/>
      <c r="AH324" s="7"/>
      <c r="AI324" s="1067"/>
      <c r="AJ324" s="7"/>
      <c r="AK324" s="7"/>
      <c r="AL324" s="7"/>
    </row>
    <row r="325" spans="1:38" ht="13" customHeight="1" x14ac:dyDescent="0.25">
      <c r="A325" s="2"/>
      <c r="B325" s="3"/>
      <c r="C325" s="3"/>
      <c r="D325" s="13" t="s">
        <v>55</v>
      </c>
      <c r="E325" s="2106" t="str">
        <f>Translations!$B$885</f>
        <v>Volymfraktion vätgas VF(H2)</v>
      </c>
      <c r="F325" s="1960"/>
      <c r="G325" s="1960"/>
      <c r="H325" s="1960"/>
      <c r="I325" s="1960"/>
      <c r="J325" s="1960"/>
      <c r="K325" s="1960"/>
      <c r="L325" s="1960"/>
      <c r="M325" s="1960"/>
      <c r="N325" s="1960"/>
      <c r="O325" s="6"/>
      <c r="P325" s="15"/>
      <c r="Q325" s="7"/>
      <c r="R325" s="2"/>
      <c r="S325" s="2"/>
      <c r="T325" s="7"/>
      <c r="U325" s="7"/>
      <c r="V325" s="2"/>
      <c r="W325" s="2"/>
      <c r="X325" s="2"/>
      <c r="Y325" s="7"/>
      <c r="Z325" s="7"/>
      <c r="AA325" s="7"/>
      <c r="AB325" s="7"/>
      <c r="AC325" s="1066"/>
      <c r="AD325" s="7"/>
      <c r="AE325" s="7"/>
      <c r="AF325" s="7"/>
      <c r="AG325" s="7"/>
      <c r="AH325" s="7"/>
      <c r="AI325" s="1067"/>
      <c r="AJ325" s="7"/>
      <c r="AK325" s="7"/>
      <c r="AL325" s="7"/>
    </row>
    <row r="326" spans="1:38" ht="12.65" customHeight="1" x14ac:dyDescent="0.25">
      <c r="A326" s="2"/>
      <c r="B326" s="3"/>
      <c r="C326" s="3"/>
      <c r="D326" s="15"/>
      <c r="E326" s="2075" t="str">
        <f>Translations!$B$1530</f>
        <v>Var god ange den historiska produktionens volymfraktion ren vätgas för varje år. Detta är en dimensionslös siffra.</v>
      </c>
      <c r="F326" s="1960"/>
      <c r="G326" s="1960"/>
      <c r="H326" s="1960"/>
      <c r="I326" s="1960"/>
      <c r="J326" s="1960"/>
      <c r="K326" s="1960"/>
      <c r="L326" s="1960"/>
      <c r="M326" s="1960"/>
      <c r="N326" s="1960"/>
      <c r="O326" s="6"/>
      <c r="P326" s="15"/>
      <c r="Q326" s="7"/>
      <c r="R326" s="2"/>
      <c r="S326" s="2"/>
      <c r="T326" s="7"/>
      <c r="U326" s="7"/>
      <c r="V326" s="2"/>
      <c r="W326" s="2"/>
      <c r="X326" s="2"/>
      <c r="Y326" s="7"/>
      <c r="Z326" s="7"/>
      <c r="AA326" s="7"/>
      <c r="AB326" s="7"/>
      <c r="AC326" s="1066"/>
      <c r="AD326" s="7"/>
      <c r="AE326" s="7"/>
      <c r="AF326" s="7"/>
      <c r="AG326" s="7"/>
      <c r="AH326" s="7"/>
      <c r="AI326" s="1067"/>
      <c r="AJ326" s="7"/>
      <c r="AK326" s="7"/>
      <c r="AL326" s="7"/>
    </row>
    <row r="327" spans="1:38" ht="13" customHeight="1" x14ac:dyDescent="0.25">
      <c r="A327" s="2"/>
      <c r="B327" s="3"/>
      <c r="C327" s="3"/>
      <c r="D327" s="15"/>
      <c r="E327" s="2075" t="str">
        <f>Translations!$B$898</f>
        <v xml:space="preserve">Ni kan ange siffran 50 % som ”0,50” eller ”50 %”. </v>
      </c>
      <c r="F327" s="1960"/>
      <c r="G327" s="1960"/>
      <c r="H327" s="1960"/>
      <c r="I327" s="1960"/>
      <c r="J327" s="1960"/>
      <c r="K327" s="1960"/>
      <c r="L327" s="1960"/>
      <c r="M327" s="1960"/>
      <c r="N327" s="1960"/>
      <c r="O327" s="6"/>
      <c r="P327" s="15"/>
      <c r="Q327" s="7"/>
      <c r="R327" s="2"/>
      <c r="S327" s="2"/>
      <c r="T327" s="7"/>
      <c r="U327" s="7"/>
      <c r="V327" s="2"/>
      <c r="W327" s="2"/>
      <c r="X327" s="2"/>
      <c r="Y327" s="7"/>
      <c r="Z327" s="7"/>
      <c r="AA327" s="7"/>
      <c r="AB327" s="7"/>
      <c r="AC327" s="1066"/>
      <c r="AD327" s="7"/>
      <c r="AE327" s="7"/>
      <c r="AF327" s="7"/>
      <c r="AG327" s="7"/>
      <c r="AH327" s="7"/>
      <c r="AI327" s="1067"/>
      <c r="AJ327" s="7"/>
      <c r="AK327" s="7"/>
      <c r="AL327" s="7"/>
    </row>
    <row r="328" spans="1:38" ht="13" x14ac:dyDescent="0.25">
      <c r="A328" s="2"/>
      <c r="B328" s="19"/>
      <c r="C328" s="19"/>
      <c r="D328" s="13"/>
      <c r="E328" s="24"/>
      <c r="F328" s="21"/>
      <c r="G328" s="30" t="str">
        <f>EUconst_Unit</f>
        <v>Enhet</v>
      </c>
      <c r="H328" s="350">
        <f t="shared" ref="H328:N328" si="62">H$421</f>
        <v>2019</v>
      </c>
      <c r="I328" s="350">
        <f t="shared" si="62"/>
        <v>2020</v>
      </c>
      <c r="J328" s="350">
        <f t="shared" si="62"/>
        <v>2021</v>
      </c>
      <c r="K328" s="350">
        <f t="shared" si="62"/>
        <v>2022</v>
      </c>
      <c r="L328" s="350">
        <f t="shared" si="62"/>
        <v>2023</v>
      </c>
      <c r="M328" s="350">
        <f t="shared" si="62"/>
        <v>2024</v>
      </c>
      <c r="N328" s="673">
        <f t="shared" si="62"/>
        <v>2025</v>
      </c>
      <c r="O328" s="6"/>
      <c r="P328" s="15"/>
      <c r="Q328" s="2"/>
      <c r="R328" s="2"/>
      <c r="S328" s="2"/>
      <c r="T328" s="7"/>
      <c r="U328" s="7"/>
      <c r="V328" s="2"/>
      <c r="W328" s="2"/>
      <c r="X328" s="2"/>
      <c r="Y328" s="7"/>
      <c r="Z328" s="7"/>
      <c r="AA328" s="7"/>
      <c r="AB328" s="7"/>
      <c r="AC328" s="1066"/>
      <c r="AD328" s="7"/>
      <c r="AE328" s="7"/>
      <c r="AF328" s="7"/>
      <c r="AG328" s="7"/>
      <c r="AH328" s="7"/>
      <c r="AI328" s="1067"/>
      <c r="AJ328" s="7"/>
      <c r="AK328" s="7"/>
      <c r="AL328" s="7"/>
    </row>
    <row r="329" spans="1:38" ht="13" customHeight="1" thickBot="1" x14ac:dyDescent="0.3">
      <c r="A329" s="2"/>
      <c r="B329" s="19"/>
      <c r="C329" s="19"/>
      <c r="D329" s="19"/>
      <c r="E329" s="2496" t="str">
        <f>Translations!$B$887</f>
        <v>Volymfraktion vätgas</v>
      </c>
      <c r="F329" s="1997"/>
      <c r="G329" s="117" t="s">
        <v>1112</v>
      </c>
      <c r="H329" s="236"/>
      <c r="I329" s="236"/>
      <c r="J329" s="236"/>
      <c r="K329" s="236"/>
      <c r="L329" s="236"/>
      <c r="M329" s="236"/>
      <c r="N329" s="694"/>
      <c r="O329" s="6"/>
      <c r="P329" s="15"/>
      <c r="Q329" s="2"/>
      <c r="R329" s="2"/>
      <c r="S329" s="2"/>
      <c r="T329" s="2"/>
      <c r="U329" s="2"/>
      <c r="V329" s="2"/>
      <c r="W329" s="2"/>
      <c r="X329" s="2"/>
      <c r="Y329" s="7"/>
      <c r="Z329" s="7"/>
      <c r="AA329" s="7"/>
      <c r="AB329" s="7"/>
      <c r="AC329" s="1062" t="b">
        <f>AC323</f>
        <v>0</v>
      </c>
      <c r="AD329" s="1063" t="b">
        <f t="shared" ref="AD329:AI329" si="63">AD323</f>
        <v>0</v>
      </c>
      <c r="AE329" s="1063" t="b">
        <f t="shared" si="63"/>
        <v>0</v>
      </c>
      <c r="AF329" s="1063" t="b">
        <f t="shared" si="63"/>
        <v>0</v>
      </c>
      <c r="AG329" s="1063" t="b">
        <f t="shared" si="63"/>
        <v>0</v>
      </c>
      <c r="AH329" s="1063" t="b">
        <f t="shared" si="63"/>
        <v>0</v>
      </c>
      <c r="AI329" s="1064" t="b">
        <f t="shared" si="63"/>
        <v>0</v>
      </c>
      <c r="AJ329" s="7"/>
      <c r="AK329" s="7"/>
      <c r="AL329" s="7"/>
    </row>
    <row r="330" spans="1:38" ht="5.15" customHeight="1" x14ac:dyDescent="0.25">
      <c r="A330" s="2"/>
      <c r="B330" s="3"/>
      <c r="C330" s="3"/>
      <c r="D330" s="3"/>
      <c r="E330" s="3"/>
      <c r="F330" s="3"/>
      <c r="G330" s="3"/>
      <c r="H330" s="3"/>
      <c r="I330" s="3"/>
      <c r="J330" s="3"/>
      <c r="K330" s="3"/>
      <c r="L330" s="3"/>
      <c r="M330" s="3"/>
      <c r="N330" s="6"/>
      <c r="O330" s="6"/>
      <c r="P330" s="15"/>
      <c r="Q330" s="7"/>
      <c r="R330" s="2"/>
      <c r="S330" s="2"/>
      <c r="T330" s="2"/>
      <c r="U330" s="2"/>
      <c r="V330" s="2"/>
      <c r="W330" s="2"/>
      <c r="X330" s="2"/>
      <c r="Y330" s="7"/>
      <c r="Z330" s="7"/>
      <c r="AA330" s="7"/>
      <c r="AB330" s="7"/>
      <c r="AC330" s="7"/>
      <c r="AD330" s="7"/>
      <c r="AE330" s="7"/>
      <c r="AF330" s="7"/>
      <c r="AG330" s="7"/>
      <c r="AH330" s="7"/>
      <c r="AI330" s="7"/>
      <c r="AJ330" s="7"/>
      <c r="AK330" s="7"/>
      <c r="AL330" s="7"/>
    </row>
    <row r="331" spans="1:38" ht="13" customHeight="1" x14ac:dyDescent="0.25">
      <c r="A331" s="2"/>
      <c r="B331" s="3"/>
      <c r="C331" s="3"/>
      <c r="D331" s="13" t="s">
        <v>960</v>
      </c>
      <c r="E331" s="2106" t="str">
        <f>Translations!$B$899</f>
        <v>Resultat: Verksamhetsnivåer för syntesgas uttryckt i ton med ett vätgasinnehåll på 47 %</v>
      </c>
      <c r="F331" s="1960"/>
      <c r="G331" s="1960"/>
      <c r="H331" s="1960"/>
      <c r="I331" s="1960"/>
      <c r="J331" s="1960"/>
      <c r="K331" s="1960"/>
      <c r="L331" s="1960"/>
      <c r="M331" s="1960"/>
      <c r="N331" s="1960"/>
      <c r="O331" s="6"/>
      <c r="P331" s="15"/>
      <c r="Q331" s="7"/>
      <c r="R331" s="2"/>
      <c r="S331" s="2"/>
      <c r="T331" s="2"/>
      <c r="U331" s="2"/>
      <c r="V331" s="2"/>
      <c r="W331" s="2"/>
      <c r="X331" s="2"/>
      <c r="Y331" s="7"/>
      <c r="Z331" s="7"/>
      <c r="AA331" s="7"/>
      <c r="AB331" s="7"/>
      <c r="AC331" s="7"/>
      <c r="AD331" s="7"/>
      <c r="AE331" s="7"/>
      <c r="AF331" s="7"/>
      <c r="AG331" s="7"/>
      <c r="AH331" s="7"/>
      <c r="AI331" s="7"/>
      <c r="AJ331" s="7"/>
      <c r="AK331" s="7"/>
      <c r="AL331" s="7"/>
    </row>
    <row r="332" spans="1:38" ht="12.65" customHeight="1" x14ac:dyDescent="0.25">
      <c r="A332" s="2"/>
      <c r="B332" s="3"/>
      <c r="C332" s="3"/>
      <c r="D332" s="15"/>
      <c r="E332" s="2075" t="str">
        <f>Translations!$B$900</f>
        <v>Den korrigerade verksamhetsnivån (47 % vätgas beräknas med hjälp av formeln i punkt 7 i bilaga III till FAR (innan genomsnittsvärdet fastställs).</v>
      </c>
      <c r="F332" s="1960"/>
      <c r="G332" s="1960"/>
      <c r="H332" s="1960"/>
      <c r="I332" s="1960"/>
      <c r="J332" s="1960"/>
      <c r="K332" s="1960"/>
      <c r="L332" s="1960"/>
      <c r="M332" s="1960"/>
      <c r="N332" s="1960"/>
      <c r="O332" s="6"/>
      <c r="P332" s="15"/>
      <c r="Q332" s="7"/>
      <c r="R332" s="2"/>
      <c r="S332" s="2"/>
      <c r="T332" s="2"/>
      <c r="U332" s="2"/>
      <c r="V332" s="2"/>
      <c r="W332" s="2"/>
      <c r="X332" s="2"/>
      <c r="Y332" s="7"/>
      <c r="Z332" s="7"/>
      <c r="AA332" s="7"/>
      <c r="AB332" s="7"/>
      <c r="AC332" s="7"/>
      <c r="AD332" s="7"/>
      <c r="AE332" s="7"/>
      <c r="AF332" s="7"/>
      <c r="AG332" s="7"/>
      <c r="AH332" s="7"/>
      <c r="AI332" s="7"/>
      <c r="AJ332" s="7"/>
      <c r="AK332" s="7"/>
      <c r="AL332" s="7"/>
    </row>
    <row r="333" spans="1:38" ht="12.65" customHeight="1" x14ac:dyDescent="0.25">
      <c r="A333" s="2"/>
      <c r="B333" s="3"/>
      <c r="C333" s="3"/>
      <c r="D333" s="15"/>
      <c r="E333" s="2075" t="str">
        <f>Translations!$B$890</f>
        <v>Om formeln resulterar i ett negativt värde ska detta ersättas med noll.</v>
      </c>
      <c r="F333" s="1960"/>
      <c r="G333" s="1960"/>
      <c r="H333" s="1960"/>
      <c r="I333" s="1960"/>
      <c r="J333" s="1960"/>
      <c r="K333" s="1960"/>
      <c r="L333" s="1960"/>
      <c r="M333" s="1960"/>
      <c r="N333" s="1960"/>
      <c r="O333" s="6"/>
      <c r="P333" s="15"/>
      <c r="Q333" s="7"/>
      <c r="R333" s="2"/>
      <c r="S333" s="2"/>
      <c r="T333" s="2"/>
      <c r="U333" s="2"/>
      <c r="V333" s="2"/>
      <c r="W333" s="2"/>
      <c r="X333" s="2"/>
      <c r="Y333" s="7"/>
      <c r="Z333" s="7"/>
      <c r="AA333" s="7"/>
      <c r="AB333" s="7"/>
      <c r="AC333" s="7"/>
      <c r="AD333" s="7"/>
      <c r="AE333" s="7"/>
      <c r="AF333" s="7"/>
      <c r="AG333" s="7"/>
      <c r="AH333" s="7"/>
      <c r="AI333" s="7"/>
      <c r="AJ333" s="7"/>
      <c r="AK333" s="7"/>
      <c r="AL333" s="7"/>
    </row>
    <row r="334" spans="1:38" ht="13" customHeight="1" x14ac:dyDescent="0.25">
      <c r="A334" s="2"/>
      <c r="B334" s="3"/>
      <c r="C334" s="3"/>
      <c r="D334" s="15"/>
      <c r="E334" s="2075" t="str">
        <f>Translations!$B$806</f>
        <v>Resultatet av verktyget används i bladet ”F_ProductBM”, inmatningsrad a.ii för delanläggningen i fråga, och genomsnittet beräknas utifrån detta.</v>
      </c>
      <c r="F334" s="1960"/>
      <c r="G334" s="1960"/>
      <c r="H334" s="1960"/>
      <c r="I334" s="1960"/>
      <c r="J334" s="1960"/>
      <c r="K334" s="1960"/>
      <c r="L334" s="1960"/>
      <c r="M334" s="1960"/>
      <c r="N334" s="1960"/>
      <c r="O334" s="6"/>
      <c r="P334" s="15"/>
      <c r="Q334" s="7"/>
      <c r="R334" s="2"/>
      <c r="S334" s="2"/>
      <c r="T334" s="2"/>
      <c r="U334" s="2"/>
      <c r="V334" s="2"/>
      <c r="W334" s="2"/>
      <c r="X334" s="2"/>
      <c r="Y334" s="7"/>
      <c r="Z334" s="7"/>
      <c r="AA334" s="7"/>
      <c r="AB334" s="7"/>
      <c r="AC334" s="7"/>
      <c r="AD334" s="7"/>
      <c r="AE334" s="7"/>
      <c r="AF334" s="7"/>
      <c r="AG334" s="7"/>
      <c r="AH334" s="7"/>
      <c r="AI334" s="7"/>
      <c r="AJ334" s="7"/>
      <c r="AK334" s="7"/>
      <c r="AL334" s="7"/>
    </row>
    <row r="335" spans="1:38" ht="13" x14ac:dyDescent="0.25">
      <c r="A335" s="2"/>
      <c r="B335" s="19"/>
      <c r="C335" s="19"/>
      <c r="D335" s="13"/>
      <c r="E335" s="21"/>
      <c r="F335" s="21"/>
      <c r="G335" s="30" t="str">
        <f>EUconst_Unit</f>
        <v>Enhet</v>
      </c>
      <c r="H335" s="350">
        <f t="shared" ref="H335:N335" si="64">H$421</f>
        <v>2019</v>
      </c>
      <c r="I335" s="350">
        <f t="shared" si="64"/>
        <v>2020</v>
      </c>
      <c r="J335" s="350">
        <f t="shared" si="64"/>
        <v>2021</v>
      </c>
      <c r="K335" s="350">
        <f t="shared" si="64"/>
        <v>2022</v>
      </c>
      <c r="L335" s="350">
        <f t="shared" si="64"/>
        <v>2023</v>
      </c>
      <c r="M335" s="350">
        <f t="shared" si="64"/>
        <v>2024</v>
      </c>
      <c r="N335" s="673">
        <f t="shared" si="64"/>
        <v>2025</v>
      </c>
      <c r="O335" s="6"/>
      <c r="P335" s="15"/>
      <c r="Q335" s="2"/>
      <c r="R335" s="2"/>
      <c r="S335" s="2"/>
      <c r="T335" s="2"/>
      <c r="U335" s="2"/>
      <c r="V335" s="2"/>
      <c r="W335" s="2"/>
      <c r="X335" s="2"/>
      <c r="Y335" s="7"/>
      <c r="Z335" s="7"/>
      <c r="AA335" s="7"/>
      <c r="AB335" s="7"/>
      <c r="AC335" s="7"/>
      <c r="AD335" s="7"/>
      <c r="AE335" s="7"/>
      <c r="AF335" s="7"/>
      <c r="AG335" s="7"/>
      <c r="AH335" s="7"/>
      <c r="AI335" s="7"/>
      <c r="AJ335" s="7"/>
      <c r="AK335" s="7"/>
      <c r="AL335" s="7"/>
    </row>
    <row r="336" spans="1:38" ht="13" customHeight="1" x14ac:dyDescent="0.25">
      <c r="A336" s="2"/>
      <c r="B336" s="19"/>
      <c r="C336" s="19"/>
      <c r="D336" s="19"/>
      <c r="E336" s="2496" t="str">
        <f>Translations!$B$901</f>
        <v>Syntesgas (47 % vätgasinnehåll)</v>
      </c>
      <c r="F336" s="1997"/>
      <c r="G336" s="43" t="str">
        <f>EUconst_tpa</f>
        <v>t / år</v>
      </c>
      <c r="H336" s="258" t="str">
        <f t="shared" ref="H336:N336" si="65">IF(AND(ISNUMBER(H323),ISNUMBER(H329)),IF((H323*0.7047*(1-(0.47-H329)/0.0863))&gt;0,H323*0.7047*(1-(0.47-H329)/0.0863),0),"")</f>
        <v/>
      </c>
      <c r="I336" s="258" t="str">
        <f t="shared" si="65"/>
        <v/>
      </c>
      <c r="J336" s="258" t="str">
        <f t="shared" si="65"/>
        <v/>
      </c>
      <c r="K336" s="258" t="str">
        <f t="shared" si="65"/>
        <v/>
      </c>
      <c r="L336" s="258" t="str">
        <f t="shared" si="65"/>
        <v/>
      </c>
      <c r="M336" s="258" t="str">
        <f t="shared" si="65"/>
        <v/>
      </c>
      <c r="N336" s="695" t="str">
        <f t="shared" si="65"/>
        <v/>
      </c>
      <c r="O336" s="6"/>
      <c r="P336" s="15"/>
      <c r="Q336" s="108" t="str">
        <f>IF(L315=EUconst_Relevant,EUconst_CNTR_HALspecial &amp; INDEX(EUconst_BMlistNames,R315),"")</f>
        <v/>
      </c>
      <c r="R336" s="2"/>
      <c r="S336" s="2"/>
      <c r="T336" s="2"/>
      <c r="U336" s="2"/>
      <c r="V336" s="2"/>
      <c r="W336" s="2"/>
      <c r="X336" s="2"/>
      <c r="Y336" s="7"/>
      <c r="Z336" s="7"/>
      <c r="AA336" s="7"/>
      <c r="AB336" s="7"/>
      <c r="AC336" s="7"/>
      <c r="AD336" s="7"/>
      <c r="AE336" s="7"/>
      <c r="AF336" s="7"/>
      <c r="AG336" s="7"/>
      <c r="AH336" s="7"/>
      <c r="AI336" s="7"/>
      <c r="AJ336" s="7"/>
      <c r="AK336" s="7"/>
      <c r="AL336" s="7"/>
    </row>
    <row r="337" spans="1:38" ht="5.15" customHeight="1" x14ac:dyDescent="0.25">
      <c r="A337" s="2"/>
      <c r="B337" s="3"/>
      <c r="C337" s="3"/>
      <c r="D337" s="3"/>
      <c r="E337" s="3"/>
      <c r="F337" s="3"/>
      <c r="G337" s="3"/>
      <c r="H337" s="3"/>
      <c r="I337" s="3"/>
      <c r="J337" s="3"/>
      <c r="K337" s="3"/>
      <c r="L337" s="3"/>
      <c r="M337" s="6"/>
      <c r="N337" s="6"/>
      <c r="O337" s="6"/>
      <c r="P337" s="15"/>
      <c r="Q337" s="7"/>
      <c r="R337" s="2"/>
      <c r="S337" s="2"/>
      <c r="T337" s="2"/>
      <c r="U337" s="2"/>
      <c r="V337" s="2"/>
      <c r="W337" s="2"/>
      <c r="X337" s="2"/>
      <c r="Y337" s="7"/>
      <c r="Z337" s="7"/>
      <c r="AA337" s="7"/>
      <c r="AB337" s="7"/>
      <c r="AC337" s="7"/>
      <c r="AD337" s="7"/>
      <c r="AE337" s="7"/>
      <c r="AF337" s="7"/>
      <c r="AG337" s="7"/>
      <c r="AH337" s="7"/>
      <c r="AI337" s="7"/>
      <c r="AJ337" s="7"/>
      <c r="AK337" s="7"/>
      <c r="AL337" s="7"/>
    </row>
    <row r="338" spans="1:38" ht="13" x14ac:dyDescent="0.25">
      <c r="A338" s="2"/>
      <c r="B338" s="3"/>
      <c r="C338" s="3"/>
      <c r="D338" s="3"/>
      <c r="E338" s="2748" t="str">
        <f>IF(L315=EUconst_Relevant,HYPERLINK(R338,EUconst_MsgBackToSheetF),"")</f>
        <v/>
      </c>
      <c r="F338" s="2749"/>
      <c r="G338" s="2749"/>
      <c r="H338" s="2749"/>
      <c r="I338" s="2749"/>
      <c r="J338" s="2749"/>
      <c r="K338" s="2749"/>
      <c r="L338" s="2749"/>
      <c r="M338" s="2749"/>
      <c r="N338" s="2750"/>
      <c r="O338" s="6"/>
      <c r="P338" s="15"/>
      <c r="Q338" s="309" t="s">
        <v>127</v>
      </c>
      <c r="R338" s="108" t="str">
        <f>R317</f>
        <v/>
      </c>
      <c r="S338" s="2"/>
      <c r="T338" s="2"/>
      <c r="U338" s="2"/>
      <c r="V338" s="2"/>
      <c r="W338" s="2"/>
      <c r="X338" s="2"/>
      <c r="Y338" s="7"/>
      <c r="Z338" s="7"/>
      <c r="AA338" s="7"/>
      <c r="AB338" s="7"/>
      <c r="AC338" s="7"/>
      <c r="AD338" s="7"/>
      <c r="AE338" s="7"/>
      <c r="AF338" s="7"/>
      <c r="AG338" s="7"/>
      <c r="AH338" s="7"/>
      <c r="AI338" s="7"/>
      <c r="AJ338" s="7"/>
      <c r="AK338" s="7"/>
      <c r="AL338" s="7"/>
    </row>
    <row r="339" spans="1:38" x14ac:dyDescent="0.25">
      <c r="A339" s="2"/>
      <c r="B339" s="19"/>
      <c r="C339" s="19"/>
      <c r="D339" s="19"/>
      <c r="E339" s="19"/>
      <c r="F339" s="19"/>
      <c r="G339" s="19"/>
      <c r="H339" s="19"/>
      <c r="I339" s="19"/>
      <c r="J339" s="19"/>
      <c r="K339" s="19"/>
      <c r="L339" s="19"/>
      <c r="M339" s="19"/>
      <c r="N339" s="19"/>
      <c r="O339" s="6"/>
      <c r="P339" s="15"/>
      <c r="Q339" s="2"/>
      <c r="R339" s="2"/>
      <c r="S339" s="2"/>
      <c r="T339" s="2"/>
      <c r="U339" s="2"/>
      <c r="V339" s="2"/>
      <c r="W339" s="2"/>
      <c r="X339" s="2"/>
      <c r="Y339" s="7"/>
      <c r="Z339" s="7"/>
      <c r="AA339" s="7"/>
      <c r="AB339" s="7"/>
      <c r="AC339" s="7"/>
      <c r="AD339" s="7"/>
      <c r="AE339" s="7"/>
      <c r="AF339" s="7"/>
      <c r="AG339" s="7"/>
      <c r="AH339" s="7"/>
      <c r="AI339" s="7"/>
      <c r="AJ339" s="7"/>
      <c r="AK339" s="7"/>
      <c r="AL339" s="7"/>
    </row>
    <row r="340" spans="1:38" ht="15.5" x14ac:dyDescent="0.35">
      <c r="A340" s="2"/>
      <c r="B340" s="3"/>
      <c r="C340" s="11" t="s">
        <v>1011</v>
      </c>
      <c r="D340" s="1975" t="str">
        <f>Translations!$B$902</f>
        <v>Etylenoxid/etylenglykoler</v>
      </c>
      <c r="E340" s="1975"/>
      <c r="F340" s="1975"/>
      <c r="G340" s="1975"/>
      <c r="H340" s="1975"/>
      <c r="I340" s="1975"/>
      <c r="J340" s="1975"/>
      <c r="K340" s="1975"/>
      <c r="L340" s="1975"/>
      <c r="M340" s="1975"/>
      <c r="N340" s="1975"/>
      <c r="O340" s="6"/>
      <c r="P340" s="15"/>
      <c r="Q340" s="7"/>
      <c r="R340" s="2"/>
      <c r="S340" s="2"/>
      <c r="T340" s="2"/>
      <c r="U340" s="2"/>
      <c r="V340" s="2"/>
      <c r="W340" s="2"/>
      <c r="X340" s="2"/>
      <c r="Y340" s="7"/>
      <c r="Z340" s="7"/>
      <c r="AA340" s="7"/>
      <c r="AB340" s="7"/>
      <c r="AC340" s="7"/>
      <c r="AD340" s="7"/>
      <c r="AE340" s="7"/>
      <c r="AF340" s="7"/>
      <c r="AG340" s="7"/>
      <c r="AH340" s="7"/>
      <c r="AI340" s="7"/>
      <c r="AJ340" s="7"/>
      <c r="AK340" s="7"/>
      <c r="AL340" s="7"/>
    </row>
    <row r="341" spans="1:38" ht="5.15" customHeight="1" x14ac:dyDescent="0.25">
      <c r="A341" s="2"/>
      <c r="B341" s="3"/>
      <c r="C341" s="3"/>
      <c r="D341" s="3"/>
      <c r="E341" s="3"/>
      <c r="F341" s="3"/>
      <c r="G341" s="3"/>
      <c r="H341" s="3"/>
      <c r="I341" s="3"/>
      <c r="J341" s="3"/>
      <c r="K341" s="3"/>
      <c r="L341" s="3"/>
      <c r="M341" s="6"/>
      <c r="N341" s="6"/>
      <c r="O341" s="6"/>
      <c r="P341" s="15"/>
      <c r="Q341" s="7"/>
      <c r="R341" s="2"/>
      <c r="S341" s="2"/>
      <c r="T341" s="2"/>
      <c r="U341" s="2"/>
      <c r="V341" s="2"/>
      <c r="W341" s="2"/>
      <c r="X341" s="2"/>
      <c r="Y341" s="7"/>
      <c r="Z341" s="7"/>
      <c r="AA341" s="7"/>
      <c r="AB341" s="7"/>
      <c r="AC341" s="7"/>
      <c r="AD341" s="7"/>
      <c r="AE341" s="7"/>
      <c r="AF341" s="7"/>
      <c r="AG341" s="7"/>
      <c r="AH341" s="7"/>
      <c r="AI341" s="7"/>
      <c r="AJ341" s="7"/>
      <c r="AK341" s="7"/>
      <c r="AL341" s="7"/>
    </row>
    <row r="342" spans="1:38" ht="14" x14ac:dyDescent="0.3">
      <c r="A342" s="2"/>
      <c r="B342" s="3"/>
      <c r="C342" s="17"/>
      <c r="D342" s="2053" t="str">
        <f>Translations!$B$903</f>
        <v>Verktyg för att beräkna historiska verksamhetsnivåer för delanläggningar för etylenoxid/etylenglykoler</v>
      </c>
      <c r="E342" s="1963"/>
      <c r="F342" s="1963"/>
      <c r="G342" s="1963"/>
      <c r="H342" s="1963"/>
      <c r="I342" s="1963"/>
      <c r="J342" s="1963"/>
      <c r="K342" s="1963"/>
      <c r="L342" s="1963"/>
      <c r="M342" s="1963"/>
      <c r="N342" s="1963"/>
      <c r="O342" s="6"/>
      <c r="P342" s="15"/>
      <c r="Q342" s="7"/>
      <c r="R342" s="2"/>
      <c r="S342" s="2"/>
      <c r="T342" s="2"/>
      <c r="U342" s="2"/>
      <c r="V342" s="2"/>
      <c r="W342" s="2"/>
      <c r="X342" s="2"/>
      <c r="Y342" s="7"/>
      <c r="Z342" s="7"/>
      <c r="AA342" s="7"/>
      <c r="AB342" s="7"/>
      <c r="AC342" s="7"/>
      <c r="AD342" s="7"/>
      <c r="AE342" s="7"/>
      <c r="AF342" s="7"/>
      <c r="AG342" s="7"/>
      <c r="AH342" s="7"/>
      <c r="AI342" s="7"/>
      <c r="AJ342" s="7"/>
      <c r="AK342" s="7"/>
      <c r="AL342" s="7"/>
    </row>
    <row r="343" spans="1:38" ht="5.15" customHeight="1" x14ac:dyDescent="0.25">
      <c r="A343" s="2"/>
      <c r="B343" s="3"/>
      <c r="C343" s="3"/>
      <c r="D343" s="3"/>
      <c r="E343" s="3"/>
      <c r="F343" s="3"/>
      <c r="G343" s="3"/>
      <c r="H343" s="3"/>
      <c r="I343" s="3"/>
      <c r="J343" s="3"/>
      <c r="K343" s="3"/>
      <c r="L343" s="3"/>
      <c r="M343" s="6"/>
      <c r="N343" s="6"/>
      <c r="O343" s="6"/>
      <c r="P343" s="15"/>
      <c r="Q343" s="7"/>
      <c r="R343" s="2"/>
      <c r="S343" s="2"/>
      <c r="T343" s="2"/>
      <c r="U343" s="2"/>
      <c r="V343" s="2"/>
      <c r="W343" s="2"/>
      <c r="X343" s="2"/>
      <c r="Y343" s="7"/>
      <c r="Z343" s="7"/>
      <c r="AA343" s="7"/>
      <c r="AB343" s="7"/>
      <c r="AC343" s="7"/>
      <c r="AD343" s="7"/>
      <c r="AE343" s="7"/>
      <c r="AF343" s="7"/>
      <c r="AG343" s="7"/>
      <c r="AH343" s="7"/>
      <c r="AI343" s="7"/>
      <c r="AJ343" s="7"/>
      <c r="AK343" s="7"/>
      <c r="AL343" s="7"/>
    </row>
    <row r="344" spans="1:38" x14ac:dyDescent="0.25">
      <c r="A344" s="2"/>
      <c r="B344" s="3"/>
      <c r="C344" s="3"/>
      <c r="D344" s="15"/>
      <c r="E344" s="2061" t="str">
        <f>Translations!$B$904</f>
        <v>Med hjälp av detta verktyg kan ni fastställa de historiska verksamhetsnivåerna för etylenoxid/etylenglykol-riktmärket (punkt 8 i bilaga III till FAR).</v>
      </c>
      <c r="F344" s="1963"/>
      <c r="G344" s="1963"/>
      <c r="H344" s="1963"/>
      <c r="I344" s="1963"/>
      <c r="J344" s="1963"/>
      <c r="K344" s="1963"/>
      <c r="L344" s="1963"/>
      <c r="M344" s="1963"/>
      <c r="N344" s="1963"/>
      <c r="O344" s="6"/>
      <c r="P344" s="15"/>
      <c r="Q344" s="7"/>
      <c r="R344" s="2"/>
      <c r="S344" s="2"/>
      <c r="T344" s="2"/>
      <c r="U344" s="2"/>
      <c r="V344" s="2"/>
      <c r="W344" s="2"/>
      <c r="X344" s="2"/>
      <c r="Y344" s="7"/>
      <c r="Z344" s="7"/>
      <c r="AA344" s="7"/>
      <c r="AB344" s="7"/>
      <c r="AC344" s="7"/>
      <c r="AD344" s="7"/>
      <c r="AE344" s="7"/>
      <c r="AF344" s="7"/>
      <c r="AG344" s="7"/>
      <c r="AH344" s="7"/>
      <c r="AI344" s="7"/>
      <c r="AJ344" s="7"/>
      <c r="AK344" s="7"/>
      <c r="AL344" s="7"/>
    </row>
    <row r="345" spans="1:38" x14ac:dyDescent="0.25">
      <c r="A345" s="2"/>
      <c r="B345" s="3"/>
      <c r="C345" s="3"/>
      <c r="D345" s="15"/>
      <c r="E345" s="2061" t="str">
        <f>Translations!$B$731</f>
        <v>Resultatet av verktyget kopieras automatiskt in i blad ”F_ProductBM”, inmatningsrad a.ii för delanläggningen i fråga.</v>
      </c>
      <c r="F345" s="1963"/>
      <c r="G345" s="1963"/>
      <c r="H345" s="1963"/>
      <c r="I345" s="1963"/>
      <c r="J345" s="1963"/>
      <c r="K345" s="1963"/>
      <c r="L345" s="1963"/>
      <c r="M345" s="1963"/>
      <c r="N345" s="1963"/>
      <c r="O345" s="6"/>
      <c r="P345" s="15"/>
      <c r="Q345" s="7"/>
      <c r="R345" s="2"/>
      <c r="S345" s="2"/>
      <c r="T345" s="2"/>
      <c r="U345" s="2"/>
      <c r="V345" s="2"/>
      <c r="W345" s="2"/>
      <c r="X345" s="2"/>
      <c r="Y345" s="7"/>
      <c r="Z345" s="7"/>
      <c r="AA345" s="7"/>
      <c r="AB345" s="7"/>
      <c r="AC345" s="7"/>
      <c r="AD345" s="7"/>
      <c r="AE345" s="7"/>
      <c r="AF345" s="7"/>
      <c r="AG345" s="7"/>
      <c r="AH345" s="7"/>
      <c r="AI345" s="7"/>
      <c r="AJ345" s="7"/>
      <c r="AK345" s="7"/>
      <c r="AL345" s="7"/>
    </row>
    <row r="346" spans="1:38" ht="5.15" customHeight="1" x14ac:dyDescent="0.25">
      <c r="A346" s="2"/>
      <c r="B346" s="3"/>
      <c r="C346" s="3"/>
      <c r="D346" s="3"/>
      <c r="E346" s="3"/>
      <c r="F346" s="3"/>
      <c r="G346" s="3"/>
      <c r="H346" s="3"/>
      <c r="I346" s="3"/>
      <c r="J346" s="3"/>
      <c r="K346" s="3"/>
      <c r="L346" s="3"/>
      <c r="M346" s="6"/>
      <c r="N346" s="6"/>
      <c r="O346" s="6"/>
      <c r="P346" s="15"/>
      <c r="Q346" s="7"/>
      <c r="R346" s="2"/>
      <c r="S346" s="2"/>
      <c r="T346" s="2"/>
      <c r="U346" s="2"/>
      <c r="V346" s="2"/>
      <c r="W346" s="2"/>
      <c r="X346" s="2"/>
      <c r="Y346" s="7"/>
      <c r="Z346" s="7"/>
      <c r="AA346" s="7"/>
      <c r="AB346" s="7"/>
      <c r="AC346" s="7"/>
      <c r="AD346" s="7"/>
      <c r="AE346" s="7"/>
      <c r="AF346" s="7"/>
      <c r="AG346" s="7"/>
      <c r="AH346" s="7"/>
      <c r="AI346" s="7"/>
      <c r="AJ346" s="7"/>
      <c r="AK346" s="7"/>
      <c r="AL346" s="7"/>
    </row>
    <row r="347" spans="1:38" ht="14" x14ac:dyDescent="0.3">
      <c r="A347" s="2"/>
      <c r="B347" s="3"/>
      <c r="C347" s="3"/>
      <c r="D347" s="13" t="s">
        <v>442</v>
      </c>
      <c r="E347" s="1943" t="str">
        <f>Translations!$B$732</f>
        <v>Verktygets relevans för er anläggning:</v>
      </c>
      <c r="F347" s="1943"/>
      <c r="G347" s="1943"/>
      <c r="H347" s="1943"/>
      <c r="I347" s="1943"/>
      <c r="J347" s="1943"/>
      <c r="K347" s="2067"/>
      <c r="L347" s="2751" t="str">
        <f>IF(CNTR_ExistSubInstEntries,IF(COUNTIF(CNTR_SubInstListNames,INDEX(EUconst_BMlistNames,R347))&gt;0,EUconst_Relevant,EUconst_NotRelevant),"")</f>
        <v/>
      </c>
      <c r="M347" s="2752"/>
      <c r="N347" s="2753"/>
      <c r="O347" s="6"/>
      <c r="P347" s="15"/>
      <c r="Q347" s="309" t="s">
        <v>128</v>
      </c>
      <c r="R347" s="297">
        <v>46</v>
      </c>
      <c r="S347" s="2"/>
      <c r="T347" s="2"/>
      <c r="U347" s="2"/>
      <c r="V347" s="2"/>
      <c r="W347" s="2"/>
      <c r="X347" s="2"/>
      <c r="Y347" s="7"/>
      <c r="Z347" s="7"/>
      <c r="AA347" s="7"/>
      <c r="AB347" s="7"/>
      <c r="AC347" s="7"/>
      <c r="AD347" s="7"/>
      <c r="AE347" s="7"/>
      <c r="AF347" s="7"/>
      <c r="AG347" s="7"/>
      <c r="AH347" s="7"/>
      <c r="AI347" s="7"/>
      <c r="AJ347" s="7"/>
      <c r="AK347" s="7"/>
      <c r="AL347" s="7"/>
    </row>
    <row r="348" spans="1:38" x14ac:dyDescent="0.25">
      <c r="A348" s="2"/>
      <c r="B348" s="3"/>
      <c r="C348" s="3"/>
      <c r="D348" s="15"/>
      <c r="E348" s="1999" t="str">
        <f>Translations!$B$733</f>
        <v>Detta meddelande visas automatiskt på grundval av er tidigare inmatning i blad ”A_InstallationData", avsnitt A.III.1.</v>
      </c>
      <c r="F348" s="2000"/>
      <c r="G348" s="2000"/>
      <c r="H348" s="2000"/>
      <c r="I348" s="2000"/>
      <c r="J348" s="2000"/>
      <c r="K348" s="2000"/>
      <c r="L348" s="2000"/>
      <c r="M348" s="2000"/>
      <c r="N348" s="2000"/>
      <c r="O348" s="6"/>
      <c r="P348" s="15"/>
      <c r="Q348" s="7"/>
      <c r="R348" s="2"/>
      <c r="S348" s="2"/>
      <c r="T348" s="7"/>
      <c r="U348" s="7"/>
      <c r="V348" s="2"/>
      <c r="W348" s="2"/>
      <c r="X348" s="2"/>
      <c r="Y348" s="7"/>
      <c r="Z348" s="7"/>
      <c r="AA348" s="7"/>
      <c r="AB348" s="7"/>
      <c r="AC348" s="7"/>
      <c r="AD348" s="7"/>
      <c r="AE348" s="7"/>
      <c r="AF348" s="7"/>
      <c r="AG348" s="7"/>
      <c r="AH348" s="7"/>
      <c r="AI348" s="7"/>
      <c r="AJ348" s="7"/>
      <c r="AK348" s="7"/>
      <c r="AL348" s="7"/>
    </row>
    <row r="349" spans="1:38" ht="13" x14ac:dyDescent="0.25">
      <c r="A349" s="2"/>
      <c r="B349" s="3"/>
      <c r="C349" s="3"/>
      <c r="D349" s="3"/>
      <c r="E349" s="2748" t="str">
        <f>IF(L347=EUconst_Relevant,HYPERLINK(R349,EUconst_MsgBackToSheetF),"")</f>
        <v/>
      </c>
      <c r="F349" s="2749"/>
      <c r="G349" s="2749"/>
      <c r="H349" s="2749"/>
      <c r="I349" s="2749"/>
      <c r="J349" s="2749"/>
      <c r="K349" s="2749"/>
      <c r="L349" s="2749"/>
      <c r="M349" s="2749"/>
      <c r="N349" s="2750"/>
      <c r="O349" s="6"/>
      <c r="P349" s="15"/>
      <c r="Q349" s="309" t="s">
        <v>127</v>
      </c>
      <c r="R349" s="108" t="str">
        <f>IF(ISNUMBER(MATCH(R347,CNTR_SubInstListBMnumbers,0)),"#JUMP_F"&amp;MATCH(R347,CNTR_SubInstListBMnumbers,0),"")</f>
        <v/>
      </c>
      <c r="S349" s="2"/>
      <c r="T349" s="7"/>
      <c r="U349" s="7"/>
      <c r="V349" s="2"/>
      <c r="W349" s="2"/>
      <c r="X349" s="2"/>
      <c r="Y349" s="7"/>
      <c r="Z349" s="7"/>
      <c r="AA349" s="7"/>
      <c r="AB349" s="7"/>
      <c r="AC349" s="7"/>
      <c r="AD349" s="7"/>
      <c r="AE349" s="7"/>
      <c r="AF349" s="7"/>
      <c r="AG349" s="7"/>
      <c r="AH349" s="7"/>
      <c r="AI349" s="7"/>
      <c r="AJ349" s="7"/>
      <c r="AK349" s="7"/>
      <c r="AL349" s="7"/>
    </row>
    <row r="350" spans="1:38" ht="5.15" customHeight="1" x14ac:dyDescent="0.25">
      <c r="A350" s="2"/>
      <c r="B350" s="3"/>
      <c r="C350" s="3"/>
      <c r="D350" s="3"/>
      <c r="E350" s="3"/>
      <c r="F350" s="3"/>
      <c r="G350" s="3"/>
      <c r="H350" s="3"/>
      <c r="I350" s="3"/>
      <c r="J350" s="3"/>
      <c r="K350" s="3"/>
      <c r="L350" s="3"/>
      <c r="M350" s="6"/>
      <c r="N350" s="6"/>
      <c r="O350" s="6"/>
      <c r="P350" s="15"/>
      <c r="Q350" s="7"/>
      <c r="R350" s="2"/>
      <c r="S350" s="2"/>
      <c r="T350" s="7"/>
      <c r="U350" s="7"/>
      <c r="V350" s="2"/>
      <c r="W350" s="2"/>
      <c r="X350" s="2"/>
      <c r="Y350" s="7"/>
      <c r="Z350" s="7"/>
      <c r="AA350" s="7"/>
      <c r="AB350" s="7"/>
      <c r="AC350" s="7"/>
      <c r="AD350" s="7"/>
      <c r="AE350" s="7"/>
      <c r="AF350" s="7"/>
      <c r="AG350" s="7"/>
      <c r="AH350" s="7"/>
      <c r="AI350" s="7"/>
      <c r="AJ350" s="7"/>
      <c r="AK350" s="7"/>
      <c r="AL350" s="7"/>
    </row>
    <row r="351" spans="1:38" ht="13" x14ac:dyDescent="0.25">
      <c r="A351" s="2"/>
      <c r="B351" s="3"/>
      <c r="C351" s="3"/>
      <c r="D351" s="13" t="s">
        <v>955</v>
      </c>
      <c r="E351" s="1943" t="str">
        <f>Translations!$B$905</f>
        <v>Produktionsuppgifter avseende etylenoxid och etylenglykol</v>
      </c>
      <c r="F351" s="1963"/>
      <c r="G351" s="1963"/>
      <c r="H351" s="1963"/>
      <c r="I351" s="1963"/>
      <c r="J351" s="1963"/>
      <c r="K351" s="1963"/>
      <c r="L351" s="1963"/>
      <c r="M351" s="1963"/>
      <c r="N351" s="1963"/>
      <c r="O351" s="6"/>
      <c r="P351" s="15"/>
      <c r="Q351" s="7"/>
      <c r="R351" s="2"/>
      <c r="S351" s="2"/>
      <c r="T351" s="7"/>
      <c r="U351" s="7"/>
      <c r="V351" s="2"/>
      <c r="W351" s="2"/>
      <c r="X351" s="2"/>
      <c r="Y351" s="7"/>
      <c r="Z351" s="7"/>
      <c r="AA351" s="7"/>
      <c r="AB351" s="7"/>
      <c r="AC351" s="7"/>
      <c r="AD351" s="7"/>
      <c r="AE351" s="7"/>
      <c r="AF351" s="7"/>
      <c r="AG351" s="7"/>
      <c r="AH351" s="7"/>
      <c r="AI351" s="7"/>
      <c r="AJ351" s="7"/>
      <c r="AK351" s="7"/>
      <c r="AL351" s="7"/>
    </row>
    <row r="352" spans="1:38" x14ac:dyDescent="0.25">
      <c r="A352" s="2"/>
      <c r="B352" s="3"/>
      <c r="C352" s="3"/>
      <c r="D352" s="15"/>
      <c r="E352" s="2061" t="str">
        <f>Translations!$B$1532</f>
        <v>Var god ange de årliga produktionsuppgifterna för de olika produkter som omfattas av riktmärket för varje år.</v>
      </c>
      <c r="F352" s="1963"/>
      <c r="G352" s="1963"/>
      <c r="H352" s="1963"/>
      <c r="I352" s="1963"/>
      <c r="J352" s="1963"/>
      <c r="K352" s="1963"/>
      <c r="L352" s="1963"/>
      <c r="M352" s="1963"/>
      <c r="N352" s="1963"/>
      <c r="O352" s="6"/>
      <c r="P352" s="15"/>
      <c r="Q352" s="7"/>
      <c r="R352" s="2"/>
      <c r="S352" s="2"/>
      <c r="T352" s="7"/>
      <c r="U352" s="7"/>
      <c r="V352" s="2"/>
      <c r="W352" s="2"/>
      <c r="X352" s="2"/>
      <c r="Y352" s="7"/>
      <c r="Z352" s="7"/>
      <c r="AA352" s="7"/>
      <c r="AB352" s="7"/>
      <c r="AC352" s="7"/>
      <c r="AD352" s="7"/>
      <c r="AE352" s="7"/>
      <c r="AF352" s="7"/>
      <c r="AG352" s="7"/>
      <c r="AH352" s="7"/>
      <c r="AI352" s="7"/>
      <c r="AJ352" s="7"/>
      <c r="AK352" s="7"/>
      <c r="AL352" s="7"/>
    </row>
    <row r="353" spans="1:38" x14ac:dyDescent="0.25">
      <c r="A353" s="2"/>
      <c r="B353" s="3"/>
      <c r="C353" s="3"/>
      <c r="D353" s="15"/>
      <c r="E353" s="2061" t="str">
        <f>Translations!$B$906</f>
        <v>I tabellen visas även de CF(EOE)-värden som används i beräkningssyfte. CF(EOE) är omvandlingsfaktorn för varje ämne relaterat till etylenoxid.</v>
      </c>
      <c r="F353" s="1963"/>
      <c r="G353" s="1963"/>
      <c r="H353" s="1963"/>
      <c r="I353" s="1963"/>
      <c r="J353" s="1963"/>
      <c r="K353" s="1963"/>
      <c r="L353" s="1963"/>
      <c r="M353" s="1963"/>
      <c r="N353" s="1963"/>
      <c r="O353" s="6"/>
      <c r="P353" s="15"/>
      <c r="Q353" s="7"/>
      <c r="R353" s="2"/>
      <c r="S353" s="2"/>
      <c r="T353" s="7"/>
      <c r="U353" s="7"/>
      <c r="V353" s="2"/>
      <c r="W353" s="2"/>
      <c r="X353" s="2"/>
      <c r="Y353" s="7"/>
      <c r="Z353" s="7"/>
      <c r="AA353" s="7"/>
      <c r="AB353" s="7"/>
      <c r="AC353" s="7"/>
      <c r="AD353" s="7"/>
      <c r="AE353" s="7"/>
      <c r="AF353" s="7"/>
      <c r="AG353" s="7"/>
      <c r="AH353" s="7"/>
      <c r="AI353" s="7"/>
      <c r="AJ353" s="7"/>
      <c r="AK353" s="7"/>
      <c r="AL353" s="7"/>
    </row>
    <row r="354" spans="1:38" ht="13.5" thickBot="1" x14ac:dyDescent="0.3">
      <c r="A354" s="2"/>
      <c r="B354" s="19"/>
      <c r="C354" s="19"/>
      <c r="D354" s="13"/>
      <c r="E354" s="24"/>
      <c r="F354" s="118" t="s">
        <v>910</v>
      </c>
      <c r="G354" s="30" t="str">
        <f>EUconst_Unit</f>
        <v>Enhet</v>
      </c>
      <c r="H354" s="350">
        <f t="shared" ref="H354:N354" si="66">H$421</f>
        <v>2019</v>
      </c>
      <c r="I354" s="350">
        <f t="shared" si="66"/>
        <v>2020</v>
      </c>
      <c r="J354" s="350">
        <f t="shared" si="66"/>
        <v>2021</v>
      </c>
      <c r="K354" s="350">
        <f t="shared" si="66"/>
        <v>2022</v>
      </c>
      <c r="L354" s="350">
        <f t="shared" si="66"/>
        <v>2023</v>
      </c>
      <c r="M354" s="350">
        <f t="shared" si="66"/>
        <v>2024</v>
      </c>
      <c r="N354" s="673">
        <f t="shared" si="66"/>
        <v>2025</v>
      </c>
      <c r="O354" s="6"/>
      <c r="P354" s="15"/>
      <c r="Q354" s="2"/>
      <c r="R354" s="2"/>
      <c r="S354" s="2"/>
      <c r="T354" s="7"/>
      <c r="U354" s="7"/>
      <c r="V354" s="2"/>
      <c r="W354" s="2"/>
      <c r="X354" s="2"/>
      <c r="Y354" s="7"/>
      <c r="Z354" s="7"/>
      <c r="AA354" s="7"/>
      <c r="AB354" s="2"/>
      <c r="AC354" s="1051">
        <f t="shared" ref="AC354:AI354" si="67">H354</f>
        <v>2019</v>
      </c>
      <c r="AD354" s="1051">
        <f t="shared" si="67"/>
        <v>2020</v>
      </c>
      <c r="AE354" s="1051">
        <f t="shared" si="67"/>
        <v>2021</v>
      </c>
      <c r="AF354" s="1051">
        <f t="shared" si="67"/>
        <v>2022</v>
      </c>
      <c r="AG354" s="1051">
        <f t="shared" si="67"/>
        <v>2023</v>
      </c>
      <c r="AH354" s="1051">
        <f t="shared" si="67"/>
        <v>2024</v>
      </c>
      <c r="AI354" s="1051">
        <f t="shared" si="67"/>
        <v>2025</v>
      </c>
      <c r="AJ354" s="7"/>
      <c r="AK354" s="7"/>
      <c r="AL354" s="7"/>
    </row>
    <row r="355" spans="1:38" x14ac:dyDescent="0.25">
      <c r="A355" s="2"/>
      <c r="B355" s="19"/>
      <c r="C355" s="19"/>
      <c r="D355" s="19"/>
      <c r="E355" s="916" t="str">
        <f>Translations!$B$907</f>
        <v>Etylenoxid</v>
      </c>
      <c r="F355" s="119">
        <v>1</v>
      </c>
      <c r="G355" s="25" t="str">
        <f>EUconst_tpa</f>
        <v>t / år</v>
      </c>
      <c r="H355" s="249"/>
      <c r="I355" s="249"/>
      <c r="J355" s="249"/>
      <c r="K355" s="249"/>
      <c r="L355" s="249"/>
      <c r="M355" s="249"/>
      <c r="N355" s="697"/>
      <c r="O355" s="6"/>
      <c r="P355" s="15"/>
      <c r="Q355" s="2"/>
      <c r="R355" s="2"/>
      <c r="S355" s="2"/>
      <c r="T355" s="7"/>
      <c r="U355" s="7"/>
      <c r="V355" s="2"/>
      <c r="W355" s="2"/>
      <c r="X355" s="2"/>
      <c r="Y355" s="7"/>
      <c r="Z355" s="7"/>
      <c r="AA355" s="7"/>
      <c r="AB355" s="672" t="s">
        <v>782</v>
      </c>
      <c r="AC355" s="1059" t="b">
        <f t="shared" ref="AC355:AI355" si="68">IF(CNTR_ExistSubInstEntries,IF($L347=EUconst_Relevant,AC354&gt;=CNTR_ReportingYear,TRUE),FALSE)</f>
        <v>0</v>
      </c>
      <c r="AD355" s="1057" t="b">
        <f t="shared" si="68"/>
        <v>0</v>
      </c>
      <c r="AE355" s="1057" t="b">
        <f t="shared" si="68"/>
        <v>0</v>
      </c>
      <c r="AF355" s="1057" t="b">
        <f t="shared" si="68"/>
        <v>0</v>
      </c>
      <c r="AG355" s="1057" t="b">
        <f t="shared" si="68"/>
        <v>0</v>
      </c>
      <c r="AH355" s="1057" t="b">
        <f t="shared" si="68"/>
        <v>0</v>
      </c>
      <c r="AI355" s="1058" t="b">
        <f t="shared" si="68"/>
        <v>0</v>
      </c>
      <c r="AJ355" s="7"/>
      <c r="AK355" s="7"/>
      <c r="AL355" s="7"/>
    </row>
    <row r="356" spans="1:38" x14ac:dyDescent="0.25">
      <c r="A356" s="2"/>
      <c r="B356" s="19"/>
      <c r="C356" s="19"/>
      <c r="D356" s="19"/>
      <c r="E356" s="932" t="str">
        <f>Translations!$B$908</f>
        <v>Monoetylenglykol</v>
      </c>
      <c r="F356" s="120">
        <v>0.71</v>
      </c>
      <c r="G356" s="26" t="str">
        <f>EUconst_tpa</f>
        <v>t / år</v>
      </c>
      <c r="H356" s="235"/>
      <c r="I356" s="235"/>
      <c r="J356" s="235"/>
      <c r="K356" s="235"/>
      <c r="L356" s="235"/>
      <c r="M356" s="235"/>
      <c r="N356" s="698"/>
      <c r="O356" s="6"/>
      <c r="P356" s="15"/>
      <c r="Q356" s="2"/>
      <c r="R356" s="2"/>
      <c r="S356" s="2"/>
      <c r="T356" s="7"/>
      <c r="U356" s="7"/>
      <c r="V356" s="2"/>
      <c r="W356" s="2"/>
      <c r="X356" s="2"/>
      <c r="Y356" s="7"/>
      <c r="Z356" s="7"/>
      <c r="AA356" s="7"/>
      <c r="AB356" s="7"/>
      <c r="AC356" s="1060" t="b">
        <f t="shared" ref="AC356:AI358" si="69">AC355</f>
        <v>0</v>
      </c>
      <c r="AD356" s="298" t="b">
        <f t="shared" si="69"/>
        <v>0</v>
      </c>
      <c r="AE356" s="298" t="b">
        <f t="shared" si="69"/>
        <v>0</v>
      </c>
      <c r="AF356" s="298" t="b">
        <f t="shared" si="69"/>
        <v>0</v>
      </c>
      <c r="AG356" s="298" t="b">
        <f t="shared" si="69"/>
        <v>0</v>
      </c>
      <c r="AH356" s="298" t="b">
        <f t="shared" si="69"/>
        <v>0</v>
      </c>
      <c r="AI356" s="1061" t="b">
        <f t="shared" si="69"/>
        <v>0</v>
      </c>
      <c r="AJ356" s="7"/>
      <c r="AK356" s="7"/>
      <c r="AL356" s="7"/>
    </row>
    <row r="357" spans="1:38" x14ac:dyDescent="0.25">
      <c r="A357" s="2"/>
      <c r="B357" s="19"/>
      <c r="C357" s="19"/>
      <c r="D357" s="19"/>
      <c r="E357" s="932" t="str">
        <f>Translations!$B$909</f>
        <v>Dietylenglykol</v>
      </c>
      <c r="F357" s="120">
        <v>0.83</v>
      </c>
      <c r="G357" s="26" t="str">
        <f>EUconst_tpa</f>
        <v>t / år</v>
      </c>
      <c r="H357" s="235"/>
      <c r="I357" s="235"/>
      <c r="J357" s="235"/>
      <c r="K357" s="235"/>
      <c r="L357" s="235"/>
      <c r="M357" s="235"/>
      <c r="N357" s="698"/>
      <c r="O357" s="6"/>
      <c r="P357" s="15"/>
      <c r="Q357" s="2"/>
      <c r="R357" s="2"/>
      <c r="S357" s="2"/>
      <c r="T357" s="7"/>
      <c r="U357" s="7"/>
      <c r="V357" s="2"/>
      <c r="W357" s="2"/>
      <c r="X357" s="2"/>
      <c r="Y357" s="7"/>
      <c r="Z357" s="7"/>
      <c r="AA357" s="7"/>
      <c r="AB357" s="7"/>
      <c r="AC357" s="1060" t="b">
        <f t="shared" si="69"/>
        <v>0</v>
      </c>
      <c r="AD357" s="298" t="b">
        <f t="shared" si="69"/>
        <v>0</v>
      </c>
      <c r="AE357" s="298" t="b">
        <f t="shared" si="69"/>
        <v>0</v>
      </c>
      <c r="AF357" s="298" t="b">
        <f t="shared" si="69"/>
        <v>0</v>
      </c>
      <c r="AG357" s="298" t="b">
        <f t="shared" si="69"/>
        <v>0</v>
      </c>
      <c r="AH357" s="298" t="b">
        <f t="shared" si="69"/>
        <v>0</v>
      </c>
      <c r="AI357" s="1061" t="b">
        <f t="shared" si="69"/>
        <v>0</v>
      </c>
      <c r="AJ357" s="7"/>
      <c r="AK357" s="7"/>
      <c r="AL357" s="7"/>
    </row>
    <row r="358" spans="1:38" ht="13" thickBot="1" x14ac:dyDescent="0.3">
      <c r="A358" s="2"/>
      <c r="B358" s="19"/>
      <c r="C358" s="19"/>
      <c r="D358" s="19"/>
      <c r="E358" s="1520" t="str">
        <f>Translations!$B$910</f>
        <v>Trietylenglykol</v>
      </c>
      <c r="F358" s="121">
        <v>0.88</v>
      </c>
      <c r="G358" s="27" t="str">
        <f>EUconst_tpa</f>
        <v>t / år</v>
      </c>
      <c r="H358" s="234"/>
      <c r="I358" s="234"/>
      <c r="J358" s="234"/>
      <c r="K358" s="234"/>
      <c r="L358" s="234"/>
      <c r="M358" s="234"/>
      <c r="N358" s="699"/>
      <c r="O358" s="6"/>
      <c r="P358" s="15"/>
      <c r="Q358" s="2"/>
      <c r="R358" s="2"/>
      <c r="S358" s="2"/>
      <c r="T358" s="7"/>
      <c r="U358" s="7"/>
      <c r="V358" s="2"/>
      <c r="W358" s="2"/>
      <c r="X358" s="2"/>
      <c r="Y358" s="7"/>
      <c r="Z358" s="7"/>
      <c r="AA358" s="7"/>
      <c r="AB358" s="7"/>
      <c r="AC358" s="1062" t="b">
        <f t="shared" si="69"/>
        <v>0</v>
      </c>
      <c r="AD358" s="1063" t="b">
        <f t="shared" si="69"/>
        <v>0</v>
      </c>
      <c r="AE358" s="1063" t="b">
        <f t="shared" si="69"/>
        <v>0</v>
      </c>
      <c r="AF358" s="1063" t="b">
        <f t="shared" si="69"/>
        <v>0</v>
      </c>
      <c r="AG358" s="1063" t="b">
        <f t="shared" si="69"/>
        <v>0</v>
      </c>
      <c r="AH358" s="1063" t="b">
        <f t="shared" si="69"/>
        <v>0</v>
      </c>
      <c r="AI358" s="1064" t="b">
        <f t="shared" si="69"/>
        <v>0</v>
      </c>
      <c r="AJ358" s="7"/>
      <c r="AK358" s="7"/>
      <c r="AL358" s="7"/>
    </row>
    <row r="359" spans="1:38" x14ac:dyDescent="0.25">
      <c r="A359" s="2"/>
      <c r="B359" s="19"/>
      <c r="C359" s="19"/>
      <c r="D359" s="19"/>
      <c r="E359" s="2496" t="str">
        <f>Translations!$B$911</f>
        <v>Summa produkter</v>
      </c>
      <c r="F359" s="1997"/>
      <c r="G359" s="27" t="str">
        <f>EUconst_tpa</f>
        <v>t / år</v>
      </c>
      <c r="H359" s="248" t="str">
        <f t="shared" ref="H359:N359" si="70">IF(COUNT(H355:H358)&gt;0,SUM(H355:H358),"")</f>
        <v/>
      </c>
      <c r="I359" s="248" t="str">
        <f t="shared" si="70"/>
        <v/>
      </c>
      <c r="J359" s="248" t="str">
        <f t="shared" si="70"/>
        <v/>
      </c>
      <c r="K359" s="248" t="str">
        <f t="shared" si="70"/>
        <v/>
      </c>
      <c r="L359" s="248" t="str">
        <f t="shared" si="70"/>
        <v/>
      </c>
      <c r="M359" s="248" t="str">
        <f t="shared" si="70"/>
        <v/>
      </c>
      <c r="N359" s="700" t="str">
        <f t="shared" si="70"/>
        <v/>
      </c>
      <c r="O359" s="6"/>
      <c r="P359" s="15"/>
      <c r="Q359" s="2"/>
      <c r="R359" s="2"/>
      <c r="S359" s="2"/>
      <c r="T359" s="7"/>
      <c r="U359" s="7"/>
      <c r="V359" s="2"/>
      <c r="W359" s="2"/>
      <c r="X359" s="2"/>
      <c r="Y359" s="7"/>
      <c r="Z359" s="7"/>
      <c r="AA359" s="7"/>
      <c r="AB359" s="7"/>
      <c r="AC359" s="7"/>
      <c r="AD359" s="7"/>
      <c r="AE359" s="7"/>
      <c r="AF359" s="7"/>
      <c r="AG359" s="7"/>
      <c r="AH359" s="7"/>
      <c r="AI359" s="7"/>
      <c r="AJ359" s="7"/>
      <c r="AK359" s="7"/>
      <c r="AL359" s="7"/>
    </row>
    <row r="360" spans="1:38" ht="5.15" customHeight="1" x14ac:dyDescent="0.25">
      <c r="A360" s="2"/>
      <c r="B360" s="3"/>
      <c r="C360" s="3"/>
      <c r="D360" s="3"/>
      <c r="E360" s="3"/>
      <c r="F360" s="3"/>
      <c r="G360" s="3"/>
      <c r="H360" s="3"/>
      <c r="I360" s="3"/>
      <c r="J360" s="3"/>
      <c r="K360" s="3"/>
      <c r="L360" s="3"/>
      <c r="M360" s="3"/>
      <c r="N360" s="6"/>
      <c r="O360" s="6"/>
      <c r="P360" s="15"/>
      <c r="Q360" s="7"/>
      <c r="R360" s="2"/>
      <c r="S360" s="2"/>
      <c r="T360" s="7"/>
      <c r="U360" s="7"/>
      <c r="V360" s="2"/>
      <c r="W360" s="2"/>
      <c r="X360" s="2"/>
      <c r="Y360" s="7"/>
      <c r="Z360" s="7"/>
      <c r="AA360" s="7"/>
      <c r="AB360" s="7"/>
      <c r="AC360" s="7"/>
      <c r="AD360" s="7"/>
      <c r="AE360" s="7"/>
      <c r="AF360" s="7"/>
      <c r="AG360" s="7"/>
      <c r="AH360" s="7"/>
      <c r="AI360" s="7"/>
      <c r="AJ360" s="7"/>
      <c r="AK360" s="7"/>
      <c r="AL360" s="7"/>
    </row>
    <row r="361" spans="1:38" ht="13" customHeight="1" x14ac:dyDescent="0.25">
      <c r="A361" s="2"/>
      <c r="B361" s="3"/>
      <c r="C361" s="3"/>
      <c r="D361" s="13" t="s">
        <v>55</v>
      </c>
      <c r="E361" s="2106" t="str">
        <f>Translations!$B$912</f>
        <v>Resultat: Verksamhetsnivåer för delanläggningen med produktriktmärke för etylenoxid och etylenglykoler</v>
      </c>
      <c r="F361" s="1960"/>
      <c r="G361" s="1960"/>
      <c r="H361" s="1960"/>
      <c r="I361" s="1960"/>
      <c r="J361" s="1960"/>
      <c r="K361" s="1960"/>
      <c r="L361" s="1960"/>
      <c r="M361" s="1960"/>
      <c r="N361" s="1960"/>
      <c r="O361" s="6"/>
      <c r="P361" s="15"/>
      <c r="Q361" s="7"/>
      <c r="R361" s="2"/>
      <c r="S361" s="2"/>
      <c r="T361" s="7"/>
      <c r="U361" s="7"/>
      <c r="V361" s="2"/>
      <c r="W361" s="2"/>
      <c r="X361" s="2"/>
      <c r="Y361" s="7"/>
      <c r="Z361" s="7"/>
      <c r="AA361" s="7"/>
      <c r="AB361" s="7"/>
      <c r="AC361" s="7"/>
      <c r="AD361" s="7"/>
      <c r="AE361" s="7"/>
      <c r="AF361" s="7"/>
      <c r="AG361" s="7"/>
      <c r="AH361" s="7"/>
      <c r="AI361" s="7"/>
      <c r="AJ361" s="7"/>
      <c r="AK361" s="7"/>
      <c r="AL361" s="7"/>
    </row>
    <row r="362" spans="1:38" ht="12.65" customHeight="1" x14ac:dyDescent="0.25">
      <c r="A362" s="2"/>
      <c r="B362" s="3"/>
      <c r="C362" s="3"/>
      <c r="D362" s="15"/>
      <c r="E362" s="2075" t="str">
        <f>Translations!$B$913</f>
        <v>Den historiska verksamhetsnivån uttryckt i ton etylenoxidekvivalenter beräknas med hjälp av formeln i punkt 8 i bilaga III till FAR.</v>
      </c>
      <c r="F362" s="1960"/>
      <c r="G362" s="1960"/>
      <c r="H362" s="1960"/>
      <c r="I362" s="1960"/>
      <c r="J362" s="1960"/>
      <c r="K362" s="1960"/>
      <c r="L362" s="1960"/>
      <c r="M362" s="1960"/>
      <c r="N362" s="1960"/>
      <c r="O362" s="6"/>
      <c r="P362" s="15"/>
      <c r="Q362" s="7"/>
      <c r="R362" s="2"/>
      <c r="S362" s="2"/>
      <c r="T362" s="7"/>
      <c r="U362" s="7"/>
      <c r="V362" s="2"/>
      <c r="W362" s="2"/>
      <c r="X362" s="2"/>
      <c r="Y362" s="7"/>
      <c r="Z362" s="7"/>
      <c r="AA362" s="7"/>
      <c r="AB362" s="7"/>
      <c r="AC362" s="7"/>
      <c r="AD362" s="7"/>
      <c r="AE362" s="7"/>
      <c r="AF362" s="7"/>
      <c r="AG362" s="7"/>
      <c r="AH362" s="7"/>
      <c r="AI362" s="7"/>
      <c r="AJ362" s="7"/>
      <c r="AK362" s="7"/>
      <c r="AL362" s="7"/>
    </row>
    <row r="363" spans="1:38" ht="13" customHeight="1" x14ac:dyDescent="0.25">
      <c r="A363" s="2"/>
      <c r="B363" s="3"/>
      <c r="C363" s="3"/>
      <c r="D363" s="15"/>
      <c r="E363" s="2075" t="str">
        <f>Translations!$B$806</f>
        <v>Resultatet av verktyget används i bladet ”F_ProductBM”, inmatningsrad a.ii för delanläggningen i fråga, och genomsnittet beräknas utifrån detta.</v>
      </c>
      <c r="F363" s="1960"/>
      <c r="G363" s="1960"/>
      <c r="H363" s="1960"/>
      <c r="I363" s="1960"/>
      <c r="J363" s="1960"/>
      <c r="K363" s="1960"/>
      <c r="L363" s="1960"/>
      <c r="M363" s="1960"/>
      <c r="N363" s="1960"/>
      <c r="O363" s="6"/>
      <c r="P363" s="15"/>
      <c r="Q363" s="7"/>
      <c r="R363" s="2"/>
      <c r="S363" s="2"/>
      <c r="T363" s="7"/>
      <c r="U363" s="7"/>
      <c r="V363" s="2"/>
      <c r="W363" s="2"/>
      <c r="X363" s="2"/>
      <c r="Y363" s="7"/>
      <c r="Z363" s="7"/>
      <c r="AA363" s="7"/>
      <c r="AB363" s="7"/>
      <c r="AC363" s="7"/>
      <c r="AD363" s="7"/>
      <c r="AE363" s="7"/>
      <c r="AF363" s="7"/>
      <c r="AG363" s="7"/>
      <c r="AH363" s="7"/>
      <c r="AI363" s="7"/>
      <c r="AJ363" s="7"/>
      <c r="AK363" s="7"/>
      <c r="AL363" s="7"/>
    </row>
    <row r="364" spans="1:38" ht="13" x14ac:dyDescent="0.25">
      <c r="A364" s="2"/>
      <c r="B364" s="19"/>
      <c r="C364" s="19"/>
      <c r="D364" s="13"/>
      <c r="E364" s="21"/>
      <c r="F364" s="21"/>
      <c r="G364" s="30" t="str">
        <f>EUconst_Unit</f>
        <v>Enhet</v>
      </c>
      <c r="H364" s="350">
        <f t="shared" ref="H364:N364" si="71">H$421</f>
        <v>2019</v>
      </c>
      <c r="I364" s="350">
        <f t="shared" si="71"/>
        <v>2020</v>
      </c>
      <c r="J364" s="350">
        <f t="shared" si="71"/>
        <v>2021</v>
      </c>
      <c r="K364" s="350">
        <f t="shared" si="71"/>
        <v>2022</v>
      </c>
      <c r="L364" s="350">
        <f t="shared" si="71"/>
        <v>2023</v>
      </c>
      <c r="M364" s="350">
        <f t="shared" si="71"/>
        <v>2024</v>
      </c>
      <c r="N364" s="673">
        <f t="shared" si="71"/>
        <v>2025</v>
      </c>
      <c r="O364" s="6"/>
      <c r="P364" s="15"/>
      <c r="Q364" s="2"/>
      <c r="R364" s="2"/>
      <c r="S364" s="2"/>
      <c r="T364" s="7"/>
      <c r="U364" s="7"/>
      <c r="V364" s="2"/>
      <c r="W364" s="2"/>
      <c r="X364" s="2"/>
      <c r="Y364" s="7"/>
      <c r="Z364" s="7"/>
      <c r="AA364" s="7"/>
      <c r="AB364" s="7"/>
      <c r="AC364" s="7"/>
      <c r="AD364" s="7"/>
      <c r="AE364" s="7"/>
      <c r="AF364" s="7"/>
      <c r="AG364" s="7"/>
      <c r="AH364" s="7"/>
      <c r="AI364" s="7"/>
      <c r="AJ364" s="7"/>
      <c r="AK364" s="7"/>
      <c r="AL364" s="7"/>
    </row>
    <row r="365" spans="1:38" ht="13" customHeight="1" x14ac:dyDescent="0.25">
      <c r="A365" s="2"/>
      <c r="B365" s="19"/>
      <c r="C365" s="19"/>
      <c r="D365" s="19"/>
      <c r="E365" s="2496" t="str">
        <f>Translations!$B$914</f>
        <v>Totala etylenoxidekvivalenter</v>
      </c>
      <c r="F365" s="1997"/>
      <c r="G365" s="43" t="str">
        <f>EUconst_tpa</f>
        <v>t / år</v>
      </c>
      <c r="H365" s="268" t="str">
        <f t="shared" ref="H365:N365" si="72">IF(ISNUMBER(H359),SUMPRODUCT($F$355:$F$358,H355:H358),"")</f>
        <v/>
      </c>
      <c r="I365" s="268" t="str">
        <f t="shared" si="72"/>
        <v/>
      </c>
      <c r="J365" s="268" t="str">
        <f t="shared" si="72"/>
        <v/>
      </c>
      <c r="K365" s="268" t="str">
        <f t="shared" si="72"/>
        <v/>
      </c>
      <c r="L365" s="268" t="str">
        <f t="shared" si="72"/>
        <v/>
      </c>
      <c r="M365" s="268" t="str">
        <f t="shared" si="72"/>
        <v/>
      </c>
      <c r="N365" s="667" t="str">
        <f t="shared" si="72"/>
        <v/>
      </c>
      <c r="O365" s="6"/>
      <c r="P365" s="15"/>
      <c r="Q365" s="108" t="str">
        <f>IF(L347=EUconst_Relevant,EUconst_CNTR_HALspecial &amp; INDEX(EUconst_BMlistNames,R347),"")</f>
        <v/>
      </c>
      <c r="R365" s="2"/>
      <c r="S365" s="2"/>
      <c r="T365" s="2"/>
      <c r="U365" s="2"/>
      <c r="V365" s="2"/>
      <c r="W365" s="2"/>
      <c r="X365" s="2"/>
      <c r="Y365" s="7"/>
      <c r="Z365" s="7"/>
      <c r="AA365" s="7"/>
      <c r="AB365" s="7"/>
      <c r="AC365" s="7"/>
      <c r="AD365" s="7"/>
      <c r="AE365" s="7"/>
      <c r="AF365" s="7"/>
      <c r="AG365" s="7"/>
      <c r="AH365" s="7"/>
      <c r="AI365" s="7"/>
      <c r="AJ365" s="7"/>
      <c r="AK365" s="7"/>
      <c r="AL365" s="7"/>
    </row>
    <row r="366" spans="1:38" ht="5.15" customHeight="1" x14ac:dyDescent="0.25">
      <c r="A366" s="2"/>
      <c r="B366" s="3"/>
      <c r="C366" s="3"/>
      <c r="D366" s="3"/>
      <c r="E366" s="3"/>
      <c r="F366" s="1"/>
      <c r="G366" s="1"/>
      <c r="H366" s="3"/>
      <c r="I366" s="3"/>
      <c r="J366" s="3"/>
      <c r="K366" s="3"/>
      <c r="L366" s="3"/>
      <c r="M366" s="6"/>
      <c r="N366" s="6"/>
      <c r="O366" s="6"/>
      <c r="P366" s="15"/>
      <c r="Q366" s="7"/>
      <c r="R366" s="2"/>
      <c r="S366" s="2"/>
      <c r="T366" s="2"/>
      <c r="U366" s="2"/>
      <c r="V366" s="2"/>
      <c r="W366" s="2"/>
      <c r="X366" s="2"/>
      <c r="Y366" s="7"/>
      <c r="Z366" s="7"/>
      <c r="AA366" s="7"/>
      <c r="AB366" s="7"/>
      <c r="AC366" s="7"/>
      <c r="AD366" s="7"/>
      <c r="AE366" s="7"/>
      <c r="AF366" s="7"/>
      <c r="AG366" s="7"/>
      <c r="AH366" s="7"/>
      <c r="AI366" s="7"/>
      <c r="AJ366" s="7"/>
      <c r="AK366" s="7"/>
      <c r="AL366" s="7"/>
    </row>
    <row r="367" spans="1:38" ht="13" x14ac:dyDescent="0.25">
      <c r="A367" s="2"/>
      <c r="B367" s="3"/>
      <c r="C367" s="3"/>
      <c r="D367" s="3"/>
      <c r="E367" s="2748" t="str">
        <f>IF(L347=EUconst_Relevant,HYPERLINK(R367,EUconst_MsgBackToSheetF),"")</f>
        <v/>
      </c>
      <c r="F367" s="2749"/>
      <c r="G367" s="2749"/>
      <c r="H367" s="2749"/>
      <c r="I367" s="2749"/>
      <c r="J367" s="2749"/>
      <c r="K367" s="2749"/>
      <c r="L367" s="2749"/>
      <c r="M367" s="2749"/>
      <c r="N367" s="2750"/>
      <c r="O367" s="6"/>
      <c r="P367" s="15"/>
      <c r="Q367" s="309" t="s">
        <v>127</v>
      </c>
      <c r="R367" s="108" t="str">
        <f>R349</f>
        <v/>
      </c>
      <c r="S367" s="2"/>
      <c r="T367" s="2"/>
      <c r="U367" s="2"/>
      <c r="V367" s="2"/>
      <c r="W367" s="2"/>
      <c r="X367" s="2"/>
      <c r="Y367" s="7"/>
      <c r="Z367" s="7"/>
      <c r="AA367" s="7"/>
      <c r="AB367" s="7"/>
      <c r="AC367" s="7"/>
      <c r="AD367" s="7"/>
      <c r="AE367" s="7"/>
      <c r="AF367" s="7"/>
      <c r="AG367" s="7"/>
      <c r="AH367" s="7"/>
      <c r="AI367" s="7"/>
      <c r="AJ367" s="7"/>
      <c r="AK367" s="7"/>
      <c r="AL367" s="7"/>
    </row>
    <row r="368" spans="1:38" x14ac:dyDescent="0.25">
      <c r="A368" s="2"/>
      <c r="B368" s="19"/>
      <c r="C368" s="19"/>
      <c r="D368" s="19"/>
      <c r="E368" s="19"/>
      <c r="F368" s="19"/>
      <c r="G368" s="19"/>
      <c r="H368" s="19"/>
      <c r="I368" s="19"/>
      <c r="J368" s="19"/>
      <c r="K368" s="19"/>
      <c r="L368" s="19"/>
      <c r="M368" s="19"/>
      <c r="N368" s="19"/>
      <c r="O368" s="6"/>
      <c r="P368" s="15"/>
      <c r="Q368" s="2"/>
      <c r="R368" s="2"/>
      <c r="S368" s="2"/>
      <c r="T368" s="2"/>
      <c r="U368" s="2"/>
      <c r="V368" s="2"/>
      <c r="W368" s="2"/>
      <c r="X368" s="2"/>
      <c r="Y368" s="7"/>
      <c r="Z368" s="7"/>
      <c r="AA368" s="7"/>
      <c r="AB368" s="7"/>
      <c r="AC368" s="7"/>
      <c r="AD368" s="7"/>
      <c r="AE368" s="7"/>
      <c r="AF368" s="7"/>
      <c r="AG368" s="7"/>
      <c r="AH368" s="7"/>
      <c r="AI368" s="7"/>
      <c r="AJ368" s="7"/>
      <c r="AK368" s="7"/>
      <c r="AL368" s="7"/>
    </row>
    <row r="369" spans="1:38" ht="15.5" x14ac:dyDescent="0.35">
      <c r="A369" s="2"/>
      <c r="B369" s="3"/>
      <c r="C369" s="11" t="s">
        <v>263</v>
      </c>
      <c r="D369" s="1975" t="str">
        <f>Translations!$B$915</f>
        <v>Vinylkloridmonomer (VCM)</v>
      </c>
      <c r="E369" s="1975"/>
      <c r="F369" s="1975"/>
      <c r="G369" s="1975"/>
      <c r="H369" s="1975"/>
      <c r="I369" s="1975"/>
      <c r="J369" s="1975"/>
      <c r="K369" s="1975"/>
      <c r="L369" s="1975"/>
      <c r="M369" s="1975"/>
      <c r="N369" s="1975"/>
      <c r="O369" s="6"/>
      <c r="P369" s="15"/>
      <c r="Q369" s="7"/>
      <c r="R369" s="2"/>
      <c r="S369" s="2"/>
      <c r="T369" s="2"/>
      <c r="U369" s="2"/>
      <c r="V369" s="2"/>
      <c r="W369" s="2"/>
      <c r="X369" s="2"/>
      <c r="Y369" s="7"/>
      <c r="Z369" s="7"/>
      <c r="AA369" s="7"/>
      <c r="AB369" s="7"/>
      <c r="AC369" s="7"/>
      <c r="AD369" s="7"/>
      <c r="AE369" s="7"/>
      <c r="AF369" s="7"/>
      <c r="AG369" s="7"/>
      <c r="AH369" s="7"/>
      <c r="AI369" s="7"/>
      <c r="AJ369" s="7"/>
      <c r="AK369" s="7"/>
      <c r="AL369" s="7"/>
    </row>
    <row r="370" spans="1:38" ht="5.15" customHeight="1" x14ac:dyDescent="0.25">
      <c r="A370" s="2"/>
      <c r="B370" s="3"/>
      <c r="C370" s="3"/>
      <c r="D370" s="3"/>
      <c r="E370" s="3"/>
      <c r="F370" s="3"/>
      <c r="G370" s="3"/>
      <c r="H370" s="3"/>
      <c r="I370" s="3"/>
      <c r="J370" s="3"/>
      <c r="K370" s="3"/>
      <c r="L370" s="3"/>
      <c r="M370" s="6"/>
      <c r="N370" s="6"/>
      <c r="O370" s="6"/>
      <c r="P370" s="15"/>
      <c r="Q370" s="7"/>
      <c r="R370" s="2"/>
      <c r="S370" s="2"/>
      <c r="T370" s="2"/>
      <c r="U370" s="2"/>
      <c r="V370" s="2"/>
      <c r="W370" s="2"/>
      <c r="X370" s="2"/>
      <c r="Y370" s="7"/>
      <c r="Z370" s="7"/>
      <c r="AA370" s="7"/>
      <c r="AB370" s="7"/>
      <c r="AC370" s="7"/>
      <c r="AD370" s="7"/>
      <c r="AE370" s="7"/>
      <c r="AF370" s="7"/>
      <c r="AG370" s="7"/>
      <c r="AH370" s="7"/>
      <c r="AI370" s="7"/>
      <c r="AJ370" s="7"/>
      <c r="AK370" s="7"/>
      <c r="AL370" s="7"/>
    </row>
    <row r="371" spans="1:38" ht="14" x14ac:dyDescent="0.3">
      <c r="A371" s="2"/>
      <c r="B371" s="3"/>
      <c r="C371" s="17"/>
      <c r="D371" s="2053" t="str">
        <f>Translations!$B$916</f>
        <v>Verktyg för vinylkloridmonomer: Preliminär tilldelning (artikel 20 i FAR)</v>
      </c>
      <c r="E371" s="1963"/>
      <c r="F371" s="1963"/>
      <c r="G371" s="1963"/>
      <c r="H371" s="1963"/>
      <c r="I371" s="1963"/>
      <c r="J371" s="1963"/>
      <c r="K371" s="1963"/>
      <c r="L371" s="1963"/>
      <c r="M371" s="1963"/>
      <c r="N371" s="1963"/>
      <c r="O371" s="6"/>
      <c r="P371" s="15"/>
      <c r="Q371" s="7"/>
      <c r="R371" s="2"/>
      <c r="S371" s="2"/>
      <c r="T371" s="2"/>
      <c r="U371" s="2"/>
      <c r="V371" s="2"/>
      <c r="W371" s="2"/>
      <c r="X371" s="2"/>
      <c r="Y371" s="7"/>
      <c r="Z371" s="7"/>
      <c r="AA371" s="7"/>
      <c r="AB371" s="7"/>
      <c r="AC371" s="7"/>
      <c r="AD371" s="7"/>
      <c r="AE371" s="7"/>
      <c r="AF371" s="7"/>
      <c r="AG371" s="7"/>
      <c r="AH371" s="7"/>
      <c r="AI371" s="7"/>
      <c r="AJ371" s="7"/>
      <c r="AK371" s="7"/>
      <c r="AL371" s="7"/>
    </row>
    <row r="372" spans="1:38" ht="5.15" customHeight="1" x14ac:dyDescent="0.25">
      <c r="A372" s="2"/>
      <c r="B372" s="3"/>
      <c r="C372" s="3"/>
      <c r="D372" s="3"/>
      <c r="E372" s="3"/>
      <c r="F372" s="3"/>
      <c r="G372" s="3"/>
      <c r="H372" s="3"/>
      <c r="I372" s="3"/>
      <c r="J372" s="3"/>
      <c r="K372" s="3"/>
      <c r="L372" s="3"/>
      <c r="M372" s="6"/>
      <c r="N372" s="6"/>
      <c r="O372" s="6"/>
      <c r="P372" s="15"/>
      <c r="Q372" s="7"/>
      <c r="R372" s="2"/>
      <c r="S372" s="2"/>
      <c r="T372" s="2"/>
      <c r="U372" s="2"/>
      <c r="V372" s="2"/>
      <c r="W372" s="2"/>
      <c r="X372" s="2"/>
      <c r="Y372" s="7"/>
      <c r="Z372" s="7"/>
      <c r="AA372" s="7"/>
      <c r="AB372" s="7"/>
      <c r="AC372" s="7"/>
      <c r="AD372" s="7"/>
      <c r="AE372" s="7"/>
      <c r="AF372" s="7"/>
      <c r="AG372" s="7"/>
      <c r="AH372" s="7"/>
      <c r="AI372" s="7"/>
      <c r="AJ372" s="7"/>
      <c r="AK372" s="7"/>
      <c r="AL372" s="7"/>
    </row>
    <row r="373" spans="1:38" x14ac:dyDescent="0.25">
      <c r="A373" s="2"/>
      <c r="B373" s="3"/>
      <c r="C373" s="3"/>
      <c r="D373" s="15"/>
      <c r="E373" s="2061" t="str">
        <f>Translations!$B$917</f>
        <v>Med hjälp av detta verktyg kan ni fastställa den preliminära tilldelningen för delanläggningen för vinylkloridmonomer (VCM) (artikel 20 i FAR).</v>
      </c>
      <c r="F373" s="1963"/>
      <c r="G373" s="1963"/>
      <c r="H373" s="1963"/>
      <c r="I373" s="1963"/>
      <c r="J373" s="1963"/>
      <c r="K373" s="1963"/>
      <c r="L373" s="1963"/>
      <c r="M373" s="1963"/>
      <c r="N373" s="1963"/>
      <c r="O373" s="6"/>
      <c r="P373" s="15"/>
      <c r="Q373" s="7"/>
      <c r="R373" s="2"/>
      <c r="S373" s="2"/>
      <c r="T373" s="2"/>
      <c r="U373" s="2"/>
      <c r="V373" s="2"/>
      <c r="W373" s="2"/>
      <c r="X373" s="2"/>
      <c r="Y373" s="7"/>
      <c r="Z373" s="7"/>
      <c r="AA373" s="7"/>
      <c r="AB373" s="7"/>
      <c r="AC373" s="7"/>
      <c r="AD373" s="7"/>
      <c r="AE373" s="7"/>
      <c r="AF373" s="7"/>
      <c r="AG373" s="7"/>
      <c r="AH373" s="7"/>
      <c r="AI373" s="7"/>
      <c r="AJ373" s="7"/>
      <c r="AK373" s="7"/>
      <c r="AL373" s="7"/>
    </row>
    <row r="374" spans="1:38" x14ac:dyDescent="0.25">
      <c r="A374" s="2"/>
      <c r="B374" s="3"/>
      <c r="C374" s="3"/>
      <c r="D374" s="15"/>
      <c r="E374" s="2061" t="str">
        <f>Translations!$B$918</f>
        <v>Följande uppgifter krävs:</v>
      </c>
      <c r="F374" s="1963"/>
      <c r="G374" s="1963"/>
      <c r="H374" s="1963"/>
      <c r="I374" s="1963"/>
      <c r="J374" s="1963"/>
      <c r="K374" s="1963"/>
      <c r="L374" s="1963"/>
      <c r="M374" s="1963"/>
      <c r="N374" s="1963"/>
      <c r="O374" s="6"/>
      <c r="P374" s="15"/>
      <c r="Q374" s="7"/>
      <c r="R374" s="2"/>
      <c r="S374" s="2"/>
      <c r="T374" s="2"/>
      <c r="U374" s="2"/>
      <c r="V374" s="2"/>
      <c r="W374" s="2"/>
      <c r="X374" s="2"/>
      <c r="Y374" s="7"/>
      <c r="Z374" s="7"/>
      <c r="AA374" s="7"/>
      <c r="AB374" s="7"/>
      <c r="AC374" s="7"/>
      <c r="AD374" s="7"/>
      <c r="AE374" s="7"/>
      <c r="AF374" s="7"/>
      <c r="AG374" s="7"/>
      <c r="AH374" s="7"/>
      <c r="AI374" s="7"/>
      <c r="AJ374" s="7"/>
      <c r="AK374" s="7"/>
      <c r="AL374" s="7"/>
    </row>
    <row r="375" spans="1:38" x14ac:dyDescent="0.25">
      <c r="A375" s="2"/>
      <c r="B375" s="3"/>
      <c r="C375" s="3"/>
      <c r="D375" s="15"/>
      <c r="E375" s="114" t="s">
        <v>1112</v>
      </c>
      <c r="F375" s="2061" t="str">
        <f>Translations!$B$919</f>
        <v>Verksamhetsnivåer enligt uppgifterna i bladet ”ProductBM” avsnitt a, för relevant delanläggning:</v>
      </c>
      <c r="G375" s="1963"/>
      <c r="H375" s="1963"/>
      <c r="I375" s="1963"/>
      <c r="J375" s="1963"/>
      <c r="K375" s="1963"/>
      <c r="L375" s="1963"/>
      <c r="M375" s="1963"/>
      <c r="N375" s="1963"/>
      <c r="O375" s="6"/>
      <c r="P375" s="15"/>
      <c r="Q375" s="7"/>
      <c r="R375" s="2"/>
      <c r="S375" s="2"/>
      <c r="T375" s="2"/>
      <c r="U375" s="2"/>
      <c r="V375" s="2"/>
      <c r="W375" s="2"/>
      <c r="X375" s="2"/>
      <c r="Y375" s="7"/>
      <c r="Z375" s="7"/>
      <c r="AA375" s="7"/>
      <c r="AB375" s="7"/>
      <c r="AC375" s="7"/>
      <c r="AD375" s="7"/>
      <c r="AE375" s="7"/>
      <c r="AF375" s="7"/>
      <c r="AG375" s="7"/>
      <c r="AH375" s="7"/>
      <c r="AI375" s="7"/>
      <c r="AJ375" s="7"/>
      <c r="AK375" s="7"/>
      <c r="AL375" s="7"/>
    </row>
    <row r="376" spans="1:38" x14ac:dyDescent="0.25">
      <c r="A376" s="2"/>
      <c r="B376" s="3"/>
      <c r="C376" s="3"/>
      <c r="D376" s="15"/>
      <c r="E376" s="114" t="s">
        <v>1112</v>
      </c>
      <c r="F376" s="2061" t="str">
        <f>Translations!$B$920</f>
        <v>Direkta utsläpp som tillskrivs delanläggningen.</v>
      </c>
      <c r="G376" s="1963"/>
      <c r="H376" s="1963"/>
      <c r="I376" s="1963"/>
      <c r="J376" s="1963"/>
      <c r="K376" s="1963"/>
      <c r="L376" s="1963"/>
      <c r="M376" s="1963"/>
      <c r="N376" s="1963"/>
      <c r="O376" s="6"/>
      <c r="P376" s="15"/>
      <c r="Q376" s="7"/>
      <c r="R376" s="2"/>
      <c r="S376" s="2"/>
      <c r="T376" s="2"/>
      <c r="U376" s="2"/>
      <c r="V376" s="2"/>
      <c r="W376" s="2"/>
      <c r="X376" s="2"/>
      <c r="Y376" s="7"/>
      <c r="Z376" s="7"/>
      <c r="AA376" s="7"/>
      <c r="AB376" s="7"/>
      <c r="AC376" s="7"/>
      <c r="AD376" s="7"/>
      <c r="AE376" s="7"/>
      <c r="AF376" s="7"/>
      <c r="AG376" s="7"/>
      <c r="AH376" s="7"/>
      <c r="AI376" s="7"/>
      <c r="AJ376" s="7"/>
      <c r="AK376" s="7"/>
      <c r="AL376" s="7"/>
    </row>
    <row r="377" spans="1:38" x14ac:dyDescent="0.25">
      <c r="A377" s="2"/>
      <c r="B377" s="3"/>
      <c r="C377" s="3"/>
      <c r="D377" s="15"/>
      <c r="E377" s="114" t="s">
        <v>1112</v>
      </c>
      <c r="F377" s="2061" t="str">
        <f>Translations!$B$921</f>
        <v>Nettomängd mätbar värme som importeras av delanläggningen från andra ETS-anläggningar.</v>
      </c>
      <c r="G377" s="1963"/>
      <c r="H377" s="1963"/>
      <c r="I377" s="1963"/>
      <c r="J377" s="1963"/>
      <c r="K377" s="1963"/>
      <c r="L377" s="1963"/>
      <c r="M377" s="1963"/>
      <c r="N377" s="1963"/>
      <c r="O377" s="6"/>
      <c r="P377" s="15"/>
      <c r="Q377" s="7"/>
      <c r="R377" s="2"/>
      <c r="S377" s="2"/>
      <c r="T377" s="2"/>
      <c r="U377" s="2"/>
      <c r="V377" s="2"/>
      <c r="W377" s="2"/>
      <c r="X377" s="2"/>
      <c r="Y377" s="7"/>
      <c r="Z377" s="7"/>
      <c r="AA377" s="7"/>
      <c r="AB377" s="7"/>
      <c r="AC377" s="7"/>
      <c r="AD377" s="7"/>
      <c r="AE377" s="7"/>
      <c r="AF377" s="7"/>
      <c r="AG377" s="7"/>
      <c r="AH377" s="7"/>
      <c r="AI377" s="7"/>
      <c r="AJ377" s="7"/>
      <c r="AK377" s="7"/>
      <c r="AL377" s="7"/>
    </row>
    <row r="378" spans="1:38" ht="12.75" customHeight="1" x14ac:dyDescent="0.25">
      <c r="A378" s="2"/>
      <c r="B378" s="3"/>
      <c r="C378" s="3"/>
      <c r="D378" s="15"/>
      <c r="E378" s="114" t="s">
        <v>1112</v>
      </c>
      <c r="F378" s="2061" t="str">
        <f>Translations!$B$922</f>
        <v>Vätgasrelaterade utsläpp: dvs. historisk värmeförbrukning från vätgasförbränning multiplicerat med värmeriktmärket.</v>
      </c>
      <c r="G378" s="2061"/>
      <c r="H378" s="2061"/>
      <c r="I378" s="2061"/>
      <c r="J378" s="2061"/>
      <c r="K378" s="2061"/>
      <c r="L378" s="2061"/>
      <c r="M378" s="2061"/>
      <c r="N378" s="2061"/>
      <c r="O378" s="6"/>
      <c r="P378" s="15"/>
      <c r="Q378" s="7"/>
      <c r="R378" s="2"/>
      <c r="S378" s="2"/>
      <c r="T378" s="2"/>
      <c r="U378" s="2"/>
      <c r="V378" s="2"/>
      <c r="W378" s="2"/>
      <c r="X378" s="2"/>
      <c r="Y378" s="7"/>
      <c r="Z378" s="7"/>
      <c r="AA378" s="7"/>
      <c r="AB378" s="7"/>
      <c r="AC378" s="7"/>
      <c r="AD378" s="7"/>
      <c r="AE378" s="7"/>
      <c r="AF378" s="7"/>
      <c r="AG378" s="7"/>
      <c r="AH378" s="7"/>
      <c r="AI378" s="7"/>
      <c r="AJ378" s="7"/>
      <c r="AK378" s="7"/>
      <c r="AL378" s="7"/>
    </row>
    <row r="379" spans="1:38" ht="5.15" customHeight="1" x14ac:dyDescent="0.25">
      <c r="A379" s="2"/>
      <c r="B379" s="3"/>
      <c r="C379" s="3"/>
      <c r="D379" s="3"/>
      <c r="E379" s="3"/>
      <c r="F379" s="3"/>
      <c r="G379" s="3"/>
      <c r="H379" s="3"/>
      <c r="I379" s="3"/>
      <c r="J379" s="3"/>
      <c r="K379" s="3"/>
      <c r="L379" s="3"/>
      <c r="M379" s="6"/>
      <c r="N379" s="6"/>
      <c r="O379" s="6"/>
      <c r="P379" s="15"/>
      <c r="Q379" s="7"/>
      <c r="R379" s="2"/>
      <c r="S379" s="2"/>
      <c r="T379" s="2"/>
      <c r="U379" s="2"/>
      <c r="V379" s="2"/>
      <c r="W379" s="2"/>
      <c r="X379" s="2"/>
      <c r="Y379" s="7"/>
      <c r="Z379" s="7"/>
      <c r="AA379" s="7"/>
      <c r="AB379" s="7"/>
      <c r="AC379" s="7"/>
      <c r="AD379" s="7"/>
      <c r="AE379" s="7"/>
      <c r="AF379" s="7"/>
      <c r="AG379" s="7"/>
      <c r="AH379" s="7"/>
      <c r="AI379" s="7"/>
      <c r="AJ379" s="7"/>
      <c r="AK379" s="7"/>
      <c r="AL379" s="7"/>
    </row>
    <row r="380" spans="1:38" ht="14" x14ac:dyDescent="0.3">
      <c r="A380" s="2"/>
      <c r="B380" s="3"/>
      <c r="C380" s="3"/>
      <c r="D380" s="13" t="s">
        <v>442</v>
      </c>
      <c r="E380" s="1943" t="str">
        <f>Translations!$B$732</f>
        <v>Verktygets relevans för er anläggning:</v>
      </c>
      <c r="F380" s="1943"/>
      <c r="G380" s="1943"/>
      <c r="H380" s="1943"/>
      <c r="I380" s="1943"/>
      <c r="J380" s="1943"/>
      <c r="K380" s="2067"/>
      <c r="L380" s="2751" t="str">
        <f>IF(CNTR_ExistSubInstEntries,IF(COUNTIF(CNTR_SubInstListNames,INDEX(EUconst_BMlistNames,R380))&gt;0,EUconst_Relevant,EUconst_NotRelevant),"")</f>
        <v/>
      </c>
      <c r="M380" s="2752"/>
      <c r="N380" s="2753"/>
      <c r="O380" s="6"/>
      <c r="P380" s="15"/>
      <c r="Q380" s="309" t="s">
        <v>128</v>
      </c>
      <c r="R380" s="297">
        <v>47</v>
      </c>
      <c r="S380" s="553" t="s">
        <v>608</v>
      </c>
      <c r="T380" s="979">
        <f>SUMIF(CNTR_SubInstListBMnumbers,$R380,CNTR_SubInstStartDate)</f>
        <v>0</v>
      </c>
      <c r="U380" s="343" t="s">
        <v>1873</v>
      </c>
      <c r="V380" s="663">
        <f>IF(SUM(T380)=0,2005,YEAR($X380))</f>
        <v>2005</v>
      </c>
      <c r="W380" s="553" t="s">
        <v>1876</v>
      </c>
      <c r="X380" s="979">
        <f>SUMIF(CNTR_SubInstListBMnumbers,$R380,CNTR_SubInstCessationDate)</f>
        <v>0</v>
      </c>
      <c r="Y380" s="553" t="s">
        <v>1877</v>
      </c>
      <c r="Z380" s="663">
        <f>IF(SUM(X380)=0,2050,YEAR($X380))</f>
        <v>2050</v>
      </c>
      <c r="AA380" s="553" t="s">
        <v>2201</v>
      </c>
      <c r="AB380" s="663" t="b">
        <f>CNTR_ReportingYear&gt;V380</f>
        <v>1</v>
      </c>
      <c r="AC380" s="7"/>
      <c r="AD380" s="7"/>
      <c r="AE380" s="7"/>
      <c r="AF380" s="7"/>
      <c r="AG380" s="7"/>
      <c r="AH380" s="7"/>
      <c r="AI380" s="7"/>
      <c r="AJ380" s="7"/>
      <c r="AK380" s="7"/>
      <c r="AL380" s="7"/>
    </row>
    <row r="381" spans="1:38" x14ac:dyDescent="0.25">
      <c r="A381" s="2"/>
      <c r="B381" s="3"/>
      <c r="C381" s="3"/>
      <c r="D381" s="15"/>
      <c r="E381" s="1999" t="str">
        <f>Translations!$B$733</f>
        <v>Detta meddelande visas automatiskt på grundval av er tidigare inmatning i blad ”A_InstallationData", avsnitt A.III.1.</v>
      </c>
      <c r="F381" s="2000"/>
      <c r="G381" s="2000"/>
      <c r="H381" s="2000"/>
      <c r="I381" s="2000"/>
      <c r="J381" s="2000"/>
      <c r="K381" s="2000"/>
      <c r="L381" s="2000"/>
      <c r="M381" s="2000"/>
      <c r="N381" s="2000"/>
      <c r="O381" s="6"/>
      <c r="P381" s="15"/>
      <c r="Q381" s="7"/>
      <c r="R381" s="2"/>
      <c r="S381" s="2"/>
      <c r="T381" s="2"/>
      <c r="U381" s="2"/>
      <c r="V381" s="2"/>
      <c r="W381" s="2"/>
      <c r="X381" s="2"/>
      <c r="Y381" s="7"/>
      <c r="Z381" s="7"/>
      <c r="AA381" s="7"/>
      <c r="AB381" s="7"/>
      <c r="AC381" s="7"/>
      <c r="AD381" s="7"/>
      <c r="AE381" s="7"/>
      <c r="AF381" s="7"/>
      <c r="AG381" s="7"/>
      <c r="AH381" s="7"/>
      <c r="AI381" s="7"/>
      <c r="AJ381" s="7"/>
      <c r="AK381" s="7"/>
      <c r="AL381" s="7"/>
    </row>
    <row r="382" spans="1:38" ht="13" x14ac:dyDescent="0.25">
      <c r="A382" s="2"/>
      <c r="B382" s="3"/>
      <c r="C382" s="3"/>
      <c r="D382" s="3"/>
      <c r="E382" s="2748" t="str">
        <f>IF(L380=EUconst_Relevant,HYPERLINK(R382,EUconst_MsgBackToSheetF),"")</f>
        <v/>
      </c>
      <c r="F382" s="2749"/>
      <c r="G382" s="2749"/>
      <c r="H382" s="2749"/>
      <c r="I382" s="2749"/>
      <c r="J382" s="2749"/>
      <c r="K382" s="2749"/>
      <c r="L382" s="2749"/>
      <c r="M382" s="2749"/>
      <c r="N382" s="2750"/>
      <c r="O382" s="6"/>
      <c r="P382" s="15"/>
      <c r="Q382" s="309" t="s">
        <v>127</v>
      </c>
      <c r="R382" s="108" t="str">
        <f>IF(ISNUMBER(MATCH(R380,CNTR_SubInstListBMnumbers,0)),"#JUMP_F"&amp;MATCH(R380,CNTR_SubInstListBMnumbers,0),"")</f>
        <v/>
      </c>
      <c r="S382" s="2"/>
      <c r="T382" s="2"/>
      <c r="U382" s="2"/>
      <c r="V382" s="2"/>
      <c r="W382" s="2"/>
      <c r="X382" s="2"/>
      <c r="Y382" s="7"/>
      <c r="Z382" s="7"/>
      <c r="AA382" s="7"/>
      <c r="AB382" s="7"/>
      <c r="AC382" s="7"/>
      <c r="AD382" s="7"/>
      <c r="AE382" s="7"/>
      <c r="AF382" s="7"/>
      <c r="AG382" s="7"/>
      <c r="AH382" s="7"/>
      <c r="AI382" s="7"/>
      <c r="AJ382" s="7"/>
      <c r="AK382" s="7"/>
      <c r="AL382" s="7"/>
    </row>
    <row r="383" spans="1:38" ht="5.15" customHeight="1" x14ac:dyDescent="0.25">
      <c r="A383" s="2"/>
      <c r="B383" s="3"/>
      <c r="C383" s="3"/>
      <c r="D383" s="3"/>
      <c r="E383" s="3"/>
      <c r="F383" s="3"/>
      <c r="G383" s="3"/>
      <c r="H383" s="3"/>
      <c r="I383" s="3"/>
      <c r="J383" s="3"/>
      <c r="K383" s="3"/>
      <c r="L383" s="3"/>
      <c r="M383" s="6"/>
      <c r="N383" s="6"/>
      <c r="O383" s="6"/>
      <c r="P383" s="15"/>
      <c r="Q383" s="7"/>
      <c r="R383" s="2"/>
      <c r="S383" s="2"/>
      <c r="T383" s="2"/>
      <c r="U383" s="2"/>
      <c r="V383" s="2"/>
      <c r="W383" s="2"/>
      <c r="X383" s="2"/>
      <c r="Y383" s="7"/>
      <c r="Z383" s="7"/>
      <c r="AA383" s="7"/>
      <c r="AB383" s="7"/>
      <c r="AC383" s="7"/>
      <c r="AD383" s="7"/>
      <c r="AE383" s="7"/>
      <c r="AF383" s="7"/>
      <c r="AG383" s="7"/>
      <c r="AH383" s="7"/>
      <c r="AI383" s="7"/>
      <c r="AJ383" s="7"/>
      <c r="AK383" s="7"/>
      <c r="AL383" s="7"/>
    </row>
    <row r="384" spans="1:38" ht="13" x14ac:dyDescent="0.25">
      <c r="A384" s="2"/>
      <c r="B384" s="19"/>
      <c r="C384" s="19"/>
      <c r="D384" s="13" t="s">
        <v>955</v>
      </c>
      <c r="E384" s="1943" t="str">
        <f>Translations!$B$923</f>
        <v>Utsläppsrelaterade uppgifter:</v>
      </c>
      <c r="F384" s="1963"/>
      <c r="G384" s="1963"/>
      <c r="H384" s="1963"/>
      <c r="I384" s="1963"/>
      <c r="J384" s="1963"/>
      <c r="K384" s="1963"/>
      <c r="L384" s="1963"/>
      <c r="M384" s="1963"/>
      <c r="N384" s="1963"/>
      <c r="O384" s="6"/>
      <c r="P384" s="15"/>
      <c r="Q384" s="2"/>
      <c r="R384" s="2"/>
      <c r="S384" s="2"/>
      <c r="T384" s="2"/>
      <c r="U384" s="2"/>
      <c r="V384" s="2"/>
      <c r="W384" s="2"/>
      <c r="X384" s="2"/>
      <c r="Y384" s="2"/>
      <c r="Z384" s="2"/>
      <c r="AA384" s="7"/>
      <c r="AB384" s="7"/>
      <c r="AC384" s="7"/>
      <c r="AD384" s="7"/>
      <c r="AE384" s="7"/>
      <c r="AF384" s="7"/>
      <c r="AG384" s="7"/>
      <c r="AH384" s="7"/>
      <c r="AI384" s="7"/>
      <c r="AJ384" s="7"/>
      <c r="AK384" s="7"/>
      <c r="AL384" s="7"/>
    </row>
    <row r="385" spans="1:38" x14ac:dyDescent="0.25">
      <c r="A385" s="2"/>
      <c r="B385" s="3"/>
      <c r="C385" s="3"/>
      <c r="D385" s="15"/>
      <c r="E385" s="2061" t="str">
        <f>Translations!$B$924</f>
        <v>Var god ange de uppgifter som krävs enligt ovan.</v>
      </c>
      <c r="F385" s="1963"/>
      <c r="G385" s="1963"/>
      <c r="H385" s="1963"/>
      <c r="I385" s="1963"/>
      <c r="J385" s="1963"/>
      <c r="K385" s="1963"/>
      <c r="L385" s="1963"/>
      <c r="M385" s="1963"/>
      <c r="N385" s="1963"/>
      <c r="O385" s="6"/>
      <c r="P385" s="15"/>
      <c r="Q385" s="7"/>
      <c r="R385" s="2"/>
      <c r="S385" s="2"/>
      <c r="T385" s="2"/>
      <c r="U385" s="2"/>
      <c r="V385" s="2"/>
      <c r="W385" s="2"/>
      <c r="X385" s="2"/>
      <c r="Y385" s="2"/>
      <c r="Z385" s="2"/>
      <c r="AA385" s="7"/>
      <c r="AB385" s="7"/>
      <c r="AC385" s="7"/>
      <c r="AD385" s="7"/>
      <c r="AE385" s="7"/>
      <c r="AF385" s="7"/>
      <c r="AG385" s="7"/>
      <c r="AH385" s="7"/>
      <c r="AI385" s="7"/>
      <c r="AJ385" s="7"/>
      <c r="AK385" s="7"/>
      <c r="AL385" s="7"/>
    </row>
    <row r="386" spans="1:38" ht="13.5" thickBot="1" x14ac:dyDescent="0.3">
      <c r="A386" s="2"/>
      <c r="B386" s="19"/>
      <c r="C386" s="19"/>
      <c r="D386" s="13"/>
      <c r="E386" s="914" t="str">
        <f>Translations!$B$527</f>
        <v>Parameter</v>
      </c>
      <c r="F386" s="913"/>
      <c r="G386" s="30" t="str">
        <f>EUconst_Unit</f>
        <v>Enhet</v>
      </c>
      <c r="H386" s="320">
        <f t="shared" ref="H386:N386" si="73">H$421</f>
        <v>2019</v>
      </c>
      <c r="I386" s="342">
        <f t="shared" si="73"/>
        <v>2020</v>
      </c>
      <c r="J386" s="987">
        <f t="shared" si="73"/>
        <v>2021</v>
      </c>
      <c r="K386" s="320">
        <f t="shared" si="73"/>
        <v>2022</v>
      </c>
      <c r="L386" s="320">
        <f t="shared" si="73"/>
        <v>2023</v>
      </c>
      <c r="M386" s="320">
        <f t="shared" si="73"/>
        <v>2024</v>
      </c>
      <c r="N386" s="342">
        <f t="shared" si="73"/>
        <v>2025</v>
      </c>
      <c r="O386" s="6"/>
      <c r="P386" s="15"/>
      <c r="Q386" s="2"/>
      <c r="R386" s="2"/>
      <c r="S386" s="2"/>
      <c r="T386" s="2"/>
      <c r="U386" s="2"/>
      <c r="V386" s="2"/>
      <c r="W386" s="2"/>
      <c r="X386" s="2"/>
      <c r="Y386" s="2"/>
      <c r="Z386" s="2"/>
      <c r="AA386" s="7"/>
      <c r="AB386" s="2"/>
      <c r="AC386" s="1051">
        <f t="shared" ref="AC386:AI386" si="74">H386</f>
        <v>2019</v>
      </c>
      <c r="AD386" s="1051">
        <f t="shared" si="74"/>
        <v>2020</v>
      </c>
      <c r="AE386" s="1051">
        <f t="shared" si="74"/>
        <v>2021</v>
      </c>
      <c r="AF386" s="1051">
        <f t="shared" si="74"/>
        <v>2022</v>
      </c>
      <c r="AG386" s="1051">
        <f t="shared" si="74"/>
        <v>2023</v>
      </c>
      <c r="AH386" s="1051">
        <f t="shared" si="74"/>
        <v>2024</v>
      </c>
      <c r="AI386" s="1051">
        <f t="shared" si="74"/>
        <v>2025</v>
      </c>
      <c r="AJ386" s="7"/>
      <c r="AK386" s="7"/>
      <c r="AL386" s="7"/>
    </row>
    <row r="387" spans="1:38" ht="12.75" customHeight="1" x14ac:dyDescent="0.25">
      <c r="A387" s="2"/>
      <c r="B387" s="19"/>
      <c r="C387" s="19"/>
      <c r="D387" s="19"/>
      <c r="E387" s="916" t="str">
        <f>Translations!$B$528</f>
        <v>Direkta utsläpp</v>
      </c>
      <c r="F387" s="916"/>
      <c r="G387" s="32" t="str">
        <f>EUconst_tCO2pa</f>
        <v>t CO2 / år</v>
      </c>
      <c r="H387" s="280"/>
      <c r="I387" s="467"/>
      <c r="J387" s="1106"/>
      <c r="K387" s="280"/>
      <c r="L387" s="280"/>
      <c r="M387" s="280"/>
      <c r="N387" s="467"/>
      <c r="O387" s="6"/>
      <c r="P387" s="15"/>
      <c r="Q387" s="298" t="str">
        <f>EUconst_CNTR_Emissions &amp; INDEX(EUconst_BMlistNames,R380)</f>
        <v>DirEmissions_Vinylkloridmonomer</v>
      </c>
      <c r="R387" s="2"/>
      <c r="S387" s="2"/>
      <c r="T387" s="2"/>
      <c r="U387" s="2"/>
      <c r="V387" s="2"/>
      <c r="W387" s="2"/>
      <c r="X387" s="2"/>
      <c r="Y387" s="2"/>
      <c r="Z387" s="2"/>
      <c r="AA387" s="7"/>
      <c r="AB387" s="672" t="s">
        <v>782</v>
      </c>
      <c r="AC387" s="1059" t="b">
        <f t="shared" ref="AC387:AI387" si="75">IF(CNTR_ExistSubInstEntries,IF($L380=EUconst_Relevant,AC386&gt;=CNTR_ReportingYear,TRUE),FALSE)</f>
        <v>0</v>
      </c>
      <c r="AD387" s="1057" t="b">
        <f t="shared" si="75"/>
        <v>0</v>
      </c>
      <c r="AE387" s="1057" t="b">
        <f t="shared" si="75"/>
        <v>0</v>
      </c>
      <c r="AF387" s="1057" t="b">
        <f t="shared" si="75"/>
        <v>0</v>
      </c>
      <c r="AG387" s="1057" t="b">
        <f t="shared" si="75"/>
        <v>0</v>
      </c>
      <c r="AH387" s="1057" t="b">
        <f t="shared" si="75"/>
        <v>0</v>
      </c>
      <c r="AI387" s="1058" t="b">
        <f t="shared" si="75"/>
        <v>0</v>
      </c>
      <c r="AJ387" s="7"/>
      <c r="AK387" s="7"/>
      <c r="AL387" s="7"/>
    </row>
    <row r="388" spans="1:38" ht="12.75" customHeight="1" x14ac:dyDescent="0.25">
      <c r="A388" s="2"/>
      <c r="B388" s="19"/>
      <c r="C388" s="19"/>
      <c r="D388" s="19"/>
      <c r="E388" s="932" t="str">
        <f>Translations!$B$925</f>
        <v>Nättomängd mätbar värme som importeras</v>
      </c>
      <c r="F388" s="932"/>
      <c r="G388" s="33" t="str">
        <f>EUconst_TJpa</f>
        <v>TJ / år</v>
      </c>
      <c r="H388" s="650" t="str">
        <f>IF($L380=EUconst_Relevant,INDEX(F_ProductBM!H:H,MATCH($Q388,F_ProductBM!$Q:$Q,0)),"")</f>
        <v/>
      </c>
      <c r="I388" s="701" t="str">
        <f>IF($L380=EUconst_Relevant,INDEX(F_ProductBM!I:I,MATCH($Q388,F_ProductBM!$Q:$Q,0)),"")</f>
        <v/>
      </c>
      <c r="J388" s="1327" t="str">
        <f>IF($L380=EUconst_Relevant,INDEX(F_ProductBM!J:J,MATCH($Q388,F_ProductBM!$Q:$Q,0)),"")</f>
        <v/>
      </c>
      <c r="K388" s="650" t="str">
        <f>IF($L380=EUconst_Relevant,INDEX(F_ProductBM!K:K,MATCH($Q388,F_ProductBM!$Q:$Q,0)),"")</f>
        <v/>
      </c>
      <c r="L388" s="650" t="str">
        <f>IF($L380=EUconst_Relevant,INDEX(F_ProductBM!L:L,MATCH($Q388,F_ProductBM!$Q:$Q,0)),"")</f>
        <v/>
      </c>
      <c r="M388" s="650" t="str">
        <f>IF($L380=EUconst_Relevant,INDEX(F_ProductBM!M:M,MATCH($Q388,F_ProductBM!$Q:$Q,0)),"")</f>
        <v/>
      </c>
      <c r="N388" s="701" t="str">
        <f>IF($L380=EUconst_Relevant,INDEX(F_ProductBM!N:N,MATCH($Q388,F_ProductBM!$Q:$Q,0)),"")</f>
        <v/>
      </c>
      <c r="O388" s="6"/>
      <c r="P388" s="15"/>
      <c r="Q388" s="298" t="str">
        <f>EUconst_CNTR_HeatImport&amp;INDEX(EUconst_BMlistNames,R380)</f>
        <v>HeatIm_Vinylkloridmonomer</v>
      </c>
      <c r="R388" s="2"/>
      <c r="S388" s="2" t="s">
        <v>224</v>
      </c>
      <c r="T388" s="2"/>
      <c r="U388" s="2"/>
      <c r="V388" s="2"/>
      <c r="W388" s="2"/>
      <c r="X388" s="2"/>
      <c r="Y388" s="7"/>
      <c r="Z388" s="7"/>
      <c r="AA388" s="7"/>
      <c r="AB388" s="7"/>
      <c r="AC388" s="1060" t="b">
        <f t="shared" ref="AC388:AI389" si="76">AC387</f>
        <v>0</v>
      </c>
      <c r="AD388" s="298" t="b">
        <f t="shared" si="76"/>
        <v>0</v>
      </c>
      <c r="AE388" s="298" t="b">
        <f t="shared" si="76"/>
        <v>0</v>
      </c>
      <c r="AF388" s="298" t="b">
        <f t="shared" si="76"/>
        <v>0</v>
      </c>
      <c r="AG388" s="298" t="b">
        <f t="shared" si="76"/>
        <v>0</v>
      </c>
      <c r="AH388" s="298" t="b">
        <f t="shared" si="76"/>
        <v>0</v>
      </c>
      <c r="AI388" s="1061" t="b">
        <f t="shared" si="76"/>
        <v>0</v>
      </c>
      <c r="AJ388" s="7"/>
      <c r="AK388" s="7"/>
      <c r="AL388" s="7"/>
    </row>
    <row r="389" spans="1:38" ht="12.75" customHeight="1" thickBot="1" x14ac:dyDescent="0.3">
      <c r="A389" s="2"/>
      <c r="B389" s="19"/>
      <c r="C389" s="19"/>
      <c r="D389" s="19"/>
      <c r="E389" s="1520" t="str">
        <f>Translations!$B$926</f>
        <v>Värmeförbrukning från vätgasförbränning</v>
      </c>
      <c r="F389" s="1520"/>
      <c r="G389" s="36" t="str">
        <f>EUconst_TJpa</f>
        <v>TJ / år</v>
      </c>
      <c r="H389" s="277"/>
      <c r="I389" s="469"/>
      <c r="J389" s="1112"/>
      <c r="K389" s="277"/>
      <c r="L389" s="277"/>
      <c r="M389" s="277"/>
      <c r="N389" s="469"/>
      <c r="O389" s="6"/>
      <c r="P389" s="15"/>
      <c r="Q389" s="2"/>
      <c r="R389" s="2"/>
      <c r="S389" s="2"/>
      <c r="T389" s="2"/>
      <c r="U389" s="2"/>
      <c r="V389" s="2"/>
      <c r="W389" s="2"/>
      <c r="X389" s="2"/>
      <c r="Y389" s="7"/>
      <c r="Z389" s="7"/>
      <c r="AA389" s="7"/>
      <c r="AB389" s="7"/>
      <c r="AC389" s="1062" t="b">
        <f t="shared" si="76"/>
        <v>0</v>
      </c>
      <c r="AD389" s="1063" t="b">
        <f t="shared" si="76"/>
        <v>0</v>
      </c>
      <c r="AE389" s="1063" t="b">
        <f t="shared" si="76"/>
        <v>0</v>
      </c>
      <c r="AF389" s="1063" t="b">
        <f t="shared" si="76"/>
        <v>0</v>
      </c>
      <c r="AG389" s="1063" t="b">
        <f t="shared" si="76"/>
        <v>0</v>
      </c>
      <c r="AH389" s="1063" t="b">
        <f t="shared" si="76"/>
        <v>0</v>
      </c>
      <c r="AI389" s="1064" t="b">
        <f t="shared" si="76"/>
        <v>0</v>
      </c>
      <c r="AJ389" s="7"/>
      <c r="AK389" s="7"/>
      <c r="AL389" s="7"/>
    </row>
    <row r="390" spans="1:38" ht="13.5" customHeight="1" x14ac:dyDescent="0.25">
      <c r="A390" s="2"/>
      <c r="B390" s="19"/>
      <c r="C390" s="19"/>
      <c r="D390" s="19"/>
      <c r="E390" s="916" t="str">
        <f>Translations!$B$531</f>
        <v>Totala direkta utsläpp</v>
      </c>
      <c r="F390" s="916"/>
      <c r="G390" s="32" t="str">
        <f>EUconst_tCO2pa</f>
        <v>t CO2 / år</v>
      </c>
      <c r="H390" s="282" t="str">
        <f t="shared" ref="H390:N390" si="77">IF(OR(ISNUMBER(H387),ISNUMBER(H388)),H387+H388*EUconst_HeatBMvalue,"")</f>
        <v/>
      </c>
      <c r="I390" s="682" t="str">
        <f t="shared" si="77"/>
        <v/>
      </c>
      <c r="J390" s="688" t="str">
        <f t="shared" si="77"/>
        <v/>
      </c>
      <c r="K390" s="282" t="str">
        <f t="shared" si="77"/>
        <v/>
      </c>
      <c r="L390" s="282" t="str">
        <f t="shared" si="77"/>
        <v/>
      </c>
      <c r="M390" s="282" t="str">
        <f t="shared" si="77"/>
        <v/>
      </c>
      <c r="N390" s="682" t="str">
        <f t="shared" si="77"/>
        <v/>
      </c>
      <c r="O390" s="6"/>
      <c r="P390" s="15"/>
      <c r="Q390" s="2"/>
      <c r="R390" s="2"/>
      <c r="S390" s="2"/>
      <c r="T390" s="2"/>
      <c r="U390" s="2"/>
      <c r="V390" s="2"/>
      <c r="W390" s="2"/>
      <c r="X390" s="2"/>
      <c r="Y390" s="7"/>
      <c r="Z390" s="7"/>
      <c r="AA390" s="7"/>
      <c r="AB390" s="7"/>
      <c r="AC390" s="7"/>
      <c r="AD390" s="7"/>
      <c r="AE390" s="7"/>
      <c r="AF390" s="7"/>
      <c r="AG390" s="7"/>
      <c r="AH390" s="7"/>
      <c r="AI390" s="7"/>
      <c r="AJ390" s="7"/>
      <c r="AK390" s="7"/>
      <c r="AL390" s="7"/>
    </row>
    <row r="391" spans="1:38" ht="13.5" customHeight="1" x14ac:dyDescent="0.25">
      <c r="A391" s="2"/>
      <c r="B391" s="19"/>
      <c r="C391" s="19"/>
      <c r="D391" s="19"/>
      <c r="E391" s="1520" t="str">
        <f>Translations!$B$927</f>
        <v>Vätgasrelaterade utsläpp</v>
      </c>
      <c r="F391" s="1520"/>
      <c r="G391" s="36" t="str">
        <f>EUconst_tCO2pa</f>
        <v>t CO2 / år</v>
      </c>
      <c r="H391" s="266" t="str">
        <f t="shared" ref="H391:N391" si="78">IF(ISNUMBER(H389),H389*EUconst_HeatBMvalue,"")</f>
        <v/>
      </c>
      <c r="I391" s="684" t="str">
        <f t="shared" si="78"/>
        <v/>
      </c>
      <c r="J391" s="690" t="str">
        <f t="shared" si="78"/>
        <v/>
      </c>
      <c r="K391" s="266" t="str">
        <f t="shared" si="78"/>
        <v/>
      </c>
      <c r="L391" s="266" t="str">
        <f t="shared" si="78"/>
        <v/>
      </c>
      <c r="M391" s="266" t="str">
        <f t="shared" si="78"/>
        <v/>
      </c>
      <c r="N391" s="684" t="str">
        <f t="shared" si="78"/>
        <v/>
      </c>
      <c r="O391" s="6"/>
      <c r="P391" s="15"/>
      <c r="Q391" s="2"/>
      <c r="R391" s="2"/>
      <c r="S391" s="2"/>
      <c r="T391" s="2"/>
      <c r="U391" s="2"/>
      <c r="V391" s="2"/>
      <c r="W391" s="2"/>
      <c r="X391" s="2"/>
      <c r="Y391" s="7"/>
      <c r="Z391" s="7"/>
      <c r="AA391" s="7"/>
      <c r="AB391" s="7"/>
      <c r="AC391" s="7"/>
      <c r="AD391" s="7"/>
      <c r="AE391" s="7"/>
      <c r="AF391" s="7"/>
      <c r="AG391" s="7"/>
      <c r="AH391" s="7"/>
      <c r="AI391" s="7"/>
      <c r="AJ391" s="7"/>
      <c r="AK391" s="7"/>
      <c r="AL391" s="7"/>
    </row>
    <row r="392" spans="1:38" ht="5.15" customHeight="1" x14ac:dyDescent="0.25">
      <c r="A392" s="2"/>
      <c r="B392" s="3"/>
      <c r="C392" s="3"/>
      <c r="D392" s="3"/>
      <c r="E392" s="3"/>
      <c r="F392" s="3"/>
      <c r="G392" s="3"/>
      <c r="H392" s="3"/>
      <c r="I392" s="3"/>
      <c r="J392" s="3"/>
      <c r="K392" s="3"/>
      <c r="L392" s="3"/>
      <c r="M392" s="6"/>
      <c r="N392" s="6"/>
      <c r="O392" s="6"/>
      <c r="P392" s="15"/>
      <c r="Q392" s="7"/>
      <c r="R392" s="2"/>
      <c r="S392" s="2"/>
      <c r="T392" s="2"/>
      <c r="U392" s="2"/>
      <c r="V392" s="2"/>
      <c r="W392" s="2"/>
      <c r="X392" s="2"/>
      <c r="Y392" s="7"/>
      <c r="Z392" s="7"/>
      <c r="AA392" s="7"/>
      <c r="AB392" s="7"/>
      <c r="AC392" s="7"/>
      <c r="AD392" s="7"/>
      <c r="AE392" s="7"/>
      <c r="AF392" s="7"/>
      <c r="AG392" s="7"/>
      <c r="AH392" s="7"/>
      <c r="AI392" s="7"/>
      <c r="AJ392" s="7"/>
      <c r="AK392" s="7"/>
      <c r="AL392" s="7"/>
    </row>
    <row r="393" spans="1:38" ht="12.75" customHeight="1" x14ac:dyDescent="0.25">
      <c r="A393" s="2"/>
      <c r="B393" s="178"/>
      <c r="C393" s="178"/>
      <c r="D393" s="289"/>
      <c r="E393" s="514" t="s">
        <v>1528</v>
      </c>
      <c r="F393" s="929"/>
      <c r="G393" s="930" t="s">
        <v>1112</v>
      </c>
      <c r="H393" s="926">
        <f t="shared" ref="H393:N393" si="79">IF(COUNT(H390:H391)=2,SUM(H390)/SUM(H390:H391),IF($R380=47,IF(H386&gt;CNTR_ReportingYear,"",1),""))</f>
        <v>1</v>
      </c>
      <c r="I393" s="1000">
        <f t="shared" si="79"/>
        <v>1</v>
      </c>
      <c r="J393" s="1010">
        <f t="shared" si="79"/>
        <v>1</v>
      </c>
      <c r="K393" s="1004">
        <f t="shared" si="79"/>
        <v>1</v>
      </c>
      <c r="L393" s="926">
        <f t="shared" si="79"/>
        <v>1</v>
      </c>
      <c r="M393" s="926">
        <f t="shared" si="79"/>
        <v>1</v>
      </c>
      <c r="N393" s="926">
        <f t="shared" si="79"/>
        <v>1</v>
      </c>
      <c r="O393" s="15"/>
      <c r="P393" s="15"/>
      <c r="Q393" s="165" t="str">
        <f>EUconst_CNTR_VCM</f>
        <v>VCM_</v>
      </c>
      <c r="R393" s="2"/>
      <c r="S393" s="2"/>
      <c r="T393" s="2"/>
      <c r="U393" s="2"/>
      <c r="V393" s="2"/>
      <c r="W393" s="2"/>
      <c r="X393" s="2"/>
      <c r="Y393" s="2"/>
      <c r="Z393" s="2"/>
      <c r="AA393" s="2"/>
      <c r="AB393" s="2"/>
      <c r="AC393" s="2"/>
      <c r="AD393" s="2"/>
      <c r="AE393" s="2"/>
      <c r="AF393" s="2"/>
      <c r="AG393" s="2"/>
      <c r="AH393" s="2"/>
      <c r="AI393" s="2"/>
      <c r="AJ393" s="2"/>
      <c r="AK393" s="7"/>
      <c r="AL393" s="7"/>
    </row>
    <row r="394" spans="1:38" ht="5.15" customHeight="1" x14ac:dyDescent="0.25">
      <c r="A394" s="2"/>
      <c r="B394" s="178"/>
      <c r="C394" s="178"/>
      <c r="D394" s="178"/>
      <c r="E394" s="178"/>
      <c r="F394" s="178"/>
      <c r="G394" s="178"/>
      <c r="H394" s="178"/>
      <c r="I394" s="178"/>
      <c r="J394" s="178"/>
      <c r="K394" s="178"/>
      <c r="L394" s="178"/>
      <c r="M394" s="15"/>
      <c r="N394" s="15"/>
      <c r="O394" s="15"/>
      <c r="P394" s="15"/>
      <c r="Q394" s="343"/>
      <c r="R394" s="2"/>
      <c r="S394" s="2"/>
      <c r="T394" s="2"/>
      <c r="U394" s="2"/>
      <c r="V394" s="2"/>
      <c r="W394" s="2"/>
      <c r="X394" s="2"/>
      <c r="Y394" s="2"/>
      <c r="Z394" s="2"/>
      <c r="AA394" s="2"/>
      <c r="AB394" s="2"/>
      <c r="AC394" s="2"/>
      <c r="AD394" s="2"/>
      <c r="AE394" s="2"/>
      <c r="AF394" s="2"/>
      <c r="AG394" s="2"/>
      <c r="AH394" s="2"/>
      <c r="AI394" s="2"/>
      <c r="AJ394" s="2"/>
      <c r="AK394" s="7"/>
      <c r="AL394" s="7"/>
    </row>
    <row r="395" spans="1:38" ht="25.5" customHeight="1" thickBot="1" x14ac:dyDescent="0.3">
      <c r="A395" s="2"/>
      <c r="B395" s="178"/>
      <c r="C395" s="178"/>
      <c r="D395" s="15"/>
      <c r="E395" s="2061" t="str">
        <f>Translations!$B$1479</f>
        <v>Baserat på uppgifterna ovan bestäms ett genomsnittligt årligt värde. Tilldelningen kommer endast att ändras om det relativa tröskelvärdet (15 % jämfört med värdet från de nationella genomförandeåtgärderna) och det absoluta tröskelvärdet (ändring leder till mer än 100 utsläppsrätter) överskrids, enligt artikel 6.4 i verksamhetsändringsförordningen.</v>
      </c>
      <c r="F395" s="1963"/>
      <c r="G395" s="1963"/>
      <c r="H395" s="1963"/>
      <c r="I395" s="1963"/>
      <c r="J395" s="1963"/>
      <c r="K395" s="1963"/>
      <c r="L395" s="1963"/>
      <c r="M395" s="1963"/>
      <c r="N395" s="1963"/>
      <c r="O395" s="15"/>
      <c r="P395" s="15"/>
      <c r="Q395" s="343"/>
      <c r="R395" s="2"/>
      <c r="S395" s="343"/>
      <c r="T395" s="343"/>
      <c r="U395" s="343"/>
      <c r="V395" s="2"/>
      <c r="W395" s="2"/>
      <c r="X395" s="2"/>
      <c r="Y395" s="2"/>
      <c r="Z395" s="2"/>
      <c r="AA395" s="2"/>
      <c r="AB395" s="2"/>
      <c r="AC395" s="2"/>
      <c r="AD395" s="2"/>
      <c r="AE395" s="2"/>
      <c r="AF395" s="2"/>
      <c r="AG395" s="2"/>
      <c r="AH395" s="2"/>
      <c r="AI395" s="2"/>
      <c r="AJ395" s="2"/>
      <c r="AK395" s="7"/>
      <c r="AL395" s="7"/>
    </row>
    <row r="396" spans="1:38" ht="5.15" customHeight="1" thickBot="1" x14ac:dyDescent="0.3">
      <c r="A396" s="2"/>
      <c r="B396" s="178"/>
      <c r="C396" s="178"/>
      <c r="D396" s="1238"/>
      <c r="E396" s="1239"/>
      <c r="F396" s="1240"/>
      <c r="G396" s="1240"/>
      <c r="H396" s="1240"/>
      <c r="I396" s="1240"/>
      <c r="J396" s="1240"/>
      <c r="K396" s="1240"/>
      <c r="L396" s="1240"/>
      <c r="M396" s="1240"/>
      <c r="N396" s="1241"/>
      <c r="O396" s="15"/>
      <c r="P396" s="15"/>
      <c r="Q396" s="343"/>
      <c r="R396" s="2"/>
      <c r="S396" s="343"/>
      <c r="T396" s="343"/>
      <c r="U396" s="343"/>
      <c r="V396" s="2"/>
      <c r="W396" s="2"/>
      <c r="X396" s="2"/>
      <c r="Y396" s="2"/>
      <c r="Z396" s="2"/>
      <c r="AA396" s="2"/>
      <c r="AB396" s="2"/>
      <c r="AC396" s="2"/>
      <c r="AD396" s="2"/>
      <c r="AE396" s="2"/>
      <c r="AF396" s="2"/>
      <c r="AG396" s="2"/>
      <c r="AH396" s="2"/>
      <c r="AI396" s="2"/>
      <c r="AJ396" s="2"/>
      <c r="AK396" s="7"/>
      <c r="AL396" s="7"/>
    </row>
    <row r="397" spans="1:38" ht="12.75" customHeight="1" x14ac:dyDescent="0.25">
      <c r="A397" s="2"/>
      <c r="B397" s="178"/>
      <c r="C397" s="178"/>
      <c r="D397" s="1242"/>
      <c r="E397" s="2755" t="str">
        <f>Translations!$B$1340</f>
        <v>Justeringar</v>
      </c>
      <c r="F397" s="2755"/>
      <c r="G397" s="2755"/>
      <c r="H397" s="1228" t="str">
        <f>EUconst_Unit</f>
        <v>Enhet</v>
      </c>
      <c r="I397" s="1229" t="str">
        <f>Translations!$B$1481</f>
        <v>Värde (NIMs)</v>
      </c>
      <c r="J397" s="1255">
        <f>J$421</f>
        <v>2021</v>
      </c>
      <c r="K397" s="1230">
        <f>K$421</f>
        <v>2022</v>
      </c>
      <c r="L397" s="1230">
        <f>L$421</f>
        <v>2023</v>
      </c>
      <c r="M397" s="1230">
        <f>M$421</f>
        <v>2024</v>
      </c>
      <c r="N397" s="1245">
        <f>N$421</f>
        <v>2025</v>
      </c>
      <c r="O397" s="15"/>
      <c r="P397" s="15"/>
      <c r="Q397" s="343"/>
      <c r="R397" s="2"/>
      <c r="S397" s="2"/>
      <c r="T397" s="2"/>
      <c r="U397" s="772"/>
      <c r="V397" s="1077">
        <f>J397</f>
        <v>2021</v>
      </c>
      <c r="W397" s="1077">
        <f>K397</f>
        <v>2022</v>
      </c>
      <c r="X397" s="1077">
        <f>L397</f>
        <v>2023</v>
      </c>
      <c r="Y397" s="1077">
        <f>M397</f>
        <v>2024</v>
      </c>
      <c r="Z397" s="1078">
        <f>N397</f>
        <v>2025</v>
      </c>
      <c r="AA397" s="2"/>
      <c r="AB397" s="2"/>
      <c r="AC397" s="2"/>
      <c r="AD397" s="2"/>
      <c r="AE397" s="2"/>
      <c r="AF397" s="2"/>
      <c r="AG397" s="2"/>
      <c r="AH397" s="2"/>
      <c r="AI397" s="2"/>
      <c r="AJ397" s="343"/>
      <c r="AK397" s="7"/>
      <c r="AL397" s="7"/>
    </row>
    <row r="398" spans="1:38" ht="12.75" customHeight="1" x14ac:dyDescent="0.25">
      <c r="A398" s="2"/>
      <c r="B398" s="178"/>
      <c r="C398" s="178"/>
      <c r="D398" s="1246"/>
      <c r="E398" s="2618" t="str">
        <f>Translations!$B$1482</f>
        <v>Genomsnittligt årligt värde</v>
      </c>
      <c r="F398" s="1997"/>
      <c r="G398" s="1997"/>
      <c r="H398" s="1232" t="str">
        <f>G393</f>
        <v>-</v>
      </c>
      <c r="I398" s="1011" t="str">
        <f>IF(ISNUMBER(INDEX('B+C_SubInstallations'!$N:$N,MATCH(Q398,'B+C_SubInstallations'!$Y:$Y,0))),INDEX('B+C_SubInstallations'!$N:$N,MATCH(Q398,'B+C_SubInstallations'!$Y:$Y,0)),"")</f>
        <v/>
      </c>
      <c r="J398" s="1012" t="str">
        <f>IF($L380&lt;&gt;EUconst_Relevant,"",IF(AND(V398&gt;=3,CNTR_ReportingYear&gt;J397-1),AVERAGE(SUM(H393),SUM(I393)),""))</f>
        <v/>
      </c>
      <c r="K398" s="927" t="str">
        <f>IF($L380&lt;&gt;EUconst_Relevant,"",IF(AND(W398&gt;=3,CNTR_ReportingYear&gt;K397-1),AVERAGE(SUM(I393),SUM(J393)),""))</f>
        <v/>
      </c>
      <c r="L398" s="927" t="str">
        <f>IF($L380&lt;&gt;EUconst_Relevant,"",IF(AND(X398&gt;=3,CNTR_ReportingYear&gt;L397-1),AVERAGE(SUM(J393),SUM(K393)),""))</f>
        <v/>
      </c>
      <c r="M398" s="927" t="str">
        <f>IF($L380&lt;&gt;EUconst_Relevant,"",IF(AND(Y398&gt;=3,CNTR_ReportingYear&gt;M397-1),AVERAGE(SUM(K393),SUM(L393)),""))</f>
        <v/>
      </c>
      <c r="N398" s="1222" t="str">
        <f>IF($L380&lt;&gt;EUconst_Relevant,"",IF(AND(Z398&gt;=3,CNTR_ReportingYear&gt;N397-1),AVERAGE(SUM(L393),SUM(M393)),""))</f>
        <v/>
      </c>
      <c r="O398" s="15"/>
      <c r="P398" s="15"/>
      <c r="Q398" s="108" t="str">
        <f>EUconst_CNTR_VCMInitial &amp; INDEX(EUconst_BMlistNames,R380)</f>
        <v>VCMIni_Vinylkloridmonomer</v>
      </c>
      <c r="R398" s="2"/>
      <c r="S398" s="2"/>
      <c r="T398" s="2"/>
      <c r="U398" s="1079" t="s">
        <v>1850</v>
      </c>
      <c r="V398" s="663">
        <f>IF($L380&lt;&gt;EUconst_Relevant,0,V397-$V380+1)</f>
        <v>0</v>
      </c>
      <c r="W398" s="663">
        <f>IF($L380&lt;&gt;EUconst_Relevant,0,W397-$V380+1)</f>
        <v>0</v>
      </c>
      <c r="X398" s="663">
        <f>IF($L380&lt;&gt;EUconst_Relevant,0,X397-$V380+1)</f>
        <v>0</v>
      </c>
      <c r="Y398" s="663">
        <f>IF($L380&lt;&gt;EUconst_Relevant,0,Y397-$V380+1)</f>
        <v>0</v>
      </c>
      <c r="Z398" s="1080">
        <f>IF($L380&lt;&gt;EUconst_Relevant,0,Z397-$V380+1)</f>
        <v>0</v>
      </c>
      <c r="AA398" s="2"/>
      <c r="AB398" s="672" t="s">
        <v>782</v>
      </c>
      <c r="AC398" s="153"/>
      <c r="AD398" s="1166" t="b">
        <f>OR(AD392,T349&gt;DATE(2018,1,1))</f>
        <v>0</v>
      </c>
      <c r="AE398" s="2"/>
      <c r="AF398" s="2"/>
      <c r="AG398" s="2"/>
      <c r="AH398" s="2"/>
      <c r="AI398" s="2"/>
      <c r="AJ398" s="343"/>
      <c r="AK398" s="7"/>
      <c r="AL398" s="7"/>
    </row>
    <row r="399" spans="1:38" ht="12.75" hidden="1" customHeight="1" x14ac:dyDescent="0.25">
      <c r="A399" s="343" t="s">
        <v>346</v>
      </c>
      <c r="B399" s="178"/>
      <c r="C399" s="178"/>
      <c r="D399" s="1242"/>
      <c r="E399" s="2618" t="s">
        <v>1980</v>
      </c>
      <c r="F399" s="1997"/>
      <c r="G399" s="1997"/>
      <c r="H399" s="1233"/>
      <c r="I399" s="1235"/>
      <c r="J399" s="1013" t="str">
        <f>IF(J398="","",IF($I401=0,100%,J398/$I401-1))</f>
        <v/>
      </c>
      <c r="K399" s="938" t="str">
        <f>IF(K398="","",IF($I401=0,100%,K398/$I401-1))</f>
        <v/>
      </c>
      <c r="L399" s="938" t="str">
        <f>IF(L398="","",IF($I401=0,100%,L398/$I401-1))</f>
        <v/>
      </c>
      <c r="M399" s="938" t="str">
        <f>IF(M398="","",IF($I401=0,100%,M398/$I401-1))</f>
        <v/>
      </c>
      <c r="N399" s="1223" t="str">
        <f>IF(N398="","",IF($I401=0,100%,N398/$I401-1))</f>
        <v/>
      </c>
      <c r="O399" s="15"/>
      <c r="P399" s="15"/>
      <c r="Q399" s="165" t="str">
        <f>EUconst_CNTR_RelThreshold &amp; Q401</f>
        <v>RelThresh_VCMprelim_</v>
      </c>
      <c r="R399" s="2"/>
      <c r="S399" s="2"/>
      <c r="T399" s="2"/>
      <c r="U399" s="1079" t="s">
        <v>1855</v>
      </c>
      <c r="V399" s="603" t="str">
        <f>IF(J398="","",ABS(J399)&gt;15%)</f>
        <v/>
      </c>
      <c r="W399" s="603" t="str">
        <f>IF(K398="","",ABS(K399)&gt;15%)</f>
        <v/>
      </c>
      <c r="X399" s="603" t="str">
        <f>IF(L398="","",ABS(L399)&gt;15%)</f>
        <v/>
      </c>
      <c r="Y399" s="603" t="str">
        <f>IF(M398="","",ABS(M399)&gt;15%)</f>
        <v/>
      </c>
      <c r="Z399" s="1756" t="str">
        <f>IF(N398="","",ABS(N399)&gt;15%)</f>
        <v/>
      </c>
      <c r="AA399" s="2"/>
      <c r="AB399" s="2"/>
      <c r="AC399" s="2"/>
      <c r="AD399" s="2"/>
      <c r="AE399" s="2"/>
      <c r="AF399" s="2"/>
      <c r="AG399" s="2"/>
      <c r="AH399" s="2"/>
      <c r="AI399" s="2"/>
      <c r="AJ399" s="343"/>
      <c r="AK399" s="7"/>
      <c r="AL399" s="7"/>
    </row>
    <row r="400" spans="1:38" ht="12.75" customHeight="1" x14ac:dyDescent="0.25">
      <c r="A400" s="343"/>
      <c r="B400" s="178"/>
      <c r="C400" s="178"/>
      <c r="D400" s="1242"/>
      <c r="E400" s="2618" t="str">
        <f>Translations!$B$1474</f>
        <v>Preliminär justering (om relativa tröskelvärden överskrids)</v>
      </c>
      <c r="F400" s="1997"/>
      <c r="G400" s="1997"/>
      <c r="H400" s="1997"/>
      <c r="I400" s="2620"/>
      <c r="J400" s="992" t="str">
        <f>IF(J398="","",IF(V399=FALSE,0%,J399))</f>
        <v/>
      </c>
      <c r="K400" s="937" t="str">
        <f>IF(K398="","",IF(W399=FALSE,0%,K399))</f>
        <v/>
      </c>
      <c r="L400" s="937" t="str">
        <f>IF(L398="","",IF(X399=FALSE,0%,L399))</f>
        <v/>
      </c>
      <c r="M400" s="937" t="str">
        <f>IF(M398="","",IF(Y399=FALSE,0%,M399))</f>
        <v/>
      </c>
      <c r="N400" s="1220" t="str">
        <f>IF(N398="","",IF(Z399=FALSE,0%,N399))</f>
        <v/>
      </c>
      <c r="O400" s="15"/>
      <c r="P400" s="15"/>
      <c r="Q400" s="343"/>
      <c r="R400" s="2"/>
      <c r="S400" s="2"/>
      <c r="T400" s="2"/>
      <c r="U400" s="1081"/>
      <c r="V400" s="2"/>
      <c r="W400" s="2"/>
      <c r="X400" s="2"/>
      <c r="Y400" s="2"/>
      <c r="Z400" s="228"/>
      <c r="AA400" s="2"/>
      <c r="AB400" s="2"/>
      <c r="AC400" s="2"/>
      <c r="AD400" s="2"/>
      <c r="AE400" s="2"/>
      <c r="AF400" s="2"/>
      <c r="AG400" s="2"/>
      <c r="AH400" s="2"/>
      <c r="AI400" s="2"/>
      <c r="AJ400" s="343"/>
      <c r="AK400" s="7"/>
      <c r="AL400" s="7"/>
    </row>
    <row r="401" spans="1:38" ht="12.75" hidden="1" customHeight="1" x14ac:dyDescent="0.25">
      <c r="A401" s="343" t="s">
        <v>346</v>
      </c>
      <c r="B401" s="178"/>
      <c r="C401" s="178"/>
      <c r="D401" s="1242"/>
      <c r="E401" s="2618" t="s">
        <v>1889</v>
      </c>
      <c r="F401" s="1997"/>
      <c r="G401" s="1997"/>
      <c r="H401" s="1232" t="str">
        <f>H398</f>
        <v>-</v>
      </c>
      <c r="I401" s="1011" t="str">
        <f>IF($L380&lt;&gt;EUconst_Relevant,"",IF(AB380=FALSE,EUconst_NA,IF(V349&gt;2018,INDEX(H393:N393,MATCH(V349,H386:N386,0)),SUM(I398))))</f>
        <v/>
      </c>
      <c r="J401" s="1014" t="str">
        <f>IF($L380&lt;&gt;EUconst_Relevant,"",IF(V398&lt;2,SUM(J393),IF(V398&lt;3,SUM(I393),IF(V401="",I401,V401))))</f>
        <v/>
      </c>
      <c r="K401" s="928" t="str">
        <f>IF($L380&lt;&gt;EUconst_Relevant,"",IF(W398&lt;2,SUM(K393),IF(W398&lt;3,SUM(J393),IF(W401="",J401,W401))))</f>
        <v/>
      </c>
      <c r="L401" s="928" t="str">
        <f>IF($L380&lt;&gt;EUconst_Relevant,"",IF(X398&lt;2,SUM(L393),IF(X398&lt;3,SUM(K393),IF(X401="",K401,X401))))</f>
        <v/>
      </c>
      <c r="M401" s="928" t="str">
        <f>IF($L380&lt;&gt;EUconst_Relevant,"",IF(Y398&lt;2,SUM(M393),IF(Y398&lt;3,SUM(L393),IF(Y401="",L401,Y401))))</f>
        <v/>
      </c>
      <c r="N401" s="1224" t="str">
        <f>IF($L380&lt;&gt;EUconst_Relevant,"",IF(Z398&lt;2,SUM(N393),IF(Z398&lt;3,SUM(M393),IF(Z401="",M401,Z401))))</f>
        <v/>
      </c>
      <c r="O401" s="15"/>
      <c r="P401" s="15"/>
      <c r="Q401" s="165" t="str">
        <f>EUconst_CNTR_VCMprelim &amp; I349</f>
        <v>VCMprelim_</v>
      </c>
      <c r="R401" s="2"/>
      <c r="S401" s="2"/>
      <c r="T401" s="2"/>
      <c r="U401" s="1079" t="s">
        <v>1898</v>
      </c>
      <c r="V401" s="1753" t="str">
        <f>IF(J398="","",IF(CNTR_ReportingYear&lt;J397,I400,IF($I401=0,J398,$I401*(1+J400))))</f>
        <v/>
      </c>
      <c r="W401" s="1753" t="str">
        <f>IF(K398="","",IF(CNTR_ReportingYear&lt;K397,J400,IF($I401=0,K398,$I401*(1+K400))))</f>
        <v/>
      </c>
      <c r="X401" s="1753" t="str">
        <f>IF(L398="","",IF(CNTR_ReportingYear&lt;L397,K400,IF($I401=0,L398,$I401*(1+L400))))</f>
        <v/>
      </c>
      <c r="Y401" s="1753" t="str">
        <f>IF(M398="","",IF(CNTR_ReportingYear&lt;M397,L400,IF($I401=0,M398,$I401*(1+M400))))</f>
        <v/>
      </c>
      <c r="Z401" s="1760" t="str">
        <f>IF(N398="","",IF(CNTR_ReportingYear&lt;N397,M400,IF($I401=0,N398,$I401*(1+N400))))</f>
        <v/>
      </c>
      <c r="AA401" s="2"/>
      <c r="AB401" s="2"/>
      <c r="AC401" s="2"/>
      <c r="AD401" s="2"/>
      <c r="AE401" s="2"/>
      <c r="AF401" s="2"/>
      <c r="AG401" s="2"/>
      <c r="AH401" s="2"/>
      <c r="AI401" s="2"/>
      <c r="AJ401" s="343"/>
      <c r="AK401" s="7"/>
      <c r="AL401" s="7"/>
    </row>
    <row r="402" spans="1:38" ht="5.15" customHeight="1" x14ac:dyDescent="0.25">
      <c r="A402" s="343"/>
      <c r="B402" s="178"/>
      <c r="C402" s="178"/>
      <c r="D402" s="1242"/>
      <c r="E402" s="1244"/>
      <c r="F402" s="1244"/>
      <c r="G402" s="1244"/>
      <c r="H402" s="1244"/>
      <c r="I402" s="1244"/>
      <c r="J402" s="1236"/>
      <c r="K402" s="1236"/>
      <c r="L402" s="1236"/>
      <c r="M402" s="1236"/>
      <c r="N402" s="1247"/>
      <c r="O402" s="15"/>
      <c r="P402" s="15"/>
      <c r="Q402" s="343"/>
      <c r="R402" s="2"/>
      <c r="S402" s="2"/>
      <c r="T402" s="2"/>
      <c r="U402" s="1086"/>
      <c r="V402" s="343"/>
      <c r="W402" s="2"/>
      <c r="X402" s="2"/>
      <c r="Y402" s="2"/>
      <c r="Z402" s="228"/>
      <c r="AA402" s="2"/>
      <c r="AB402" s="2"/>
      <c r="AC402" s="2"/>
      <c r="AD402" s="2"/>
      <c r="AE402" s="2"/>
      <c r="AF402" s="2"/>
      <c r="AG402" s="2"/>
      <c r="AH402" s="2"/>
      <c r="AI402" s="2"/>
      <c r="AJ402" s="343"/>
      <c r="AK402" s="7"/>
      <c r="AL402" s="7"/>
    </row>
    <row r="403" spans="1:38" ht="12.75" customHeight="1" x14ac:dyDescent="0.25">
      <c r="A403" s="343"/>
      <c r="B403" s="178"/>
      <c r="C403" s="178"/>
      <c r="D403" s="1242"/>
      <c r="E403" s="1234" t="str">
        <f>Translations!$B$1475</f>
        <v>Faktisk justering (grund för följande år)</v>
      </c>
      <c r="F403" s="1234"/>
      <c r="G403" s="1234"/>
      <c r="H403" s="1234"/>
      <c r="I403" s="1234"/>
      <c r="J403" s="1255">
        <f>J$421</f>
        <v>2021</v>
      </c>
      <c r="K403" s="1230">
        <f>K$421</f>
        <v>2022</v>
      </c>
      <c r="L403" s="1230">
        <f>L$421</f>
        <v>2023</v>
      </c>
      <c r="M403" s="1230">
        <f>M$421</f>
        <v>2024</v>
      </c>
      <c r="N403" s="1245">
        <f>N$421</f>
        <v>2025</v>
      </c>
      <c r="O403" s="15"/>
      <c r="P403" s="15"/>
      <c r="Q403" s="343"/>
      <c r="R403" s="2"/>
      <c r="S403" s="2"/>
      <c r="T403" s="2"/>
      <c r="U403" s="584"/>
      <c r="V403" s="2"/>
      <c r="W403" s="2"/>
      <c r="X403" s="2"/>
      <c r="Y403" s="2"/>
      <c r="Z403" s="228"/>
      <c r="AA403" s="2"/>
      <c r="AB403" s="2"/>
      <c r="AC403" s="2"/>
      <c r="AD403" s="2"/>
      <c r="AE403" s="2"/>
      <c r="AF403" s="2"/>
      <c r="AG403" s="2"/>
      <c r="AH403" s="2"/>
      <c r="AI403" s="2"/>
      <c r="AJ403" s="343"/>
      <c r="AK403" s="7"/>
      <c r="AL403" s="7"/>
    </row>
    <row r="404" spans="1:38" ht="12.75" customHeight="1" x14ac:dyDescent="0.25">
      <c r="A404" s="343"/>
      <c r="B404" s="178"/>
      <c r="C404" s="178"/>
      <c r="D404" s="1242"/>
      <c r="E404" s="2618" t="str">
        <f>Translations!$B$1476</f>
        <v>&gt;= 100 utsläppsrätter kriterium uppnått?</v>
      </c>
      <c r="F404" s="1997"/>
      <c r="G404" s="1997"/>
      <c r="H404" s="1997"/>
      <c r="I404" s="2620"/>
      <c r="J404" s="994" t="str">
        <f>IF($L380&lt;&gt;EUconst_Relevant,"",INDEX(K_Summary!J:J,MATCH($Q404,K_Summary!$P:$P,0)))</f>
        <v/>
      </c>
      <c r="K404" s="912" t="str">
        <f>IF($L380&lt;&gt;EUconst_Relevant,"",INDEX(K_Summary!K:K,MATCH($Q404,K_Summary!$P:$P,0)))</f>
        <v/>
      </c>
      <c r="L404" s="912" t="str">
        <f>IF($L380&lt;&gt;EUconst_Relevant,"",INDEX(K_Summary!L:L,MATCH($Q404,K_Summary!$P:$P,0)))</f>
        <v/>
      </c>
      <c r="M404" s="912" t="str">
        <f>IF($L380&lt;&gt;EUconst_Relevant,"",INDEX(K_Summary!M:M,MATCH($Q404,K_Summary!$P:$P,0)))</f>
        <v/>
      </c>
      <c r="N404" s="1221" t="str">
        <f>IF($L380&lt;&gt;EUconst_Relevant,"",INDEX(K_Summary!N:N,MATCH($Q404,K_Summary!$P:$P,0)))</f>
        <v/>
      </c>
      <c r="O404" s="15"/>
      <c r="P404" s="15"/>
      <c r="Q404" s="165" t="str">
        <f>EUconst_CNTR_100EUA_VCM</f>
        <v>EUA100VCM_</v>
      </c>
      <c r="R404" s="2"/>
      <c r="S404" s="2"/>
      <c r="T404" s="2"/>
      <c r="U404" s="584"/>
      <c r="V404" s="2"/>
      <c r="W404" s="2"/>
      <c r="X404" s="2"/>
      <c r="Y404" s="2"/>
      <c r="Z404" s="228"/>
      <c r="AA404" s="2"/>
      <c r="AB404" s="2"/>
      <c r="AC404" s="2"/>
      <c r="AD404" s="2"/>
      <c r="AE404" s="2"/>
      <c r="AF404" s="2"/>
      <c r="AG404" s="2"/>
      <c r="AH404" s="2"/>
      <c r="AI404" s="2"/>
      <c r="AJ404" s="343"/>
      <c r="AK404" s="7"/>
      <c r="AL404" s="7"/>
    </row>
    <row r="405" spans="1:38" ht="5.15" customHeight="1" thickBot="1" x14ac:dyDescent="0.3">
      <c r="A405" s="343"/>
      <c r="B405" s="178"/>
      <c r="C405" s="178"/>
      <c r="D405" s="1242"/>
      <c r="E405" s="1244"/>
      <c r="F405" s="1244"/>
      <c r="G405" s="1244"/>
      <c r="H405" s="1244"/>
      <c r="I405" s="1244"/>
      <c r="J405" s="1244"/>
      <c r="K405" s="1244"/>
      <c r="L405" s="1244"/>
      <c r="M405" s="1244"/>
      <c r="N405" s="1248"/>
      <c r="O405" s="15"/>
      <c r="P405" s="15"/>
      <c r="Q405" s="343"/>
      <c r="R405" s="2"/>
      <c r="S405" s="2"/>
      <c r="T405" s="2"/>
      <c r="U405" s="1086"/>
      <c r="V405" s="343"/>
      <c r="W405" s="2"/>
      <c r="X405" s="2"/>
      <c r="Y405" s="2"/>
      <c r="Z405" s="228"/>
      <c r="AA405" s="2"/>
      <c r="AB405" s="2"/>
      <c r="AC405" s="2"/>
      <c r="AD405" s="2"/>
      <c r="AE405" s="2"/>
      <c r="AF405" s="2"/>
      <c r="AG405" s="2"/>
      <c r="AH405" s="2"/>
      <c r="AI405" s="2"/>
      <c r="AJ405" s="343"/>
      <c r="AK405" s="7"/>
      <c r="AL405" s="7"/>
    </row>
    <row r="406" spans="1:38" ht="12.75" customHeight="1" thickBot="1" x14ac:dyDescent="0.3">
      <c r="A406" s="2"/>
      <c r="B406" s="178"/>
      <c r="C406" s="178"/>
      <c r="D406" s="1246"/>
      <c r="E406" s="2618" t="str">
        <f>Translations!$B$1477</f>
        <v>Faktisk justering (om alla tröskelvärden överskrids)</v>
      </c>
      <c r="F406" s="1997"/>
      <c r="G406" s="1997"/>
      <c r="H406" s="1997"/>
      <c r="I406" s="2620"/>
      <c r="J406" s="1099" t="str">
        <f>IF(J404="","",IF(J404,J400,I406))</f>
        <v/>
      </c>
      <c r="K406" s="1100" t="str">
        <f>IF(K404="","",IF(K404,K400,J406))</f>
        <v/>
      </c>
      <c r="L406" s="1100" t="str">
        <f>IF(L404="","",IF(L404,L400,K406))</f>
        <v/>
      </c>
      <c r="M406" s="1100" t="str">
        <f>IF(M404="","",IF(M404,M400,L406))</f>
        <v/>
      </c>
      <c r="N406" s="1101" t="str">
        <f>IF(N404="","",IF(N404,N400,M406))</f>
        <v/>
      </c>
      <c r="O406" s="15"/>
      <c r="P406" s="15"/>
      <c r="Q406" s="343"/>
      <c r="R406" s="2"/>
      <c r="S406" s="2"/>
      <c r="T406" s="2"/>
      <c r="U406" s="1086" t="s">
        <v>1858</v>
      </c>
      <c r="V406" s="1068">
        <f>J403</f>
        <v>2021</v>
      </c>
      <c r="W406" s="1068">
        <f>K403</f>
        <v>2022</v>
      </c>
      <c r="X406" s="1068">
        <f>L403</f>
        <v>2023</v>
      </c>
      <c r="Y406" s="1068">
        <f>M403</f>
        <v>2024</v>
      </c>
      <c r="Z406" s="1087">
        <f>N403</f>
        <v>2025</v>
      </c>
      <c r="AA406" s="2"/>
      <c r="AB406" s="2"/>
      <c r="AC406" s="2"/>
      <c r="AD406" s="2"/>
      <c r="AE406" s="2"/>
      <c r="AF406" s="2"/>
      <c r="AG406" s="2"/>
      <c r="AH406" s="2"/>
      <c r="AI406" s="2"/>
      <c r="AJ406" s="343"/>
      <c r="AK406" s="7"/>
      <c r="AL406" s="7"/>
    </row>
    <row r="407" spans="1:38" ht="12.75" hidden="1" customHeight="1" thickBot="1" x14ac:dyDescent="0.3">
      <c r="A407" s="343" t="s">
        <v>346</v>
      </c>
      <c r="B407" s="178"/>
      <c r="C407" s="178"/>
      <c r="D407" s="1242"/>
      <c r="E407" s="2618" t="s">
        <v>1859</v>
      </c>
      <c r="F407" s="1997"/>
      <c r="G407" s="1997"/>
      <c r="H407" s="1232" t="str">
        <f>H398</f>
        <v>-</v>
      </c>
      <c r="I407" s="1011" t="str">
        <f>I401</f>
        <v/>
      </c>
      <c r="J407" s="1069" t="str">
        <f>IF($L380&lt;&gt;EUconst_Relevant,"",IF(J386&gt;$Z380,1,IF(OR($I407=EUconst_NA,J404=TRUE,J406="",J403&lt;=$V380),J401,I407)))</f>
        <v/>
      </c>
      <c r="K407" s="1070" t="str">
        <f>IF($L380&lt;&gt;EUconst_Relevant,"",IF(K386&gt;$Z380,1,IF(OR($I407=EUconst_NA,K404=TRUE,K406="",K403&lt;=$V380),K401,J407)))</f>
        <v/>
      </c>
      <c r="L407" s="1070" t="str">
        <f>IF($L380&lt;&gt;EUconst_Relevant,"",IF(L386&gt;$Z380,1,IF(OR($I407=EUconst_NA,L404=TRUE,L406="",L403&lt;=$V380),L401,K407)))</f>
        <v/>
      </c>
      <c r="M407" s="1070" t="str">
        <f>IF($L380&lt;&gt;EUconst_Relevant,"",IF(M386&gt;$Z380,1,IF(OR($I407=EUconst_NA,M404=TRUE,M406="",M403&lt;=$V380),M401,L407)))</f>
        <v/>
      </c>
      <c r="N407" s="1071" t="str">
        <f>IF($L380&lt;&gt;EUconst_Relevant,"",IF(N386&gt;$Z380,1,IF(OR($I407=EUconst_NA,N404=TRUE,N406="",N403&lt;=$V380),N401,M407)))</f>
        <v/>
      </c>
      <c r="O407" s="15"/>
      <c r="P407" s="15"/>
      <c r="Q407" s="165" t="str">
        <f>EUconst_CNTR_VCMfinal &amp; I349</f>
        <v>VCMfinal_</v>
      </c>
      <c r="R407" s="2"/>
      <c r="S407" s="2"/>
      <c r="T407" s="2"/>
      <c r="U407" s="1765" t="b">
        <v>0</v>
      </c>
      <c r="V407" s="1757" t="b">
        <f>IF(J404=TRUE,V399,U407)</f>
        <v>0</v>
      </c>
      <c r="W407" s="1757" t="b">
        <f>IF(K404=TRUE,W399,V407)</f>
        <v>0</v>
      </c>
      <c r="X407" s="1757" t="b">
        <f>IF(L404=TRUE,X399,W407)</f>
        <v>0</v>
      </c>
      <c r="Y407" s="1757" t="b">
        <f>IF(M404=TRUE,Y399,X407)</f>
        <v>0</v>
      </c>
      <c r="Z407" s="1758" t="b">
        <f>IF(N404=TRUE,Z399,Y407)</f>
        <v>0</v>
      </c>
      <c r="AA407" s="2"/>
      <c r="AB407" s="2"/>
      <c r="AC407" s="2"/>
      <c r="AD407" s="2"/>
      <c r="AE407" s="2"/>
      <c r="AF407" s="2"/>
      <c r="AG407" s="2"/>
      <c r="AH407" s="2"/>
      <c r="AI407" s="2"/>
      <c r="AJ407" s="343"/>
      <c r="AK407" s="7"/>
      <c r="AL407" s="7"/>
    </row>
    <row r="408" spans="1:38" ht="5.15" customHeight="1" thickBot="1" x14ac:dyDescent="0.3">
      <c r="A408" s="2"/>
      <c r="B408" s="3"/>
      <c r="C408" s="3"/>
      <c r="D408" s="1249"/>
      <c r="E408" s="1250"/>
      <c r="F408" s="1250"/>
      <c r="G408" s="1250"/>
      <c r="H408" s="1250"/>
      <c r="I408" s="1250"/>
      <c r="J408" s="1250"/>
      <c r="K408" s="1250"/>
      <c r="L408" s="1250"/>
      <c r="M408" s="1251"/>
      <c r="N408" s="1252"/>
      <c r="O408" s="6"/>
      <c r="P408" s="15"/>
      <c r="Q408" s="7"/>
      <c r="R408" s="2"/>
      <c r="S408" s="2"/>
      <c r="T408" s="2"/>
      <c r="U408" s="2"/>
      <c r="V408" s="2"/>
      <c r="W408" s="2"/>
      <c r="X408" s="2"/>
      <c r="Y408" s="7"/>
      <c r="Z408" s="7"/>
      <c r="AA408" s="7"/>
      <c r="AB408" s="7"/>
      <c r="AC408" s="7"/>
      <c r="AD408" s="7"/>
      <c r="AE408" s="7"/>
      <c r="AF408" s="7"/>
      <c r="AG408" s="7"/>
      <c r="AH408" s="7"/>
      <c r="AI408" s="7"/>
      <c r="AJ408" s="7"/>
      <c r="AK408" s="7"/>
      <c r="AL408" s="7"/>
    </row>
    <row r="409" spans="1:38" ht="5.15" customHeight="1" x14ac:dyDescent="0.25">
      <c r="A409" s="2"/>
      <c r="B409" s="3"/>
      <c r="C409" s="3"/>
      <c r="D409" s="3"/>
      <c r="E409" s="3"/>
      <c r="F409" s="3"/>
      <c r="G409" s="3"/>
      <c r="H409" s="3"/>
      <c r="I409" s="3"/>
      <c r="J409" s="3"/>
      <c r="K409" s="3"/>
      <c r="L409" s="3"/>
      <c r="M409" s="6"/>
      <c r="N409" s="6"/>
      <c r="O409" s="6"/>
      <c r="P409" s="15"/>
      <c r="Q409" s="7"/>
      <c r="R409" s="2"/>
      <c r="S409" s="2"/>
      <c r="T409" s="2"/>
      <c r="U409" s="2"/>
      <c r="V409" s="2"/>
      <c r="W409" s="2"/>
      <c r="X409" s="2"/>
      <c r="Y409" s="7"/>
      <c r="Z409" s="7"/>
      <c r="AA409" s="7"/>
      <c r="AB409" s="7"/>
      <c r="AC409" s="7"/>
      <c r="AD409" s="7"/>
      <c r="AE409" s="7"/>
      <c r="AF409" s="7"/>
      <c r="AG409" s="7"/>
      <c r="AH409" s="7"/>
      <c r="AI409" s="7"/>
      <c r="AJ409" s="7"/>
      <c r="AK409" s="7"/>
      <c r="AL409" s="7"/>
    </row>
    <row r="410" spans="1:38" ht="13" x14ac:dyDescent="0.25">
      <c r="A410" s="2"/>
      <c r="B410" s="3"/>
      <c r="C410" s="3"/>
      <c r="D410" s="3"/>
      <c r="E410" s="2748" t="str">
        <f>IF(L380=EUconst_Relevant,HYPERLINK(R410,EUconst_MsgBackToSheetF),"")</f>
        <v/>
      </c>
      <c r="F410" s="2749"/>
      <c r="G410" s="2749"/>
      <c r="H410" s="2749"/>
      <c r="I410" s="2749"/>
      <c r="J410" s="2749"/>
      <c r="K410" s="2749"/>
      <c r="L410" s="2749"/>
      <c r="M410" s="2749"/>
      <c r="N410" s="2750"/>
      <c r="O410" s="6"/>
      <c r="P410" s="15"/>
      <c r="Q410" s="309" t="s">
        <v>127</v>
      </c>
      <c r="R410" s="108" t="str">
        <f>R382</f>
        <v/>
      </c>
      <c r="S410" s="2"/>
      <c r="T410" s="2"/>
      <c r="U410" s="2"/>
      <c r="V410" s="2"/>
      <c r="W410" s="2"/>
      <c r="X410" s="2"/>
      <c r="Y410" s="7"/>
      <c r="Z410" s="7"/>
      <c r="AA410" s="7"/>
      <c r="AB410" s="7"/>
      <c r="AC410" s="7"/>
      <c r="AD410" s="7"/>
      <c r="AE410" s="7"/>
      <c r="AF410" s="7"/>
      <c r="AG410" s="7"/>
      <c r="AH410" s="7"/>
      <c r="AI410" s="7"/>
      <c r="AJ410" s="7"/>
      <c r="AK410" s="7"/>
      <c r="AL410" s="7"/>
    </row>
    <row r="411" spans="1:38" x14ac:dyDescent="0.25">
      <c r="A411" s="2"/>
      <c r="B411" s="19"/>
      <c r="C411" s="19"/>
      <c r="D411" s="19"/>
      <c r="E411" s="19"/>
      <c r="F411" s="19"/>
      <c r="G411" s="19"/>
      <c r="H411" s="19"/>
      <c r="I411" s="19"/>
      <c r="J411" s="19"/>
      <c r="K411" s="19"/>
      <c r="L411" s="19"/>
      <c r="M411" s="19"/>
      <c r="N411" s="19"/>
      <c r="O411" s="6"/>
      <c r="P411" s="15"/>
      <c r="Q411" s="2"/>
      <c r="R411" s="2"/>
      <c r="S411" s="2"/>
      <c r="T411" s="2"/>
      <c r="U411" s="2"/>
      <c r="V411" s="2"/>
      <c r="W411" s="2"/>
      <c r="X411" s="2"/>
      <c r="Y411" s="7"/>
      <c r="Z411" s="7"/>
      <c r="AA411" s="7"/>
      <c r="AB411" s="7"/>
      <c r="AC411" s="7"/>
      <c r="AD411" s="7"/>
      <c r="AE411" s="7"/>
      <c r="AF411" s="7"/>
      <c r="AG411" s="7"/>
      <c r="AH411" s="7"/>
      <c r="AI411" s="7"/>
      <c r="AJ411" s="7"/>
      <c r="AK411" s="7"/>
      <c r="AL411" s="7"/>
    </row>
    <row r="412" spans="1:38" ht="13" x14ac:dyDescent="0.25">
      <c r="A412" s="2"/>
      <c r="B412" s="19"/>
      <c r="C412" s="19"/>
      <c r="D412" s="2759" t="str">
        <f>Translations!$B$66</f>
        <v xml:space="preserve">&lt;&lt;&lt; Klicka här för att gå vidare till nästa blad &gt;&gt;&gt; </v>
      </c>
      <c r="E412" s="2477"/>
      <c r="F412" s="2477"/>
      <c r="G412" s="2477"/>
      <c r="H412" s="2477"/>
      <c r="I412" s="2477"/>
      <c r="J412" s="2477"/>
      <c r="K412" s="2477"/>
      <c r="L412" s="2477"/>
      <c r="M412" s="2477"/>
      <c r="N412" s="2477"/>
      <c r="O412" s="6"/>
      <c r="P412" s="15"/>
      <c r="Q412" s="2"/>
      <c r="R412" s="2"/>
      <c r="S412" s="2"/>
      <c r="T412" s="2"/>
      <c r="U412" s="2"/>
      <c r="V412" s="2"/>
      <c r="W412" s="2"/>
      <c r="X412" s="2"/>
      <c r="Y412" s="7"/>
      <c r="Z412" s="7"/>
      <c r="AA412" s="7"/>
      <c r="AB412" s="7"/>
      <c r="AC412" s="7"/>
      <c r="AD412" s="7"/>
      <c r="AE412" s="7"/>
      <c r="AF412" s="7"/>
      <c r="AG412" s="7"/>
      <c r="AH412" s="7"/>
      <c r="AI412" s="7"/>
      <c r="AJ412" s="7"/>
      <c r="AK412" s="7"/>
      <c r="AL412" s="7"/>
    </row>
    <row r="413" spans="1:38" x14ac:dyDescent="0.25">
      <c r="A413" s="2"/>
      <c r="B413" s="19"/>
      <c r="C413" s="19"/>
      <c r="D413" s="19"/>
      <c r="E413" s="19"/>
      <c r="F413" s="19"/>
      <c r="G413" s="19"/>
      <c r="H413" s="19"/>
      <c r="I413" s="19"/>
      <c r="J413" s="19"/>
      <c r="K413" s="19"/>
      <c r="L413" s="19"/>
      <c r="M413" s="19"/>
      <c r="N413" s="19"/>
      <c r="O413" s="6"/>
      <c r="P413" s="15"/>
      <c r="Q413" s="2"/>
      <c r="R413" s="2"/>
      <c r="S413" s="2"/>
      <c r="T413" s="2"/>
      <c r="U413" s="2"/>
      <c r="V413" s="2"/>
      <c r="W413" s="2"/>
      <c r="X413" s="2"/>
      <c r="Y413" s="7"/>
      <c r="Z413" s="7"/>
      <c r="AA413" s="7"/>
      <c r="AB413" s="7"/>
      <c r="AC413" s="7"/>
      <c r="AD413" s="7"/>
      <c r="AE413" s="7"/>
      <c r="AF413" s="7"/>
      <c r="AG413" s="7"/>
      <c r="AH413" s="7"/>
      <c r="AI413" s="7"/>
      <c r="AJ413" s="7"/>
      <c r="AK413" s="7"/>
      <c r="AL413" s="7"/>
    </row>
    <row r="414" spans="1:38" hidden="1" x14ac:dyDescent="0.25">
      <c r="A414" s="2" t="s">
        <v>346</v>
      </c>
      <c r="B414" s="2" t="s">
        <v>952</v>
      </c>
      <c r="C414" s="2" t="s">
        <v>952</v>
      </c>
      <c r="D414" s="2" t="s">
        <v>952</v>
      </c>
      <c r="E414" s="2" t="s">
        <v>952</v>
      </c>
      <c r="F414" s="2" t="s">
        <v>952</v>
      </c>
      <c r="G414" s="2"/>
      <c r="H414" s="2" t="s">
        <v>952</v>
      </c>
      <c r="I414" s="2" t="s">
        <v>952</v>
      </c>
      <c r="J414" s="2" t="s">
        <v>952</v>
      </c>
      <c r="K414" s="2" t="s">
        <v>952</v>
      </c>
      <c r="L414" s="2" t="s">
        <v>952</v>
      </c>
      <c r="M414" s="2" t="s">
        <v>952</v>
      </c>
      <c r="N414" s="2" t="s">
        <v>952</v>
      </c>
      <c r="O414" s="2" t="s">
        <v>952</v>
      </c>
      <c r="P414" s="2" t="s">
        <v>952</v>
      </c>
      <c r="Q414" s="2" t="s">
        <v>952</v>
      </c>
      <c r="R414" s="2" t="s">
        <v>952</v>
      </c>
      <c r="S414" s="2" t="s">
        <v>952</v>
      </c>
      <c r="T414" s="2" t="s">
        <v>952</v>
      </c>
      <c r="U414" s="2" t="s">
        <v>952</v>
      </c>
      <c r="V414" s="2" t="s">
        <v>952</v>
      </c>
      <c r="W414" s="2" t="s">
        <v>952</v>
      </c>
      <c r="X414" s="2" t="s">
        <v>952</v>
      </c>
      <c r="Y414" s="2" t="s">
        <v>952</v>
      </c>
      <c r="Z414" s="2" t="s">
        <v>952</v>
      </c>
      <c r="AA414" s="2" t="s">
        <v>952</v>
      </c>
      <c r="AB414" s="2" t="s">
        <v>952</v>
      </c>
      <c r="AC414" s="2" t="s">
        <v>952</v>
      </c>
      <c r="AD414" s="2" t="s">
        <v>952</v>
      </c>
      <c r="AE414" s="2" t="s">
        <v>952</v>
      </c>
      <c r="AF414" s="2" t="s">
        <v>952</v>
      </c>
      <c r="AG414" s="2" t="s">
        <v>952</v>
      </c>
      <c r="AH414" s="2" t="s">
        <v>952</v>
      </c>
      <c r="AI414" s="2" t="s">
        <v>952</v>
      </c>
      <c r="AJ414" s="2" t="s">
        <v>952</v>
      </c>
      <c r="AK414" s="2" t="s">
        <v>952</v>
      </c>
      <c r="AL414" s="2" t="s">
        <v>952</v>
      </c>
    </row>
    <row r="415" spans="1:38" hidden="1" x14ac:dyDescent="0.25">
      <c r="A415" s="2" t="s">
        <v>346</v>
      </c>
      <c r="B415" s="1"/>
      <c r="C415" s="1"/>
      <c r="D415" s="1"/>
      <c r="E415" s="1"/>
      <c r="F415" s="1"/>
      <c r="G415" s="1"/>
      <c r="H415" s="1"/>
      <c r="I415" s="1"/>
      <c r="J415" s="1"/>
      <c r="K415" s="1"/>
      <c r="L415" s="1"/>
      <c r="M415" s="1"/>
      <c r="N415" s="1"/>
      <c r="O415" s="1"/>
      <c r="P415" s="1"/>
      <c r="Q415" s="2"/>
      <c r="R415" s="2"/>
      <c r="S415" s="2"/>
      <c r="T415" s="2"/>
      <c r="U415" s="2"/>
      <c r="V415" s="2"/>
      <c r="W415" s="2"/>
      <c r="X415" s="2"/>
      <c r="Y415" s="2"/>
      <c r="Z415" s="2"/>
      <c r="AA415" s="2"/>
      <c r="AB415" s="2"/>
      <c r="AC415" s="2"/>
      <c r="AD415" s="2"/>
      <c r="AE415" s="2"/>
      <c r="AF415" s="2"/>
      <c r="AG415" s="2"/>
      <c r="AH415" s="2"/>
      <c r="AI415" s="2"/>
      <c r="AJ415" s="2"/>
      <c r="AK415" s="2"/>
      <c r="AL415" s="2"/>
    </row>
    <row r="416" spans="1:38" ht="13" hidden="1" x14ac:dyDescent="0.25">
      <c r="A416" s="2" t="s">
        <v>346</v>
      </c>
      <c r="B416" s="2"/>
      <c r="C416" s="2"/>
      <c r="D416" s="40" t="s">
        <v>953</v>
      </c>
      <c r="E416" s="2"/>
      <c r="F416" s="2"/>
      <c r="G416" s="2"/>
      <c r="H416" s="2"/>
      <c r="I416" s="2"/>
      <c r="J416" s="2"/>
      <c r="K416" s="2"/>
      <c r="L416" s="2"/>
      <c r="M416" s="2"/>
      <c r="N416" s="2"/>
      <c r="O416" s="2"/>
      <c r="P416" s="1"/>
      <c r="Q416" s="2"/>
      <c r="R416" s="2"/>
      <c r="S416" s="2"/>
      <c r="T416" s="2"/>
      <c r="U416" s="2"/>
      <c r="V416" s="2"/>
      <c r="W416" s="2"/>
      <c r="X416" s="2"/>
      <c r="Y416" s="2"/>
      <c r="Z416" s="2"/>
      <c r="AA416" s="2"/>
      <c r="AB416" s="2"/>
      <c r="AC416" s="2"/>
      <c r="AD416" s="2"/>
      <c r="AE416" s="2"/>
      <c r="AF416" s="2"/>
      <c r="AG416" s="2"/>
      <c r="AH416" s="2"/>
      <c r="AI416" s="2"/>
      <c r="AJ416" s="2"/>
      <c r="AK416" s="2"/>
      <c r="AL416" s="2"/>
    </row>
    <row r="417" spans="1:38" ht="13.5" hidden="1" thickBot="1" x14ac:dyDescent="0.3">
      <c r="A417" s="2" t="s">
        <v>346</v>
      </c>
      <c r="B417" s="1"/>
      <c r="C417" s="1"/>
      <c r="D417" s="41"/>
      <c r="E417" s="1"/>
      <c r="F417" s="1"/>
      <c r="G417" s="1"/>
      <c r="H417" s="1"/>
      <c r="I417" s="1"/>
      <c r="J417" s="1"/>
      <c r="K417" s="1"/>
      <c r="L417" s="1"/>
      <c r="M417" s="1"/>
      <c r="N417" s="1"/>
      <c r="O417" s="1"/>
      <c r="P417" s="1"/>
      <c r="Q417" s="2"/>
      <c r="R417" s="2"/>
      <c r="S417" s="2"/>
      <c r="T417" s="2"/>
      <c r="U417" s="2"/>
      <c r="V417" s="2"/>
      <c r="W417" s="2"/>
      <c r="X417" s="2"/>
      <c r="Y417" s="2"/>
      <c r="Z417" s="2"/>
      <c r="AA417" s="2"/>
      <c r="AB417" s="2"/>
      <c r="AC417" s="2"/>
      <c r="AD417" s="2"/>
      <c r="AE417" s="2"/>
      <c r="AF417" s="2"/>
      <c r="AG417" s="2"/>
      <c r="AH417" s="2"/>
      <c r="AI417" s="2"/>
      <c r="AJ417" s="2"/>
      <c r="AK417" s="2"/>
      <c r="AL417" s="2"/>
    </row>
    <row r="418" spans="1:38" ht="13" hidden="1" x14ac:dyDescent="0.25">
      <c r="A418" s="2" t="s">
        <v>346</v>
      </c>
      <c r="B418" s="1"/>
      <c r="C418" s="1"/>
      <c r="D418" s="1"/>
      <c r="E418" s="151" t="s">
        <v>593</v>
      </c>
      <c r="F418" s="61"/>
      <c r="G418" s="61"/>
      <c r="H418" s="61"/>
      <c r="I418" s="61"/>
      <c r="J418" s="61"/>
      <c r="K418" s="61"/>
      <c r="L418" s="61"/>
      <c r="M418" s="61"/>
      <c r="N418" s="63"/>
      <c r="O418" s="1"/>
      <c r="P418" s="1"/>
      <c r="Q418" s="2"/>
      <c r="R418" s="2"/>
      <c r="S418" s="2"/>
      <c r="T418" s="2"/>
      <c r="U418" s="2"/>
      <c r="V418" s="2"/>
      <c r="W418" s="2"/>
      <c r="X418" s="2"/>
      <c r="Y418" s="2"/>
      <c r="Z418" s="2"/>
      <c r="AA418" s="2"/>
      <c r="AB418" s="2"/>
      <c r="AC418" s="2"/>
      <c r="AD418" s="2"/>
      <c r="AE418" s="2"/>
      <c r="AF418" s="2"/>
      <c r="AG418" s="2"/>
      <c r="AH418" s="2"/>
      <c r="AI418" s="2"/>
      <c r="AJ418" s="2"/>
      <c r="AK418" s="2"/>
      <c r="AL418" s="2"/>
    </row>
    <row r="419" spans="1:38" hidden="1" x14ac:dyDescent="0.25">
      <c r="A419" s="2" t="s">
        <v>346</v>
      </c>
      <c r="B419" s="1"/>
      <c r="C419" s="1"/>
      <c r="D419" s="1"/>
      <c r="E419" s="93" t="s">
        <v>956</v>
      </c>
      <c r="F419" s="22"/>
      <c r="G419" s="22"/>
      <c r="H419" s="141">
        <f>A_InstallationData!H413</f>
        <v>0</v>
      </c>
      <c r="I419" s="141">
        <f>A_InstallationData!I413</f>
        <v>0</v>
      </c>
      <c r="J419" s="141">
        <f>A_InstallationData!J413</f>
        <v>1</v>
      </c>
      <c r="K419" s="141">
        <f>A_InstallationData!K413</f>
        <v>2</v>
      </c>
      <c r="L419" s="141">
        <f>A_InstallationData!L413</f>
        <v>3</v>
      </c>
      <c r="M419" s="141">
        <f>A_InstallationData!M413</f>
        <v>4</v>
      </c>
      <c r="N419" s="144">
        <f>A_InstallationData!N413</f>
        <v>5</v>
      </c>
      <c r="O419" s="1"/>
      <c r="P419" s="1"/>
      <c r="Q419" s="2"/>
      <c r="R419" s="2"/>
      <c r="S419" s="2"/>
      <c r="T419" s="2"/>
      <c r="U419" s="2"/>
      <c r="V419" s="2"/>
      <c r="W419" s="2"/>
      <c r="X419" s="2"/>
      <c r="Y419" s="2"/>
      <c r="Z419" s="2"/>
      <c r="AA419" s="2"/>
      <c r="AB419" s="2"/>
      <c r="AC419" s="2"/>
      <c r="AD419" s="2"/>
      <c r="AE419" s="2"/>
      <c r="AF419" s="2"/>
      <c r="AG419" s="2"/>
      <c r="AH419" s="2"/>
      <c r="AI419" s="2"/>
      <c r="AJ419" s="2"/>
      <c r="AK419" s="2"/>
      <c r="AL419" s="2"/>
    </row>
    <row r="420" spans="1:38" hidden="1" x14ac:dyDescent="0.25">
      <c r="A420" s="2" t="s">
        <v>346</v>
      </c>
      <c r="B420" s="1"/>
      <c r="C420" s="1"/>
      <c r="D420" s="1"/>
      <c r="E420" s="145" t="s">
        <v>1228</v>
      </c>
      <c r="F420" s="22"/>
      <c r="G420" s="22"/>
      <c r="H420" s="141">
        <f>A_InstallationData!H414</f>
        <v>2019</v>
      </c>
      <c r="I420" s="141">
        <f>A_InstallationData!I414</f>
        <v>2020</v>
      </c>
      <c r="J420" s="141">
        <f>A_InstallationData!J414</f>
        <v>2021</v>
      </c>
      <c r="K420" s="141">
        <f>A_InstallationData!K414</f>
        <v>2022</v>
      </c>
      <c r="L420" s="141">
        <f>A_InstallationData!L414</f>
        <v>2023</v>
      </c>
      <c r="M420" s="141">
        <f>A_InstallationData!M414</f>
        <v>2024</v>
      </c>
      <c r="N420" s="144">
        <f>A_InstallationData!N414</f>
        <v>2025</v>
      </c>
      <c r="O420" s="1"/>
      <c r="P420" s="1"/>
      <c r="Q420" s="2"/>
      <c r="R420" s="2"/>
      <c r="S420" s="2"/>
      <c r="T420" s="2"/>
      <c r="U420" s="2"/>
      <c r="V420" s="2"/>
      <c r="W420" s="2"/>
      <c r="X420" s="2"/>
      <c r="Y420" s="2"/>
      <c r="Z420" s="2"/>
      <c r="AA420" s="2"/>
      <c r="AB420" s="2"/>
      <c r="AC420" s="2"/>
      <c r="AD420" s="2"/>
      <c r="AE420" s="2"/>
      <c r="AF420" s="2"/>
      <c r="AG420" s="2"/>
      <c r="AH420" s="2"/>
      <c r="AI420" s="2"/>
      <c r="AJ420" s="2"/>
      <c r="AK420" s="2"/>
      <c r="AL420" s="2"/>
    </row>
    <row r="421" spans="1:38" hidden="1" x14ac:dyDescent="0.25">
      <c r="A421" s="2" t="s">
        <v>346</v>
      </c>
      <c r="B421" s="1"/>
      <c r="C421" s="1"/>
      <c r="D421" s="1"/>
      <c r="E421" s="145" t="s">
        <v>1227</v>
      </c>
      <c r="F421" s="142"/>
      <c r="G421" s="142"/>
      <c r="H421" s="143">
        <f>A_InstallationData!H415</f>
        <v>2019</v>
      </c>
      <c r="I421" s="143">
        <f>A_InstallationData!I415</f>
        <v>2020</v>
      </c>
      <c r="J421" s="143">
        <f>A_InstallationData!J415</f>
        <v>2021</v>
      </c>
      <c r="K421" s="143">
        <f>A_InstallationData!K415</f>
        <v>2022</v>
      </c>
      <c r="L421" s="143">
        <f>A_InstallationData!L415</f>
        <v>2023</v>
      </c>
      <c r="M421" s="143">
        <f>A_InstallationData!M415</f>
        <v>2024</v>
      </c>
      <c r="N421" s="146">
        <f>A_InstallationData!N415</f>
        <v>2025</v>
      </c>
      <c r="O421" s="1"/>
      <c r="P421" s="1"/>
      <c r="Q421" s="2"/>
      <c r="R421" s="2"/>
      <c r="S421" s="2"/>
      <c r="T421" s="2"/>
      <c r="U421" s="2"/>
      <c r="V421" s="2"/>
      <c r="W421" s="2"/>
      <c r="X421" s="2"/>
      <c r="Y421" s="2"/>
      <c r="Z421" s="2"/>
      <c r="AA421" s="2"/>
      <c r="AB421" s="2"/>
      <c r="AC421" s="2"/>
      <c r="AD421" s="2"/>
      <c r="AE421" s="2"/>
      <c r="AF421" s="2"/>
      <c r="AG421" s="2"/>
      <c r="AH421" s="2"/>
      <c r="AI421" s="2"/>
      <c r="AJ421" s="2"/>
      <c r="AK421" s="2"/>
      <c r="AL421" s="2"/>
    </row>
    <row r="422" spans="1:38" hidden="1" x14ac:dyDescent="0.25">
      <c r="A422" s="2" t="s">
        <v>346</v>
      </c>
      <c r="B422" s="1"/>
      <c r="C422" s="1"/>
      <c r="D422" s="1"/>
      <c r="E422" s="145" t="s">
        <v>592</v>
      </c>
      <c r="F422" s="142"/>
      <c r="G422" s="142"/>
      <c r="H422" s="143">
        <f>A_InstallationData!H416</f>
        <v>0</v>
      </c>
      <c r="I422" s="143">
        <f>A_InstallationData!I416</f>
        <v>0</v>
      </c>
      <c r="J422" s="143">
        <f>A_InstallationData!J416</f>
        <v>1</v>
      </c>
      <c r="K422" s="143">
        <f>A_InstallationData!K416</f>
        <v>1</v>
      </c>
      <c r="L422" s="143">
        <f>A_InstallationData!L416</f>
        <v>1</v>
      </c>
      <c r="M422" s="143">
        <f>A_InstallationData!M416</f>
        <v>1</v>
      </c>
      <c r="N422" s="146">
        <f>A_InstallationData!N416</f>
        <v>1</v>
      </c>
      <c r="O422" s="1"/>
      <c r="P422" s="1"/>
      <c r="Q422" s="2"/>
      <c r="R422" s="2"/>
      <c r="S422" s="2"/>
      <c r="T422" s="2"/>
      <c r="U422" s="2"/>
      <c r="V422" s="2"/>
      <c r="W422" s="2"/>
      <c r="X422" s="2"/>
      <c r="Y422" s="2"/>
      <c r="Z422" s="2"/>
      <c r="AA422" s="2"/>
      <c r="AB422" s="2"/>
      <c r="AC422" s="2"/>
      <c r="AD422" s="2"/>
      <c r="AE422" s="2"/>
      <c r="AF422" s="2"/>
      <c r="AG422" s="2"/>
      <c r="AH422" s="2"/>
      <c r="AI422" s="2"/>
      <c r="AJ422" s="2"/>
      <c r="AK422" s="2"/>
      <c r="AL422" s="2"/>
    </row>
    <row r="423" spans="1:38" hidden="1" x14ac:dyDescent="0.25">
      <c r="A423" s="2" t="s">
        <v>346</v>
      </c>
      <c r="B423" s="1"/>
      <c r="C423" s="1"/>
      <c r="D423" s="1"/>
      <c r="E423" s="145" t="s">
        <v>590</v>
      </c>
      <c r="F423" s="142"/>
      <c r="G423" s="142"/>
      <c r="H423" s="142" t="b">
        <f>A_InstallationData!H417</f>
        <v>1</v>
      </c>
      <c r="I423" s="142" t="b">
        <f>A_InstallationData!I417</f>
        <v>1</v>
      </c>
      <c r="J423" s="142" t="b">
        <f>A_InstallationData!J417</f>
        <v>1</v>
      </c>
      <c r="K423" s="142" t="b">
        <f>A_InstallationData!K417</f>
        <v>1</v>
      </c>
      <c r="L423" s="142" t="b">
        <f>A_InstallationData!L417</f>
        <v>1</v>
      </c>
      <c r="M423" s="142" t="b">
        <f>A_InstallationData!M417</f>
        <v>1</v>
      </c>
      <c r="N423" s="147" t="b">
        <f>A_InstallationData!N417</f>
        <v>1</v>
      </c>
      <c r="O423" s="1"/>
      <c r="P423" s="1"/>
      <c r="Q423" s="2"/>
      <c r="R423" s="2"/>
      <c r="S423" s="2"/>
      <c r="T423" s="2"/>
      <c r="U423" s="2"/>
      <c r="V423" s="2"/>
      <c r="W423" s="2"/>
      <c r="X423" s="2"/>
      <c r="Y423" s="2"/>
      <c r="Z423" s="2"/>
      <c r="AA423" s="2"/>
      <c r="AB423" s="2"/>
      <c r="AC423" s="2"/>
      <c r="AD423" s="2"/>
      <c r="AE423" s="2"/>
      <c r="AF423" s="2"/>
      <c r="AG423" s="2"/>
      <c r="AH423" s="2"/>
      <c r="AI423" s="2"/>
      <c r="AJ423" s="2"/>
      <c r="AK423" s="2"/>
      <c r="AL423" s="2"/>
    </row>
    <row r="424" spans="1:38" ht="13" hidden="1" thickBot="1" x14ac:dyDescent="0.3">
      <c r="A424" s="2" t="s">
        <v>346</v>
      </c>
      <c r="B424" s="1"/>
      <c r="C424" s="1"/>
      <c r="D424" s="1"/>
      <c r="E424" s="148" t="s">
        <v>591</v>
      </c>
      <c r="F424" s="149"/>
      <c r="G424" s="149"/>
      <c r="H424" s="149" t="b">
        <f>A_InstallationData!H418</f>
        <v>1</v>
      </c>
      <c r="I424" s="149" t="b">
        <f>A_InstallationData!I418</f>
        <v>1</v>
      </c>
      <c r="J424" s="149" t="b">
        <f>A_InstallationData!J418</f>
        <v>1</v>
      </c>
      <c r="K424" s="149" t="b">
        <f>A_InstallationData!K418</f>
        <v>1</v>
      </c>
      <c r="L424" s="149" t="b">
        <f>A_InstallationData!L418</f>
        <v>1</v>
      </c>
      <c r="M424" s="149" t="b">
        <f>A_InstallationData!M418</f>
        <v>1</v>
      </c>
      <c r="N424" s="150" t="b">
        <f>A_InstallationData!N418</f>
        <v>1</v>
      </c>
      <c r="O424" s="1"/>
      <c r="P424" s="1"/>
      <c r="Q424" s="2"/>
      <c r="R424" s="2"/>
      <c r="S424" s="2"/>
      <c r="T424" s="2"/>
      <c r="U424" s="2"/>
      <c r="V424" s="2"/>
      <c r="W424" s="2"/>
      <c r="X424" s="2"/>
      <c r="Y424" s="2"/>
      <c r="Z424" s="2"/>
      <c r="AA424" s="2"/>
      <c r="AB424" s="2"/>
      <c r="AC424" s="2"/>
      <c r="AD424" s="2"/>
      <c r="AE424" s="2"/>
      <c r="AF424" s="2"/>
      <c r="AG424" s="2"/>
      <c r="AH424" s="2"/>
      <c r="AI424" s="2"/>
      <c r="AJ424" s="2"/>
      <c r="AK424" s="2"/>
      <c r="AL424" s="2"/>
    </row>
    <row r="425" spans="1:38" hidden="1" x14ac:dyDescent="0.25">
      <c r="A425" s="2" t="s">
        <v>346</v>
      </c>
      <c r="B425" s="1"/>
      <c r="C425" s="1"/>
      <c r="D425" s="1"/>
      <c r="E425" s="1"/>
      <c r="F425" s="1"/>
      <c r="G425" s="1"/>
      <c r="H425" s="1"/>
      <c r="I425" s="1"/>
      <c r="J425" s="1"/>
      <c r="K425" s="1"/>
      <c r="L425" s="1"/>
      <c r="M425" s="1"/>
      <c r="N425" s="1"/>
      <c r="O425" s="1"/>
      <c r="P425" s="1"/>
      <c r="Q425" s="2"/>
      <c r="R425" s="2"/>
      <c r="S425" s="2"/>
      <c r="T425" s="2"/>
      <c r="U425" s="2"/>
      <c r="V425" s="2"/>
      <c r="W425" s="2"/>
      <c r="X425" s="2"/>
      <c r="Y425" s="2"/>
      <c r="Z425" s="2"/>
      <c r="AA425" s="2"/>
      <c r="AB425" s="2"/>
      <c r="AC425" s="2"/>
      <c r="AD425" s="2"/>
      <c r="AE425" s="2"/>
      <c r="AF425" s="2"/>
      <c r="AG425" s="2"/>
      <c r="AH425" s="2"/>
      <c r="AI425" s="2"/>
      <c r="AJ425" s="2"/>
      <c r="AK425" s="2"/>
      <c r="AL425" s="2"/>
    </row>
  </sheetData>
  <sheetProtection sheet="1" objects="1" scenarios="1" formatCells="0" formatColumns="0" formatRows="0"/>
  <mergeCells count="233">
    <mergeCell ref="E344:N344"/>
    <mergeCell ref="E351:N351"/>
    <mergeCell ref="E349:N349"/>
    <mergeCell ref="E319:N319"/>
    <mergeCell ref="E320:N320"/>
    <mergeCell ref="D307:N307"/>
    <mergeCell ref="E312:N312"/>
    <mergeCell ref="E313:N313"/>
    <mergeCell ref="E404:I404"/>
    <mergeCell ref="E326:N326"/>
    <mergeCell ref="D309:N309"/>
    <mergeCell ref="E311:N311"/>
    <mergeCell ref="E348:N348"/>
    <mergeCell ref="E353:N353"/>
    <mergeCell ref="L347:N347"/>
    <mergeCell ref="E365:F365"/>
    <mergeCell ref="E367:N367"/>
    <mergeCell ref="E332:N332"/>
    <mergeCell ref="E333:N333"/>
    <mergeCell ref="E347:K347"/>
    <mergeCell ref="D342:N342"/>
    <mergeCell ref="D340:N340"/>
    <mergeCell ref="E336:F336"/>
    <mergeCell ref="E359:F359"/>
    <mergeCell ref="E406:I406"/>
    <mergeCell ref="E407:G407"/>
    <mergeCell ref="E398:G398"/>
    <mergeCell ref="E397:G397"/>
    <mergeCell ref="F376:N376"/>
    <mergeCell ref="F377:N377"/>
    <mergeCell ref="D369:N369"/>
    <mergeCell ref="L380:N380"/>
    <mergeCell ref="E374:N374"/>
    <mergeCell ref="F375:N375"/>
    <mergeCell ref="D371:N371"/>
    <mergeCell ref="E385:N385"/>
    <mergeCell ref="E384:N384"/>
    <mergeCell ref="E399:G399"/>
    <mergeCell ref="E400:I400"/>
    <mergeCell ref="E401:G401"/>
    <mergeCell ref="E382:N382"/>
    <mergeCell ref="E373:N373"/>
    <mergeCell ref="F378:N378"/>
    <mergeCell ref="E380:K380"/>
    <mergeCell ref="E381:N381"/>
    <mergeCell ref="E165:N165"/>
    <mergeCell ref="E108:N108"/>
    <mergeCell ref="E142:N142"/>
    <mergeCell ref="F120:N120"/>
    <mergeCell ref="D133:N133"/>
    <mergeCell ref="L106:N106"/>
    <mergeCell ref="E90:N90"/>
    <mergeCell ref="D9:N9"/>
    <mergeCell ref="D11:N11"/>
    <mergeCell ref="E13:N13"/>
    <mergeCell ref="E18:N18"/>
    <mergeCell ref="E21:N21"/>
    <mergeCell ref="E24:N24"/>
    <mergeCell ref="F25:N25"/>
    <mergeCell ref="E22:N22"/>
    <mergeCell ref="E15:N15"/>
    <mergeCell ref="F27:N27"/>
    <mergeCell ref="F28:N28"/>
    <mergeCell ref="E29:N29"/>
    <mergeCell ref="E14:N14"/>
    <mergeCell ref="E137:N137"/>
    <mergeCell ref="D101:N101"/>
    <mergeCell ref="E103:N103"/>
    <mergeCell ref="E138:N138"/>
    <mergeCell ref="I2:J2"/>
    <mergeCell ref="K2:L2"/>
    <mergeCell ref="E2:F2"/>
    <mergeCell ref="D412:N412"/>
    <mergeCell ref="M4:N4"/>
    <mergeCell ref="G5:H5"/>
    <mergeCell ref="I5:J5"/>
    <mergeCell ref="K5:L5"/>
    <mergeCell ref="M5:N5"/>
    <mergeCell ref="E125:N125"/>
    <mergeCell ref="E4:F4"/>
    <mergeCell ref="E17:K17"/>
    <mergeCell ref="E131:N131"/>
    <mergeCell ref="E89:N89"/>
    <mergeCell ref="E116:N116"/>
    <mergeCell ref="F117:N117"/>
    <mergeCell ref="E91:N91"/>
    <mergeCell ref="E23:N23"/>
    <mergeCell ref="D7:N7"/>
    <mergeCell ref="E315:K315"/>
    <mergeCell ref="F26:N26"/>
    <mergeCell ref="K4:L4"/>
    <mergeCell ref="L17:N17"/>
    <mergeCell ref="E19:N19"/>
    <mergeCell ref="B2:D4"/>
    <mergeCell ref="G2:H2"/>
    <mergeCell ref="G4:H4"/>
    <mergeCell ref="I4:J4"/>
    <mergeCell ref="M2:N2"/>
    <mergeCell ref="D135:N135"/>
    <mergeCell ref="E92:N92"/>
    <mergeCell ref="E97:N97"/>
    <mergeCell ref="E111:N111"/>
    <mergeCell ref="E115:N115"/>
    <mergeCell ref="E93:N93"/>
    <mergeCell ref="E104:N104"/>
    <mergeCell ref="E126:N126"/>
    <mergeCell ref="F118:N118"/>
    <mergeCell ref="E127:N127"/>
    <mergeCell ref="E106:K106"/>
    <mergeCell ref="E107:N107"/>
    <mergeCell ref="E110:N110"/>
    <mergeCell ref="E3:F3"/>
    <mergeCell ref="G3:H3"/>
    <mergeCell ref="I3:J3"/>
    <mergeCell ref="K3:L3"/>
    <mergeCell ref="M3:N3"/>
    <mergeCell ref="D99:N99"/>
    <mergeCell ref="E410:N410"/>
    <mergeCell ref="L242:N242"/>
    <mergeCell ref="E395:N395"/>
    <mergeCell ref="F154:N154"/>
    <mergeCell ref="E178:N178"/>
    <mergeCell ref="D169:N169"/>
    <mergeCell ref="F185:N185"/>
    <mergeCell ref="E175:N175"/>
    <mergeCell ref="E279:N279"/>
    <mergeCell ref="E345:N345"/>
    <mergeCell ref="D167:N167"/>
    <mergeCell ref="E172:N172"/>
    <mergeCell ref="E161:N161"/>
    <mergeCell ref="E195:N195"/>
    <mergeCell ref="E268:N268"/>
    <mergeCell ref="E171:N171"/>
    <mergeCell ref="E160:N160"/>
    <mergeCell ref="E201:N201"/>
    <mergeCell ref="E202:N202"/>
    <mergeCell ref="E194:N194"/>
    <mergeCell ref="E205:N205"/>
    <mergeCell ref="L174:N174"/>
    <mergeCell ref="E179:N179"/>
    <mergeCell ref="D199:N199"/>
    <mergeCell ref="E140:K140"/>
    <mergeCell ref="D234:N234"/>
    <mergeCell ref="D236:N236"/>
    <mergeCell ref="E238:N238"/>
    <mergeCell ref="E203:N203"/>
    <mergeCell ref="F119:N119"/>
    <mergeCell ref="L140:N140"/>
    <mergeCell ref="E159:N159"/>
    <mergeCell ref="F186:N186"/>
    <mergeCell ref="F187:N187"/>
    <mergeCell ref="E149:N149"/>
    <mergeCell ref="E150:N150"/>
    <mergeCell ref="F151:N151"/>
    <mergeCell ref="E184:N184"/>
    <mergeCell ref="E141:N141"/>
    <mergeCell ref="E144:N144"/>
    <mergeCell ref="E145:N145"/>
    <mergeCell ref="F152:N152"/>
    <mergeCell ref="F153:N153"/>
    <mergeCell ref="E174:K174"/>
    <mergeCell ref="E176:N176"/>
    <mergeCell ref="E183:N183"/>
    <mergeCell ref="E193:N193"/>
    <mergeCell ref="E206:N206"/>
    <mergeCell ref="E212:N212"/>
    <mergeCell ref="E213:N213"/>
    <mergeCell ref="E232:N232"/>
    <mergeCell ref="E239:N239"/>
    <mergeCell ref="E222:I222"/>
    <mergeCell ref="E223:G223"/>
    <mergeCell ref="E225:I225"/>
    <mergeCell ref="E226:I226"/>
    <mergeCell ref="E228:I228"/>
    <mergeCell ref="E229:G229"/>
    <mergeCell ref="E242:K242"/>
    <mergeCell ref="E217:F217"/>
    <mergeCell ref="E219:G219"/>
    <mergeCell ref="E220:G220"/>
    <mergeCell ref="E221:I221"/>
    <mergeCell ref="E243:N243"/>
    <mergeCell ref="E246:N246"/>
    <mergeCell ref="E240:N240"/>
    <mergeCell ref="E244:N244"/>
    <mergeCell ref="F251:N251"/>
    <mergeCell ref="E252:N252"/>
    <mergeCell ref="E264:N264"/>
    <mergeCell ref="E247:N247"/>
    <mergeCell ref="E248:N248"/>
    <mergeCell ref="E249:N249"/>
    <mergeCell ref="F250:N250"/>
    <mergeCell ref="D274:N274"/>
    <mergeCell ref="D276:N276"/>
    <mergeCell ref="E296:F296"/>
    <mergeCell ref="E290:F290"/>
    <mergeCell ref="E303:F303"/>
    <mergeCell ref="E327:N327"/>
    <mergeCell ref="E331:N331"/>
    <mergeCell ref="E278:N278"/>
    <mergeCell ref="E272:N272"/>
    <mergeCell ref="E265:N265"/>
    <mergeCell ref="E266:N266"/>
    <mergeCell ref="E267:N267"/>
    <mergeCell ref="E280:N280"/>
    <mergeCell ref="E282:K282"/>
    <mergeCell ref="E283:N283"/>
    <mergeCell ref="E286:N286"/>
    <mergeCell ref="L282:N282"/>
    <mergeCell ref="E284:N284"/>
    <mergeCell ref="E361:N361"/>
    <mergeCell ref="E362:N362"/>
    <mergeCell ref="E363:N363"/>
    <mergeCell ref="E338:N338"/>
    <mergeCell ref="E352:N352"/>
    <mergeCell ref="P2:P4"/>
    <mergeCell ref="L315:N315"/>
    <mergeCell ref="E317:N317"/>
    <mergeCell ref="E321:N321"/>
    <mergeCell ref="E334:N334"/>
    <mergeCell ref="E301:N301"/>
    <mergeCell ref="E329:F329"/>
    <mergeCell ref="E298:N298"/>
    <mergeCell ref="E299:N299"/>
    <mergeCell ref="E300:N300"/>
    <mergeCell ref="E323:F323"/>
    <mergeCell ref="E325:N325"/>
    <mergeCell ref="E305:N305"/>
    <mergeCell ref="E316:N316"/>
    <mergeCell ref="E292:N292"/>
    <mergeCell ref="E293:N293"/>
    <mergeCell ref="E287:N287"/>
    <mergeCell ref="E288:N288"/>
    <mergeCell ref="E294:N294"/>
  </mergeCells>
  <phoneticPr fontId="34" type="noConversion"/>
  <conditionalFormatting sqref="H32:N87">
    <cfRule type="expression" dxfId="369" priority="7" stopIfTrue="1">
      <formula>AC32</formula>
    </cfRule>
  </conditionalFormatting>
  <conditionalFormatting sqref="H113:N113 H122:N123">
    <cfRule type="expression" dxfId="368" priority="12" stopIfTrue="1">
      <formula>AC113</formula>
    </cfRule>
  </conditionalFormatting>
  <conditionalFormatting sqref="H147:N147 H156:N157">
    <cfRule type="expression" dxfId="367" priority="6" stopIfTrue="1">
      <formula>AC147</formula>
    </cfRule>
  </conditionalFormatting>
  <conditionalFormatting sqref="H181:N181 H189:N191">
    <cfRule type="expression" dxfId="366" priority="10" stopIfTrue="1">
      <formula>AC181</formula>
    </cfRule>
  </conditionalFormatting>
  <conditionalFormatting sqref="H255:N262">
    <cfRule type="expression" dxfId="365" priority="5" stopIfTrue="1">
      <formula>AC255</formula>
    </cfRule>
  </conditionalFormatting>
  <conditionalFormatting sqref="H290:N290 H296:N296">
    <cfRule type="expression" dxfId="364" priority="4" stopIfTrue="1">
      <formula>AC290</formula>
    </cfRule>
  </conditionalFormatting>
  <conditionalFormatting sqref="H323:N323 H329:N329">
    <cfRule type="expression" dxfId="363" priority="3" stopIfTrue="1">
      <formula>AC323</formula>
    </cfRule>
  </conditionalFormatting>
  <conditionalFormatting sqref="H355:N358">
    <cfRule type="expression" dxfId="362" priority="2" stopIfTrue="1">
      <formula>AC355</formula>
    </cfRule>
  </conditionalFormatting>
  <conditionalFormatting sqref="H387:N389">
    <cfRule type="expression" dxfId="361" priority="1" stopIfTrue="1">
      <formula>AC387</formula>
    </cfRule>
  </conditionalFormatting>
  <conditionalFormatting sqref="Z223">
    <cfRule type="expression" dxfId="360" priority="11" stopIfTrue="1">
      <formula>INDEX($AJ:$AJ,MATCH(MAX(INDIRECT(ADDRESS(1,3)&amp;":"&amp;ADDRESS(ROW(#REF!),3))),$C:$C,0))</formula>
    </cfRule>
  </conditionalFormatting>
  <dataValidations disablePrompts="1" count="2">
    <dataValidation type="decimal" allowBlank="1" showInputMessage="1" showErrorMessage="1" errorTitle="0 &lt; value &lt; 1" error="Values should be between 0 and 1." sqref="H296:N296 H329:N329" xr:uid="{7BF269C3-F630-49EE-8FDD-DD6FE2437925}">
      <formula1>0</formula1>
      <formula2>1</formula2>
    </dataValidation>
    <dataValidation type="decimal" allowBlank="1" showInputMessage="1" showErrorMessage="1" errorTitle="0 &lt; value &lt; 100" error="Values should be between 0 and 100." sqref="H122:N123 H156:N157" xr:uid="{C5A95A56-A9BA-4BF4-8A4B-A11C4C9AF6D3}">
      <formula1>0</formula1>
      <formula2>100</formula2>
    </dataValidation>
  </dataValidations>
  <hyperlinks>
    <hyperlink ref="G2:H2" location="JUMP_TOC_Home" display="Table of contents" xr:uid="{029640FF-CE44-4A01-8DC7-FBC8BF5A3D4E}"/>
    <hyperlink ref="M2:N2" location="JUMP_K_I" display="Summary" xr:uid="{6FF12809-2B32-45ED-AF95-5C8CAF92EC45}"/>
    <hyperlink ref="E3:F3" location="JUMP_H_Top" display="Top of sheet" xr:uid="{5FC785F7-1ABE-4F22-A66E-D16F6A51A854}"/>
    <hyperlink ref="I2:J2" location="JUMP_G_Top" display="Previous sheet" xr:uid="{D9DCB930-BAE3-40F3-89B7-E622CC1F84A3}"/>
    <hyperlink ref="G3:H3" location="JUMP_H_I" display="JUMP_H_I" xr:uid="{38D01EF1-AC52-4476-AE2E-C0F6686F7E70}"/>
    <hyperlink ref="I3:J3" location="JUMP_H_II" display="JUMP_H_II" xr:uid="{C3E3ADBC-C6CC-45E6-9392-3A49EA4BD933}"/>
    <hyperlink ref="K3:L3" location="JUMP_H_III" display="JUMP_H_III" xr:uid="{76D68259-6A94-409F-83EC-0BD0D8E4B16D}"/>
    <hyperlink ref="M3:N3" location="JUMP_H_IV" display="JUMP_H_IV" xr:uid="{067BAD21-80FE-4DAD-9BE0-0050C7828EC4}"/>
    <hyperlink ref="G4:H4" location="JUMP_H_V" display="JUMP_H_V" xr:uid="{AF5909D1-F0C1-4D90-AD80-295240DFA77C}"/>
    <hyperlink ref="I4:J4" location="JUMP_H_VI" display="JUMP_H_VI" xr:uid="{CDF8E905-FEE0-461A-AC13-680835833CED}"/>
    <hyperlink ref="K4:L4" location="JUMP_H_VII" display="JUMP_H_VII" xr:uid="{ACAC51DF-2570-4E66-8261-7F1F52076FBC}"/>
    <hyperlink ref="M4:N4" location="JUMP_H_VIII" display="JUMP_H_VIII" xr:uid="{9B636393-3119-44A0-870B-757A99C1DB61}"/>
    <hyperlink ref="G5:H5" location="JUMP_H_IX" display="JUMP_H_IX" xr:uid="{867797C0-1345-43B5-ABA7-5EDB3F86723A}"/>
    <hyperlink ref="E4:F4" location="JUMP_H_Bottom" display="End of sheet" xr:uid="{F4CD22E5-7F49-4F48-89BE-4E19B80DCA0B}"/>
    <hyperlink ref="D412:N412" location="JUMP_I_Top" display="&lt;&lt;&lt; Click here to proceed to next sheet &gt;&gt;&gt; " xr:uid="{4BF15531-B214-4130-9D4D-15DA9FDD0A28}"/>
    <hyperlink ref="K2:L2" location="JUMP_I_Top" display="Next sheet" xr:uid="{6CF0307A-5F6C-4291-B934-08DE568C56A8}"/>
  </hyperlinks>
  <pageMargins left="0.78740157480314965" right="0.78740157480314965" top="0.78740157480314965" bottom="0.78740157480314965" header="0.51181102362204722" footer="0.51181102362204722"/>
  <pageSetup paperSize="9" scale="47" fitToHeight="12" orientation="portrait" r:id="rId1"/>
  <headerFooter alignWithMargins="0">
    <oddHeader>&amp;L&amp;F; &amp;A&amp;R&amp;D; &amp;T</oddHeader>
    <oddFooter>&amp;C&amp;P / &amp;N</oddFooter>
  </headerFooter>
  <rowBreaks count="3" manualBreakCount="3">
    <brk id="97" min="1" max="15" man="1"/>
    <brk id="232" min="1" max="15" man="1"/>
    <brk id="339" min="1" max="15"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A9F1BD-BEBA-430A-B8B2-7BC7BB74C966}">
  <sheetPr codeName="Tabelle18">
    <tabColor indexed="9"/>
    <pageSetUpPr fitToPage="1"/>
  </sheetPr>
  <dimension ref="A1:L30"/>
  <sheetViews>
    <sheetView zoomScaleNormal="100" workbookViewId="0">
      <pane ySplit="3" topLeftCell="A4" activePane="bottomLeft" state="frozen"/>
      <selection pane="bottomLeft" sqref="A1:C3"/>
    </sheetView>
  </sheetViews>
  <sheetFormatPr defaultColWidth="11.453125" defaultRowHeight="12.5" x14ac:dyDescent="0.25"/>
  <cols>
    <col min="1" max="1" width="2.7265625" style="19" customWidth="1"/>
    <col min="2" max="3" width="4.7265625" style="19" customWidth="1"/>
    <col min="4" max="12" width="12.7265625" style="19" customWidth="1"/>
    <col min="13" max="16384" width="11.453125" style="19"/>
  </cols>
  <sheetData>
    <row r="1" spans="1:12" ht="26.5" thickBot="1" x14ac:dyDescent="0.35">
      <c r="A1" s="2315" t="str">
        <f>Translations!$B$928</f>
        <v>I.</v>
      </c>
      <c r="B1" s="2316"/>
      <c r="C1" s="2317"/>
      <c r="D1" s="589" t="str">
        <f>Translations!$B$2</f>
        <v>Navigeringsfält:</v>
      </c>
      <c r="E1" s="590"/>
      <c r="F1" s="2329" t="str">
        <f>Translations!$B$16</f>
        <v>Innehållsförteckning</v>
      </c>
      <c r="G1" s="1936"/>
      <c r="H1" s="1936" t="str">
        <f>Translations!$B$17</f>
        <v>Föregående blad</v>
      </c>
      <c r="I1" s="1936"/>
      <c r="J1" s="1936" t="str">
        <f>Translations!$B$3</f>
        <v>Nästa blad</v>
      </c>
      <c r="K1" s="1936"/>
      <c r="L1" s="1904" t="str">
        <f>Translations!$B$4</f>
        <v>Sammanfattning</v>
      </c>
    </row>
    <row r="2" spans="1:12" ht="13.5" thickBot="1" x14ac:dyDescent="0.3">
      <c r="A2" s="2318"/>
      <c r="B2" s="2319"/>
      <c r="C2" s="2320"/>
      <c r="D2" s="1936" t="str">
        <f>Translations!$B$5</f>
        <v>Högst upp</v>
      </c>
      <c r="E2" s="2324"/>
      <c r="F2" s="1938"/>
      <c r="G2" s="1938"/>
      <c r="H2" s="1938"/>
      <c r="I2" s="1938"/>
      <c r="J2" s="1938"/>
      <c r="K2" s="1938"/>
      <c r="L2" s="1770"/>
    </row>
    <row r="3" spans="1:12" ht="13.5" thickBot="1" x14ac:dyDescent="0.3">
      <c r="A3" s="2321"/>
      <c r="B3" s="2322"/>
      <c r="C3" s="2323"/>
      <c r="D3" s="1936" t="str">
        <f>Translations!$B$6</f>
        <v>Längst ner</v>
      </c>
      <c r="E3" s="1936"/>
      <c r="F3" s="1938"/>
      <c r="G3" s="1938"/>
      <c r="H3" s="1938"/>
      <c r="I3" s="1938"/>
      <c r="J3" s="1938"/>
      <c r="K3" s="1938"/>
      <c r="L3" s="1770"/>
    </row>
    <row r="4" spans="1:12" x14ac:dyDescent="0.25">
      <c r="A4" s="3"/>
      <c r="B4" s="4"/>
      <c r="C4" s="3"/>
      <c r="D4" s="3"/>
      <c r="E4" s="5"/>
      <c r="F4" s="5"/>
      <c r="G4" s="5"/>
      <c r="H4" s="3"/>
      <c r="I4" s="3"/>
      <c r="J4" s="3"/>
      <c r="K4" s="3"/>
      <c r="L4" s="6"/>
    </row>
    <row r="5" spans="1:12" ht="23.25" customHeight="1" x14ac:dyDescent="0.25">
      <c r="A5" s="3"/>
      <c r="B5" s="8" t="s">
        <v>749</v>
      </c>
      <c r="C5" s="8" t="str">
        <f>Translations!$B$929</f>
        <v>Bladet ”MSspecific” – MEDLEMSSTATERNAS KRAV PÅ YTTERLIGARE UPPGIFTER</v>
      </c>
      <c r="D5" s="8"/>
      <c r="E5" s="8"/>
      <c r="F5" s="8"/>
      <c r="G5" s="8"/>
      <c r="H5" s="8"/>
      <c r="I5" s="8"/>
      <c r="J5" s="8"/>
      <c r="K5" s="8"/>
      <c r="L5" s="6"/>
    </row>
    <row r="6" spans="1:12" x14ac:dyDescent="0.25">
      <c r="A6" s="3"/>
      <c r="B6" s="3"/>
      <c r="C6" s="3"/>
      <c r="D6" s="3"/>
      <c r="E6" s="3"/>
      <c r="F6" s="3"/>
      <c r="G6" s="3"/>
      <c r="H6" s="3"/>
      <c r="I6" s="3"/>
      <c r="J6" s="3"/>
      <c r="K6" s="3"/>
      <c r="L6" s="6"/>
    </row>
    <row r="7" spans="1:12" ht="15.5" x14ac:dyDescent="0.35">
      <c r="A7" s="3"/>
      <c r="B7" s="11" t="s">
        <v>1108</v>
      </c>
      <c r="C7" s="12" t="str">
        <f>Translations!$B$930</f>
        <v>Ska anges av medlemsstaten</v>
      </c>
      <c r="D7" s="12"/>
      <c r="E7" s="12"/>
      <c r="F7" s="12"/>
      <c r="G7" s="12"/>
      <c r="H7" s="12"/>
      <c r="I7" s="12"/>
      <c r="J7" s="12"/>
      <c r="K7" s="12"/>
      <c r="L7" s="12"/>
    </row>
    <row r="8" spans="1:12" ht="5.15" customHeight="1" x14ac:dyDescent="0.25">
      <c r="A8" s="3"/>
      <c r="B8" s="3"/>
      <c r="C8" s="3"/>
      <c r="D8" s="3"/>
      <c r="E8" s="3"/>
      <c r="F8" s="3"/>
      <c r="G8" s="3"/>
      <c r="H8" s="3"/>
      <c r="I8" s="3"/>
      <c r="J8" s="3"/>
      <c r="K8" s="3"/>
      <c r="L8" s="6"/>
    </row>
    <row r="30" spans="3:12" ht="13" x14ac:dyDescent="0.25">
      <c r="C30" s="2477" t="str">
        <f>Translations!$B$66</f>
        <v xml:space="preserve">&lt;&lt;&lt; Klicka här för att gå vidare till nästa blad &gt;&gt;&gt; </v>
      </c>
      <c r="D30" s="2760"/>
      <c r="E30" s="2760"/>
      <c r="F30" s="2760"/>
      <c r="G30" s="2760"/>
      <c r="H30" s="2477"/>
      <c r="I30" s="2477"/>
      <c r="J30" s="2477"/>
      <c r="K30" s="2477"/>
      <c r="L30" s="2477"/>
    </row>
  </sheetData>
  <sheetProtection sheet="1" objects="1" scenarios="1" formatCells="0" formatColumns="0" formatRows="0"/>
  <mergeCells count="13">
    <mergeCell ref="J3:K3"/>
    <mergeCell ref="C30:L30"/>
    <mergeCell ref="J1:K1"/>
    <mergeCell ref="D2:E2"/>
    <mergeCell ref="F2:G2"/>
    <mergeCell ref="H2:I2"/>
    <mergeCell ref="J2:K2"/>
    <mergeCell ref="A1:C3"/>
    <mergeCell ref="F1:G1"/>
    <mergeCell ref="H1:I1"/>
    <mergeCell ref="D3:E3"/>
    <mergeCell ref="F3:G3"/>
    <mergeCell ref="H3:I3"/>
  </mergeCells>
  <phoneticPr fontId="34" type="noConversion"/>
  <hyperlinks>
    <hyperlink ref="F1:G1" location="JUMP_TOC_Home" display="Table of contents" xr:uid="{D44F5A0B-83F5-492F-A8AB-A26012EDEDF4}"/>
    <hyperlink ref="L1" location="JUMP_K_I" display="Summary" xr:uid="{ACCF2F4E-21EC-470C-96C6-699C4A3C8569}"/>
    <hyperlink ref="H1:I1" location="JUMP_H_Top" display="Previous sheet" xr:uid="{A28401D8-2AD1-47B9-AA70-9CEE38B0E800}"/>
    <hyperlink ref="D2:E2" location="JUMP_I_Top" display="Top of sheet" xr:uid="{522D11D9-A860-441C-8282-7C4FEB6D7807}"/>
    <hyperlink ref="D3:E3" location="JUMP_I_Bottom" display="End of sheet" xr:uid="{F0095ADA-22F7-4380-98FC-8386153A4672}"/>
    <hyperlink ref="J1:K1" location="JUMP_J_Top" display="Next sheet" xr:uid="{36090CC3-5268-4591-951E-A73DCB9E4C66}"/>
    <hyperlink ref="C30:L30" location="JUMP_J_Top" display="JUMP_J_Top" xr:uid="{9A95A55E-82EB-49F0-B22C-BE2EB88089ED}"/>
  </hyperlinks>
  <pageMargins left="0.78740157480314965" right="0.78740157480314965" top="0.78740157480314965" bottom="0.78740157480314965" header="0.51181102362204722" footer="0.51181102362204722"/>
  <pageSetup paperSize="9" scale="61" fitToHeight="10" orientation="portrait" r:id="rId1"/>
  <headerFooter alignWithMargins="0">
    <oddHeader>&amp;L&amp;F; &amp;A&amp;R&amp;D; &amp;T</oddHeader>
    <oddFooter>&amp;C&amp;P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4C70B-3439-439D-A91C-7BCF31750A50}">
  <sheetPr codeName="Tabelle17">
    <tabColor indexed="9"/>
    <pageSetUpPr fitToPage="1"/>
  </sheetPr>
  <dimension ref="A1:L51"/>
  <sheetViews>
    <sheetView zoomScaleNormal="100" workbookViewId="0">
      <pane ySplit="3" topLeftCell="A4" activePane="bottomLeft" state="frozen"/>
      <selection pane="bottomLeft" activeCell="H1" sqref="H1:I1"/>
    </sheetView>
  </sheetViews>
  <sheetFormatPr defaultColWidth="11.453125" defaultRowHeight="12.5" x14ac:dyDescent="0.25"/>
  <cols>
    <col min="1" max="1" width="2.7265625" style="1907" customWidth="1"/>
    <col min="2" max="3" width="4.7265625" style="1907" customWidth="1"/>
    <col min="4" max="12" width="12.7265625" style="1907" customWidth="1"/>
    <col min="13" max="16384" width="11.453125" style="1907"/>
  </cols>
  <sheetData>
    <row r="1" spans="1:12" s="19" customFormat="1" ht="26.5" thickBot="1" x14ac:dyDescent="0.35">
      <c r="A1" s="2315" t="str">
        <f>Translations!$B$931</f>
        <v>J.</v>
      </c>
      <c r="B1" s="2316"/>
      <c r="C1" s="2317"/>
      <c r="D1" s="589" t="str">
        <f>Translations!$B$2</f>
        <v>Navigeringsfält:</v>
      </c>
      <c r="E1" s="590"/>
      <c r="F1" s="2329" t="str">
        <f>Translations!$B$16</f>
        <v>Innehållsförteckning</v>
      </c>
      <c r="G1" s="1936"/>
      <c r="H1" s="1936" t="str">
        <f>Translations!$B$17</f>
        <v>Föregående blad</v>
      </c>
      <c r="I1" s="1936"/>
      <c r="J1" s="1936" t="str">
        <f>Translations!$B$3</f>
        <v>Nästa blad</v>
      </c>
      <c r="K1" s="1936"/>
      <c r="L1" s="1904" t="str">
        <f>Translations!$B$4</f>
        <v>Sammanfattning</v>
      </c>
    </row>
    <row r="2" spans="1:12" s="19" customFormat="1" ht="13.5" thickBot="1" x14ac:dyDescent="0.3">
      <c r="A2" s="2318"/>
      <c r="B2" s="2319"/>
      <c r="C2" s="2320"/>
      <c r="D2" s="1936" t="str">
        <f>Translations!$B$5</f>
        <v>Högst upp</v>
      </c>
      <c r="E2" s="2324"/>
      <c r="F2" s="1938"/>
      <c r="G2" s="1938"/>
      <c r="H2" s="1938"/>
      <c r="I2" s="1938"/>
      <c r="J2" s="1938"/>
      <c r="K2" s="1938"/>
      <c r="L2" s="1770"/>
    </row>
    <row r="3" spans="1:12" s="19" customFormat="1" ht="13.5" thickBot="1" x14ac:dyDescent="0.3">
      <c r="A3" s="2321"/>
      <c r="B3" s="2322"/>
      <c r="C3" s="2323"/>
      <c r="D3" s="1936" t="str">
        <f>Translations!$B$6</f>
        <v>Längst ner</v>
      </c>
      <c r="E3" s="1936"/>
      <c r="F3" s="1938"/>
      <c r="G3" s="1938"/>
      <c r="H3" s="1938"/>
      <c r="I3" s="1938"/>
      <c r="J3" s="1938"/>
      <c r="K3" s="1938"/>
      <c r="L3" s="1770"/>
    </row>
    <row r="4" spans="1:12" s="19" customFormat="1" x14ac:dyDescent="0.25">
      <c r="A4" s="3"/>
      <c r="B4" s="4"/>
      <c r="C4" s="3"/>
      <c r="D4" s="3"/>
      <c r="E4" s="5"/>
      <c r="F4" s="5"/>
      <c r="G4" s="5"/>
      <c r="H4" s="3"/>
      <c r="I4" s="3"/>
      <c r="J4" s="3"/>
      <c r="K4" s="3"/>
      <c r="L4" s="6"/>
    </row>
    <row r="5" spans="1:12" s="19" customFormat="1" ht="23.25" customHeight="1" x14ac:dyDescent="0.25">
      <c r="A5" s="3"/>
      <c r="B5" s="8" t="s">
        <v>751</v>
      </c>
      <c r="C5" s="2004" t="str">
        <f>Translations!$B$932</f>
        <v>Bladet ”Comments” – SYNPUNKTER OCH YTTERLIGARE UPPLYSNINGAR</v>
      </c>
      <c r="D5" s="1963"/>
      <c r="E5" s="1963"/>
      <c r="F5" s="1963"/>
      <c r="G5" s="1963"/>
      <c r="H5" s="1963"/>
      <c r="I5" s="1963"/>
      <c r="J5" s="1963"/>
      <c r="K5" s="1963"/>
      <c r="L5" s="1963"/>
    </row>
    <row r="6" spans="1:12" s="19" customFormat="1" x14ac:dyDescent="0.25">
      <c r="A6" s="3"/>
      <c r="B6" s="3"/>
      <c r="C6" s="3"/>
      <c r="D6" s="3"/>
      <c r="E6" s="3"/>
      <c r="F6" s="3"/>
      <c r="G6" s="3"/>
      <c r="H6" s="3"/>
      <c r="I6" s="3"/>
      <c r="J6" s="3"/>
      <c r="K6" s="3"/>
      <c r="L6" s="6"/>
    </row>
    <row r="7" spans="1:12" s="19" customFormat="1" ht="15.5" x14ac:dyDescent="0.35">
      <c r="A7" s="3"/>
      <c r="B7" s="11" t="s">
        <v>1108</v>
      </c>
      <c r="C7" s="1975" t="str">
        <f>Translations!$B$933</f>
        <v>Styrkande handlingar till rapporten</v>
      </c>
      <c r="D7" s="1975"/>
      <c r="E7" s="1975"/>
      <c r="F7" s="1975"/>
      <c r="G7" s="1975"/>
      <c r="H7" s="1975"/>
      <c r="I7" s="1975"/>
      <c r="J7" s="1975"/>
      <c r="K7" s="1975"/>
      <c r="L7" s="1975"/>
    </row>
    <row r="8" spans="1:12" s="19" customFormat="1" ht="5.15" customHeight="1" x14ac:dyDescent="0.25">
      <c r="A8" s="3"/>
      <c r="B8" s="3"/>
      <c r="C8" s="3"/>
      <c r="D8" s="3"/>
      <c r="E8" s="3"/>
      <c r="F8" s="3"/>
      <c r="G8" s="3"/>
      <c r="H8" s="3"/>
      <c r="I8" s="3"/>
      <c r="J8" s="3"/>
      <c r="K8" s="3"/>
      <c r="L8" s="6"/>
    </row>
    <row r="9" spans="1:12" s="19" customFormat="1" ht="14" x14ac:dyDescent="0.3">
      <c r="A9" s="3"/>
      <c r="B9" s="17"/>
      <c r="C9" s="2053" t="str">
        <f>Translations!$B$934</f>
        <v>Var god ange alla relevanta dokument som inges tillsammans med rapporten</v>
      </c>
      <c r="D9" s="1963"/>
      <c r="E9" s="1963"/>
      <c r="F9" s="1963"/>
      <c r="G9" s="1963"/>
      <c r="H9" s="1963"/>
      <c r="I9" s="1963"/>
      <c r="J9" s="1963"/>
      <c r="K9" s="1963"/>
      <c r="L9" s="1963"/>
    </row>
    <row r="10" spans="1:12" s="19" customFormat="1" x14ac:dyDescent="0.25">
      <c r="A10" s="3"/>
      <c r="B10" s="15"/>
      <c r="C10" s="2061" t="str">
        <f>Translations!$B$935</f>
        <v>Ytterligare styrkande handlingar till rapporten kommer att krävas. Var god ange informationen i elektroniskt format när så är möjligt.</v>
      </c>
      <c r="D10" s="1963"/>
      <c r="E10" s="1963"/>
      <c r="F10" s="1963"/>
      <c r="G10" s="1963"/>
      <c r="H10" s="1963"/>
      <c r="I10" s="1963"/>
      <c r="J10" s="1963"/>
      <c r="K10" s="1963"/>
      <c r="L10" s="1963"/>
    </row>
    <row r="11" spans="1:12" s="19" customFormat="1" x14ac:dyDescent="0.25">
      <c r="A11" s="3"/>
      <c r="B11" s="15"/>
      <c r="C11" s="2061" t="str">
        <f>Translations!$B$936</f>
        <v>Ni kan lämna informationen i formaten Microsoft Word, Excel, eller Adobe Acrobat.</v>
      </c>
      <c r="D11" s="1963"/>
      <c r="E11" s="1963"/>
      <c r="F11" s="1963"/>
      <c r="G11" s="1963"/>
      <c r="H11" s="1963"/>
      <c r="I11" s="1963"/>
      <c r="J11" s="1963"/>
      <c r="K11" s="1963"/>
      <c r="L11" s="1963"/>
    </row>
    <row r="12" spans="1:12" s="19" customFormat="1" x14ac:dyDescent="0.25">
      <c r="A12" s="3"/>
      <c r="B12" s="15"/>
      <c r="C12" s="2061" t="str">
        <f>Translations!$B$937</f>
        <v>Kontrollera vid behov med er behöriga myndighet om andra filformat än de som nämns ovan kan godtas.</v>
      </c>
      <c r="D12" s="1963"/>
      <c r="E12" s="1963"/>
      <c r="F12" s="1963"/>
      <c r="G12" s="1963"/>
      <c r="H12" s="1963"/>
      <c r="I12" s="1963"/>
      <c r="J12" s="1963"/>
      <c r="K12" s="1963"/>
      <c r="L12" s="1963"/>
    </row>
    <row r="13" spans="1:12" s="19" customFormat="1" x14ac:dyDescent="0.25">
      <c r="A13" s="3"/>
      <c r="B13" s="15"/>
      <c r="C13" s="2061" t="str">
        <f>Translations!$B$938</f>
        <v xml:space="preserve">Tydliga hänvisningar ska ges till all övrig dokumentation som lämnas och filnamnen/referensnumren ska anges nedan. </v>
      </c>
      <c r="D13" s="1963"/>
      <c r="E13" s="1963"/>
      <c r="F13" s="1963"/>
      <c r="G13" s="1963"/>
      <c r="H13" s="1963"/>
      <c r="I13" s="1963"/>
      <c r="J13" s="1963"/>
      <c r="K13" s="1963"/>
      <c r="L13" s="1963"/>
    </row>
    <row r="14" spans="1:12" s="19" customFormat="1" x14ac:dyDescent="0.25">
      <c r="A14" s="3"/>
      <c r="B14" s="15"/>
      <c r="C14" s="2061" t="str">
        <f>Translations!$B$939</f>
        <v xml:space="preserve">Ni avråds från att lämna irrelevant information eftersom det då kan ta längre tid att godkänna rapporten. </v>
      </c>
      <c r="D14" s="1963"/>
      <c r="E14" s="1963"/>
      <c r="F14" s="1963"/>
      <c r="G14" s="1963"/>
      <c r="H14" s="1963"/>
      <c r="I14" s="1963"/>
      <c r="J14" s="1963"/>
      <c r="K14" s="1963"/>
      <c r="L14" s="1963"/>
    </row>
    <row r="15" spans="1:12" s="19" customFormat="1" ht="5.15" customHeight="1" x14ac:dyDescent="0.25">
      <c r="A15" s="3"/>
      <c r="B15" s="3"/>
      <c r="C15" s="3"/>
      <c r="D15" s="3"/>
      <c r="E15" s="3"/>
      <c r="F15" s="3"/>
      <c r="G15" s="3"/>
      <c r="H15" s="3"/>
      <c r="I15" s="3"/>
      <c r="J15" s="3"/>
      <c r="K15" s="3"/>
      <c r="L15" s="6"/>
    </row>
    <row r="16" spans="1:12" s="19" customFormat="1" ht="13" x14ac:dyDescent="0.25">
      <c r="A16" s="3"/>
      <c r="B16" s="13" t="s">
        <v>442</v>
      </c>
      <c r="C16" s="1943" t="str">
        <f>Translations!$B$1533</f>
        <v>Verifieringsrapport enligt artikel 3.3 i verksamhetsändringsförordningen (obligatorisk):</v>
      </c>
      <c r="D16" s="1963"/>
      <c r="E16" s="1963"/>
      <c r="F16" s="1963"/>
      <c r="G16" s="1963"/>
      <c r="H16" s="1963"/>
      <c r="I16" s="1963"/>
      <c r="J16" s="1963"/>
      <c r="K16" s="1963"/>
      <c r="L16" s="1963"/>
    </row>
    <row r="17" spans="1:12" s="19" customFormat="1" x14ac:dyDescent="0.25">
      <c r="C17" s="2095" t="str">
        <f>Translations!$B$940</f>
        <v>Var god ange filnamn nedan:</v>
      </c>
      <c r="D17" s="1963"/>
      <c r="E17" s="1963"/>
      <c r="F17" s="1963"/>
      <c r="G17" s="1963"/>
      <c r="H17" s="1963"/>
      <c r="I17" s="1963"/>
      <c r="J17" s="1963"/>
      <c r="K17" s="1963"/>
      <c r="L17" s="1963"/>
    </row>
    <row r="18" spans="1:12" s="19" customFormat="1" ht="5.15" customHeight="1" x14ac:dyDescent="0.25">
      <c r="A18" s="3"/>
      <c r="B18" s="3"/>
      <c r="C18" s="3"/>
      <c r="D18" s="3"/>
      <c r="E18" s="3"/>
      <c r="F18" s="3"/>
      <c r="G18" s="3"/>
      <c r="H18" s="3"/>
      <c r="I18" s="3"/>
      <c r="J18" s="3"/>
      <c r="K18" s="3"/>
      <c r="L18" s="6"/>
    </row>
    <row r="19" spans="1:12" s="19" customFormat="1" x14ac:dyDescent="0.25">
      <c r="D19" s="2139" t="str">
        <f>Translations!$B$941</f>
        <v>Filnamn</v>
      </c>
      <c r="E19" s="2695"/>
      <c r="F19" s="2694" t="str">
        <f>Translations!$B$942</f>
        <v>Dokumentbeskrivning</v>
      </c>
      <c r="G19" s="2000"/>
      <c r="H19" s="2000"/>
      <c r="I19" s="2000"/>
      <c r="J19" s="2000"/>
      <c r="K19" s="2000"/>
      <c r="L19" s="2000"/>
    </row>
    <row r="20" spans="1:12" s="19" customFormat="1" x14ac:dyDescent="0.25">
      <c r="D20" s="2776"/>
      <c r="E20" s="2374"/>
      <c r="F20" s="2777"/>
      <c r="G20" s="2778"/>
      <c r="H20" s="2778"/>
      <c r="I20" s="2778"/>
      <c r="J20" s="2778"/>
      <c r="K20" s="2778"/>
      <c r="L20" s="2778"/>
    </row>
    <row r="21" spans="1:12" s="19" customFormat="1" x14ac:dyDescent="0.25">
      <c r="D21" s="2764"/>
      <c r="E21" s="2765"/>
      <c r="F21" s="2768"/>
      <c r="G21" s="2769"/>
      <c r="H21" s="2769"/>
      <c r="I21" s="2769"/>
      <c r="J21" s="2769"/>
      <c r="K21" s="2769"/>
      <c r="L21" s="2769"/>
    </row>
    <row r="22" spans="1:12" s="19" customFormat="1" x14ac:dyDescent="0.25">
      <c r="D22" s="2766"/>
      <c r="E22" s="2767"/>
      <c r="F22" s="2770"/>
      <c r="G22" s="2771"/>
      <c r="H22" s="2771"/>
      <c r="I22" s="2771"/>
      <c r="J22" s="2771"/>
      <c r="K22" s="2771"/>
      <c r="L22" s="2771"/>
    </row>
    <row r="23" spans="1:12" s="19" customFormat="1" ht="5.15" customHeight="1" x14ac:dyDescent="0.25">
      <c r="A23" s="3"/>
      <c r="B23" s="3"/>
      <c r="C23" s="3"/>
      <c r="D23" s="3"/>
      <c r="E23" s="3"/>
      <c r="F23" s="3"/>
      <c r="G23" s="3"/>
      <c r="H23" s="3"/>
      <c r="I23" s="3"/>
      <c r="J23" s="3"/>
      <c r="K23" s="3"/>
      <c r="L23" s="6"/>
    </row>
    <row r="24" spans="1:12" s="19" customFormat="1" ht="13" x14ac:dyDescent="0.25">
      <c r="A24" s="3"/>
      <c r="B24" s="13" t="s">
        <v>955</v>
      </c>
      <c r="C24" s="1943" t="str">
        <f>Translations!$B$943</f>
        <v>Motivering till eventuella dataluckor</v>
      </c>
      <c r="D24" s="1963"/>
      <c r="E24" s="1963"/>
      <c r="F24" s="1963"/>
      <c r="G24" s="1963"/>
      <c r="H24" s="1963"/>
      <c r="I24" s="1963"/>
      <c r="J24" s="1963"/>
      <c r="K24" s="1963"/>
      <c r="L24" s="1963"/>
    </row>
    <row r="25" spans="1:12" s="19" customFormat="1" x14ac:dyDescent="0.25">
      <c r="C25" s="2095" t="str">
        <f>Translations!$B$944</f>
        <v>Enligt artikel 12.2 i FAR ska en motivering till eventuella dataluckor lämnas och en beskrivning ges av den metod som använts för att stänga dessa.</v>
      </c>
      <c r="D25" s="1963"/>
      <c r="E25" s="1963"/>
      <c r="F25" s="1963"/>
      <c r="G25" s="1963"/>
      <c r="H25" s="1963"/>
      <c r="I25" s="1963"/>
      <c r="J25" s="1963"/>
      <c r="K25" s="1963"/>
      <c r="L25" s="1963"/>
    </row>
    <row r="26" spans="1:12" s="19" customFormat="1" ht="12.75" customHeight="1" x14ac:dyDescent="0.25">
      <c r="A26" s="3"/>
      <c r="B26" s="3"/>
      <c r="C26" s="3"/>
      <c r="D26" s="3"/>
      <c r="E26" s="3"/>
      <c r="F26" s="3"/>
      <c r="G26" s="3"/>
      <c r="H26" s="3"/>
      <c r="I26" s="3"/>
      <c r="J26" s="3"/>
      <c r="K26" s="3"/>
      <c r="L26" s="6"/>
    </row>
    <row r="27" spans="1:12" s="113" customFormat="1" ht="25.5" customHeight="1" x14ac:dyDescent="0.3">
      <c r="A27" s="713"/>
      <c r="B27" s="713"/>
      <c r="C27" s="800" t="str">
        <f>Translations!$B$169</f>
        <v>Nr</v>
      </c>
      <c r="D27" s="2441" t="str">
        <f>Translations!$B$945</f>
        <v>Berörd datamängd (verksamhetsuppgift, utsläppsfaktor, värme, el osv.)</v>
      </c>
      <c r="E27" s="2441"/>
      <c r="F27" s="2441" t="str">
        <f>Translations!$B$462</f>
        <v>Delanläggning</v>
      </c>
      <c r="G27" s="2441"/>
      <c r="H27" s="866" t="str">
        <f>Translations!$B$1322</f>
        <v>Tidsperiod</v>
      </c>
      <c r="I27" s="2417" t="str">
        <f>Translations!$B$946</f>
        <v>Beskrivning av dataluckan</v>
      </c>
      <c r="J27" s="2419"/>
      <c r="K27" s="2441" t="str">
        <f>Translations!$B$947</f>
        <v>Motivering</v>
      </c>
      <c r="L27" s="2441"/>
    </row>
    <row r="28" spans="1:12" s="19" customFormat="1" ht="12.75" customHeight="1" x14ac:dyDescent="0.25">
      <c r="A28" s="3"/>
      <c r="B28" s="3"/>
      <c r="C28" s="1197" t="str">
        <f>IF(COUNTA(D28:L28)&gt;0,MAX($C$27:C27)+1,"")</f>
        <v/>
      </c>
      <c r="D28" s="2761"/>
      <c r="E28" s="2761"/>
      <c r="F28" s="2761"/>
      <c r="G28" s="2761"/>
      <c r="H28" s="867"/>
      <c r="I28" s="2762"/>
      <c r="J28" s="2763"/>
      <c r="K28" s="2761"/>
      <c r="L28" s="2761"/>
    </row>
    <row r="29" spans="1:12" s="19" customFormat="1" ht="12.75" customHeight="1" x14ac:dyDescent="0.25">
      <c r="A29" s="3"/>
      <c r="B29" s="3"/>
      <c r="C29" s="1197" t="str">
        <f>IF(COUNTA(D29:L29)&gt;0,MAX($C$27:C28)+1,"")</f>
        <v/>
      </c>
      <c r="D29" s="2761"/>
      <c r="E29" s="2761"/>
      <c r="F29" s="2761"/>
      <c r="G29" s="2761"/>
      <c r="H29" s="867"/>
      <c r="I29" s="2762"/>
      <c r="J29" s="2763"/>
      <c r="K29" s="2761"/>
      <c r="L29" s="2761"/>
    </row>
    <row r="30" spans="1:12" s="19" customFormat="1" ht="12.75" customHeight="1" x14ac:dyDescent="0.25">
      <c r="A30" s="3"/>
      <c r="B30" s="3"/>
      <c r="C30" s="1197" t="str">
        <f>IF(COUNTA(D30:L30)&gt;0,MAX($C$27:C29)+1,"")</f>
        <v/>
      </c>
      <c r="D30" s="2761"/>
      <c r="E30" s="2761"/>
      <c r="F30" s="2761"/>
      <c r="G30" s="2761"/>
      <c r="H30" s="867"/>
      <c r="I30" s="2762"/>
      <c r="J30" s="2763"/>
      <c r="K30" s="2761"/>
      <c r="L30" s="2761"/>
    </row>
    <row r="31" spans="1:12" s="19" customFormat="1" ht="12.75" customHeight="1" x14ac:dyDescent="0.25">
      <c r="A31" s="3"/>
      <c r="B31" s="3"/>
      <c r="C31" s="1197" t="str">
        <f>IF(COUNTA(D31:L31)&gt;0,MAX($C$27:C30)+1,"")</f>
        <v/>
      </c>
      <c r="D31" s="2761"/>
      <c r="E31" s="2761"/>
      <c r="F31" s="2761"/>
      <c r="G31" s="2761"/>
      <c r="H31" s="867"/>
      <c r="I31" s="2762"/>
      <c r="J31" s="2763"/>
      <c r="K31" s="2761"/>
      <c r="L31" s="2761"/>
    </row>
    <row r="32" spans="1:12" s="19" customFormat="1" ht="12.75" customHeight="1" x14ac:dyDescent="0.25">
      <c r="A32" s="3"/>
      <c r="B32" s="3"/>
      <c r="C32" s="1197" t="str">
        <f>IF(COUNTA(D32:L32)&gt;0,MAX($C$27:C31)+1,"")</f>
        <v/>
      </c>
      <c r="D32" s="2761"/>
      <c r="E32" s="2761"/>
      <c r="F32" s="2761"/>
      <c r="G32" s="2761"/>
      <c r="H32" s="867"/>
      <c r="I32" s="2762"/>
      <c r="J32" s="2763"/>
      <c r="K32" s="2761"/>
      <c r="L32" s="2761"/>
    </row>
    <row r="33" spans="1:12" s="19" customFormat="1" ht="12.75" customHeight="1" x14ac:dyDescent="0.25">
      <c r="A33" s="3"/>
      <c r="B33" s="3"/>
      <c r="C33" s="1197" t="str">
        <f>IF(COUNTA(D33:L33)&gt;0,MAX($C$27:C32)+1,"")</f>
        <v/>
      </c>
      <c r="D33" s="2761"/>
      <c r="E33" s="2761"/>
      <c r="F33" s="2761"/>
      <c r="G33" s="2761"/>
      <c r="H33" s="867"/>
      <c r="I33" s="2762"/>
      <c r="J33" s="2763"/>
      <c r="K33" s="2761"/>
      <c r="L33" s="2761"/>
    </row>
    <row r="34" spans="1:12" s="19" customFormat="1" ht="5.15" customHeight="1" x14ac:dyDescent="0.25">
      <c r="A34" s="3"/>
      <c r="B34" s="3"/>
      <c r="C34" s="3"/>
      <c r="D34" s="3"/>
      <c r="E34" s="3"/>
      <c r="F34" s="3"/>
      <c r="G34" s="3"/>
      <c r="H34" s="3"/>
      <c r="I34" s="3"/>
      <c r="J34" s="3"/>
      <c r="K34" s="3"/>
      <c r="L34" s="6"/>
    </row>
    <row r="35" spans="1:12" s="19" customFormat="1" ht="13" x14ac:dyDescent="0.25">
      <c r="A35" s="3"/>
      <c r="B35" s="13" t="s">
        <v>55</v>
      </c>
      <c r="C35" s="1943" t="str">
        <f>Translations!$B$948</f>
        <v>Andra handlingar:</v>
      </c>
      <c r="D35" s="1963"/>
      <c r="E35" s="1963"/>
      <c r="F35" s="1963"/>
      <c r="G35" s="1963"/>
      <c r="H35" s="1963"/>
      <c r="I35" s="1963"/>
      <c r="J35" s="1963"/>
      <c r="K35" s="1963"/>
      <c r="L35" s="1963"/>
    </row>
    <row r="36" spans="1:12" s="19" customFormat="1" x14ac:dyDescent="0.25">
      <c r="C36" s="2095" t="str">
        <f>Translations!$B$940</f>
        <v>Var god ange filnamn nedan:</v>
      </c>
      <c r="D36" s="1963"/>
      <c r="E36" s="1963"/>
      <c r="F36" s="1963"/>
      <c r="G36" s="1963"/>
      <c r="H36" s="1963"/>
      <c r="I36" s="1963"/>
      <c r="J36" s="1963"/>
      <c r="K36" s="1963"/>
      <c r="L36" s="1963"/>
    </row>
    <row r="37" spans="1:12" s="19" customFormat="1" ht="5.15" customHeight="1" x14ac:dyDescent="0.25">
      <c r="A37" s="3"/>
      <c r="B37" s="3"/>
      <c r="C37" s="3"/>
      <c r="D37" s="3"/>
      <c r="E37" s="3"/>
      <c r="F37" s="3"/>
      <c r="G37" s="3"/>
      <c r="H37" s="3"/>
      <c r="I37" s="3"/>
      <c r="J37" s="3"/>
      <c r="K37" s="3"/>
      <c r="L37" s="6"/>
    </row>
    <row r="38" spans="1:12" s="19" customFormat="1" ht="13" x14ac:dyDescent="0.25">
      <c r="D38" s="24" t="str">
        <f>Translations!$B$941</f>
        <v>Filnamn</v>
      </c>
      <c r="E38" s="198"/>
      <c r="F38" s="24" t="str">
        <f>Translations!$B$942</f>
        <v>Dokumentbeskrivning</v>
      </c>
      <c r="G38" s="24"/>
      <c r="H38" s="24"/>
      <c r="I38" s="24"/>
      <c r="J38" s="24"/>
      <c r="K38" s="24"/>
      <c r="L38" s="21"/>
    </row>
    <row r="39" spans="1:12" s="19" customFormat="1" x14ac:dyDescent="0.25">
      <c r="D39" s="2774"/>
      <c r="E39" s="2775"/>
      <c r="F39" s="2772"/>
      <c r="G39" s="2773"/>
      <c r="H39" s="2773"/>
      <c r="I39" s="2773"/>
      <c r="J39" s="2773"/>
      <c r="K39" s="2773"/>
      <c r="L39" s="2773"/>
    </row>
    <row r="40" spans="1:12" s="19" customFormat="1" x14ac:dyDescent="0.25">
      <c r="D40" s="2764"/>
      <c r="E40" s="2765"/>
      <c r="F40" s="2768"/>
      <c r="G40" s="2769"/>
      <c r="H40" s="2769"/>
      <c r="I40" s="2769"/>
      <c r="J40" s="2769"/>
      <c r="K40" s="2769"/>
      <c r="L40" s="2769"/>
    </row>
    <row r="41" spans="1:12" s="19" customFormat="1" x14ac:dyDescent="0.25">
      <c r="D41" s="2764"/>
      <c r="E41" s="2765"/>
      <c r="F41" s="2768"/>
      <c r="G41" s="2769"/>
      <c r="H41" s="2769"/>
      <c r="I41" s="2769"/>
      <c r="J41" s="2769"/>
      <c r="K41" s="2769"/>
      <c r="L41" s="2769"/>
    </row>
    <row r="42" spans="1:12" s="19" customFormat="1" x14ac:dyDescent="0.25">
      <c r="D42" s="2764"/>
      <c r="E42" s="2765"/>
      <c r="F42" s="2768"/>
      <c r="G42" s="2769"/>
      <c r="H42" s="2769"/>
      <c r="I42" s="2769"/>
      <c r="J42" s="2769"/>
      <c r="K42" s="2769"/>
      <c r="L42" s="2769"/>
    </row>
    <row r="43" spans="1:12" s="19" customFormat="1" x14ac:dyDescent="0.25">
      <c r="D43" s="2764"/>
      <c r="E43" s="2765"/>
      <c r="F43" s="2768"/>
      <c r="G43" s="2769"/>
      <c r="H43" s="2769"/>
      <c r="I43" s="2769"/>
      <c r="J43" s="2769"/>
      <c r="K43" s="2769"/>
      <c r="L43" s="2769"/>
    </row>
    <row r="44" spans="1:12" s="19" customFormat="1" x14ac:dyDescent="0.25">
      <c r="D44" s="2764"/>
      <c r="E44" s="2765"/>
      <c r="F44" s="2768"/>
      <c r="G44" s="2769"/>
      <c r="H44" s="2769"/>
      <c r="I44" s="2769"/>
      <c r="J44" s="2769"/>
      <c r="K44" s="2769"/>
      <c r="L44" s="2769"/>
    </row>
    <row r="45" spans="1:12" s="19" customFormat="1" x14ac:dyDescent="0.25">
      <c r="D45" s="2764"/>
      <c r="E45" s="2765"/>
      <c r="F45" s="2768"/>
      <c r="G45" s="2769"/>
      <c r="H45" s="2769"/>
      <c r="I45" s="2769"/>
      <c r="J45" s="2769"/>
      <c r="K45" s="2769"/>
      <c r="L45" s="2769"/>
    </row>
    <row r="46" spans="1:12" s="19" customFormat="1" x14ac:dyDescent="0.25">
      <c r="D46" s="2764"/>
      <c r="E46" s="2765"/>
      <c r="F46" s="2768"/>
      <c r="G46" s="2769"/>
      <c r="H46" s="2769"/>
      <c r="I46" s="2769"/>
      <c r="J46" s="2769"/>
      <c r="K46" s="2769"/>
      <c r="L46" s="2769"/>
    </row>
    <row r="47" spans="1:12" s="19" customFormat="1" x14ac:dyDescent="0.25">
      <c r="D47" s="2766"/>
      <c r="E47" s="2767"/>
      <c r="F47" s="2770"/>
      <c r="G47" s="2771"/>
      <c r="H47" s="2771"/>
      <c r="I47" s="2771"/>
      <c r="J47" s="2771"/>
      <c r="K47" s="2771"/>
      <c r="L47" s="2771"/>
    </row>
    <row r="48" spans="1:12" s="19" customFormat="1" x14ac:dyDescent="0.25"/>
    <row r="49" spans="1:12" s="19" customFormat="1" ht="15.5" x14ac:dyDescent="0.35">
      <c r="A49" s="3"/>
      <c r="B49" s="11" t="s">
        <v>954</v>
      </c>
      <c r="C49" s="1975" t="str">
        <f>Translations!$B$949</f>
        <v>Utrymme för alla slags kompletterande uppgifter</v>
      </c>
      <c r="D49" s="1975"/>
      <c r="E49" s="1975"/>
      <c r="F49" s="1975"/>
      <c r="G49" s="1975"/>
      <c r="H49" s="1975"/>
      <c r="I49" s="1975"/>
      <c r="J49" s="1975"/>
      <c r="K49" s="1975"/>
      <c r="L49" s="1975"/>
    </row>
    <row r="50" spans="1:12" s="19" customFormat="1" ht="5.15" customHeight="1" x14ac:dyDescent="0.25">
      <c r="A50" s="3"/>
      <c r="B50" s="3"/>
      <c r="C50" s="3"/>
      <c r="D50" s="3"/>
      <c r="E50" s="3"/>
      <c r="F50" s="3"/>
      <c r="G50" s="3"/>
      <c r="H50" s="3"/>
      <c r="I50" s="3"/>
      <c r="J50" s="3"/>
      <c r="K50" s="3"/>
      <c r="L50" s="6"/>
    </row>
    <row r="51" spans="1:12" s="19" customFormat="1" ht="30" customHeight="1" x14ac:dyDescent="0.3">
      <c r="A51" s="3"/>
      <c r="B51" s="132"/>
      <c r="C51" s="2779" t="str">
        <f>Translations!$B$950</f>
        <v>I utrymmet nedan kan ni ange alla uppgifter som inte har kunnat lämnas i andra blad och som ni anser vara viktiga för den behöriga myndigheten</v>
      </c>
      <c r="D51" s="2779"/>
      <c r="E51" s="2779"/>
      <c r="F51" s="2779"/>
      <c r="G51" s="2779"/>
      <c r="H51" s="2779"/>
      <c r="I51" s="2779"/>
      <c r="J51" s="2779"/>
      <c r="K51" s="2779"/>
      <c r="L51" s="2779"/>
    </row>
  </sheetData>
  <sheetProtection sheet="1" objects="1" scenarios="1" formatCells="0" formatColumns="0" formatRows="0"/>
  <mergeCells count="82">
    <mergeCell ref="C51:L51"/>
    <mergeCell ref="D46:E46"/>
    <mergeCell ref="F46:L46"/>
    <mergeCell ref="D42:E42"/>
    <mergeCell ref="F42:L42"/>
    <mergeCell ref="D43:E43"/>
    <mergeCell ref="F44:L44"/>
    <mergeCell ref="D45:E45"/>
    <mergeCell ref="C49:L49"/>
    <mergeCell ref="F45:L45"/>
    <mergeCell ref="F1:G1"/>
    <mergeCell ref="H1:I1"/>
    <mergeCell ref="J1:K1"/>
    <mergeCell ref="D3:E3"/>
    <mergeCell ref="F3:G3"/>
    <mergeCell ref="C35:L35"/>
    <mergeCell ref="C11:L11"/>
    <mergeCell ref="C12:L12"/>
    <mergeCell ref="C13:L13"/>
    <mergeCell ref="C14:L14"/>
    <mergeCell ref="D22:E22"/>
    <mergeCell ref="F22:L22"/>
    <mergeCell ref="C24:L24"/>
    <mergeCell ref="C25:L25"/>
    <mergeCell ref="C16:L16"/>
    <mergeCell ref="C17:L17"/>
    <mergeCell ref="D19:E19"/>
    <mergeCell ref="F19:L19"/>
    <mergeCell ref="D20:E20"/>
    <mergeCell ref="F20:L20"/>
    <mergeCell ref="D27:E27"/>
    <mergeCell ref="F39:L39"/>
    <mergeCell ref="H3:I3"/>
    <mergeCell ref="J3:K3"/>
    <mergeCell ref="D2:E2"/>
    <mergeCell ref="F2:G2"/>
    <mergeCell ref="H2:I2"/>
    <mergeCell ref="J2:K2"/>
    <mergeCell ref="C36:L36"/>
    <mergeCell ref="D39:E39"/>
    <mergeCell ref="C5:L5"/>
    <mergeCell ref="C7:L7"/>
    <mergeCell ref="C9:L9"/>
    <mergeCell ref="C10:L10"/>
    <mergeCell ref="A1:C3"/>
    <mergeCell ref="D21:E21"/>
    <mergeCell ref="F21:L21"/>
    <mergeCell ref="D40:E40"/>
    <mergeCell ref="D47:E47"/>
    <mergeCell ref="F40:L40"/>
    <mergeCell ref="F47:L47"/>
    <mergeCell ref="D41:E41"/>
    <mergeCell ref="F41:L41"/>
    <mergeCell ref="F43:L43"/>
    <mergeCell ref="D44:E44"/>
    <mergeCell ref="F27:G27"/>
    <mergeCell ref="K27:L27"/>
    <mergeCell ref="I27:J27"/>
    <mergeCell ref="I30:J30"/>
    <mergeCell ref="D28:E28"/>
    <mergeCell ref="F28:G28"/>
    <mergeCell ref="K28:L28"/>
    <mergeCell ref="I28:J28"/>
    <mergeCell ref="D29:E29"/>
    <mergeCell ref="F29:G29"/>
    <mergeCell ref="K29:L29"/>
    <mergeCell ref="I29:J29"/>
    <mergeCell ref="D30:E30"/>
    <mergeCell ref="F30:G30"/>
    <mergeCell ref="K30:L30"/>
    <mergeCell ref="D33:E33"/>
    <mergeCell ref="F33:G33"/>
    <mergeCell ref="K33:L33"/>
    <mergeCell ref="I32:J32"/>
    <mergeCell ref="I33:J33"/>
    <mergeCell ref="D32:E32"/>
    <mergeCell ref="F32:G32"/>
    <mergeCell ref="K32:L32"/>
    <mergeCell ref="D31:E31"/>
    <mergeCell ref="F31:G31"/>
    <mergeCell ref="K31:L31"/>
    <mergeCell ref="I31:J31"/>
  </mergeCells>
  <phoneticPr fontId="34" type="noConversion"/>
  <hyperlinks>
    <hyperlink ref="F1:G1" location="JUMP_TOC_Home" display="Table of contents" xr:uid="{5E60CC34-76F3-440C-A957-D26E08B0EAF0}"/>
    <hyperlink ref="L1" location="JUMP_K_I" display="Summary" xr:uid="{B5591952-89F8-4D66-94B3-2E838BBFAF39}"/>
    <hyperlink ref="D2:E2" location="JUMP_J_Top" display="Top of sheet" xr:uid="{A82D84CB-6B76-4BCC-B2B4-96A6AC5A1078}"/>
    <hyperlink ref="D3:E3" location="JUMP_J_II" display="End of sheet" xr:uid="{AD9DCA36-7A8B-41BA-8587-0A60A0976BE6}"/>
    <hyperlink ref="H1:I1" location="JUMP_I_Top" display="Previous sheet" xr:uid="{76E4B247-3327-43A3-B8D5-801D356FEE98}"/>
    <hyperlink ref="J1:K1" location="JUMP_K_Top" display="Next sheet" xr:uid="{7B23CE81-6B85-4767-A603-0F68A7FB47C9}"/>
  </hyperlinks>
  <pageMargins left="0.78740157480314965" right="0.78740157480314965" top="0.78740157480314965" bottom="0.78740157480314965" header="0.51181102362204722" footer="0.51181102362204722"/>
  <pageSetup paperSize="9" scale="61" fitToHeight="10" orientation="portrait" r:id="rId1"/>
  <headerFooter alignWithMargins="0">
    <oddHeader>&amp;L&amp;F; &amp;A&amp;R&amp;D; &amp;T</oddHeader>
    <oddFooter>&amp;C&amp;P / &amp;N</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469F55-08E1-4937-8465-6A63B723FCD8}">
  <sheetPr codeName="Tabelle11">
    <tabColor indexed="10"/>
  </sheetPr>
  <dimension ref="A1:V2613"/>
  <sheetViews>
    <sheetView zoomScaleNormal="100" workbookViewId="0">
      <pane ySplit="4" topLeftCell="A5" activePane="bottomLeft" state="frozen"/>
      <selection activeCell="G426" sqref="G426"/>
      <selection pane="bottomLeft" activeCell="B2" sqref="B2:D4"/>
    </sheetView>
  </sheetViews>
  <sheetFormatPr defaultColWidth="11.453125" defaultRowHeight="12.5" x14ac:dyDescent="0.25"/>
  <cols>
    <col min="1" max="1" width="2.7265625" style="533" hidden="1" customWidth="1"/>
    <col min="2" max="2" width="2.7265625" style="533" customWidth="1"/>
    <col min="3" max="4" width="4.7265625" style="533" customWidth="1"/>
    <col min="5" max="5" width="30.7265625" style="533" customWidth="1"/>
    <col min="6" max="14" width="12.7265625" style="533" customWidth="1"/>
    <col min="15" max="15" width="4.7265625" style="533" customWidth="1"/>
    <col min="16" max="20" width="12.7265625" style="533" hidden="1" customWidth="1"/>
    <col min="21" max="22" width="11.453125" style="533" hidden="1" customWidth="1"/>
    <col min="23" max="16384" width="11.453125" style="533"/>
  </cols>
  <sheetData>
    <row r="1" spans="1:22" ht="13" hidden="1" thickBot="1" x14ac:dyDescent="0.3">
      <c r="A1" s="2" t="s">
        <v>346</v>
      </c>
      <c r="B1" s="2"/>
      <c r="C1" s="2"/>
      <c r="D1" s="2"/>
      <c r="E1" s="2"/>
      <c r="F1" s="2"/>
      <c r="G1" s="2"/>
      <c r="H1" s="2"/>
      <c r="I1" s="2"/>
      <c r="J1" s="2"/>
      <c r="K1" s="2"/>
      <c r="L1" s="2"/>
      <c r="M1" s="2"/>
      <c r="N1" s="2"/>
      <c r="O1" s="2"/>
      <c r="P1" s="2" t="s">
        <v>346</v>
      </c>
      <c r="Q1" s="2" t="s">
        <v>346</v>
      </c>
      <c r="R1" s="2" t="s">
        <v>346</v>
      </c>
      <c r="S1" s="2" t="s">
        <v>346</v>
      </c>
      <c r="T1" s="2" t="s">
        <v>346</v>
      </c>
      <c r="U1" s="349" t="s">
        <v>346</v>
      </c>
      <c r="V1" s="349" t="s">
        <v>346</v>
      </c>
    </row>
    <row r="2" spans="1:22" ht="13.5" thickBot="1" x14ac:dyDescent="0.35">
      <c r="A2" s="2"/>
      <c r="B2" s="2315" t="str">
        <f>Translations!$B$951</f>
        <v>K.</v>
      </c>
      <c r="C2" s="2316"/>
      <c r="D2" s="2317"/>
      <c r="E2" s="2330" t="str">
        <f>Translations!$B$2</f>
        <v>Navigeringsfält:</v>
      </c>
      <c r="F2" s="2331"/>
      <c r="G2" s="2329" t="str">
        <f>Translations!$B$16</f>
        <v>Innehållsförteckning</v>
      </c>
      <c r="H2" s="1936"/>
      <c r="I2" s="1936" t="str">
        <f>Translations!$B$17</f>
        <v>Föregående blad</v>
      </c>
      <c r="J2" s="1936"/>
      <c r="K2" s="2809"/>
      <c r="L2" s="2809"/>
      <c r="M2" s="1936"/>
      <c r="N2" s="1936"/>
      <c r="O2" s="6"/>
      <c r="P2" s="7"/>
      <c r="Q2" s="7"/>
      <c r="R2" s="7"/>
      <c r="S2" s="7"/>
      <c r="T2" s="7"/>
      <c r="U2" s="349"/>
      <c r="V2" s="349"/>
    </row>
    <row r="3" spans="1:22" ht="13.5" thickBot="1" x14ac:dyDescent="0.3">
      <c r="A3" s="2"/>
      <c r="B3" s="2318"/>
      <c r="C3" s="2319"/>
      <c r="D3" s="2320"/>
      <c r="E3" s="1936" t="str">
        <f>Translations!$B$5</f>
        <v>Högst upp</v>
      </c>
      <c r="F3" s="2324"/>
      <c r="G3" s="2325" t="str">
        <f>Translations!$B$952</f>
        <v>Uppgifter om anläggningen</v>
      </c>
      <c r="H3" s="2326"/>
      <c r="I3" s="2326" t="str">
        <f>Translations!$B$953</f>
        <v>Referensperiod och berättigande</v>
      </c>
      <c r="J3" s="2326"/>
      <c r="K3" s="2326" t="str">
        <f>Translations!$B$954</f>
        <v>Utsläpp och energiflöden</v>
      </c>
      <c r="L3" s="2326"/>
      <c r="M3" s="2326" t="str">
        <f>Translations!$B$955</f>
        <v>Uppgifter om delanläggningen</v>
      </c>
      <c r="N3" s="2326"/>
      <c r="O3" s="19"/>
      <c r="P3" s="7"/>
      <c r="Q3" s="7"/>
      <c r="R3" s="7"/>
      <c r="S3" s="7"/>
      <c r="T3" s="7"/>
      <c r="U3" s="349"/>
      <c r="V3" s="349"/>
    </row>
    <row r="4" spans="1:22" ht="13.5" thickBot="1" x14ac:dyDescent="0.3">
      <c r="A4" s="2"/>
      <c r="B4" s="2321"/>
      <c r="C4" s="2322"/>
      <c r="D4" s="2323"/>
      <c r="E4" s="1936" t="str">
        <f>Translations!$B$6</f>
        <v>Längst ner</v>
      </c>
      <c r="F4" s="1936"/>
      <c r="G4" s="2327" t="str">
        <f>Translations!$B$956</f>
        <v>Preliminär tilldelning</v>
      </c>
      <c r="H4" s="2328"/>
      <c r="I4" s="2328"/>
      <c r="J4" s="2328"/>
      <c r="K4" s="2676"/>
      <c r="L4" s="2660"/>
      <c r="M4" s="2660"/>
      <c r="N4" s="2660"/>
      <c r="O4" s="19"/>
      <c r="P4" s="7"/>
      <c r="Q4" s="7"/>
      <c r="R4" s="7"/>
      <c r="S4" s="7"/>
      <c r="T4" s="7"/>
      <c r="U4" s="349"/>
      <c r="V4" s="349"/>
    </row>
    <row r="5" spans="1:22" x14ac:dyDescent="0.25">
      <c r="A5" s="2"/>
      <c r="B5" s="3"/>
      <c r="C5" s="4"/>
      <c r="D5" s="3"/>
      <c r="E5" s="3"/>
      <c r="F5" s="5"/>
      <c r="G5" s="5"/>
      <c r="H5" s="5"/>
      <c r="I5" s="3"/>
      <c r="J5" s="3"/>
      <c r="K5" s="3"/>
      <c r="L5" s="3"/>
      <c r="M5" s="6"/>
      <c r="N5" s="6"/>
      <c r="O5" s="19"/>
      <c r="P5" s="7"/>
      <c r="Q5" s="7"/>
      <c r="R5" s="7"/>
      <c r="S5" s="7"/>
      <c r="T5" s="7"/>
      <c r="U5" s="349"/>
      <c r="V5" s="349"/>
    </row>
    <row r="6" spans="1:22" ht="23.25" customHeight="1" x14ac:dyDescent="0.25">
      <c r="A6" s="2"/>
      <c r="B6" s="3"/>
      <c r="C6" s="8" t="s">
        <v>327</v>
      </c>
      <c r="D6" s="8" t="str">
        <f>Translations!$B$957</f>
        <v>Bladet ”Summary” – ÖVERSIKT ÖVER DE VIKTIGASTE UPPGIFTERNA</v>
      </c>
      <c r="E6" s="8"/>
      <c r="F6" s="8"/>
      <c r="G6" s="8"/>
      <c r="H6" s="8"/>
      <c r="I6" s="8"/>
      <c r="J6" s="8"/>
      <c r="K6" s="8"/>
      <c r="L6" s="8"/>
      <c r="M6" s="6"/>
      <c r="N6" s="6"/>
      <c r="O6" s="19"/>
      <c r="P6" s="9" t="s">
        <v>254</v>
      </c>
      <c r="Q6" s="9" t="s">
        <v>254</v>
      </c>
      <c r="R6" s="9" t="s">
        <v>254</v>
      </c>
      <c r="S6" s="9" t="s">
        <v>254</v>
      </c>
      <c r="T6" s="9" t="s">
        <v>254</v>
      </c>
      <c r="U6" s="9" t="s">
        <v>254</v>
      </c>
      <c r="V6" s="9" t="s">
        <v>254</v>
      </c>
    </row>
    <row r="7" spans="1:22" x14ac:dyDescent="0.25">
      <c r="A7" s="2"/>
      <c r="B7" s="3"/>
      <c r="C7" s="3"/>
      <c r="D7" s="3"/>
      <c r="E7" s="3"/>
      <c r="F7" s="3"/>
      <c r="G7" s="3"/>
      <c r="H7" s="3"/>
      <c r="I7" s="3"/>
      <c r="J7" s="3"/>
      <c r="K7" s="3"/>
      <c r="L7" s="3"/>
      <c r="M7" s="6"/>
      <c r="N7" s="6"/>
      <c r="O7" s="19"/>
      <c r="P7" s="10" t="s">
        <v>785</v>
      </c>
      <c r="Q7" s="10" t="s">
        <v>785</v>
      </c>
      <c r="R7" s="10" t="s">
        <v>785</v>
      </c>
      <c r="S7" s="10" t="s">
        <v>785</v>
      </c>
      <c r="T7" s="10" t="s">
        <v>785</v>
      </c>
      <c r="U7" s="10" t="s">
        <v>785</v>
      </c>
      <c r="V7" s="10" t="s">
        <v>785</v>
      </c>
    </row>
    <row r="8" spans="1:22" ht="15.5" x14ac:dyDescent="0.35">
      <c r="A8" s="2"/>
      <c r="B8" s="3"/>
      <c r="C8" s="11" t="s">
        <v>1108</v>
      </c>
      <c r="D8" s="12" t="str">
        <f>Translations!$B$952</f>
        <v>Uppgifter om anläggningen</v>
      </c>
      <c r="E8" s="12"/>
      <c r="F8" s="12"/>
      <c r="G8" s="12"/>
      <c r="H8" s="12"/>
      <c r="I8" s="12"/>
      <c r="J8" s="12"/>
      <c r="K8" s="12"/>
      <c r="L8" s="12"/>
      <c r="M8" s="12"/>
      <c r="N8" s="12"/>
      <c r="O8" s="19"/>
      <c r="P8" s="7"/>
      <c r="Q8" s="7"/>
      <c r="R8" s="7"/>
      <c r="S8" s="7"/>
      <c r="T8" s="7"/>
      <c r="U8" s="349"/>
      <c r="V8" s="349"/>
    </row>
    <row r="9" spans="1:22" ht="5.15" customHeight="1" x14ac:dyDescent="0.25">
      <c r="A9" s="2"/>
      <c r="B9" s="3"/>
      <c r="C9" s="3"/>
      <c r="D9" s="3"/>
      <c r="E9" s="3"/>
      <c r="F9" s="3"/>
      <c r="G9" s="3"/>
      <c r="H9" s="3"/>
      <c r="I9" s="3"/>
      <c r="J9" s="3"/>
      <c r="K9" s="3"/>
      <c r="L9" s="3"/>
      <c r="M9" s="6"/>
      <c r="N9" s="6"/>
      <c r="O9" s="19"/>
      <c r="P9" s="7"/>
      <c r="Q9" s="7"/>
      <c r="R9" s="7"/>
      <c r="S9" s="7"/>
      <c r="T9" s="7"/>
      <c r="U9" s="349"/>
      <c r="V9" s="349"/>
    </row>
    <row r="10" spans="1:22" ht="15" customHeight="1" x14ac:dyDescent="0.3">
      <c r="A10" s="2"/>
      <c r="B10" s="19"/>
      <c r="C10" s="17">
        <v>1</v>
      </c>
      <c r="D10" s="2053" t="str">
        <f>Translations!$B$77</f>
        <v>Allmänna upplysningar:</v>
      </c>
      <c r="E10" s="1963"/>
      <c r="F10" s="1963"/>
      <c r="G10" s="1963"/>
      <c r="H10" s="1963"/>
      <c r="I10" s="1963"/>
      <c r="J10" s="1963"/>
      <c r="K10" s="1963"/>
      <c r="L10" s="1963"/>
      <c r="M10" s="1963"/>
      <c r="N10" s="1963"/>
      <c r="O10" s="19"/>
      <c r="P10" s="349"/>
      <c r="Q10" s="349"/>
      <c r="R10" s="349"/>
      <c r="S10" s="349"/>
      <c r="T10" s="349"/>
      <c r="U10" s="349"/>
      <c r="V10" s="349"/>
    </row>
    <row r="11" spans="1:22" s="534" customFormat="1" ht="5.15" customHeight="1" x14ac:dyDescent="0.25">
      <c r="A11" s="343"/>
      <c r="B11" s="15"/>
      <c r="C11" s="15"/>
      <c r="D11" s="15"/>
      <c r="E11" s="289"/>
      <c r="F11" s="289"/>
      <c r="G11" s="289"/>
      <c r="H11" s="289"/>
      <c r="I11" s="289"/>
      <c r="J11" s="289"/>
      <c r="K11" s="289"/>
      <c r="L11" s="289"/>
      <c r="M11" s="289"/>
      <c r="N11" s="15"/>
      <c r="O11" s="19"/>
      <c r="P11" s="343"/>
      <c r="Q11" s="343"/>
      <c r="R11" s="343"/>
      <c r="S11" s="343"/>
      <c r="T11" s="7"/>
      <c r="U11" s="349"/>
      <c r="V11" s="349"/>
    </row>
    <row r="12" spans="1:22" s="534" customFormat="1" ht="12.75" customHeight="1" x14ac:dyDescent="0.25">
      <c r="A12" s="343"/>
      <c r="B12" s="15"/>
      <c r="C12" s="15"/>
      <c r="D12" s="15"/>
      <c r="E12" s="39" t="str">
        <f>Translations!$B$1325</f>
        <v>Rapporteringsår:</v>
      </c>
      <c r="F12" s="289"/>
      <c r="G12" s="289"/>
      <c r="H12" s="2782" t="str">
        <f>IF(CNTR_HasEntries_A_I,CNTR_ReportingYear,"")</f>
        <v/>
      </c>
      <c r="I12" s="2782"/>
      <c r="J12" s="289"/>
      <c r="K12" s="289"/>
      <c r="L12" s="289"/>
      <c r="M12" s="289"/>
      <c r="N12" s="15"/>
      <c r="O12" s="19"/>
      <c r="P12" s="343"/>
      <c r="Q12" s="343"/>
      <c r="R12" s="343"/>
      <c r="S12" s="343"/>
      <c r="T12" s="7"/>
      <c r="U12" s="349"/>
      <c r="V12" s="349"/>
    </row>
    <row r="13" spans="1:22" s="534" customFormat="1" ht="13" x14ac:dyDescent="0.25">
      <c r="A13" s="343"/>
      <c r="B13" s="15"/>
      <c r="C13" s="15"/>
      <c r="D13" s="15"/>
      <c r="E13" s="39" t="str">
        <f>Translations!$B$959</f>
        <v>Anläggningens identifieringsnummer:</v>
      </c>
      <c r="F13" s="289"/>
      <c r="G13" s="289"/>
      <c r="H13" s="2174" t="str">
        <f>CNTR_UniqueID</f>
        <v/>
      </c>
      <c r="I13" s="2174"/>
      <c r="J13" s="289"/>
      <c r="L13" s="422" t="str">
        <f>Translations!$B$960</f>
        <v>Medlemsstat:</v>
      </c>
      <c r="M13" s="2057" t="str">
        <f>A_InstallationData!J53</f>
        <v/>
      </c>
      <c r="N13" s="2175"/>
      <c r="O13" s="19"/>
      <c r="P13" s="343"/>
      <c r="Q13" s="343"/>
      <c r="R13" s="343"/>
      <c r="S13" s="343"/>
      <c r="T13" s="7"/>
      <c r="U13" s="349"/>
      <c r="V13" s="349"/>
    </row>
    <row r="14" spans="1:22" s="534" customFormat="1" ht="13" x14ac:dyDescent="0.25">
      <c r="A14" s="343"/>
      <c r="B14" s="15"/>
      <c r="C14" s="15"/>
      <c r="D14" s="15"/>
      <c r="E14" s="39" t="str">
        <f>Translations!$B$78</f>
        <v>Anläggningens namn:</v>
      </c>
      <c r="F14" s="289"/>
      <c r="G14" s="289"/>
      <c r="H14" s="2161" t="str">
        <f>A_InstallationData!J72</f>
        <v/>
      </c>
      <c r="I14" s="2162"/>
      <c r="J14" s="2162"/>
      <c r="K14" s="2162"/>
      <c r="L14" s="2162"/>
      <c r="M14" s="289"/>
      <c r="N14" s="15"/>
      <c r="O14" s="19"/>
      <c r="P14" s="343"/>
      <c r="Q14" s="343"/>
      <c r="R14" s="343"/>
      <c r="S14" s="343"/>
      <c r="T14" s="7"/>
      <c r="U14" s="349"/>
      <c r="V14" s="349"/>
    </row>
    <row r="15" spans="1:22" s="534" customFormat="1" ht="13" x14ac:dyDescent="0.25">
      <c r="A15" s="343"/>
      <c r="B15" s="15"/>
      <c r="C15" s="15"/>
      <c r="D15" s="15"/>
      <c r="E15" s="39" t="str">
        <f>Translations!$B$104</f>
        <v>Verksamhetsutövarens namn:</v>
      </c>
      <c r="F15" s="289"/>
      <c r="G15" s="289"/>
      <c r="H15" s="2161" t="str">
        <f>A_InstallationData!J120</f>
        <v/>
      </c>
      <c r="I15" s="2162"/>
      <c r="J15" s="2162"/>
      <c r="K15" s="2162"/>
      <c r="L15" s="2162"/>
      <c r="M15" s="289"/>
      <c r="N15" s="15"/>
      <c r="O15" s="19"/>
      <c r="P15" s="343"/>
      <c r="Q15" s="343"/>
      <c r="R15" s="343"/>
      <c r="S15" s="343"/>
      <c r="T15" s="7"/>
      <c r="U15" s="349"/>
      <c r="V15" s="349"/>
    </row>
    <row r="16" spans="1:22" s="534" customFormat="1" ht="13" x14ac:dyDescent="0.25">
      <c r="A16" s="343"/>
      <c r="B16" s="15"/>
      <c r="C16" s="15"/>
      <c r="D16" s="15"/>
      <c r="E16" s="39" t="str">
        <f>Translations!$B$961</f>
        <v>Kontrollör (företag):</v>
      </c>
      <c r="F16" s="289"/>
      <c r="G16" s="289"/>
      <c r="H16" s="2161" t="str">
        <f>IF(ISBLANK(A_InstallationData!J191),"",A_InstallationData!J191)</f>
        <v/>
      </c>
      <c r="I16" s="2162"/>
      <c r="J16" s="2162"/>
      <c r="K16" s="2162"/>
      <c r="L16" s="2162"/>
      <c r="M16" s="289"/>
      <c r="N16" s="15"/>
      <c r="O16" s="19"/>
      <c r="P16" s="343"/>
      <c r="Q16" s="343"/>
      <c r="R16" s="343"/>
      <c r="S16" s="343"/>
      <c r="T16" s="7"/>
      <c r="U16" s="349"/>
      <c r="V16" s="349"/>
    </row>
    <row r="17" spans="1:22" s="534" customFormat="1" ht="5.15" customHeight="1" x14ac:dyDescent="0.25">
      <c r="A17" s="343"/>
      <c r="B17" s="15"/>
      <c r="C17" s="15"/>
      <c r="D17" s="15"/>
      <c r="E17" s="39"/>
      <c r="F17" s="289"/>
      <c r="G17" s="289"/>
      <c r="H17" s="184"/>
      <c r="I17" s="289"/>
      <c r="J17" s="289"/>
      <c r="K17" s="289"/>
      <c r="L17" s="289"/>
      <c r="M17" s="289"/>
      <c r="N17" s="15"/>
      <c r="O17" s="19"/>
      <c r="P17" s="343"/>
      <c r="Q17" s="343"/>
      <c r="R17" s="343"/>
      <c r="S17" s="343"/>
      <c r="T17" s="7"/>
      <c r="U17" s="349"/>
      <c r="V17" s="349"/>
    </row>
    <row r="18" spans="1:22" s="534" customFormat="1" ht="13" x14ac:dyDescent="0.25">
      <c r="A18" s="343"/>
      <c r="B18" s="15"/>
      <c r="C18" s="15"/>
      <c r="D18" s="15"/>
      <c r="E18" s="39" t="str">
        <f>Translations!$B$964</f>
        <v>Befintlig anläggning:</v>
      </c>
      <c r="F18" s="289"/>
      <c r="G18" s="289"/>
      <c r="H18" s="1789" t="str">
        <f>IF(A_InstallationData!J14="","",CNTR_Incumbent)</f>
        <v/>
      </c>
      <c r="I18" s="289"/>
      <c r="K18" s="289"/>
      <c r="L18" s="422" t="str">
        <f>Translations!$B$969</f>
        <v>Nace-kod för 2010 (Nace Rev. 2):</v>
      </c>
      <c r="M18" s="1784" t="str">
        <f>CNTR_NACEInstallation</f>
        <v/>
      </c>
      <c r="N18" s="15"/>
      <c r="O18" s="19"/>
      <c r="P18" s="343"/>
      <c r="Q18" s="343"/>
      <c r="R18" s="343"/>
      <c r="S18" s="343"/>
      <c r="T18" s="7"/>
      <c r="U18" s="349"/>
      <c r="V18" s="349"/>
    </row>
    <row r="19" spans="1:22" s="534" customFormat="1" ht="13" x14ac:dyDescent="0.25">
      <c r="A19" s="343"/>
      <c r="B19" s="15"/>
      <c r="C19" s="15"/>
      <c r="D19" s="15"/>
      <c r="E19" s="39" t="str">
        <f>Translations!$B$966</f>
        <v>Startdatum:</v>
      </c>
      <c r="F19" s="289"/>
      <c r="G19" s="289"/>
      <c r="H19" s="1045" t="str">
        <f>A_InstallationData!J77</f>
        <v/>
      </c>
      <c r="I19" s="289"/>
      <c r="J19" s="289"/>
      <c r="L19" s="422" t="str">
        <f>Translations!$B$970</f>
        <v>EPRTR-ID:</v>
      </c>
      <c r="M19" s="605" t="str">
        <f>IF(ISBLANK(A_InstallationData!L246),"",A_InstallationData!L246)</f>
        <v/>
      </c>
      <c r="N19" s="15"/>
      <c r="O19" s="19"/>
      <c r="P19" s="343"/>
      <c r="Q19" s="343"/>
      <c r="R19" s="343"/>
      <c r="S19" s="343"/>
      <c r="T19" s="7"/>
      <c r="U19" s="349"/>
      <c r="V19" s="349"/>
    </row>
    <row r="20" spans="1:22" s="534" customFormat="1" ht="5.15" customHeight="1" x14ac:dyDescent="0.25">
      <c r="A20" s="343"/>
      <c r="B20" s="15"/>
      <c r="C20" s="15"/>
      <c r="D20" s="15"/>
      <c r="I20" s="289"/>
      <c r="J20" s="289"/>
      <c r="K20" s="289"/>
      <c r="L20" s="289"/>
      <c r="M20" s="289"/>
      <c r="N20" s="15"/>
      <c r="O20" s="19"/>
      <c r="P20" s="343"/>
      <c r="Q20" s="343"/>
      <c r="R20" s="343"/>
      <c r="S20" s="343"/>
      <c r="T20" s="7"/>
      <c r="U20" s="349"/>
      <c r="V20" s="349"/>
    </row>
    <row r="21" spans="1:22" s="534" customFormat="1" ht="13.5" thickBot="1" x14ac:dyDescent="0.3">
      <c r="A21" s="343"/>
      <c r="B21" s="15"/>
      <c r="C21" s="15"/>
      <c r="D21" s="13"/>
      <c r="E21" s="39" t="str">
        <f>Translations!$B$130</f>
        <v>Verksamhet enligt bilaga I till ETS-direktivet:</v>
      </c>
      <c r="F21" s="15"/>
      <c r="G21" s="15"/>
      <c r="H21" s="178"/>
      <c r="I21" s="178"/>
      <c r="J21" s="178"/>
      <c r="K21" s="178"/>
      <c r="L21" s="15"/>
      <c r="M21" s="604"/>
      <c r="N21" s="604"/>
      <c r="O21" s="19"/>
      <c r="P21" s="343"/>
      <c r="Q21" s="343"/>
      <c r="R21" s="1537" t="s">
        <v>2278</v>
      </c>
      <c r="S21" s="343"/>
      <c r="T21" s="343"/>
      <c r="U21" s="349"/>
      <c r="V21" s="349"/>
    </row>
    <row r="22" spans="1:22" s="534" customFormat="1" ht="12.75" customHeight="1" x14ac:dyDescent="0.25">
      <c r="A22" s="343"/>
      <c r="B22" s="15"/>
      <c r="C22" s="15"/>
      <c r="D22" s="39"/>
      <c r="E22" s="291" t="s">
        <v>1514</v>
      </c>
      <c r="F22" s="2155" t="str">
        <f>A_InstallationData!F227</f>
        <v/>
      </c>
      <c r="G22" s="2617"/>
      <c r="H22" s="2617"/>
      <c r="I22" s="2617"/>
      <c r="J22" s="2617"/>
      <c r="K22" s="2617"/>
      <c r="L22" s="2617"/>
      <c r="M22" s="2617"/>
      <c r="N22" s="2805"/>
      <c r="O22" s="19"/>
      <c r="P22" s="343"/>
      <c r="Q22" s="343"/>
      <c r="R22" s="503" t="str">
        <f>IF(A_InstallationData!Q227="","",A_InstallationData!Q227+1429)</f>
        <v/>
      </c>
      <c r="S22" s="343"/>
      <c r="T22" s="343"/>
      <c r="U22" s="349"/>
      <c r="V22" s="349"/>
    </row>
    <row r="23" spans="1:22" s="534" customFormat="1" ht="12.75" customHeight="1" x14ac:dyDescent="0.25">
      <c r="A23" s="343"/>
      <c r="B23" s="15"/>
      <c r="C23" s="15"/>
      <c r="D23" s="13"/>
      <c r="E23" s="291" t="s">
        <v>1515</v>
      </c>
      <c r="F23" s="2155" t="str">
        <f>A_InstallationData!F228</f>
        <v/>
      </c>
      <c r="G23" s="2617"/>
      <c r="H23" s="2617"/>
      <c r="I23" s="2617"/>
      <c r="J23" s="2617"/>
      <c r="K23" s="2617"/>
      <c r="L23" s="2617"/>
      <c r="M23" s="2617"/>
      <c r="N23" s="2805"/>
      <c r="O23" s="19"/>
      <c r="P23" s="343"/>
      <c r="Q23" s="343"/>
      <c r="R23" s="585" t="str">
        <f>IF(A_InstallationData!Q228="","",A_InstallationData!Q228+1429)</f>
        <v/>
      </c>
      <c r="S23" s="343"/>
      <c r="T23" s="343"/>
      <c r="U23" s="349"/>
      <c r="V23" s="349"/>
    </row>
    <row r="24" spans="1:22" s="534" customFormat="1" x14ac:dyDescent="0.25">
      <c r="A24" s="343"/>
      <c r="B24" s="15"/>
      <c r="C24" s="15"/>
      <c r="D24" s="185"/>
      <c r="E24" s="291" t="s">
        <v>1516</v>
      </c>
      <c r="F24" s="2155" t="str">
        <f>A_InstallationData!F229</f>
        <v/>
      </c>
      <c r="G24" s="2617"/>
      <c r="H24" s="2617"/>
      <c r="I24" s="2617"/>
      <c r="J24" s="2617"/>
      <c r="K24" s="2617"/>
      <c r="L24" s="2617"/>
      <c r="M24" s="2617"/>
      <c r="N24" s="2805"/>
      <c r="O24" s="19"/>
      <c r="P24" s="343"/>
      <c r="Q24" s="343"/>
      <c r="R24" s="585" t="str">
        <f>IF(A_InstallationData!Q229="","",A_InstallationData!Q229+1429)</f>
        <v/>
      </c>
      <c r="S24" s="343"/>
      <c r="T24" s="343"/>
      <c r="U24" s="349"/>
      <c r="V24" s="349"/>
    </row>
    <row r="25" spans="1:22" s="534" customFormat="1" x14ac:dyDescent="0.25">
      <c r="A25" s="343"/>
      <c r="B25" s="15"/>
      <c r="C25" s="15"/>
      <c r="D25" s="185"/>
      <c r="E25" s="291" t="s">
        <v>1517</v>
      </c>
      <c r="F25" s="2155" t="str">
        <f>A_InstallationData!F230</f>
        <v/>
      </c>
      <c r="G25" s="2617"/>
      <c r="H25" s="2617"/>
      <c r="I25" s="2617"/>
      <c r="J25" s="2617"/>
      <c r="K25" s="2617"/>
      <c r="L25" s="2617"/>
      <c r="M25" s="2617"/>
      <c r="N25" s="2805"/>
      <c r="O25" s="19"/>
      <c r="P25" s="343"/>
      <c r="Q25" s="343"/>
      <c r="R25" s="585" t="str">
        <f>IF(A_InstallationData!Q230="","",A_InstallationData!Q230+1429)</f>
        <v/>
      </c>
      <c r="S25" s="343"/>
      <c r="T25" s="343"/>
      <c r="U25" s="349"/>
      <c r="V25" s="349"/>
    </row>
    <row r="26" spans="1:22" s="534" customFormat="1" x14ac:dyDescent="0.25">
      <c r="A26" s="343"/>
      <c r="B26" s="15"/>
      <c r="C26" s="15"/>
      <c r="D26" s="185"/>
      <c r="E26" s="291" t="s">
        <v>1518</v>
      </c>
      <c r="F26" s="2155" t="str">
        <f>A_InstallationData!F231</f>
        <v/>
      </c>
      <c r="G26" s="2617"/>
      <c r="H26" s="2617"/>
      <c r="I26" s="2617"/>
      <c r="J26" s="2617"/>
      <c r="K26" s="2617"/>
      <c r="L26" s="2617"/>
      <c r="M26" s="2617"/>
      <c r="N26" s="2805"/>
      <c r="O26" s="19"/>
      <c r="P26" s="343"/>
      <c r="Q26" s="343"/>
      <c r="R26" s="585" t="str">
        <f>IF(A_InstallationData!Q231="","",A_InstallationData!Q231+1429)</f>
        <v/>
      </c>
      <c r="S26" s="343"/>
      <c r="T26" s="343"/>
      <c r="U26" s="349"/>
      <c r="V26" s="349"/>
    </row>
    <row r="27" spans="1:22" s="534" customFormat="1" ht="13" thickBot="1" x14ac:dyDescent="0.3">
      <c r="A27" s="343"/>
      <c r="B27" s="15"/>
      <c r="C27" s="15"/>
      <c r="D27" s="15"/>
      <c r="E27" s="291" t="s">
        <v>1519</v>
      </c>
      <c r="F27" s="2155" t="str">
        <f>A_InstallationData!F232</f>
        <v/>
      </c>
      <c r="G27" s="2617"/>
      <c r="H27" s="2617"/>
      <c r="I27" s="2617"/>
      <c r="J27" s="2617"/>
      <c r="K27" s="2617"/>
      <c r="L27" s="2617"/>
      <c r="M27" s="2617"/>
      <c r="N27" s="2805"/>
      <c r="O27" s="19"/>
      <c r="P27" s="343"/>
      <c r="Q27" s="343"/>
      <c r="R27" s="548" t="str">
        <f>IF(A_InstallationData!Q232="","",A_InstallationData!Q232+1429)</f>
        <v/>
      </c>
      <c r="S27" s="343"/>
      <c r="T27" s="7"/>
      <c r="U27" s="349"/>
      <c r="V27" s="349"/>
    </row>
    <row r="28" spans="1:22" s="534" customFormat="1" ht="5.15" customHeight="1" x14ac:dyDescent="0.25">
      <c r="A28" s="343"/>
      <c r="B28" s="15"/>
      <c r="C28" s="15"/>
      <c r="D28" s="15"/>
      <c r="E28" s="289"/>
      <c r="F28" s="289"/>
      <c r="G28" s="289"/>
      <c r="H28" s="289"/>
      <c r="I28" s="289"/>
      <c r="J28" s="289"/>
      <c r="K28" s="289"/>
      <c r="L28" s="289"/>
      <c r="M28" s="289"/>
      <c r="N28" s="15"/>
      <c r="O28" s="19"/>
      <c r="P28" s="343"/>
      <c r="Q28" s="343"/>
      <c r="R28" s="343"/>
      <c r="S28" s="343"/>
      <c r="T28" s="7"/>
      <c r="U28" s="349"/>
      <c r="V28" s="349"/>
    </row>
    <row r="29" spans="1:22" s="534" customFormat="1" ht="12.75" customHeight="1" x14ac:dyDescent="0.25">
      <c r="A29" s="343"/>
      <c r="B29" s="15"/>
      <c r="C29" s="15"/>
      <c r="D29" s="39"/>
      <c r="E29" s="14" t="str">
        <f>Translations!$B$1534</f>
        <v>Innehåller kolumn P kommentarer i något blad?</v>
      </c>
      <c r="I29" s="289" t="str">
        <f>Translations!$B$1535</f>
        <v>Blad A:</v>
      </c>
      <c r="J29" s="1789" t="b">
        <f>COUNTA(A_InstallationData!P5:P298)&gt;0</f>
        <v>0</v>
      </c>
      <c r="L29" s="289" t="str">
        <f>Translations!$B$1536</f>
        <v>Blad F:</v>
      </c>
      <c r="M29" s="1789" t="b">
        <f>COUNTA(F_ProductBM!P6:P3035)&gt;0</f>
        <v>0</v>
      </c>
      <c r="O29" s="19"/>
      <c r="P29" s="343"/>
      <c r="Q29" s="343"/>
      <c r="R29" s="343"/>
      <c r="S29" s="343"/>
      <c r="T29" s="7"/>
      <c r="U29" s="349"/>
      <c r="V29" s="349"/>
    </row>
    <row r="30" spans="1:22" s="534" customFormat="1" ht="12.75" customHeight="1" x14ac:dyDescent="0.25">
      <c r="A30" s="343"/>
      <c r="B30" s="15"/>
      <c r="C30" s="15"/>
      <c r="D30" s="15"/>
      <c r="E30" s="289"/>
      <c r="I30" s="289" t="str">
        <f>Translations!$B$1537</f>
        <v>Blad B+C:</v>
      </c>
      <c r="J30" s="1789" t="b">
        <f>COUNTA('B+C_SubInstallations'!P5:P150)&gt;0</f>
        <v>0</v>
      </c>
      <c r="L30" s="289" t="str">
        <f>Translations!$B$1538</f>
        <v>Blad G:</v>
      </c>
      <c r="M30" s="1789" t="b">
        <f>COUNTA('G_Fall-back'!P5:P943)&gt;0</f>
        <v>0</v>
      </c>
      <c r="O30" s="19"/>
      <c r="P30" s="343"/>
      <c r="Q30" s="343"/>
      <c r="R30" s="343"/>
      <c r="S30" s="343"/>
      <c r="T30" s="7"/>
      <c r="U30" s="349"/>
      <c r="V30" s="349"/>
    </row>
    <row r="31" spans="1:22" s="534" customFormat="1" ht="12.75" customHeight="1" x14ac:dyDescent="0.25">
      <c r="A31" s="343"/>
      <c r="B31" s="15"/>
      <c r="C31" s="15"/>
      <c r="D31" s="15"/>
      <c r="E31" s="289"/>
      <c r="I31" s="289" t="str">
        <f>Translations!$B$1539</f>
        <v>Blad D:</v>
      </c>
      <c r="J31" s="1789" t="b">
        <f>COUNTA(D_Emissions!P5:P270)&gt;0</f>
        <v>0</v>
      </c>
      <c r="L31" s="289" t="str">
        <f>Translations!$B$1540</f>
        <v>Blad H:</v>
      </c>
      <c r="M31" s="1789" t="b">
        <f>COUNTA(H_SpecialBM!P6:P413)&gt;0</f>
        <v>0</v>
      </c>
      <c r="N31" s="15"/>
      <c r="O31" s="19"/>
      <c r="P31" s="343"/>
      <c r="Q31" s="343"/>
      <c r="R31" s="343"/>
      <c r="S31" s="343"/>
      <c r="T31" s="7"/>
      <c r="U31" s="349"/>
      <c r="V31" s="349"/>
    </row>
    <row r="32" spans="1:22" s="534" customFormat="1" ht="12.75" customHeight="1" x14ac:dyDescent="0.25">
      <c r="A32" s="343"/>
      <c r="B32" s="15"/>
      <c r="C32" s="15"/>
      <c r="D32" s="15"/>
      <c r="E32" s="289"/>
      <c r="F32" s="289"/>
      <c r="I32" s="289" t="str">
        <f>Translations!$B$1541</f>
        <v>Blad E:</v>
      </c>
      <c r="J32" s="1789" t="b">
        <f>COUNTA(E_EnergyFlows!P5:P385)&gt;0</f>
        <v>0</v>
      </c>
      <c r="M32" s="289"/>
      <c r="N32" s="15"/>
      <c r="O32" s="19"/>
      <c r="P32" s="343"/>
      <c r="Q32" s="343"/>
      <c r="R32" s="343"/>
      <c r="S32" s="343"/>
      <c r="T32" s="7"/>
      <c r="U32" s="349"/>
      <c r="V32" s="349"/>
    </row>
    <row r="33" spans="1:22" s="534" customFormat="1" ht="5.15" customHeight="1" x14ac:dyDescent="0.25">
      <c r="A33" s="343"/>
      <c r="B33" s="15"/>
      <c r="C33" s="15"/>
      <c r="D33" s="15"/>
      <c r="E33" s="289"/>
      <c r="F33" s="289"/>
      <c r="G33" s="289"/>
      <c r="H33" s="289"/>
      <c r="I33" s="289"/>
      <c r="J33" s="289"/>
      <c r="K33" s="289"/>
      <c r="L33" s="289"/>
      <c r="M33" s="289"/>
      <c r="N33" s="15"/>
      <c r="O33" s="19"/>
      <c r="P33" s="343"/>
      <c r="Q33" s="343"/>
      <c r="R33" s="343"/>
      <c r="S33" s="343"/>
      <c r="T33" s="7"/>
      <c r="U33" s="349"/>
      <c r="V33" s="349"/>
    </row>
    <row r="34" spans="1:22" s="534" customFormat="1" ht="14" x14ac:dyDescent="0.3">
      <c r="A34" s="343"/>
      <c r="B34" s="15"/>
      <c r="C34" s="17">
        <v>2</v>
      </c>
      <c r="D34" s="2053" t="str">
        <f>Translations!$B$1542</f>
        <v>Tekniska anslutningar:</v>
      </c>
      <c r="E34" s="1963"/>
      <c r="F34" s="1963"/>
      <c r="G34" s="1963"/>
      <c r="H34" s="1963"/>
      <c r="I34" s="1963"/>
      <c r="J34" s="1963"/>
      <c r="K34" s="1963"/>
      <c r="L34" s="1963"/>
      <c r="M34" s="1963"/>
      <c r="N34" s="1963"/>
      <c r="O34" s="19"/>
      <c r="P34" s="343"/>
      <c r="Q34" s="343"/>
      <c r="R34" s="343"/>
      <c r="S34" s="343"/>
      <c r="T34" s="7"/>
      <c r="U34" s="349"/>
      <c r="V34" s="349"/>
    </row>
    <row r="35" spans="1:22" s="534" customFormat="1" ht="13" thickBot="1" x14ac:dyDescent="0.3">
      <c r="A35" s="343"/>
      <c r="B35" s="15"/>
      <c r="C35" s="15"/>
      <c r="D35" s="15"/>
      <c r="E35" s="2163" t="str">
        <f>Translations!$B$972</f>
        <v>Anslutningsnamn</v>
      </c>
      <c r="F35" s="2145"/>
      <c r="G35" s="2145"/>
      <c r="H35" s="2164"/>
      <c r="I35" s="2163" t="str">
        <f>Translations!$B$973</f>
        <v>EUTL-ID, om tillämpligt</v>
      </c>
      <c r="J35" s="2145"/>
      <c r="K35" s="2164"/>
      <c r="L35" s="2163" t="str">
        <f>Translations!$B$974</f>
        <v>Enhetstyp</v>
      </c>
      <c r="M35" s="2145"/>
      <c r="N35" s="2145"/>
      <c r="O35" s="19"/>
      <c r="P35" s="343"/>
      <c r="Q35" s="343"/>
      <c r="R35" s="1537" t="s">
        <v>2279</v>
      </c>
      <c r="S35" s="1537" t="s">
        <v>2280</v>
      </c>
      <c r="T35" s="1537" t="s">
        <v>2281</v>
      </c>
      <c r="U35" s="349"/>
      <c r="V35" s="349"/>
    </row>
    <row r="36" spans="1:22" s="534" customFormat="1" x14ac:dyDescent="0.25">
      <c r="A36" s="343"/>
      <c r="B36" s="15"/>
      <c r="C36" s="15"/>
      <c r="D36" s="15">
        <v>1</v>
      </c>
      <c r="E36" s="2153" t="str">
        <f t="shared" ref="E36:E45" si="0">IF(INDEX(CNTR_ConnectionEntityList,$D36)=EUconst_NA,"",INDEX(CNTR_ConnectionEntityList,$D36))</f>
        <v/>
      </c>
      <c r="F36" s="2120"/>
      <c r="G36" s="2120"/>
      <c r="H36" s="2154"/>
      <c r="I36" s="2155" t="str">
        <f t="shared" ref="I36:I45" si="1">INDEX(CNTR_ConnectionEntityListCITL_IDs,$D36)</f>
        <v/>
      </c>
      <c r="J36" s="2617"/>
      <c r="K36" s="2805"/>
      <c r="L36" s="2153" t="str">
        <f t="shared" ref="L36:L45" si="2">INDEX(CNTR_ConnectionEntityListTypes,$D36)</f>
        <v/>
      </c>
      <c r="M36" s="2089"/>
      <c r="N36" s="2157"/>
      <c r="O36" s="19"/>
      <c r="P36" s="343"/>
      <c r="Q36" s="343"/>
      <c r="R36" s="503" t="str">
        <f>IF(A_InstallationData!I383="","",MATCH(A_InstallationData!I383,EUconst_ConnectedEntityTypes,0)+238)</f>
        <v/>
      </c>
      <c r="S36" s="503" t="str">
        <f>IF(A_InstallationData!K383="","",MATCH(A_InstallationData!K383,EUconst_ConnectionTypes,0)+247)</f>
        <v/>
      </c>
      <c r="T36" s="503" t="str">
        <f>IF(A_InstallationData!M383="","",MATCH(A_InstallationData!M383,EUconst_ConnectionTransferTypes,0)+1302)</f>
        <v/>
      </c>
      <c r="U36" s="349"/>
      <c r="V36" s="349"/>
    </row>
    <row r="37" spans="1:22" s="534" customFormat="1" x14ac:dyDescent="0.25">
      <c r="A37" s="343"/>
      <c r="B37" s="15"/>
      <c r="C37" s="15"/>
      <c r="D37" s="15">
        <v>2</v>
      </c>
      <c r="E37" s="2153" t="str">
        <f t="shared" si="0"/>
        <v/>
      </c>
      <c r="F37" s="2120"/>
      <c r="G37" s="2120"/>
      <c r="H37" s="2154"/>
      <c r="I37" s="2155" t="str">
        <f t="shared" si="1"/>
        <v/>
      </c>
      <c r="J37" s="2617"/>
      <c r="K37" s="2805"/>
      <c r="L37" s="2153" t="str">
        <f t="shared" si="2"/>
        <v/>
      </c>
      <c r="M37" s="2089"/>
      <c r="N37" s="2157"/>
      <c r="O37" s="19"/>
      <c r="P37" s="343"/>
      <c r="Q37" s="343"/>
      <c r="R37" s="585" t="str">
        <f>IF(A_InstallationData!I384="","",MATCH(A_InstallationData!I384,EUconst_ConnectedEntityTypes,0)+238)</f>
        <v/>
      </c>
      <c r="S37" s="585" t="str">
        <f>IF(A_InstallationData!K384="","",MATCH(A_InstallationData!K384,EUconst_ConnectionTypes,0)+247)</f>
        <v/>
      </c>
      <c r="T37" s="585" t="str">
        <f>IF(A_InstallationData!M384="","",MATCH(A_InstallationData!M384,EUconst_ConnectionTransferTypes,0)+1302)</f>
        <v/>
      </c>
      <c r="U37" s="349"/>
      <c r="V37" s="349"/>
    </row>
    <row r="38" spans="1:22" s="534" customFormat="1" x14ac:dyDescent="0.25">
      <c r="A38" s="343"/>
      <c r="B38" s="15"/>
      <c r="C38" s="15"/>
      <c r="D38" s="15">
        <v>3</v>
      </c>
      <c r="E38" s="2153" t="str">
        <f t="shared" si="0"/>
        <v/>
      </c>
      <c r="F38" s="2120"/>
      <c r="G38" s="2120"/>
      <c r="H38" s="2154"/>
      <c r="I38" s="2155" t="str">
        <f t="shared" si="1"/>
        <v/>
      </c>
      <c r="J38" s="2617"/>
      <c r="K38" s="2805"/>
      <c r="L38" s="2153" t="str">
        <f t="shared" si="2"/>
        <v/>
      </c>
      <c r="M38" s="2089"/>
      <c r="N38" s="2157"/>
      <c r="O38" s="19"/>
      <c r="P38" s="343"/>
      <c r="Q38" s="343"/>
      <c r="R38" s="585" t="str">
        <f>IF(A_InstallationData!I385="","",MATCH(A_InstallationData!I385,EUconst_ConnectedEntityTypes,0)+238)</f>
        <v/>
      </c>
      <c r="S38" s="585" t="str">
        <f>IF(A_InstallationData!K385="","",MATCH(A_InstallationData!K385,EUconst_ConnectionTypes,0)+247)</f>
        <v/>
      </c>
      <c r="T38" s="585" t="str">
        <f>IF(A_InstallationData!M385="","",MATCH(A_InstallationData!M385,EUconst_ConnectionTransferTypes,0)+1302)</f>
        <v/>
      </c>
      <c r="U38" s="349"/>
      <c r="V38" s="349"/>
    </row>
    <row r="39" spans="1:22" s="534" customFormat="1" x14ac:dyDescent="0.25">
      <c r="A39" s="343"/>
      <c r="B39" s="15"/>
      <c r="C39" s="15"/>
      <c r="D39" s="15">
        <v>4</v>
      </c>
      <c r="E39" s="2153" t="str">
        <f t="shared" si="0"/>
        <v/>
      </c>
      <c r="F39" s="2120"/>
      <c r="G39" s="2120"/>
      <c r="H39" s="2154"/>
      <c r="I39" s="2155" t="str">
        <f t="shared" si="1"/>
        <v/>
      </c>
      <c r="J39" s="2617"/>
      <c r="K39" s="2805"/>
      <c r="L39" s="2153" t="str">
        <f t="shared" si="2"/>
        <v/>
      </c>
      <c r="M39" s="2089"/>
      <c r="N39" s="2157"/>
      <c r="O39" s="19"/>
      <c r="P39" s="343"/>
      <c r="Q39" s="343"/>
      <c r="R39" s="585" t="str">
        <f>IF(A_InstallationData!I386="","",MATCH(A_InstallationData!I386,EUconst_ConnectedEntityTypes,0)+238)</f>
        <v/>
      </c>
      <c r="S39" s="585" t="str">
        <f>IF(A_InstallationData!K386="","",MATCH(A_InstallationData!K386,EUconst_ConnectionTypes,0)+247)</f>
        <v/>
      </c>
      <c r="T39" s="585" t="str">
        <f>IF(A_InstallationData!M386="","",MATCH(A_InstallationData!M386,EUconst_ConnectionTransferTypes,0)+1302)</f>
        <v/>
      </c>
      <c r="U39" s="349"/>
      <c r="V39" s="349"/>
    </row>
    <row r="40" spans="1:22" s="534" customFormat="1" x14ac:dyDescent="0.25">
      <c r="A40" s="343"/>
      <c r="B40" s="15"/>
      <c r="C40" s="15"/>
      <c r="D40" s="15">
        <v>5</v>
      </c>
      <c r="E40" s="2153" t="str">
        <f t="shared" si="0"/>
        <v/>
      </c>
      <c r="F40" s="2120"/>
      <c r="G40" s="2120"/>
      <c r="H40" s="2154"/>
      <c r="I40" s="2155" t="str">
        <f t="shared" si="1"/>
        <v/>
      </c>
      <c r="J40" s="2617"/>
      <c r="K40" s="2805"/>
      <c r="L40" s="2153" t="str">
        <f t="shared" si="2"/>
        <v/>
      </c>
      <c r="M40" s="2089"/>
      <c r="N40" s="2157"/>
      <c r="O40" s="19"/>
      <c r="P40" s="343"/>
      <c r="Q40" s="343"/>
      <c r="R40" s="585" t="str">
        <f>IF(A_InstallationData!I387="","",MATCH(A_InstallationData!I387,EUconst_ConnectedEntityTypes,0)+238)</f>
        <v/>
      </c>
      <c r="S40" s="585" t="str">
        <f>IF(A_InstallationData!K387="","",MATCH(A_InstallationData!K387,EUconst_ConnectionTypes,0)+247)</f>
        <v/>
      </c>
      <c r="T40" s="585" t="str">
        <f>IF(A_InstallationData!M387="","",MATCH(A_InstallationData!M387,EUconst_ConnectionTransferTypes,0)+1302)</f>
        <v/>
      </c>
      <c r="U40" s="349"/>
      <c r="V40" s="349"/>
    </row>
    <row r="41" spans="1:22" s="534" customFormat="1" x14ac:dyDescent="0.25">
      <c r="A41" s="343"/>
      <c r="B41" s="15"/>
      <c r="C41" s="15"/>
      <c r="D41" s="15">
        <v>6</v>
      </c>
      <c r="E41" s="2153" t="str">
        <f t="shared" si="0"/>
        <v/>
      </c>
      <c r="F41" s="2120"/>
      <c r="G41" s="2120"/>
      <c r="H41" s="2154"/>
      <c r="I41" s="2155" t="str">
        <f t="shared" si="1"/>
        <v/>
      </c>
      <c r="J41" s="2617"/>
      <c r="K41" s="2805"/>
      <c r="L41" s="2153" t="str">
        <f t="shared" si="2"/>
        <v/>
      </c>
      <c r="M41" s="2089"/>
      <c r="N41" s="2157"/>
      <c r="O41" s="19"/>
      <c r="P41" s="343"/>
      <c r="Q41" s="343"/>
      <c r="R41" s="585" t="str">
        <f>IF(A_InstallationData!I388="","",MATCH(A_InstallationData!I388,EUconst_ConnectedEntityTypes,0)+238)</f>
        <v/>
      </c>
      <c r="S41" s="585" t="str">
        <f>IF(A_InstallationData!K388="","",MATCH(A_InstallationData!K388,EUconst_ConnectionTypes,0)+247)</f>
        <v/>
      </c>
      <c r="T41" s="585" t="str">
        <f>IF(A_InstallationData!M388="","",MATCH(A_InstallationData!M388,EUconst_ConnectionTransferTypes,0)+1302)</f>
        <v/>
      </c>
      <c r="U41" s="349"/>
      <c r="V41" s="349"/>
    </row>
    <row r="42" spans="1:22" s="534" customFormat="1" x14ac:dyDescent="0.25">
      <c r="A42" s="343"/>
      <c r="B42" s="15"/>
      <c r="C42" s="15"/>
      <c r="D42" s="15">
        <v>7</v>
      </c>
      <c r="E42" s="2153" t="str">
        <f t="shared" si="0"/>
        <v/>
      </c>
      <c r="F42" s="2120"/>
      <c r="G42" s="2120"/>
      <c r="H42" s="2154"/>
      <c r="I42" s="2155" t="str">
        <f t="shared" si="1"/>
        <v/>
      </c>
      <c r="J42" s="2617"/>
      <c r="K42" s="2805"/>
      <c r="L42" s="2153" t="str">
        <f t="shared" si="2"/>
        <v/>
      </c>
      <c r="M42" s="2089"/>
      <c r="N42" s="2157"/>
      <c r="O42" s="19"/>
      <c r="P42" s="343"/>
      <c r="Q42" s="343"/>
      <c r="R42" s="585" t="str">
        <f>IF(A_InstallationData!I389="","",MATCH(A_InstallationData!I389,EUconst_ConnectedEntityTypes,0)+238)</f>
        <v/>
      </c>
      <c r="S42" s="585" t="str">
        <f>IF(A_InstallationData!K389="","",MATCH(A_InstallationData!K389,EUconst_ConnectionTypes,0)+247)</f>
        <v/>
      </c>
      <c r="T42" s="585" t="str">
        <f>IF(A_InstallationData!M389="","",MATCH(A_InstallationData!M389,EUconst_ConnectionTransferTypes,0)+1302)</f>
        <v/>
      </c>
      <c r="U42" s="349"/>
      <c r="V42" s="349"/>
    </row>
    <row r="43" spans="1:22" s="534" customFormat="1" x14ac:dyDescent="0.25">
      <c r="A43" s="343"/>
      <c r="B43" s="15"/>
      <c r="C43" s="15"/>
      <c r="D43" s="15">
        <v>8</v>
      </c>
      <c r="E43" s="2153" t="str">
        <f t="shared" si="0"/>
        <v/>
      </c>
      <c r="F43" s="2120"/>
      <c r="G43" s="2120"/>
      <c r="H43" s="2154"/>
      <c r="I43" s="2155" t="str">
        <f t="shared" si="1"/>
        <v/>
      </c>
      <c r="J43" s="2617"/>
      <c r="K43" s="2805"/>
      <c r="L43" s="2153" t="str">
        <f t="shared" si="2"/>
        <v/>
      </c>
      <c r="M43" s="2089"/>
      <c r="N43" s="2157"/>
      <c r="O43" s="19"/>
      <c r="P43" s="343"/>
      <c r="Q43" s="343"/>
      <c r="R43" s="585" t="str">
        <f>IF(A_InstallationData!I390="","",MATCH(A_InstallationData!I390,EUconst_ConnectedEntityTypes,0)+238)</f>
        <v/>
      </c>
      <c r="S43" s="585" t="str">
        <f>IF(A_InstallationData!K390="","",MATCH(A_InstallationData!K390,EUconst_ConnectionTypes,0)+247)</f>
        <v/>
      </c>
      <c r="T43" s="585" t="str">
        <f>IF(A_InstallationData!M390="","",MATCH(A_InstallationData!M390,EUconst_ConnectionTransferTypes,0)+1302)</f>
        <v/>
      </c>
      <c r="U43" s="349"/>
      <c r="V43" s="349"/>
    </row>
    <row r="44" spans="1:22" s="534" customFormat="1" x14ac:dyDescent="0.25">
      <c r="A44" s="343"/>
      <c r="B44" s="15"/>
      <c r="C44" s="15"/>
      <c r="D44" s="15">
        <v>9</v>
      </c>
      <c r="E44" s="2153" t="str">
        <f t="shared" si="0"/>
        <v/>
      </c>
      <c r="F44" s="2120"/>
      <c r="G44" s="2120"/>
      <c r="H44" s="2154"/>
      <c r="I44" s="2155" t="str">
        <f t="shared" si="1"/>
        <v/>
      </c>
      <c r="J44" s="2617"/>
      <c r="K44" s="2805"/>
      <c r="L44" s="2153" t="str">
        <f t="shared" si="2"/>
        <v/>
      </c>
      <c r="M44" s="2089"/>
      <c r="N44" s="2157"/>
      <c r="O44" s="19"/>
      <c r="P44" s="343"/>
      <c r="Q44" s="343"/>
      <c r="R44" s="585" t="str">
        <f>IF(A_InstallationData!I391="","",MATCH(A_InstallationData!I391,EUconst_ConnectedEntityTypes,0)+238)</f>
        <v/>
      </c>
      <c r="S44" s="585" t="str">
        <f>IF(A_InstallationData!K391="","",MATCH(A_InstallationData!K391,EUconst_ConnectionTypes,0)+247)</f>
        <v/>
      </c>
      <c r="T44" s="585" t="str">
        <f>IF(A_InstallationData!M391="","",MATCH(A_InstallationData!M391,EUconst_ConnectionTransferTypes,0)+1302)</f>
        <v/>
      </c>
      <c r="U44" s="349"/>
      <c r="V44" s="349"/>
    </row>
    <row r="45" spans="1:22" s="534" customFormat="1" ht="13" thickBot="1" x14ac:dyDescent="0.3">
      <c r="A45" s="343"/>
      <c r="B45" s="15"/>
      <c r="C45" s="15"/>
      <c r="D45" s="15">
        <v>10</v>
      </c>
      <c r="E45" s="2153" t="str">
        <f t="shared" si="0"/>
        <v/>
      </c>
      <c r="F45" s="2120"/>
      <c r="G45" s="2120"/>
      <c r="H45" s="2154"/>
      <c r="I45" s="2155" t="str">
        <f t="shared" si="1"/>
        <v/>
      </c>
      <c r="J45" s="2617"/>
      <c r="K45" s="2805"/>
      <c r="L45" s="2153" t="str">
        <f t="shared" si="2"/>
        <v/>
      </c>
      <c r="M45" s="2089"/>
      <c r="N45" s="2157"/>
      <c r="O45" s="19"/>
      <c r="P45" s="343"/>
      <c r="Q45" s="343"/>
      <c r="R45" s="548" t="str">
        <f>IF(A_InstallationData!I392="","",MATCH(A_InstallationData!I392,EUconst_ConnectedEntityTypes,0)+238)</f>
        <v/>
      </c>
      <c r="S45" s="548" t="str">
        <f>IF(A_InstallationData!K392="","",MATCH(A_InstallationData!K392,EUconst_ConnectionTypes,0)+247)</f>
        <v/>
      </c>
      <c r="T45" s="548" t="str">
        <f>IF(A_InstallationData!M392="","",MATCH(A_InstallationData!M392,EUconst_ConnectionTransferTypes,0)+1302)</f>
        <v/>
      </c>
      <c r="U45" s="349"/>
      <c r="V45" s="349"/>
    </row>
    <row r="46" spans="1:22" x14ac:dyDescent="0.25">
      <c r="A46" s="2"/>
      <c r="B46" s="19"/>
      <c r="C46" s="19"/>
      <c r="D46" s="19"/>
      <c r="E46" s="19"/>
      <c r="F46" s="19"/>
      <c r="G46" s="19"/>
      <c r="H46" s="19"/>
      <c r="I46" s="19"/>
      <c r="J46" s="19"/>
      <c r="K46" s="19"/>
      <c r="L46" s="19"/>
      <c r="M46" s="19"/>
      <c r="N46" s="19"/>
      <c r="O46" s="19"/>
      <c r="P46" s="7"/>
      <c r="Q46" s="7"/>
      <c r="R46" s="7"/>
      <c r="S46" s="7"/>
      <c r="T46" s="7"/>
      <c r="U46" s="349"/>
      <c r="V46" s="349"/>
    </row>
    <row r="47" spans="1:22" ht="15.5" x14ac:dyDescent="0.35">
      <c r="A47" s="2"/>
      <c r="B47" s="3"/>
      <c r="C47" s="11" t="s">
        <v>954</v>
      </c>
      <c r="D47" s="12" t="str">
        <f>Translations!$B$72</f>
        <v>Stödberättigande</v>
      </c>
      <c r="E47" s="12"/>
      <c r="F47" s="12"/>
      <c r="G47" s="12"/>
      <c r="H47" s="12"/>
      <c r="I47" s="12"/>
      <c r="J47" s="12"/>
      <c r="K47" s="12"/>
      <c r="L47" s="12"/>
      <c r="M47" s="12"/>
      <c r="N47" s="12"/>
      <c r="O47" s="19"/>
      <c r="P47" s="7"/>
      <c r="Q47" s="7"/>
      <c r="R47" s="7"/>
      <c r="S47" s="7"/>
      <c r="T47" s="7"/>
      <c r="U47" s="349"/>
      <c r="V47" s="349"/>
    </row>
    <row r="48" spans="1:22" ht="5.15" customHeight="1" x14ac:dyDescent="0.25">
      <c r="A48" s="2"/>
      <c r="B48" s="19"/>
      <c r="C48" s="19"/>
      <c r="D48" s="19"/>
      <c r="E48" s="19"/>
      <c r="F48" s="19"/>
      <c r="G48" s="19"/>
      <c r="H48" s="19"/>
      <c r="I48" s="19"/>
      <c r="J48" s="19"/>
      <c r="K48" s="19"/>
      <c r="L48" s="19"/>
      <c r="M48" s="19"/>
      <c r="N48" s="19"/>
      <c r="O48" s="19"/>
      <c r="P48" s="7"/>
      <c r="Q48" s="7"/>
      <c r="R48" s="7"/>
      <c r="S48" s="7"/>
      <c r="T48" s="7"/>
      <c r="U48" s="349"/>
      <c r="V48" s="349"/>
    </row>
    <row r="49" spans="1:22" s="534" customFormat="1" ht="15" customHeight="1" x14ac:dyDescent="0.3">
      <c r="A49" s="343"/>
      <c r="B49" s="15"/>
      <c r="C49" s="17">
        <v>1</v>
      </c>
      <c r="D49" s="2079" t="str">
        <f>Translations!$B$1543</f>
        <v>Berättigande till gratis tilldelning (avsnitt A.IV.1):</v>
      </c>
      <c r="E49" s="2079"/>
      <c r="F49" s="2079"/>
      <c r="G49" s="2079"/>
      <c r="H49" s="2079"/>
      <c r="I49" s="2079"/>
      <c r="J49" s="2079"/>
      <c r="K49" s="2079"/>
      <c r="L49" s="2079"/>
      <c r="M49" s="2079"/>
      <c r="N49" s="2079"/>
      <c r="O49" s="19"/>
      <c r="P49" s="343"/>
      <c r="Q49" s="343"/>
      <c r="R49" s="343"/>
      <c r="S49" s="343"/>
      <c r="T49" s="343"/>
      <c r="U49" s="349"/>
      <c r="V49" s="349"/>
    </row>
    <row r="50" spans="1:22" s="534" customFormat="1" ht="5.15" customHeight="1" x14ac:dyDescent="0.25">
      <c r="A50" s="343"/>
      <c r="B50" s="3"/>
      <c r="C50" s="3"/>
      <c r="D50" s="3"/>
      <c r="E50" s="3"/>
      <c r="F50" s="3"/>
      <c r="G50" s="3"/>
      <c r="H50" s="3"/>
      <c r="I50" s="3"/>
      <c r="J50" s="3"/>
      <c r="K50" s="3"/>
      <c r="L50" s="3"/>
      <c r="M50" s="6"/>
      <c r="N50" s="6"/>
      <c r="O50" s="19"/>
      <c r="P50" s="7"/>
      <c r="Q50" s="7"/>
      <c r="R50" s="343"/>
      <c r="S50" s="343"/>
      <c r="T50" s="343"/>
      <c r="U50" s="349"/>
      <c r="V50" s="349"/>
    </row>
    <row r="51" spans="1:22" s="534" customFormat="1" ht="12.75" customHeight="1" x14ac:dyDescent="0.25">
      <c r="A51" s="343"/>
      <c r="B51" s="15"/>
      <c r="C51" s="15"/>
      <c r="D51" s="15"/>
      <c r="E51" s="2131" t="str">
        <f>Translations!$B$977</f>
        <v>Elproducent:</v>
      </c>
      <c r="F51" s="2131"/>
      <c r="G51" s="2131"/>
      <c r="H51" s="2158"/>
      <c r="I51" s="464" t="str">
        <f>A_InstallationData!$M$256</f>
        <v/>
      </c>
      <c r="J51" s="15"/>
      <c r="K51" s="2159" t="str">
        <f>Translations!$B$978</f>
        <v>CCS-anläggning:</v>
      </c>
      <c r="L51" s="2060"/>
      <c r="M51" s="464" t="str">
        <f>A_InstallationData!$M$261</f>
        <v/>
      </c>
      <c r="N51" s="15"/>
      <c r="O51" s="19"/>
      <c r="P51" s="343"/>
      <c r="Q51" s="343"/>
      <c r="R51" s="343"/>
      <c r="S51" s="343"/>
      <c r="T51" s="343"/>
      <c r="U51" s="349"/>
      <c r="V51" s="349"/>
    </row>
    <row r="52" spans="1:22" s="534" customFormat="1" ht="13" x14ac:dyDescent="0.25">
      <c r="A52" s="343"/>
      <c r="B52" s="15"/>
      <c r="C52" s="15"/>
      <c r="D52" s="15"/>
      <c r="E52" s="2159" t="str">
        <f>Translations!$B$979</f>
        <v>Anläggning som omfattas av artikel 10a.3 i ETS-direktivet:</v>
      </c>
      <c r="F52" s="1963"/>
      <c r="G52" s="1963"/>
      <c r="H52" s="2060"/>
      <c r="I52" s="465" t="str">
        <f>A_InstallationData!$M$263</f>
        <v/>
      </c>
      <c r="J52" s="15"/>
      <c r="K52" s="2159" t="str">
        <f>Translations!$B$980</f>
        <v>Anläggningen producerar värme:</v>
      </c>
      <c r="L52" s="2060"/>
      <c r="M52" s="464" t="str">
        <f>A_InstallationData!$M$269</f>
        <v/>
      </c>
      <c r="N52" s="15"/>
      <c r="O52" s="19"/>
      <c r="P52" s="343" t="s">
        <v>839</v>
      </c>
      <c r="Q52" s="343"/>
      <c r="R52" s="1537" t="s">
        <v>2282</v>
      </c>
      <c r="S52" s="343"/>
      <c r="T52" s="343"/>
      <c r="U52" s="349"/>
      <c r="V52" s="349"/>
    </row>
    <row r="53" spans="1:22" s="534" customFormat="1" ht="5.15" customHeight="1" thickBot="1" x14ac:dyDescent="0.3">
      <c r="A53" s="343"/>
      <c r="B53" s="3"/>
      <c r="C53" s="3"/>
      <c r="D53" s="3"/>
      <c r="E53" s="3"/>
      <c r="F53" s="3"/>
      <c r="G53" s="3"/>
      <c r="H53" s="3"/>
      <c r="I53" s="3"/>
      <c r="J53" s="3"/>
      <c r="K53" s="3"/>
      <c r="L53" s="3"/>
      <c r="M53" s="6"/>
      <c r="N53" s="6"/>
      <c r="O53" s="19"/>
      <c r="P53" s="7"/>
      <c r="Q53" s="7"/>
      <c r="R53" s="343"/>
      <c r="S53" s="343"/>
      <c r="T53" s="343"/>
      <c r="U53" s="349"/>
      <c r="V53" s="349"/>
    </row>
    <row r="54" spans="1:22" s="534" customFormat="1" ht="13" thickBot="1" x14ac:dyDescent="0.3">
      <c r="A54" s="343"/>
      <c r="B54" s="15"/>
      <c r="C54" s="15"/>
      <c r="D54" s="15"/>
      <c r="E54" s="2153" t="str">
        <f>IF(CNTR_HasEntries_A_I=FALSE,"",IF(ISBLANK(A_InstallationData!E278),IF(ISBLANK(A_InstallationData!E288),EUconst_ERR_Mandatory_ef,A_InstallationData!E288),IF(ISBLANK(A_InstallationData!E288),A_InstallationData!E278,EUconst_ERR_Mandatory_ef)))</f>
        <v/>
      </c>
      <c r="F54" s="2120"/>
      <c r="G54" s="2120"/>
      <c r="H54" s="2120"/>
      <c r="I54" s="2120"/>
      <c r="J54" s="2120"/>
      <c r="K54" s="2120"/>
      <c r="L54" s="2120"/>
      <c r="M54" s="2154"/>
      <c r="N54" s="15"/>
      <c r="O54" s="19"/>
      <c r="P54" s="445" t="b">
        <f>IF(AND(ISBLANK(E54),ISBLANK(E55)),"",AND(E54=EUconst_ConfirmApplicationForAlloc,E55=EUconst_ConfirmAllowUseOfData))</f>
        <v>0</v>
      </c>
      <c r="Q54" s="343"/>
      <c r="R54" s="503" t="str">
        <f>IF(E54="","",IF(E54=EUconst_ConfirmationNotEligible,1325,1326))</f>
        <v/>
      </c>
      <c r="S54" s="343"/>
      <c r="T54" s="343"/>
      <c r="U54" s="349"/>
      <c r="V54" s="349"/>
    </row>
    <row r="55" spans="1:22" s="534" customFormat="1" ht="13" thickBot="1" x14ac:dyDescent="0.3">
      <c r="A55" s="343"/>
      <c r="B55" s="15"/>
      <c r="C55" s="15"/>
      <c r="D55" s="15"/>
      <c r="E55" s="2153" t="str">
        <f>IF(ISBLANK(A_InstallationData!E297),EUconst_ERR_Mandatory_g,A_InstallationData!E297)</f>
        <v/>
      </c>
      <c r="F55" s="2120"/>
      <c r="G55" s="2120"/>
      <c r="H55" s="2120"/>
      <c r="I55" s="2120"/>
      <c r="J55" s="2120"/>
      <c r="K55" s="2120"/>
      <c r="L55" s="2120"/>
      <c r="M55" s="2154"/>
      <c r="N55" s="15"/>
      <c r="O55" s="19"/>
      <c r="P55" s="343" t="s">
        <v>40</v>
      </c>
      <c r="Q55" s="343"/>
      <c r="R55" s="548" t="str">
        <f>IF(E55="","",1327)</f>
        <v/>
      </c>
      <c r="S55" s="343"/>
      <c r="T55" s="343"/>
      <c r="U55" s="349"/>
      <c r="V55" s="349"/>
    </row>
    <row r="56" spans="1:22" s="534" customFormat="1" ht="5.15" customHeight="1" thickBot="1" x14ac:dyDescent="0.3">
      <c r="A56" s="343"/>
      <c r="B56" s="3"/>
      <c r="C56" s="3"/>
      <c r="D56" s="3"/>
      <c r="E56" s="6"/>
      <c r="F56" s="6"/>
      <c r="G56" s="6"/>
      <c r="H56" s="6"/>
      <c r="I56" s="6"/>
      <c r="J56" s="6"/>
      <c r="K56" s="6"/>
      <c r="L56" s="6"/>
      <c r="M56" s="6"/>
      <c r="N56" s="6"/>
      <c r="O56" s="19"/>
      <c r="P56" s="7"/>
      <c r="Q56" s="7"/>
      <c r="R56" s="343"/>
      <c r="S56" s="343"/>
      <c r="T56" s="343"/>
      <c r="U56" s="349"/>
      <c r="V56" s="349"/>
    </row>
    <row r="57" spans="1:22" s="534" customFormat="1" ht="13.5" thickBot="1" x14ac:dyDescent="0.3">
      <c r="A57" s="343"/>
      <c r="B57" s="15"/>
      <c r="C57" s="15"/>
      <c r="D57" s="15"/>
      <c r="E57" s="1943" t="str">
        <f>Translations!$B$981</f>
        <v>Anläggningen är berättigad till gratis tilldelning enligt artikel 10a i ETS-direktivet:</v>
      </c>
      <c r="F57" s="1963"/>
      <c r="G57" s="1963"/>
      <c r="H57" s="1963"/>
      <c r="I57" s="1963"/>
      <c r="J57" s="1963"/>
      <c r="K57" s="1963"/>
      <c r="L57" s="2160"/>
      <c r="M57" s="227" t="b">
        <f>IF(COUNTA(E54:E55)=0,"",IF(CNTR_ConfirmationOK,IF(OR(CNTR_ApplyLinF=FALSE,M52=TRUE),TRUE,FALSE),FALSE))</f>
        <v>0</v>
      </c>
      <c r="N57" s="15"/>
      <c r="O57" s="19"/>
      <c r="P57" s="343" t="s">
        <v>838</v>
      </c>
      <c r="Q57" s="343"/>
      <c r="R57" s="343"/>
      <c r="S57" s="343"/>
      <c r="T57" s="343"/>
      <c r="U57" s="349"/>
      <c r="V57" s="349"/>
    </row>
    <row r="58" spans="1:22" s="534" customFormat="1" ht="5.15" customHeight="1" x14ac:dyDescent="0.25">
      <c r="A58" s="343"/>
      <c r="B58" s="15"/>
      <c r="C58" s="15"/>
      <c r="D58" s="15"/>
      <c r="E58" s="15"/>
      <c r="F58" s="15"/>
      <c r="G58" s="15"/>
      <c r="H58" s="15"/>
      <c r="I58" s="15"/>
      <c r="J58" s="15"/>
      <c r="K58" s="15"/>
      <c r="L58" s="15"/>
      <c r="M58" s="15"/>
      <c r="N58" s="15"/>
      <c r="O58" s="19"/>
      <c r="P58" s="343"/>
      <c r="Q58" s="343"/>
      <c r="R58" s="343"/>
      <c r="S58" s="343"/>
      <c r="T58" s="343"/>
      <c r="U58" s="349"/>
      <c r="V58" s="349"/>
    </row>
    <row r="59" spans="1:22" s="534" customFormat="1" ht="15.5" x14ac:dyDescent="0.35">
      <c r="A59" s="343"/>
      <c r="B59" s="3"/>
      <c r="C59" s="11" t="s">
        <v>962</v>
      </c>
      <c r="D59" s="12" t="str">
        <f>Translations!$B$984</f>
        <v>Utsläpp och energiflöden</v>
      </c>
      <c r="E59" s="12"/>
      <c r="F59" s="12"/>
      <c r="G59" s="12"/>
      <c r="H59" s="12"/>
      <c r="I59" s="12"/>
      <c r="J59" s="12"/>
      <c r="K59" s="12"/>
      <c r="L59" s="12"/>
      <c r="M59" s="12"/>
      <c r="N59" s="12"/>
      <c r="O59" s="19"/>
      <c r="P59" s="7"/>
      <c r="Q59" s="7"/>
      <c r="R59" s="7"/>
      <c r="S59" s="7"/>
      <c r="T59" s="7"/>
      <c r="U59" s="349"/>
      <c r="V59" s="349"/>
    </row>
    <row r="60" spans="1:22" s="534" customFormat="1" x14ac:dyDescent="0.25">
      <c r="A60" s="343"/>
      <c r="B60" s="15"/>
      <c r="C60" s="15"/>
      <c r="D60" s="15"/>
      <c r="E60" s="15"/>
      <c r="F60" s="15"/>
      <c r="G60" s="15"/>
      <c r="H60" s="15"/>
      <c r="I60" s="15"/>
      <c r="J60" s="15"/>
      <c r="K60" s="15"/>
      <c r="L60" s="15"/>
      <c r="M60" s="15"/>
      <c r="N60" s="15"/>
      <c r="O60" s="19"/>
      <c r="P60" s="343"/>
      <c r="Q60" s="343"/>
      <c r="R60" s="343"/>
      <c r="S60" s="343"/>
      <c r="T60" s="343"/>
      <c r="U60" s="349"/>
      <c r="V60" s="349"/>
    </row>
    <row r="61" spans="1:22" s="534" customFormat="1" ht="14" x14ac:dyDescent="0.3">
      <c r="A61" s="343"/>
      <c r="B61" s="15"/>
      <c r="C61" s="17">
        <v>1</v>
      </c>
      <c r="D61" s="2053" t="str">
        <f>Translations!$B$985</f>
        <v>Uppgifter från sammanfattningen av utsläppsdata (avsnitt D.I)</v>
      </c>
      <c r="E61" s="1963"/>
      <c r="F61" s="1963"/>
      <c r="G61" s="1963"/>
      <c r="H61" s="1963"/>
      <c r="I61" s="1963"/>
      <c r="J61" s="1963"/>
      <c r="K61" s="1963"/>
      <c r="L61" s="1963"/>
      <c r="M61" s="1963"/>
      <c r="N61" s="1963"/>
      <c r="O61" s="19"/>
      <c r="P61" s="343"/>
      <c r="Q61" s="343"/>
      <c r="R61" s="343"/>
      <c r="S61" s="343"/>
      <c r="T61" s="343"/>
      <c r="U61" s="349"/>
      <c r="V61" s="349"/>
    </row>
    <row r="62" spans="1:22" s="534" customFormat="1" ht="5.15" customHeight="1" x14ac:dyDescent="0.25">
      <c r="A62" s="343"/>
      <c r="B62" s="15"/>
      <c r="C62" s="15"/>
      <c r="D62" s="15"/>
      <c r="E62" s="15"/>
      <c r="F62" s="15"/>
      <c r="G62" s="15"/>
      <c r="H62" s="15"/>
      <c r="I62" s="15"/>
      <c r="J62" s="15"/>
      <c r="K62" s="15"/>
      <c r="L62" s="15"/>
      <c r="M62" s="15"/>
      <c r="N62" s="15"/>
      <c r="O62" s="19"/>
      <c r="P62" s="343"/>
      <c r="Q62" s="343"/>
      <c r="R62" s="343"/>
      <c r="S62" s="343"/>
      <c r="T62" s="343"/>
      <c r="U62" s="349"/>
      <c r="V62" s="349"/>
    </row>
    <row r="63" spans="1:22" s="534" customFormat="1" ht="13" customHeight="1" x14ac:dyDescent="0.25">
      <c r="A63" s="343"/>
      <c r="B63" s="15"/>
      <c r="C63" s="15"/>
      <c r="D63" s="15"/>
      <c r="E63" s="2062" t="str">
        <f>D_Emissions!E20</f>
        <v>Uppgifter på anläggningsnivå:</v>
      </c>
      <c r="F63" s="2062"/>
      <c r="G63" s="31" t="str">
        <f>D_Emissions!G20</f>
        <v>Enhet</v>
      </c>
      <c r="H63" s="320">
        <f t="shared" ref="H63:N63" si="3">H$2596</f>
        <v>2019</v>
      </c>
      <c r="I63" s="320">
        <f t="shared" si="3"/>
        <v>2020</v>
      </c>
      <c r="J63" s="320">
        <f t="shared" si="3"/>
        <v>2021</v>
      </c>
      <c r="K63" s="320">
        <f t="shared" si="3"/>
        <v>2022</v>
      </c>
      <c r="L63" s="320">
        <f t="shared" si="3"/>
        <v>2023</v>
      </c>
      <c r="M63" s="320">
        <f t="shared" si="3"/>
        <v>2024</v>
      </c>
      <c r="N63" s="320">
        <f t="shared" si="3"/>
        <v>2025</v>
      </c>
      <c r="O63" s="19"/>
      <c r="P63" s="343"/>
      <c r="Q63" s="343"/>
      <c r="R63" s="343"/>
      <c r="S63" s="343"/>
      <c r="T63" s="343"/>
      <c r="U63" s="349"/>
      <c r="V63" s="349"/>
    </row>
    <row r="64" spans="1:22" s="534" customFormat="1" ht="12.65" customHeight="1" x14ac:dyDescent="0.25">
      <c r="A64" s="343"/>
      <c r="B64" s="15"/>
      <c r="C64" s="15"/>
      <c r="D64" s="15"/>
      <c r="E64" s="2483" t="str">
        <f>D_Emissions!E21</f>
        <v>Totala koldioxidutsläpp</v>
      </c>
      <c r="F64" s="2484"/>
      <c r="G64" s="32" t="str">
        <f>D_Emissions!G21</f>
        <v>t CO2 / år</v>
      </c>
      <c r="H64" s="303" t="str">
        <f>D_Emissions!S21</f>
        <v/>
      </c>
      <c r="I64" s="303" t="str">
        <f>D_Emissions!T21</f>
        <v/>
      </c>
      <c r="J64" s="303" t="str">
        <f>D_Emissions!U21</f>
        <v/>
      </c>
      <c r="K64" s="303" t="str">
        <f>D_Emissions!V21</f>
        <v/>
      </c>
      <c r="L64" s="303" t="str">
        <f>D_Emissions!W21</f>
        <v/>
      </c>
      <c r="M64" s="303" t="str">
        <f>D_Emissions!X21</f>
        <v/>
      </c>
      <c r="N64" s="303" t="str">
        <f>D_Emissions!Y21</f>
        <v/>
      </c>
      <c r="O64" s="19"/>
      <c r="P64" s="343"/>
      <c r="Q64" s="343"/>
      <c r="R64" s="343"/>
      <c r="S64" s="343"/>
      <c r="T64" s="343"/>
      <c r="U64" s="349"/>
      <c r="V64" s="349"/>
    </row>
    <row r="65" spans="1:22" s="534" customFormat="1" ht="13" customHeight="1" x14ac:dyDescent="0.25">
      <c r="A65" s="343"/>
      <c r="B65" s="15"/>
      <c r="C65" s="15"/>
      <c r="D65" s="15"/>
      <c r="E65" s="2475" t="str">
        <f>D_Emissions!E22</f>
        <v>Utsläpp från biomassa</v>
      </c>
      <c r="F65" s="2476"/>
      <c r="G65" s="164" t="str">
        <f>D_Emissions!G22</f>
        <v>t CO2 / år</v>
      </c>
      <c r="H65" s="304" t="str">
        <f>D_Emissions!S22</f>
        <v/>
      </c>
      <c r="I65" s="304" t="str">
        <f>D_Emissions!T22</f>
        <v/>
      </c>
      <c r="J65" s="304" t="str">
        <f>D_Emissions!U22</f>
        <v/>
      </c>
      <c r="K65" s="304" t="str">
        <f>D_Emissions!V22</f>
        <v/>
      </c>
      <c r="L65" s="304" t="str">
        <f>D_Emissions!W22</f>
        <v/>
      </c>
      <c r="M65" s="304" t="str">
        <f>D_Emissions!X22</f>
        <v/>
      </c>
      <c r="N65" s="304" t="str">
        <f>D_Emissions!Y22</f>
        <v/>
      </c>
      <c r="O65" s="19"/>
      <c r="P65" s="343"/>
      <c r="Q65" s="343"/>
      <c r="R65" s="343"/>
      <c r="S65" s="343"/>
      <c r="T65" s="343"/>
      <c r="U65" s="349"/>
      <c r="V65" s="349"/>
    </row>
    <row r="66" spans="1:22" s="534" customFormat="1" ht="12.65" customHeight="1" x14ac:dyDescent="0.25">
      <c r="A66" s="343"/>
      <c r="B66" s="15"/>
      <c r="C66" s="15"/>
      <c r="D66" s="15"/>
      <c r="E66" s="2485" t="str">
        <f>D_Emissions!E23</f>
        <v>Totala utsläpp av dikväveoxid</v>
      </c>
      <c r="F66" s="2476"/>
      <c r="G66" s="33" t="str">
        <f>D_Emissions!G23</f>
        <v>t CO2e/år</v>
      </c>
      <c r="H66" s="305" t="str">
        <f>D_Emissions!S23</f>
        <v/>
      </c>
      <c r="I66" s="305" t="str">
        <f>D_Emissions!T23</f>
        <v/>
      </c>
      <c r="J66" s="305" t="str">
        <f>D_Emissions!U23</f>
        <v/>
      </c>
      <c r="K66" s="305" t="str">
        <f>D_Emissions!V23</f>
        <v/>
      </c>
      <c r="L66" s="305" t="str">
        <f>D_Emissions!W23</f>
        <v/>
      </c>
      <c r="M66" s="305" t="str">
        <f>D_Emissions!X23</f>
        <v/>
      </c>
      <c r="N66" s="305" t="str">
        <f>D_Emissions!Y23</f>
        <v/>
      </c>
      <c r="O66" s="19"/>
      <c r="P66" s="343"/>
      <c r="Q66" s="343"/>
      <c r="R66" s="343"/>
      <c r="S66" s="343"/>
      <c r="T66" s="343"/>
      <c r="U66" s="349"/>
      <c r="V66" s="349"/>
    </row>
    <row r="67" spans="1:22" s="534" customFormat="1" ht="12.65" customHeight="1" x14ac:dyDescent="0.25">
      <c r="A67" s="343"/>
      <c r="B67" s="15"/>
      <c r="C67" s="15"/>
      <c r="D67" s="15"/>
      <c r="E67" s="2486" t="str">
        <f>D_Emissions!E24</f>
        <v>Totala utsläpp av perfluorkarbon</v>
      </c>
      <c r="F67" s="2487"/>
      <c r="G67" s="36" t="str">
        <f>D_Emissions!G24</f>
        <v>t CO2e/år</v>
      </c>
      <c r="H67" s="306" t="str">
        <f>D_Emissions!S24</f>
        <v/>
      </c>
      <c r="I67" s="306" t="str">
        <f>D_Emissions!T24</f>
        <v/>
      </c>
      <c r="J67" s="306" t="str">
        <f>D_Emissions!U24</f>
        <v/>
      </c>
      <c r="K67" s="306" t="str">
        <f>D_Emissions!V24</f>
        <v/>
      </c>
      <c r="L67" s="306" t="str">
        <f>D_Emissions!W24</f>
        <v/>
      </c>
      <c r="M67" s="306" t="str">
        <f>D_Emissions!X24</f>
        <v/>
      </c>
      <c r="N67" s="306" t="str">
        <f>D_Emissions!Y24</f>
        <v/>
      </c>
      <c r="O67" s="19"/>
      <c r="P67" s="343"/>
      <c r="Q67" s="343"/>
      <c r="R67" s="343"/>
      <c r="S67" s="343"/>
      <c r="T67" s="343"/>
      <c r="U67" s="349"/>
      <c r="V67" s="349"/>
    </row>
    <row r="68" spans="1:22" s="534" customFormat="1" ht="12.65" customHeight="1" x14ac:dyDescent="0.25">
      <c r="A68" s="343"/>
      <c r="B68" s="15"/>
      <c r="C68" s="15"/>
      <c r="D68" s="15"/>
      <c r="E68" s="2129" t="str">
        <f>D_Emissions!E25</f>
        <v>Summan av direkta utsläpp</v>
      </c>
      <c r="F68" s="1997"/>
      <c r="G68" s="122" t="str">
        <f>D_Emissions!G25</f>
        <v>t CO2e/år</v>
      </c>
      <c r="H68" s="528" t="str">
        <f>D_Emissions!S25</f>
        <v/>
      </c>
      <c r="I68" s="528" t="str">
        <f>D_Emissions!T25</f>
        <v/>
      </c>
      <c r="J68" s="528" t="str">
        <f>D_Emissions!U25</f>
        <v/>
      </c>
      <c r="K68" s="529" t="str">
        <f>D_Emissions!V25</f>
        <v/>
      </c>
      <c r="L68" s="529" t="str">
        <f>D_Emissions!W25</f>
        <v/>
      </c>
      <c r="M68" s="529" t="str">
        <f>D_Emissions!X25</f>
        <v/>
      </c>
      <c r="N68" s="529" t="str">
        <f>D_Emissions!Y25</f>
        <v/>
      </c>
      <c r="O68" s="19"/>
      <c r="P68" s="343"/>
      <c r="Q68" s="343"/>
      <c r="R68" s="343"/>
      <c r="S68" s="343"/>
      <c r="T68" s="343"/>
      <c r="U68" s="349"/>
      <c r="V68" s="349"/>
    </row>
    <row r="69" spans="1:22" s="534" customFormat="1" ht="13" customHeight="1" thickBot="1" x14ac:dyDescent="0.3">
      <c r="A69" s="343"/>
      <c r="B69" s="15"/>
      <c r="C69" s="15"/>
      <c r="D69" s="15"/>
      <c r="E69" s="2488" t="str">
        <f>D_Emissions!E26</f>
        <v>Överförd koldioxid för export</v>
      </c>
      <c r="F69" s="2489"/>
      <c r="G69" s="522" t="str">
        <f>D_Emissions!G26</f>
        <v>t CO2 / år</v>
      </c>
      <c r="H69" s="530" t="str">
        <f>D_Emissions!S26</f>
        <v/>
      </c>
      <c r="I69" s="530" t="str">
        <f>D_Emissions!T26</f>
        <v/>
      </c>
      <c r="J69" s="530" t="str">
        <f>D_Emissions!U26</f>
        <v/>
      </c>
      <c r="K69" s="531" t="str">
        <f>D_Emissions!V26</f>
        <v/>
      </c>
      <c r="L69" s="531" t="str">
        <f>D_Emissions!W26</f>
        <v/>
      </c>
      <c r="M69" s="531" t="str">
        <f>D_Emissions!X26</f>
        <v/>
      </c>
      <c r="N69" s="531" t="str">
        <f>D_Emissions!Y26</f>
        <v/>
      </c>
      <c r="O69" s="19"/>
      <c r="P69" s="343"/>
      <c r="Q69" s="343"/>
      <c r="R69" s="343"/>
      <c r="S69" s="343"/>
      <c r="T69" s="343"/>
      <c r="U69" s="349"/>
      <c r="V69" s="349"/>
    </row>
    <row r="70" spans="1:22" s="534" customFormat="1" ht="13.5" customHeight="1" thickBot="1" x14ac:dyDescent="0.3">
      <c r="A70" s="343"/>
      <c r="B70" s="15"/>
      <c r="C70" s="15"/>
      <c r="D70" s="15"/>
      <c r="E70" s="2490" t="str">
        <f>D_Emissions!E27</f>
        <v>Totala direkta utsläpp</v>
      </c>
      <c r="F70" s="2491"/>
      <c r="G70" s="523" t="str">
        <f>D_Emissions!G27</f>
        <v>t CO2e/år</v>
      </c>
      <c r="H70" s="524" t="str">
        <f>D_Emissions!S27</f>
        <v/>
      </c>
      <c r="I70" s="524" t="str">
        <f>D_Emissions!T27</f>
        <v/>
      </c>
      <c r="J70" s="524" t="str">
        <f>D_Emissions!U27</f>
        <v/>
      </c>
      <c r="K70" s="524" t="str">
        <f>D_Emissions!V27</f>
        <v/>
      </c>
      <c r="L70" s="524" t="str">
        <f>D_Emissions!W27</f>
        <v/>
      </c>
      <c r="M70" s="524" t="str">
        <f>D_Emissions!X27</f>
        <v/>
      </c>
      <c r="N70" s="526" t="str">
        <f>D_Emissions!Y27</f>
        <v/>
      </c>
      <c r="O70" s="19"/>
      <c r="P70" s="343"/>
      <c r="Q70" s="343"/>
      <c r="R70" s="343"/>
      <c r="S70" s="343"/>
      <c r="T70" s="343"/>
      <c r="U70" s="349"/>
      <c r="V70" s="349"/>
    </row>
    <row r="71" spans="1:22" s="534" customFormat="1" ht="13.5" customHeight="1" thickBot="1" x14ac:dyDescent="0.3">
      <c r="A71" s="343"/>
      <c r="B71" s="15"/>
      <c r="C71" s="15"/>
      <c r="D71" s="15"/>
      <c r="E71" s="2490" t="str">
        <f>D_Emissions!E28</f>
        <v>Total energitillförsel från bränslen</v>
      </c>
      <c r="F71" s="2491"/>
      <c r="G71" s="523" t="str">
        <f>D_Emissions!G28</f>
        <v>TJ / år</v>
      </c>
      <c r="H71" s="525" t="str">
        <f>D_Emissions!S28</f>
        <v/>
      </c>
      <c r="I71" s="525" t="str">
        <f>D_Emissions!T28</f>
        <v/>
      </c>
      <c r="J71" s="525" t="str">
        <f>D_Emissions!U28</f>
        <v/>
      </c>
      <c r="K71" s="525" t="str">
        <f>D_Emissions!V28</f>
        <v/>
      </c>
      <c r="L71" s="525" t="str">
        <f>D_Emissions!W28</f>
        <v/>
      </c>
      <c r="M71" s="525" t="str">
        <f>D_Emissions!X28</f>
        <v/>
      </c>
      <c r="N71" s="527" t="str">
        <f>D_Emissions!Y28</f>
        <v/>
      </c>
      <c r="O71" s="19"/>
      <c r="P71" s="343"/>
      <c r="Q71" s="343"/>
      <c r="R71" s="343"/>
      <c r="S71" s="343"/>
      <c r="T71" s="343"/>
      <c r="U71" s="349"/>
      <c r="V71" s="349"/>
    </row>
    <row r="72" spans="1:22" s="534" customFormat="1" ht="15" customHeight="1" x14ac:dyDescent="0.25">
      <c r="A72" s="343"/>
      <c r="B72" s="15"/>
      <c r="C72" s="15"/>
      <c r="D72" s="15"/>
      <c r="E72" s="15"/>
      <c r="F72" s="15"/>
      <c r="G72" s="15"/>
      <c r="H72" s="15"/>
      <c r="I72" s="15"/>
      <c r="J72" s="15"/>
      <c r="K72" s="15"/>
      <c r="L72" s="15"/>
      <c r="M72" s="15"/>
      <c r="N72" s="15"/>
      <c r="O72" s="19"/>
      <c r="P72" s="343"/>
      <c r="Q72" s="343"/>
      <c r="R72" s="343"/>
      <c r="S72" s="343"/>
      <c r="T72" s="343"/>
      <c r="U72" s="349"/>
      <c r="V72" s="349"/>
    </row>
    <row r="73" spans="1:22" s="534" customFormat="1" ht="14" x14ac:dyDescent="0.3">
      <c r="A73" s="343"/>
      <c r="B73" s="15"/>
      <c r="C73" s="17">
        <v>2</v>
      </c>
      <c r="D73" s="2053" t="str">
        <f>Translations!$B$986</f>
        <v>Tillskrivning av utsläpp till delanläggningar (avsnitt D.II)</v>
      </c>
      <c r="E73" s="1963"/>
      <c r="F73" s="1963"/>
      <c r="G73" s="1963"/>
      <c r="H73" s="1963"/>
      <c r="I73" s="1963"/>
      <c r="J73" s="1963"/>
      <c r="K73" s="1963"/>
      <c r="L73" s="1963"/>
      <c r="M73" s="1963"/>
      <c r="N73" s="1963"/>
      <c r="O73" s="19"/>
      <c r="P73" s="343"/>
      <c r="Q73" s="343"/>
      <c r="R73" s="343"/>
      <c r="S73" s="343"/>
      <c r="T73" s="343"/>
      <c r="U73" s="349"/>
      <c r="V73" s="349"/>
    </row>
    <row r="74" spans="1:22" s="534" customFormat="1" ht="5.15" customHeight="1" x14ac:dyDescent="0.25">
      <c r="A74" s="343"/>
      <c r="B74" s="3"/>
      <c r="C74" s="3"/>
      <c r="D74" s="3"/>
      <c r="E74" s="3"/>
      <c r="F74" s="3"/>
      <c r="G74" s="3"/>
      <c r="H74" s="3"/>
      <c r="I74" s="3"/>
      <c r="J74" s="3"/>
      <c r="K74" s="3"/>
      <c r="L74" s="3"/>
      <c r="M74" s="6"/>
      <c r="N74" s="6"/>
      <c r="O74" s="19"/>
      <c r="P74" s="7"/>
      <c r="Q74" s="7"/>
      <c r="R74" s="343"/>
      <c r="S74" s="343"/>
      <c r="T74" s="343"/>
      <c r="U74" s="349"/>
      <c r="V74" s="349"/>
    </row>
    <row r="75" spans="1:22" x14ac:dyDescent="0.25">
      <c r="A75" s="2"/>
      <c r="B75" s="3"/>
      <c r="C75" s="3"/>
      <c r="D75" s="15"/>
      <c r="E75" s="2061" t="str">
        <f>Translations!$B$987</f>
        <v>Uppgifterna hämtas automatiskt från motsvarande inmatningar i bladen F och G i de ljusblå rutorna under respektive delanläggning.</v>
      </c>
      <c r="F75" s="1963"/>
      <c r="G75" s="1963"/>
      <c r="H75" s="1963"/>
      <c r="I75" s="1963"/>
      <c r="J75" s="1963"/>
      <c r="K75" s="1963"/>
      <c r="L75" s="1963"/>
      <c r="M75" s="1963"/>
      <c r="N75" s="1963"/>
      <c r="O75" s="19"/>
      <c r="P75" s="7"/>
      <c r="Q75" s="2"/>
      <c r="R75" s="2"/>
      <c r="S75" s="2"/>
      <c r="T75" s="2"/>
      <c r="U75" s="349"/>
      <c r="V75" s="349"/>
    </row>
    <row r="76" spans="1:22" x14ac:dyDescent="0.25">
      <c r="A76" s="2"/>
      <c r="B76" s="3"/>
      <c r="C76" s="3"/>
      <c r="D76" s="15"/>
      <c r="E76" s="2061" t="str">
        <f>Translations!$B$988</f>
        <v>De utsläpp som kan tillskrivas fastställs enligt följande:</v>
      </c>
      <c r="F76" s="1963"/>
      <c r="G76" s="1963"/>
      <c r="H76" s="1963"/>
      <c r="I76" s="1963"/>
      <c r="J76" s="1963"/>
      <c r="K76" s="1963"/>
      <c r="L76" s="1963"/>
      <c r="M76" s="1963"/>
      <c r="N76" s="1963"/>
      <c r="O76" s="19"/>
      <c r="P76" s="7"/>
      <c r="Q76" s="2"/>
      <c r="R76" s="2"/>
      <c r="S76" s="2"/>
      <c r="T76" s="2"/>
      <c r="U76" s="349"/>
      <c r="V76" s="349"/>
    </row>
    <row r="77" spans="1:22" ht="25.5" customHeight="1" x14ac:dyDescent="0.25">
      <c r="A77" s="2"/>
      <c r="B77" s="3"/>
      <c r="C77" s="3"/>
      <c r="D77" s="15"/>
      <c r="E77" s="581" t="s">
        <v>1594</v>
      </c>
      <c r="F77" s="2075" t="str">
        <f>Translations!$B$678</f>
        <v>Direkta utsläpp övervakas enligt den övervakningsplan som ska godkännas enligt M&amp;R-förordningen, dvs. med hänsyn tagen till de utsläpp som fastställts utifrån beräkningsbaserade metoder (med hjälp av bränsle-/materialmängder), mätbaserade metoder (Cems) och nivålösa metoder (”alternativa övervakningsmetoder”/”fall-back”)</v>
      </c>
      <c r="G77" s="2075"/>
      <c r="H77" s="2075"/>
      <c r="I77" s="2075"/>
      <c r="J77" s="2075"/>
      <c r="K77" s="2075"/>
      <c r="L77" s="2075"/>
      <c r="M77" s="2075"/>
      <c r="N77" s="2075"/>
      <c r="O77" s="19"/>
      <c r="P77" s="7"/>
      <c r="Q77" s="2"/>
      <c r="R77" s="2"/>
      <c r="S77" s="2"/>
      <c r="T77" s="2"/>
      <c r="U77" s="349"/>
      <c r="V77" s="349"/>
    </row>
    <row r="78" spans="1:22" ht="12.75" customHeight="1" x14ac:dyDescent="0.25">
      <c r="A78" s="2"/>
      <c r="B78" s="3"/>
      <c r="C78" s="3"/>
      <c r="D78" s="15"/>
      <c r="E78" s="666" t="s">
        <v>1597</v>
      </c>
      <c r="F78" s="2075" t="str">
        <f>Translations!$B$989</f>
        <v>Utsläpp i samband med andra interna bränsle-/materialmängder</v>
      </c>
      <c r="G78" s="2075"/>
      <c r="H78" s="2075"/>
      <c r="I78" s="2075"/>
      <c r="J78" s="2075"/>
      <c r="K78" s="2075"/>
      <c r="L78" s="2075"/>
      <c r="M78" s="2075"/>
      <c r="N78" s="2075"/>
      <c r="O78" s="19"/>
      <c r="P78" s="7"/>
      <c r="Q78" s="2"/>
      <c r="R78" s="2"/>
      <c r="S78" s="2"/>
      <c r="T78" s="2"/>
      <c r="U78" s="349"/>
      <c r="V78" s="349"/>
    </row>
    <row r="79" spans="1:22" ht="12.75" customHeight="1" x14ac:dyDescent="0.25">
      <c r="A79" s="2"/>
      <c r="B79" s="3"/>
      <c r="C79" s="3"/>
      <c r="D79" s="15"/>
      <c r="E79" s="666" t="s">
        <v>1597</v>
      </c>
      <c r="F79" s="2075" t="str">
        <f>Translations!$B$990</f>
        <v>Mängd växthusgaser som importerats eller exporterats som råvaror</v>
      </c>
      <c r="G79" s="2075"/>
      <c r="H79" s="2075"/>
      <c r="I79" s="2075"/>
      <c r="J79" s="2075"/>
      <c r="K79" s="2075"/>
      <c r="L79" s="2075"/>
      <c r="M79" s="2075"/>
      <c r="N79" s="2075"/>
      <c r="O79" s="19"/>
      <c r="P79" s="7"/>
      <c r="Q79" s="2"/>
      <c r="R79" s="2"/>
      <c r="S79" s="2"/>
      <c r="T79" s="2"/>
      <c r="U79" s="349"/>
      <c r="V79" s="349"/>
    </row>
    <row r="80" spans="1:22" ht="12.75" customHeight="1" x14ac:dyDescent="0.25">
      <c r="A80" s="2"/>
      <c r="B80" s="3"/>
      <c r="C80" s="3"/>
      <c r="D80" s="15"/>
      <c r="E80" s="666" t="s">
        <v>1595</v>
      </c>
      <c r="F80" s="2075" t="str">
        <f>Translations!$B$991</f>
        <v>Utsläpp i samband med importerad värme i enlighet med avsnitt 10.1.2 och 10.1.3 i bilaga VII till FAR</v>
      </c>
      <c r="G80" s="2075"/>
      <c r="H80" s="2075"/>
      <c r="I80" s="2075"/>
      <c r="J80" s="2075"/>
      <c r="K80" s="2075"/>
      <c r="L80" s="2075"/>
      <c r="M80" s="2075"/>
      <c r="N80" s="2075"/>
      <c r="O80" s="19"/>
      <c r="P80" s="7"/>
      <c r="Q80" s="2"/>
      <c r="R80" s="2"/>
      <c r="S80" s="2"/>
      <c r="T80" s="2"/>
      <c r="U80" s="349"/>
      <c r="V80" s="349"/>
    </row>
    <row r="81" spans="1:22" ht="12.75" customHeight="1" x14ac:dyDescent="0.25">
      <c r="A81" s="2"/>
      <c r="B81" s="3"/>
      <c r="C81" s="3"/>
      <c r="D81" s="15"/>
      <c r="E81" s="666" t="s">
        <v>1112</v>
      </c>
      <c r="F81" s="2075" t="str">
        <f>Translations!$B$992</f>
        <v>Utsläpp i samband med exporterad värme i enlighet med avsnitt 10.1.2 och 10.1.3 i bilaga VII till FAR</v>
      </c>
      <c r="G81" s="2075"/>
      <c r="H81" s="2075"/>
      <c r="I81" s="2075"/>
      <c r="J81" s="2075"/>
      <c r="K81" s="2075"/>
      <c r="L81" s="2075"/>
      <c r="M81" s="2075"/>
      <c r="N81" s="2075"/>
      <c r="O81" s="19"/>
      <c r="P81" s="7"/>
      <c r="Q81" s="2"/>
      <c r="R81" s="2"/>
      <c r="S81" s="2"/>
      <c r="T81" s="2"/>
      <c r="U81" s="349"/>
      <c r="V81" s="349"/>
    </row>
    <row r="82" spans="1:22" x14ac:dyDescent="0.25">
      <c r="A82" s="2"/>
      <c r="B82" s="3"/>
      <c r="C82" s="3"/>
      <c r="D82" s="15"/>
      <c r="E82" s="666" t="s">
        <v>1595</v>
      </c>
      <c r="F82" s="2075" t="str">
        <f>Translations!$B$993</f>
        <v>Utsläpp i samband med importerade restgaser enlighet med avsnitt 10.1.5 i bilaga VII till FAR</v>
      </c>
      <c r="G82" s="2075"/>
      <c r="H82" s="2075"/>
      <c r="I82" s="2075"/>
      <c r="J82" s="2075"/>
      <c r="K82" s="2075"/>
      <c r="L82" s="2075"/>
      <c r="M82" s="2075"/>
      <c r="N82" s="2075"/>
      <c r="O82" s="19"/>
      <c r="P82" s="7"/>
      <c r="Q82" s="2"/>
      <c r="R82" s="2"/>
      <c r="S82" s="2"/>
      <c r="T82" s="2"/>
      <c r="U82" s="349"/>
      <c r="V82" s="349"/>
    </row>
    <row r="83" spans="1:22" ht="25.5" customHeight="1" x14ac:dyDescent="0.25">
      <c r="A83" s="2"/>
      <c r="B83" s="3"/>
      <c r="C83" s="3"/>
      <c r="D83" s="15"/>
      <c r="E83" s="666" t="s">
        <v>1112</v>
      </c>
      <c r="F83" s="2075" t="str">
        <f>Translations!$B$994</f>
        <v>Utsläpp i samband med exporterade restgaser i enlighet med avsnitt 10.1.5 i bilaga VII till FAR beräknade genom avdrag för energiinnehåll multiplicerat med utsläppsfaktorn för naturgas och standardkorrigeringsfaktorn 0,667</v>
      </c>
      <c r="G83" s="2075"/>
      <c r="H83" s="2075"/>
      <c r="I83" s="2075"/>
      <c r="J83" s="2075"/>
      <c r="K83" s="2075"/>
      <c r="L83" s="2075"/>
      <c r="M83" s="2075"/>
      <c r="N83" s="2075"/>
      <c r="O83" s="19"/>
      <c r="P83" s="7"/>
      <c r="Q83" s="2"/>
      <c r="R83" s="2"/>
      <c r="S83" s="2"/>
      <c r="T83" s="2"/>
      <c r="U83" s="349"/>
      <c r="V83" s="349"/>
    </row>
    <row r="84" spans="1:22" x14ac:dyDescent="0.25">
      <c r="A84" s="2"/>
      <c r="B84" s="3"/>
      <c r="C84" s="3"/>
      <c r="D84" s="15"/>
      <c r="E84" s="666" t="s">
        <v>1595</v>
      </c>
      <c r="F84" s="2075" t="str">
        <f>Translations!$B$995</f>
        <v>Utsläpp i samband med delanläggningars relevanta elförbrukning där utbytbarheten mellan bränslen och el är relevant</v>
      </c>
      <c r="G84" s="2075"/>
      <c r="H84" s="2075"/>
      <c r="I84" s="2075"/>
      <c r="J84" s="2075"/>
      <c r="K84" s="2075"/>
      <c r="L84" s="2075"/>
      <c r="M84" s="2075"/>
      <c r="N84" s="2075"/>
      <c r="O84" s="19"/>
      <c r="P84" s="7"/>
      <c r="Q84" s="2"/>
      <c r="R84" s="2"/>
      <c r="S84" s="2"/>
      <c r="T84" s="2"/>
      <c r="U84" s="349"/>
      <c r="V84" s="349"/>
    </row>
    <row r="85" spans="1:22" x14ac:dyDescent="0.25">
      <c r="A85" s="2"/>
      <c r="B85" s="3"/>
      <c r="C85" s="3"/>
      <c r="D85" s="15"/>
      <c r="E85" s="666" t="s">
        <v>1112</v>
      </c>
      <c r="F85" s="2075" t="str">
        <f>Translations!$B$996</f>
        <v>Utsläpp i samband med el som produceras på annat sätt än via mätbar värme</v>
      </c>
      <c r="G85" s="2075"/>
      <c r="H85" s="2075"/>
      <c r="I85" s="2075"/>
      <c r="J85" s="2075"/>
      <c r="K85" s="2075"/>
      <c r="L85" s="2075"/>
      <c r="M85" s="2075"/>
      <c r="N85" s="2075"/>
      <c r="O85" s="19"/>
      <c r="P85" s="7"/>
      <c r="Q85" s="2"/>
      <c r="R85" s="2"/>
      <c r="S85" s="2"/>
      <c r="T85" s="2"/>
      <c r="U85" s="349"/>
      <c r="V85" s="349"/>
    </row>
    <row r="86" spans="1:22" ht="25.5" customHeight="1" x14ac:dyDescent="0.25">
      <c r="A86" s="2"/>
      <c r="B86" s="3"/>
      <c r="C86" s="3"/>
      <c r="D86" s="15"/>
      <c r="E86" s="2070" t="str">
        <f>Translations!$B$1544</f>
        <v>I vissa fall kan inte de tillskrivningsbara utsläppen beräknas för förslaget till preliminär tilldelning eftersom värme- eller bränsleriktmärkesvärden behövs för detta. I sådana fall visas inga värden för de tillskrivningsbara utsläppen och i stället anges ”ej tillämpligt”. Exempel på fall:</v>
      </c>
      <c r="F86" s="2071"/>
      <c r="G86" s="2071"/>
      <c r="H86" s="2071"/>
      <c r="I86" s="2071"/>
      <c r="J86" s="2071"/>
      <c r="K86" s="2071"/>
      <c r="L86" s="2071"/>
      <c r="M86" s="2071"/>
      <c r="N86" s="2071"/>
      <c r="O86" s="19"/>
      <c r="P86" s="7"/>
      <c r="Q86" s="2"/>
      <c r="R86" s="2"/>
      <c r="S86" s="2"/>
      <c r="T86" s="2"/>
      <c r="U86" s="349"/>
      <c r="V86" s="349"/>
    </row>
    <row r="87" spans="1:22" ht="25.5" customHeight="1" x14ac:dyDescent="0.25">
      <c r="A87" s="2"/>
      <c r="B87" s="3"/>
      <c r="C87" s="3"/>
      <c r="D87" s="15"/>
      <c r="E87" s="666" t="s">
        <v>1112</v>
      </c>
      <c r="F87" s="2075" t="str">
        <f>Translations!$B$998</f>
        <v>Om ingen emissionsfaktor för importerad eller exporterad värme är tillämplig eller känd, dvs. om inget sådant värde har angetts. I sådana fall används standardvärden baserade på värmeriktmärket för att beräkna de tillskrivningsbara utsläppen, så snart detta är känt.</v>
      </c>
      <c r="G87" s="2075"/>
      <c r="H87" s="2075"/>
      <c r="I87" s="2075"/>
      <c r="J87" s="2075"/>
      <c r="K87" s="2075"/>
      <c r="L87" s="2075"/>
      <c r="M87" s="2075"/>
      <c r="N87" s="2075"/>
      <c r="O87" s="19"/>
      <c r="P87" s="7"/>
      <c r="Q87" s="2"/>
      <c r="R87" s="2"/>
      <c r="S87" s="2"/>
      <c r="T87" s="2"/>
      <c r="U87" s="349"/>
      <c r="V87" s="349"/>
    </row>
    <row r="88" spans="1:22" x14ac:dyDescent="0.25">
      <c r="A88" s="2"/>
      <c r="B88" s="3"/>
      <c r="C88" s="3"/>
      <c r="D88" s="15"/>
      <c r="E88" s="666" t="s">
        <v>1112</v>
      </c>
      <c r="F88" s="2075" t="str">
        <f>Translations!$B$999</f>
        <v>Om restgaser importeras. I sådant fall kommer bränsleriktmärket att användas, så snart detta är känt.</v>
      </c>
      <c r="G88" s="2075"/>
      <c r="H88" s="2075"/>
      <c r="I88" s="2075"/>
      <c r="J88" s="2075"/>
      <c r="K88" s="2075"/>
      <c r="L88" s="2075"/>
      <c r="M88" s="2075"/>
      <c r="N88" s="2075"/>
      <c r="O88" s="19"/>
      <c r="P88" s="7"/>
      <c r="Q88" s="2"/>
      <c r="R88" s="2"/>
      <c r="S88" s="2"/>
      <c r="T88" s="2"/>
      <c r="U88" s="349"/>
      <c r="V88" s="349"/>
    </row>
    <row r="89" spans="1:22" ht="25.5" customHeight="1" x14ac:dyDescent="0.25">
      <c r="A89" s="2"/>
      <c r="B89" s="3"/>
      <c r="C89" s="3"/>
      <c r="D89" s="15"/>
      <c r="E89" s="2061" t="str">
        <f>Translations!$B$1000</f>
        <v>Värdet ”andra utsläpp” visas i kontrollsyfte. Det innefattar utsläpp i samband med elproduktion och fackling förutom säkerhetsfackling samt andra utsläpp som inte leder till gratis tilldelning.</v>
      </c>
      <c r="F89" s="1963"/>
      <c r="G89" s="1963"/>
      <c r="H89" s="1963"/>
      <c r="I89" s="1963"/>
      <c r="J89" s="1963"/>
      <c r="K89" s="1963"/>
      <c r="L89" s="1963"/>
      <c r="M89" s="1963"/>
      <c r="N89" s="1963"/>
      <c r="O89" s="19"/>
      <c r="P89" s="7"/>
      <c r="Q89" s="2"/>
      <c r="R89" s="2"/>
      <c r="S89" s="2"/>
      <c r="T89" s="2"/>
      <c r="U89" s="349"/>
      <c r="V89" s="349"/>
    </row>
    <row r="90" spans="1:22" ht="12.75" customHeight="1" x14ac:dyDescent="0.25">
      <c r="A90" s="2"/>
      <c r="B90" s="3"/>
      <c r="C90" s="3"/>
      <c r="D90" s="15"/>
      <c r="E90" s="2061" t="str">
        <f>Translations!$B$1001</f>
        <v>Om ”ej tillämpligt” visas för minst en delanläggning för ett visst år kommer värdena för ”andra utsläpp” inte heller att visas, i syfte att undvika förvirring.</v>
      </c>
      <c r="F90" s="1963"/>
      <c r="G90" s="1963"/>
      <c r="H90" s="1963"/>
      <c r="I90" s="1963"/>
      <c r="J90" s="1963"/>
      <c r="K90" s="1963"/>
      <c r="L90" s="1963"/>
      <c r="M90" s="1963"/>
      <c r="N90" s="1963"/>
      <c r="O90" s="19"/>
      <c r="P90" s="7"/>
      <c r="Q90" s="2"/>
      <c r="R90" s="2"/>
      <c r="S90" s="2"/>
      <c r="T90" s="2"/>
      <c r="U90" s="349"/>
      <c r="V90" s="349"/>
    </row>
    <row r="91" spans="1:22" ht="13.5" customHeight="1" thickBot="1" x14ac:dyDescent="0.3">
      <c r="A91" s="2"/>
      <c r="B91" s="3"/>
      <c r="C91" s="3"/>
      <c r="D91" s="13"/>
      <c r="E91" s="2062" t="str">
        <f>Translations!$B$1002</f>
        <v>Uppgifter på delanläggningsnivå:</v>
      </c>
      <c r="F91" s="2062"/>
      <c r="G91" s="31" t="str">
        <f>EUconst_Unit</f>
        <v>Enhet</v>
      </c>
      <c r="H91" s="320">
        <f t="shared" ref="H91:N91" si="4">H$2596</f>
        <v>2019</v>
      </c>
      <c r="I91" s="320">
        <f t="shared" si="4"/>
        <v>2020</v>
      </c>
      <c r="J91" s="320">
        <f t="shared" si="4"/>
        <v>2021</v>
      </c>
      <c r="K91" s="320">
        <f t="shared" si="4"/>
        <v>2022</v>
      </c>
      <c r="L91" s="320">
        <f t="shared" si="4"/>
        <v>2023</v>
      </c>
      <c r="M91" s="320">
        <f t="shared" si="4"/>
        <v>2024</v>
      </c>
      <c r="N91" s="320">
        <f t="shared" si="4"/>
        <v>2025</v>
      </c>
      <c r="O91" s="19"/>
      <c r="P91" s="2"/>
      <c r="Q91" s="2"/>
      <c r="R91" s="2"/>
      <c r="S91" s="343" t="s">
        <v>1530</v>
      </c>
      <c r="T91" s="2"/>
      <c r="U91" s="349"/>
      <c r="V91" s="349"/>
    </row>
    <row r="92" spans="1:22" ht="12.65" customHeight="1" x14ac:dyDescent="0.25">
      <c r="A92" s="2"/>
      <c r="B92" s="19"/>
      <c r="C92" s="19"/>
      <c r="D92" s="289"/>
      <c r="E92" s="2783" t="str">
        <f t="shared" ref="E92:E101" si="5">IF(INDEX(CNTR_SubInstListIsProdBM,Q92),INDEX(CNTR_SubInstListNames,Q92),"")</f>
        <v/>
      </c>
      <c r="F92" s="2783"/>
      <c r="G92" s="352" t="str">
        <f t="shared" ref="G92:G109" si="6">EUconst_tCO2epa</f>
        <v>t CO2e/år</v>
      </c>
      <c r="H92" s="276" t="str">
        <f>IF(ISNUMBER(D_Emissions!H$35),IF($E92="","",IF(SUMIF(F_ProductBM!$S:$S,$S92,F_ProductBM!T:T)&gt;0,EUconst_NA,SUMIF(F_ProductBM!$S:$S,$P92,F_ProductBM!T:T))),"")</f>
        <v/>
      </c>
      <c r="I92" s="276" t="str">
        <f>IF(ISNUMBER(D_Emissions!I$35),IF($E92="","",IF(SUMIF(F_ProductBM!$S:$S,$S92,F_ProductBM!U:U)&gt;0,EUconst_NA,SUMIF(F_ProductBM!$S:$S,$P92,F_ProductBM!U:U))),"")</f>
        <v/>
      </c>
      <c r="J92" s="276" t="str">
        <f>IF(ISNUMBER(D_Emissions!J$35),IF($E92="","",IF(SUMIF(F_ProductBM!$S:$S,$S92,F_ProductBM!V:V)&gt;0,EUconst_NA,SUMIF(F_ProductBM!$S:$S,$P92,F_ProductBM!V:V))),"")</f>
        <v/>
      </c>
      <c r="K92" s="276" t="str">
        <f>IF(ISNUMBER(D_Emissions!K$35),IF($E92="","",IF(SUMIF(F_ProductBM!$S:$S,$S92,F_ProductBM!W:W)&gt;0,EUconst_NA,SUMIF(F_ProductBM!$S:$S,$P92,F_ProductBM!W:W))),"")</f>
        <v/>
      </c>
      <c r="L92" s="276" t="str">
        <f>IF(ISNUMBER(D_Emissions!L$35),IF($E92="","",IF(SUMIF(F_ProductBM!$S:$S,$S92,F_ProductBM!X:X)&gt;0,EUconst_NA,SUMIF(F_ProductBM!$S:$S,$P92,F_ProductBM!X:X))),"")</f>
        <v/>
      </c>
      <c r="M92" s="276" t="str">
        <f>IF(ISNUMBER(D_Emissions!M$35),IF($E92="","",IF(SUMIF(F_ProductBM!$S:$S,$S92,F_ProductBM!Y:Y)&gt;0,EUconst_NA,SUMIF(F_ProductBM!$S:$S,$P92,F_ProductBM!Y:Y))),"")</f>
        <v/>
      </c>
      <c r="N92" s="276" t="str">
        <f>IF(ISNUMBER(D_Emissions!N$35),IF($E92="","",IF(SUMIF(F_ProductBM!$S:$S,$S92,F_ProductBM!Z:Z)&gt;0,EUconst_NA,SUMIF(F_ProductBM!$S:$S,$P92,F_ProductBM!Z:Z))),"")</f>
        <v/>
      </c>
      <c r="O92" s="19"/>
      <c r="P92" s="161" t="str">
        <f t="shared" ref="P92:P106" si="7">EUconst_CNTR_AttributedEmissions &amp; E92</f>
        <v>AttrEmissions_</v>
      </c>
      <c r="Q92" s="347">
        <v>1</v>
      </c>
      <c r="R92" s="2"/>
      <c r="S92" s="108" t="str">
        <f t="shared" ref="S92:S108" si="8">EUconst_ERR_AttrEmBMapplied &amp; E92</f>
        <v>ERR_AttrEmBM_</v>
      </c>
      <c r="T92" s="2"/>
      <c r="U92" s="349"/>
      <c r="V92" s="349"/>
    </row>
    <row r="93" spans="1:22" x14ac:dyDescent="0.25">
      <c r="A93" s="2"/>
      <c r="B93" s="19"/>
      <c r="C93" s="19"/>
      <c r="D93" s="289"/>
      <c r="E93" s="2780" t="str">
        <f t="shared" si="5"/>
        <v/>
      </c>
      <c r="F93" s="2476"/>
      <c r="G93" s="557" t="str">
        <f t="shared" si="6"/>
        <v>t CO2e/år</v>
      </c>
      <c r="H93" s="274" t="str">
        <f>IF(ISNUMBER(D_Emissions!H$35),IF($E93="","",IF(SUMIF(F_ProductBM!$S:$S,$S93,F_ProductBM!T:T)&gt;0,EUconst_NA,SUMIF(F_ProductBM!$S:$S,$P93,F_ProductBM!T:T))),"")</f>
        <v/>
      </c>
      <c r="I93" s="274" t="str">
        <f>IF(ISNUMBER(D_Emissions!I$35),IF($E93="","",IF(SUMIF(F_ProductBM!$S:$S,$S93,F_ProductBM!U:U)&gt;0,EUconst_NA,SUMIF(F_ProductBM!$S:$S,$P93,F_ProductBM!U:U))),"")</f>
        <v/>
      </c>
      <c r="J93" s="274" t="str">
        <f>IF(ISNUMBER(D_Emissions!J$35),IF($E93="","",IF(SUMIF(F_ProductBM!$S:$S,$S93,F_ProductBM!V:V)&gt;0,EUconst_NA,SUMIF(F_ProductBM!$S:$S,$P93,F_ProductBM!V:V))),"")</f>
        <v/>
      </c>
      <c r="K93" s="274" t="str">
        <f>IF(ISNUMBER(D_Emissions!K$35),IF($E93="","",IF(SUMIF(F_ProductBM!$S:$S,$S93,F_ProductBM!W:W)&gt;0,EUconst_NA,SUMIF(F_ProductBM!$S:$S,$P93,F_ProductBM!W:W))),"")</f>
        <v/>
      </c>
      <c r="L93" s="274" t="str">
        <f>IF(ISNUMBER(D_Emissions!L$35),IF($E93="","",IF(SUMIF(F_ProductBM!$S:$S,$S93,F_ProductBM!X:X)&gt;0,EUconst_NA,SUMIF(F_ProductBM!$S:$S,$P93,F_ProductBM!X:X))),"")</f>
        <v/>
      </c>
      <c r="M93" s="274" t="str">
        <f>IF(ISNUMBER(D_Emissions!M$35),IF($E93="","",IF(SUMIF(F_ProductBM!$S:$S,$S93,F_ProductBM!Y:Y)&gt;0,EUconst_NA,SUMIF(F_ProductBM!$S:$S,$P93,F_ProductBM!Y:Y))),"")</f>
        <v/>
      </c>
      <c r="N93" s="274" t="str">
        <f>IF(ISNUMBER(D_Emissions!N$35),IF($E93="","",IF(SUMIF(F_ProductBM!$S:$S,$S93,F_ProductBM!Z:Z)&gt;0,EUconst_NA,SUMIF(F_ProductBM!$S:$S,$P93,F_ProductBM!Z:Z))),"")</f>
        <v/>
      </c>
      <c r="O93" s="19"/>
      <c r="P93" s="293" t="str">
        <f t="shared" si="7"/>
        <v>AttrEmissions_</v>
      </c>
      <c r="Q93" s="345">
        <v>2</v>
      </c>
      <c r="R93" s="2"/>
      <c r="S93" s="108" t="str">
        <f t="shared" si="8"/>
        <v>ERR_AttrEmBM_</v>
      </c>
      <c r="T93" s="2"/>
      <c r="U93" s="349"/>
      <c r="V93" s="349"/>
    </row>
    <row r="94" spans="1:22" ht="12.75" customHeight="1" x14ac:dyDescent="0.25">
      <c r="A94" s="2"/>
      <c r="B94" s="19"/>
      <c r="C94" s="19"/>
      <c r="D94" s="289"/>
      <c r="E94" s="2780" t="str">
        <f t="shared" si="5"/>
        <v/>
      </c>
      <c r="F94" s="2476"/>
      <c r="G94" s="557" t="str">
        <f t="shared" si="6"/>
        <v>t CO2e/år</v>
      </c>
      <c r="H94" s="274" t="str">
        <f>IF(ISNUMBER(D_Emissions!H$35),IF($E94="","",IF(SUMIF(F_ProductBM!$S:$S,$S94,F_ProductBM!T:T)&gt;0,EUconst_NA,SUMIF(F_ProductBM!$S:$S,$P94,F_ProductBM!T:T))),"")</f>
        <v/>
      </c>
      <c r="I94" s="274" t="str">
        <f>IF(ISNUMBER(D_Emissions!I$35),IF($E94="","",IF(SUMIF(F_ProductBM!$S:$S,$S94,F_ProductBM!U:U)&gt;0,EUconst_NA,SUMIF(F_ProductBM!$S:$S,$P94,F_ProductBM!U:U))),"")</f>
        <v/>
      </c>
      <c r="J94" s="274" t="str">
        <f>IF(ISNUMBER(D_Emissions!J$35),IF($E94="","",IF(SUMIF(F_ProductBM!$S:$S,$S94,F_ProductBM!V:V)&gt;0,EUconst_NA,SUMIF(F_ProductBM!$S:$S,$P94,F_ProductBM!V:V))),"")</f>
        <v/>
      </c>
      <c r="K94" s="274" t="str">
        <f>IF(ISNUMBER(D_Emissions!K$35),IF($E94="","",IF(SUMIF(F_ProductBM!$S:$S,$S94,F_ProductBM!W:W)&gt;0,EUconst_NA,SUMIF(F_ProductBM!$S:$S,$P94,F_ProductBM!W:W))),"")</f>
        <v/>
      </c>
      <c r="L94" s="274" t="str">
        <f>IF(ISNUMBER(D_Emissions!L$35),IF($E94="","",IF(SUMIF(F_ProductBM!$S:$S,$S94,F_ProductBM!X:X)&gt;0,EUconst_NA,SUMIF(F_ProductBM!$S:$S,$P94,F_ProductBM!X:X))),"")</f>
        <v/>
      </c>
      <c r="M94" s="274" t="str">
        <f>IF(ISNUMBER(D_Emissions!M$35),IF($E94="","",IF(SUMIF(F_ProductBM!$S:$S,$S94,F_ProductBM!Y:Y)&gt;0,EUconst_NA,SUMIF(F_ProductBM!$S:$S,$P94,F_ProductBM!Y:Y))),"")</f>
        <v/>
      </c>
      <c r="N94" s="274" t="str">
        <f>IF(ISNUMBER(D_Emissions!N$35),IF($E94="","",IF(SUMIF(F_ProductBM!$S:$S,$S94,F_ProductBM!Z:Z)&gt;0,EUconst_NA,SUMIF(F_ProductBM!$S:$S,$P94,F_ProductBM!Z:Z))),"")</f>
        <v/>
      </c>
      <c r="O94" s="19"/>
      <c r="P94" s="293" t="str">
        <f t="shared" si="7"/>
        <v>AttrEmissions_</v>
      </c>
      <c r="Q94" s="345">
        <v>3</v>
      </c>
      <c r="R94" s="2"/>
      <c r="S94" s="108" t="str">
        <f t="shared" si="8"/>
        <v>ERR_AttrEmBM_</v>
      </c>
      <c r="T94" s="2"/>
      <c r="U94" s="349"/>
      <c r="V94" s="349"/>
    </row>
    <row r="95" spans="1:22" x14ac:dyDescent="0.25">
      <c r="A95" s="2"/>
      <c r="B95" s="19"/>
      <c r="C95" s="19"/>
      <c r="D95" s="289"/>
      <c r="E95" s="2780" t="str">
        <f t="shared" si="5"/>
        <v/>
      </c>
      <c r="F95" s="2476"/>
      <c r="G95" s="557" t="str">
        <f t="shared" si="6"/>
        <v>t CO2e/år</v>
      </c>
      <c r="H95" s="274" t="str">
        <f>IF(ISNUMBER(D_Emissions!H$35),IF($E95="","",IF(SUMIF(F_ProductBM!$S:$S,$S95,F_ProductBM!T:T)&gt;0,EUconst_NA,SUMIF(F_ProductBM!$S:$S,$P95,F_ProductBM!T:T))),"")</f>
        <v/>
      </c>
      <c r="I95" s="274" t="str">
        <f>IF(ISNUMBER(D_Emissions!I$35),IF($E95="","",IF(SUMIF(F_ProductBM!$S:$S,$S95,F_ProductBM!U:U)&gt;0,EUconst_NA,SUMIF(F_ProductBM!$S:$S,$P95,F_ProductBM!U:U))),"")</f>
        <v/>
      </c>
      <c r="J95" s="274" t="str">
        <f>IF(ISNUMBER(D_Emissions!J$35),IF($E95="","",IF(SUMIF(F_ProductBM!$S:$S,$S95,F_ProductBM!V:V)&gt;0,EUconst_NA,SUMIF(F_ProductBM!$S:$S,$P95,F_ProductBM!V:V))),"")</f>
        <v/>
      </c>
      <c r="K95" s="274" t="str">
        <f>IF(ISNUMBER(D_Emissions!K$35),IF($E95="","",IF(SUMIF(F_ProductBM!$S:$S,$S95,F_ProductBM!W:W)&gt;0,EUconst_NA,SUMIF(F_ProductBM!$S:$S,$P95,F_ProductBM!W:W))),"")</f>
        <v/>
      </c>
      <c r="L95" s="274" t="str">
        <f>IF(ISNUMBER(D_Emissions!L$35),IF($E95="","",IF(SUMIF(F_ProductBM!$S:$S,$S95,F_ProductBM!X:X)&gt;0,EUconst_NA,SUMIF(F_ProductBM!$S:$S,$P95,F_ProductBM!X:X))),"")</f>
        <v/>
      </c>
      <c r="M95" s="274" t="str">
        <f>IF(ISNUMBER(D_Emissions!M$35),IF($E95="","",IF(SUMIF(F_ProductBM!$S:$S,$S95,F_ProductBM!Y:Y)&gt;0,EUconst_NA,SUMIF(F_ProductBM!$S:$S,$P95,F_ProductBM!Y:Y))),"")</f>
        <v/>
      </c>
      <c r="N95" s="274" t="str">
        <f>IF(ISNUMBER(D_Emissions!N$35),IF($E95="","",IF(SUMIF(F_ProductBM!$S:$S,$S95,F_ProductBM!Z:Z)&gt;0,EUconst_NA,SUMIF(F_ProductBM!$S:$S,$P95,F_ProductBM!Z:Z))),"")</f>
        <v/>
      </c>
      <c r="O95" s="19"/>
      <c r="P95" s="293" t="str">
        <f t="shared" si="7"/>
        <v>AttrEmissions_</v>
      </c>
      <c r="Q95" s="345">
        <v>4</v>
      </c>
      <c r="R95" s="2"/>
      <c r="S95" s="108" t="str">
        <f t="shared" si="8"/>
        <v>ERR_AttrEmBM_</v>
      </c>
      <c r="T95" s="2"/>
      <c r="U95" s="349"/>
      <c r="V95" s="349"/>
    </row>
    <row r="96" spans="1:22" x14ac:dyDescent="0.25">
      <c r="A96" s="2"/>
      <c r="B96" s="19"/>
      <c r="C96" s="19"/>
      <c r="D96" s="289"/>
      <c r="E96" s="2780" t="str">
        <f t="shared" si="5"/>
        <v/>
      </c>
      <c r="F96" s="2476"/>
      <c r="G96" s="557" t="str">
        <f t="shared" si="6"/>
        <v>t CO2e/år</v>
      </c>
      <c r="H96" s="274" t="str">
        <f>IF(ISNUMBER(D_Emissions!H$35),IF($E96="","",IF(SUMIF(F_ProductBM!$S:$S,$S96,F_ProductBM!T:T)&gt;0,EUconst_NA,SUMIF(F_ProductBM!$S:$S,$P96,F_ProductBM!T:T))),"")</f>
        <v/>
      </c>
      <c r="I96" s="274" t="str">
        <f>IF(ISNUMBER(D_Emissions!I$35),IF($E96="","",IF(SUMIF(F_ProductBM!$S:$S,$S96,F_ProductBM!U:U)&gt;0,EUconst_NA,SUMIF(F_ProductBM!$S:$S,$P96,F_ProductBM!U:U))),"")</f>
        <v/>
      </c>
      <c r="J96" s="274" t="str">
        <f>IF(ISNUMBER(D_Emissions!J$35),IF($E96="","",IF(SUMIF(F_ProductBM!$S:$S,$S96,F_ProductBM!V:V)&gt;0,EUconst_NA,SUMIF(F_ProductBM!$S:$S,$P96,F_ProductBM!V:V))),"")</f>
        <v/>
      </c>
      <c r="K96" s="274" t="str">
        <f>IF(ISNUMBER(D_Emissions!K$35),IF($E96="","",IF(SUMIF(F_ProductBM!$S:$S,$S96,F_ProductBM!W:W)&gt;0,EUconst_NA,SUMIF(F_ProductBM!$S:$S,$P96,F_ProductBM!W:W))),"")</f>
        <v/>
      </c>
      <c r="L96" s="274" t="str">
        <f>IF(ISNUMBER(D_Emissions!L$35),IF($E96="","",IF(SUMIF(F_ProductBM!$S:$S,$S96,F_ProductBM!X:X)&gt;0,EUconst_NA,SUMIF(F_ProductBM!$S:$S,$P96,F_ProductBM!X:X))),"")</f>
        <v/>
      </c>
      <c r="M96" s="274" t="str">
        <f>IF(ISNUMBER(D_Emissions!M$35),IF($E96="","",IF(SUMIF(F_ProductBM!$S:$S,$S96,F_ProductBM!Y:Y)&gt;0,EUconst_NA,SUMIF(F_ProductBM!$S:$S,$P96,F_ProductBM!Y:Y))),"")</f>
        <v/>
      </c>
      <c r="N96" s="274" t="str">
        <f>IF(ISNUMBER(D_Emissions!N$35),IF($E96="","",IF(SUMIF(F_ProductBM!$S:$S,$S96,F_ProductBM!Z:Z)&gt;0,EUconst_NA,SUMIF(F_ProductBM!$S:$S,$P96,F_ProductBM!Z:Z))),"")</f>
        <v/>
      </c>
      <c r="O96" s="19"/>
      <c r="P96" s="293" t="str">
        <f t="shared" si="7"/>
        <v>AttrEmissions_</v>
      </c>
      <c r="Q96" s="345">
        <v>5</v>
      </c>
      <c r="R96" s="2"/>
      <c r="S96" s="108" t="str">
        <f t="shared" si="8"/>
        <v>ERR_AttrEmBM_</v>
      </c>
      <c r="T96" s="2"/>
      <c r="U96" s="349"/>
      <c r="V96" s="349"/>
    </row>
    <row r="97" spans="1:22" ht="12.75" customHeight="1" x14ac:dyDescent="0.25">
      <c r="A97" s="2"/>
      <c r="B97" s="19"/>
      <c r="C97" s="19"/>
      <c r="D97" s="289"/>
      <c r="E97" s="2780" t="str">
        <f t="shared" si="5"/>
        <v/>
      </c>
      <c r="F97" s="2476"/>
      <c r="G97" s="557" t="str">
        <f t="shared" si="6"/>
        <v>t CO2e/år</v>
      </c>
      <c r="H97" s="274" t="str">
        <f>IF(ISNUMBER(D_Emissions!H$35),IF($E97="","",IF(SUMIF(F_ProductBM!$S:$S,$S97,F_ProductBM!T:T)&gt;0,EUconst_NA,SUMIF(F_ProductBM!$S:$S,$P97,F_ProductBM!T:T))),"")</f>
        <v/>
      </c>
      <c r="I97" s="274" t="str">
        <f>IF(ISNUMBER(D_Emissions!I$35),IF($E97="","",IF(SUMIF(F_ProductBM!$S:$S,$S97,F_ProductBM!U:U)&gt;0,EUconst_NA,SUMIF(F_ProductBM!$S:$S,$P97,F_ProductBM!U:U))),"")</f>
        <v/>
      </c>
      <c r="J97" s="274" t="str">
        <f>IF(ISNUMBER(D_Emissions!J$35),IF($E97="","",IF(SUMIF(F_ProductBM!$S:$S,$S97,F_ProductBM!V:V)&gt;0,EUconst_NA,SUMIF(F_ProductBM!$S:$S,$P97,F_ProductBM!V:V))),"")</f>
        <v/>
      </c>
      <c r="K97" s="274" t="str">
        <f>IF(ISNUMBER(D_Emissions!K$35),IF($E97="","",IF(SUMIF(F_ProductBM!$S:$S,$S97,F_ProductBM!W:W)&gt;0,EUconst_NA,SUMIF(F_ProductBM!$S:$S,$P97,F_ProductBM!W:W))),"")</f>
        <v/>
      </c>
      <c r="L97" s="274" t="str">
        <f>IF(ISNUMBER(D_Emissions!L$35),IF($E97="","",IF(SUMIF(F_ProductBM!$S:$S,$S97,F_ProductBM!X:X)&gt;0,EUconst_NA,SUMIF(F_ProductBM!$S:$S,$P97,F_ProductBM!X:X))),"")</f>
        <v/>
      </c>
      <c r="M97" s="274" t="str">
        <f>IF(ISNUMBER(D_Emissions!M$35),IF($E97="","",IF(SUMIF(F_ProductBM!$S:$S,$S97,F_ProductBM!Y:Y)&gt;0,EUconst_NA,SUMIF(F_ProductBM!$S:$S,$P97,F_ProductBM!Y:Y))),"")</f>
        <v/>
      </c>
      <c r="N97" s="274" t="str">
        <f>IF(ISNUMBER(D_Emissions!N$35),IF($E97="","",IF(SUMIF(F_ProductBM!$S:$S,$S97,F_ProductBM!Z:Z)&gt;0,EUconst_NA,SUMIF(F_ProductBM!$S:$S,$P97,F_ProductBM!Z:Z))),"")</f>
        <v/>
      </c>
      <c r="O97" s="19"/>
      <c r="P97" s="293" t="str">
        <f t="shared" si="7"/>
        <v>AttrEmissions_</v>
      </c>
      <c r="Q97" s="345">
        <v>6</v>
      </c>
      <c r="R97" s="2"/>
      <c r="S97" s="108" t="str">
        <f t="shared" si="8"/>
        <v>ERR_AttrEmBM_</v>
      </c>
      <c r="T97" s="2"/>
      <c r="U97" s="349"/>
      <c r="V97" s="349"/>
    </row>
    <row r="98" spans="1:22" ht="12.75" customHeight="1" x14ac:dyDescent="0.25">
      <c r="A98" s="2"/>
      <c r="B98" s="19"/>
      <c r="C98" s="19"/>
      <c r="D98" s="289"/>
      <c r="E98" s="2780" t="str">
        <f t="shared" si="5"/>
        <v/>
      </c>
      <c r="F98" s="2476"/>
      <c r="G98" s="557" t="str">
        <f t="shared" si="6"/>
        <v>t CO2e/år</v>
      </c>
      <c r="H98" s="274" t="str">
        <f>IF(ISNUMBER(D_Emissions!H$35),IF($E98="","",IF(SUMIF(F_ProductBM!$S:$S,$S98,F_ProductBM!T:T)&gt;0,EUconst_NA,SUMIF(F_ProductBM!$S:$S,$P98,F_ProductBM!T:T))),"")</f>
        <v/>
      </c>
      <c r="I98" s="274" t="str">
        <f>IF(ISNUMBER(D_Emissions!I$35),IF($E98="","",IF(SUMIF(F_ProductBM!$S:$S,$S98,F_ProductBM!U:U)&gt;0,EUconst_NA,SUMIF(F_ProductBM!$S:$S,$P98,F_ProductBM!U:U))),"")</f>
        <v/>
      </c>
      <c r="J98" s="274" t="str">
        <f>IF(ISNUMBER(D_Emissions!J$35),IF($E98="","",IF(SUMIF(F_ProductBM!$S:$S,$S98,F_ProductBM!V:V)&gt;0,EUconst_NA,SUMIF(F_ProductBM!$S:$S,$P98,F_ProductBM!V:V))),"")</f>
        <v/>
      </c>
      <c r="K98" s="274" t="str">
        <f>IF(ISNUMBER(D_Emissions!K$35),IF($E98="","",IF(SUMIF(F_ProductBM!$S:$S,$S98,F_ProductBM!W:W)&gt;0,EUconst_NA,SUMIF(F_ProductBM!$S:$S,$P98,F_ProductBM!W:W))),"")</f>
        <v/>
      </c>
      <c r="L98" s="274" t="str">
        <f>IF(ISNUMBER(D_Emissions!L$35),IF($E98="","",IF(SUMIF(F_ProductBM!$S:$S,$S98,F_ProductBM!X:X)&gt;0,EUconst_NA,SUMIF(F_ProductBM!$S:$S,$P98,F_ProductBM!X:X))),"")</f>
        <v/>
      </c>
      <c r="M98" s="274" t="str">
        <f>IF(ISNUMBER(D_Emissions!M$35),IF($E98="","",IF(SUMIF(F_ProductBM!$S:$S,$S98,F_ProductBM!Y:Y)&gt;0,EUconst_NA,SUMIF(F_ProductBM!$S:$S,$P98,F_ProductBM!Y:Y))),"")</f>
        <v/>
      </c>
      <c r="N98" s="274" t="str">
        <f>IF(ISNUMBER(D_Emissions!N$35),IF($E98="","",IF(SUMIF(F_ProductBM!$S:$S,$S98,F_ProductBM!Z:Z)&gt;0,EUconst_NA,SUMIF(F_ProductBM!$S:$S,$P98,F_ProductBM!Z:Z))),"")</f>
        <v/>
      </c>
      <c r="O98" s="19"/>
      <c r="P98" s="293" t="str">
        <f t="shared" si="7"/>
        <v>AttrEmissions_</v>
      </c>
      <c r="Q98" s="345">
        <v>7</v>
      </c>
      <c r="R98" s="2"/>
      <c r="S98" s="108" t="str">
        <f t="shared" si="8"/>
        <v>ERR_AttrEmBM_</v>
      </c>
      <c r="T98" s="2"/>
      <c r="U98" s="349"/>
      <c r="V98" s="349"/>
    </row>
    <row r="99" spans="1:22" x14ac:dyDescent="0.25">
      <c r="A99" s="2"/>
      <c r="B99" s="19"/>
      <c r="C99" s="19"/>
      <c r="D99" s="289"/>
      <c r="E99" s="2780" t="str">
        <f t="shared" si="5"/>
        <v/>
      </c>
      <c r="F99" s="2476"/>
      <c r="G99" s="557" t="str">
        <f t="shared" si="6"/>
        <v>t CO2e/år</v>
      </c>
      <c r="H99" s="274" t="str">
        <f>IF(ISNUMBER(D_Emissions!H$35),IF($E99="","",IF(SUMIF(F_ProductBM!$S:$S,$S99,F_ProductBM!T:T)&gt;0,EUconst_NA,SUMIF(F_ProductBM!$S:$S,$P99,F_ProductBM!T:T))),"")</f>
        <v/>
      </c>
      <c r="I99" s="274" t="str">
        <f>IF(ISNUMBER(D_Emissions!I$35),IF($E99="","",IF(SUMIF(F_ProductBM!$S:$S,$S99,F_ProductBM!U:U)&gt;0,EUconst_NA,SUMIF(F_ProductBM!$S:$S,$P99,F_ProductBM!U:U))),"")</f>
        <v/>
      </c>
      <c r="J99" s="274" t="str">
        <f>IF(ISNUMBER(D_Emissions!J$35),IF($E99="","",IF(SUMIF(F_ProductBM!$S:$S,$S99,F_ProductBM!V:V)&gt;0,EUconst_NA,SUMIF(F_ProductBM!$S:$S,$P99,F_ProductBM!V:V))),"")</f>
        <v/>
      </c>
      <c r="K99" s="274" t="str">
        <f>IF(ISNUMBER(D_Emissions!K$35),IF($E99="","",IF(SUMIF(F_ProductBM!$S:$S,$S99,F_ProductBM!W:W)&gt;0,EUconst_NA,SUMIF(F_ProductBM!$S:$S,$P99,F_ProductBM!W:W))),"")</f>
        <v/>
      </c>
      <c r="L99" s="274" t="str">
        <f>IF(ISNUMBER(D_Emissions!L$35),IF($E99="","",IF(SUMIF(F_ProductBM!$S:$S,$S99,F_ProductBM!X:X)&gt;0,EUconst_NA,SUMIF(F_ProductBM!$S:$S,$P99,F_ProductBM!X:X))),"")</f>
        <v/>
      </c>
      <c r="M99" s="274" t="str">
        <f>IF(ISNUMBER(D_Emissions!M$35),IF($E99="","",IF(SUMIF(F_ProductBM!$S:$S,$S99,F_ProductBM!Y:Y)&gt;0,EUconst_NA,SUMIF(F_ProductBM!$S:$S,$P99,F_ProductBM!Y:Y))),"")</f>
        <v/>
      </c>
      <c r="N99" s="274" t="str">
        <f>IF(ISNUMBER(D_Emissions!N$35),IF($E99="","",IF(SUMIF(F_ProductBM!$S:$S,$S99,F_ProductBM!Z:Z)&gt;0,EUconst_NA,SUMIF(F_ProductBM!$S:$S,$P99,F_ProductBM!Z:Z))),"")</f>
        <v/>
      </c>
      <c r="O99" s="19"/>
      <c r="P99" s="293" t="str">
        <f t="shared" si="7"/>
        <v>AttrEmissions_</v>
      </c>
      <c r="Q99" s="345">
        <v>8</v>
      </c>
      <c r="R99" s="2"/>
      <c r="S99" s="108" t="str">
        <f t="shared" si="8"/>
        <v>ERR_AttrEmBM_</v>
      </c>
      <c r="T99" s="2"/>
      <c r="U99" s="349"/>
      <c r="V99" s="349"/>
    </row>
    <row r="100" spans="1:22" ht="12.75" customHeight="1" x14ac:dyDescent="0.25">
      <c r="A100" s="2"/>
      <c r="B100" s="19"/>
      <c r="C100" s="19"/>
      <c r="D100" s="289"/>
      <c r="E100" s="2780" t="str">
        <f t="shared" si="5"/>
        <v/>
      </c>
      <c r="F100" s="2476"/>
      <c r="G100" s="557" t="str">
        <f t="shared" si="6"/>
        <v>t CO2e/år</v>
      </c>
      <c r="H100" s="274" t="str">
        <f>IF(ISNUMBER(D_Emissions!H$35),IF($E100="","",IF(SUMIF(F_ProductBM!$S:$S,$S100,F_ProductBM!T:T)&gt;0,EUconst_NA,SUMIF(F_ProductBM!$S:$S,$P100,F_ProductBM!T:T))),"")</f>
        <v/>
      </c>
      <c r="I100" s="274" t="str">
        <f>IF(ISNUMBER(D_Emissions!I$35),IF($E100="","",IF(SUMIF(F_ProductBM!$S:$S,$S100,F_ProductBM!U:U)&gt;0,EUconst_NA,SUMIF(F_ProductBM!$S:$S,$P100,F_ProductBM!U:U))),"")</f>
        <v/>
      </c>
      <c r="J100" s="274" t="str">
        <f>IF(ISNUMBER(D_Emissions!J$35),IF($E100="","",IF(SUMIF(F_ProductBM!$S:$S,$S100,F_ProductBM!V:V)&gt;0,EUconst_NA,SUMIF(F_ProductBM!$S:$S,$P100,F_ProductBM!V:V))),"")</f>
        <v/>
      </c>
      <c r="K100" s="274" t="str">
        <f>IF(ISNUMBER(D_Emissions!K$35),IF($E100="","",IF(SUMIF(F_ProductBM!$S:$S,$S100,F_ProductBM!W:W)&gt;0,EUconst_NA,SUMIF(F_ProductBM!$S:$S,$P100,F_ProductBM!W:W))),"")</f>
        <v/>
      </c>
      <c r="L100" s="274" t="str">
        <f>IF(ISNUMBER(D_Emissions!L$35),IF($E100="","",IF(SUMIF(F_ProductBM!$S:$S,$S100,F_ProductBM!X:X)&gt;0,EUconst_NA,SUMIF(F_ProductBM!$S:$S,$P100,F_ProductBM!X:X))),"")</f>
        <v/>
      </c>
      <c r="M100" s="274" t="str">
        <f>IF(ISNUMBER(D_Emissions!M$35),IF($E100="","",IF(SUMIF(F_ProductBM!$S:$S,$S100,F_ProductBM!Y:Y)&gt;0,EUconst_NA,SUMIF(F_ProductBM!$S:$S,$P100,F_ProductBM!Y:Y))),"")</f>
        <v/>
      </c>
      <c r="N100" s="274" t="str">
        <f>IF(ISNUMBER(D_Emissions!N$35),IF($E100="","",IF(SUMIF(F_ProductBM!$S:$S,$S100,F_ProductBM!Z:Z)&gt;0,EUconst_NA,SUMIF(F_ProductBM!$S:$S,$P100,F_ProductBM!Z:Z))),"")</f>
        <v/>
      </c>
      <c r="O100" s="19"/>
      <c r="P100" s="293" t="str">
        <f t="shared" si="7"/>
        <v>AttrEmissions_</v>
      </c>
      <c r="Q100" s="345">
        <v>9</v>
      </c>
      <c r="R100" s="2"/>
      <c r="S100" s="108" t="str">
        <f t="shared" si="8"/>
        <v>ERR_AttrEmBM_</v>
      </c>
      <c r="T100" s="2"/>
      <c r="U100" s="349"/>
      <c r="V100" s="349"/>
    </row>
    <row r="101" spans="1:22" ht="13.5" customHeight="1" thickBot="1" x14ac:dyDescent="0.3">
      <c r="A101" s="2"/>
      <c r="B101" s="19"/>
      <c r="C101" s="19"/>
      <c r="D101" s="289"/>
      <c r="E101" s="2781" t="str">
        <f t="shared" si="5"/>
        <v/>
      </c>
      <c r="F101" s="2487"/>
      <c r="G101" s="473" t="str">
        <f t="shared" si="6"/>
        <v>t CO2e/år</v>
      </c>
      <c r="H101" s="275" t="str">
        <f>IF(ISNUMBER(D_Emissions!H$35),IF($E101="","",IF(SUMIF(F_ProductBM!$S:$S,$S101,F_ProductBM!T:T)&gt;0,EUconst_NA,SUMIF(F_ProductBM!$S:$S,$P101,F_ProductBM!T:T))),"")</f>
        <v/>
      </c>
      <c r="I101" s="275" t="str">
        <f>IF(ISNUMBER(D_Emissions!I$35),IF($E101="","",IF(SUMIF(F_ProductBM!$S:$S,$S101,F_ProductBM!U:U)&gt;0,EUconst_NA,SUMIF(F_ProductBM!$S:$S,$P101,F_ProductBM!U:U))),"")</f>
        <v/>
      </c>
      <c r="J101" s="275" t="str">
        <f>IF(ISNUMBER(D_Emissions!J$35),IF($E101="","",IF(SUMIF(F_ProductBM!$S:$S,$S101,F_ProductBM!V:V)&gt;0,EUconst_NA,SUMIF(F_ProductBM!$S:$S,$P101,F_ProductBM!V:V))),"")</f>
        <v/>
      </c>
      <c r="K101" s="275" t="str">
        <f>IF(ISNUMBER(D_Emissions!K$35),IF($E101="","",IF(SUMIF(F_ProductBM!$S:$S,$S101,F_ProductBM!W:W)&gt;0,EUconst_NA,SUMIF(F_ProductBM!$S:$S,$P101,F_ProductBM!W:W))),"")</f>
        <v/>
      </c>
      <c r="L101" s="275" t="str">
        <f>IF(ISNUMBER(D_Emissions!L$35),IF($E101="","",IF(SUMIF(F_ProductBM!$S:$S,$S101,F_ProductBM!X:X)&gt;0,EUconst_NA,SUMIF(F_ProductBM!$S:$S,$P101,F_ProductBM!X:X))),"")</f>
        <v/>
      </c>
      <c r="M101" s="275" t="str">
        <f>IF(ISNUMBER(D_Emissions!M$35),IF($E101="","",IF(SUMIF(F_ProductBM!$S:$S,$S101,F_ProductBM!Y:Y)&gt;0,EUconst_NA,SUMIF(F_ProductBM!$S:$S,$P101,F_ProductBM!Y:Y))),"")</f>
        <v/>
      </c>
      <c r="N101" s="275" t="str">
        <f>IF(ISNUMBER(D_Emissions!N$35),IF($E101="","",IF(SUMIF(F_ProductBM!$S:$S,$S101,F_ProductBM!Z:Z)&gt;0,EUconst_NA,SUMIF(F_ProductBM!$S:$S,$P101,F_ProductBM!Z:Z))),"")</f>
        <v/>
      </c>
      <c r="O101" s="19"/>
      <c r="P101" s="155" t="str">
        <f t="shared" si="7"/>
        <v>AttrEmissions_</v>
      </c>
      <c r="Q101" s="348">
        <v>10</v>
      </c>
      <c r="R101" s="2"/>
      <c r="S101" s="108" t="str">
        <f t="shared" si="8"/>
        <v>ERR_AttrEmBM_</v>
      </c>
      <c r="T101" s="2"/>
      <c r="U101" s="349"/>
      <c r="V101" s="349"/>
    </row>
    <row r="102" spans="1:22" ht="12.75" customHeight="1" x14ac:dyDescent="0.25">
      <c r="A102" s="2"/>
      <c r="B102" s="19"/>
      <c r="C102" s="19"/>
      <c r="D102" s="289"/>
      <c r="E102" s="2483" t="str">
        <f t="shared" ref="E102:E108" si="9">INDEX(EUconst_FallBackListNames,Q102)</f>
        <v>Delanläggning med värmeriktmärke, KL</v>
      </c>
      <c r="F102" s="2484"/>
      <c r="G102" s="557" t="str">
        <f t="shared" si="6"/>
        <v>t CO2e/år</v>
      </c>
      <c r="H102" s="274" t="str">
        <f>IF(ISNUMBER(D_Emissions!H$35),IF(INDEX(CNTR_FallBackSubInstRelevant,$Q102),IF(SUMIF('G_Fall-back'!$S:$S,$S102,'G_Fall-back'!T:T)&gt;0,EUconst_NA,SUMIF('G_Fall-back'!$S:$S,$P102,'G_Fall-back'!T:T)),""),"")</f>
        <v/>
      </c>
      <c r="I102" s="274" t="str">
        <f>IF(ISNUMBER(D_Emissions!I$35),IF(INDEX(CNTR_FallBackSubInstRelevant,$Q102),IF(SUMIF('G_Fall-back'!$S:$S,$S102,'G_Fall-back'!U:U)&gt;0,EUconst_NA,SUMIF('G_Fall-back'!$S:$S,$P102,'G_Fall-back'!U:U)),""),"")</f>
        <v/>
      </c>
      <c r="J102" s="274" t="str">
        <f>IF(ISNUMBER(D_Emissions!J$35),IF(INDEX(CNTR_FallBackSubInstRelevant,$Q102),IF(SUMIF('G_Fall-back'!$S:$S,$S102,'G_Fall-back'!V:V)&gt;0,EUconst_NA,SUMIF('G_Fall-back'!$S:$S,$P102,'G_Fall-back'!V:V)),""),"")</f>
        <v/>
      </c>
      <c r="K102" s="274" t="str">
        <f>IF(ISNUMBER(D_Emissions!K$35),IF(INDEX(CNTR_FallBackSubInstRelevant,$Q102),IF(SUMIF('G_Fall-back'!$S:$S,$S102,'G_Fall-back'!W:W)&gt;0,EUconst_NA,SUMIF('G_Fall-back'!$S:$S,$P102,'G_Fall-back'!W:W)),""),"")</f>
        <v/>
      </c>
      <c r="L102" s="274" t="str">
        <f>IF(ISNUMBER(D_Emissions!L$35),IF(INDEX(CNTR_FallBackSubInstRelevant,$Q102),IF(SUMIF('G_Fall-back'!$S:$S,$S102,'G_Fall-back'!X:X)&gt;0,EUconst_NA,SUMIF('G_Fall-back'!$S:$S,$P102,'G_Fall-back'!X:X)),""),"")</f>
        <v/>
      </c>
      <c r="M102" s="274" t="str">
        <f>IF(ISNUMBER(D_Emissions!M$35),IF(INDEX(CNTR_FallBackSubInstRelevant,$Q102),IF(SUMIF('G_Fall-back'!$S:$S,$S102,'G_Fall-back'!Y:Y)&gt;0,EUconst_NA,SUMIF('G_Fall-back'!$S:$S,$P102,'G_Fall-back'!Y:Y)),""),"")</f>
        <v/>
      </c>
      <c r="N102" s="274" t="str">
        <f>IF(ISNUMBER(D_Emissions!N$35),IF(INDEX(CNTR_FallBackSubInstRelevant,$Q102),IF(SUMIF('G_Fall-back'!$S:$S,$S102,'G_Fall-back'!Z:Z)&gt;0,EUconst_NA,SUMIF('G_Fall-back'!$S:$S,$P102,'G_Fall-back'!Z:Z)),""),"")</f>
        <v/>
      </c>
      <c r="O102" s="19"/>
      <c r="P102" s="161" t="str">
        <f t="shared" si="7"/>
        <v>AttrEmissions_Delanläggning med värmeriktmärke, KL</v>
      </c>
      <c r="Q102" s="347">
        <v>1</v>
      </c>
      <c r="R102" s="2"/>
      <c r="S102" s="108" t="str">
        <f t="shared" si="8"/>
        <v>ERR_AttrEmBM_Delanläggning med värmeriktmärke, KL</v>
      </c>
      <c r="T102" s="2"/>
      <c r="U102" s="349"/>
      <c r="V102" s="349"/>
    </row>
    <row r="103" spans="1:22" ht="12.75" customHeight="1" x14ac:dyDescent="0.25">
      <c r="A103" s="2"/>
      <c r="B103" s="19"/>
      <c r="C103" s="19"/>
      <c r="D103" s="289"/>
      <c r="E103" s="2485" t="str">
        <f t="shared" si="9"/>
        <v>Delanläggning med värmeriktmärke, ej KL</v>
      </c>
      <c r="F103" s="2476"/>
      <c r="G103" s="558" t="str">
        <f t="shared" si="6"/>
        <v>t CO2e/år</v>
      </c>
      <c r="H103" s="263" t="str">
        <f>IF(ISNUMBER(D_Emissions!H$35),IF(INDEX(CNTR_FallBackSubInstRelevant,$Q103),IF(SUMIF('G_Fall-back'!$S:$S,$S103,'G_Fall-back'!T:T)&gt;0,EUconst_NA,SUMIF('G_Fall-back'!$S:$S,$P103,'G_Fall-back'!T:T)),""),"")</f>
        <v/>
      </c>
      <c r="I103" s="263" t="str">
        <f>IF(ISNUMBER(D_Emissions!I$35),IF(INDEX(CNTR_FallBackSubInstRelevant,$Q103),IF(SUMIF('G_Fall-back'!$S:$S,$S103,'G_Fall-back'!U:U)&gt;0,EUconst_NA,SUMIF('G_Fall-back'!$S:$S,$P103,'G_Fall-back'!U:U)),""),"")</f>
        <v/>
      </c>
      <c r="J103" s="263" t="str">
        <f>IF(ISNUMBER(D_Emissions!J$35),IF(INDEX(CNTR_FallBackSubInstRelevant,$Q103),IF(SUMIF('G_Fall-back'!$S:$S,$S103,'G_Fall-back'!V:V)&gt;0,EUconst_NA,SUMIF('G_Fall-back'!$S:$S,$P103,'G_Fall-back'!V:V)),""),"")</f>
        <v/>
      </c>
      <c r="K103" s="263" t="str">
        <f>IF(ISNUMBER(D_Emissions!K$35),IF(INDEX(CNTR_FallBackSubInstRelevant,$Q103),IF(SUMIF('G_Fall-back'!$S:$S,$S103,'G_Fall-back'!W:W)&gt;0,EUconst_NA,SUMIF('G_Fall-back'!$S:$S,$P103,'G_Fall-back'!W:W)),""),"")</f>
        <v/>
      </c>
      <c r="L103" s="263" t="str">
        <f>IF(ISNUMBER(D_Emissions!L$35),IF(INDEX(CNTR_FallBackSubInstRelevant,$Q103),IF(SUMIF('G_Fall-back'!$S:$S,$S103,'G_Fall-back'!X:X)&gt;0,EUconst_NA,SUMIF('G_Fall-back'!$S:$S,$P103,'G_Fall-back'!X:X)),""),"")</f>
        <v/>
      </c>
      <c r="M103" s="263" t="str">
        <f>IF(ISNUMBER(D_Emissions!M$35),IF(INDEX(CNTR_FallBackSubInstRelevant,$Q103),IF(SUMIF('G_Fall-back'!$S:$S,$S103,'G_Fall-back'!Y:Y)&gt;0,EUconst_NA,SUMIF('G_Fall-back'!$S:$S,$P103,'G_Fall-back'!Y:Y)),""),"")</f>
        <v/>
      </c>
      <c r="N103" s="263" t="str">
        <f>IF(ISNUMBER(D_Emissions!N$35),IF(INDEX(CNTR_FallBackSubInstRelevant,$Q103),IF(SUMIF('G_Fall-back'!$S:$S,$S103,'G_Fall-back'!Z:Z)&gt;0,EUconst_NA,SUMIF('G_Fall-back'!$S:$S,$P103,'G_Fall-back'!Z:Z)),""),"")</f>
        <v/>
      </c>
      <c r="O103" s="19"/>
      <c r="P103" s="293" t="str">
        <f t="shared" si="7"/>
        <v>AttrEmissions_Delanläggning med värmeriktmärke, ej KL</v>
      </c>
      <c r="Q103" s="345">
        <v>2</v>
      </c>
      <c r="R103" s="2"/>
      <c r="S103" s="108" t="str">
        <f t="shared" si="8"/>
        <v>ERR_AttrEmBM_Delanläggning med värmeriktmärke, ej KL</v>
      </c>
      <c r="T103" s="2"/>
      <c r="U103" s="349"/>
      <c r="V103" s="349"/>
    </row>
    <row r="104" spans="1:22" ht="12.75" customHeight="1" x14ac:dyDescent="0.25">
      <c r="A104" s="2"/>
      <c r="B104" s="19"/>
      <c r="C104" s="19"/>
      <c r="D104" s="289"/>
      <c r="E104" s="2485" t="str">
        <f t="shared" si="9"/>
        <v>Fjärrvärmedelanläggning</v>
      </c>
      <c r="F104" s="2476"/>
      <c r="G104" s="353" t="str">
        <f t="shared" si="6"/>
        <v>t CO2e/år</v>
      </c>
      <c r="H104" s="263" t="str">
        <f>IF(ISNUMBER(D_Emissions!H$35),IF(INDEX(CNTR_FallBackSubInstRelevant,$Q104),IF(SUMIF('G_Fall-back'!$S:$S,$S104,'G_Fall-back'!T:T)&gt;0,EUconst_NA,SUMIF('G_Fall-back'!$S:$S,$P104,'G_Fall-back'!T:T)),""),"")</f>
        <v/>
      </c>
      <c r="I104" s="263" t="str">
        <f>IF(ISNUMBER(D_Emissions!I$35),IF(INDEX(CNTR_FallBackSubInstRelevant,$Q104),IF(SUMIF('G_Fall-back'!$S:$S,$S104,'G_Fall-back'!U:U)&gt;0,EUconst_NA,SUMIF('G_Fall-back'!$S:$S,$P104,'G_Fall-back'!U:U)),""),"")</f>
        <v/>
      </c>
      <c r="J104" s="263" t="str">
        <f>IF(ISNUMBER(D_Emissions!J$35),IF(INDEX(CNTR_FallBackSubInstRelevant,$Q104),IF(SUMIF('G_Fall-back'!$S:$S,$S104,'G_Fall-back'!V:V)&gt;0,EUconst_NA,SUMIF('G_Fall-back'!$S:$S,$P104,'G_Fall-back'!V:V)),""),"")</f>
        <v/>
      </c>
      <c r="K104" s="263" t="str">
        <f>IF(ISNUMBER(D_Emissions!K$35),IF(INDEX(CNTR_FallBackSubInstRelevant,$Q104),IF(SUMIF('G_Fall-back'!$S:$S,$S104,'G_Fall-back'!W:W)&gt;0,EUconst_NA,SUMIF('G_Fall-back'!$S:$S,$P104,'G_Fall-back'!W:W)),""),"")</f>
        <v/>
      </c>
      <c r="L104" s="263" t="str">
        <f>IF(ISNUMBER(D_Emissions!L$35),IF(INDEX(CNTR_FallBackSubInstRelevant,$Q104),IF(SUMIF('G_Fall-back'!$S:$S,$S104,'G_Fall-back'!X:X)&gt;0,EUconst_NA,SUMIF('G_Fall-back'!$S:$S,$P104,'G_Fall-back'!X:X)),""),"")</f>
        <v/>
      </c>
      <c r="M104" s="263" t="str">
        <f>IF(ISNUMBER(D_Emissions!M$35),IF(INDEX(CNTR_FallBackSubInstRelevant,$Q104),IF(SUMIF('G_Fall-back'!$S:$S,$S104,'G_Fall-back'!Y:Y)&gt;0,EUconst_NA,SUMIF('G_Fall-back'!$S:$S,$P104,'G_Fall-back'!Y:Y)),""),"")</f>
        <v/>
      </c>
      <c r="N104" s="263" t="str">
        <f>IF(ISNUMBER(D_Emissions!N$35),IF(INDEX(CNTR_FallBackSubInstRelevant,$Q104),IF(SUMIF('G_Fall-back'!$S:$S,$S104,'G_Fall-back'!Z:Z)&gt;0,EUconst_NA,SUMIF('G_Fall-back'!$S:$S,$P104,'G_Fall-back'!Z:Z)),""),"")</f>
        <v/>
      </c>
      <c r="O104" s="19"/>
      <c r="P104" s="293" t="str">
        <f t="shared" si="7"/>
        <v>AttrEmissions_Fjärrvärmedelanläggning</v>
      </c>
      <c r="Q104" s="347">
        <v>3</v>
      </c>
      <c r="R104" s="2"/>
      <c r="S104" s="108" t="str">
        <f t="shared" si="8"/>
        <v>ERR_AttrEmBM_Fjärrvärmedelanläggning</v>
      </c>
      <c r="T104" s="2"/>
      <c r="U104" s="349"/>
      <c r="V104" s="349"/>
    </row>
    <row r="105" spans="1:22" ht="12.75" customHeight="1" x14ac:dyDescent="0.25">
      <c r="A105" s="2"/>
      <c r="B105" s="19"/>
      <c r="C105" s="19"/>
      <c r="D105" s="289"/>
      <c r="E105" s="2485" t="str">
        <f t="shared" si="9"/>
        <v>Delanläggning med bränsleriktmärke, KL</v>
      </c>
      <c r="F105" s="2476"/>
      <c r="G105" s="558" t="str">
        <f t="shared" si="6"/>
        <v>t CO2e/år</v>
      </c>
      <c r="H105" s="267" t="str">
        <f>IF(ISNUMBER(D_Emissions!H$35),IF(INDEX(CNTR_FallBackSubInstRelevant,$Q105),IF(SUMIF('G_Fall-back'!$S:$S,$S105,'G_Fall-back'!T:T)&gt;0,EUconst_NA,SUMIF('G_Fall-back'!$S:$S,$P105,'G_Fall-back'!T:T)),""),"")</f>
        <v/>
      </c>
      <c r="I105" s="267" t="str">
        <f>IF(ISNUMBER(D_Emissions!I$35),IF(INDEX(CNTR_FallBackSubInstRelevant,$Q105),IF(SUMIF('G_Fall-back'!$S:$S,$S105,'G_Fall-back'!U:U)&gt;0,EUconst_NA,SUMIF('G_Fall-back'!$S:$S,$P105,'G_Fall-back'!U:U)),""),"")</f>
        <v/>
      </c>
      <c r="J105" s="267" t="str">
        <f>IF(ISNUMBER(D_Emissions!J$35),IF(INDEX(CNTR_FallBackSubInstRelevant,$Q105),IF(SUMIF('G_Fall-back'!$S:$S,$S105,'G_Fall-back'!V:V)&gt;0,EUconst_NA,SUMIF('G_Fall-back'!$S:$S,$P105,'G_Fall-back'!V:V)),""),"")</f>
        <v/>
      </c>
      <c r="K105" s="267" t="str">
        <f>IF(ISNUMBER(D_Emissions!K$35),IF(INDEX(CNTR_FallBackSubInstRelevant,$Q105),IF(SUMIF('G_Fall-back'!$S:$S,$S105,'G_Fall-back'!W:W)&gt;0,EUconst_NA,SUMIF('G_Fall-back'!$S:$S,$P105,'G_Fall-back'!W:W)),""),"")</f>
        <v/>
      </c>
      <c r="L105" s="267" t="str">
        <f>IF(ISNUMBER(D_Emissions!L$35),IF(INDEX(CNTR_FallBackSubInstRelevant,$Q105),IF(SUMIF('G_Fall-back'!$S:$S,$S105,'G_Fall-back'!X:X)&gt;0,EUconst_NA,SUMIF('G_Fall-back'!$S:$S,$P105,'G_Fall-back'!X:X)),""),"")</f>
        <v/>
      </c>
      <c r="M105" s="267" t="str">
        <f>IF(ISNUMBER(D_Emissions!M$35),IF(INDEX(CNTR_FallBackSubInstRelevant,$Q105),IF(SUMIF('G_Fall-back'!$S:$S,$S105,'G_Fall-back'!Y:Y)&gt;0,EUconst_NA,SUMIF('G_Fall-back'!$S:$S,$P105,'G_Fall-back'!Y:Y)),""),"")</f>
        <v/>
      </c>
      <c r="N105" s="267" t="str">
        <f>IF(ISNUMBER(D_Emissions!N$35),IF(INDEX(CNTR_FallBackSubInstRelevant,$Q105),IF(SUMIF('G_Fall-back'!$S:$S,$S105,'G_Fall-back'!Z:Z)&gt;0,EUconst_NA,SUMIF('G_Fall-back'!$S:$S,$P105,'G_Fall-back'!Z:Z)),""),"")</f>
        <v/>
      </c>
      <c r="O105" s="19"/>
      <c r="P105" s="293" t="str">
        <f t="shared" si="7"/>
        <v>AttrEmissions_Delanläggning med bränsleriktmärke, KL</v>
      </c>
      <c r="Q105" s="345">
        <v>4</v>
      </c>
      <c r="R105" s="2"/>
      <c r="S105" s="108" t="str">
        <f t="shared" si="8"/>
        <v>ERR_AttrEmBM_Delanläggning med bränsleriktmärke, KL</v>
      </c>
      <c r="T105" s="2"/>
      <c r="U105" s="349"/>
      <c r="V105" s="349"/>
    </row>
    <row r="106" spans="1:22" ht="12.75" customHeight="1" thickBot="1" x14ac:dyDescent="0.3">
      <c r="A106" s="2"/>
      <c r="B106" s="19"/>
      <c r="C106" s="19"/>
      <c r="D106" s="289"/>
      <c r="E106" s="2818" t="str">
        <f t="shared" si="9"/>
        <v>Delanläggning med bränsleriktmärke, ej KL</v>
      </c>
      <c r="F106" s="2797"/>
      <c r="G106" s="559" t="str">
        <f t="shared" si="6"/>
        <v>t CO2e/år</v>
      </c>
      <c r="H106" s="299" t="str">
        <f>IF(ISNUMBER(D_Emissions!H$35),IF(INDEX(CNTR_FallBackSubInstRelevant,$Q106),IF(SUMIF('G_Fall-back'!$S:$S,$S106,'G_Fall-back'!T:T)&gt;0,EUconst_NA,SUMIF('G_Fall-back'!$S:$S,$P106,'G_Fall-back'!T:T)),""),"")</f>
        <v/>
      </c>
      <c r="I106" s="299" t="str">
        <f>IF(ISNUMBER(D_Emissions!I$35),IF(INDEX(CNTR_FallBackSubInstRelevant,$Q106),IF(SUMIF('G_Fall-back'!$S:$S,$S106,'G_Fall-back'!U:U)&gt;0,EUconst_NA,SUMIF('G_Fall-back'!$S:$S,$P106,'G_Fall-back'!U:U)),""),"")</f>
        <v/>
      </c>
      <c r="J106" s="299" t="str">
        <f>IF(ISNUMBER(D_Emissions!J$35),IF(INDEX(CNTR_FallBackSubInstRelevant,$Q106),IF(SUMIF('G_Fall-back'!$S:$S,$S106,'G_Fall-back'!V:V)&gt;0,EUconst_NA,SUMIF('G_Fall-back'!$S:$S,$P106,'G_Fall-back'!V:V)),""),"")</f>
        <v/>
      </c>
      <c r="K106" s="299" t="str">
        <f>IF(ISNUMBER(D_Emissions!K$35),IF(INDEX(CNTR_FallBackSubInstRelevant,$Q106),IF(SUMIF('G_Fall-back'!$S:$S,$S106,'G_Fall-back'!W:W)&gt;0,EUconst_NA,SUMIF('G_Fall-back'!$S:$S,$P106,'G_Fall-back'!W:W)),""),"")</f>
        <v/>
      </c>
      <c r="L106" s="299" t="str">
        <f>IF(ISNUMBER(D_Emissions!L$35),IF(INDEX(CNTR_FallBackSubInstRelevant,$Q106),IF(SUMIF('G_Fall-back'!$S:$S,$S106,'G_Fall-back'!X:X)&gt;0,EUconst_NA,SUMIF('G_Fall-back'!$S:$S,$P106,'G_Fall-back'!X:X)),""),"")</f>
        <v/>
      </c>
      <c r="M106" s="299" t="str">
        <f>IF(ISNUMBER(D_Emissions!M$35),IF(INDEX(CNTR_FallBackSubInstRelevant,$Q106),IF(SUMIF('G_Fall-back'!$S:$S,$S106,'G_Fall-back'!Y:Y)&gt;0,EUconst_NA,SUMIF('G_Fall-back'!$S:$S,$P106,'G_Fall-back'!Y:Y)),""),"")</f>
        <v/>
      </c>
      <c r="N106" s="299" t="str">
        <f>IF(ISNUMBER(D_Emissions!N$35),IF(INDEX(CNTR_FallBackSubInstRelevant,$Q106),IF(SUMIF('G_Fall-back'!$S:$S,$S106,'G_Fall-back'!Z:Z)&gt;0,EUconst_NA,SUMIF('G_Fall-back'!$S:$S,$P106,'G_Fall-back'!Z:Z)),""),"")</f>
        <v/>
      </c>
      <c r="O106" s="19"/>
      <c r="P106" s="491" t="str">
        <f t="shared" si="7"/>
        <v>AttrEmissions_Delanläggning med bränsleriktmärke, ej KL</v>
      </c>
      <c r="Q106" s="556">
        <v>5</v>
      </c>
      <c r="R106" s="2"/>
      <c r="S106" s="108" t="str">
        <f t="shared" si="8"/>
        <v>ERR_AttrEmBM_Delanläggning med bränsleriktmärke, ej KL</v>
      </c>
      <c r="T106" s="2"/>
      <c r="U106" s="349"/>
      <c r="V106" s="349"/>
    </row>
    <row r="107" spans="1:22" ht="12.75" customHeight="1" x14ac:dyDescent="0.25">
      <c r="A107" s="2"/>
      <c r="B107" s="19"/>
      <c r="C107" s="19"/>
      <c r="D107" s="289"/>
      <c r="E107" s="2794" t="str">
        <f t="shared" si="9"/>
        <v>Delanläggning med processutsläpp, KL</v>
      </c>
      <c r="F107" s="2795"/>
      <c r="G107" s="560" t="str">
        <f t="shared" si="6"/>
        <v>t CO2e/år</v>
      </c>
      <c r="H107" s="262" t="str">
        <f>IF(ISNUMBER(D_Emissions!H$35),IF(INDEX(CNTR_FallBackSubInstRelevant,$Q107),SUMIF('G_Fall-back'!$Q:$Q,$P107,'G_Fall-back'!H:H),""),"")</f>
        <v/>
      </c>
      <c r="I107" s="262" t="str">
        <f>IF(ISNUMBER(D_Emissions!I$35),IF(INDEX(CNTR_FallBackSubInstRelevant,$Q107),SUMIF('G_Fall-back'!$Q:$Q,$P107,'G_Fall-back'!I:I),""),"")</f>
        <v/>
      </c>
      <c r="J107" s="262" t="str">
        <f>IF(ISNUMBER(D_Emissions!J$35),IF(INDEX(CNTR_FallBackSubInstRelevant,$Q107),SUMIF('G_Fall-back'!$Q:$Q,$P107,'G_Fall-back'!J:J),""),"")</f>
        <v/>
      </c>
      <c r="K107" s="262" t="str">
        <f>IF(ISNUMBER(D_Emissions!K$35),IF(INDEX(CNTR_FallBackSubInstRelevant,$Q107),SUMIF('G_Fall-back'!$Q:$Q,$P107,'G_Fall-back'!K:K),""),"")</f>
        <v/>
      </c>
      <c r="L107" s="262" t="str">
        <f>IF(ISNUMBER(D_Emissions!L$35),IF(INDEX(CNTR_FallBackSubInstRelevant,$Q107),SUMIF('G_Fall-back'!$Q:$Q,$P107,'G_Fall-back'!L:L),""),"")</f>
        <v/>
      </c>
      <c r="M107" s="262" t="str">
        <f>IF(ISNUMBER(D_Emissions!M$35),IF(INDEX(CNTR_FallBackSubInstRelevant,$Q107),SUMIF('G_Fall-back'!$Q:$Q,$P107,'G_Fall-back'!M:M),""),"")</f>
        <v/>
      </c>
      <c r="N107" s="262" t="str">
        <f>IF(ISNUMBER(D_Emissions!N$35),IF(INDEX(CNTR_FallBackSubInstRelevant,$Q107),SUMIF('G_Fall-back'!$Q:$Q,$P107,'G_Fall-back'!N:N),""),"")</f>
        <v/>
      </c>
      <c r="O107" s="19"/>
      <c r="P107" s="503" t="str">
        <f>EUconst_CNTR_HAL &amp; E107</f>
        <v>HAL_Delanläggning med processutsläpp, KL</v>
      </c>
      <c r="Q107" s="345">
        <v>6</v>
      </c>
      <c r="R107" s="2"/>
      <c r="S107" s="108" t="str">
        <f t="shared" si="8"/>
        <v>ERR_AttrEmBM_Delanläggning med processutsläpp, KL</v>
      </c>
      <c r="T107" s="2"/>
      <c r="U107" s="349"/>
      <c r="V107" s="349"/>
    </row>
    <row r="108" spans="1:22" ht="13.5" customHeight="1" thickBot="1" x14ac:dyDescent="0.3">
      <c r="A108" s="2"/>
      <c r="B108" s="19"/>
      <c r="C108" s="19"/>
      <c r="D108" s="289"/>
      <c r="E108" s="2796" t="str">
        <f t="shared" si="9"/>
        <v>Delanläggning med processutsläpp, ej KL</v>
      </c>
      <c r="F108" s="2797"/>
      <c r="G108" s="561" t="str">
        <f t="shared" si="6"/>
        <v>t CO2e/år</v>
      </c>
      <c r="H108" s="261" t="str">
        <f>IF(ISNUMBER(D_Emissions!H$35),IF(INDEX(CNTR_FallBackSubInstRelevant,$Q108),SUMIF('G_Fall-back'!$Q:$Q,$P108,'G_Fall-back'!H:H),""),"")</f>
        <v/>
      </c>
      <c r="I108" s="261" t="str">
        <f>IF(ISNUMBER(D_Emissions!I$35),IF(INDEX(CNTR_FallBackSubInstRelevant,$Q108),SUMIF('G_Fall-back'!$Q:$Q,$P108,'G_Fall-back'!I:I),""),"")</f>
        <v/>
      </c>
      <c r="J108" s="261" t="str">
        <f>IF(ISNUMBER(D_Emissions!J$35),IF(INDEX(CNTR_FallBackSubInstRelevant,$Q108),SUMIF('G_Fall-back'!$Q:$Q,$P108,'G_Fall-back'!J:J),""),"")</f>
        <v/>
      </c>
      <c r="K108" s="261" t="str">
        <f>IF(ISNUMBER(D_Emissions!K$35),IF(INDEX(CNTR_FallBackSubInstRelevant,$Q108),SUMIF('G_Fall-back'!$Q:$Q,$P108,'G_Fall-back'!K:K),""),"")</f>
        <v/>
      </c>
      <c r="L108" s="261" t="str">
        <f>IF(ISNUMBER(D_Emissions!L$35),IF(INDEX(CNTR_FallBackSubInstRelevant,$Q108),SUMIF('G_Fall-back'!$Q:$Q,$P108,'G_Fall-back'!L:L),""),"")</f>
        <v/>
      </c>
      <c r="M108" s="261" t="str">
        <f>IF(ISNUMBER(D_Emissions!M$35),IF(INDEX(CNTR_FallBackSubInstRelevant,$Q108),SUMIF('G_Fall-back'!$Q:$Q,$P108,'G_Fall-back'!M:M),""),"")</f>
        <v/>
      </c>
      <c r="N108" s="261" t="str">
        <f>IF(ISNUMBER(D_Emissions!N$35),IF(INDEX(CNTR_FallBackSubInstRelevant,$Q108),SUMIF('G_Fall-back'!$Q:$Q,$P108,'G_Fall-back'!N:N),""),"")</f>
        <v/>
      </c>
      <c r="O108" s="19"/>
      <c r="P108" s="548" t="str">
        <f>EUconst_CNTR_HAL &amp; E108</f>
        <v>HAL_Delanläggning med processutsläpp, ej KL</v>
      </c>
      <c r="Q108" s="348">
        <v>7</v>
      </c>
      <c r="R108" s="2"/>
      <c r="S108" s="108" t="str">
        <f t="shared" si="8"/>
        <v>ERR_AttrEmBM_Delanläggning med processutsläpp, ej KL</v>
      </c>
      <c r="T108" s="2"/>
      <c r="U108" s="349"/>
      <c r="V108" s="349"/>
    </row>
    <row r="109" spans="1:22" ht="12.65" customHeight="1" x14ac:dyDescent="0.25">
      <c r="A109" s="2"/>
      <c r="B109" s="19"/>
      <c r="C109" s="19"/>
      <c r="D109" s="289"/>
      <c r="E109" s="2798" t="str">
        <f>Translations!$B$1003</f>
        <v>Kontroll: Andra utsläpp</v>
      </c>
      <c r="F109" s="2799"/>
      <c r="G109" s="473" t="str">
        <f t="shared" si="6"/>
        <v>t CO2e/år</v>
      </c>
      <c r="H109" s="256" t="str">
        <f>IF(ISNUMBER(D_Emissions!H$35),IF(COUNTIF(H92:H108,EUconst_NA)&gt;0,EUconst_NA,D_Emissions!H$35-SUM(H92:H108)),"")</f>
        <v/>
      </c>
      <c r="I109" s="256" t="str">
        <f>IF(ISNUMBER(D_Emissions!I$35),IF(COUNTIF(I92:I108,EUconst_NA)&gt;0,EUconst_NA,D_Emissions!I$35-SUM(I92:I108)),"")</f>
        <v/>
      </c>
      <c r="J109" s="256" t="str">
        <f>IF(ISNUMBER(D_Emissions!J$35),IF(COUNTIF(J92:J108,EUconst_NA)&gt;0,EUconst_NA,D_Emissions!J$35-SUM(J92:J108)),"")</f>
        <v/>
      </c>
      <c r="K109" s="256" t="str">
        <f>IF(ISNUMBER(D_Emissions!K$35),IF(COUNTIF(K92:K108,EUconst_NA)&gt;0,EUconst_NA,D_Emissions!K$35-SUM(K92:K108)),"")</f>
        <v/>
      </c>
      <c r="L109" s="256" t="str">
        <f>IF(ISNUMBER(D_Emissions!L$35),IF(COUNTIF(L92:L108,EUconst_NA)&gt;0,EUconst_NA,D_Emissions!L$35-SUM(L92:L108)),"")</f>
        <v/>
      </c>
      <c r="M109" s="256" t="str">
        <f>IF(ISNUMBER(D_Emissions!M$35),IF(COUNTIF(M92:M108,EUconst_NA)&gt;0,EUconst_NA,D_Emissions!M$35-SUM(M92:M108)),"")</f>
        <v/>
      </c>
      <c r="N109" s="256" t="str">
        <f>IF(ISNUMBER(D_Emissions!N$35),IF(COUNTIF(N92:N108,EUconst_NA)&gt;0,EUconst_NA,D_Emissions!N$35-SUM(N92:N108)),"")</f>
        <v/>
      </c>
      <c r="O109" s="19"/>
      <c r="P109" s="470"/>
      <c r="Q109" s="2"/>
      <c r="R109" s="2"/>
      <c r="S109" s="2"/>
      <c r="T109" s="2"/>
      <c r="U109" s="349"/>
      <c r="V109" s="349"/>
    </row>
    <row r="110" spans="1:22" x14ac:dyDescent="0.25">
      <c r="A110" s="2"/>
      <c r="B110" s="3"/>
      <c r="C110" s="3"/>
      <c r="D110" s="15"/>
      <c r="E110" s="16"/>
      <c r="F110" s="16"/>
      <c r="G110" s="16"/>
      <c r="H110" s="1"/>
      <c r="I110" s="16"/>
      <c r="J110" s="20"/>
      <c r="K110" s="20"/>
      <c r="L110" s="20"/>
      <c r="M110" s="6"/>
      <c r="N110" s="6"/>
      <c r="O110" s="19"/>
      <c r="P110" s="471"/>
      <c r="Q110" s="2"/>
      <c r="R110" s="2"/>
      <c r="S110" s="2"/>
      <c r="T110" s="2"/>
      <c r="U110" s="349"/>
      <c r="V110" s="349"/>
    </row>
    <row r="111" spans="1:22" ht="13" x14ac:dyDescent="0.25">
      <c r="A111" s="2"/>
      <c r="B111" s="19"/>
      <c r="C111" s="19"/>
      <c r="D111" s="19"/>
      <c r="E111" s="2062" t="str">
        <f t="shared" ref="E111:E128" si="10">E91</f>
        <v>Uppgifter på delanläggningsnivå:</v>
      </c>
      <c r="F111" s="2497"/>
      <c r="G111" s="31" t="str">
        <f>EUconst_Unit</f>
        <v>Enhet</v>
      </c>
      <c r="H111" s="320">
        <f t="shared" ref="H111:N111" si="11">H$2596</f>
        <v>2019</v>
      </c>
      <c r="I111" s="320">
        <f t="shared" si="11"/>
        <v>2020</v>
      </c>
      <c r="J111" s="320">
        <f t="shared" si="11"/>
        <v>2021</v>
      </c>
      <c r="K111" s="320">
        <f t="shared" si="11"/>
        <v>2022</v>
      </c>
      <c r="L111" s="320">
        <f t="shared" si="11"/>
        <v>2023</v>
      </c>
      <c r="M111" s="320">
        <f t="shared" si="11"/>
        <v>2024</v>
      </c>
      <c r="N111" s="320">
        <f t="shared" si="11"/>
        <v>2025</v>
      </c>
      <c r="O111" s="19"/>
      <c r="P111" s="471"/>
      <c r="Q111" s="2"/>
      <c r="R111" s="2"/>
      <c r="S111" s="2"/>
      <c r="T111" s="2"/>
      <c r="U111" s="349"/>
      <c r="V111" s="349"/>
    </row>
    <row r="112" spans="1:22" ht="12.65" customHeight="1" x14ac:dyDescent="0.25">
      <c r="A112" s="2"/>
      <c r="B112" s="19"/>
      <c r="C112" s="19"/>
      <c r="D112" s="289"/>
      <c r="E112" s="2783" t="str">
        <f t="shared" si="10"/>
        <v/>
      </c>
      <c r="F112" s="2484"/>
      <c r="G112" s="562" t="s">
        <v>1113</v>
      </c>
      <c r="H112" s="276" t="str">
        <f>IF(H92=EUconst_NA,EUconst_NA,IF(AND(ISNUMBER(D_Emissions!H$35),H92&lt;&gt;""),H92/D_Emissions!H$35*100,""))</f>
        <v/>
      </c>
      <c r="I112" s="276" t="str">
        <f>IF(I92=EUconst_NA,EUconst_NA,IF(AND(ISNUMBER(D_Emissions!I$35),I92&lt;&gt;""),I92/D_Emissions!I$35*100,""))</f>
        <v/>
      </c>
      <c r="J112" s="276" t="str">
        <f>IF(J92=EUconst_NA,EUconst_NA,IF(AND(ISNUMBER(D_Emissions!J$35),J92&lt;&gt;""),J92/D_Emissions!J$35*100,""))</f>
        <v/>
      </c>
      <c r="K112" s="276" t="str">
        <f>IF(K92=EUconst_NA,EUconst_NA,IF(AND(ISNUMBER(D_Emissions!K$35),K92&lt;&gt;""),K92/D_Emissions!K$35*100,""))</f>
        <v/>
      </c>
      <c r="L112" s="276" t="str">
        <f>IF(L92=EUconst_NA,EUconst_NA,IF(AND(ISNUMBER(D_Emissions!L$35),L92&lt;&gt;""),L92/D_Emissions!L$35*100,""))</f>
        <v/>
      </c>
      <c r="M112" s="276" t="str">
        <f>IF(M92=EUconst_NA,EUconst_NA,IF(AND(ISNUMBER(D_Emissions!M$35),M92&lt;&gt;""),M92/D_Emissions!M$35*100,""))</f>
        <v/>
      </c>
      <c r="N112" s="276" t="str">
        <f>IF(N92=EUconst_NA,EUconst_NA,IF(AND(ISNUMBER(D_Emissions!N$35),N92&lt;&gt;""),N92/D_Emissions!N$35*100,""))</f>
        <v/>
      </c>
      <c r="O112" s="19"/>
      <c r="P112" s="471"/>
      <c r="Q112" s="2"/>
      <c r="R112" s="2"/>
      <c r="S112" s="2"/>
      <c r="T112" s="2"/>
      <c r="U112" s="349"/>
      <c r="V112" s="349"/>
    </row>
    <row r="113" spans="1:22" x14ac:dyDescent="0.25">
      <c r="A113" s="2"/>
      <c r="B113" s="19"/>
      <c r="C113" s="19"/>
      <c r="D113" s="289"/>
      <c r="E113" s="2780" t="str">
        <f t="shared" si="10"/>
        <v/>
      </c>
      <c r="F113" s="2476"/>
      <c r="G113" s="557" t="s">
        <v>1113</v>
      </c>
      <c r="H113" s="274" t="str">
        <f>IF(H93=EUconst_NA,EUconst_NA,IF(AND(ISNUMBER(D_Emissions!H$35),H93&lt;&gt;""),H93/D_Emissions!H$35*100,""))</f>
        <v/>
      </c>
      <c r="I113" s="274" t="str">
        <f>IF(I93=EUconst_NA,EUconst_NA,IF(AND(ISNUMBER(D_Emissions!I$35),I93&lt;&gt;""),I93/D_Emissions!I$35*100,""))</f>
        <v/>
      </c>
      <c r="J113" s="274" t="str">
        <f>IF(J93=EUconst_NA,EUconst_NA,IF(AND(ISNUMBER(D_Emissions!J$35),J93&lt;&gt;""),J93/D_Emissions!J$35*100,""))</f>
        <v/>
      </c>
      <c r="K113" s="274" t="str">
        <f>IF(K93=EUconst_NA,EUconst_NA,IF(AND(ISNUMBER(D_Emissions!K$35),K93&lt;&gt;""),K93/D_Emissions!K$35*100,""))</f>
        <v/>
      </c>
      <c r="L113" s="274" t="str">
        <f>IF(L93=EUconst_NA,EUconst_NA,IF(AND(ISNUMBER(D_Emissions!L$35),L93&lt;&gt;""),L93/D_Emissions!L$35*100,""))</f>
        <v/>
      </c>
      <c r="M113" s="274" t="str">
        <f>IF(M93=EUconst_NA,EUconst_NA,IF(AND(ISNUMBER(D_Emissions!M$35),M93&lt;&gt;""),M93/D_Emissions!M$35*100,""))</f>
        <v/>
      </c>
      <c r="N113" s="274" t="str">
        <f>IF(N93=EUconst_NA,EUconst_NA,IF(AND(ISNUMBER(D_Emissions!N$35),N93&lt;&gt;""),N93/D_Emissions!N$35*100,""))</f>
        <v/>
      </c>
      <c r="O113" s="19"/>
      <c r="P113" s="471"/>
      <c r="Q113" s="2"/>
      <c r="R113" s="2"/>
      <c r="S113" s="2"/>
      <c r="T113" s="2"/>
      <c r="U113" s="349"/>
      <c r="V113" s="349"/>
    </row>
    <row r="114" spans="1:22" x14ac:dyDescent="0.25">
      <c r="A114" s="2"/>
      <c r="B114" s="19"/>
      <c r="C114" s="19"/>
      <c r="D114" s="289"/>
      <c r="E114" s="2780" t="str">
        <f t="shared" si="10"/>
        <v/>
      </c>
      <c r="F114" s="2476"/>
      <c r="G114" s="557" t="s">
        <v>1113</v>
      </c>
      <c r="H114" s="274" t="str">
        <f>IF(H94=EUconst_NA,EUconst_NA,IF(AND(ISNUMBER(D_Emissions!H$35),H94&lt;&gt;""),H94/D_Emissions!H$35*100,""))</f>
        <v/>
      </c>
      <c r="I114" s="274" t="str">
        <f>IF(I94=EUconst_NA,EUconst_NA,IF(AND(ISNUMBER(D_Emissions!I$35),I94&lt;&gt;""),I94/D_Emissions!I$35*100,""))</f>
        <v/>
      </c>
      <c r="J114" s="274" t="str">
        <f>IF(J94=EUconst_NA,EUconst_NA,IF(AND(ISNUMBER(D_Emissions!J$35),J94&lt;&gt;""),J94/D_Emissions!J$35*100,""))</f>
        <v/>
      </c>
      <c r="K114" s="274" t="str">
        <f>IF(K94=EUconst_NA,EUconst_NA,IF(AND(ISNUMBER(D_Emissions!K$35),K94&lt;&gt;""),K94/D_Emissions!K$35*100,""))</f>
        <v/>
      </c>
      <c r="L114" s="274" t="str">
        <f>IF(L94=EUconst_NA,EUconst_NA,IF(AND(ISNUMBER(D_Emissions!L$35),L94&lt;&gt;""),L94/D_Emissions!L$35*100,""))</f>
        <v/>
      </c>
      <c r="M114" s="274" t="str">
        <f>IF(M94=EUconst_NA,EUconst_NA,IF(AND(ISNUMBER(D_Emissions!M$35),M94&lt;&gt;""),M94/D_Emissions!M$35*100,""))</f>
        <v/>
      </c>
      <c r="N114" s="274" t="str">
        <f>IF(N94=EUconst_NA,EUconst_NA,IF(AND(ISNUMBER(D_Emissions!N$35),N94&lt;&gt;""),N94/D_Emissions!N$35*100,""))</f>
        <v/>
      </c>
      <c r="O114" s="19"/>
      <c r="P114" s="471"/>
      <c r="Q114" s="2"/>
      <c r="R114" s="2"/>
      <c r="S114" s="2"/>
      <c r="T114" s="2"/>
      <c r="U114" s="349"/>
      <c r="V114" s="349"/>
    </row>
    <row r="115" spans="1:22" x14ac:dyDescent="0.25">
      <c r="A115" s="2"/>
      <c r="B115" s="19"/>
      <c r="C115" s="19"/>
      <c r="D115" s="289"/>
      <c r="E115" s="2780" t="str">
        <f t="shared" si="10"/>
        <v/>
      </c>
      <c r="F115" s="2476"/>
      <c r="G115" s="557" t="s">
        <v>1113</v>
      </c>
      <c r="H115" s="274" t="str">
        <f>IF(H95=EUconst_NA,EUconst_NA,IF(AND(ISNUMBER(D_Emissions!H$35),H95&lt;&gt;""),H95/D_Emissions!H$35*100,""))</f>
        <v/>
      </c>
      <c r="I115" s="274" t="str">
        <f>IF(I95=EUconst_NA,EUconst_NA,IF(AND(ISNUMBER(D_Emissions!I$35),I95&lt;&gt;""),I95/D_Emissions!I$35*100,""))</f>
        <v/>
      </c>
      <c r="J115" s="274" t="str">
        <f>IF(J95=EUconst_NA,EUconst_NA,IF(AND(ISNUMBER(D_Emissions!J$35),J95&lt;&gt;""),J95/D_Emissions!J$35*100,""))</f>
        <v/>
      </c>
      <c r="K115" s="274" t="str">
        <f>IF(K95=EUconst_NA,EUconst_NA,IF(AND(ISNUMBER(D_Emissions!K$35),K95&lt;&gt;""),K95/D_Emissions!K$35*100,""))</f>
        <v/>
      </c>
      <c r="L115" s="274" t="str">
        <f>IF(L95=EUconst_NA,EUconst_NA,IF(AND(ISNUMBER(D_Emissions!L$35),L95&lt;&gt;""),L95/D_Emissions!L$35*100,""))</f>
        <v/>
      </c>
      <c r="M115" s="274" t="str">
        <f>IF(M95=EUconst_NA,EUconst_NA,IF(AND(ISNUMBER(D_Emissions!M$35),M95&lt;&gt;""),M95/D_Emissions!M$35*100,""))</f>
        <v/>
      </c>
      <c r="N115" s="274" t="str">
        <f>IF(N95=EUconst_NA,EUconst_NA,IF(AND(ISNUMBER(D_Emissions!N$35),N95&lt;&gt;""),N95/D_Emissions!N$35*100,""))</f>
        <v/>
      </c>
      <c r="O115" s="19"/>
      <c r="P115" s="471"/>
      <c r="Q115" s="2"/>
      <c r="R115" s="2"/>
      <c r="S115" s="2"/>
      <c r="T115" s="2"/>
      <c r="U115" s="349"/>
      <c r="V115" s="349"/>
    </row>
    <row r="116" spans="1:22" x14ac:dyDescent="0.25">
      <c r="A116" s="2"/>
      <c r="B116" s="19"/>
      <c r="C116" s="19"/>
      <c r="D116" s="289"/>
      <c r="E116" s="2780" t="str">
        <f t="shared" si="10"/>
        <v/>
      </c>
      <c r="F116" s="2476"/>
      <c r="G116" s="557" t="s">
        <v>1113</v>
      </c>
      <c r="H116" s="274" t="str">
        <f>IF(H96=EUconst_NA,EUconst_NA,IF(AND(ISNUMBER(D_Emissions!H$35),H96&lt;&gt;""),H96/D_Emissions!H$35*100,""))</f>
        <v/>
      </c>
      <c r="I116" s="274" t="str">
        <f>IF(I96=EUconst_NA,EUconst_NA,IF(AND(ISNUMBER(D_Emissions!I$35),I96&lt;&gt;""),I96/D_Emissions!I$35*100,""))</f>
        <v/>
      </c>
      <c r="J116" s="274" t="str">
        <f>IF(J96=EUconst_NA,EUconst_NA,IF(AND(ISNUMBER(D_Emissions!J$35),J96&lt;&gt;""),J96/D_Emissions!J$35*100,""))</f>
        <v/>
      </c>
      <c r="K116" s="274" t="str">
        <f>IF(K96=EUconst_NA,EUconst_NA,IF(AND(ISNUMBER(D_Emissions!K$35),K96&lt;&gt;""),K96/D_Emissions!K$35*100,""))</f>
        <v/>
      </c>
      <c r="L116" s="274" t="str">
        <f>IF(L96=EUconst_NA,EUconst_NA,IF(AND(ISNUMBER(D_Emissions!L$35),L96&lt;&gt;""),L96/D_Emissions!L$35*100,""))</f>
        <v/>
      </c>
      <c r="M116" s="274" t="str">
        <f>IF(M96=EUconst_NA,EUconst_NA,IF(AND(ISNUMBER(D_Emissions!M$35),M96&lt;&gt;""),M96/D_Emissions!M$35*100,""))</f>
        <v/>
      </c>
      <c r="N116" s="274" t="str">
        <f>IF(N96=EUconst_NA,EUconst_NA,IF(AND(ISNUMBER(D_Emissions!N$35),N96&lt;&gt;""),N96/D_Emissions!N$35*100,""))</f>
        <v/>
      </c>
      <c r="O116" s="19"/>
      <c r="P116" s="471"/>
      <c r="Q116" s="2"/>
      <c r="R116" s="2"/>
      <c r="S116" s="2"/>
      <c r="T116" s="2"/>
      <c r="U116" s="349"/>
      <c r="V116" s="349"/>
    </row>
    <row r="117" spans="1:22" x14ac:dyDescent="0.25">
      <c r="A117" s="2"/>
      <c r="B117" s="19"/>
      <c r="C117" s="19"/>
      <c r="D117" s="289"/>
      <c r="E117" s="2780" t="str">
        <f t="shared" si="10"/>
        <v/>
      </c>
      <c r="F117" s="2476"/>
      <c r="G117" s="557" t="s">
        <v>1113</v>
      </c>
      <c r="H117" s="274" t="str">
        <f>IF(H97=EUconst_NA,EUconst_NA,IF(AND(ISNUMBER(D_Emissions!H$35),H97&lt;&gt;""),H97/D_Emissions!H$35*100,""))</f>
        <v/>
      </c>
      <c r="I117" s="274" t="str">
        <f>IF(I97=EUconst_NA,EUconst_NA,IF(AND(ISNUMBER(D_Emissions!I$35),I97&lt;&gt;""),I97/D_Emissions!I$35*100,""))</f>
        <v/>
      </c>
      <c r="J117" s="274" t="str">
        <f>IF(J97=EUconst_NA,EUconst_NA,IF(AND(ISNUMBER(D_Emissions!J$35),J97&lt;&gt;""),J97/D_Emissions!J$35*100,""))</f>
        <v/>
      </c>
      <c r="K117" s="274" t="str">
        <f>IF(K97=EUconst_NA,EUconst_NA,IF(AND(ISNUMBER(D_Emissions!K$35),K97&lt;&gt;""),K97/D_Emissions!K$35*100,""))</f>
        <v/>
      </c>
      <c r="L117" s="274" t="str">
        <f>IF(L97=EUconst_NA,EUconst_NA,IF(AND(ISNUMBER(D_Emissions!L$35),L97&lt;&gt;""),L97/D_Emissions!L$35*100,""))</f>
        <v/>
      </c>
      <c r="M117" s="274" t="str">
        <f>IF(M97=EUconst_NA,EUconst_NA,IF(AND(ISNUMBER(D_Emissions!M$35),M97&lt;&gt;""),M97/D_Emissions!M$35*100,""))</f>
        <v/>
      </c>
      <c r="N117" s="274" t="str">
        <f>IF(N97=EUconst_NA,EUconst_NA,IF(AND(ISNUMBER(D_Emissions!N$35),N97&lt;&gt;""),N97/D_Emissions!N$35*100,""))</f>
        <v/>
      </c>
      <c r="O117" s="19"/>
      <c r="P117" s="471"/>
      <c r="Q117" s="2"/>
      <c r="R117" s="2"/>
      <c r="S117" s="2"/>
      <c r="T117" s="2"/>
      <c r="U117" s="349"/>
      <c r="V117" s="349"/>
    </row>
    <row r="118" spans="1:22" x14ac:dyDescent="0.25">
      <c r="A118" s="2"/>
      <c r="B118" s="19"/>
      <c r="C118" s="19"/>
      <c r="D118" s="289"/>
      <c r="E118" s="2780" t="str">
        <f t="shared" si="10"/>
        <v/>
      </c>
      <c r="F118" s="2476"/>
      <c r="G118" s="557" t="s">
        <v>1113</v>
      </c>
      <c r="H118" s="274" t="str">
        <f>IF(H98=EUconst_NA,EUconst_NA,IF(AND(ISNUMBER(D_Emissions!H$35),H98&lt;&gt;""),H98/D_Emissions!H$35*100,""))</f>
        <v/>
      </c>
      <c r="I118" s="274" t="str">
        <f>IF(I98=EUconst_NA,EUconst_NA,IF(AND(ISNUMBER(D_Emissions!I$35),I98&lt;&gt;""),I98/D_Emissions!I$35*100,""))</f>
        <v/>
      </c>
      <c r="J118" s="274" t="str">
        <f>IF(J98=EUconst_NA,EUconst_NA,IF(AND(ISNUMBER(D_Emissions!J$35),J98&lt;&gt;""),J98/D_Emissions!J$35*100,""))</f>
        <v/>
      </c>
      <c r="K118" s="274" t="str">
        <f>IF(K98=EUconst_NA,EUconst_NA,IF(AND(ISNUMBER(D_Emissions!K$35),K98&lt;&gt;""),K98/D_Emissions!K$35*100,""))</f>
        <v/>
      </c>
      <c r="L118" s="274" t="str">
        <f>IF(L98=EUconst_NA,EUconst_NA,IF(AND(ISNUMBER(D_Emissions!L$35),L98&lt;&gt;""),L98/D_Emissions!L$35*100,""))</f>
        <v/>
      </c>
      <c r="M118" s="274" t="str">
        <f>IF(M98=EUconst_NA,EUconst_NA,IF(AND(ISNUMBER(D_Emissions!M$35),M98&lt;&gt;""),M98/D_Emissions!M$35*100,""))</f>
        <v/>
      </c>
      <c r="N118" s="274" t="str">
        <f>IF(N98=EUconst_NA,EUconst_NA,IF(AND(ISNUMBER(D_Emissions!N$35),N98&lt;&gt;""),N98/D_Emissions!N$35*100,""))</f>
        <v/>
      </c>
      <c r="O118" s="19"/>
      <c r="P118" s="471"/>
      <c r="Q118" s="2"/>
      <c r="R118" s="2"/>
      <c r="S118" s="2"/>
      <c r="T118" s="2"/>
      <c r="U118" s="349"/>
      <c r="V118" s="349"/>
    </row>
    <row r="119" spans="1:22" x14ac:dyDescent="0.25">
      <c r="A119" s="2"/>
      <c r="B119" s="19"/>
      <c r="C119" s="19"/>
      <c r="D119" s="289"/>
      <c r="E119" s="2780" t="str">
        <f t="shared" si="10"/>
        <v/>
      </c>
      <c r="F119" s="2476"/>
      <c r="G119" s="557" t="s">
        <v>1113</v>
      </c>
      <c r="H119" s="274" t="str">
        <f>IF(H99=EUconst_NA,EUconst_NA,IF(AND(ISNUMBER(D_Emissions!H$35),H99&lt;&gt;""),H99/D_Emissions!H$35*100,""))</f>
        <v/>
      </c>
      <c r="I119" s="274" t="str">
        <f>IF(I99=EUconst_NA,EUconst_NA,IF(AND(ISNUMBER(D_Emissions!I$35),I99&lt;&gt;""),I99/D_Emissions!I$35*100,""))</f>
        <v/>
      </c>
      <c r="J119" s="274" t="str">
        <f>IF(J99=EUconst_NA,EUconst_NA,IF(AND(ISNUMBER(D_Emissions!J$35),J99&lt;&gt;""),J99/D_Emissions!J$35*100,""))</f>
        <v/>
      </c>
      <c r="K119" s="274" t="str">
        <f>IF(K99=EUconst_NA,EUconst_NA,IF(AND(ISNUMBER(D_Emissions!K$35),K99&lt;&gt;""),K99/D_Emissions!K$35*100,""))</f>
        <v/>
      </c>
      <c r="L119" s="274" t="str">
        <f>IF(L99=EUconst_NA,EUconst_NA,IF(AND(ISNUMBER(D_Emissions!L$35),L99&lt;&gt;""),L99/D_Emissions!L$35*100,""))</f>
        <v/>
      </c>
      <c r="M119" s="274" t="str">
        <f>IF(M99=EUconst_NA,EUconst_NA,IF(AND(ISNUMBER(D_Emissions!M$35),M99&lt;&gt;""),M99/D_Emissions!M$35*100,""))</f>
        <v/>
      </c>
      <c r="N119" s="274" t="str">
        <f>IF(N99=EUconst_NA,EUconst_NA,IF(AND(ISNUMBER(D_Emissions!N$35),N99&lt;&gt;""),N99/D_Emissions!N$35*100,""))</f>
        <v/>
      </c>
      <c r="O119" s="19"/>
      <c r="P119" s="471"/>
      <c r="Q119" s="2"/>
      <c r="R119" s="2"/>
      <c r="S119" s="2"/>
      <c r="T119" s="2"/>
      <c r="U119" s="349"/>
      <c r="V119" s="349"/>
    </row>
    <row r="120" spans="1:22" x14ac:dyDescent="0.25">
      <c r="A120" s="2"/>
      <c r="B120" s="19"/>
      <c r="C120" s="19"/>
      <c r="D120" s="289"/>
      <c r="E120" s="2780" t="str">
        <f t="shared" si="10"/>
        <v/>
      </c>
      <c r="F120" s="2476"/>
      <c r="G120" s="557" t="s">
        <v>1113</v>
      </c>
      <c r="H120" s="274" t="str">
        <f>IF(H100=EUconst_NA,EUconst_NA,IF(AND(ISNUMBER(D_Emissions!H$35),H100&lt;&gt;""),H100/D_Emissions!H$35*100,""))</f>
        <v/>
      </c>
      <c r="I120" s="274" t="str">
        <f>IF(I100=EUconst_NA,EUconst_NA,IF(AND(ISNUMBER(D_Emissions!I$35),I100&lt;&gt;""),I100/D_Emissions!I$35*100,""))</f>
        <v/>
      </c>
      <c r="J120" s="274" t="str">
        <f>IF(J100=EUconst_NA,EUconst_NA,IF(AND(ISNUMBER(D_Emissions!J$35),J100&lt;&gt;""),J100/D_Emissions!J$35*100,""))</f>
        <v/>
      </c>
      <c r="K120" s="274" t="str">
        <f>IF(K100=EUconst_NA,EUconst_NA,IF(AND(ISNUMBER(D_Emissions!K$35),K100&lt;&gt;""),K100/D_Emissions!K$35*100,""))</f>
        <v/>
      </c>
      <c r="L120" s="274" t="str">
        <f>IF(L100=EUconst_NA,EUconst_NA,IF(AND(ISNUMBER(D_Emissions!L$35),L100&lt;&gt;""),L100/D_Emissions!L$35*100,""))</f>
        <v/>
      </c>
      <c r="M120" s="274" t="str">
        <f>IF(M100=EUconst_NA,EUconst_NA,IF(AND(ISNUMBER(D_Emissions!M$35),M100&lt;&gt;""),M100/D_Emissions!M$35*100,""))</f>
        <v/>
      </c>
      <c r="N120" s="274" t="str">
        <f>IF(N100=EUconst_NA,EUconst_NA,IF(AND(ISNUMBER(D_Emissions!N$35),N100&lt;&gt;""),N100/D_Emissions!N$35*100,""))</f>
        <v/>
      </c>
      <c r="O120" s="19"/>
      <c r="P120" s="471"/>
      <c r="Q120" s="2"/>
      <c r="R120" s="2"/>
      <c r="S120" s="2"/>
      <c r="T120" s="2"/>
      <c r="U120" s="349"/>
      <c r="V120" s="349"/>
    </row>
    <row r="121" spans="1:22" x14ac:dyDescent="0.25">
      <c r="A121" s="2"/>
      <c r="B121" s="19"/>
      <c r="C121" s="19"/>
      <c r="D121" s="289"/>
      <c r="E121" s="2781" t="str">
        <f t="shared" si="10"/>
        <v/>
      </c>
      <c r="F121" s="2487"/>
      <c r="G121" s="354" t="s">
        <v>1113</v>
      </c>
      <c r="H121" s="275" t="str">
        <f>IF(H101=EUconst_NA,EUconst_NA,IF(AND(ISNUMBER(D_Emissions!H$35),H101&lt;&gt;""),H101/D_Emissions!H$35*100,""))</f>
        <v/>
      </c>
      <c r="I121" s="275" t="str">
        <f>IF(I101=EUconst_NA,EUconst_NA,IF(AND(ISNUMBER(D_Emissions!I$35),I101&lt;&gt;""),I101/D_Emissions!I$35*100,""))</f>
        <v/>
      </c>
      <c r="J121" s="275" t="str">
        <f>IF(J101=EUconst_NA,EUconst_NA,IF(AND(ISNUMBER(D_Emissions!J$35),J101&lt;&gt;""),J101/D_Emissions!J$35*100,""))</f>
        <v/>
      </c>
      <c r="K121" s="275" t="str">
        <f>IF(K101=EUconst_NA,EUconst_NA,IF(AND(ISNUMBER(D_Emissions!K$35),K101&lt;&gt;""),K101/D_Emissions!K$35*100,""))</f>
        <v/>
      </c>
      <c r="L121" s="275" t="str">
        <f>IF(L101=EUconst_NA,EUconst_NA,IF(AND(ISNUMBER(D_Emissions!L$35),L101&lt;&gt;""),L101/D_Emissions!L$35*100,""))</f>
        <v/>
      </c>
      <c r="M121" s="275" t="str">
        <f>IF(M101=EUconst_NA,EUconst_NA,IF(AND(ISNUMBER(D_Emissions!M$35),M101&lt;&gt;""),M101/D_Emissions!M$35*100,""))</f>
        <v/>
      </c>
      <c r="N121" s="275" t="str">
        <f>IF(N101=EUconst_NA,EUconst_NA,IF(AND(ISNUMBER(D_Emissions!N$35),N101&lt;&gt;""),N101/D_Emissions!N$35*100,""))</f>
        <v/>
      </c>
      <c r="O121" s="19"/>
      <c r="P121" s="471"/>
      <c r="Q121" s="2"/>
      <c r="R121" s="2"/>
      <c r="S121" s="2"/>
      <c r="T121" s="2"/>
      <c r="U121" s="349"/>
      <c r="V121" s="349"/>
    </row>
    <row r="122" spans="1:22" ht="12.75" customHeight="1" x14ac:dyDescent="0.25">
      <c r="A122" s="2"/>
      <c r="B122" s="19"/>
      <c r="C122" s="19"/>
      <c r="D122" s="289"/>
      <c r="E122" s="2483" t="str">
        <f t="shared" si="10"/>
        <v>Delanläggning med värmeriktmärke, KL</v>
      </c>
      <c r="F122" s="2484"/>
      <c r="G122" s="557" t="s">
        <v>1113</v>
      </c>
      <c r="H122" s="274" t="str">
        <f>IF(H102=EUconst_NA,EUconst_NA,IF(AND(ISNUMBER(D_Emissions!H$35),H102&lt;&gt;""),H102/D_Emissions!H$35*100,""))</f>
        <v/>
      </c>
      <c r="I122" s="274" t="str">
        <f>IF(I102=EUconst_NA,EUconst_NA,IF(AND(ISNUMBER(D_Emissions!I$35),I102&lt;&gt;""),I102/D_Emissions!I$35*100,""))</f>
        <v/>
      </c>
      <c r="J122" s="274" t="str">
        <f>IF(J102=EUconst_NA,EUconst_NA,IF(AND(ISNUMBER(D_Emissions!J$35),J102&lt;&gt;""),J102/D_Emissions!J$35*100,""))</f>
        <v/>
      </c>
      <c r="K122" s="274" t="str">
        <f>IF(K102=EUconst_NA,EUconst_NA,IF(AND(ISNUMBER(D_Emissions!K$35),K102&lt;&gt;""),K102/D_Emissions!K$35*100,""))</f>
        <v/>
      </c>
      <c r="L122" s="274" t="str">
        <f>IF(L102=EUconst_NA,EUconst_NA,IF(AND(ISNUMBER(D_Emissions!L$35),L102&lt;&gt;""),L102/D_Emissions!L$35*100,""))</f>
        <v/>
      </c>
      <c r="M122" s="274" t="str">
        <f>IF(M102=EUconst_NA,EUconst_NA,IF(AND(ISNUMBER(D_Emissions!M$35),M102&lt;&gt;""),M102/D_Emissions!M$35*100,""))</f>
        <v/>
      </c>
      <c r="N122" s="274" t="str">
        <f>IF(N102=EUconst_NA,EUconst_NA,IF(AND(ISNUMBER(D_Emissions!N$35),N102&lt;&gt;""),N102/D_Emissions!N$35*100,""))</f>
        <v/>
      </c>
      <c r="O122" s="19"/>
      <c r="P122" s="471"/>
      <c r="Q122" s="2"/>
      <c r="R122" s="2"/>
      <c r="S122" s="2"/>
      <c r="T122" s="2"/>
      <c r="U122" s="349"/>
      <c r="V122" s="349"/>
    </row>
    <row r="123" spans="1:22" ht="12.75" customHeight="1" x14ac:dyDescent="0.25">
      <c r="A123" s="2"/>
      <c r="B123" s="19"/>
      <c r="C123" s="19"/>
      <c r="D123" s="289"/>
      <c r="E123" s="2485" t="str">
        <f t="shared" si="10"/>
        <v>Delanläggning med värmeriktmärke, ej KL</v>
      </c>
      <c r="F123" s="2476"/>
      <c r="G123" s="353" t="s">
        <v>1113</v>
      </c>
      <c r="H123" s="263" t="str">
        <f>IF(H103=EUconst_NA,EUconst_NA,IF(AND(ISNUMBER(D_Emissions!H$35),H103&lt;&gt;""),H103/D_Emissions!H$35*100,""))</f>
        <v/>
      </c>
      <c r="I123" s="263" t="str">
        <f>IF(I103=EUconst_NA,EUconst_NA,IF(AND(ISNUMBER(D_Emissions!I$35),I103&lt;&gt;""),I103/D_Emissions!I$35*100,""))</f>
        <v/>
      </c>
      <c r="J123" s="263" t="str">
        <f>IF(J103=EUconst_NA,EUconst_NA,IF(AND(ISNUMBER(D_Emissions!J$35),J103&lt;&gt;""),J103/D_Emissions!J$35*100,""))</f>
        <v/>
      </c>
      <c r="K123" s="263" t="str">
        <f>IF(K103=EUconst_NA,EUconst_NA,IF(AND(ISNUMBER(D_Emissions!K$35),K103&lt;&gt;""),K103/D_Emissions!K$35*100,""))</f>
        <v/>
      </c>
      <c r="L123" s="263" t="str">
        <f>IF(L103=EUconst_NA,EUconst_NA,IF(AND(ISNUMBER(D_Emissions!L$35),L103&lt;&gt;""),L103/D_Emissions!L$35*100,""))</f>
        <v/>
      </c>
      <c r="M123" s="263" t="str">
        <f>IF(M103=EUconst_NA,EUconst_NA,IF(AND(ISNUMBER(D_Emissions!M$35),M103&lt;&gt;""),M103/D_Emissions!M$35*100,""))</f>
        <v/>
      </c>
      <c r="N123" s="263" t="str">
        <f>IF(N103=EUconst_NA,EUconst_NA,IF(AND(ISNUMBER(D_Emissions!N$35),N103&lt;&gt;""),N103/D_Emissions!N$35*100,""))</f>
        <v/>
      </c>
      <c r="O123" s="19"/>
      <c r="P123" s="471"/>
      <c r="Q123" s="2"/>
      <c r="R123" s="2"/>
      <c r="S123" s="2"/>
      <c r="T123" s="2"/>
      <c r="U123" s="349"/>
      <c r="V123" s="349"/>
    </row>
    <row r="124" spans="1:22" ht="12.75" customHeight="1" x14ac:dyDescent="0.25">
      <c r="A124" s="2"/>
      <c r="B124" s="19"/>
      <c r="C124" s="19"/>
      <c r="D124" s="289"/>
      <c r="E124" s="2485" t="str">
        <f t="shared" si="10"/>
        <v>Fjärrvärmedelanläggning</v>
      </c>
      <c r="F124" s="2476"/>
      <c r="G124" s="353" t="s">
        <v>1113</v>
      </c>
      <c r="H124" s="263" t="str">
        <f>IF(H104=EUconst_NA,EUconst_NA,IF(AND(ISNUMBER(D_Emissions!H$35),H104&lt;&gt;""),H104/D_Emissions!H$35*100,""))</f>
        <v/>
      </c>
      <c r="I124" s="263" t="str">
        <f>IF(I104=EUconst_NA,EUconst_NA,IF(AND(ISNUMBER(D_Emissions!I$35),I104&lt;&gt;""),I104/D_Emissions!I$35*100,""))</f>
        <v/>
      </c>
      <c r="J124" s="263" t="str">
        <f>IF(J104=EUconst_NA,EUconst_NA,IF(AND(ISNUMBER(D_Emissions!J$35),J104&lt;&gt;""),J104/D_Emissions!J$35*100,""))</f>
        <v/>
      </c>
      <c r="K124" s="263" t="str">
        <f>IF(K104=EUconst_NA,EUconst_NA,IF(AND(ISNUMBER(D_Emissions!K$35),K104&lt;&gt;""),K104/D_Emissions!K$35*100,""))</f>
        <v/>
      </c>
      <c r="L124" s="263" t="str">
        <f>IF(L104=EUconst_NA,EUconst_NA,IF(AND(ISNUMBER(D_Emissions!L$35),L104&lt;&gt;""),L104/D_Emissions!L$35*100,""))</f>
        <v/>
      </c>
      <c r="M124" s="263" t="str">
        <f>IF(M104=EUconst_NA,EUconst_NA,IF(AND(ISNUMBER(D_Emissions!M$35),M104&lt;&gt;""),M104/D_Emissions!M$35*100,""))</f>
        <v/>
      </c>
      <c r="N124" s="263" t="str">
        <f>IF(N104=EUconst_NA,EUconst_NA,IF(AND(ISNUMBER(D_Emissions!N$35),N104&lt;&gt;""),N104/D_Emissions!N$35*100,""))</f>
        <v/>
      </c>
      <c r="O124" s="19"/>
      <c r="P124" s="471"/>
      <c r="Q124" s="2"/>
      <c r="R124" s="2"/>
      <c r="S124" s="2"/>
      <c r="T124" s="2"/>
      <c r="U124" s="349"/>
      <c r="V124" s="349"/>
    </row>
    <row r="125" spans="1:22" ht="12.75" customHeight="1" x14ac:dyDescent="0.25">
      <c r="A125" s="2"/>
      <c r="B125" s="19"/>
      <c r="C125" s="19"/>
      <c r="D125" s="289"/>
      <c r="E125" s="2485" t="str">
        <f t="shared" si="10"/>
        <v>Delanläggning med bränsleriktmärke, KL</v>
      </c>
      <c r="F125" s="2476"/>
      <c r="G125" s="353" t="s">
        <v>1113</v>
      </c>
      <c r="H125" s="267" t="str">
        <f>IF(H105=EUconst_NA,EUconst_NA,IF(AND(ISNUMBER(D_Emissions!H$35),H105&lt;&gt;""),H105/D_Emissions!H$35*100,""))</f>
        <v/>
      </c>
      <c r="I125" s="267" t="str">
        <f>IF(I105=EUconst_NA,EUconst_NA,IF(AND(ISNUMBER(D_Emissions!I$35),I105&lt;&gt;""),I105/D_Emissions!I$35*100,""))</f>
        <v/>
      </c>
      <c r="J125" s="267" t="str">
        <f>IF(J105=EUconst_NA,EUconst_NA,IF(AND(ISNUMBER(D_Emissions!J$35),J105&lt;&gt;""),J105/D_Emissions!J$35*100,""))</f>
        <v/>
      </c>
      <c r="K125" s="267" t="str">
        <f>IF(K105=EUconst_NA,EUconst_NA,IF(AND(ISNUMBER(D_Emissions!K$35),K105&lt;&gt;""),K105/D_Emissions!K$35*100,""))</f>
        <v/>
      </c>
      <c r="L125" s="267" t="str">
        <f>IF(L105=EUconst_NA,EUconst_NA,IF(AND(ISNUMBER(D_Emissions!L$35),L105&lt;&gt;""),L105/D_Emissions!L$35*100,""))</f>
        <v/>
      </c>
      <c r="M125" s="267" t="str">
        <f>IF(M105=EUconst_NA,EUconst_NA,IF(AND(ISNUMBER(D_Emissions!M$35),M105&lt;&gt;""),M105/D_Emissions!M$35*100,""))</f>
        <v/>
      </c>
      <c r="N125" s="267" t="str">
        <f>IF(N105=EUconst_NA,EUconst_NA,IF(AND(ISNUMBER(D_Emissions!N$35),N105&lt;&gt;""),N105/D_Emissions!N$35*100,""))</f>
        <v/>
      </c>
      <c r="O125" s="19"/>
      <c r="P125" s="471"/>
      <c r="Q125" s="2"/>
      <c r="R125" s="2"/>
      <c r="S125" s="2"/>
      <c r="T125" s="2"/>
      <c r="U125" s="349"/>
      <c r="V125" s="349"/>
    </row>
    <row r="126" spans="1:22" ht="12.75" customHeight="1" thickBot="1" x14ac:dyDescent="0.3">
      <c r="A126" s="2"/>
      <c r="B126" s="19"/>
      <c r="C126" s="19"/>
      <c r="D126" s="289"/>
      <c r="E126" s="2818" t="str">
        <f t="shared" si="10"/>
        <v>Delanläggning med bränsleriktmärke, ej KL</v>
      </c>
      <c r="F126" s="2797"/>
      <c r="G126" s="559" t="s">
        <v>1113</v>
      </c>
      <c r="H126" s="299" t="str">
        <f>IF(H106=EUconst_NA,EUconst_NA,IF(AND(ISNUMBER(D_Emissions!H$35),H106&lt;&gt;""),H106/D_Emissions!H$35*100,""))</f>
        <v/>
      </c>
      <c r="I126" s="299" t="str">
        <f>IF(I106=EUconst_NA,EUconst_NA,IF(AND(ISNUMBER(D_Emissions!I$35),I106&lt;&gt;""),I106/D_Emissions!I$35*100,""))</f>
        <v/>
      </c>
      <c r="J126" s="299" t="str">
        <f>IF(J106=EUconst_NA,EUconst_NA,IF(AND(ISNUMBER(D_Emissions!J$35),J106&lt;&gt;""),J106/D_Emissions!J$35*100,""))</f>
        <v/>
      </c>
      <c r="K126" s="299" t="str">
        <f>IF(K106=EUconst_NA,EUconst_NA,IF(AND(ISNUMBER(D_Emissions!K$35),K106&lt;&gt;""),K106/D_Emissions!K$35*100,""))</f>
        <v/>
      </c>
      <c r="L126" s="299" t="str">
        <f>IF(L106=EUconst_NA,EUconst_NA,IF(AND(ISNUMBER(D_Emissions!L$35),L106&lt;&gt;""),L106/D_Emissions!L$35*100,""))</f>
        <v/>
      </c>
      <c r="M126" s="299" t="str">
        <f>IF(M106=EUconst_NA,EUconst_NA,IF(AND(ISNUMBER(D_Emissions!M$35),M106&lt;&gt;""),M106/D_Emissions!M$35*100,""))</f>
        <v/>
      </c>
      <c r="N126" s="299" t="str">
        <f>IF(N106=EUconst_NA,EUconst_NA,IF(AND(ISNUMBER(D_Emissions!N$35),N106&lt;&gt;""),N106/D_Emissions!N$35*100,""))</f>
        <v/>
      </c>
      <c r="O126" s="19"/>
      <c r="P126" s="471"/>
      <c r="Q126" s="2"/>
      <c r="R126" s="2"/>
      <c r="S126" s="2"/>
      <c r="T126" s="2"/>
      <c r="U126" s="349"/>
      <c r="V126" s="349"/>
    </row>
    <row r="127" spans="1:22" ht="13" customHeight="1" x14ac:dyDescent="0.25">
      <c r="A127" s="2"/>
      <c r="B127" s="19"/>
      <c r="C127" s="19"/>
      <c r="D127" s="289"/>
      <c r="E127" s="2794" t="str">
        <f t="shared" si="10"/>
        <v>Delanläggning med processutsläpp, KL</v>
      </c>
      <c r="F127" s="2795"/>
      <c r="G127" s="560" t="s">
        <v>1113</v>
      </c>
      <c r="H127" s="262" t="str">
        <f>IF(H107=EUconst_NA,EUconst_NA,IF(AND(ISNUMBER(D_Emissions!H$35),H107&lt;&gt;""),H107/D_Emissions!H$35*100,""))</f>
        <v/>
      </c>
      <c r="I127" s="262" t="str">
        <f>IF(I107=EUconst_NA,EUconst_NA,IF(AND(ISNUMBER(D_Emissions!I$35),I107&lt;&gt;""),I107/D_Emissions!I$35*100,""))</f>
        <v/>
      </c>
      <c r="J127" s="262" t="str">
        <f>IF(J107=EUconst_NA,EUconst_NA,IF(AND(ISNUMBER(D_Emissions!J$35),J107&lt;&gt;""),J107/D_Emissions!J$35*100,""))</f>
        <v/>
      </c>
      <c r="K127" s="262" t="str">
        <f>IF(K107=EUconst_NA,EUconst_NA,IF(AND(ISNUMBER(D_Emissions!K$35),K107&lt;&gt;""),K107/D_Emissions!K$35*100,""))</f>
        <v/>
      </c>
      <c r="L127" s="262" t="str">
        <f>IF(L107=EUconst_NA,EUconst_NA,IF(AND(ISNUMBER(D_Emissions!L$35),L107&lt;&gt;""),L107/D_Emissions!L$35*100,""))</f>
        <v/>
      </c>
      <c r="M127" s="262" t="str">
        <f>IF(M107=EUconst_NA,EUconst_NA,IF(AND(ISNUMBER(D_Emissions!M$35),M107&lt;&gt;""),M107/D_Emissions!M$35*100,""))</f>
        <v/>
      </c>
      <c r="N127" s="262" t="str">
        <f>IF(N107=EUconst_NA,EUconst_NA,IF(AND(ISNUMBER(D_Emissions!N$35),N107&lt;&gt;""),N107/D_Emissions!N$35*100,""))</f>
        <v/>
      </c>
      <c r="O127" s="19"/>
      <c r="P127" s="471"/>
      <c r="Q127" s="2"/>
      <c r="R127" s="2"/>
      <c r="S127" s="2"/>
      <c r="T127" s="2"/>
      <c r="U127" s="349"/>
      <c r="V127" s="349"/>
    </row>
    <row r="128" spans="1:22" ht="13.5" customHeight="1" thickBot="1" x14ac:dyDescent="0.3">
      <c r="A128" s="2"/>
      <c r="B128" s="19"/>
      <c r="C128" s="19"/>
      <c r="D128" s="289"/>
      <c r="E128" s="2796" t="str">
        <f t="shared" si="10"/>
        <v>Delanläggning med processutsläpp, ej KL</v>
      </c>
      <c r="F128" s="2797"/>
      <c r="G128" s="561" t="s">
        <v>1113</v>
      </c>
      <c r="H128" s="261" t="str">
        <f>IF(H108=EUconst_NA,EUconst_NA,IF(AND(ISNUMBER(D_Emissions!H$35),H108&lt;&gt;""),H108/D_Emissions!H$35*100,""))</f>
        <v/>
      </c>
      <c r="I128" s="261" t="str">
        <f>IF(I108=EUconst_NA,EUconst_NA,IF(AND(ISNUMBER(D_Emissions!I$35),I108&lt;&gt;""),I108/D_Emissions!I$35*100,""))</f>
        <v/>
      </c>
      <c r="J128" s="261" t="str">
        <f>IF(J108=EUconst_NA,EUconst_NA,IF(AND(ISNUMBER(D_Emissions!J$35),J108&lt;&gt;""),J108/D_Emissions!J$35*100,""))</f>
        <v/>
      </c>
      <c r="K128" s="261" t="str">
        <f>IF(K108=EUconst_NA,EUconst_NA,IF(AND(ISNUMBER(D_Emissions!K$35),K108&lt;&gt;""),K108/D_Emissions!K$35*100,""))</f>
        <v/>
      </c>
      <c r="L128" s="261" t="str">
        <f>IF(L108=EUconst_NA,EUconst_NA,IF(AND(ISNUMBER(D_Emissions!L$35),L108&lt;&gt;""),L108/D_Emissions!L$35*100,""))</f>
        <v/>
      </c>
      <c r="M128" s="261" t="str">
        <f>IF(M108=EUconst_NA,EUconst_NA,IF(AND(ISNUMBER(D_Emissions!M$35),M108&lt;&gt;""),M108/D_Emissions!M$35*100,""))</f>
        <v/>
      </c>
      <c r="N128" s="261" t="str">
        <f>IF(N108=EUconst_NA,EUconst_NA,IF(AND(ISNUMBER(D_Emissions!N$35),N108&lt;&gt;""),N108/D_Emissions!N$35*100,""))</f>
        <v/>
      </c>
      <c r="O128" s="19"/>
      <c r="P128" s="471"/>
      <c r="Q128" s="2"/>
      <c r="R128" s="2"/>
      <c r="S128" s="2"/>
      <c r="T128" s="2"/>
      <c r="U128" s="349"/>
      <c r="V128" s="349"/>
    </row>
    <row r="129" spans="1:22" ht="13" customHeight="1" thickBot="1" x14ac:dyDescent="0.3">
      <c r="A129" s="2"/>
      <c r="B129" s="19"/>
      <c r="C129" s="19"/>
      <c r="D129" s="289"/>
      <c r="E129" s="2819" t="str">
        <f>E109</f>
        <v>Kontroll: Andra utsläpp</v>
      </c>
      <c r="F129" s="2799"/>
      <c r="G129" s="473" t="s">
        <v>1113</v>
      </c>
      <c r="H129" s="256" t="str">
        <f>IF(H109=EUconst_NA,EUconst_NA,IF(AND(ISNUMBER(D_Emissions!H$35),H109&lt;&gt;""),H109/D_Emissions!H$35*100,""))</f>
        <v/>
      </c>
      <c r="I129" s="256" t="str">
        <f>IF(I109=EUconst_NA,EUconst_NA,IF(AND(ISNUMBER(D_Emissions!I$35),I109&lt;&gt;""),I109/D_Emissions!I$35*100,""))</f>
        <v/>
      </c>
      <c r="J129" s="256" t="str">
        <f>IF(J109=EUconst_NA,EUconst_NA,IF(AND(ISNUMBER(D_Emissions!J$35),J109&lt;&gt;""),J109/D_Emissions!J$35*100,""))</f>
        <v/>
      </c>
      <c r="K129" s="256" t="str">
        <f>IF(K109=EUconst_NA,EUconst_NA,IF(AND(ISNUMBER(D_Emissions!K$35),K109&lt;&gt;""),K109/D_Emissions!K$35*100,""))</f>
        <v/>
      </c>
      <c r="L129" s="256" t="str">
        <f>IF(L109=EUconst_NA,EUconst_NA,IF(AND(ISNUMBER(D_Emissions!L$35),L109&lt;&gt;""),L109/D_Emissions!L$35*100,""))</f>
        <v/>
      </c>
      <c r="M129" s="256" t="str">
        <f>IF(M109=EUconst_NA,EUconst_NA,IF(AND(ISNUMBER(D_Emissions!M$35),M109&lt;&gt;""),M109/D_Emissions!M$35*100,""))</f>
        <v/>
      </c>
      <c r="N129" s="256" t="str">
        <f>IF(N109=EUconst_NA,EUconst_NA,IF(AND(ISNUMBER(D_Emissions!N$35),N109&lt;&gt;""),N109/D_Emissions!N$35*100,""))</f>
        <v/>
      </c>
      <c r="O129" s="19"/>
      <c r="P129" s="532"/>
      <c r="Q129" s="2"/>
      <c r="R129" s="2"/>
      <c r="S129" s="2"/>
      <c r="T129" s="2"/>
      <c r="U129" s="349"/>
      <c r="V129" s="349"/>
    </row>
    <row r="130" spans="1:22" s="534" customFormat="1" ht="12.75" customHeight="1" x14ac:dyDescent="0.25">
      <c r="A130" s="343"/>
      <c r="B130" s="15"/>
      <c r="C130" s="15"/>
      <c r="D130" s="15"/>
      <c r="E130" s="15"/>
      <c r="F130" s="15"/>
      <c r="G130" s="15"/>
      <c r="H130" s="15"/>
      <c r="I130" s="15"/>
      <c r="J130" s="15"/>
      <c r="K130" s="15"/>
      <c r="L130" s="15"/>
      <c r="M130" s="15"/>
      <c r="N130" s="15"/>
      <c r="O130" s="19"/>
      <c r="P130" s="343"/>
      <c r="Q130" s="343"/>
      <c r="R130" s="343"/>
      <c r="S130" s="343"/>
      <c r="T130" s="343"/>
      <c r="U130" s="349"/>
      <c r="V130" s="349"/>
    </row>
    <row r="131" spans="1:22" s="534" customFormat="1" ht="14.15" customHeight="1" x14ac:dyDescent="0.3">
      <c r="A131" s="343"/>
      <c r="B131" s="15"/>
      <c r="C131" s="17">
        <v>3</v>
      </c>
      <c r="D131" s="2079" t="str">
        <f>Translations!$B$1004</f>
        <v>Kraftvärmeverktyget – avsnitt D.III</v>
      </c>
      <c r="E131" s="1960"/>
      <c r="F131" s="1960"/>
      <c r="G131" s="1960"/>
      <c r="H131" s="1960"/>
      <c r="I131" s="1960"/>
      <c r="J131" s="1960"/>
      <c r="K131" s="1960"/>
      <c r="L131" s="1960"/>
      <c r="M131" s="1960"/>
      <c r="N131" s="1960"/>
      <c r="O131" s="19"/>
      <c r="P131" s="343"/>
      <c r="Q131" s="343"/>
      <c r="R131" s="343"/>
      <c r="S131" s="343"/>
      <c r="T131" s="343"/>
      <c r="U131" s="349"/>
      <c r="V131" s="349"/>
    </row>
    <row r="132" spans="1:22" s="534" customFormat="1" ht="5.15" customHeight="1" x14ac:dyDescent="0.25">
      <c r="A132" s="343"/>
      <c r="B132" s="3"/>
      <c r="C132" s="3"/>
      <c r="D132" s="3"/>
      <c r="E132" s="3"/>
      <c r="F132" s="3"/>
      <c r="G132" s="3"/>
      <c r="H132" s="3"/>
      <c r="I132" s="3"/>
      <c r="J132" s="3"/>
      <c r="K132" s="3"/>
      <c r="L132" s="3"/>
      <c r="M132" s="6"/>
      <c r="N132" s="6"/>
      <c r="O132" s="19"/>
      <c r="P132" s="7"/>
      <c r="Q132" s="7"/>
      <c r="R132" s="343"/>
      <c r="S132" s="343"/>
      <c r="T132" s="343"/>
      <c r="U132" s="349"/>
      <c r="V132" s="349"/>
    </row>
    <row r="133" spans="1:22" s="534" customFormat="1" ht="12.75" customHeight="1" x14ac:dyDescent="0.25">
      <c r="A133" s="343"/>
      <c r="B133" s="15"/>
      <c r="C133" s="3"/>
      <c r="D133" s="13" t="s">
        <v>442</v>
      </c>
      <c r="E133" s="2106" t="str">
        <f>Translations!$B$1005</f>
        <v>Kraftvärmeverktyg 1</v>
      </c>
      <c r="F133" s="1960"/>
      <c r="G133" s="1960"/>
      <c r="H133" s="1960"/>
      <c r="I133" s="1960"/>
      <c r="J133" s="1960"/>
      <c r="K133" s="1960"/>
      <c r="L133" s="2520"/>
      <c r="M133" s="1789" t="str">
        <f>IF(ISBLANK(D_Emissions!M45),"",D_Emissions!M45)</f>
        <v/>
      </c>
      <c r="N133" s="356"/>
      <c r="O133" s="19"/>
      <c r="P133" s="343"/>
      <c r="Q133" s="343"/>
      <c r="R133" s="343"/>
      <c r="S133" s="343"/>
      <c r="T133" s="343"/>
      <c r="U133" s="349"/>
      <c r="V133" s="349"/>
    </row>
    <row r="134" spans="1:22" s="534" customFormat="1" ht="5.15" customHeight="1" x14ac:dyDescent="0.25">
      <c r="A134" s="343"/>
      <c r="B134" s="15"/>
      <c r="C134" s="19"/>
      <c r="D134" s="19"/>
      <c r="E134" s="19"/>
      <c r="F134" s="19"/>
      <c r="G134" s="19"/>
      <c r="H134" s="19"/>
      <c r="I134" s="19"/>
      <c r="J134" s="19"/>
      <c r="K134" s="19"/>
      <c r="L134" s="19"/>
      <c r="M134" s="19"/>
      <c r="N134" s="19"/>
      <c r="O134" s="19"/>
      <c r="P134" s="343"/>
      <c r="Q134" s="343"/>
      <c r="R134" s="343"/>
      <c r="S134" s="343"/>
      <c r="T134" s="343"/>
      <c r="U134" s="349"/>
      <c r="V134" s="349"/>
    </row>
    <row r="135" spans="1:22" s="534" customFormat="1" ht="12.75" customHeight="1" x14ac:dyDescent="0.25">
      <c r="A135" s="343"/>
      <c r="B135" s="15"/>
      <c r="C135" s="19"/>
      <c r="D135" s="19"/>
      <c r="E135" s="2062" t="str">
        <f>Translations!$B$1006</f>
        <v>Energibalans</v>
      </c>
      <c r="F135" s="2497"/>
      <c r="G135" s="31" t="str">
        <f>D_Emissions!G56</f>
        <v>Enhet</v>
      </c>
      <c r="H135" s="320">
        <f t="shared" ref="H135:N135" si="12">H$2596</f>
        <v>2019</v>
      </c>
      <c r="I135" s="320">
        <f t="shared" si="12"/>
        <v>2020</v>
      </c>
      <c r="J135" s="320">
        <f t="shared" si="12"/>
        <v>2021</v>
      </c>
      <c r="K135" s="320">
        <f t="shared" si="12"/>
        <v>2022</v>
      </c>
      <c r="L135" s="320">
        <f t="shared" si="12"/>
        <v>2023</v>
      </c>
      <c r="M135" s="320">
        <f t="shared" si="12"/>
        <v>2024</v>
      </c>
      <c r="N135" s="320">
        <f t="shared" si="12"/>
        <v>2025</v>
      </c>
      <c r="O135" s="19"/>
      <c r="P135" s="343"/>
      <c r="Q135" s="343"/>
      <c r="R135" s="343"/>
      <c r="S135" s="343"/>
      <c r="T135" s="343"/>
      <c r="U135" s="349"/>
      <c r="V135" s="349"/>
    </row>
    <row r="136" spans="1:22" s="534" customFormat="1" ht="12.75" customHeight="1" x14ac:dyDescent="0.25">
      <c r="A136" s="343"/>
      <c r="B136" s="15"/>
      <c r="C136" s="19"/>
      <c r="D136" s="19"/>
      <c r="E136" s="2129" t="str">
        <f>D_Emissions!E57</f>
        <v>Insatsbränsle till kraftvärmeenheten</v>
      </c>
      <c r="F136" s="1997"/>
      <c r="G136" s="43" t="str">
        <f>D_Emissions!G57</f>
        <v>TJ / år</v>
      </c>
      <c r="H136" s="750" t="str">
        <f>IF(ISBLANK(D_Emissions!H57),"",D_Emissions!H57)</f>
        <v/>
      </c>
      <c r="I136" s="750" t="str">
        <f>IF(ISBLANK(D_Emissions!I57),"",D_Emissions!I57)</f>
        <v/>
      </c>
      <c r="J136" s="750" t="str">
        <f>IF(ISBLANK(D_Emissions!J57),"",D_Emissions!J57)</f>
        <v/>
      </c>
      <c r="K136" s="750" t="str">
        <f>IF(ISBLANK(D_Emissions!K57),"",D_Emissions!K57)</f>
        <v/>
      </c>
      <c r="L136" s="750" t="str">
        <f>IF(ISBLANK(D_Emissions!L57),"",D_Emissions!L57)</f>
        <v/>
      </c>
      <c r="M136" s="750" t="str">
        <f>IF(ISBLANK(D_Emissions!M57),"",D_Emissions!M57)</f>
        <v/>
      </c>
      <c r="N136" s="750" t="str">
        <f>IF(ISBLANK(D_Emissions!N57),"",D_Emissions!N57)</f>
        <v/>
      </c>
      <c r="O136" s="19"/>
      <c r="P136" s="343"/>
      <c r="Q136" s="343"/>
      <c r="R136" s="343"/>
      <c r="S136" s="343"/>
      <c r="T136" s="343"/>
      <c r="U136" s="349"/>
      <c r="V136" s="349"/>
    </row>
    <row r="137" spans="1:22" s="534" customFormat="1" ht="12.75" customHeight="1" x14ac:dyDescent="0.25">
      <c r="A137" s="343"/>
      <c r="B137" s="15"/>
      <c r="C137" s="19"/>
      <c r="D137" s="19"/>
      <c r="E137" s="2787" t="str">
        <f>D_Emissions!E62</f>
        <v>Värmeproduktion vid kraftvärmeenheten</v>
      </c>
      <c r="F137" s="2484"/>
      <c r="G137" s="25" t="str">
        <f>D_Emissions!G62</f>
        <v>TJ / år</v>
      </c>
      <c r="H137" s="751" t="str">
        <f>IF(ISBLANK(D_Emissions!H62),"",D_Emissions!H62)</f>
        <v/>
      </c>
      <c r="I137" s="751" t="str">
        <f>IF(ISBLANK(D_Emissions!I62),"",D_Emissions!I62)</f>
        <v/>
      </c>
      <c r="J137" s="751" t="str">
        <f>IF(ISBLANK(D_Emissions!J62),"",D_Emissions!J62)</f>
        <v/>
      </c>
      <c r="K137" s="751" t="str">
        <f>IF(ISBLANK(D_Emissions!K62),"",D_Emissions!K62)</f>
        <v/>
      </c>
      <c r="L137" s="751" t="str">
        <f>IF(ISBLANK(D_Emissions!L62),"",D_Emissions!L62)</f>
        <v/>
      </c>
      <c r="M137" s="751" t="str">
        <f>IF(ISBLANK(D_Emissions!M62),"",D_Emissions!M62)</f>
        <v/>
      </c>
      <c r="N137" s="751" t="str">
        <f>IF(ISBLANK(D_Emissions!N62),"",D_Emissions!N62)</f>
        <v/>
      </c>
      <c r="O137" s="19"/>
      <c r="P137" s="343"/>
      <c r="Q137" s="343"/>
      <c r="R137" s="343"/>
      <c r="S137" s="343"/>
      <c r="T137" s="343"/>
      <c r="U137" s="349"/>
      <c r="V137" s="349"/>
    </row>
    <row r="138" spans="1:22" s="534" customFormat="1" ht="12.75" customHeight="1" x14ac:dyDescent="0.25">
      <c r="A138" s="343"/>
      <c r="B138" s="15"/>
      <c r="C138" s="19"/>
      <c r="D138" s="19"/>
      <c r="E138" s="2788" t="str">
        <f>D_Emissions!E68</f>
        <v>Elproduktion vid kraftvärmeenheten</v>
      </c>
      <c r="F138" s="2487"/>
      <c r="G138" s="27" t="str">
        <f>D_Emissions!G68</f>
        <v>TJ / år</v>
      </c>
      <c r="H138" s="753" t="str">
        <f>IF(ISBLANK(D_Emissions!H68),"",D_Emissions!H68)</f>
        <v/>
      </c>
      <c r="I138" s="753" t="str">
        <f>IF(ISBLANK(D_Emissions!I68),"",D_Emissions!I68)</f>
        <v/>
      </c>
      <c r="J138" s="753" t="str">
        <f>IF(ISBLANK(D_Emissions!J68),"",D_Emissions!J68)</f>
        <v/>
      </c>
      <c r="K138" s="753" t="str">
        <f>IF(ISBLANK(D_Emissions!K68),"",D_Emissions!K68)</f>
        <v/>
      </c>
      <c r="L138" s="753" t="str">
        <f>IF(ISBLANK(D_Emissions!L68),"",D_Emissions!L68)</f>
        <v/>
      </c>
      <c r="M138" s="753" t="str">
        <f>IF(ISBLANK(D_Emissions!M68),"",D_Emissions!M68)</f>
        <v/>
      </c>
      <c r="N138" s="753" t="str">
        <f>IF(ISBLANK(D_Emissions!N68),"",D_Emissions!N68)</f>
        <v/>
      </c>
      <c r="O138" s="19"/>
      <c r="P138" s="343"/>
      <c r="Q138" s="343"/>
      <c r="R138" s="343"/>
      <c r="S138" s="343"/>
      <c r="T138" s="343"/>
      <c r="U138" s="349"/>
      <c r="V138" s="349"/>
    </row>
    <row r="139" spans="1:22" s="534" customFormat="1" ht="5.15" customHeight="1" x14ac:dyDescent="0.25">
      <c r="A139" s="343"/>
      <c r="B139" s="15"/>
      <c r="C139" s="19"/>
      <c r="D139" s="19"/>
      <c r="E139" s="19"/>
      <c r="F139" s="19"/>
      <c r="G139" s="19"/>
      <c r="H139" s="19"/>
      <c r="I139" s="19"/>
      <c r="J139" s="19"/>
      <c r="K139" s="19"/>
      <c r="L139" s="19"/>
      <c r="M139" s="19"/>
      <c r="N139" s="19"/>
      <c r="O139" s="19"/>
      <c r="P139" s="343"/>
      <c r="Q139" s="343"/>
      <c r="R139" s="343"/>
      <c r="S139" s="343"/>
      <c r="T139" s="343"/>
      <c r="U139" s="349"/>
      <c r="V139" s="349"/>
    </row>
    <row r="140" spans="1:22" s="534" customFormat="1" ht="12.75" customHeight="1" x14ac:dyDescent="0.25">
      <c r="A140" s="343"/>
      <c r="B140" s="15"/>
      <c r="C140" s="19"/>
      <c r="D140" s="19"/>
      <c r="E140" s="2062" t="str">
        <f>Translations!$B$1007</f>
        <v>Utsläpp</v>
      </c>
      <c r="F140" s="2497"/>
      <c r="G140" s="31" t="str">
        <f>D_Emissions!G61</f>
        <v>Enhet</v>
      </c>
      <c r="H140" s="320">
        <f t="shared" ref="H140:N140" si="13">H$2596</f>
        <v>2019</v>
      </c>
      <c r="I140" s="320">
        <f t="shared" si="13"/>
        <v>2020</v>
      </c>
      <c r="J140" s="320">
        <f t="shared" si="13"/>
        <v>2021</v>
      </c>
      <c r="K140" s="320">
        <f t="shared" si="13"/>
        <v>2022</v>
      </c>
      <c r="L140" s="320">
        <f t="shared" si="13"/>
        <v>2023</v>
      </c>
      <c r="M140" s="320">
        <f t="shared" si="13"/>
        <v>2024</v>
      </c>
      <c r="N140" s="320">
        <f t="shared" si="13"/>
        <v>2025</v>
      </c>
      <c r="O140" s="19"/>
      <c r="P140" s="343"/>
      <c r="Q140" s="343"/>
      <c r="R140" s="343"/>
      <c r="S140" s="343"/>
      <c r="T140" s="343"/>
      <c r="U140" s="349"/>
      <c r="V140" s="349"/>
    </row>
    <row r="141" spans="1:22" s="534" customFormat="1" ht="12.75" customHeight="1" x14ac:dyDescent="0.25">
      <c r="A141" s="343"/>
      <c r="B141" s="15"/>
      <c r="C141" s="19"/>
      <c r="D141" s="19"/>
      <c r="E141" s="2787" t="str">
        <f>D_Emissions!E73</f>
        <v>Från insatsbränsle till kraftvärmeenheten</v>
      </c>
      <c r="F141" s="2484"/>
      <c r="G141" s="25" t="str">
        <f>D_Emissions!G73</f>
        <v>t CO2 / år</v>
      </c>
      <c r="H141" s="751" t="str">
        <f>IF(ISBLANK(D_Emissions!H73),"",D_Emissions!H73)</f>
        <v/>
      </c>
      <c r="I141" s="751" t="str">
        <f>IF(ISBLANK(D_Emissions!I73),"",D_Emissions!I73)</f>
        <v/>
      </c>
      <c r="J141" s="751" t="str">
        <f>IF(ISBLANK(D_Emissions!J73),"",D_Emissions!J73)</f>
        <v/>
      </c>
      <c r="K141" s="751" t="str">
        <f>IF(ISBLANK(D_Emissions!K73),"",D_Emissions!K73)</f>
        <v/>
      </c>
      <c r="L141" s="751" t="str">
        <f>IF(ISBLANK(D_Emissions!L73),"",D_Emissions!L73)</f>
        <v/>
      </c>
      <c r="M141" s="751" t="str">
        <f>IF(ISBLANK(D_Emissions!M73),"",D_Emissions!M73)</f>
        <v/>
      </c>
      <c r="N141" s="751" t="str">
        <f>IF(ISBLANK(D_Emissions!N73),"",D_Emissions!N73)</f>
        <v/>
      </c>
      <c r="O141" s="19"/>
      <c r="P141" s="343"/>
      <c r="Q141" s="343"/>
      <c r="R141" s="343"/>
      <c r="S141" s="343"/>
      <c r="T141" s="343"/>
      <c r="U141" s="349"/>
      <c r="V141" s="349"/>
    </row>
    <row r="142" spans="1:22" s="534" customFormat="1" ht="12.75" customHeight="1" x14ac:dyDescent="0.25">
      <c r="A142" s="343"/>
      <c r="B142" s="15"/>
      <c r="C142" s="19"/>
      <c r="D142" s="19"/>
      <c r="E142" s="2788" t="str">
        <f>D_Emissions!E74</f>
        <v>Från rökgasrening</v>
      </c>
      <c r="F142" s="2487"/>
      <c r="G142" s="27" t="str">
        <f>D_Emissions!G74</f>
        <v>t CO2 / år</v>
      </c>
      <c r="H142" s="753" t="str">
        <f>IF(ISBLANK(D_Emissions!H74),"",D_Emissions!H74)</f>
        <v/>
      </c>
      <c r="I142" s="753" t="str">
        <f>IF(ISBLANK(D_Emissions!I74),"",D_Emissions!I74)</f>
        <v/>
      </c>
      <c r="J142" s="753" t="str">
        <f>IF(ISBLANK(D_Emissions!J74),"",D_Emissions!J74)</f>
        <v/>
      </c>
      <c r="K142" s="753" t="str">
        <f>IF(ISBLANK(D_Emissions!K74),"",D_Emissions!K74)</f>
        <v/>
      </c>
      <c r="L142" s="753" t="str">
        <f>IF(ISBLANK(D_Emissions!L74),"",D_Emissions!L74)</f>
        <v/>
      </c>
      <c r="M142" s="753" t="str">
        <f>IF(ISBLANK(D_Emissions!M74),"",D_Emissions!M74)</f>
        <v/>
      </c>
      <c r="N142" s="753" t="str">
        <f>IF(ISBLANK(D_Emissions!N74),"",D_Emissions!N74)</f>
        <v/>
      </c>
      <c r="O142" s="19"/>
      <c r="P142" s="343"/>
      <c r="Q142" s="343"/>
      <c r="R142" s="343"/>
      <c r="S142" s="343"/>
      <c r="T142" s="343"/>
      <c r="U142" s="349"/>
      <c r="V142" s="349"/>
    </row>
    <row r="143" spans="1:22" s="534" customFormat="1" ht="12.75" customHeight="1" x14ac:dyDescent="0.25">
      <c r="A143" s="343"/>
      <c r="B143" s="15"/>
      <c r="C143" s="19"/>
      <c r="D143" s="19"/>
      <c r="E143" s="2129" t="str">
        <f>D_Emissions!E75</f>
        <v>Totala utsläpp</v>
      </c>
      <c r="F143" s="1997"/>
      <c r="G143" s="43" t="str">
        <f>D_Emissions!G75</f>
        <v>t CO2 / år</v>
      </c>
      <c r="H143" s="750" t="str">
        <f>D_Emissions!H75</f>
        <v/>
      </c>
      <c r="I143" s="750" t="str">
        <f>D_Emissions!I75</f>
        <v/>
      </c>
      <c r="J143" s="750" t="str">
        <f>D_Emissions!J75</f>
        <v/>
      </c>
      <c r="K143" s="750" t="str">
        <f>D_Emissions!K75</f>
        <v/>
      </c>
      <c r="L143" s="750" t="str">
        <f>D_Emissions!L75</f>
        <v/>
      </c>
      <c r="M143" s="750" t="str">
        <f>D_Emissions!M75</f>
        <v/>
      </c>
      <c r="N143" s="750" t="str">
        <f>D_Emissions!N75</f>
        <v/>
      </c>
      <c r="O143" s="19"/>
      <c r="P143" s="343"/>
      <c r="Q143" s="343"/>
      <c r="R143" s="343"/>
      <c r="S143" s="343"/>
      <c r="T143" s="343"/>
      <c r="U143" s="349"/>
      <c r="V143" s="349"/>
    </row>
    <row r="144" spans="1:22" s="534" customFormat="1" ht="5.15" customHeight="1" x14ac:dyDescent="0.25">
      <c r="A144" s="343"/>
      <c r="B144" s="15"/>
      <c r="C144" s="19"/>
      <c r="D144" s="19"/>
      <c r="O144" s="19"/>
      <c r="P144" s="343"/>
      <c r="Q144" s="343"/>
      <c r="R144" s="343"/>
      <c r="S144" s="343"/>
      <c r="T144" s="343"/>
      <c r="U144" s="349"/>
      <c r="V144" s="349"/>
    </row>
    <row r="145" spans="1:22" s="534" customFormat="1" ht="12.75" customHeight="1" x14ac:dyDescent="0.25">
      <c r="A145" s="343"/>
      <c r="B145" s="15"/>
      <c r="C145" s="19"/>
      <c r="D145" s="19"/>
      <c r="E145" s="2062" t="str">
        <f>Translations!$B$1008</f>
        <v>Effektiviteter</v>
      </c>
      <c r="F145" s="2497"/>
      <c r="G145" s="31" t="str">
        <f>D_Emissions!G82</f>
        <v>Enhet</v>
      </c>
      <c r="H145" s="320">
        <f t="shared" ref="H145:N145" si="14">H$2596</f>
        <v>2019</v>
      </c>
      <c r="I145" s="320">
        <f t="shared" si="14"/>
        <v>2020</v>
      </c>
      <c r="J145" s="320">
        <f t="shared" si="14"/>
        <v>2021</v>
      </c>
      <c r="K145" s="320">
        <f t="shared" si="14"/>
        <v>2022</v>
      </c>
      <c r="L145" s="320">
        <f t="shared" si="14"/>
        <v>2023</v>
      </c>
      <c r="M145" s="320">
        <f t="shared" si="14"/>
        <v>2024</v>
      </c>
      <c r="N145" s="320">
        <f t="shared" si="14"/>
        <v>2025</v>
      </c>
      <c r="O145" s="19"/>
      <c r="P145" s="343"/>
      <c r="Q145" s="343"/>
      <c r="R145" s="343"/>
      <c r="S145" s="343"/>
      <c r="T145" s="343"/>
      <c r="U145" s="349"/>
      <c r="V145" s="349"/>
    </row>
    <row r="146" spans="1:22" s="534" customFormat="1" ht="12.75" customHeight="1" x14ac:dyDescent="0.25">
      <c r="A146" s="343"/>
      <c r="B146" s="15"/>
      <c r="C146" s="19"/>
      <c r="D146" s="19"/>
      <c r="E146" s="2787" t="str">
        <f>D_Emissions!E83</f>
        <v>Värmeproduktion</v>
      </c>
      <c r="F146" s="2484"/>
      <c r="G146" s="627" t="str">
        <f>D_Emissions!G83</f>
        <v>-</v>
      </c>
      <c r="H146" s="628" t="str">
        <f>D_Emissions!H83</f>
        <v/>
      </c>
      <c r="I146" s="628" t="str">
        <f>D_Emissions!I83</f>
        <v/>
      </c>
      <c r="J146" s="628" t="str">
        <f>D_Emissions!J83</f>
        <v/>
      </c>
      <c r="K146" s="628" t="str">
        <f>D_Emissions!K83</f>
        <v/>
      </c>
      <c r="L146" s="628" t="str">
        <f>D_Emissions!L83</f>
        <v/>
      </c>
      <c r="M146" s="628" t="str">
        <f>D_Emissions!M83</f>
        <v/>
      </c>
      <c r="N146" s="628" t="str">
        <f>D_Emissions!N83</f>
        <v/>
      </c>
      <c r="O146" s="19"/>
      <c r="P146" s="343"/>
      <c r="Q146" s="343"/>
      <c r="R146" s="343"/>
      <c r="S146" s="343"/>
      <c r="T146" s="343"/>
      <c r="U146" s="349"/>
      <c r="V146" s="349"/>
    </row>
    <row r="147" spans="1:22" s="534" customFormat="1" ht="12.75" customHeight="1" x14ac:dyDescent="0.25">
      <c r="A147" s="343"/>
      <c r="B147" s="15"/>
      <c r="C147" s="19"/>
      <c r="D147" s="19"/>
      <c r="E147" s="2788" t="str">
        <f>D_Emissions!E84</f>
        <v>Elproduktion</v>
      </c>
      <c r="F147" s="2487"/>
      <c r="G147" s="629" t="str">
        <f>D_Emissions!G84</f>
        <v>-</v>
      </c>
      <c r="H147" s="630" t="str">
        <f>D_Emissions!H84</f>
        <v/>
      </c>
      <c r="I147" s="630" t="str">
        <f>D_Emissions!I84</f>
        <v/>
      </c>
      <c r="J147" s="630" t="str">
        <f>D_Emissions!J84</f>
        <v/>
      </c>
      <c r="K147" s="630" t="str">
        <f>D_Emissions!K84</f>
        <v/>
      </c>
      <c r="L147" s="630" t="str">
        <f>D_Emissions!L84</f>
        <v/>
      </c>
      <c r="M147" s="630" t="str">
        <f>D_Emissions!M84</f>
        <v/>
      </c>
      <c r="N147" s="630" t="str">
        <f>D_Emissions!N84</f>
        <v/>
      </c>
      <c r="O147" s="19"/>
      <c r="P147" s="343"/>
      <c r="Q147" s="343"/>
      <c r="R147" s="343"/>
      <c r="S147" s="343"/>
      <c r="T147" s="343"/>
      <c r="U147" s="349"/>
      <c r="V147" s="349"/>
    </row>
    <row r="148" spans="1:22" s="534" customFormat="1" ht="12.75" customHeight="1" x14ac:dyDescent="0.25">
      <c r="A148" s="343"/>
      <c r="B148" s="15"/>
      <c r="C148" s="19"/>
      <c r="D148" s="19"/>
      <c r="E148" s="2787" t="str">
        <f>Translations!$B$1009</f>
        <v>Värmeproduktion (referens)</v>
      </c>
      <c r="F148" s="2484"/>
      <c r="G148" s="627" t="str">
        <f>D_Emissions!G92</f>
        <v>-</v>
      </c>
      <c r="H148" s="631" t="str">
        <f>IF(ISBLANK(D_Emissions!H92),"",D_Emissions!H92)</f>
        <v/>
      </c>
      <c r="I148" s="631" t="str">
        <f>IF(ISBLANK(D_Emissions!I92),"",D_Emissions!I92)</f>
        <v/>
      </c>
      <c r="J148" s="631" t="str">
        <f>IF(ISBLANK(D_Emissions!J92),"",D_Emissions!J92)</f>
        <v/>
      </c>
      <c r="K148" s="631" t="str">
        <f>IF(ISBLANK(D_Emissions!K92),"",D_Emissions!K92)</f>
        <v/>
      </c>
      <c r="L148" s="631" t="str">
        <f>IF(ISBLANK(D_Emissions!L92),"",D_Emissions!L92)</f>
        <v/>
      </c>
      <c r="M148" s="631" t="str">
        <f>IF(ISBLANK(D_Emissions!M92),"",D_Emissions!M92)</f>
        <v/>
      </c>
      <c r="N148" s="631" t="str">
        <f>IF(ISBLANK(D_Emissions!N92),"",D_Emissions!N92)</f>
        <v/>
      </c>
      <c r="O148" s="19"/>
      <c r="P148" s="343"/>
      <c r="Q148" s="343"/>
      <c r="R148" s="343"/>
      <c r="S148" s="343"/>
      <c r="T148" s="343"/>
      <c r="U148" s="349"/>
      <c r="V148" s="349"/>
    </row>
    <row r="149" spans="1:22" s="534" customFormat="1" ht="12.75" customHeight="1" x14ac:dyDescent="0.25">
      <c r="A149" s="343"/>
      <c r="B149" s="15"/>
      <c r="C149" s="19"/>
      <c r="D149" s="19"/>
      <c r="E149" s="2788" t="str">
        <f>Translations!$B$1010</f>
        <v>Elproduktion (referens)</v>
      </c>
      <c r="F149" s="2487"/>
      <c r="G149" s="629" t="str">
        <f>D_Emissions!G93</f>
        <v>-</v>
      </c>
      <c r="H149" s="632" t="str">
        <f>IF(ISBLANK(D_Emissions!H93),"",D_Emissions!H93)</f>
        <v/>
      </c>
      <c r="I149" s="632" t="str">
        <f>IF(ISBLANK(D_Emissions!I93),"",D_Emissions!I93)</f>
        <v/>
      </c>
      <c r="J149" s="632" t="str">
        <f>IF(ISBLANK(D_Emissions!J93),"",D_Emissions!J93)</f>
        <v/>
      </c>
      <c r="K149" s="632" t="str">
        <f>IF(ISBLANK(D_Emissions!K93),"",D_Emissions!K93)</f>
        <v/>
      </c>
      <c r="L149" s="632" t="str">
        <f>IF(ISBLANK(D_Emissions!L93),"",D_Emissions!L93)</f>
        <v/>
      </c>
      <c r="M149" s="632" t="str">
        <f>IF(ISBLANK(D_Emissions!M93),"",D_Emissions!M93)</f>
        <v/>
      </c>
      <c r="N149" s="632" t="str">
        <f>IF(ISBLANK(D_Emissions!N93),"",D_Emissions!N93)</f>
        <v/>
      </c>
      <c r="O149" s="19"/>
      <c r="P149" s="343"/>
      <c r="Q149" s="343"/>
      <c r="R149" s="343"/>
      <c r="S149" s="343"/>
      <c r="T149" s="343"/>
      <c r="U149" s="349"/>
      <c r="V149" s="349"/>
    </row>
    <row r="150" spans="1:22" s="534" customFormat="1" ht="5.15" customHeight="1" x14ac:dyDescent="0.25">
      <c r="A150" s="343"/>
      <c r="B150" s="15"/>
      <c r="C150" s="19"/>
      <c r="D150" s="19"/>
      <c r="E150" s="19"/>
      <c r="F150" s="19"/>
      <c r="G150" s="19"/>
      <c r="H150" s="19"/>
      <c r="I150" s="19"/>
      <c r="J150" s="19"/>
      <c r="K150" s="19"/>
      <c r="L150" s="19"/>
      <c r="M150" s="19"/>
      <c r="N150" s="19"/>
      <c r="O150" s="19"/>
      <c r="P150" s="343"/>
      <c r="Q150" s="343"/>
      <c r="R150" s="343"/>
      <c r="S150" s="343"/>
      <c r="T150" s="343"/>
      <c r="U150" s="349"/>
      <c r="V150" s="349"/>
    </row>
    <row r="151" spans="1:22" s="534" customFormat="1" ht="12.75" customHeight="1" x14ac:dyDescent="0.25">
      <c r="A151" s="343"/>
      <c r="B151" s="15"/>
      <c r="C151" s="19"/>
      <c r="D151" s="19"/>
      <c r="E151" s="2062" t="str">
        <f>Translations!$B$1011</f>
        <v>Resultat</v>
      </c>
      <c r="F151" s="2497"/>
      <c r="G151" s="31" t="str">
        <f>D_Emissions!G145</f>
        <v>Enhet</v>
      </c>
      <c r="H151" s="320">
        <f t="shared" ref="H151:N151" si="15">H$2596</f>
        <v>2019</v>
      </c>
      <c r="I151" s="320">
        <f t="shared" si="15"/>
        <v>2020</v>
      </c>
      <c r="J151" s="320">
        <f t="shared" si="15"/>
        <v>2021</v>
      </c>
      <c r="K151" s="320">
        <f t="shared" si="15"/>
        <v>2022</v>
      </c>
      <c r="L151" s="320">
        <f t="shared" si="15"/>
        <v>2023</v>
      </c>
      <c r="M151" s="320">
        <f t="shared" si="15"/>
        <v>2024</v>
      </c>
      <c r="N151" s="320">
        <f t="shared" si="15"/>
        <v>2025</v>
      </c>
      <c r="O151" s="19"/>
      <c r="P151" s="343"/>
      <c r="Q151" s="343"/>
      <c r="R151" s="343"/>
      <c r="S151" s="343"/>
      <c r="T151" s="343"/>
      <c r="U151" s="349"/>
      <c r="V151" s="349"/>
    </row>
    <row r="152" spans="1:22" s="534" customFormat="1" ht="12.75" customHeight="1" x14ac:dyDescent="0.25">
      <c r="A152" s="343"/>
      <c r="B152" s="15"/>
      <c r="C152" s="19"/>
      <c r="D152" s="19"/>
      <c r="E152" s="2784" t="str">
        <f>D_Emissions!E100</f>
        <v>Utsläpp som kan tillskrivas värmeproduktion</v>
      </c>
      <c r="F152" s="1997"/>
      <c r="G152" s="472" t="str">
        <f>D_Emissions!G100</f>
        <v>t CO2 / år</v>
      </c>
      <c r="H152" s="757" t="str">
        <f>D_Emissions!H100</f>
        <v/>
      </c>
      <c r="I152" s="757" t="str">
        <f>D_Emissions!I100</f>
        <v/>
      </c>
      <c r="J152" s="757" t="str">
        <f>D_Emissions!J100</f>
        <v/>
      </c>
      <c r="K152" s="757" t="str">
        <f>D_Emissions!K100</f>
        <v/>
      </c>
      <c r="L152" s="757" t="str">
        <f>D_Emissions!L100</f>
        <v/>
      </c>
      <c r="M152" s="757" t="str">
        <f>D_Emissions!M100</f>
        <v/>
      </c>
      <c r="N152" s="757" t="str">
        <f>D_Emissions!N100</f>
        <v/>
      </c>
      <c r="O152" s="19"/>
      <c r="P152" s="343"/>
      <c r="Q152" s="343"/>
      <c r="R152" s="343"/>
      <c r="S152" s="343"/>
      <c r="T152" s="343"/>
      <c r="U152" s="349"/>
      <c r="V152" s="349"/>
    </row>
    <row r="153" spans="1:22" s="534" customFormat="1" ht="12.75" customHeight="1" x14ac:dyDescent="0.25">
      <c r="A153" s="343"/>
      <c r="B153" s="15"/>
      <c r="C153" s="19"/>
      <c r="D153" s="19"/>
      <c r="E153" s="2129" t="str">
        <f>D_Emissions!E101</f>
        <v>Emissionsfaktor, värme</v>
      </c>
      <c r="F153" s="1997"/>
      <c r="G153" s="43" t="str">
        <f>D_Emissions!G101</f>
        <v>t CO2 / TJ</v>
      </c>
      <c r="H153" s="750" t="str">
        <f>D_Emissions!H101</f>
        <v/>
      </c>
      <c r="I153" s="750" t="str">
        <f>D_Emissions!I101</f>
        <v/>
      </c>
      <c r="J153" s="750" t="str">
        <f>D_Emissions!J101</f>
        <v/>
      </c>
      <c r="K153" s="750" t="str">
        <f>D_Emissions!K101</f>
        <v/>
      </c>
      <c r="L153" s="750" t="str">
        <f>D_Emissions!L101</f>
        <v/>
      </c>
      <c r="M153" s="750" t="str">
        <f>D_Emissions!M101</f>
        <v/>
      </c>
      <c r="N153" s="750" t="str">
        <f>D_Emissions!N101</f>
        <v/>
      </c>
      <c r="O153" s="19"/>
      <c r="P153" s="343"/>
      <c r="Q153" s="343"/>
      <c r="R153" s="343"/>
      <c r="S153" s="343"/>
      <c r="T153" s="343"/>
      <c r="U153" s="349"/>
      <c r="V153" s="349"/>
    </row>
    <row r="154" spans="1:22" s="534" customFormat="1" ht="5.15" customHeight="1" x14ac:dyDescent="0.25">
      <c r="A154" s="343"/>
      <c r="B154" s="15"/>
      <c r="C154" s="19"/>
      <c r="D154" s="19"/>
      <c r="E154" s="19"/>
      <c r="F154" s="19"/>
      <c r="G154" s="19"/>
      <c r="H154" s="19"/>
      <c r="I154" s="19"/>
      <c r="J154" s="19"/>
      <c r="K154" s="19"/>
      <c r="L154" s="19"/>
      <c r="M154" s="19"/>
      <c r="N154" s="19"/>
      <c r="O154" s="19"/>
      <c r="P154" s="343"/>
      <c r="Q154" s="343"/>
      <c r="R154" s="343"/>
      <c r="S154" s="343"/>
      <c r="T154" s="343"/>
      <c r="U154" s="349"/>
      <c r="V154" s="349"/>
    </row>
    <row r="155" spans="1:22" s="534" customFormat="1" ht="12.75" customHeight="1" x14ac:dyDescent="0.25">
      <c r="A155" s="343"/>
      <c r="B155" s="15"/>
      <c r="C155" s="19"/>
      <c r="D155" s="19"/>
      <c r="E155" s="2787" t="str">
        <f>D_Emissions!E106</f>
        <v>Insatsbränsle för värme</v>
      </c>
      <c r="F155" s="2484"/>
      <c r="G155" s="25" t="str">
        <f>D_Emissions!G106</f>
        <v>TJ / år</v>
      </c>
      <c r="H155" s="751" t="str">
        <f>D_Emissions!H106</f>
        <v/>
      </c>
      <c r="I155" s="751" t="str">
        <f>D_Emissions!I106</f>
        <v/>
      </c>
      <c r="J155" s="751" t="str">
        <f>D_Emissions!J106</f>
        <v/>
      </c>
      <c r="K155" s="751" t="str">
        <f>D_Emissions!K106</f>
        <v/>
      </c>
      <c r="L155" s="751" t="str">
        <f>D_Emissions!L106</f>
        <v/>
      </c>
      <c r="M155" s="751" t="str">
        <f>D_Emissions!M106</f>
        <v/>
      </c>
      <c r="N155" s="751" t="str">
        <f>D_Emissions!N106</f>
        <v/>
      </c>
      <c r="O155" s="19"/>
      <c r="P155" s="343"/>
      <c r="Q155" s="343"/>
      <c r="R155" s="343"/>
      <c r="S155" s="343"/>
      <c r="T155" s="343"/>
      <c r="U155" s="349"/>
      <c r="V155" s="349"/>
    </row>
    <row r="156" spans="1:22" s="534" customFormat="1" ht="12.75" customHeight="1" x14ac:dyDescent="0.25">
      <c r="A156" s="343"/>
      <c r="B156" s="15"/>
      <c r="C156" s="19"/>
      <c r="D156" s="19"/>
      <c r="E156" s="2788" t="str">
        <f>D_Emissions!E107</f>
        <v>Insatsbränsle för el</v>
      </c>
      <c r="F156" s="2487"/>
      <c r="G156" s="27" t="str">
        <f>D_Emissions!G107</f>
        <v>TJ / år</v>
      </c>
      <c r="H156" s="753" t="str">
        <f>D_Emissions!H107</f>
        <v/>
      </c>
      <c r="I156" s="753" t="str">
        <f>D_Emissions!I107</f>
        <v/>
      </c>
      <c r="J156" s="753" t="str">
        <f>D_Emissions!J107</f>
        <v/>
      </c>
      <c r="K156" s="753" t="str">
        <f>D_Emissions!K107</f>
        <v/>
      </c>
      <c r="L156" s="753" t="str">
        <f>D_Emissions!L107</f>
        <v/>
      </c>
      <c r="M156" s="753" t="str">
        <f>D_Emissions!M107</f>
        <v/>
      </c>
      <c r="N156" s="753" t="str">
        <f>D_Emissions!N107</f>
        <v/>
      </c>
      <c r="O156" s="19"/>
      <c r="P156" s="343"/>
      <c r="Q156" s="343"/>
      <c r="R156" s="343"/>
      <c r="S156" s="343"/>
      <c r="T156" s="343"/>
      <c r="U156" s="349"/>
      <c r="V156" s="349"/>
    </row>
    <row r="157" spans="1:22" s="534" customFormat="1" ht="12.75" customHeight="1" x14ac:dyDescent="0.25">
      <c r="A157" s="343"/>
      <c r="B157" s="15"/>
      <c r="C157" s="3"/>
      <c r="D157" s="3"/>
      <c r="E157" s="3"/>
      <c r="F157" s="3"/>
      <c r="G157" s="3"/>
      <c r="H157" s="3"/>
      <c r="I157" s="3"/>
      <c r="J157" s="3"/>
      <c r="K157" s="3"/>
      <c r="L157" s="3"/>
      <c r="M157" s="6"/>
      <c r="N157" s="6"/>
      <c r="O157" s="19"/>
      <c r="P157" s="343"/>
      <c r="Q157" s="343"/>
      <c r="R157" s="343"/>
      <c r="S157" s="343"/>
      <c r="T157" s="343"/>
      <c r="U157" s="349"/>
      <c r="V157" s="349"/>
    </row>
    <row r="158" spans="1:22" s="534" customFormat="1" ht="12.75" customHeight="1" x14ac:dyDescent="0.25">
      <c r="A158" s="343"/>
      <c r="B158" s="15"/>
      <c r="C158" s="3"/>
      <c r="D158" s="13" t="s">
        <v>955</v>
      </c>
      <c r="E158" s="2106" t="str">
        <f>Translations!$B$1012</f>
        <v>Kraftvärmeverktyg 2</v>
      </c>
      <c r="F158" s="1960"/>
      <c r="G158" s="1960"/>
      <c r="H158" s="1960"/>
      <c r="I158" s="1960"/>
      <c r="J158" s="1960"/>
      <c r="K158" s="1960"/>
      <c r="L158" s="2520"/>
      <c r="M158" s="1789" t="str">
        <f>M133</f>
        <v/>
      </c>
      <c r="N158" s="356"/>
      <c r="O158" s="19"/>
      <c r="P158" s="343"/>
      <c r="Q158" s="343"/>
      <c r="R158" s="343"/>
      <c r="S158" s="343"/>
      <c r="T158" s="343"/>
      <c r="U158" s="349"/>
      <c r="V158" s="349"/>
    </row>
    <row r="159" spans="1:22" s="534" customFormat="1" ht="5.15" customHeight="1" x14ac:dyDescent="0.25">
      <c r="A159" s="343"/>
      <c r="B159" s="15"/>
      <c r="C159" s="19"/>
      <c r="D159" s="19"/>
      <c r="E159" s="19"/>
      <c r="F159" s="19"/>
      <c r="G159" s="19"/>
      <c r="H159" s="19"/>
      <c r="I159" s="19"/>
      <c r="J159" s="19"/>
      <c r="K159" s="19"/>
      <c r="L159" s="19"/>
      <c r="M159" s="19"/>
      <c r="N159" s="19"/>
      <c r="O159" s="19"/>
      <c r="P159" s="343"/>
      <c r="Q159" s="343"/>
      <c r="R159" s="343"/>
      <c r="S159" s="343"/>
      <c r="T159" s="343"/>
      <c r="U159" s="349"/>
      <c r="V159" s="349"/>
    </row>
    <row r="160" spans="1:22" s="534" customFormat="1" ht="12.75" customHeight="1" x14ac:dyDescent="0.25">
      <c r="A160" s="343"/>
      <c r="B160" s="15"/>
      <c r="C160" s="19"/>
      <c r="D160" s="19"/>
      <c r="E160" s="2062" t="str">
        <f>Translations!$B$1006</f>
        <v>Energibalans</v>
      </c>
      <c r="F160" s="2497"/>
      <c r="G160" s="31" t="str">
        <f>D_Emissions!G114</f>
        <v>Enhet</v>
      </c>
      <c r="H160" s="320">
        <f t="shared" ref="H160:N160" si="16">H$2596</f>
        <v>2019</v>
      </c>
      <c r="I160" s="320">
        <f t="shared" si="16"/>
        <v>2020</v>
      </c>
      <c r="J160" s="320">
        <f t="shared" si="16"/>
        <v>2021</v>
      </c>
      <c r="K160" s="320">
        <f t="shared" si="16"/>
        <v>2022</v>
      </c>
      <c r="L160" s="320">
        <f t="shared" si="16"/>
        <v>2023</v>
      </c>
      <c r="M160" s="320">
        <f t="shared" si="16"/>
        <v>2024</v>
      </c>
      <c r="N160" s="320">
        <f t="shared" si="16"/>
        <v>2025</v>
      </c>
      <c r="O160" s="19"/>
      <c r="P160" s="343"/>
      <c r="Q160" s="343"/>
      <c r="R160" s="343"/>
      <c r="S160" s="343"/>
      <c r="T160" s="343"/>
      <c r="U160" s="349"/>
      <c r="V160" s="349"/>
    </row>
    <row r="161" spans="1:22" s="534" customFormat="1" ht="12.75" customHeight="1" x14ac:dyDescent="0.25">
      <c r="A161" s="343"/>
      <c r="B161" s="15"/>
      <c r="C161" s="19"/>
      <c r="D161" s="19"/>
      <c r="E161" s="2129" t="str">
        <f>D_Emissions!E115</f>
        <v>Insatsbränsle till kraftvärmeenheten</v>
      </c>
      <c r="F161" s="1997"/>
      <c r="G161" s="43" t="str">
        <f>D_Emissions!G115</f>
        <v>TJ / år</v>
      </c>
      <c r="H161" s="750" t="str">
        <f>IF(ISBLANK(D_Emissions!H115),"",D_Emissions!H115)</f>
        <v/>
      </c>
      <c r="I161" s="750" t="str">
        <f>IF(ISBLANK(D_Emissions!I115),"",D_Emissions!I115)</f>
        <v/>
      </c>
      <c r="J161" s="750" t="str">
        <f>IF(ISBLANK(D_Emissions!J115),"",D_Emissions!J115)</f>
        <v/>
      </c>
      <c r="K161" s="750" t="str">
        <f>IF(ISBLANK(D_Emissions!K115),"",D_Emissions!K115)</f>
        <v/>
      </c>
      <c r="L161" s="750" t="str">
        <f>IF(ISBLANK(D_Emissions!L115),"",D_Emissions!L115)</f>
        <v/>
      </c>
      <c r="M161" s="750" t="str">
        <f>IF(ISBLANK(D_Emissions!M115),"",D_Emissions!M115)</f>
        <v/>
      </c>
      <c r="N161" s="750" t="str">
        <f>IF(ISBLANK(D_Emissions!N115),"",D_Emissions!N115)</f>
        <v/>
      </c>
      <c r="O161" s="19"/>
      <c r="P161" s="343"/>
      <c r="Q161" s="343"/>
      <c r="R161" s="343"/>
      <c r="S161" s="343"/>
      <c r="T161" s="343"/>
      <c r="U161" s="349"/>
      <c r="V161" s="349"/>
    </row>
    <row r="162" spans="1:22" s="534" customFormat="1" ht="12.75" customHeight="1" x14ac:dyDescent="0.25">
      <c r="A162" s="343"/>
      <c r="B162" s="15"/>
      <c r="C162" s="19"/>
      <c r="D162" s="19"/>
      <c r="E162" s="2787" t="str">
        <f>D_Emissions!E119</f>
        <v>Värmeproduktion vid kraftvärmeenheten</v>
      </c>
      <c r="F162" s="2484"/>
      <c r="G162" s="25" t="str">
        <f>D_Emissions!G119</f>
        <v>TJ / år</v>
      </c>
      <c r="H162" s="751" t="str">
        <f>IF(ISBLANK(D_Emissions!H119),"",D_Emissions!H119)</f>
        <v/>
      </c>
      <c r="I162" s="751" t="str">
        <f>IF(ISBLANK(D_Emissions!I119),"",D_Emissions!I119)</f>
        <v/>
      </c>
      <c r="J162" s="751" t="str">
        <f>IF(ISBLANK(D_Emissions!J119),"",D_Emissions!J119)</f>
        <v/>
      </c>
      <c r="K162" s="751" t="str">
        <f>IF(ISBLANK(D_Emissions!K119),"",D_Emissions!K119)</f>
        <v/>
      </c>
      <c r="L162" s="751" t="str">
        <f>IF(ISBLANK(D_Emissions!L119),"",D_Emissions!L119)</f>
        <v/>
      </c>
      <c r="M162" s="751" t="str">
        <f>IF(ISBLANK(D_Emissions!M119),"",D_Emissions!M119)</f>
        <v/>
      </c>
      <c r="N162" s="751" t="str">
        <f>IF(ISBLANK(D_Emissions!N119),"",D_Emissions!N119)</f>
        <v/>
      </c>
      <c r="O162" s="19"/>
      <c r="P162" s="343"/>
      <c r="Q162" s="343"/>
      <c r="R162" s="343"/>
      <c r="S162" s="343"/>
      <c r="T162" s="343"/>
      <c r="U162" s="349"/>
      <c r="V162" s="349"/>
    </row>
    <row r="163" spans="1:22" s="534" customFormat="1" ht="12.75" customHeight="1" x14ac:dyDescent="0.25">
      <c r="A163" s="343"/>
      <c r="B163" s="15"/>
      <c r="C163" s="19"/>
      <c r="D163" s="19"/>
      <c r="E163" s="2788" t="str">
        <f>D_Emissions!E124</f>
        <v>Elproduktion vid kraftvärmeenheten</v>
      </c>
      <c r="F163" s="2487"/>
      <c r="G163" s="27" t="str">
        <f>D_Emissions!G124</f>
        <v>TJ / år</v>
      </c>
      <c r="H163" s="753" t="str">
        <f>IF(ISBLANK(D_Emissions!H124),"",D_Emissions!H124)</f>
        <v/>
      </c>
      <c r="I163" s="753" t="str">
        <f>IF(ISBLANK(D_Emissions!I124),"",D_Emissions!I124)</f>
        <v/>
      </c>
      <c r="J163" s="753" t="str">
        <f>IF(ISBLANK(D_Emissions!J124),"",D_Emissions!J124)</f>
        <v/>
      </c>
      <c r="K163" s="753" t="str">
        <f>IF(ISBLANK(D_Emissions!K124),"",D_Emissions!K124)</f>
        <v/>
      </c>
      <c r="L163" s="753" t="str">
        <f>IF(ISBLANK(D_Emissions!L124),"",D_Emissions!L124)</f>
        <v/>
      </c>
      <c r="M163" s="753" t="str">
        <f>IF(ISBLANK(D_Emissions!M124),"",D_Emissions!M124)</f>
        <v/>
      </c>
      <c r="N163" s="753" t="str">
        <f>IF(ISBLANK(D_Emissions!N124),"",D_Emissions!N124)</f>
        <v/>
      </c>
      <c r="O163" s="19"/>
      <c r="P163" s="343"/>
      <c r="Q163" s="343"/>
      <c r="R163" s="343"/>
      <c r="S163" s="343"/>
      <c r="T163" s="343"/>
      <c r="U163" s="349"/>
      <c r="V163" s="349"/>
    </row>
    <row r="164" spans="1:22" s="534" customFormat="1" ht="5.15" customHeight="1" x14ac:dyDescent="0.25">
      <c r="A164" s="343"/>
      <c r="B164" s="15"/>
      <c r="C164" s="19"/>
      <c r="D164" s="19"/>
      <c r="E164" s="19"/>
      <c r="F164" s="19"/>
      <c r="G164" s="19"/>
      <c r="H164" s="19"/>
      <c r="I164" s="19"/>
      <c r="J164" s="19"/>
      <c r="K164" s="19"/>
      <c r="L164" s="19"/>
      <c r="M164" s="19"/>
      <c r="N164" s="19"/>
      <c r="O164" s="19"/>
      <c r="P164" s="343"/>
      <c r="Q164" s="343"/>
      <c r="R164" s="343"/>
      <c r="S164" s="343"/>
      <c r="T164" s="343"/>
      <c r="U164" s="349"/>
      <c r="V164" s="349"/>
    </row>
    <row r="165" spans="1:22" s="534" customFormat="1" ht="12.75" customHeight="1" x14ac:dyDescent="0.25">
      <c r="A165" s="343"/>
      <c r="B165" s="15"/>
      <c r="C165" s="3"/>
      <c r="D165" s="15"/>
      <c r="E165" s="2062" t="str">
        <f>Translations!$B$1007</f>
        <v>Utsläpp</v>
      </c>
      <c r="F165" s="2497"/>
      <c r="G165" s="31" t="str">
        <f>D_Emissions!G127</f>
        <v>Enhet</v>
      </c>
      <c r="H165" s="320">
        <f t="shared" ref="H165:N165" si="17">H$2596</f>
        <v>2019</v>
      </c>
      <c r="I165" s="320">
        <f t="shared" si="17"/>
        <v>2020</v>
      </c>
      <c r="J165" s="320">
        <f t="shared" si="17"/>
        <v>2021</v>
      </c>
      <c r="K165" s="320">
        <f t="shared" si="17"/>
        <v>2022</v>
      </c>
      <c r="L165" s="320">
        <f t="shared" si="17"/>
        <v>2023</v>
      </c>
      <c r="M165" s="320">
        <f t="shared" si="17"/>
        <v>2024</v>
      </c>
      <c r="N165" s="320">
        <f t="shared" si="17"/>
        <v>2025</v>
      </c>
      <c r="O165" s="19"/>
      <c r="P165" s="343"/>
      <c r="Q165" s="343"/>
      <c r="R165" s="343"/>
      <c r="S165" s="343"/>
      <c r="T165" s="343"/>
      <c r="U165" s="349"/>
      <c r="V165" s="349"/>
    </row>
    <row r="166" spans="1:22" s="534" customFormat="1" ht="12.75" customHeight="1" x14ac:dyDescent="0.25">
      <c r="A166" s="343"/>
      <c r="B166" s="15"/>
      <c r="C166" s="19"/>
      <c r="D166" s="19"/>
      <c r="E166" s="2787" t="str">
        <f>D_Emissions!E128</f>
        <v>Från insatsbränsle till kraftvärmeenheten</v>
      </c>
      <c r="F166" s="2484"/>
      <c r="G166" s="25" t="str">
        <f>D_Emissions!G128</f>
        <v>t CO2 / år</v>
      </c>
      <c r="H166" s="751" t="str">
        <f>IF(ISBLANK(D_Emissions!H128),"",D_Emissions!H128)</f>
        <v/>
      </c>
      <c r="I166" s="751" t="str">
        <f>IF(ISBLANK(D_Emissions!I128),"",D_Emissions!I128)</f>
        <v/>
      </c>
      <c r="J166" s="751" t="str">
        <f>IF(ISBLANK(D_Emissions!J128),"",D_Emissions!J128)</f>
        <v/>
      </c>
      <c r="K166" s="751" t="str">
        <f>IF(ISBLANK(D_Emissions!K128),"",D_Emissions!K128)</f>
        <v/>
      </c>
      <c r="L166" s="751" t="str">
        <f>IF(ISBLANK(D_Emissions!L128),"",D_Emissions!L128)</f>
        <v/>
      </c>
      <c r="M166" s="751" t="str">
        <f>IF(ISBLANK(D_Emissions!M128),"",D_Emissions!M128)</f>
        <v/>
      </c>
      <c r="N166" s="751" t="str">
        <f>IF(ISBLANK(D_Emissions!N128),"",D_Emissions!N128)</f>
        <v/>
      </c>
      <c r="O166" s="19"/>
      <c r="P166" s="343"/>
      <c r="Q166" s="343"/>
      <c r="R166" s="343"/>
      <c r="S166" s="343"/>
      <c r="T166" s="343"/>
      <c r="U166" s="349"/>
      <c r="V166" s="349"/>
    </row>
    <row r="167" spans="1:22" s="534" customFormat="1" ht="12.75" customHeight="1" x14ac:dyDescent="0.25">
      <c r="A167" s="343"/>
      <c r="B167" s="15"/>
      <c r="C167" s="19"/>
      <c r="D167" s="19"/>
      <c r="E167" s="2788" t="str">
        <f>D_Emissions!E129</f>
        <v>Från rökgasrening</v>
      </c>
      <c r="F167" s="2487"/>
      <c r="G167" s="27" t="str">
        <f>D_Emissions!G129</f>
        <v>t CO2 / år</v>
      </c>
      <c r="H167" s="753" t="str">
        <f>IF(ISBLANK(D_Emissions!H129),"",D_Emissions!H129)</f>
        <v/>
      </c>
      <c r="I167" s="753" t="str">
        <f>IF(ISBLANK(D_Emissions!I129),"",D_Emissions!I129)</f>
        <v/>
      </c>
      <c r="J167" s="753" t="str">
        <f>IF(ISBLANK(D_Emissions!J129),"",D_Emissions!J129)</f>
        <v/>
      </c>
      <c r="K167" s="753" t="str">
        <f>IF(ISBLANK(D_Emissions!K129),"",D_Emissions!K129)</f>
        <v/>
      </c>
      <c r="L167" s="753" t="str">
        <f>IF(ISBLANK(D_Emissions!L129),"",D_Emissions!L129)</f>
        <v/>
      </c>
      <c r="M167" s="753" t="str">
        <f>IF(ISBLANK(D_Emissions!M129),"",D_Emissions!M129)</f>
        <v/>
      </c>
      <c r="N167" s="753" t="str">
        <f>IF(ISBLANK(D_Emissions!N129),"",D_Emissions!N129)</f>
        <v/>
      </c>
      <c r="O167" s="19"/>
      <c r="P167" s="343"/>
      <c r="Q167" s="343"/>
      <c r="R167" s="343"/>
      <c r="S167" s="343"/>
      <c r="T167" s="343"/>
      <c r="U167" s="349"/>
      <c r="V167" s="349"/>
    </row>
    <row r="168" spans="1:22" s="534" customFormat="1" ht="12.75" customHeight="1" x14ac:dyDescent="0.25">
      <c r="A168" s="343"/>
      <c r="B168" s="15"/>
      <c r="C168" s="19"/>
      <c r="D168" s="19"/>
      <c r="E168" s="2129" t="str">
        <f>D_Emissions!E130</f>
        <v>Totala utsläpp</v>
      </c>
      <c r="F168" s="1997"/>
      <c r="G168" s="43" t="str">
        <f>D_Emissions!G130</f>
        <v>t CO2 / år</v>
      </c>
      <c r="H168" s="750" t="str">
        <f>D_Emissions!H130</f>
        <v/>
      </c>
      <c r="I168" s="750" t="str">
        <f>D_Emissions!I130</f>
        <v/>
      </c>
      <c r="J168" s="750" t="str">
        <f>D_Emissions!J130</f>
        <v/>
      </c>
      <c r="K168" s="750" t="str">
        <f>D_Emissions!K130</f>
        <v/>
      </c>
      <c r="L168" s="750" t="str">
        <f>D_Emissions!L130</f>
        <v/>
      </c>
      <c r="M168" s="750" t="str">
        <f>D_Emissions!M130</f>
        <v/>
      </c>
      <c r="N168" s="750" t="str">
        <f>D_Emissions!N130</f>
        <v/>
      </c>
      <c r="O168" s="19"/>
      <c r="P168" s="343"/>
      <c r="Q168" s="343"/>
      <c r="R168" s="343"/>
      <c r="S168" s="343"/>
      <c r="T168" s="343"/>
      <c r="U168" s="349"/>
      <c r="V168" s="349"/>
    </row>
    <row r="169" spans="1:22" s="534" customFormat="1" ht="5.15" customHeight="1" x14ac:dyDescent="0.25">
      <c r="A169" s="343"/>
      <c r="B169" s="15"/>
      <c r="C169" s="19"/>
      <c r="D169" s="19"/>
      <c r="O169" s="19"/>
      <c r="P169" s="343"/>
      <c r="Q169" s="343"/>
      <c r="R169" s="343"/>
      <c r="S169" s="343"/>
      <c r="T169" s="343"/>
      <c r="U169" s="349"/>
      <c r="V169" s="349"/>
    </row>
    <row r="170" spans="1:22" s="534" customFormat="1" ht="12.75" customHeight="1" x14ac:dyDescent="0.25">
      <c r="A170" s="343"/>
      <c r="B170" s="15"/>
      <c r="C170" s="19"/>
      <c r="D170" s="19"/>
      <c r="E170" s="2062" t="str">
        <f>Translations!$B$1008</f>
        <v>Effektiviteter</v>
      </c>
      <c r="F170" s="2497"/>
      <c r="G170" s="31" t="str">
        <f>D_Emissions!G135</f>
        <v>Enhet</v>
      </c>
      <c r="H170" s="320">
        <f t="shared" ref="H170:N170" si="18">H$2596</f>
        <v>2019</v>
      </c>
      <c r="I170" s="320">
        <f t="shared" si="18"/>
        <v>2020</v>
      </c>
      <c r="J170" s="320">
        <f t="shared" si="18"/>
        <v>2021</v>
      </c>
      <c r="K170" s="320">
        <f t="shared" si="18"/>
        <v>2022</v>
      </c>
      <c r="L170" s="320">
        <f t="shared" si="18"/>
        <v>2023</v>
      </c>
      <c r="M170" s="320">
        <f t="shared" si="18"/>
        <v>2024</v>
      </c>
      <c r="N170" s="320">
        <f t="shared" si="18"/>
        <v>2025</v>
      </c>
      <c r="O170" s="19"/>
      <c r="P170" s="343"/>
      <c r="Q170" s="343"/>
      <c r="R170" s="343"/>
      <c r="S170" s="343"/>
      <c r="T170" s="343"/>
      <c r="U170" s="349"/>
      <c r="V170" s="349"/>
    </row>
    <row r="171" spans="1:22" s="534" customFormat="1" ht="12.75" customHeight="1" x14ac:dyDescent="0.25">
      <c r="A171" s="343"/>
      <c r="B171" s="15"/>
      <c r="C171" s="19"/>
      <c r="D171" s="19"/>
      <c r="E171" s="2787" t="str">
        <f>D_Emissions!E136</f>
        <v>Värmeproduktion</v>
      </c>
      <c r="F171" s="2484"/>
      <c r="G171" s="627" t="str">
        <f>D_Emissions!G136</f>
        <v>-</v>
      </c>
      <c r="H171" s="628" t="str">
        <f>D_Emissions!H136</f>
        <v/>
      </c>
      <c r="I171" s="628" t="str">
        <f>D_Emissions!I136</f>
        <v/>
      </c>
      <c r="J171" s="628" t="str">
        <f>D_Emissions!J136</f>
        <v/>
      </c>
      <c r="K171" s="628" t="str">
        <f>D_Emissions!K136</f>
        <v/>
      </c>
      <c r="L171" s="628" t="str">
        <f>D_Emissions!L136</f>
        <v/>
      </c>
      <c r="M171" s="628" t="str">
        <f>D_Emissions!M136</f>
        <v/>
      </c>
      <c r="N171" s="628" t="str">
        <f>D_Emissions!N136</f>
        <v/>
      </c>
      <c r="O171" s="19"/>
      <c r="P171" s="343"/>
      <c r="Q171" s="343"/>
      <c r="R171" s="343"/>
      <c r="S171" s="343"/>
      <c r="T171" s="343"/>
      <c r="U171" s="349"/>
      <c r="V171" s="349"/>
    </row>
    <row r="172" spans="1:22" s="534" customFormat="1" ht="12.75" customHeight="1" x14ac:dyDescent="0.25">
      <c r="A172" s="343"/>
      <c r="B172" s="15"/>
      <c r="C172" s="19"/>
      <c r="D172" s="19"/>
      <c r="E172" s="2788" t="str">
        <f>D_Emissions!E137</f>
        <v>Elproduktion</v>
      </c>
      <c r="F172" s="2487"/>
      <c r="G172" s="629" t="str">
        <f>D_Emissions!G137</f>
        <v>-</v>
      </c>
      <c r="H172" s="630" t="str">
        <f>D_Emissions!H137</f>
        <v/>
      </c>
      <c r="I172" s="630" t="str">
        <f>D_Emissions!I137</f>
        <v/>
      </c>
      <c r="J172" s="630" t="str">
        <f>D_Emissions!J137</f>
        <v/>
      </c>
      <c r="K172" s="630" t="str">
        <f>D_Emissions!K137</f>
        <v/>
      </c>
      <c r="L172" s="630" t="str">
        <f>D_Emissions!L137</f>
        <v/>
      </c>
      <c r="M172" s="630" t="str">
        <f>D_Emissions!M137</f>
        <v/>
      </c>
      <c r="N172" s="630" t="str">
        <f>D_Emissions!N137</f>
        <v/>
      </c>
      <c r="O172" s="19"/>
      <c r="P172" s="343"/>
      <c r="Q172" s="343"/>
      <c r="R172" s="343"/>
      <c r="S172" s="343"/>
      <c r="T172" s="343"/>
      <c r="U172" s="349"/>
      <c r="V172" s="349"/>
    </row>
    <row r="173" spans="1:22" s="534" customFormat="1" ht="12.75" customHeight="1" x14ac:dyDescent="0.25">
      <c r="A173" s="343"/>
      <c r="B173" s="15"/>
      <c r="C173" s="19"/>
      <c r="D173" s="19"/>
      <c r="E173" s="2787" t="str">
        <f>Translations!$B$1009</f>
        <v>Värmeproduktion (referens)</v>
      </c>
      <c r="F173" s="2484"/>
      <c r="G173" s="627" t="str">
        <f>D_Emissions!G141</f>
        <v>-</v>
      </c>
      <c r="H173" s="631" t="str">
        <f>IF(ISBLANK(D_Emissions!H141),"",D_Emissions!H141)</f>
        <v/>
      </c>
      <c r="I173" s="631" t="str">
        <f>IF(ISBLANK(D_Emissions!I141),"",D_Emissions!I141)</f>
        <v/>
      </c>
      <c r="J173" s="631" t="str">
        <f>IF(ISBLANK(D_Emissions!J141),"",D_Emissions!J141)</f>
        <v/>
      </c>
      <c r="K173" s="631" t="str">
        <f>IF(ISBLANK(D_Emissions!K141),"",D_Emissions!K141)</f>
        <v/>
      </c>
      <c r="L173" s="631" t="str">
        <f>IF(ISBLANK(D_Emissions!L141),"",D_Emissions!L141)</f>
        <v/>
      </c>
      <c r="M173" s="631" t="str">
        <f>IF(ISBLANK(D_Emissions!M141),"",D_Emissions!M141)</f>
        <v/>
      </c>
      <c r="N173" s="631" t="str">
        <f>IF(ISBLANK(D_Emissions!N141),"",D_Emissions!N141)</f>
        <v/>
      </c>
      <c r="O173" s="19"/>
      <c r="P173" s="343"/>
      <c r="Q173" s="343"/>
      <c r="R173" s="343"/>
      <c r="S173" s="343"/>
      <c r="T173" s="343"/>
      <c r="U173" s="349"/>
      <c r="V173" s="349"/>
    </row>
    <row r="174" spans="1:22" s="534" customFormat="1" ht="12.75" customHeight="1" x14ac:dyDescent="0.25">
      <c r="A174" s="343"/>
      <c r="B174" s="15"/>
      <c r="C174" s="19"/>
      <c r="D174" s="19"/>
      <c r="E174" s="2788" t="str">
        <f>Translations!$B$1010</f>
        <v>Elproduktion (referens)</v>
      </c>
      <c r="F174" s="2487"/>
      <c r="G174" s="629" t="str">
        <f>D_Emissions!G142</f>
        <v>-</v>
      </c>
      <c r="H174" s="632" t="str">
        <f>IF(ISBLANK(D_Emissions!H142),"",D_Emissions!H142)</f>
        <v/>
      </c>
      <c r="I174" s="632" t="str">
        <f>IF(ISBLANK(D_Emissions!I142),"",D_Emissions!I142)</f>
        <v/>
      </c>
      <c r="J174" s="632" t="str">
        <f>IF(ISBLANK(D_Emissions!J142),"",D_Emissions!J142)</f>
        <v/>
      </c>
      <c r="K174" s="632" t="str">
        <f>IF(ISBLANK(D_Emissions!K142),"",D_Emissions!K142)</f>
        <v/>
      </c>
      <c r="L174" s="632" t="str">
        <f>IF(ISBLANK(D_Emissions!L142),"",D_Emissions!L142)</f>
        <v/>
      </c>
      <c r="M174" s="632" t="str">
        <f>IF(ISBLANK(D_Emissions!M142),"",D_Emissions!M142)</f>
        <v/>
      </c>
      <c r="N174" s="632" t="str">
        <f>IF(ISBLANK(D_Emissions!N142),"",D_Emissions!N142)</f>
        <v/>
      </c>
      <c r="O174" s="19"/>
      <c r="P174" s="343"/>
      <c r="Q174" s="343"/>
      <c r="R174" s="343"/>
      <c r="S174" s="343"/>
      <c r="T174" s="343"/>
      <c r="U174" s="349"/>
      <c r="V174" s="349"/>
    </row>
    <row r="175" spans="1:22" s="534" customFormat="1" ht="5.15" customHeight="1" x14ac:dyDescent="0.25">
      <c r="A175" s="343"/>
      <c r="B175" s="15"/>
      <c r="C175" s="19"/>
      <c r="D175" s="19"/>
      <c r="E175" s="19"/>
      <c r="F175" s="19"/>
      <c r="G175" s="19"/>
      <c r="H175" s="19"/>
      <c r="I175" s="19"/>
      <c r="J175" s="19"/>
      <c r="K175" s="19"/>
      <c r="L175" s="19"/>
      <c r="M175" s="19"/>
      <c r="N175" s="19"/>
      <c r="O175" s="19"/>
      <c r="P175" s="343"/>
      <c r="Q175" s="343"/>
      <c r="R175" s="343"/>
      <c r="S175" s="343"/>
      <c r="T175" s="343"/>
      <c r="U175" s="349"/>
      <c r="V175" s="349"/>
    </row>
    <row r="176" spans="1:22" s="534" customFormat="1" ht="12.75" customHeight="1" x14ac:dyDescent="0.25">
      <c r="A176" s="343"/>
      <c r="B176" s="15"/>
      <c r="C176" s="19"/>
      <c r="D176" s="19"/>
      <c r="E176" s="2062" t="str">
        <f>Translations!$B$1011</f>
        <v>Resultat</v>
      </c>
      <c r="F176" s="2497"/>
      <c r="G176" s="31" t="str">
        <f>D_Emissions!G145</f>
        <v>Enhet</v>
      </c>
      <c r="H176" s="320">
        <f t="shared" ref="H176:N176" si="19">H$2596</f>
        <v>2019</v>
      </c>
      <c r="I176" s="320">
        <f t="shared" si="19"/>
        <v>2020</v>
      </c>
      <c r="J176" s="320">
        <f t="shared" si="19"/>
        <v>2021</v>
      </c>
      <c r="K176" s="320">
        <f t="shared" si="19"/>
        <v>2022</v>
      </c>
      <c r="L176" s="320">
        <f t="shared" si="19"/>
        <v>2023</v>
      </c>
      <c r="M176" s="320">
        <f t="shared" si="19"/>
        <v>2024</v>
      </c>
      <c r="N176" s="320">
        <f t="shared" si="19"/>
        <v>2025</v>
      </c>
      <c r="O176" s="19"/>
      <c r="P176" s="343"/>
      <c r="Q176" s="343"/>
      <c r="R176" s="343"/>
      <c r="S176" s="343"/>
      <c r="T176" s="343"/>
      <c r="U176" s="349"/>
      <c r="V176" s="349"/>
    </row>
    <row r="177" spans="1:22" s="534" customFormat="1" ht="12.75" customHeight="1" x14ac:dyDescent="0.25">
      <c r="A177" s="343"/>
      <c r="B177" s="15"/>
      <c r="C177" s="19"/>
      <c r="D177" s="19"/>
      <c r="E177" s="2784" t="str">
        <f>D_Emissions!E146</f>
        <v>Utsläpp som kan tillskrivas värmeproduktion</v>
      </c>
      <c r="F177" s="1997"/>
      <c r="G177" s="472" t="str">
        <f>D_Emissions!G146</f>
        <v>t CO2 / år</v>
      </c>
      <c r="H177" s="757" t="str">
        <f>D_Emissions!H146</f>
        <v/>
      </c>
      <c r="I177" s="757" t="str">
        <f>D_Emissions!I146</f>
        <v/>
      </c>
      <c r="J177" s="757" t="str">
        <f>D_Emissions!J146</f>
        <v/>
      </c>
      <c r="K177" s="757" t="str">
        <f>D_Emissions!K146</f>
        <v/>
      </c>
      <c r="L177" s="757" t="str">
        <f>D_Emissions!L146</f>
        <v/>
      </c>
      <c r="M177" s="757" t="str">
        <f>D_Emissions!M146</f>
        <v/>
      </c>
      <c r="N177" s="757" t="str">
        <f>D_Emissions!N146</f>
        <v/>
      </c>
      <c r="O177" s="19"/>
      <c r="P177" s="343"/>
      <c r="Q177" s="343"/>
      <c r="R177" s="343"/>
      <c r="S177" s="343"/>
      <c r="T177" s="343"/>
      <c r="U177" s="349"/>
      <c r="V177" s="349"/>
    </row>
    <row r="178" spans="1:22" s="534" customFormat="1" ht="12.75" customHeight="1" x14ac:dyDescent="0.25">
      <c r="A178" s="343"/>
      <c r="B178" s="15"/>
      <c r="C178" s="19"/>
      <c r="D178" s="19"/>
      <c r="E178" s="2129" t="str">
        <f>D_Emissions!E147</f>
        <v>Emissionsfaktor, värme</v>
      </c>
      <c r="F178" s="1997"/>
      <c r="G178" s="43" t="str">
        <f>D_Emissions!G147</f>
        <v>t CO2 / TJ</v>
      </c>
      <c r="H178" s="750" t="str">
        <f>D_Emissions!H147</f>
        <v/>
      </c>
      <c r="I178" s="750" t="str">
        <f>D_Emissions!I147</f>
        <v/>
      </c>
      <c r="J178" s="750" t="str">
        <f>D_Emissions!J147</f>
        <v/>
      </c>
      <c r="K178" s="750" t="str">
        <f>D_Emissions!K147</f>
        <v/>
      </c>
      <c r="L178" s="750" t="str">
        <f>D_Emissions!L147</f>
        <v/>
      </c>
      <c r="M178" s="750" t="str">
        <f>D_Emissions!M147</f>
        <v/>
      </c>
      <c r="N178" s="750" t="str">
        <f>D_Emissions!N147</f>
        <v/>
      </c>
      <c r="O178" s="19"/>
      <c r="P178" s="343"/>
      <c r="Q178" s="343"/>
      <c r="R178" s="343"/>
      <c r="S178" s="343"/>
      <c r="T178" s="343"/>
      <c r="U178" s="349"/>
      <c r="V178" s="349"/>
    </row>
    <row r="179" spans="1:22" s="534" customFormat="1" ht="5.15" customHeight="1" x14ac:dyDescent="0.25">
      <c r="A179" s="343"/>
      <c r="B179" s="15"/>
      <c r="C179" s="19"/>
      <c r="D179" s="19"/>
      <c r="E179" s="19"/>
      <c r="F179" s="19"/>
      <c r="G179" s="19"/>
      <c r="H179" s="19"/>
      <c r="I179" s="19"/>
      <c r="J179" s="19"/>
      <c r="K179" s="19"/>
      <c r="L179" s="19"/>
      <c r="M179" s="19"/>
      <c r="N179" s="19"/>
      <c r="O179" s="19"/>
      <c r="P179" s="343"/>
      <c r="Q179" s="343"/>
      <c r="R179" s="343"/>
      <c r="S179" s="343"/>
      <c r="T179" s="343"/>
      <c r="U179" s="349"/>
      <c r="V179" s="349"/>
    </row>
    <row r="180" spans="1:22" s="534" customFormat="1" ht="12.75" customHeight="1" x14ac:dyDescent="0.25">
      <c r="A180" s="343"/>
      <c r="B180" s="15"/>
      <c r="C180" s="19"/>
      <c r="D180" s="19"/>
      <c r="E180" s="2787" t="str">
        <f>D_Emissions!E151</f>
        <v>Insatsbränsle för värme</v>
      </c>
      <c r="F180" s="2484"/>
      <c r="G180" s="25" t="str">
        <f>D_Emissions!G151</f>
        <v>TJ / år</v>
      </c>
      <c r="H180" s="751" t="str">
        <f>D_Emissions!H151</f>
        <v/>
      </c>
      <c r="I180" s="751" t="str">
        <f>D_Emissions!I151</f>
        <v/>
      </c>
      <c r="J180" s="751" t="str">
        <f>D_Emissions!J151</f>
        <v/>
      </c>
      <c r="K180" s="751" t="str">
        <f>D_Emissions!K151</f>
        <v/>
      </c>
      <c r="L180" s="751" t="str">
        <f>D_Emissions!L151</f>
        <v/>
      </c>
      <c r="M180" s="751" t="str">
        <f>D_Emissions!M151</f>
        <v/>
      </c>
      <c r="N180" s="751" t="str">
        <f>D_Emissions!N151</f>
        <v/>
      </c>
      <c r="O180" s="19"/>
      <c r="P180" s="343"/>
      <c r="Q180" s="343"/>
      <c r="R180" s="343"/>
      <c r="S180" s="343"/>
      <c r="T180" s="343"/>
      <c r="U180" s="349"/>
      <c r="V180" s="349"/>
    </row>
    <row r="181" spans="1:22" s="534" customFormat="1" ht="12.75" customHeight="1" x14ac:dyDescent="0.25">
      <c r="A181" s="343"/>
      <c r="B181" s="15"/>
      <c r="C181" s="19"/>
      <c r="D181" s="19"/>
      <c r="E181" s="2788" t="str">
        <f>D_Emissions!E152</f>
        <v>Insatsbränsle för el</v>
      </c>
      <c r="F181" s="2487"/>
      <c r="G181" s="27" t="str">
        <f>D_Emissions!G152</f>
        <v>TJ / år</v>
      </c>
      <c r="H181" s="753" t="str">
        <f>D_Emissions!H152</f>
        <v/>
      </c>
      <c r="I181" s="753" t="str">
        <f>D_Emissions!I152</f>
        <v/>
      </c>
      <c r="J181" s="753" t="str">
        <f>D_Emissions!J152</f>
        <v/>
      </c>
      <c r="K181" s="753" t="str">
        <f>D_Emissions!K152</f>
        <v/>
      </c>
      <c r="L181" s="753" t="str">
        <f>D_Emissions!L152</f>
        <v/>
      </c>
      <c r="M181" s="753" t="str">
        <f>D_Emissions!M152</f>
        <v/>
      </c>
      <c r="N181" s="753" t="str">
        <f>D_Emissions!N152</f>
        <v/>
      </c>
      <c r="O181" s="19"/>
      <c r="P181" s="343"/>
      <c r="Q181" s="343"/>
      <c r="R181" s="343"/>
      <c r="S181" s="343"/>
      <c r="T181" s="343"/>
      <c r="U181" s="349"/>
      <c r="V181" s="349"/>
    </row>
    <row r="182" spans="1:22" s="534" customFormat="1" ht="12.75" customHeight="1" x14ac:dyDescent="0.25">
      <c r="A182" s="343"/>
      <c r="B182" s="15"/>
      <c r="C182" s="15"/>
      <c r="D182" s="15"/>
      <c r="E182" s="15"/>
      <c r="F182" s="15"/>
      <c r="G182" s="15"/>
      <c r="H182" s="15"/>
      <c r="I182" s="15"/>
      <c r="J182" s="15"/>
      <c r="K182" s="15"/>
      <c r="L182" s="15"/>
      <c r="M182" s="15"/>
      <c r="N182" s="15"/>
      <c r="O182" s="19"/>
      <c r="P182" s="343"/>
      <c r="Q182" s="343"/>
      <c r="R182" s="343"/>
      <c r="S182" s="343"/>
      <c r="T182" s="343"/>
      <c r="U182" s="349"/>
      <c r="V182" s="349"/>
    </row>
    <row r="183" spans="1:22" s="534" customFormat="1" ht="14.15" customHeight="1" x14ac:dyDescent="0.3">
      <c r="A183" s="343"/>
      <c r="B183" s="15"/>
      <c r="C183" s="17">
        <v>4</v>
      </c>
      <c r="D183" s="2079" t="str">
        <f>Translations!$B$1013</f>
        <v>Restgasverktyget (restgaser som inte omfattas av produktriktmärken) – avsnitt D.IV</v>
      </c>
      <c r="E183" s="1960"/>
      <c r="F183" s="1960"/>
      <c r="G183" s="1960"/>
      <c r="H183" s="1960"/>
      <c r="I183" s="1960"/>
      <c r="J183" s="1960"/>
      <c r="K183" s="1960"/>
      <c r="L183" s="1960"/>
      <c r="M183" s="1960"/>
      <c r="N183" s="1960"/>
      <c r="O183" s="19"/>
      <c r="P183" s="343"/>
      <c r="Q183" s="343"/>
      <c r="R183" s="1537" t="s">
        <v>2283</v>
      </c>
      <c r="S183" s="343"/>
      <c r="T183" s="343"/>
      <c r="U183" s="349"/>
      <c r="V183" s="349"/>
    </row>
    <row r="184" spans="1:22" s="534" customFormat="1" ht="5.15" customHeight="1" thickBot="1" x14ac:dyDescent="0.3">
      <c r="A184" s="343"/>
      <c r="B184" s="3"/>
      <c r="C184" s="3"/>
      <c r="D184" s="3"/>
      <c r="E184" s="3"/>
      <c r="F184" s="3"/>
      <c r="G184" s="3"/>
      <c r="H184" s="3"/>
      <c r="I184" s="3"/>
      <c r="J184" s="3"/>
      <c r="K184" s="3"/>
      <c r="L184" s="3"/>
      <c r="M184" s="6"/>
      <c r="N184" s="6"/>
      <c r="O184" s="19"/>
      <c r="P184" s="7"/>
      <c r="Q184" s="7"/>
      <c r="R184" s="2"/>
      <c r="S184" s="343"/>
      <c r="T184" s="343"/>
      <c r="U184" s="349"/>
      <c r="V184" s="349"/>
    </row>
    <row r="185" spans="1:22" s="534" customFormat="1" ht="12.75" customHeight="1" thickBot="1" x14ac:dyDescent="0.35">
      <c r="A185" s="343"/>
      <c r="B185" s="15"/>
      <c r="C185" s="3"/>
      <c r="D185" s="13" t="s">
        <v>442</v>
      </c>
      <c r="E185" s="2106" t="str">
        <f>D_Emissions!E170</f>
        <v>Detta avsnitt handlar om följande typer av delanläggningar med processutsläpp:</v>
      </c>
      <c r="F185" s="2106"/>
      <c r="G185" s="2106"/>
      <c r="H185" s="2106"/>
      <c r="I185" s="2106"/>
      <c r="J185" s="2106"/>
      <c r="K185" s="2107"/>
      <c r="L185" s="2136" t="str">
        <f>IF(ISBLANK(D_Emissions!L170),"",D_Emissions!L170)</f>
        <v/>
      </c>
      <c r="M185" s="2137"/>
      <c r="N185" s="2138"/>
      <c r="O185" s="19"/>
      <c r="P185" s="343"/>
      <c r="Q185" s="343"/>
      <c r="R185" s="555" t="str">
        <f>IF(D_Emissions!L170="","",MATCH(D_Emissions!L170,EUconst_CLnonCL,0)+1320)</f>
        <v/>
      </c>
      <c r="S185" s="343"/>
      <c r="T185" s="343"/>
      <c r="U185" s="349"/>
      <c r="V185" s="349"/>
    </row>
    <row r="186" spans="1:22" s="534" customFormat="1" ht="12.75" customHeight="1" x14ac:dyDescent="0.25">
      <c r="A186" s="343"/>
      <c r="B186" s="15"/>
      <c r="C186" s="3"/>
      <c r="D186" s="13"/>
      <c r="E186" s="2106" t="str">
        <f>D_Emissions!E176</f>
        <v>Restgastyp:</v>
      </c>
      <c r="F186" s="1960"/>
      <c r="G186" s="2520"/>
      <c r="H186" s="2057" t="str">
        <f>IF(ISBLANK(D_Emissions!H176),"",D_Emissions!H176)</f>
        <v/>
      </c>
      <c r="I186" s="2058"/>
      <c r="J186" s="2058"/>
      <c r="K186" s="2058"/>
      <c r="L186" s="2058"/>
      <c r="M186" s="2058"/>
      <c r="N186" s="2059"/>
      <c r="O186" s="19"/>
      <c r="P186" s="343"/>
      <c r="Q186" s="343"/>
      <c r="R186" s="343"/>
      <c r="S186" s="343"/>
      <c r="T186" s="343"/>
      <c r="U186" s="349"/>
      <c r="V186" s="349"/>
    </row>
    <row r="187" spans="1:22" s="534" customFormat="1" ht="12.75" customHeight="1" x14ac:dyDescent="0.25">
      <c r="A187" s="343"/>
      <c r="B187" s="15"/>
      <c r="C187" s="19"/>
      <c r="D187" s="19"/>
      <c r="E187" s="24"/>
      <c r="F187" s="21"/>
      <c r="G187" s="31" t="str">
        <f>Translations!$B$1014</f>
        <v>Enhet</v>
      </c>
      <c r="H187" s="320">
        <f t="shared" ref="H187:N187" si="20">H$2596</f>
        <v>2019</v>
      </c>
      <c r="I187" s="320">
        <f t="shared" si="20"/>
        <v>2020</v>
      </c>
      <c r="J187" s="320">
        <f t="shared" si="20"/>
        <v>2021</v>
      </c>
      <c r="K187" s="320">
        <f t="shared" si="20"/>
        <v>2022</v>
      </c>
      <c r="L187" s="320">
        <f t="shared" si="20"/>
        <v>2023</v>
      </c>
      <c r="M187" s="320">
        <f t="shared" si="20"/>
        <v>2024</v>
      </c>
      <c r="N187" s="320">
        <f t="shared" si="20"/>
        <v>2025</v>
      </c>
      <c r="O187" s="19"/>
      <c r="P187" s="343"/>
      <c r="Q187" s="343"/>
      <c r="R187" s="343"/>
      <c r="S187" s="343"/>
      <c r="T187" s="343"/>
      <c r="U187" s="349"/>
      <c r="V187" s="349"/>
    </row>
    <row r="188" spans="1:22" s="534" customFormat="1" ht="12.75" customHeight="1" x14ac:dyDescent="0.25">
      <c r="A188" s="343"/>
      <c r="B188" s="15"/>
      <c r="C188" s="19"/>
      <c r="D188" s="19"/>
      <c r="E188" s="2496" t="str">
        <f>D_Emissions!E185</f>
        <v>Okorrigerade processutsläpp</v>
      </c>
      <c r="F188" s="1997"/>
      <c r="G188" s="43" t="str">
        <f>D_Emissions!G185</f>
        <v>t CO2e/år</v>
      </c>
      <c r="H188" s="626" t="str">
        <f>IF(ISBLANK(D_Emissions!H185),"",D_Emissions!H185)</f>
        <v/>
      </c>
      <c r="I188" s="626" t="str">
        <f>IF(ISBLANK(D_Emissions!I185),"",D_Emissions!I185)</f>
        <v/>
      </c>
      <c r="J188" s="626" t="str">
        <f>IF(ISBLANK(D_Emissions!J185),"",D_Emissions!J185)</f>
        <v/>
      </c>
      <c r="K188" s="626" t="str">
        <f>IF(ISBLANK(D_Emissions!K185),"",D_Emissions!K185)</f>
        <v/>
      </c>
      <c r="L188" s="626" t="str">
        <f>IF(ISBLANK(D_Emissions!L185),"",D_Emissions!L185)</f>
        <v/>
      </c>
      <c r="M188" s="626" t="str">
        <f>IF(ISBLANK(D_Emissions!M185),"",D_Emissions!M185)</f>
        <v/>
      </c>
      <c r="N188" s="626" t="str">
        <f>IF(ISBLANK(D_Emissions!N185),"",D_Emissions!N185)</f>
        <v/>
      </c>
      <c r="O188" s="19"/>
      <c r="P188" s="343"/>
      <c r="Q188" s="343"/>
      <c r="R188" s="343"/>
      <c r="S188" s="343"/>
      <c r="T188" s="343"/>
      <c r="U188" s="349"/>
      <c r="V188" s="349"/>
    </row>
    <row r="189" spans="1:22" s="534" customFormat="1" ht="12.75" customHeight="1" x14ac:dyDescent="0.25">
      <c r="A189" s="343"/>
      <c r="B189" s="15"/>
      <c r="C189" s="19"/>
      <c r="D189" s="19"/>
      <c r="E189" s="2496" t="str">
        <f>Translations!$B$310</f>
        <v>Restgasutsläpp</v>
      </c>
      <c r="F189" s="1997"/>
      <c r="G189" s="43" t="str">
        <f>D_Emissions!G191</f>
        <v>t CO2e/år</v>
      </c>
      <c r="H189" s="626" t="str">
        <f>IF(ISBLANK(D_Emissions!H191),"",D_Emissions!H191)</f>
        <v/>
      </c>
      <c r="I189" s="626" t="str">
        <f>IF(ISBLANK(D_Emissions!I191),"",D_Emissions!I191)</f>
        <v/>
      </c>
      <c r="J189" s="626" t="str">
        <f>IF(ISBLANK(D_Emissions!J191),"",D_Emissions!J191)</f>
        <v/>
      </c>
      <c r="K189" s="626" t="str">
        <f>IF(ISBLANK(D_Emissions!K191),"",D_Emissions!K191)</f>
        <v/>
      </c>
      <c r="L189" s="626" t="str">
        <f>IF(ISBLANK(D_Emissions!L191),"",D_Emissions!L191)</f>
        <v/>
      </c>
      <c r="M189" s="626" t="str">
        <f>IF(ISBLANK(D_Emissions!M191),"",D_Emissions!M191)</f>
        <v/>
      </c>
      <c r="N189" s="626" t="str">
        <f>IF(ISBLANK(D_Emissions!N191),"",D_Emissions!N191)</f>
        <v/>
      </c>
      <c r="O189" s="19"/>
      <c r="P189" s="343"/>
      <c r="Q189" s="343"/>
      <c r="R189" s="343"/>
      <c r="S189" s="343"/>
      <c r="T189" s="343"/>
      <c r="U189" s="349"/>
      <c r="V189" s="349"/>
    </row>
    <row r="190" spans="1:22" s="534" customFormat="1" ht="12.75" customHeight="1" x14ac:dyDescent="0.25">
      <c r="A190" s="343"/>
      <c r="B190" s="15"/>
      <c r="C190" s="19"/>
      <c r="D190" s="19"/>
      <c r="E190" s="2496" t="str">
        <f>Translations!$B$315</f>
        <v>Mängden restgaser per år</v>
      </c>
      <c r="F190" s="1997"/>
      <c r="G190" s="633" t="str">
        <f>IF(ISBLANK(D_Emissions!G198),"",D_Emissions!G198)</f>
        <v/>
      </c>
      <c r="H190" s="626" t="str">
        <f>IF(ISBLANK(D_Emissions!H198),"",D_Emissions!H198)</f>
        <v/>
      </c>
      <c r="I190" s="626" t="str">
        <f>IF(ISBLANK(D_Emissions!I198),"",D_Emissions!I198)</f>
        <v/>
      </c>
      <c r="J190" s="626" t="str">
        <f>IF(ISBLANK(D_Emissions!J198),"",D_Emissions!J198)</f>
        <v/>
      </c>
      <c r="K190" s="626" t="str">
        <f>IF(ISBLANK(D_Emissions!K198),"",D_Emissions!K198)</f>
        <v/>
      </c>
      <c r="L190" s="626" t="str">
        <f>IF(ISBLANK(D_Emissions!L198),"",D_Emissions!L198)</f>
        <v/>
      </c>
      <c r="M190" s="626" t="str">
        <f>IF(ISBLANK(D_Emissions!M198),"",D_Emissions!M198)</f>
        <v/>
      </c>
      <c r="N190" s="626" t="str">
        <f>IF(ISBLANK(D_Emissions!N198),"",D_Emissions!N198)</f>
        <v/>
      </c>
      <c r="O190" s="19"/>
      <c r="P190" s="343"/>
      <c r="Q190" s="343"/>
      <c r="R190" s="343"/>
      <c r="S190" s="343"/>
      <c r="T190" s="343"/>
      <c r="U190" s="349"/>
      <c r="V190" s="349"/>
    </row>
    <row r="191" spans="1:22" s="534" customFormat="1" ht="12.75" customHeight="1" x14ac:dyDescent="0.25">
      <c r="A191" s="343"/>
      <c r="B191" s="15"/>
      <c r="C191" s="19"/>
      <c r="D191" s="19"/>
      <c r="E191" s="2496" t="str">
        <f>D_Emissions!E203</f>
        <v>Effektivt värmevärde</v>
      </c>
      <c r="F191" s="1997"/>
      <c r="G191" s="633" t="str">
        <f>D_Emissions!G203</f>
        <v>GJ / Enhet</v>
      </c>
      <c r="H191" s="626" t="str">
        <f>IF(ISBLANK(D_Emissions!H203),"",D_Emissions!H203)</f>
        <v/>
      </c>
      <c r="I191" s="626" t="str">
        <f>IF(ISBLANK(D_Emissions!I203),"",D_Emissions!I203)</f>
        <v/>
      </c>
      <c r="J191" s="626" t="str">
        <f>IF(ISBLANK(D_Emissions!J203),"",D_Emissions!J203)</f>
        <v/>
      </c>
      <c r="K191" s="626" t="str">
        <f>IF(ISBLANK(D_Emissions!K203),"",D_Emissions!K203)</f>
        <v/>
      </c>
      <c r="L191" s="626" t="str">
        <f>IF(ISBLANK(D_Emissions!L203),"",D_Emissions!L203)</f>
        <v/>
      </c>
      <c r="M191" s="626" t="str">
        <f>IF(ISBLANK(D_Emissions!M203),"",D_Emissions!M203)</f>
        <v/>
      </c>
      <c r="N191" s="626" t="str">
        <f>IF(ISBLANK(D_Emissions!N203),"",D_Emissions!N203)</f>
        <v/>
      </c>
      <c r="O191" s="19"/>
      <c r="P191" s="343"/>
      <c r="Q191" s="343"/>
      <c r="R191" s="343"/>
      <c r="S191" s="343"/>
      <c r="T191" s="343"/>
      <c r="U191" s="349"/>
      <c r="V191" s="349"/>
    </row>
    <row r="192" spans="1:22" s="534" customFormat="1" ht="12.75" customHeight="1" x14ac:dyDescent="0.25">
      <c r="A192" s="343"/>
      <c r="B192" s="15"/>
      <c r="C192" s="19"/>
      <c r="D192" s="19"/>
      <c r="E192" s="2784" t="str">
        <f>Translations!$B$326</f>
        <v>Avdrag för restgaser</v>
      </c>
      <c r="F192" s="1997"/>
      <c r="G192" s="472" t="str">
        <f>D_Emissions!G212</f>
        <v>t CO2 / år</v>
      </c>
      <c r="H192" s="254" t="str">
        <f>D_Emissions!H212</f>
        <v/>
      </c>
      <c r="I192" s="254" t="str">
        <f>D_Emissions!I212</f>
        <v/>
      </c>
      <c r="J192" s="254" t="str">
        <f>D_Emissions!J212</f>
        <v/>
      </c>
      <c r="K192" s="254" t="str">
        <f>D_Emissions!K212</f>
        <v/>
      </c>
      <c r="L192" s="254" t="str">
        <f>D_Emissions!L212</f>
        <v/>
      </c>
      <c r="M192" s="254" t="str">
        <f>D_Emissions!M212</f>
        <v/>
      </c>
      <c r="N192" s="254" t="str">
        <f>D_Emissions!N212</f>
        <v/>
      </c>
      <c r="O192" s="19"/>
      <c r="P192" s="343"/>
      <c r="Q192" s="343"/>
      <c r="R192" s="343"/>
      <c r="S192" s="343"/>
      <c r="T192" s="343"/>
      <c r="U192" s="349"/>
      <c r="V192" s="349"/>
    </row>
    <row r="193" spans="1:22" s="534" customFormat="1" ht="12.75" customHeight="1" x14ac:dyDescent="0.25">
      <c r="A193" s="343"/>
      <c r="B193" s="15"/>
      <c r="C193" s="19"/>
      <c r="D193" s="19"/>
      <c r="E193" s="2784" t="str">
        <f>D_Emissions!E219</f>
        <v>Resultatet av verktyget för restgaser:</v>
      </c>
      <c r="F193" s="1997"/>
      <c r="G193" s="48" t="str">
        <f>D_Emissions!G219</f>
        <v>t CO2 / år</v>
      </c>
      <c r="H193" s="254" t="str">
        <f>D_Emissions!H219</f>
        <v/>
      </c>
      <c r="I193" s="254" t="str">
        <f>D_Emissions!I219</f>
        <v/>
      </c>
      <c r="J193" s="254" t="str">
        <f>D_Emissions!J219</f>
        <v/>
      </c>
      <c r="K193" s="254" t="str">
        <f>D_Emissions!K219</f>
        <v/>
      </c>
      <c r="L193" s="254" t="str">
        <f>D_Emissions!L219</f>
        <v/>
      </c>
      <c r="M193" s="254" t="str">
        <f>D_Emissions!M219</f>
        <v/>
      </c>
      <c r="N193" s="254" t="str">
        <f>D_Emissions!N219</f>
        <v/>
      </c>
      <c r="O193" s="19"/>
      <c r="P193" s="343"/>
      <c r="Q193" s="343"/>
      <c r="R193" s="343"/>
      <c r="S193" s="343"/>
      <c r="T193" s="343"/>
      <c r="U193" s="349"/>
      <c r="V193" s="349"/>
    </row>
    <row r="194" spans="1:22" s="534" customFormat="1" ht="5.15" customHeight="1" x14ac:dyDescent="0.25">
      <c r="A194" s="343"/>
      <c r="B194" s="15"/>
      <c r="C194" s="19"/>
      <c r="D194" s="19"/>
      <c r="E194" s="19"/>
      <c r="F194" s="19"/>
      <c r="G194" s="19"/>
      <c r="H194" s="19"/>
      <c r="I194" s="19"/>
      <c r="J194" s="19"/>
      <c r="K194" s="19"/>
      <c r="L194" s="19"/>
      <c r="M194" s="19"/>
      <c r="N194" s="19"/>
      <c r="O194" s="19"/>
      <c r="P194" s="343"/>
      <c r="Q194" s="343"/>
      <c r="R194" s="343"/>
      <c r="S194" s="343"/>
      <c r="T194" s="343"/>
      <c r="U194" s="349"/>
      <c r="V194" s="349"/>
    </row>
    <row r="195" spans="1:22" s="534" customFormat="1" ht="12.75" customHeight="1" x14ac:dyDescent="0.25">
      <c r="A195" s="343"/>
      <c r="B195" s="15"/>
      <c r="C195" s="19"/>
      <c r="D195" s="19"/>
      <c r="E195" s="2517" t="str">
        <f>D_Emissions!E206</f>
        <v>Referenseffektivitet för produktion av el:</v>
      </c>
      <c r="F195" s="2517"/>
      <c r="G195" s="2517"/>
      <c r="H195" s="2517"/>
      <c r="I195" s="116"/>
      <c r="J195" s="116" t="str">
        <f>D_Emissions!J206</f>
        <v>med naturgas:</v>
      </c>
      <c r="K195" s="621">
        <f>IF(ISBLANK(D_Emissions!K206),"",D_Emissions!K206)</f>
        <v>0.52500000000000002</v>
      </c>
      <c r="L195" s="28"/>
      <c r="M195" s="116" t="str">
        <f>D_Emissions!M206</f>
        <v>med restgaser:</v>
      </c>
      <c r="N195" s="621">
        <f>IF(ISBLANK(D_Emissions!N206),"",D_Emissions!N206)</f>
        <v>0.35</v>
      </c>
      <c r="O195" s="19"/>
      <c r="P195" s="343"/>
      <c r="Q195" s="343"/>
      <c r="R195" s="1537" t="s">
        <v>2283</v>
      </c>
      <c r="S195" s="343"/>
      <c r="T195" s="343"/>
      <c r="U195" s="349"/>
      <c r="V195" s="349"/>
    </row>
    <row r="196" spans="1:22" s="534" customFormat="1" ht="12.75" customHeight="1" thickBot="1" x14ac:dyDescent="0.3">
      <c r="A196" s="343"/>
      <c r="B196" s="15"/>
      <c r="C196" s="3"/>
      <c r="D196" s="3"/>
      <c r="E196" s="3"/>
      <c r="F196" s="3"/>
      <c r="G196" s="3"/>
      <c r="H196" s="3"/>
      <c r="I196" s="3"/>
      <c r="J196" s="3"/>
      <c r="K196" s="3"/>
      <c r="L196" s="3"/>
      <c r="M196" s="6"/>
      <c r="N196" s="6"/>
      <c r="O196" s="19"/>
      <c r="P196" s="343"/>
      <c r="Q196" s="343"/>
      <c r="R196" s="2"/>
      <c r="S196" s="343"/>
      <c r="T196" s="343"/>
      <c r="U196" s="349"/>
      <c r="V196" s="349"/>
    </row>
    <row r="197" spans="1:22" s="534" customFormat="1" ht="12.75" customHeight="1" thickBot="1" x14ac:dyDescent="0.35">
      <c r="A197" s="343"/>
      <c r="B197" s="15"/>
      <c r="C197" s="3"/>
      <c r="D197" s="13" t="s">
        <v>955</v>
      </c>
      <c r="E197" s="2106" t="str">
        <f>D_Emissions!E226</f>
        <v>Detta avsnitt handlar om följande typer av delanläggningar med processutsläpp:</v>
      </c>
      <c r="F197" s="1960"/>
      <c r="G197" s="1960"/>
      <c r="H197" s="1960"/>
      <c r="I197" s="1960"/>
      <c r="J197" s="1960"/>
      <c r="K197" s="2520"/>
      <c r="L197" s="2136" t="str">
        <f>IF(ISBLANK(D_Emissions!L226),"",D_Emissions!L226)</f>
        <v/>
      </c>
      <c r="M197" s="2137"/>
      <c r="N197" s="2138"/>
      <c r="O197" s="19"/>
      <c r="P197" s="343"/>
      <c r="Q197" s="343"/>
      <c r="R197" s="555" t="str">
        <f>IF(D_Emissions!L226="","",MATCH(D_Emissions!L226,EUconst_CLnonCL,0)+1320)</f>
        <v/>
      </c>
      <c r="S197" s="343"/>
      <c r="T197" s="343"/>
      <c r="U197" s="349"/>
      <c r="V197" s="349"/>
    </row>
    <row r="198" spans="1:22" s="534" customFormat="1" ht="12.75" customHeight="1" x14ac:dyDescent="0.25">
      <c r="A198" s="343"/>
      <c r="B198" s="15"/>
      <c r="C198" s="3"/>
      <c r="D198" s="13"/>
      <c r="E198" s="2106" t="str">
        <f>D_Emissions!E230</f>
        <v>Restgastyp:</v>
      </c>
      <c r="F198" s="1960"/>
      <c r="G198" s="2520"/>
      <c r="H198" s="2057" t="str">
        <f>IF(ISBLANK(D_Emissions!H230),"",D_Emissions!H230)</f>
        <v/>
      </c>
      <c r="I198" s="2058"/>
      <c r="J198" s="2058"/>
      <c r="K198" s="2058"/>
      <c r="L198" s="2058"/>
      <c r="M198" s="2058"/>
      <c r="N198" s="2059"/>
      <c r="O198" s="19"/>
      <c r="P198" s="343"/>
      <c r="Q198" s="343"/>
      <c r="R198" s="343"/>
      <c r="S198" s="343"/>
      <c r="T198" s="343"/>
      <c r="U198" s="349"/>
      <c r="V198" s="349"/>
    </row>
    <row r="199" spans="1:22" s="534" customFormat="1" ht="12.75" customHeight="1" x14ac:dyDescent="0.25">
      <c r="A199" s="343"/>
      <c r="B199" s="15"/>
      <c r="C199" s="19"/>
      <c r="D199" s="13"/>
      <c r="E199" s="24"/>
      <c r="F199" s="21"/>
      <c r="G199" s="31" t="str">
        <f>D_Emissions!G237</f>
        <v>Enhet</v>
      </c>
      <c r="H199" s="320">
        <f t="shared" ref="H199:N199" si="21">H$2596</f>
        <v>2019</v>
      </c>
      <c r="I199" s="320">
        <f t="shared" si="21"/>
        <v>2020</v>
      </c>
      <c r="J199" s="320">
        <f t="shared" si="21"/>
        <v>2021</v>
      </c>
      <c r="K199" s="320">
        <f t="shared" si="21"/>
        <v>2022</v>
      </c>
      <c r="L199" s="320">
        <f t="shared" si="21"/>
        <v>2023</v>
      </c>
      <c r="M199" s="320">
        <f t="shared" si="21"/>
        <v>2024</v>
      </c>
      <c r="N199" s="320">
        <f t="shared" si="21"/>
        <v>2025</v>
      </c>
      <c r="O199" s="19"/>
      <c r="P199" s="343"/>
      <c r="Q199" s="343"/>
      <c r="R199" s="343"/>
      <c r="S199" s="343"/>
      <c r="T199" s="343"/>
      <c r="U199" s="349"/>
      <c r="V199" s="349"/>
    </row>
    <row r="200" spans="1:22" s="534" customFormat="1" ht="12.75" customHeight="1" x14ac:dyDescent="0.25">
      <c r="A200" s="343"/>
      <c r="B200" s="15"/>
      <c r="C200" s="19"/>
      <c r="D200" s="19"/>
      <c r="E200" s="2496" t="str">
        <f>D_Emissions!E238</f>
        <v>Okorrigerade processutsläpp</v>
      </c>
      <c r="F200" s="1997"/>
      <c r="G200" s="43" t="str">
        <f>D_Emissions!G238</f>
        <v>t CO2e/år</v>
      </c>
      <c r="H200" s="626" t="str">
        <f>IF(ISBLANK(D_Emissions!H238),"",D_Emissions!H238)</f>
        <v/>
      </c>
      <c r="I200" s="626" t="str">
        <f>IF(ISBLANK(D_Emissions!I238),"",D_Emissions!I238)</f>
        <v/>
      </c>
      <c r="J200" s="626" t="str">
        <f>IF(ISBLANK(D_Emissions!J238),"",D_Emissions!J238)</f>
        <v/>
      </c>
      <c r="K200" s="626" t="str">
        <f>IF(ISBLANK(D_Emissions!K238),"",D_Emissions!K238)</f>
        <v/>
      </c>
      <c r="L200" s="626" t="str">
        <f>IF(ISBLANK(D_Emissions!L238),"",D_Emissions!L238)</f>
        <v/>
      </c>
      <c r="M200" s="626" t="str">
        <f>IF(ISBLANK(D_Emissions!M238),"",D_Emissions!M238)</f>
        <v/>
      </c>
      <c r="N200" s="626" t="str">
        <f>IF(ISBLANK(D_Emissions!N238),"",D_Emissions!N238)</f>
        <v/>
      </c>
      <c r="O200" s="19"/>
      <c r="P200" s="343"/>
      <c r="Q200" s="343"/>
      <c r="R200" s="343"/>
      <c r="S200" s="343"/>
      <c r="T200" s="343"/>
      <c r="U200" s="349"/>
      <c r="V200" s="349"/>
    </row>
    <row r="201" spans="1:22" s="534" customFormat="1" ht="12.75" customHeight="1" x14ac:dyDescent="0.25">
      <c r="A201" s="343"/>
      <c r="B201" s="15"/>
      <c r="C201" s="19"/>
      <c r="D201" s="19"/>
      <c r="E201" s="2496" t="str">
        <f>Translations!$B$310</f>
        <v>Restgasutsläpp</v>
      </c>
      <c r="F201" s="1997"/>
      <c r="G201" s="43" t="str">
        <f>D_Emissions!G243</f>
        <v>t CO2e/år</v>
      </c>
      <c r="H201" s="626" t="str">
        <f>IF(ISBLANK(D_Emissions!H243),"",D_Emissions!H243)</f>
        <v/>
      </c>
      <c r="I201" s="626" t="str">
        <f>IF(ISBLANK(D_Emissions!I243),"",D_Emissions!I243)</f>
        <v/>
      </c>
      <c r="J201" s="626" t="str">
        <f>IF(ISBLANK(D_Emissions!J243),"",D_Emissions!J243)</f>
        <v/>
      </c>
      <c r="K201" s="626" t="str">
        <f>IF(ISBLANK(D_Emissions!K243),"",D_Emissions!K243)</f>
        <v/>
      </c>
      <c r="L201" s="626" t="str">
        <f>IF(ISBLANK(D_Emissions!L243),"",D_Emissions!L243)</f>
        <v/>
      </c>
      <c r="M201" s="626" t="str">
        <f>IF(ISBLANK(D_Emissions!M243),"",D_Emissions!M243)</f>
        <v/>
      </c>
      <c r="N201" s="626" t="str">
        <f>IF(ISBLANK(D_Emissions!N243),"",D_Emissions!N243)</f>
        <v/>
      </c>
      <c r="O201" s="19"/>
      <c r="P201" s="343"/>
      <c r="Q201" s="343"/>
      <c r="R201" s="343"/>
      <c r="S201" s="343"/>
      <c r="T201" s="343"/>
      <c r="U201" s="349"/>
      <c r="V201" s="349"/>
    </row>
    <row r="202" spans="1:22" s="534" customFormat="1" ht="12.75" customHeight="1" x14ac:dyDescent="0.25">
      <c r="A202" s="343"/>
      <c r="B202" s="15"/>
      <c r="C202" s="19"/>
      <c r="D202" s="19"/>
      <c r="E202" s="2496" t="str">
        <f>Translations!$B$315</f>
        <v>Mängden restgaser per år</v>
      </c>
      <c r="F202" s="1997"/>
      <c r="G202" s="633" t="str">
        <f>IF(ISBLANK(D_Emissions!G248),"",D_Emissions!G248)</f>
        <v/>
      </c>
      <c r="H202" s="626" t="str">
        <f>IF(ISBLANK(D_Emissions!H248),"",D_Emissions!H248)</f>
        <v/>
      </c>
      <c r="I202" s="626" t="str">
        <f>IF(ISBLANK(D_Emissions!I248),"",D_Emissions!I248)</f>
        <v/>
      </c>
      <c r="J202" s="626" t="str">
        <f>IF(ISBLANK(D_Emissions!J248),"",D_Emissions!J248)</f>
        <v/>
      </c>
      <c r="K202" s="626" t="str">
        <f>IF(ISBLANK(D_Emissions!K248),"",D_Emissions!K248)</f>
        <v/>
      </c>
      <c r="L202" s="626" t="str">
        <f>IF(ISBLANK(D_Emissions!L248),"",D_Emissions!L248)</f>
        <v/>
      </c>
      <c r="M202" s="626" t="str">
        <f>IF(ISBLANK(D_Emissions!M248),"",D_Emissions!M248)</f>
        <v/>
      </c>
      <c r="N202" s="626" t="str">
        <f>IF(ISBLANK(D_Emissions!N248),"",D_Emissions!N248)</f>
        <v/>
      </c>
      <c r="O202" s="19"/>
      <c r="P202" s="343"/>
      <c r="Q202" s="343"/>
      <c r="R202" s="343"/>
      <c r="S202" s="343"/>
      <c r="T202" s="343"/>
      <c r="U202" s="349"/>
      <c r="V202" s="349"/>
    </row>
    <row r="203" spans="1:22" s="534" customFormat="1" ht="12.75" customHeight="1" x14ac:dyDescent="0.25">
      <c r="A203" s="343"/>
      <c r="B203" s="15"/>
      <c r="C203" s="19"/>
      <c r="D203" s="19"/>
      <c r="E203" s="2496" t="str">
        <f>D_Emissions!E252</f>
        <v>Effektivt värmevärde</v>
      </c>
      <c r="F203" s="1997"/>
      <c r="G203" s="633" t="str">
        <f>D_Emissions!G252</f>
        <v>GJ / Enhet</v>
      </c>
      <c r="H203" s="626" t="str">
        <f>IF(ISBLANK(D_Emissions!H252),"",D_Emissions!H252)</f>
        <v/>
      </c>
      <c r="I203" s="626" t="str">
        <f>IF(ISBLANK(D_Emissions!I252),"",D_Emissions!I252)</f>
        <v/>
      </c>
      <c r="J203" s="626" t="str">
        <f>IF(ISBLANK(D_Emissions!J252),"",D_Emissions!J252)</f>
        <v/>
      </c>
      <c r="K203" s="626" t="str">
        <f>IF(ISBLANK(D_Emissions!K252),"",D_Emissions!K252)</f>
        <v/>
      </c>
      <c r="L203" s="626" t="str">
        <f>IF(ISBLANK(D_Emissions!L252),"",D_Emissions!L252)</f>
        <v/>
      </c>
      <c r="M203" s="626" t="str">
        <f>IF(ISBLANK(D_Emissions!M252),"",D_Emissions!M252)</f>
        <v/>
      </c>
      <c r="N203" s="626" t="str">
        <f>IF(ISBLANK(D_Emissions!N252),"",D_Emissions!N252)</f>
        <v/>
      </c>
      <c r="O203" s="19"/>
      <c r="P203" s="343"/>
      <c r="Q203" s="343"/>
      <c r="R203" s="343"/>
      <c r="S203" s="343"/>
      <c r="T203" s="343"/>
      <c r="U203" s="349"/>
      <c r="V203" s="349"/>
    </row>
    <row r="204" spans="1:22" s="534" customFormat="1" ht="12.75" customHeight="1" x14ac:dyDescent="0.25">
      <c r="A204" s="343"/>
      <c r="B204" s="15"/>
      <c r="C204" s="19"/>
      <c r="D204" s="19"/>
      <c r="E204" s="2784" t="str">
        <f>Translations!$B$326</f>
        <v>Avdrag för restgaser</v>
      </c>
      <c r="F204" s="1997"/>
      <c r="G204" s="472" t="str">
        <f>D_Emissions!G262</f>
        <v>t CO2 / år</v>
      </c>
      <c r="H204" s="254" t="str">
        <f>D_Emissions!H262</f>
        <v/>
      </c>
      <c r="I204" s="254" t="str">
        <f>D_Emissions!I262</f>
        <v/>
      </c>
      <c r="J204" s="254" t="str">
        <f>D_Emissions!J262</f>
        <v/>
      </c>
      <c r="K204" s="254" t="str">
        <f>D_Emissions!K262</f>
        <v/>
      </c>
      <c r="L204" s="254" t="str">
        <f>D_Emissions!L262</f>
        <v/>
      </c>
      <c r="M204" s="254" t="str">
        <f>D_Emissions!M262</f>
        <v/>
      </c>
      <c r="N204" s="254" t="str">
        <f>D_Emissions!N262</f>
        <v/>
      </c>
      <c r="O204" s="19"/>
      <c r="P204" s="343"/>
      <c r="Q204" s="343"/>
      <c r="R204" s="343"/>
      <c r="S204" s="343"/>
      <c r="T204" s="343"/>
      <c r="U204" s="349"/>
      <c r="V204" s="349"/>
    </row>
    <row r="205" spans="1:22" s="534" customFormat="1" ht="12.75" customHeight="1" x14ac:dyDescent="0.25">
      <c r="A205" s="343"/>
      <c r="B205" s="15"/>
      <c r="C205" s="19"/>
      <c r="D205" s="19"/>
      <c r="E205" s="2784" t="str">
        <f>D_Emissions!E267</f>
        <v>Resultatet av verktyget för restgaser:</v>
      </c>
      <c r="F205" s="1997"/>
      <c r="G205" s="48" t="str">
        <f>D_Emissions!G267</f>
        <v>t CO2 / år</v>
      </c>
      <c r="H205" s="254" t="str">
        <f>D_Emissions!H267</f>
        <v/>
      </c>
      <c r="I205" s="254" t="str">
        <f>D_Emissions!I267</f>
        <v/>
      </c>
      <c r="J205" s="254" t="str">
        <f>D_Emissions!J267</f>
        <v/>
      </c>
      <c r="K205" s="254" t="str">
        <f>D_Emissions!K267</f>
        <v/>
      </c>
      <c r="L205" s="254" t="str">
        <f>D_Emissions!L267</f>
        <v/>
      </c>
      <c r="M205" s="254" t="str">
        <f>D_Emissions!M267</f>
        <v/>
      </c>
      <c r="N205" s="254" t="str">
        <f>D_Emissions!N267</f>
        <v/>
      </c>
      <c r="O205" s="19"/>
      <c r="P205" s="343"/>
      <c r="Q205" s="343"/>
      <c r="R205" s="343"/>
      <c r="S205" s="343"/>
      <c r="T205" s="343"/>
      <c r="U205" s="349"/>
      <c r="V205" s="349"/>
    </row>
    <row r="206" spans="1:22" s="534" customFormat="1" ht="5.15" customHeight="1" x14ac:dyDescent="0.25">
      <c r="A206" s="343"/>
      <c r="B206" s="15"/>
      <c r="C206" s="3"/>
      <c r="D206" s="3"/>
      <c r="E206" s="3"/>
      <c r="F206" s="3"/>
      <c r="G206" s="3"/>
      <c r="H206" s="3"/>
      <c r="I206" s="3"/>
      <c r="J206" s="3"/>
      <c r="K206" s="3"/>
      <c r="L206" s="3"/>
      <c r="M206" s="6"/>
      <c r="N206" s="6"/>
      <c r="O206" s="19"/>
      <c r="P206" s="343"/>
      <c r="Q206" s="343"/>
      <c r="R206" s="343"/>
      <c r="S206" s="343"/>
      <c r="T206" s="343"/>
      <c r="U206" s="349"/>
      <c r="V206" s="349"/>
    </row>
    <row r="207" spans="1:22" s="534" customFormat="1" ht="12.75" customHeight="1" x14ac:dyDescent="0.25">
      <c r="A207" s="343"/>
      <c r="B207" s="15"/>
      <c r="C207" s="19"/>
      <c r="D207" s="19"/>
      <c r="E207" s="2517" t="str">
        <f>D_Emissions!E256</f>
        <v>Referenseffektivitet för produktion av el:</v>
      </c>
      <c r="F207" s="2518"/>
      <c r="G207" s="2518"/>
      <c r="H207" s="2518"/>
      <c r="I207" s="116"/>
      <c r="J207" s="116" t="str">
        <f>D_Emissions!J256</f>
        <v>med naturgas:</v>
      </c>
      <c r="K207" s="621">
        <f>IF(ISBLANK(D_Emissions!K256),"",D_Emissions!K256)</f>
        <v>0.52500000000000002</v>
      </c>
      <c r="L207" s="28"/>
      <c r="M207" s="116" t="str">
        <f>D_Emissions!M256</f>
        <v>med restgaser:</v>
      </c>
      <c r="N207" s="621">
        <f>IF(ISBLANK(D_Emissions!N256),"",D_Emissions!N256)</f>
        <v>0.35</v>
      </c>
      <c r="O207" s="19"/>
      <c r="P207" s="343"/>
      <c r="Q207" s="343"/>
      <c r="R207" s="343"/>
      <c r="S207" s="343"/>
      <c r="T207" s="343"/>
      <c r="U207" s="349"/>
      <c r="V207" s="349"/>
    </row>
    <row r="208" spans="1:22" s="534" customFormat="1" ht="12.75" customHeight="1" x14ac:dyDescent="0.25">
      <c r="A208" s="343"/>
      <c r="B208" s="15"/>
      <c r="C208" s="15"/>
      <c r="D208" s="15"/>
      <c r="E208" s="15"/>
      <c r="F208" s="15"/>
      <c r="G208" s="15"/>
      <c r="H208" s="15"/>
      <c r="I208" s="15"/>
      <c r="J208" s="15"/>
      <c r="K208" s="15"/>
      <c r="L208" s="15"/>
      <c r="M208" s="15"/>
      <c r="N208" s="15"/>
      <c r="O208" s="19"/>
      <c r="P208" s="343"/>
      <c r="Q208" s="343"/>
      <c r="R208" s="343"/>
      <c r="S208" s="343"/>
      <c r="T208" s="343"/>
      <c r="U208" s="349"/>
      <c r="V208" s="349"/>
    </row>
    <row r="209" spans="1:22" s="534" customFormat="1" ht="14.15" customHeight="1" x14ac:dyDescent="0.3">
      <c r="A209" s="343"/>
      <c r="B209" s="15"/>
      <c r="C209" s="17">
        <v>5</v>
      </c>
      <c r="D209" s="2079" t="str">
        <f>Translations!$B$1015</f>
        <v>Insatsenergi från bränslen – uppdelat i användningskategorier (avsnitt E.I)</v>
      </c>
      <c r="E209" s="1960"/>
      <c r="F209" s="1960"/>
      <c r="G209" s="1960"/>
      <c r="H209" s="1960"/>
      <c r="I209" s="1960"/>
      <c r="J209" s="1960"/>
      <c r="K209" s="1960"/>
      <c r="L209" s="1960"/>
      <c r="M209" s="1960"/>
      <c r="N209" s="1960"/>
      <c r="O209" s="19"/>
      <c r="P209" s="343"/>
      <c r="Q209" s="343"/>
      <c r="R209" s="343"/>
      <c r="S209" s="343"/>
      <c r="T209" s="343"/>
      <c r="U209" s="349"/>
      <c r="V209" s="349"/>
    </row>
    <row r="210" spans="1:22" s="534" customFormat="1" ht="5.15" customHeight="1" x14ac:dyDescent="0.25">
      <c r="A210" s="343"/>
      <c r="B210" s="3"/>
      <c r="C210" s="3"/>
      <c r="D210" s="3"/>
      <c r="E210" s="3"/>
      <c r="F210" s="3"/>
      <c r="G210" s="3"/>
      <c r="H210" s="3"/>
      <c r="I210" s="3"/>
      <c r="J210" s="3"/>
      <c r="K210" s="3"/>
      <c r="L210" s="3"/>
      <c r="M210" s="6"/>
      <c r="N210" s="6"/>
      <c r="O210" s="19"/>
      <c r="P210" s="343"/>
      <c r="Q210" s="343"/>
      <c r="R210" s="343"/>
      <c r="S210" s="343"/>
      <c r="T210" s="343"/>
      <c r="U210" s="349"/>
      <c r="V210" s="349"/>
    </row>
    <row r="211" spans="1:22" s="534" customFormat="1" ht="13" customHeight="1" x14ac:dyDescent="0.25">
      <c r="A211" s="936"/>
      <c r="B211" s="15"/>
      <c r="C211" s="15"/>
      <c r="D211" s="13" t="s">
        <v>442</v>
      </c>
      <c r="E211" s="2062" t="str">
        <f>E_EnergyFlows!E44</f>
        <v>Användningstyper för insatsbränsle</v>
      </c>
      <c r="F211" s="2497"/>
      <c r="G211" s="13" t="str">
        <f>E_EnergyFlows!G44</f>
        <v>Enhet</v>
      </c>
      <c r="H211" s="320">
        <f t="shared" ref="H211:N211" si="22">H$2596</f>
        <v>2019</v>
      </c>
      <c r="I211" s="320">
        <f t="shared" si="22"/>
        <v>2020</v>
      </c>
      <c r="J211" s="320">
        <f t="shared" si="22"/>
        <v>2021</v>
      </c>
      <c r="K211" s="320">
        <f t="shared" si="22"/>
        <v>2022</v>
      </c>
      <c r="L211" s="320">
        <f t="shared" si="22"/>
        <v>2023</v>
      </c>
      <c r="M211" s="320">
        <f t="shared" si="22"/>
        <v>2024</v>
      </c>
      <c r="N211" s="320">
        <f t="shared" si="22"/>
        <v>2025</v>
      </c>
      <c r="O211" s="19"/>
      <c r="P211" s="343"/>
      <c r="Q211" s="343"/>
      <c r="R211" s="343"/>
      <c r="S211" s="343"/>
      <c r="T211" s="343"/>
      <c r="U211" s="349"/>
      <c r="V211" s="349"/>
    </row>
    <row r="212" spans="1:22" s="534" customFormat="1" ht="12.65" customHeight="1" x14ac:dyDescent="0.25">
      <c r="A212" s="936"/>
      <c r="B212" s="15"/>
      <c r="C212" s="15"/>
      <c r="D212" s="289"/>
      <c r="E212" s="2129" t="str">
        <f>E_EnergyFlows!E46</f>
        <v>Insatsbränsle för produktion av mätbar värme</v>
      </c>
      <c r="F212" s="1997"/>
      <c r="G212" s="43" t="str">
        <f t="shared" ref="G212:G217" si="23">EUconst_TJpa</f>
        <v>TJ / år</v>
      </c>
      <c r="H212" s="381" t="str">
        <f>IF(ISNUMBER(CTRL_InputMethodFuelDistribution),IF(CTRL_InputMethodFuelDistribution=1,IF(ISNUMBER(E_EnergyFlows!H36),E_EnergyFlows!H36,""),E_EnergyFlows!H46),"")</f>
        <v/>
      </c>
      <c r="I212" s="381" t="str">
        <f>IF(ISNUMBER(CTRL_InputMethodFuelDistribution),IF(CTRL_InputMethodFuelDistribution=1,IF(ISNUMBER(E_EnergyFlows!I36),E_EnergyFlows!I36,""),E_EnergyFlows!I46),"")</f>
        <v/>
      </c>
      <c r="J212" s="381" t="str">
        <f>IF(ISNUMBER(CTRL_InputMethodFuelDistribution),IF(CTRL_InputMethodFuelDistribution=1,IF(ISNUMBER(E_EnergyFlows!J36),E_EnergyFlows!J36,""),E_EnergyFlows!J46),"")</f>
        <v/>
      </c>
      <c r="K212" s="381" t="str">
        <f>IF(ISNUMBER(CTRL_InputMethodFuelDistribution),IF(CTRL_InputMethodFuelDistribution=1,IF(ISNUMBER(E_EnergyFlows!K36),E_EnergyFlows!K36,""),E_EnergyFlows!K46),"")</f>
        <v/>
      </c>
      <c r="L212" s="381" t="str">
        <f>IF(ISNUMBER(CTRL_InputMethodFuelDistribution),IF(CTRL_InputMethodFuelDistribution=1,IF(ISNUMBER(E_EnergyFlows!L36),E_EnergyFlows!L36,""),E_EnergyFlows!L46),"")</f>
        <v/>
      </c>
      <c r="M212" s="381" t="str">
        <f>IF(ISNUMBER(CTRL_InputMethodFuelDistribution),IF(CTRL_InputMethodFuelDistribution=1,IF(ISNUMBER(E_EnergyFlows!M36),E_EnergyFlows!M36,""),E_EnergyFlows!M46),"")</f>
        <v/>
      </c>
      <c r="N212" s="381" t="str">
        <f>IF(ISNUMBER(CTRL_InputMethodFuelDistribution),IF(CTRL_InputMethodFuelDistribution=1,IF(ISNUMBER(E_EnergyFlows!N36),E_EnergyFlows!N36,""),E_EnergyFlows!N46),"")</f>
        <v/>
      </c>
      <c r="O212" s="19"/>
      <c r="P212" s="343"/>
      <c r="Q212" s="343"/>
      <c r="R212" s="343"/>
      <c r="S212" s="343"/>
      <c r="T212" s="343"/>
      <c r="U212" s="349"/>
      <c r="V212" s="349"/>
    </row>
    <row r="213" spans="1:22" s="534" customFormat="1" ht="12.65" customHeight="1" x14ac:dyDescent="0.25">
      <c r="A213" s="936"/>
      <c r="B213" s="15"/>
      <c r="C213" s="15"/>
      <c r="D213" s="289"/>
      <c r="E213" s="2129" t="str">
        <f>E_EnergyFlows!E49</f>
        <v>Insatsbränsle för elproduktion</v>
      </c>
      <c r="F213" s="1997"/>
      <c r="G213" s="43" t="str">
        <f t="shared" si="23"/>
        <v>TJ / år</v>
      </c>
      <c r="H213" s="575" t="str">
        <f>IF(ISNUMBER(CTRL_InputMethodFuelDistribution),IF(CTRL_InputMethodFuelDistribution=1,IF(ISNUMBER(E_EnergyFlows!H39),E_EnergyFlows!H39,""),E_EnergyFlows!H49),"")</f>
        <v/>
      </c>
      <c r="I213" s="575" t="str">
        <f>IF(ISNUMBER(CTRL_InputMethodFuelDistribution),IF(CTRL_InputMethodFuelDistribution=1,IF(ISNUMBER(E_EnergyFlows!I39),E_EnergyFlows!I39,""),E_EnergyFlows!I49),"")</f>
        <v/>
      </c>
      <c r="J213" s="575" t="str">
        <f>IF(ISNUMBER(CTRL_InputMethodFuelDistribution),IF(CTRL_InputMethodFuelDistribution=1,IF(ISNUMBER(E_EnergyFlows!J39),E_EnergyFlows!J39,""),E_EnergyFlows!J49),"")</f>
        <v/>
      </c>
      <c r="K213" s="575" t="str">
        <f>IF(ISNUMBER(CTRL_InputMethodFuelDistribution),IF(CTRL_InputMethodFuelDistribution=1,IF(ISNUMBER(E_EnergyFlows!K39),E_EnergyFlows!K39,""),E_EnergyFlows!K49),"")</f>
        <v/>
      </c>
      <c r="L213" s="575" t="str">
        <f>IF(ISNUMBER(CTRL_InputMethodFuelDistribution),IF(CTRL_InputMethodFuelDistribution=1,IF(ISNUMBER(E_EnergyFlows!L39),E_EnergyFlows!L39,""),E_EnergyFlows!L49),"")</f>
        <v/>
      </c>
      <c r="M213" s="575" t="str">
        <f>IF(ISNUMBER(CTRL_InputMethodFuelDistribution),IF(CTRL_InputMethodFuelDistribution=1,IF(ISNUMBER(E_EnergyFlows!M39),E_EnergyFlows!M39,""),E_EnergyFlows!M49),"")</f>
        <v/>
      </c>
      <c r="N213" s="575" t="str">
        <f>IF(ISNUMBER(CTRL_InputMethodFuelDistribution),IF(CTRL_InputMethodFuelDistribution=1,IF(ISNUMBER(E_EnergyFlows!N39),E_EnergyFlows!N39,""),E_EnergyFlows!N49),"")</f>
        <v/>
      </c>
      <c r="O213" s="19"/>
      <c r="P213" s="343"/>
      <c r="Q213" s="343"/>
      <c r="R213" s="343"/>
      <c r="S213" s="343"/>
      <c r="T213" s="343"/>
      <c r="U213" s="349"/>
      <c r="V213" s="349"/>
    </row>
    <row r="214" spans="1:22" s="534" customFormat="1" ht="13.5" customHeight="1" thickBot="1" x14ac:dyDescent="0.3">
      <c r="A214" s="936"/>
      <c r="B214" s="15"/>
      <c r="C214" s="15"/>
      <c r="D214" s="289"/>
      <c r="E214" s="2817" t="str">
        <f>E_EnergyFlows!E45</f>
        <v>Insatsbränsle för delanläggningar med produktriktmärke</v>
      </c>
      <c r="F214" s="2489"/>
      <c r="G214" s="643" t="str">
        <f t="shared" si="23"/>
        <v>TJ / år</v>
      </c>
      <c r="H214" s="644" t="str">
        <f>IF(ISNUMBER(CTRL_InputMethodFuelDistribution),IF(CTRL_InputMethodFuelDistribution=1,IF(ISNUMBER(E_EnergyFlows!H35),E_EnergyFlows!H35,""),E_EnergyFlows!H45),"")</f>
        <v/>
      </c>
      <c r="I214" s="644" t="str">
        <f>IF(ISNUMBER(CTRL_InputMethodFuelDistribution),IF(CTRL_InputMethodFuelDistribution=1,IF(ISNUMBER(E_EnergyFlows!I35),E_EnergyFlows!I35,""),E_EnergyFlows!I45),"")</f>
        <v/>
      </c>
      <c r="J214" s="644" t="str">
        <f>IF(ISNUMBER(CTRL_InputMethodFuelDistribution),IF(CTRL_InputMethodFuelDistribution=1,IF(ISNUMBER(E_EnergyFlows!J35),E_EnergyFlows!J35,""),E_EnergyFlows!J45),"")</f>
        <v/>
      </c>
      <c r="K214" s="644" t="str">
        <f>IF(ISNUMBER(CTRL_InputMethodFuelDistribution),IF(CTRL_InputMethodFuelDistribution=1,IF(ISNUMBER(E_EnergyFlows!K35),E_EnergyFlows!K35,""),E_EnergyFlows!K45),"")</f>
        <v/>
      </c>
      <c r="L214" s="644" t="str">
        <f>IF(ISNUMBER(CTRL_InputMethodFuelDistribution),IF(CTRL_InputMethodFuelDistribution=1,IF(ISNUMBER(E_EnergyFlows!L35),E_EnergyFlows!L35,""),E_EnergyFlows!L45),"")</f>
        <v/>
      </c>
      <c r="M214" s="644" t="str">
        <f>IF(ISNUMBER(CTRL_InputMethodFuelDistribution),IF(CTRL_InputMethodFuelDistribution=1,IF(ISNUMBER(E_EnergyFlows!M35),E_EnergyFlows!M35,""),E_EnergyFlows!M45),"")</f>
        <v/>
      </c>
      <c r="N214" s="644" t="str">
        <f>IF(ISNUMBER(CTRL_InputMethodFuelDistribution),IF(CTRL_InputMethodFuelDistribution=1,IF(ISNUMBER(E_EnergyFlows!N35),E_EnergyFlows!N35,""),E_EnergyFlows!N45),"")</f>
        <v/>
      </c>
      <c r="O214" s="19"/>
      <c r="P214" s="343"/>
      <c r="Q214" s="343"/>
      <c r="R214" s="343"/>
      <c r="S214" s="343"/>
      <c r="T214" s="343"/>
      <c r="U214" s="349"/>
      <c r="V214" s="349"/>
    </row>
    <row r="215" spans="1:22" s="534" customFormat="1" ht="13" customHeight="1" x14ac:dyDescent="0.25">
      <c r="A215" s="936"/>
      <c r="B215" s="15"/>
      <c r="C215" s="15"/>
      <c r="D215" s="289"/>
      <c r="E215" s="2794" t="str">
        <f>E_EnergyFlows!E47</f>
        <v>Delanläggning med bränsleriktmärke, KL</v>
      </c>
      <c r="F215" s="2795"/>
      <c r="G215" s="645" t="str">
        <f t="shared" si="23"/>
        <v>TJ / år</v>
      </c>
      <c r="H215" s="576" t="str">
        <f>IF(ISNUMBER(CTRL_InputMethodFuelDistribution),IF(CTRL_InputMethodFuelDistribution=1,IF(ISNUMBER(E_EnergyFlows!H37),E_EnergyFlows!H37,""),E_EnergyFlows!H47),"")</f>
        <v/>
      </c>
      <c r="I215" s="576" t="str">
        <f>IF(ISNUMBER(CTRL_InputMethodFuelDistribution),IF(CTRL_InputMethodFuelDistribution=1,IF(ISNUMBER(E_EnergyFlows!I37),E_EnergyFlows!I37,""),E_EnergyFlows!I47),"")</f>
        <v/>
      </c>
      <c r="J215" s="576" t="str">
        <f>IF(ISNUMBER(CTRL_InputMethodFuelDistribution),IF(CTRL_InputMethodFuelDistribution=1,IF(ISNUMBER(E_EnergyFlows!J37),E_EnergyFlows!J37,""),E_EnergyFlows!J47),"")</f>
        <v/>
      </c>
      <c r="K215" s="576" t="str">
        <f>IF(ISNUMBER(CTRL_InputMethodFuelDistribution),IF(CTRL_InputMethodFuelDistribution=1,IF(ISNUMBER(E_EnergyFlows!K37),E_EnergyFlows!K37,""),E_EnergyFlows!K47),"")</f>
        <v/>
      </c>
      <c r="L215" s="576" t="str">
        <f>IF(ISNUMBER(CTRL_InputMethodFuelDistribution),IF(CTRL_InputMethodFuelDistribution=1,IF(ISNUMBER(E_EnergyFlows!L37),E_EnergyFlows!L37,""),E_EnergyFlows!L47),"")</f>
        <v/>
      </c>
      <c r="M215" s="576" t="str">
        <f>IF(ISNUMBER(CTRL_InputMethodFuelDistribution),IF(CTRL_InputMethodFuelDistribution=1,IF(ISNUMBER(E_EnergyFlows!M37),E_EnergyFlows!M37,""),E_EnergyFlows!M47),"")</f>
        <v/>
      </c>
      <c r="N215" s="577" t="str">
        <f>IF(ISNUMBER(CTRL_InputMethodFuelDistribution),IF(CTRL_InputMethodFuelDistribution=1,IF(ISNUMBER(E_EnergyFlows!N37),E_EnergyFlows!N37,""),E_EnergyFlows!N47),"")</f>
        <v/>
      </c>
      <c r="O215" s="19"/>
      <c r="P215" s="343"/>
      <c r="Q215" s="343"/>
      <c r="R215" s="343"/>
      <c r="S215" s="343"/>
      <c r="T215" s="343"/>
      <c r="U215" s="349"/>
      <c r="V215" s="349"/>
    </row>
    <row r="216" spans="1:22" s="534" customFormat="1" ht="13.5" customHeight="1" thickBot="1" x14ac:dyDescent="0.3">
      <c r="A216" s="936"/>
      <c r="B216" s="15"/>
      <c r="C216" s="15"/>
      <c r="D216" s="289"/>
      <c r="E216" s="2796" t="str">
        <f>E_EnergyFlows!E48</f>
        <v>Delanläggning med bränsleriktmärke, ej KL</v>
      </c>
      <c r="F216" s="2797"/>
      <c r="G216" s="646" t="str">
        <f t="shared" si="23"/>
        <v>TJ / år</v>
      </c>
      <c r="H216" s="261" t="str">
        <f>IF(ISNUMBER(CTRL_InputMethodFuelDistribution),IF(CTRL_InputMethodFuelDistribution=1,IF(ISNUMBER(E_EnergyFlows!H38),E_EnergyFlows!H38,""),E_EnergyFlows!H48),"")</f>
        <v/>
      </c>
      <c r="I216" s="261" t="str">
        <f>IF(ISNUMBER(CTRL_InputMethodFuelDistribution),IF(CTRL_InputMethodFuelDistribution=1,IF(ISNUMBER(E_EnergyFlows!I38),E_EnergyFlows!I38,""),E_EnergyFlows!I48),"")</f>
        <v/>
      </c>
      <c r="J216" s="261" t="str">
        <f>IF(ISNUMBER(CTRL_InputMethodFuelDistribution),IF(CTRL_InputMethodFuelDistribution=1,IF(ISNUMBER(E_EnergyFlows!J38),E_EnergyFlows!J38,""),E_EnergyFlows!J48),"")</f>
        <v/>
      </c>
      <c r="K216" s="261" t="str">
        <f>IF(ISNUMBER(CTRL_InputMethodFuelDistribution),IF(CTRL_InputMethodFuelDistribution=1,IF(ISNUMBER(E_EnergyFlows!K38),E_EnergyFlows!K38,""),E_EnergyFlows!K48),"")</f>
        <v/>
      </c>
      <c r="L216" s="261" t="str">
        <f>IF(ISNUMBER(CTRL_InputMethodFuelDistribution),IF(CTRL_InputMethodFuelDistribution=1,IF(ISNUMBER(E_EnergyFlows!L38),E_EnergyFlows!L38,""),E_EnergyFlows!L48),"")</f>
        <v/>
      </c>
      <c r="M216" s="261" t="str">
        <f>IF(ISNUMBER(CTRL_InputMethodFuelDistribution),IF(CTRL_InputMethodFuelDistribution=1,IF(ISNUMBER(E_EnergyFlows!M38),E_EnergyFlows!M38,""),E_EnergyFlows!M48),"")</f>
        <v/>
      </c>
      <c r="N216" s="578" t="str">
        <f>IF(ISNUMBER(CTRL_InputMethodFuelDistribution),IF(CTRL_InputMethodFuelDistribution=1,IF(ISNUMBER(E_EnergyFlows!N38),E_EnergyFlows!N38,""),E_EnergyFlows!N48),"")</f>
        <v/>
      </c>
      <c r="O216" s="19"/>
      <c r="P216" s="343"/>
      <c r="Q216" s="343"/>
      <c r="R216" s="343"/>
      <c r="S216" s="343"/>
      <c r="T216" s="343"/>
      <c r="U216" s="349"/>
      <c r="V216" s="349"/>
    </row>
    <row r="217" spans="1:22" s="534" customFormat="1" x14ac:dyDescent="0.25">
      <c r="A217" s="936"/>
      <c r="B217" s="15"/>
      <c r="C217" s="15"/>
      <c r="D217" s="289"/>
      <c r="E217" s="2798" t="str">
        <f>E_EnergyFlows!E50</f>
        <v>Övrigt</v>
      </c>
      <c r="F217" s="2799"/>
      <c r="G217" s="37" t="str">
        <f t="shared" si="23"/>
        <v>TJ / år</v>
      </c>
      <c r="H217" s="575" t="str">
        <f>IF(ISNUMBER(CTRL_InputMethodFuelDistribution),IF(CTRL_InputMethodFuelDistribution=1,IF(ISNUMBER(E_EnergyFlows!H40),E_EnergyFlows!H40,""),E_EnergyFlows!H50),"")</f>
        <v/>
      </c>
      <c r="I217" s="575" t="str">
        <f>IF(ISNUMBER(CTRL_InputMethodFuelDistribution),IF(CTRL_InputMethodFuelDistribution=1,IF(ISNUMBER(E_EnergyFlows!I40),E_EnergyFlows!I40,""),E_EnergyFlows!I50),"")</f>
        <v/>
      </c>
      <c r="J217" s="575" t="str">
        <f>IF(ISNUMBER(CTRL_InputMethodFuelDistribution),IF(CTRL_InputMethodFuelDistribution=1,IF(ISNUMBER(E_EnergyFlows!J40),E_EnergyFlows!J40,""),E_EnergyFlows!J50),"")</f>
        <v/>
      </c>
      <c r="K217" s="575" t="str">
        <f>IF(ISNUMBER(CTRL_InputMethodFuelDistribution),IF(CTRL_InputMethodFuelDistribution=1,IF(ISNUMBER(E_EnergyFlows!K40),E_EnergyFlows!K40,""),E_EnergyFlows!K50),"")</f>
        <v/>
      </c>
      <c r="L217" s="575" t="str">
        <f>IF(ISNUMBER(CTRL_InputMethodFuelDistribution),IF(CTRL_InputMethodFuelDistribution=1,IF(ISNUMBER(E_EnergyFlows!L40),E_EnergyFlows!L40,""),E_EnergyFlows!L50),"")</f>
        <v/>
      </c>
      <c r="M217" s="575" t="str">
        <f>IF(ISNUMBER(CTRL_InputMethodFuelDistribution),IF(CTRL_InputMethodFuelDistribution=1,IF(ISNUMBER(E_EnergyFlows!M40),E_EnergyFlows!M40,""),E_EnergyFlows!M50),"")</f>
        <v/>
      </c>
      <c r="N217" s="575" t="str">
        <f>IF(ISNUMBER(CTRL_InputMethodFuelDistribution),IF(CTRL_InputMethodFuelDistribution=1,IF(ISNUMBER(E_EnergyFlows!N40),E_EnergyFlows!N40,""),E_EnergyFlows!N50),"")</f>
        <v/>
      </c>
      <c r="O217" s="19"/>
      <c r="P217" s="343"/>
      <c r="Q217" s="343"/>
      <c r="R217" s="343"/>
      <c r="S217" s="343"/>
      <c r="T217" s="343"/>
      <c r="U217" s="349"/>
      <c r="V217" s="349"/>
    </row>
    <row r="218" spans="1:22" s="534" customFormat="1" ht="5.15" customHeight="1" x14ac:dyDescent="0.25">
      <c r="A218" s="936"/>
      <c r="B218" s="15"/>
      <c r="C218" s="15"/>
      <c r="D218" s="289"/>
      <c r="E218" s="289"/>
      <c r="F218" s="289"/>
      <c r="G218" s="289"/>
      <c r="H218" s="289"/>
      <c r="I218" s="289"/>
      <c r="J218" s="289"/>
      <c r="K218" s="289"/>
      <c r="L218" s="289"/>
      <c r="M218" s="289"/>
      <c r="N218" s="289"/>
      <c r="O218" s="19"/>
      <c r="P218" s="343"/>
      <c r="Q218" s="343"/>
      <c r="R218" s="343"/>
      <c r="S218" s="343"/>
      <c r="T218" s="343"/>
      <c r="U218" s="349"/>
      <c r="V218" s="349"/>
    </row>
    <row r="219" spans="1:22" s="534" customFormat="1" ht="13" x14ac:dyDescent="0.25">
      <c r="A219" s="936"/>
      <c r="B219" s="3"/>
      <c r="C219" s="3"/>
      <c r="D219" s="13" t="s">
        <v>955</v>
      </c>
      <c r="E219" s="2101" t="str">
        <f>Translations!$B$1455</f>
        <v>Emissionsfaktor för bränsle som används för produktion av mätbar värme och el</v>
      </c>
      <c r="F219" s="2102"/>
      <c r="G219" s="2102"/>
      <c r="H219" s="2102"/>
      <c r="I219" s="2102"/>
      <c r="J219" s="2102"/>
      <c r="K219" s="2102"/>
      <c r="L219" s="2102"/>
      <c r="M219" s="2102"/>
      <c r="N219" s="2102"/>
      <c r="O219" s="6"/>
      <c r="P219" s="343"/>
      <c r="Q219" s="343"/>
      <c r="R219" s="343"/>
      <c r="S219" s="343"/>
      <c r="T219" s="343"/>
      <c r="U219" s="349"/>
      <c r="V219" s="349"/>
    </row>
    <row r="220" spans="1:22" s="534" customFormat="1" ht="5.15" customHeight="1" x14ac:dyDescent="0.25">
      <c r="A220" s="936"/>
      <c r="B220" s="3"/>
      <c r="C220" s="3"/>
      <c r="D220" s="3"/>
      <c r="E220" s="3"/>
      <c r="F220" s="3"/>
      <c r="G220" s="3"/>
      <c r="H220" s="3"/>
      <c r="I220" s="3"/>
      <c r="J220" s="3"/>
      <c r="K220" s="3"/>
      <c r="L220" s="3"/>
      <c r="M220" s="3"/>
      <c r="N220" s="3"/>
      <c r="O220" s="6"/>
      <c r="P220" s="343"/>
      <c r="Q220" s="343"/>
      <c r="R220" s="343"/>
      <c r="S220" s="343"/>
      <c r="T220" s="343"/>
      <c r="U220" s="349"/>
      <c r="V220" s="349"/>
    </row>
    <row r="221" spans="1:22" s="534" customFormat="1" ht="13.5" customHeight="1" x14ac:dyDescent="0.25">
      <c r="A221" s="936"/>
      <c r="B221" s="15"/>
      <c r="C221" s="15"/>
      <c r="D221" s="15"/>
      <c r="E221" s="2062" t="str">
        <f>Translations!$B$1458</f>
        <v>Emissionsfaktor (EF)</v>
      </c>
      <c r="F221" s="2497"/>
      <c r="G221" s="13" t="str">
        <f>EUconst_Unit</f>
        <v>Enhet</v>
      </c>
      <c r="H221" s="320">
        <f t="shared" ref="H221:N221" si="24">H$2596</f>
        <v>2019</v>
      </c>
      <c r="I221" s="320">
        <f t="shared" si="24"/>
        <v>2020</v>
      </c>
      <c r="J221" s="320">
        <f t="shared" si="24"/>
        <v>2021</v>
      </c>
      <c r="K221" s="320">
        <f t="shared" si="24"/>
        <v>2022</v>
      </c>
      <c r="L221" s="320">
        <f t="shared" si="24"/>
        <v>2023</v>
      </c>
      <c r="M221" s="320">
        <f t="shared" si="24"/>
        <v>2024</v>
      </c>
      <c r="N221" s="320">
        <f t="shared" si="24"/>
        <v>2025</v>
      </c>
      <c r="O221" s="6"/>
      <c r="P221" s="343"/>
      <c r="Q221" s="343"/>
      <c r="R221" s="343"/>
      <c r="S221" s="343"/>
      <c r="T221" s="343"/>
      <c r="U221" s="349"/>
      <c r="V221" s="349"/>
    </row>
    <row r="222" spans="1:22" s="534" customFormat="1" ht="13.5" customHeight="1" x14ac:dyDescent="0.25">
      <c r="A222" s="936"/>
      <c r="B222" s="15"/>
      <c r="C222" s="15"/>
      <c r="D222" s="289" t="s">
        <v>8</v>
      </c>
      <c r="E222" s="2594" t="str">
        <f>Translations!$B$1459</f>
        <v>Bränsleemissionsfaktor för totalt insatsbränsle</v>
      </c>
      <c r="F222" s="2594"/>
      <c r="G222" s="1491" t="str">
        <f>EUconst_tCO2pTJ</f>
        <v>t CO2 / TJ</v>
      </c>
      <c r="H222" s="1584" t="str">
        <f>IF(E_EnergyFlows!H57="","",E_EnergyFlows!H57)</f>
        <v/>
      </c>
      <c r="I222" s="1584" t="str">
        <f>IF(E_EnergyFlows!I57="","",E_EnergyFlows!I57)</f>
        <v/>
      </c>
      <c r="J222" s="1584" t="str">
        <f>IF(E_EnergyFlows!J57="","",E_EnergyFlows!J57)</f>
        <v/>
      </c>
      <c r="K222" s="1584" t="str">
        <f>IF(E_EnergyFlows!K57="","",E_EnergyFlows!K57)</f>
        <v/>
      </c>
      <c r="L222" s="1584" t="str">
        <f>IF(E_EnergyFlows!L57="","",E_EnergyFlows!L57)</f>
        <v/>
      </c>
      <c r="M222" s="1584" t="str">
        <f>IF(E_EnergyFlows!M57="","",E_EnergyFlows!M57)</f>
        <v/>
      </c>
      <c r="N222" s="1584" t="str">
        <f>IF(E_EnergyFlows!N57="","",E_EnergyFlows!N57)</f>
        <v/>
      </c>
      <c r="O222" s="6"/>
      <c r="P222" s="343"/>
      <c r="Q222" s="343"/>
      <c r="R222" s="343"/>
      <c r="S222" s="343"/>
      <c r="T222" s="343"/>
      <c r="U222" s="349"/>
      <c r="V222" s="349"/>
    </row>
    <row r="223" spans="1:22" s="534" customFormat="1" ht="12.75" customHeight="1" x14ac:dyDescent="0.25">
      <c r="A223" s="936"/>
      <c r="B223" s="15"/>
      <c r="C223" s="15"/>
      <c r="D223" s="289" t="s">
        <v>9</v>
      </c>
      <c r="E223" s="2555" t="str">
        <f>Translations!$B$1460</f>
        <v>Bränsleemissionsfaktor för mätbar värme</v>
      </c>
      <c r="F223" s="2555"/>
      <c r="G223" s="1653" t="str">
        <f>EUconst_tCO2pTJ</f>
        <v>t CO2 / TJ</v>
      </c>
      <c r="H223" s="1585" t="str">
        <f>IF(E_EnergyFlows!H58="","",E_EnergyFlows!H58)</f>
        <v/>
      </c>
      <c r="I223" s="1585" t="str">
        <f>IF(E_EnergyFlows!I58="","",E_EnergyFlows!I58)</f>
        <v/>
      </c>
      <c r="J223" s="1585" t="str">
        <f>IF(E_EnergyFlows!J58="","",E_EnergyFlows!J58)</f>
        <v/>
      </c>
      <c r="K223" s="1585" t="str">
        <f>IF(E_EnergyFlows!K58="","",E_EnergyFlows!K58)</f>
        <v/>
      </c>
      <c r="L223" s="1585" t="str">
        <f>IF(E_EnergyFlows!L58="","",E_EnergyFlows!L58)</f>
        <v/>
      </c>
      <c r="M223" s="1585" t="str">
        <f>IF(E_EnergyFlows!M58="","",E_EnergyFlows!M58)</f>
        <v/>
      </c>
      <c r="N223" s="1585" t="str">
        <f>IF(E_EnergyFlows!N58="","",E_EnergyFlows!N58)</f>
        <v/>
      </c>
      <c r="O223" s="6"/>
      <c r="P223" s="343"/>
      <c r="Q223" s="343"/>
      <c r="R223" s="343"/>
      <c r="S223" s="343"/>
      <c r="T223" s="343"/>
      <c r="U223" s="349"/>
      <c r="V223" s="349"/>
    </row>
    <row r="224" spans="1:22" x14ac:dyDescent="0.25">
      <c r="A224" s="349"/>
      <c r="B224" s="19"/>
      <c r="C224" s="19"/>
      <c r="D224" s="289" t="s">
        <v>10</v>
      </c>
      <c r="E224" s="2573" t="str">
        <f>Translations!$B$1461</f>
        <v>Bränsleemissionsfaktor för el</v>
      </c>
      <c r="F224" s="2543"/>
      <c r="G224" s="1492" t="str">
        <f>EUconst_tCO2pTJ</f>
        <v>t CO2 / TJ</v>
      </c>
      <c r="H224" s="1586" t="str">
        <f>IF(E_EnergyFlows!H59="","",E_EnergyFlows!H59)</f>
        <v/>
      </c>
      <c r="I224" s="1586" t="str">
        <f>IF(E_EnergyFlows!I59="","",E_EnergyFlows!I59)</f>
        <v/>
      </c>
      <c r="J224" s="1586" t="str">
        <f>IF(E_EnergyFlows!J59="","",E_EnergyFlows!J59)</f>
        <v/>
      </c>
      <c r="K224" s="1586" t="str">
        <f>IF(E_EnergyFlows!K59="","",E_EnergyFlows!K59)</f>
        <v/>
      </c>
      <c r="L224" s="1586" t="str">
        <f>IF(E_EnergyFlows!L59="","",E_EnergyFlows!L59)</f>
        <v/>
      </c>
      <c r="M224" s="1586" t="str">
        <f>IF(E_EnergyFlows!M59="","",E_EnergyFlows!M59)</f>
        <v/>
      </c>
      <c r="N224" s="1586" t="str">
        <f>IF(E_EnergyFlows!N59="","",E_EnergyFlows!N59)</f>
        <v/>
      </c>
      <c r="O224" s="6"/>
      <c r="P224" s="343"/>
      <c r="Q224" s="343"/>
      <c r="R224" s="343"/>
      <c r="S224" s="343"/>
      <c r="T224" s="343"/>
      <c r="U224" s="349"/>
      <c r="V224" s="349"/>
    </row>
    <row r="225" spans="1:22" ht="5.15" customHeight="1" x14ac:dyDescent="0.25">
      <c r="A225" s="349"/>
      <c r="B225" s="19"/>
      <c r="C225" s="19"/>
      <c r="D225" s="19"/>
      <c r="E225" s="19"/>
      <c r="F225" s="19"/>
      <c r="G225" s="19"/>
      <c r="H225" s="19"/>
      <c r="I225" s="19"/>
      <c r="J225" s="19"/>
      <c r="K225" s="19"/>
      <c r="L225" s="19"/>
      <c r="M225" s="19"/>
      <c r="N225" s="19"/>
      <c r="O225" s="6"/>
      <c r="P225" s="343"/>
      <c r="Q225" s="343"/>
      <c r="R225" s="343"/>
      <c r="S225" s="343"/>
      <c r="T225" s="343"/>
      <c r="U225" s="349"/>
      <c r="V225" s="349"/>
    </row>
    <row r="226" spans="1:22" s="534" customFormat="1" ht="12.75" customHeight="1" x14ac:dyDescent="0.25">
      <c r="A226" s="936"/>
      <c r="B226" s="15"/>
      <c r="C226" s="15"/>
      <c r="D226" s="13" t="s">
        <v>55</v>
      </c>
      <c r="E226" s="2062" t="str">
        <f>Translations!$B$1016</f>
        <v>Insatsbränsle till respektive delanläggning i bladen F och G:</v>
      </c>
      <c r="F226" s="2497"/>
      <c r="G226" s="2497"/>
      <c r="H226" s="2497"/>
      <c r="I226" s="2497"/>
      <c r="J226" s="2497"/>
      <c r="K226" s="2497"/>
      <c r="L226" s="2497"/>
      <c r="M226" s="2497"/>
      <c r="N226" s="2497"/>
      <c r="O226" s="19"/>
      <c r="P226" s="343"/>
      <c r="Q226" s="343"/>
      <c r="R226" s="343"/>
      <c r="S226" s="343"/>
      <c r="T226" s="343"/>
      <c r="U226" s="349"/>
      <c r="V226" s="349"/>
    </row>
    <row r="227" spans="1:22" s="534" customFormat="1" ht="12.75" customHeight="1" x14ac:dyDescent="0.25">
      <c r="A227" s="343"/>
      <c r="B227" s="15"/>
      <c r="C227" s="15"/>
      <c r="D227" s="15"/>
      <c r="E227" s="2783" t="str">
        <f t="shared" ref="E227:E241" si="25">E112</f>
        <v/>
      </c>
      <c r="F227" s="2484"/>
      <c r="G227" s="25" t="str">
        <f t="shared" ref="G227:G241" si="26">EUconst_TJpa</f>
        <v>TJ / år</v>
      </c>
      <c r="H227" s="739" t="str">
        <f t="shared" ref="H227:N241" si="27">IF($E227="","",INDEX(H$476:H$2500,MATCH($P227,$P$476:$P$2500,0)))</f>
        <v/>
      </c>
      <c r="I227" s="739" t="str">
        <f t="shared" si="27"/>
        <v/>
      </c>
      <c r="J227" s="739" t="str">
        <f t="shared" si="27"/>
        <v/>
      </c>
      <c r="K227" s="739" t="str">
        <f t="shared" si="27"/>
        <v/>
      </c>
      <c r="L227" s="739" t="str">
        <f t="shared" si="27"/>
        <v/>
      </c>
      <c r="M227" s="739" t="str">
        <f t="shared" si="27"/>
        <v/>
      </c>
      <c r="N227" s="739" t="str">
        <f t="shared" si="27"/>
        <v/>
      </c>
      <c r="O227" s="19"/>
      <c r="P227" s="622" t="str">
        <f t="shared" ref="P227:P241" si="28">EUconst_CNTR_FuelInput &amp; E227</f>
        <v>FuelInput_</v>
      </c>
      <c r="Q227" s="343"/>
      <c r="R227" s="343"/>
      <c r="S227" s="343"/>
      <c r="T227" s="343"/>
      <c r="U227" s="349"/>
      <c r="V227" s="349"/>
    </row>
    <row r="228" spans="1:22" s="534" customFormat="1" ht="12.75" customHeight="1" x14ac:dyDescent="0.25">
      <c r="A228" s="343"/>
      <c r="B228" s="15"/>
      <c r="C228" s="15"/>
      <c r="D228" s="15"/>
      <c r="E228" s="2780" t="str">
        <f t="shared" si="25"/>
        <v/>
      </c>
      <c r="F228" s="2476"/>
      <c r="G228" s="26" t="str">
        <f t="shared" si="26"/>
        <v>TJ / år</v>
      </c>
      <c r="H228" s="460" t="str">
        <f t="shared" si="27"/>
        <v/>
      </c>
      <c r="I228" s="460" t="str">
        <f t="shared" si="27"/>
        <v/>
      </c>
      <c r="J228" s="460" t="str">
        <f t="shared" si="27"/>
        <v/>
      </c>
      <c r="K228" s="460" t="str">
        <f t="shared" si="27"/>
        <v/>
      </c>
      <c r="L228" s="460" t="str">
        <f t="shared" si="27"/>
        <v/>
      </c>
      <c r="M228" s="460" t="str">
        <f t="shared" si="27"/>
        <v/>
      </c>
      <c r="N228" s="460" t="str">
        <f t="shared" si="27"/>
        <v/>
      </c>
      <c r="O228" s="19"/>
      <c r="P228" s="622" t="str">
        <f t="shared" si="28"/>
        <v>FuelInput_</v>
      </c>
      <c r="Q228" s="343"/>
      <c r="R228" s="343"/>
      <c r="S228" s="343"/>
      <c r="T228" s="343"/>
      <c r="U228" s="349"/>
      <c r="V228" s="349"/>
    </row>
    <row r="229" spans="1:22" s="534" customFormat="1" ht="12.75" customHeight="1" x14ac:dyDescent="0.25">
      <c r="A229" s="343"/>
      <c r="B229" s="15"/>
      <c r="C229" s="15"/>
      <c r="D229" s="15"/>
      <c r="E229" s="2780" t="str">
        <f t="shared" si="25"/>
        <v/>
      </c>
      <c r="F229" s="2476"/>
      <c r="G229" s="26" t="str">
        <f t="shared" si="26"/>
        <v>TJ / år</v>
      </c>
      <c r="H229" s="460" t="str">
        <f t="shared" si="27"/>
        <v/>
      </c>
      <c r="I229" s="460" t="str">
        <f t="shared" si="27"/>
        <v/>
      </c>
      <c r="J229" s="460" t="str">
        <f t="shared" si="27"/>
        <v/>
      </c>
      <c r="K229" s="460" t="str">
        <f t="shared" si="27"/>
        <v/>
      </c>
      <c r="L229" s="460" t="str">
        <f t="shared" si="27"/>
        <v/>
      </c>
      <c r="M229" s="460" t="str">
        <f t="shared" si="27"/>
        <v/>
      </c>
      <c r="N229" s="460" t="str">
        <f t="shared" si="27"/>
        <v/>
      </c>
      <c r="O229" s="19"/>
      <c r="P229" s="622" t="str">
        <f t="shared" si="28"/>
        <v>FuelInput_</v>
      </c>
      <c r="Q229" s="343"/>
      <c r="R229" s="343"/>
      <c r="S229" s="343"/>
      <c r="T229" s="343"/>
      <c r="U229" s="349"/>
      <c r="V229" s="349"/>
    </row>
    <row r="230" spans="1:22" s="534" customFormat="1" ht="12.75" customHeight="1" x14ac:dyDescent="0.25">
      <c r="A230" s="343"/>
      <c r="B230" s="15"/>
      <c r="C230" s="15"/>
      <c r="D230" s="15"/>
      <c r="E230" s="2780" t="str">
        <f t="shared" si="25"/>
        <v/>
      </c>
      <c r="F230" s="2476"/>
      <c r="G230" s="26" t="str">
        <f t="shared" si="26"/>
        <v>TJ / år</v>
      </c>
      <c r="H230" s="460" t="str">
        <f t="shared" si="27"/>
        <v/>
      </c>
      <c r="I230" s="460" t="str">
        <f t="shared" si="27"/>
        <v/>
      </c>
      <c r="J230" s="460" t="str">
        <f t="shared" si="27"/>
        <v/>
      </c>
      <c r="K230" s="460" t="str">
        <f t="shared" si="27"/>
        <v/>
      </c>
      <c r="L230" s="460" t="str">
        <f t="shared" si="27"/>
        <v/>
      </c>
      <c r="M230" s="460" t="str">
        <f t="shared" si="27"/>
        <v/>
      </c>
      <c r="N230" s="460" t="str">
        <f t="shared" si="27"/>
        <v/>
      </c>
      <c r="O230" s="19"/>
      <c r="P230" s="622" t="str">
        <f t="shared" si="28"/>
        <v>FuelInput_</v>
      </c>
      <c r="Q230" s="343"/>
      <c r="R230" s="343"/>
      <c r="S230" s="343"/>
      <c r="T230" s="343"/>
      <c r="U230" s="349"/>
      <c r="V230" s="349"/>
    </row>
    <row r="231" spans="1:22" s="534" customFormat="1" ht="12.75" customHeight="1" x14ac:dyDescent="0.25">
      <c r="A231" s="343"/>
      <c r="B231" s="15"/>
      <c r="C231" s="15"/>
      <c r="D231" s="15"/>
      <c r="E231" s="2780" t="str">
        <f t="shared" si="25"/>
        <v/>
      </c>
      <c r="F231" s="2476"/>
      <c r="G231" s="26" t="str">
        <f t="shared" si="26"/>
        <v>TJ / år</v>
      </c>
      <c r="H231" s="460" t="str">
        <f t="shared" si="27"/>
        <v/>
      </c>
      <c r="I231" s="460" t="str">
        <f t="shared" si="27"/>
        <v/>
      </c>
      <c r="J231" s="460" t="str">
        <f t="shared" si="27"/>
        <v/>
      </c>
      <c r="K231" s="460" t="str">
        <f t="shared" si="27"/>
        <v/>
      </c>
      <c r="L231" s="460" t="str">
        <f t="shared" si="27"/>
        <v/>
      </c>
      <c r="M231" s="460" t="str">
        <f t="shared" si="27"/>
        <v/>
      </c>
      <c r="N231" s="460" t="str">
        <f t="shared" si="27"/>
        <v/>
      </c>
      <c r="O231" s="19"/>
      <c r="P231" s="622" t="str">
        <f t="shared" si="28"/>
        <v>FuelInput_</v>
      </c>
      <c r="Q231" s="343"/>
      <c r="R231" s="343"/>
      <c r="S231" s="343"/>
      <c r="T231" s="343"/>
      <c r="U231" s="349"/>
      <c r="V231" s="349"/>
    </row>
    <row r="232" spans="1:22" s="534" customFormat="1" ht="12.75" customHeight="1" x14ac:dyDescent="0.25">
      <c r="A232" s="343"/>
      <c r="B232" s="15"/>
      <c r="C232" s="15"/>
      <c r="D232" s="15"/>
      <c r="E232" s="2780" t="str">
        <f t="shared" si="25"/>
        <v/>
      </c>
      <c r="F232" s="2476"/>
      <c r="G232" s="26" t="str">
        <f t="shared" si="26"/>
        <v>TJ / år</v>
      </c>
      <c r="H232" s="460" t="str">
        <f t="shared" si="27"/>
        <v/>
      </c>
      <c r="I232" s="460" t="str">
        <f t="shared" si="27"/>
        <v/>
      </c>
      <c r="J232" s="460" t="str">
        <f t="shared" si="27"/>
        <v/>
      </c>
      <c r="K232" s="460" t="str">
        <f t="shared" si="27"/>
        <v/>
      </c>
      <c r="L232" s="460" t="str">
        <f t="shared" si="27"/>
        <v/>
      </c>
      <c r="M232" s="460" t="str">
        <f t="shared" si="27"/>
        <v/>
      </c>
      <c r="N232" s="460" t="str">
        <f t="shared" si="27"/>
        <v/>
      </c>
      <c r="O232" s="19"/>
      <c r="P232" s="622" t="str">
        <f t="shared" si="28"/>
        <v>FuelInput_</v>
      </c>
      <c r="Q232" s="343"/>
      <c r="R232" s="343"/>
      <c r="S232" s="343"/>
      <c r="T232" s="343"/>
      <c r="U232" s="349"/>
      <c r="V232" s="349"/>
    </row>
    <row r="233" spans="1:22" s="534" customFormat="1" ht="12.75" customHeight="1" x14ac:dyDescent="0.25">
      <c r="A233" s="343"/>
      <c r="B233" s="15"/>
      <c r="C233" s="15"/>
      <c r="D233" s="15"/>
      <c r="E233" s="2780" t="str">
        <f t="shared" si="25"/>
        <v/>
      </c>
      <c r="F233" s="2476"/>
      <c r="G233" s="26" t="str">
        <f t="shared" si="26"/>
        <v>TJ / år</v>
      </c>
      <c r="H233" s="460" t="str">
        <f t="shared" si="27"/>
        <v/>
      </c>
      <c r="I233" s="460" t="str">
        <f t="shared" si="27"/>
        <v/>
      </c>
      <c r="J233" s="460" t="str">
        <f t="shared" si="27"/>
        <v/>
      </c>
      <c r="K233" s="460" t="str">
        <f t="shared" si="27"/>
        <v/>
      </c>
      <c r="L233" s="460" t="str">
        <f t="shared" si="27"/>
        <v/>
      </c>
      <c r="M233" s="460" t="str">
        <f t="shared" si="27"/>
        <v/>
      </c>
      <c r="N233" s="460" t="str">
        <f t="shared" si="27"/>
        <v/>
      </c>
      <c r="O233" s="19"/>
      <c r="P233" s="622" t="str">
        <f t="shared" si="28"/>
        <v>FuelInput_</v>
      </c>
      <c r="Q233" s="343"/>
      <c r="R233" s="343"/>
      <c r="S233" s="343"/>
      <c r="T233" s="343"/>
      <c r="U233" s="349"/>
      <c r="V233" s="349"/>
    </row>
    <row r="234" spans="1:22" s="534" customFormat="1" ht="12.75" customHeight="1" x14ac:dyDescent="0.25">
      <c r="A234" s="343"/>
      <c r="B234" s="15"/>
      <c r="C234" s="15"/>
      <c r="D234" s="15"/>
      <c r="E234" s="2780" t="str">
        <f t="shared" si="25"/>
        <v/>
      </c>
      <c r="F234" s="2476"/>
      <c r="G234" s="26" t="str">
        <f t="shared" si="26"/>
        <v>TJ / år</v>
      </c>
      <c r="H234" s="460" t="str">
        <f t="shared" si="27"/>
        <v/>
      </c>
      <c r="I234" s="460" t="str">
        <f t="shared" si="27"/>
        <v/>
      </c>
      <c r="J234" s="460" t="str">
        <f t="shared" si="27"/>
        <v/>
      </c>
      <c r="K234" s="460" t="str">
        <f t="shared" si="27"/>
        <v/>
      </c>
      <c r="L234" s="460" t="str">
        <f t="shared" si="27"/>
        <v/>
      </c>
      <c r="M234" s="460" t="str">
        <f t="shared" si="27"/>
        <v/>
      </c>
      <c r="N234" s="460" t="str">
        <f t="shared" si="27"/>
        <v/>
      </c>
      <c r="O234" s="19"/>
      <c r="P234" s="622" t="str">
        <f t="shared" si="28"/>
        <v>FuelInput_</v>
      </c>
      <c r="Q234" s="343"/>
      <c r="R234" s="343"/>
      <c r="S234" s="343"/>
      <c r="T234" s="343"/>
      <c r="U234" s="349"/>
      <c r="V234" s="349"/>
    </row>
    <row r="235" spans="1:22" s="534" customFormat="1" ht="12.75" customHeight="1" x14ac:dyDescent="0.25">
      <c r="A235" s="343"/>
      <c r="B235" s="15"/>
      <c r="C235" s="15"/>
      <c r="D235" s="15"/>
      <c r="E235" s="2780" t="str">
        <f t="shared" si="25"/>
        <v/>
      </c>
      <c r="F235" s="2476"/>
      <c r="G235" s="26" t="str">
        <f t="shared" si="26"/>
        <v>TJ / år</v>
      </c>
      <c r="H235" s="460" t="str">
        <f t="shared" si="27"/>
        <v/>
      </c>
      <c r="I235" s="460" t="str">
        <f t="shared" si="27"/>
        <v/>
      </c>
      <c r="J235" s="460" t="str">
        <f t="shared" si="27"/>
        <v/>
      </c>
      <c r="K235" s="460" t="str">
        <f t="shared" si="27"/>
        <v/>
      </c>
      <c r="L235" s="460" t="str">
        <f t="shared" si="27"/>
        <v/>
      </c>
      <c r="M235" s="460" t="str">
        <f t="shared" si="27"/>
        <v/>
      </c>
      <c r="N235" s="460" t="str">
        <f t="shared" si="27"/>
        <v/>
      </c>
      <c r="O235" s="19"/>
      <c r="P235" s="622" t="str">
        <f t="shared" si="28"/>
        <v>FuelInput_</v>
      </c>
      <c r="Q235" s="343"/>
      <c r="R235" s="343"/>
      <c r="S235" s="343"/>
      <c r="T235" s="343"/>
      <c r="U235" s="349"/>
      <c r="V235" s="349"/>
    </row>
    <row r="236" spans="1:22" s="534" customFormat="1" ht="12.75" customHeight="1" x14ac:dyDescent="0.25">
      <c r="A236" s="343"/>
      <c r="B236" s="15"/>
      <c r="C236" s="15"/>
      <c r="D236" s="15"/>
      <c r="E236" s="2781" t="str">
        <f t="shared" si="25"/>
        <v/>
      </c>
      <c r="F236" s="2487"/>
      <c r="G236" s="27" t="str">
        <f t="shared" si="26"/>
        <v>TJ / år</v>
      </c>
      <c r="H236" s="740" t="str">
        <f t="shared" si="27"/>
        <v/>
      </c>
      <c r="I236" s="740" t="str">
        <f t="shared" si="27"/>
        <v/>
      </c>
      <c r="J236" s="740" t="str">
        <f t="shared" si="27"/>
        <v/>
      </c>
      <c r="K236" s="740" t="str">
        <f t="shared" si="27"/>
        <v/>
      </c>
      <c r="L236" s="740" t="str">
        <f t="shared" si="27"/>
        <v/>
      </c>
      <c r="M236" s="740" t="str">
        <f t="shared" si="27"/>
        <v/>
      </c>
      <c r="N236" s="740" t="str">
        <f t="shared" si="27"/>
        <v/>
      </c>
      <c r="O236" s="19"/>
      <c r="P236" s="622" t="str">
        <f t="shared" si="28"/>
        <v>FuelInput_</v>
      </c>
      <c r="Q236" s="343"/>
      <c r="R236" s="343"/>
      <c r="S236" s="343"/>
      <c r="T236" s="343"/>
      <c r="U236" s="349"/>
      <c r="V236" s="349"/>
    </row>
    <row r="237" spans="1:22" s="534" customFormat="1" ht="12.75" customHeight="1" x14ac:dyDescent="0.25">
      <c r="A237" s="343"/>
      <c r="B237" s="15"/>
      <c r="C237" s="15"/>
      <c r="D237" s="15"/>
      <c r="E237" s="2483" t="str">
        <f t="shared" si="25"/>
        <v>Delanläggning med värmeriktmärke, KL</v>
      </c>
      <c r="F237" s="2484"/>
      <c r="G237" s="352" t="str">
        <f t="shared" si="26"/>
        <v>TJ / år</v>
      </c>
      <c r="H237" s="739" t="str">
        <f t="shared" si="27"/>
        <v/>
      </c>
      <c r="I237" s="739" t="str">
        <f t="shared" si="27"/>
        <v/>
      </c>
      <c r="J237" s="739" t="str">
        <f t="shared" si="27"/>
        <v/>
      </c>
      <c r="K237" s="739" t="str">
        <f t="shared" si="27"/>
        <v/>
      </c>
      <c r="L237" s="739" t="str">
        <f t="shared" si="27"/>
        <v/>
      </c>
      <c r="M237" s="739" t="str">
        <f t="shared" si="27"/>
        <v/>
      </c>
      <c r="N237" s="739" t="str">
        <f t="shared" si="27"/>
        <v/>
      </c>
      <c r="O237" s="19"/>
      <c r="P237" s="622" t="str">
        <f t="shared" si="28"/>
        <v>FuelInput_Delanläggning med värmeriktmärke, KL</v>
      </c>
      <c r="Q237" s="343"/>
      <c r="R237" s="343"/>
      <c r="S237" s="343"/>
      <c r="T237" s="343"/>
      <c r="U237" s="349"/>
      <c r="V237" s="349"/>
    </row>
    <row r="238" spans="1:22" s="534" customFormat="1" ht="12.75" customHeight="1" x14ac:dyDescent="0.25">
      <c r="A238" s="343"/>
      <c r="B238" s="15"/>
      <c r="C238" s="15"/>
      <c r="D238" s="15"/>
      <c r="E238" s="2485" t="str">
        <f t="shared" si="25"/>
        <v>Delanläggning med värmeriktmärke, ej KL</v>
      </c>
      <c r="F238" s="2476"/>
      <c r="G238" s="353" t="str">
        <f t="shared" si="26"/>
        <v>TJ / år</v>
      </c>
      <c r="H238" s="460" t="str">
        <f t="shared" si="27"/>
        <v/>
      </c>
      <c r="I238" s="460" t="str">
        <f t="shared" si="27"/>
        <v/>
      </c>
      <c r="J238" s="460" t="str">
        <f t="shared" si="27"/>
        <v/>
      </c>
      <c r="K238" s="460" t="str">
        <f t="shared" si="27"/>
        <v/>
      </c>
      <c r="L238" s="460" t="str">
        <f t="shared" si="27"/>
        <v/>
      </c>
      <c r="M238" s="460" t="str">
        <f t="shared" si="27"/>
        <v/>
      </c>
      <c r="N238" s="460" t="str">
        <f t="shared" si="27"/>
        <v/>
      </c>
      <c r="O238" s="19"/>
      <c r="P238" s="622" t="str">
        <f t="shared" si="28"/>
        <v>FuelInput_Delanläggning med värmeriktmärke, ej KL</v>
      </c>
      <c r="Q238" s="343"/>
      <c r="R238" s="343"/>
      <c r="S238" s="343"/>
      <c r="T238" s="343"/>
      <c r="U238" s="349"/>
      <c r="V238" s="349"/>
    </row>
    <row r="239" spans="1:22" s="534" customFormat="1" ht="12.75" customHeight="1" x14ac:dyDescent="0.25">
      <c r="A239" s="343"/>
      <c r="B239" s="15"/>
      <c r="C239" s="15"/>
      <c r="D239" s="15"/>
      <c r="E239" s="2485" t="str">
        <f t="shared" si="25"/>
        <v>Fjärrvärmedelanläggning</v>
      </c>
      <c r="F239" s="2476"/>
      <c r="G239" s="353" t="str">
        <f t="shared" si="26"/>
        <v>TJ / år</v>
      </c>
      <c r="H239" s="460" t="str">
        <f t="shared" si="27"/>
        <v/>
      </c>
      <c r="I239" s="460" t="str">
        <f t="shared" si="27"/>
        <v/>
      </c>
      <c r="J239" s="460" t="str">
        <f t="shared" si="27"/>
        <v/>
      </c>
      <c r="K239" s="460" t="str">
        <f t="shared" si="27"/>
        <v/>
      </c>
      <c r="L239" s="460" t="str">
        <f t="shared" si="27"/>
        <v/>
      </c>
      <c r="M239" s="460" t="str">
        <f t="shared" si="27"/>
        <v/>
      </c>
      <c r="N239" s="460" t="str">
        <f t="shared" si="27"/>
        <v/>
      </c>
      <c r="O239" s="19"/>
      <c r="P239" s="622" t="str">
        <f t="shared" si="28"/>
        <v>FuelInput_Fjärrvärmedelanläggning</v>
      </c>
      <c r="Q239" s="343"/>
      <c r="R239" s="343"/>
      <c r="S239" s="343"/>
      <c r="T239" s="343"/>
      <c r="U239" s="349"/>
      <c r="V239" s="349"/>
    </row>
    <row r="240" spans="1:22" s="534" customFormat="1" ht="12.75" customHeight="1" x14ac:dyDescent="0.25">
      <c r="A240" s="343"/>
      <c r="B240" s="15"/>
      <c r="C240" s="15"/>
      <c r="D240" s="15"/>
      <c r="E240" s="2485" t="str">
        <f t="shared" si="25"/>
        <v>Delanläggning med bränsleriktmärke, KL</v>
      </c>
      <c r="F240" s="2476"/>
      <c r="G240" s="353" t="str">
        <f t="shared" si="26"/>
        <v>TJ / år</v>
      </c>
      <c r="H240" s="460" t="str">
        <f t="shared" si="27"/>
        <v/>
      </c>
      <c r="I240" s="460" t="str">
        <f t="shared" si="27"/>
        <v/>
      </c>
      <c r="J240" s="460" t="str">
        <f t="shared" si="27"/>
        <v/>
      </c>
      <c r="K240" s="460" t="str">
        <f t="shared" si="27"/>
        <v/>
      </c>
      <c r="L240" s="460" t="str">
        <f t="shared" si="27"/>
        <v/>
      </c>
      <c r="M240" s="460" t="str">
        <f t="shared" si="27"/>
        <v/>
      </c>
      <c r="N240" s="460" t="str">
        <f t="shared" si="27"/>
        <v/>
      </c>
      <c r="O240" s="19"/>
      <c r="P240" s="622" t="str">
        <f t="shared" si="28"/>
        <v>FuelInput_Delanläggning med bränsleriktmärke, KL</v>
      </c>
      <c r="Q240" s="343"/>
      <c r="R240" s="343"/>
      <c r="S240" s="343"/>
      <c r="T240" s="343"/>
      <c r="U240" s="349"/>
      <c r="V240" s="349"/>
    </row>
    <row r="241" spans="1:22" s="534" customFormat="1" ht="12.75" customHeight="1" x14ac:dyDescent="0.25">
      <c r="A241" s="343"/>
      <c r="B241" s="15"/>
      <c r="C241" s="15"/>
      <c r="D241" s="15"/>
      <c r="E241" s="2486" t="str">
        <f t="shared" si="25"/>
        <v>Delanläggning med bränsleriktmärke, ej KL</v>
      </c>
      <c r="F241" s="2487"/>
      <c r="G241" s="354" t="str">
        <f t="shared" si="26"/>
        <v>TJ / år</v>
      </c>
      <c r="H241" s="740" t="str">
        <f t="shared" si="27"/>
        <v/>
      </c>
      <c r="I241" s="740" t="str">
        <f t="shared" si="27"/>
        <v/>
      </c>
      <c r="J241" s="740" t="str">
        <f t="shared" si="27"/>
        <v/>
      </c>
      <c r="K241" s="740" t="str">
        <f t="shared" si="27"/>
        <v/>
      </c>
      <c r="L241" s="740" t="str">
        <f t="shared" si="27"/>
        <v/>
      </c>
      <c r="M241" s="740" t="str">
        <f t="shared" si="27"/>
        <v/>
      </c>
      <c r="N241" s="740" t="str">
        <f t="shared" si="27"/>
        <v/>
      </c>
      <c r="O241" s="19"/>
      <c r="P241" s="298" t="str">
        <f t="shared" si="28"/>
        <v>FuelInput_Delanläggning med bränsleriktmärke, ej KL</v>
      </c>
      <c r="Q241" s="343"/>
      <c r="R241" s="343"/>
      <c r="S241" s="343"/>
      <c r="T241" s="343"/>
      <c r="U241" s="349"/>
      <c r="V241" s="349"/>
    </row>
    <row r="242" spans="1:22" s="534" customFormat="1" ht="12.75" customHeight="1" x14ac:dyDescent="0.25">
      <c r="A242" s="343"/>
      <c r="B242" s="15"/>
      <c r="C242" s="15"/>
      <c r="D242" s="15"/>
      <c r="E242" s="15"/>
      <c r="F242" s="15"/>
      <c r="G242" s="15"/>
      <c r="H242" s="15"/>
      <c r="I242" s="15"/>
      <c r="J242" s="15"/>
      <c r="K242" s="15"/>
      <c r="L242" s="15"/>
      <c r="M242" s="15"/>
      <c r="N242" s="15"/>
      <c r="O242" s="19"/>
      <c r="P242" s="343"/>
      <c r="Q242" s="343"/>
      <c r="R242" s="343"/>
      <c r="S242" s="343"/>
      <c r="T242" s="343"/>
      <c r="U242" s="349"/>
      <c r="V242" s="349"/>
    </row>
    <row r="243" spans="1:22" s="534" customFormat="1" ht="14.15" customHeight="1" x14ac:dyDescent="0.3">
      <c r="A243" s="343"/>
      <c r="B243" s="15"/>
      <c r="C243" s="17">
        <v>6</v>
      </c>
      <c r="D243" s="2079" t="str">
        <f>Translations!$B$1017</f>
        <v>Beräkning av mätbar värme (avsnitt E.II)</v>
      </c>
      <c r="E243" s="2079"/>
      <c r="F243" s="2079"/>
      <c r="G243" s="2079"/>
      <c r="H243" s="2079"/>
      <c r="I243" s="2079"/>
      <c r="J243" s="2079"/>
      <c r="K243" s="2079"/>
      <c r="L243" s="2079"/>
      <c r="M243" s="2079"/>
      <c r="N243" s="2079"/>
      <c r="O243" s="19"/>
      <c r="P243" s="343"/>
      <c r="Q243" s="343"/>
      <c r="R243" s="343"/>
      <c r="S243" s="343"/>
      <c r="T243" s="343"/>
      <c r="U243" s="349"/>
      <c r="V243" s="349"/>
    </row>
    <row r="244" spans="1:22" s="534" customFormat="1" ht="5.15" customHeight="1" x14ac:dyDescent="0.25">
      <c r="A244" s="343"/>
      <c r="B244" s="3"/>
      <c r="C244" s="3"/>
      <c r="D244" s="3"/>
      <c r="E244" s="3"/>
      <c r="F244" s="3"/>
      <c r="G244" s="3"/>
      <c r="H244" s="3"/>
      <c r="I244" s="3"/>
      <c r="J244" s="3"/>
      <c r="K244" s="3"/>
      <c r="L244" s="3"/>
      <c r="M244" s="6"/>
      <c r="N244" s="6"/>
      <c r="O244" s="19"/>
      <c r="P244" s="343"/>
      <c r="Q244" s="343"/>
      <c r="R244" s="343"/>
      <c r="S244" s="343"/>
      <c r="T244" s="343"/>
      <c r="U244" s="349"/>
      <c r="V244" s="349"/>
    </row>
    <row r="245" spans="1:22" ht="13" customHeight="1" x14ac:dyDescent="0.25">
      <c r="A245" s="349"/>
      <c r="B245" s="3"/>
      <c r="C245" s="13"/>
      <c r="D245" s="13" t="str">
        <f>E_EnergyFlows!D90</f>
        <v>(a)</v>
      </c>
      <c r="E245" s="2106" t="str">
        <f>E_EnergyFlows!E90</f>
        <v>Total nettomängd mätbar värme som produceras vid anläggningen:</v>
      </c>
      <c r="F245" s="1960"/>
      <c r="G245" s="1960"/>
      <c r="H245" s="1960"/>
      <c r="I245" s="1960"/>
      <c r="J245" s="1960"/>
      <c r="K245" s="1960"/>
      <c r="L245" s="1960"/>
      <c r="M245" s="1960"/>
      <c r="N245" s="1960"/>
      <c r="O245" s="19"/>
      <c r="P245" s="410"/>
      <c r="Q245" s="349"/>
      <c r="R245" s="349"/>
      <c r="S245" s="349"/>
      <c r="T245" s="343"/>
      <c r="U245" s="349"/>
      <c r="V245" s="349"/>
    </row>
    <row r="246" spans="1:22" ht="13" x14ac:dyDescent="0.25">
      <c r="A246" s="349"/>
      <c r="B246" s="19"/>
      <c r="C246" s="19"/>
      <c r="D246" s="19"/>
      <c r="E246" s="24"/>
      <c r="F246" s="21"/>
      <c r="G246" s="30" t="str">
        <f>E_EnergyFlows!G93</f>
        <v>Enhet</v>
      </c>
      <c r="H246" s="320">
        <f>E_EnergyFlows!H93</f>
        <v>2019</v>
      </c>
      <c r="I246" s="320">
        <f>E_EnergyFlows!I93</f>
        <v>2020</v>
      </c>
      <c r="J246" s="320">
        <f>E_EnergyFlows!J93</f>
        <v>2021</v>
      </c>
      <c r="K246" s="320">
        <f>E_EnergyFlows!K93</f>
        <v>2022</v>
      </c>
      <c r="L246" s="320">
        <f>E_EnergyFlows!L93</f>
        <v>2023</v>
      </c>
      <c r="M246" s="320">
        <f>E_EnergyFlows!M93</f>
        <v>2024</v>
      </c>
      <c r="N246" s="320">
        <f>E_EnergyFlows!N93</f>
        <v>2025</v>
      </c>
      <c r="O246" s="19"/>
      <c r="P246" s="349"/>
      <c r="Q246" s="349"/>
      <c r="R246" s="349"/>
      <c r="S246" s="349"/>
      <c r="T246" s="343"/>
      <c r="U246" s="349"/>
      <c r="V246" s="349"/>
    </row>
    <row r="247" spans="1:22" ht="12.65" customHeight="1" x14ac:dyDescent="0.25">
      <c r="A247" s="349"/>
      <c r="B247" s="19"/>
      <c r="C247" s="19"/>
      <c r="D247" s="19"/>
      <c r="E247" s="2496" t="str">
        <f>E_EnergyFlows!E94</f>
        <v>Producerad mätbar värme</v>
      </c>
      <c r="F247" s="1997"/>
      <c r="G247" s="43" t="str">
        <f>E_EnergyFlows!G94</f>
        <v>TJ / år</v>
      </c>
      <c r="H247" s="750" t="str">
        <f>IF(ISBLANK(E_EnergyFlows!H94),"",E_EnergyFlows!H94)</f>
        <v/>
      </c>
      <c r="I247" s="750" t="str">
        <f>IF(ISBLANK(E_EnergyFlows!I94),"",E_EnergyFlows!I94)</f>
        <v/>
      </c>
      <c r="J247" s="750" t="str">
        <f>IF(ISBLANK(E_EnergyFlows!J94),"",E_EnergyFlows!J94)</f>
        <v/>
      </c>
      <c r="K247" s="351" t="str">
        <f>IF(ISBLANK(E_EnergyFlows!K94),"",E_EnergyFlows!K94)</f>
        <v/>
      </c>
      <c r="L247" s="351" t="str">
        <f>IF(ISBLANK(E_EnergyFlows!L94),"",E_EnergyFlows!L94)</f>
        <v/>
      </c>
      <c r="M247" s="351" t="str">
        <f>IF(ISBLANK(E_EnergyFlows!M94),"",E_EnergyFlows!M94)</f>
        <v/>
      </c>
      <c r="N247" s="351" t="str">
        <f>IF(ISBLANK(E_EnergyFlows!N94),"",E_EnergyFlows!N94)</f>
        <v/>
      </c>
      <c r="O247" s="19"/>
      <c r="P247" s="349"/>
      <c r="Q247" s="349"/>
      <c r="R247" s="349"/>
      <c r="S247" s="349"/>
      <c r="T247" s="343"/>
      <c r="U247" s="349"/>
      <c r="V247" s="349"/>
    </row>
    <row r="248" spans="1:22" ht="5.15" customHeight="1" x14ac:dyDescent="0.25">
      <c r="A248" s="349"/>
      <c r="B248" s="3"/>
      <c r="C248" s="3"/>
      <c r="D248" s="3"/>
      <c r="E248" s="3"/>
      <c r="F248" s="3"/>
      <c r="G248" s="3"/>
      <c r="H248" s="3"/>
      <c r="I248" s="3"/>
      <c r="J248" s="3"/>
      <c r="K248" s="3"/>
      <c r="L248" s="3"/>
      <c r="M248" s="3"/>
      <c r="N248" s="3"/>
      <c r="O248" s="19"/>
      <c r="P248" s="410"/>
      <c r="Q248" s="349"/>
      <c r="R248" s="349"/>
      <c r="S248" s="349"/>
      <c r="T248" s="343"/>
      <c r="U248" s="349"/>
      <c r="V248" s="349"/>
    </row>
    <row r="249" spans="1:22" ht="13" customHeight="1" x14ac:dyDescent="0.25">
      <c r="A249" s="349"/>
      <c r="B249" s="3"/>
      <c r="C249" s="13"/>
      <c r="D249" s="13" t="str">
        <f>E_EnergyFlows!D96</f>
        <v>(b)</v>
      </c>
      <c r="E249" s="2106" t="str">
        <f>E_EnergyFlows!E96</f>
        <v>Mätbar värme som importeras från anläggningar inom ETS:</v>
      </c>
      <c r="F249" s="1960"/>
      <c r="G249" s="1960"/>
      <c r="H249" s="1960"/>
      <c r="I249" s="1960"/>
      <c r="J249" s="1960"/>
      <c r="K249" s="1960"/>
      <c r="L249" s="1960"/>
      <c r="M249" s="1960"/>
      <c r="N249" s="1960"/>
      <c r="O249" s="19"/>
      <c r="P249" s="410"/>
      <c r="Q249" s="349"/>
      <c r="R249" s="349"/>
      <c r="S249" s="349"/>
      <c r="T249" s="343"/>
      <c r="U249" s="349"/>
      <c r="V249" s="349"/>
    </row>
    <row r="250" spans="1:22" ht="13" customHeight="1" x14ac:dyDescent="0.25">
      <c r="A250" s="349"/>
      <c r="B250" s="19"/>
      <c r="C250" s="19"/>
      <c r="D250" s="19"/>
      <c r="E250" s="2062" t="str">
        <f>E_EnergyFlows!E99</f>
        <v>Anläggningens namn</v>
      </c>
      <c r="F250" s="2497"/>
      <c r="G250" s="30" t="str">
        <f>E_EnergyFlows!G99</f>
        <v>Enhet</v>
      </c>
      <c r="H250" s="320">
        <f>E_EnergyFlows!H99</f>
        <v>2019</v>
      </c>
      <c r="I250" s="320">
        <f>E_EnergyFlows!I99</f>
        <v>2020</v>
      </c>
      <c r="J250" s="320">
        <f>E_EnergyFlows!J99</f>
        <v>2021</v>
      </c>
      <c r="K250" s="320">
        <f>E_EnergyFlows!K99</f>
        <v>2022</v>
      </c>
      <c r="L250" s="320">
        <f>E_EnergyFlows!L99</f>
        <v>2023</v>
      </c>
      <c r="M250" s="320">
        <f>E_EnergyFlows!M99</f>
        <v>2024</v>
      </c>
      <c r="N250" s="320">
        <f>E_EnergyFlows!N99</f>
        <v>2025</v>
      </c>
      <c r="O250" s="19"/>
      <c r="P250" s="349"/>
      <c r="Q250" s="349"/>
      <c r="R250" s="349"/>
      <c r="S250" s="349"/>
      <c r="T250" s="343"/>
      <c r="U250" s="349"/>
      <c r="V250" s="349"/>
    </row>
    <row r="251" spans="1:22" x14ac:dyDescent="0.25">
      <c r="A251" s="349"/>
      <c r="B251" s="19"/>
      <c r="C251" s="175"/>
      <c r="D251" s="175"/>
      <c r="E251" s="2783" t="str">
        <f>IF(ISBLANK(E_EnergyFlows!E100),"",E_EnergyFlows!E100)</f>
        <v/>
      </c>
      <c r="F251" s="2484"/>
      <c r="G251" s="32" t="str">
        <f>E_EnergyFlows!G100</f>
        <v>TJ / år</v>
      </c>
      <c r="H251" s="751" t="str">
        <f>IF(ISBLANK(E_EnergyFlows!H100),"",E_EnergyFlows!H100)</f>
        <v/>
      </c>
      <c r="I251" s="751" t="str">
        <f>IF(ISBLANK(E_EnergyFlows!I100),"",E_EnergyFlows!I100)</f>
        <v/>
      </c>
      <c r="J251" s="751" t="str">
        <f>IF(ISBLANK(E_EnergyFlows!J100),"",E_EnergyFlows!J100)</f>
        <v/>
      </c>
      <c r="K251" s="536" t="str">
        <f>IF(ISBLANK(E_EnergyFlows!K100),"",E_EnergyFlows!K100)</f>
        <v/>
      </c>
      <c r="L251" s="536" t="str">
        <f>IF(ISBLANK(E_EnergyFlows!L100),"",E_EnergyFlows!L100)</f>
        <v/>
      </c>
      <c r="M251" s="536" t="str">
        <f>IF(ISBLANK(E_EnergyFlows!M100),"",E_EnergyFlows!M100)</f>
        <v/>
      </c>
      <c r="N251" s="536" t="str">
        <f>IF(ISBLANK(E_EnergyFlows!N100),"",E_EnergyFlows!N100)</f>
        <v/>
      </c>
      <c r="O251" s="19"/>
      <c r="P251" s="349"/>
      <c r="Q251" s="349"/>
      <c r="R251" s="349"/>
      <c r="S251" s="349"/>
      <c r="T251" s="343"/>
      <c r="U251" s="349"/>
      <c r="V251" s="349"/>
    </row>
    <row r="252" spans="1:22" x14ac:dyDescent="0.25">
      <c r="A252" s="349"/>
      <c r="B252" s="19"/>
      <c r="C252" s="175"/>
      <c r="D252" s="175"/>
      <c r="E252" s="2780" t="str">
        <f>IF(ISBLANK(E_EnergyFlows!E101),"",E_EnergyFlows!E101)</f>
        <v/>
      </c>
      <c r="F252" s="2476"/>
      <c r="G252" s="33" t="str">
        <f>E_EnergyFlows!G101</f>
        <v>TJ / år</v>
      </c>
      <c r="H252" s="752" t="str">
        <f>IF(ISBLANK(E_EnergyFlows!H101),"",E_EnergyFlows!H101)</f>
        <v/>
      </c>
      <c r="I252" s="752" t="str">
        <f>IF(ISBLANK(E_EnergyFlows!I101),"",E_EnergyFlows!I101)</f>
        <v/>
      </c>
      <c r="J252" s="752" t="str">
        <f>IF(ISBLANK(E_EnergyFlows!J101),"",E_EnergyFlows!J101)</f>
        <v/>
      </c>
      <c r="K252" s="412" t="str">
        <f>IF(ISBLANK(E_EnergyFlows!K101),"",E_EnergyFlows!K101)</f>
        <v/>
      </c>
      <c r="L252" s="412" t="str">
        <f>IF(ISBLANK(E_EnergyFlows!L101),"",E_EnergyFlows!L101)</f>
        <v/>
      </c>
      <c r="M252" s="412" t="str">
        <f>IF(ISBLANK(E_EnergyFlows!M101),"",E_EnergyFlows!M101)</f>
        <v/>
      </c>
      <c r="N252" s="412" t="str">
        <f>IF(ISBLANK(E_EnergyFlows!N101),"",E_EnergyFlows!N101)</f>
        <v/>
      </c>
      <c r="O252" s="19"/>
      <c r="P252" s="349"/>
      <c r="Q252" s="349"/>
      <c r="R252" s="349"/>
      <c r="S252" s="349"/>
      <c r="T252" s="343"/>
      <c r="U252" s="349"/>
      <c r="V252" s="349"/>
    </row>
    <row r="253" spans="1:22" x14ac:dyDescent="0.25">
      <c r="A253" s="349"/>
      <c r="B253" s="19"/>
      <c r="C253" s="175"/>
      <c r="D253" s="175"/>
      <c r="E253" s="2781" t="str">
        <f>IF(ISBLANK(E_EnergyFlows!E102),"",E_EnergyFlows!E102)</f>
        <v/>
      </c>
      <c r="F253" s="2487"/>
      <c r="G253" s="36" t="str">
        <f>E_EnergyFlows!G102</f>
        <v>TJ / år</v>
      </c>
      <c r="H253" s="753" t="str">
        <f>IF(ISBLANK(E_EnergyFlows!H102),"",E_EnergyFlows!H102)</f>
        <v/>
      </c>
      <c r="I253" s="753" t="str">
        <f>IF(ISBLANK(E_EnergyFlows!I102),"",E_EnergyFlows!I102)</f>
        <v/>
      </c>
      <c r="J253" s="753" t="str">
        <f>IF(ISBLANK(E_EnergyFlows!J102),"",E_EnergyFlows!J102)</f>
        <v/>
      </c>
      <c r="K253" s="537" t="str">
        <f>IF(ISBLANK(E_EnergyFlows!K102),"",E_EnergyFlows!K102)</f>
        <v/>
      </c>
      <c r="L253" s="537" t="str">
        <f>IF(ISBLANK(E_EnergyFlows!L102),"",E_EnergyFlows!L102)</f>
        <v/>
      </c>
      <c r="M253" s="537" t="str">
        <f>IF(ISBLANK(E_EnergyFlows!M102),"",E_EnergyFlows!M102)</f>
        <v/>
      </c>
      <c r="N253" s="537" t="str">
        <f>IF(ISBLANK(E_EnergyFlows!N102),"",E_EnergyFlows!N102)</f>
        <v/>
      </c>
      <c r="O253" s="19"/>
      <c r="P253" s="349"/>
      <c r="Q253" s="349"/>
      <c r="R253" s="349"/>
      <c r="S253" s="349"/>
      <c r="T253" s="343"/>
      <c r="U253" s="349"/>
      <c r="V253" s="349"/>
    </row>
    <row r="254" spans="1:22" x14ac:dyDescent="0.25">
      <c r="A254" s="349"/>
      <c r="B254" s="19"/>
      <c r="C254" s="175"/>
      <c r="D254" s="175"/>
      <c r="E254" s="2496" t="str">
        <f>E_EnergyFlows!E103</f>
        <v>Delsumma</v>
      </c>
      <c r="F254" s="1997"/>
      <c r="G254" s="47" t="str">
        <f>E_EnergyFlows!G103</f>
        <v>TJ / år</v>
      </c>
      <c r="H254" s="750" t="str">
        <f>E_EnergyFlows!H103</f>
        <v/>
      </c>
      <c r="I254" s="750" t="str">
        <f>E_EnergyFlows!I103</f>
        <v/>
      </c>
      <c r="J254" s="750" t="str">
        <f>E_EnergyFlows!J103</f>
        <v/>
      </c>
      <c r="K254" s="258" t="str">
        <f>E_EnergyFlows!K103</f>
        <v/>
      </c>
      <c r="L254" s="258" t="str">
        <f>E_EnergyFlows!L103</f>
        <v/>
      </c>
      <c r="M254" s="258" t="str">
        <f>E_EnergyFlows!M103</f>
        <v/>
      </c>
      <c r="N254" s="258" t="str">
        <f>E_EnergyFlows!N103</f>
        <v/>
      </c>
      <c r="O254" s="19"/>
      <c r="P254" s="349"/>
      <c r="Q254" s="349"/>
      <c r="R254" s="349"/>
      <c r="S254" s="349"/>
      <c r="T254" s="343"/>
      <c r="U254" s="349"/>
      <c r="V254" s="349"/>
    </row>
    <row r="255" spans="1:22" ht="5.15" customHeight="1" x14ac:dyDescent="0.25">
      <c r="A255" s="349"/>
      <c r="B255" s="3"/>
      <c r="C255" s="3"/>
      <c r="D255" s="3"/>
      <c r="E255" s="3"/>
      <c r="F255" s="3"/>
      <c r="G255" s="3"/>
      <c r="H255" s="3"/>
      <c r="I255" s="3"/>
      <c r="J255" s="3"/>
      <c r="K255" s="3"/>
      <c r="L255" s="3"/>
      <c r="M255" s="3"/>
      <c r="N255" s="3"/>
      <c r="O255" s="19"/>
      <c r="P255" s="410"/>
      <c r="Q255" s="349"/>
      <c r="R255" s="349"/>
      <c r="S255" s="349"/>
      <c r="T255" s="343"/>
      <c r="U255" s="349"/>
      <c r="V255" s="349"/>
    </row>
    <row r="256" spans="1:22" ht="13" customHeight="1" x14ac:dyDescent="0.25">
      <c r="A256" s="349"/>
      <c r="B256" s="3"/>
      <c r="C256" s="13"/>
      <c r="D256" s="13" t="str">
        <f>E_EnergyFlows!D105</f>
        <v>(c)</v>
      </c>
      <c r="E256" s="2106" t="str">
        <f>E_EnergyFlows!E105</f>
        <v>Mätbar värme som importeras från anläggningar och enheter utanför ETS (icke-berättigande för värmeriktmärke):</v>
      </c>
      <c r="F256" s="1960"/>
      <c r="G256" s="1960"/>
      <c r="H256" s="1960"/>
      <c r="I256" s="1960"/>
      <c r="J256" s="1960"/>
      <c r="K256" s="1960"/>
      <c r="L256" s="1960"/>
      <c r="M256" s="1960"/>
      <c r="N256" s="1960"/>
      <c r="O256" s="19"/>
      <c r="P256" s="410"/>
      <c r="Q256" s="349"/>
      <c r="R256" s="349"/>
      <c r="S256" s="349"/>
      <c r="T256" s="343"/>
      <c r="U256" s="349"/>
      <c r="V256" s="349"/>
    </row>
    <row r="257" spans="1:22" ht="13" customHeight="1" x14ac:dyDescent="0.25">
      <c r="A257" s="349"/>
      <c r="B257" s="19"/>
      <c r="C257" s="19"/>
      <c r="D257" s="19"/>
      <c r="E257" s="2062" t="str">
        <f>E_EnergyFlows!E110</f>
        <v>Anläggningens eller enhetens namn</v>
      </c>
      <c r="F257" s="2497"/>
      <c r="G257" s="30" t="str">
        <f>E_EnergyFlows!G110</f>
        <v>Enhet</v>
      </c>
      <c r="H257" s="320">
        <f>E_EnergyFlows!H110</f>
        <v>2019</v>
      </c>
      <c r="I257" s="320">
        <f>E_EnergyFlows!I110</f>
        <v>2020</v>
      </c>
      <c r="J257" s="320">
        <f>E_EnergyFlows!J110</f>
        <v>2021</v>
      </c>
      <c r="K257" s="320">
        <f>E_EnergyFlows!K110</f>
        <v>2022</v>
      </c>
      <c r="L257" s="320">
        <f>E_EnergyFlows!L110</f>
        <v>2023</v>
      </c>
      <c r="M257" s="320">
        <f>E_EnergyFlows!M110</f>
        <v>2024</v>
      </c>
      <c r="N257" s="320">
        <f>E_EnergyFlows!N110</f>
        <v>2025</v>
      </c>
      <c r="O257" s="19"/>
      <c r="P257" s="349"/>
      <c r="Q257" s="349"/>
      <c r="R257" s="349"/>
      <c r="S257" s="349"/>
      <c r="T257" s="343"/>
      <c r="U257" s="349"/>
      <c r="V257" s="349"/>
    </row>
    <row r="258" spans="1:22" x14ac:dyDescent="0.25">
      <c r="A258" s="349"/>
      <c r="B258" s="19"/>
      <c r="C258" s="175"/>
      <c r="D258" s="175"/>
      <c r="E258" s="2783" t="str">
        <f>IF(ISBLANK(E_EnergyFlows!E111),"",E_EnergyFlows!E111)</f>
        <v/>
      </c>
      <c r="F258" s="2484"/>
      <c r="G258" s="32" t="str">
        <f>E_EnergyFlows!G111</f>
        <v>TJ / år</v>
      </c>
      <c r="H258" s="751" t="str">
        <f>IF(ISBLANK(E_EnergyFlows!H111),"",E_EnergyFlows!H111)</f>
        <v/>
      </c>
      <c r="I258" s="751" t="str">
        <f>IF(ISBLANK(E_EnergyFlows!I111),"",E_EnergyFlows!I111)</f>
        <v/>
      </c>
      <c r="J258" s="751" t="str">
        <f>IF(ISBLANK(E_EnergyFlows!J111),"",E_EnergyFlows!J111)</f>
        <v/>
      </c>
      <c r="K258" s="536" t="str">
        <f>IF(ISBLANK(E_EnergyFlows!K111),"",E_EnergyFlows!K111)</f>
        <v/>
      </c>
      <c r="L258" s="536" t="str">
        <f>IF(ISBLANK(E_EnergyFlows!L111),"",E_EnergyFlows!L111)</f>
        <v/>
      </c>
      <c r="M258" s="536" t="str">
        <f>IF(ISBLANK(E_EnergyFlows!M111),"",E_EnergyFlows!M111)</f>
        <v/>
      </c>
      <c r="N258" s="647" t="str">
        <f>IF(ISBLANK(E_EnergyFlows!N111),"",E_EnergyFlows!N111)</f>
        <v/>
      </c>
      <c r="O258" s="19"/>
      <c r="P258" s="349"/>
      <c r="Q258" s="349"/>
      <c r="R258" s="349"/>
      <c r="S258" s="349"/>
      <c r="T258" s="343"/>
      <c r="U258" s="349"/>
      <c r="V258" s="349"/>
    </row>
    <row r="259" spans="1:22" x14ac:dyDescent="0.25">
      <c r="A259" s="349"/>
      <c r="B259" s="19"/>
      <c r="C259" s="175"/>
      <c r="D259" s="175"/>
      <c r="E259" s="2780" t="str">
        <f>IF(ISBLANK(E_EnergyFlows!E112),"",E_EnergyFlows!E112)</f>
        <v/>
      </c>
      <c r="F259" s="2476"/>
      <c r="G259" s="33" t="str">
        <f>E_EnergyFlows!G112</f>
        <v>TJ / år</v>
      </c>
      <c r="H259" s="752" t="str">
        <f>IF(ISBLANK(E_EnergyFlows!H112),"",E_EnergyFlows!H112)</f>
        <v/>
      </c>
      <c r="I259" s="752" t="str">
        <f>IF(ISBLANK(E_EnergyFlows!I112),"",E_EnergyFlows!I112)</f>
        <v/>
      </c>
      <c r="J259" s="752" t="str">
        <f>IF(ISBLANK(E_EnergyFlows!J112),"",E_EnergyFlows!J112)</f>
        <v/>
      </c>
      <c r="K259" s="412" t="str">
        <f>IF(ISBLANK(E_EnergyFlows!K112),"",E_EnergyFlows!K112)</f>
        <v/>
      </c>
      <c r="L259" s="412" t="str">
        <f>IF(ISBLANK(E_EnergyFlows!L112),"",E_EnergyFlows!L112)</f>
        <v/>
      </c>
      <c r="M259" s="412" t="str">
        <f>IF(ISBLANK(E_EnergyFlows!M112),"",E_EnergyFlows!M112)</f>
        <v/>
      </c>
      <c r="N259" s="648" t="str">
        <f>IF(ISBLANK(E_EnergyFlows!N112),"",E_EnergyFlows!N112)</f>
        <v/>
      </c>
      <c r="O259" s="19"/>
      <c r="P259" s="349"/>
      <c r="Q259" s="349"/>
      <c r="R259" s="349"/>
      <c r="S259" s="349"/>
      <c r="T259" s="343"/>
      <c r="U259" s="349"/>
      <c r="V259" s="349"/>
    </row>
    <row r="260" spans="1:22" x14ac:dyDescent="0.25">
      <c r="A260" s="349"/>
      <c r="B260" s="19"/>
      <c r="C260" s="175"/>
      <c r="D260" s="175"/>
      <c r="E260" s="2781" t="str">
        <f>IF(ISBLANK(E_EnergyFlows!E113),"",E_EnergyFlows!E113)</f>
        <v/>
      </c>
      <c r="F260" s="2487"/>
      <c r="G260" s="36" t="str">
        <f>E_EnergyFlows!G113</f>
        <v>TJ / år</v>
      </c>
      <c r="H260" s="753" t="str">
        <f>IF(ISBLANK(E_EnergyFlows!H113),"",E_EnergyFlows!H113)</f>
        <v/>
      </c>
      <c r="I260" s="753" t="str">
        <f>IF(ISBLANK(E_EnergyFlows!I113),"",E_EnergyFlows!I113)</f>
        <v/>
      </c>
      <c r="J260" s="753" t="str">
        <f>IF(ISBLANK(E_EnergyFlows!J113),"",E_EnergyFlows!J113)</f>
        <v/>
      </c>
      <c r="K260" s="537" t="str">
        <f>IF(ISBLANK(E_EnergyFlows!K113),"",E_EnergyFlows!K113)</f>
        <v/>
      </c>
      <c r="L260" s="537" t="str">
        <f>IF(ISBLANK(E_EnergyFlows!L113),"",E_EnergyFlows!L113)</f>
        <v/>
      </c>
      <c r="M260" s="537" t="str">
        <f>IF(ISBLANK(E_EnergyFlows!M113),"",E_EnergyFlows!M113)</f>
        <v/>
      </c>
      <c r="N260" s="649" t="str">
        <f>IF(ISBLANK(E_EnergyFlows!N113),"",E_EnergyFlows!N113)</f>
        <v/>
      </c>
      <c r="O260" s="19"/>
      <c r="P260" s="349"/>
      <c r="Q260" s="349"/>
      <c r="R260" s="349"/>
      <c r="S260" s="349"/>
      <c r="T260" s="343"/>
      <c r="U260" s="349"/>
      <c r="V260" s="349"/>
    </row>
    <row r="261" spans="1:22" x14ac:dyDescent="0.25">
      <c r="A261" s="349"/>
      <c r="B261" s="19"/>
      <c r="C261" s="175"/>
      <c r="D261" s="175"/>
      <c r="E261" s="2496" t="str">
        <f>E_EnergyFlows!E114</f>
        <v>Delsumma</v>
      </c>
      <c r="F261" s="1997"/>
      <c r="G261" s="47" t="str">
        <f>E_EnergyFlows!G114</f>
        <v>TJ / år</v>
      </c>
      <c r="H261" s="750" t="str">
        <f>E_EnergyFlows!H114</f>
        <v/>
      </c>
      <c r="I261" s="750" t="str">
        <f>E_EnergyFlows!I114</f>
        <v/>
      </c>
      <c r="J261" s="750" t="str">
        <f>E_EnergyFlows!J114</f>
        <v/>
      </c>
      <c r="K261" s="258" t="str">
        <f>E_EnergyFlows!K114</f>
        <v/>
      </c>
      <c r="L261" s="258" t="str">
        <f>E_EnergyFlows!L114</f>
        <v/>
      </c>
      <c r="M261" s="258" t="str">
        <f>E_EnergyFlows!M114</f>
        <v/>
      </c>
      <c r="N261" s="257" t="str">
        <f>E_EnergyFlows!N114</f>
        <v/>
      </c>
      <c r="O261" s="19"/>
      <c r="P261" s="349"/>
      <c r="Q261" s="349"/>
      <c r="R261" s="349"/>
      <c r="S261" s="349"/>
      <c r="T261" s="343"/>
      <c r="U261" s="349"/>
      <c r="V261" s="349"/>
    </row>
    <row r="262" spans="1:22" ht="5.15" customHeight="1" x14ac:dyDescent="0.25">
      <c r="A262" s="349"/>
      <c r="B262" s="3"/>
      <c r="C262" s="3"/>
      <c r="D262" s="3"/>
      <c r="E262" s="3"/>
      <c r="F262" s="3"/>
      <c r="G262" s="3"/>
      <c r="H262" s="3"/>
      <c r="I262" s="3"/>
      <c r="J262" s="3"/>
      <c r="K262" s="3"/>
      <c r="L262" s="3"/>
      <c r="M262" s="3"/>
      <c r="N262" s="3"/>
      <c r="O262" s="19"/>
      <c r="P262" s="410"/>
      <c r="Q262" s="349"/>
      <c r="R262" s="349"/>
      <c r="S262" s="349"/>
      <c r="T262" s="343"/>
      <c r="U262" s="349"/>
      <c r="V262" s="349"/>
    </row>
    <row r="263" spans="1:22" ht="13" customHeight="1" x14ac:dyDescent="0.25">
      <c r="A263" s="349"/>
      <c r="B263" s="3"/>
      <c r="C263" s="13"/>
      <c r="D263" s="13" t="str">
        <f>E_EnergyFlows!D116</f>
        <v>(d)</v>
      </c>
      <c r="E263" s="2062" t="str">
        <f>E_EnergyFlows!E116</f>
        <v>Mätbar värme som produceras från el</v>
      </c>
      <c r="F263" s="2497"/>
      <c r="G263" s="2497"/>
      <c r="H263" s="2497"/>
      <c r="I263" s="2497"/>
      <c r="J263" s="2497"/>
      <c r="K263" s="2497"/>
      <c r="L263" s="2497"/>
      <c r="M263" s="2497"/>
      <c r="N263" s="2497"/>
      <c r="O263" s="19"/>
      <c r="P263" s="410"/>
      <c r="Q263" s="349"/>
      <c r="R263" s="349"/>
      <c r="S263" s="349"/>
      <c r="T263" s="343"/>
      <c r="U263" s="349"/>
      <c r="V263" s="349"/>
    </row>
    <row r="264" spans="1:22" ht="12.65" customHeight="1" x14ac:dyDescent="0.25">
      <c r="A264" s="349"/>
      <c r="B264" s="19"/>
      <c r="C264" s="19"/>
      <c r="D264" s="19"/>
      <c r="E264" s="2129" t="str">
        <f>E_EnergyFlows!E119</f>
        <v>Värme från el</v>
      </c>
      <c r="F264" s="1997"/>
      <c r="G264" s="43" t="str">
        <f>E_EnergyFlows!G119</f>
        <v>TJ / år</v>
      </c>
      <c r="H264" s="750" t="str">
        <f>IF(ISBLANK(E_EnergyFlows!H119),"",E_EnergyFlows!H119)</f>
        <v/>
      </c>
      <c r="I264" s="750" t="str">
        <f>IF(ISBLANK(E_EnergyFlows!I119),"",E_EnergyFlows!I119)</f>
        <v/>
      </c>
      <c r="J264" s="750" t="str">
        <f>IF(ISBLANK(E_EnergyFlows!J119),"",E_EnergyFlows!J119)</f>
        <v/>
      </c>
      <c r="K264" s="351" t="str">
        <f>IF(ISBLANK(E_EnergyFlows!K119),"",E_EnergyFlows!K119)</f>
        <v/>
      </c>
      <c r="L264" s="351" t="str">
        <f>IF(ISBLANK(E_EnergyFlows!L119),"",E_EnergyFlows!L119)</f>
        <v/>
      </c>
      <c r="M264" s="351" t="str">
        <f>IF(ISBLANK(E_EnergyFlows!M119),"",E_EnergyFlows!M119)</f>
        <v/>
      </c>
      <c r="N264" s="351" t="str">
        <f>IF(ISBLANK(E_EnergyFlows!N119),"",E_EnergyFlows!N119)</f>
        <v/>
      </c>
      <c r="O264" s="19"/>
      <c r="P264" s="349"/>
      <c r="Q264" s="349"/>
      <c r="R264" s="349"/>
      <c r="S264" s="349"/>
      <c r="T264" s="343"/>
      <c r="U264" s="349"/>
      <c r="V264" s="349"/>
    </row>
    <row r="265" spans="1:22" ht="5.15" customHeight="1" x14ac:dyDescent="0.25">
      <c r="A265" s="349"/>
      <c r="B265" s="3"/>
      <c r="C265" s="3"/>
      <c r="D265" s="3"/>
      <c r="E265" s="3"/>
      <c r="F265" s="3"/>
      <c r="G265" s="3"/>
      <c r="H265" s="3"/>
      <c r="I265" s="3"/>
      <c r="J265" s="3"/>
      <c r="K265" s="3"/>
      <c r="L265" s="3"/>
      <c r="M265" s="3"/>
      <c r="N265" s="3"/>
      <c r="O265" s="19"/>
      <c r="P265" s="410"/>
      <c r="Q265" s="349"/>
      <c r="R265" s="349"/>
      <c r="S265" s="349"/>
      <c r="T265" s="343"/>
      <c r="U265" s="349"/>
      <c r="V265" s="349"/>
    </row>
    <row r="266" spans="1:22" ht="13" customHeight="1" x14ac:dyDescent="0.25">
      <c r="A266" s="349"/>
      <c r="B266" s="3"/>
      <c r="C266" s="13"/>
      <c r="D266" s="13" t="str">
        <f>E_EnergyFlows!D121</f>
        <v>(e)</v>
      </c>
      <c r="E266" s="2062" t="str">
        <f>E_EnergyFlows!E121</f>
        <v>Summa av mätbar värme vid anläggningen (= a+b+c)</v>
      </c>
      <c r="F266" s="2497"/>
      <c r="G266" s="2497"/>
      <c r="H266" s="2497"/>
      <c r="I266" s="2497"/>
      <c r="J266" s="2497"/>
      <c r="K266" s="2497"/>
      <c r="L266" s="2497"/>
      <c r="M266" s="2497"/>
      <c r="N266" s="2497"/>
      <c r="O266" s="19"/>
      <c r="P266" s="410"/>
      <c r="Q266" s="349"/>
      <c r="R266" s="349"/>
      <c r="S266" s="349"/>
      <c r="T266" s="343"/>
      <c r="U266" s="349"/>
      <c r="V266" s="349"/>
    </row>
    <row r="267" spans="1:22" ht="12.65" customHeight="1" x14ac:dyDescent="0.25">
      <c r="A267" s="349"/>
      <c r="B267" s="19"/>
      <c r="C267" s="19"/>
      <c r="D267" s="19"/>
      <c r="E267" s="2496" t="str">
        <f>E_EnergyFlows!E122</f>
        <v>Total mätbar värme</v>
      </c>
      <c r="F267" s="1997"/>
      <c r="G267" s="47" t="str">
        <f>E_EnergyFlows!G122</f>
        <v>TJ / år</v>
      </c>
      <c r="H267" s="750" t="str">
        <f>E_EnergyFlows!H122</f>
        <v/>
      </c>
      <c r="I267" s="750" t="str">
        <f>E_EnergyFlows!I122</f>
        <v/>
      </c>
      <c r="J267" s="750" t="str">
        <f>E_EnergyFlows!J122</f>
        <v/>
      </c>
      <c r="K267" s="258" t="str">
        <f>E_EnergyFlows!K122</f>
        <v/>
      </c>
      <c r="L267" s="258" t="str">
        <f>E_EnergyFlows!L122</f>
        <v/>
      </c>
      <c r="M267" s="258" t="str">
        <f>E_EnergyFlows!M122</f>
        <v/>
      </c>
      <c r="N267" s="258" t="str">
        <f>E_EnergyFlows!N122</f>
        <v/>
      </c>
      <c r="O267" s="19"/>
      <c r="P267" s="349"/>
      <c r="Q267" s="349"/>
      <c r="R267" s="349"/>
      <c r="S267" s="349"/>
      <c r="T267" s="343"/>
      <c r="U267" s="349"/>
      <c r="V267" s="349"/>
    </row>
    <row r="268" spans="1:22" ht="5.15" customHeight="1" x14ac:dyDescent="0.25">
      <c r="A268" s="349"/>
      <c r="B268" s="3"/>
      <c r="C268" s="3"/>
      <c r="D268" s="3"/>
      <c r="E268" s="3"/>
      <c r="F268" s="3"/>
      <c r="G268" s="3"/>
      <c r="H268" s="3"/>
      <c r="I268" s="3"/>
      <c r="J268" s="3"/>
      <c r="K268" s="3"/>
      <c r="L268" s="3"/>
      <c r="M268" s="3"/>
      <c r="N268" s="3"/>
      <c r="O268" s="19"/>
      <c r="P268" s="410"/>
      <c r="Q268" s="349"/>
      <c r="R268" s="349"/>
      <c r="S268" s="349"/>
      <c r="T268" s="343"/>
      <c r="U268" s="349"/>
      <c r="V268" s="349"/>
    </row>
    <row r="269" spans="1:22" ht="13" customHeight="1" x14ac:dyDescent="0.25">
      <c r="A269" s="349"/>
      <c r="B269" s="3"/>
      <c r="C269" s="13"/>
      <c r="D269" s="13" t="str">
        <f>E_EnergyFlows!D124</f>
        <v>(f)</v>
      </c>
      <c r="E269" s="2062" t="str">
        <f>E_EnergyFlows!E124</f>
        <v>Kvoten mellan ”ETS-värme” och ”total värme”</v>
      </c>
      <c r="F269" s="2497"/>
      <c r="G269" s="2497"/>
      <c r="H269" s="2497"/>
      <c r="I269" s="2497"/>
      <c r="J269" s="2497"/>
      <c r="K269" s="2497"/>
      <c r="L269" s="2497"/>
      <c r="M269" s="2497"/>
      <c r="N269" s="2497"/>
      <c r="O269" s="19"/>
      <c r="P269" s="410"/>
      <c r="Q269" s="349"/>
      <c r="R269" s="349"/>
      <c r="S269" s="349"/>
      <c r="T269" s="343"/>
      <c r="U269" s="349"/>
      <c r="V269" s="349"/>
    </row>
    <row r="270" spans="1:22" ht="12.65" customHeight="1" x14ac:dyDescent="0.25">
      <c r="A270" s="349"/>
      <c r="B270" s="19"/>
      <c r="C270" s="19"/>
      <c r="D270" s="19"/>
      <c r="E270" s="2496" t="str">
        <f>E_EnergyFlows!E128</f>
        <v>Värmetillförselkvot (a+b)/(a+b+c):</v>
      </c>
      <c r="F270" s="1997"/>
      <c r="G270" s="47" t="str">
        <f>E_EnergyFlows!G128</f>
        <v>%</v>
      </c>
      <c r="H270" s="754" t="str">
        <f>E_EnergyFlows!H128</f>
        <v/>
      </c>
      <c r="I270" s="754" t="str">
        <f>E_EnergyFlows!I128</f>
        <v/>
      </c>
      <c r="J270" s="754" t="str">
        <f>E_EnergyFlows!J128</f>
        <v/>
      </c>
      <c r="K270" s="255" t="str">
        <f>E_EnergyFlows!K128</f>
        <v/>
      </c>
      <c r="L270" s="255" t="str">
        <f>E_EnergyFlows!L128</f>
        <v/>
      </c>
      <c r="M270" s="255" t="str">
        <f>E_EnergyFlows!M128</f>
        <v/>
      </c>
      <c r="N270" s="255" t="str">
        <f>E_EnergyFlows!N128</f>
        <v/>
      </c>
      <c r="O270" s="19"/>
      <c r="P270" s="349"/>
      <c r="Q270" s="349"/>
      <c r="R270" s="349"/>
      <c r="S270" s="349"/>
      <c r="T270" s="343"/>
      <c r="U270" s="349"/>
      <c r="V270" s="349"/>
    </row>
    <row r="271" spans="1:22" ht="5.15" customHeight="1" x14ac:dyDescent="0.25">
      <c r="A271" s="349"/>
      <c r="B271" s="3"/>
      <c r="C271" s="3"/>
      <c r="D271" s="3"/>
      <c r="E271" s="3"/>
      <c r="F271" s="3"/>
      <c r="G271" s="3"/>
      <c r="H271" s="3"/>
      <c r="I271" s="3"/>
      <c r="J271" s="3"/>
      <c r="K271" s="3"/>
      <c r="L271" s="3"/>
      <c r="M271" s="3"/>
      <c r="N271" s="3"/>
      <c r="O271" s="19"/>
      <c r="P271" s="410"/>
      <c r="Q271" s="349"/>
      <c r="R271" s="349"/>
      <c r="S271" s="349"/>
      <c r="T271" s="343"/>
      <c r="U271" s="349"/>
      <c r="V271" s="349"/>
    </row>
    <row r="272" spans="1:22" ht="13" customHeight="1" x14ac:dyDescent="0.25">
      <c r="A272" s="349"/>
      <c r="B272" s="3"/>
      <c r="C272" s="13"/>
      <c r="D272" s="13" t="str">
        <f>E_EnergyFlows!D135</f>
        <v>(g)</v>
      </c>
      <c r="E272" s="2106" t="str">
        <f>E_EnergyFlows!E135</f>
        <v>Mätbar värme som används för elproduktion vid anläggningen (icke-berättigande för värmeriktmärke):</v>
      </c>
      <c r="F272" s="1960"/>
      <c r="G272" s="1960"/>
      <c r="H272" s="1960"/>
      <c r="I272" s="1960"/>
      <c r="J272" s="1960"/>
      <c r="K272" s="1960"/>
      <c r="L272" s="1960"/>
      <c r="M272" s="1960"/>
      <c r="N272" s="1960"/>
      <c r="O272" s="19"/>
      <c r="P272" s="410"/>
      <c r="Q272" s="349"/>
      <c r="R272" s="349"/>
      <c r="S272" s="349"/>
      <c r="T272" s="343"/>
      <c r="U272" s="349"/>
      <c r="V272" s="349"/>
    </row>
    <row r="273" spans="1:22" ht="13" x14ac:dyDescent="0.25">
      <c r="A273" s="349"/>
      <c r="B273" s="19"/>
      <c r="C273" s="19"/>
      <c r="D273" s="19"/>
      <c r="E273" s="24"/>
      <c r="F273" s="21"/>
      <c r="G273" s="30"/>
      <c r="H273" s="320">
        <f>E_EnergyFlows!H138</f>
        <v>2019</v>
      </c>
      <c r="I273" s="320">
        <f>E_EnergyFlows!I138</f>
        <v>2020</v>
      </c>
      <c r="J273" s="320">
        <f>E_EnergyFlows!J138</f>
        <v>2021</v>
      </c>
      <c r="K273" s="320">
        <f>E_EnergyFlows!K138</f>
        <v>2022</v>
      </c>
      <c r="L273" s="320">
        <f>E_EnergyFlows!L138</f>
        <v>2023</v>
      </c>
      <c r="M273" s="320">
        <f>E_EnergyFlows!M138</f>
        <v>2024</v>
      </c>
      <c r="N273" s="320">
        <f>E_EnergyFlows!N138</f>
        <v>2025</v>
      </c>
      <c r="O273" s="19"/>
      <c r="P273" s="349"/>
      <c r="Q273" s="349"/>
      <c r="R273" s="349"/>
      <c r="S273" s="349"/>
      <c r="T273" s="343"/>
      <c r="U273" s="349"/>
      <c r="V273" s="349"/>
    </row>
    <row r="274" spans="1:22" ht="12.65" customHeight="1" x14ac:dyDescent="0.25">
      <c r="A274" s="349"/>
      <c r="B274" s="19"/>
      <c r="C274" s="175"/>
      <c r="D274" s="175"/>
      <c r="E274" s="2496" t="str">
        <f>E_EnergyFlows!E139</f>
        <v>Värme som används för elproduktion</v>
      </c>
      <c r="F274" s="1997"/>
      <c r="G274" s="47" t="str">
        <f>E_EnergyFlows!G139</f>
        <v>TJ / år</v>
      </c>
      <c r="H274" s="750" t="str">
        <f>IF(ISBLANK(E_EnergyFlows!H139),"",E_EnergyFlows!H139)</f>
        <v/>
      </c>
      <c r="I274" s="750" t="str">
        <f>IF(ISBLANK(E_EnergyFlows!I139),"",E_EnergyFlows!I139)</f>
        <v/>
      </c>
      <c r="J274" s="750" t="str">
        <f>IF(ISBLANK(E_EnergyFlows!J139),"",E_EnergyFlows!J139)</f>
        <v/>
      </c>
      <c r="K274" s="351" t="str">
        <f>IF(ISBLANK(E_EnergyFlows!K139),"",E_EnergyFlows!K139)</f>
        <v/>
      </c>
      <c r="L274" s="351" t="str">
        <f>IF(ISBLANK(E_EnergyFlows!L139),"",E_EnergyFlows!L139)</f>
        <v/>
      </c>
      <c r="M274" s="351" t="str">
        <f>IF(ISBLANK(E_EnergyFlows!M139),"",E_EnergyFlows!M139)</f>
        <v/>
      </c>
      <c r="N274" s="351" t="str">
        <f>IF(ISBLANK(E_EnergyFlows!N139),"",E_EnergyFlows!N139)</f>
        <v/>
      </c>
      <c r="O274" s="19"/>
      <c r="P274" s="410"/>
      <c r="Q274" s="410"/>
      <c r="R274" s="410"/>
      <c r="S274" s="410"/>
      <c r="T274" s="343"/>
      <c r="U274" s="349"/>
      <c r="V274" s="349"/>
    </row>
    <row r="275" spans="1:22" ht="12.65" customHeight="1" x14ac:dyDescent="0.25">
      <c r="A275" s="349"/>
      <c r="B275" s="19"/>
      <c r="C275" s="175"/>
      <c r="D275" s="175"/>
      <c r="E275" s="2496" t="str">
        <f>E_EnergyFlows!E140</f>
        <v>Mängd värme från källor utanför ETS</v>
      </c>
      <c r="F275" s="1997"/>
      <c r="G275" s="174" t="str">
        <f>E_EnergyFlows!G140</f>
        <v>TJ / år</v>
      </c>
      <c r="H275" s="754" t="str">
        <f>E_EnergyFlows!H140</f>
        <v/>
      </c>
      <c r="I275" s="754" t="str">
        <f>E_EnergyFlows!I140</f>
        <v/>
      </c>
      <c r="J275" s="754" t="str">
        <f>E_EnergyFlows!J140</f>
        <v/>
      </c>
      <c r="K275" s="255" t="str">
        <f>E_EnergyFlows!K140</f>
        <v/>
      </c>
      <c r="L275" s="255" t="str">
        <f>E_EnergyFlows!L140</f>
        <v/>
      </c>
      <c r="M275" s="255" t="str">
        <f>E_EnergyFlows!M140</f>
        <v/>
      </c>
      <c r="N275" s="255" t="str">
        <f>E_EnergyFlows!N140</f>
        <v/>
      </c>
      <c r="O275" s="19"/>
      <c r="P275" s="410"/>
      <c r="Q275" s="410"/>
      <c r="R275" s="410"/>
      <c r="S275" s="410"/>
      <c r="T275" s="343"/>
      <c r="U275" s="349"/>
      <c r="V275" s="349"/>
    </row>
    <row r="276" spans="1:22" ht="12.65" customHeight="1" x14ac:dyDescent="0.25">
      <c r="A276" s="349"/>
      <c r="B276" s="19"/>
      <c r="C276" s="175"/>
      <c r="D276" s="175"/>
      <c r="E276" s="2496" t="str">
        <f>E_EnergyFlows!E141</f>
        <v>Manuell överskrivning av (ii)</v>
      </c>
      <c r="F276" s="1997"/>
      <c r="G276" s="174" t="str">
        <f>E_EnergyFlows!G141</f>
        <v>TJ / år</v>
      </c>
      <c r="H276" s="750" t="str">
        <f>IF(ISBLANK(E_EnergyFlows!H141),"",E_EnergyFlows!H141)</f>
        <v/>
      </c>
      <c r="I276" s="750" t="str">
        <f>IF(ISBLANK(E_EnergyFlows!I141),"",E_EnergyFlows!I141)</f>
        <v/>
      </c>
      <c r="J276" s="750" t="str">
        <f>IF(ISBLANK(E_EnergyFlows!J141),"",E_EnergyFlows!J141)</f>
        <v/>
      </c>
      <c r="K276" s="351" t="str">
        <f>IF(ISBLANK(E_EnergyFlows!K141),"",E_EnergyFlows!K141)</f>
        <v/>
      </c>
      <c r="L276" s="351" t="str">
        <f>IF(ISBLANK(E_EnergyFlows!L141),"",E_EnergyFlows!L141)</f>
        <v/>
      </c>
      <c r="M276" s="351" t="str">
        <f>IF(ISBLANK(E_EnergyFlows!M141),"",E_EnergyFlows!M141)</f>
        <v/>
      </c>
      <c r="N276" s="351" t="str">
        <f>IF(ISBLANK(E_EnergyFlows!N141),"",E_EnergyFlows!N141)</f>
        <v/>
      </c>
      <c r="O276" s="19"/>
      <c r="P276" s="410"/>
      <c r="Q276" s="410"/>
      <c r="R276" s="410"/>
      <c r="S276" s="410"/>
      <c r="T276" s="343"/>
      <c r="U276" s="349"/>
      <c r="V276" s="349"/>
    </row>
    <row r="277" spans="1:22" ht="5.15" customHeight="1" x14ac:dyDescent="0.25">
      <c r="A277" s="349"/>
      <c r="B277" s="3"/>
      <c r="C277" s="3"/>
      <c r="D277" s="3"/>
      <c r="E277" s="3"/>
      <c r="F277" s="3"/>
      <c r="G277" s="3"/>
      <c r="H277" s="3"/>
      <c r="I277" s="3"/>
      <c r="J277" s="3"/>
      <c r="K277" s="3"/>
      <c r="L277" s="3"/>
      <c r="M277" s="3"/>
      <c r="N277" s="3"/>
      <c r="O277" s="19"/>
      <c r="P277" s="410"/>
      <c r="Q277" s="410"/>
      <c r="R277" s="410"/>
      <c r="S277" s="410"/>
      <c r="T277" s="343"/>
      <c r="U277" s="349"/>
      <c r="V277" s="349"/>
    </row>
    <row r="278" spans="1:22" ht="13" customHeight="1" x14ac:dyDescent="0.25">
      <c r="A278" s="349"/>
      <c r="B278" s="3"/>
      <c r="C278" s="13"/>
      <c r="D278" s="13" t="str">
        <f>E_EnergyFlows!D143</f>
        <v>(h)</v>
      </c>
      <c r="E278" s="2106" t="str">
        <f>E_EnergyFlows!E143</f>
        <v>Mätbar värme som används för delanläggningar med produktriktmärke inom anläggningen (icke-berättigande för värmeriktmärke):</v>
      </c>
      <c r="F278" s="1960"/>
      <c r="G278" s="1960"/>
      <c r="H278" s="1960"/>
      <c r="I278" s="1960"/>
      <c r="J278" s="1960"/>
      <c r="K278" s="1960"/>
      <c r="L278" s="1960"/>
      <c r="M278" s="1960"/>
      <c r="N278" s="1960"/>
      <c r="O278" s="19"/>
      <c r="P278" s="410"/>
      <c r="Q278" s="410"/>
      <c r="R278" s="410"/>
      <c r="S278" s="410"/>
      <c r="T278" s="343"/>
      <c r="U278" s="349"/>
      <c r="V278" s="349"/>
    </row>
    <row r="279" spans="1:22" ht="13" x14ac:dyDescent="0.25">
      <c r="A279" s="349"/>
      <c r="B279" s="19"/>
      <c r="C279" s="19"/>
      <c r="D279" s="19"/>
      <c r="E279" s="24"/>
      <c r="F279" s="21"/>
      <c r="G279" s="30" t="str">
        <f>E_EnergyFlows!G146</f>
        <v>Enhet</v>
      </c>
      <c r="H279" s="320">
        <f>E_EnergyFlows!H146</f>
        <v>2019</v>
      </c>
      <c r="I279" s="320">
        <f>E_EnergyFlows!I146</f>
        <v>2020</v>
      </c>
      <c r="J279" s="320">
        <f>E_EnergyFlows!J146</f>
        <v>2021</v>
      </c>
      <c r="K279" s="320">
        <f>E_EnergyFlows!K146</f>
        <v>2022</v>
      </c>
      <c r="L279" s="320">
        <f>E_EnergyFlows!L146</f>
        <v>2023</v>
      </c>
      <c r="M279" s="320">
        <f>E_EnergyFlows!M146</f>
        <v>2024</v>
      </c>
      <c r="N279" s="320">
        <f>E_EnergyFlows!N146</f>
        <v>2025</v>
      </c>
      <c r="O279" s="19"/>
      <c r="P279" s="410"/>
      <c r="Q279" s="410"/>
      <c r="R279" s="410"/>
      <c r="S279" s="410"/>
      <c r="T279" s="343"/>
      <c r="U279" s="349"/>
      <c r="V279" s="349"/>
    </row>
    <row r="280" spans="1:22" ht="12.75" customHeight="1" x14ac:dyDescent="0.25">
      <c r="A280" s="349"/>
      <c r="B280" s="19"/>
      <c r="C280" s="19"/>
      <c r="D280" s="289"/>
      <c r="E280" s="2783" t="str">
        <f>E_EnergyFlows!E147</f>
        <v/>
      </c>
      <c r="F280" s="2484"/>
      <c r="G280" s="352" t="str">
        <f>E_EnergyFlows!G147</f>
        <v>TJ / år</v>
      </c>
      <c r="H280" s="751" t="str">
        <f>IF(ISBLANK(E_EnergyFlows!H147),"",E_EnergyFlows!H147)</f>
        <v/>
      </c>
      <c r="I280" s="751" t="str">
        <f>IF(ISBLANK(E_EnergyFlows!I147),"",E_EnergyFlows!I147)</f>
        <v/>
      </c>
      <c r="J280" s="751" t="str">
        <f>IF(ISBLANK(E_EnergyFlows!J147),"",E_EnergyFlows!J147)</f>
        <v/>
      </c>
      <c r="K280" s="536" t="str">
        <f>IF(ISBLANK(E_EnergyFlows!K147),"",E_EnergyFlows!K147)</f>
        <v/>
      </c>
      <c r="L280" s="536" t="str">
        <f>IF(ISBLANK(E_EnergyFlows!L147),"",E_EnergyFlows!L147)</f>
        <v/>
      </c>
      <c r="M280" s="536" t="str">
        <f>IF(ISBLANK(E_EnergyFlows!M147),"",E_EnergyFlows!M147)</f>
        <v/>
      </c>
      <c r="N280" s="536" t="str">
        <f>IF(ISBLANK(E_EnergyFlows!N147),"",E_EnergyFlows!N147)</f>
        <v/>
      </c>
      <c r="O280" s="19"/>
      <c r="P280" s="410"/>
      <c r="Q280" s="410"/>
      <c r="R280" s="410"/>
      <c r="S280" s="410"/>
      <c r="T280" s="343"/>
      <c r="U280" s="349"/>
      <c r="V280" s="349"/>
    </row>
    <row r="281" spans="1:22" x14ac:dyDescent="0.25">
      <c r="A281" s="349"/>
      <c r="B281" s="19"/>
      <c r="C281" s="19"/>
      <c r="D281" s="289"/>
      <c r="E281" s="2780" t="str">
        <f>E_EnergyFlows!E148</f>
        <v/>
      </c>
      <c r="F281" s="2476"/>
      <c r="G281" s="353" t="str">
        <f>E_EnergyFlows!G148</f>
        <v>TJ / år</v>
      </c>
      <c r="H281" s="752" t="str">
        <f>IF(ISBLANK(E_EnergyFlows!H148),"",E_EnergyFlows!H148)</f>
        <v/>
      </c>
      <c r="I281" s="752" t="str">
        <f>IF(ISBLANK(E_EnergyFlows!I148),"",E_EnergyFlows!I148)</f>
        <v/>
      </c>
      <c r="J281" s="752" t="str">
        <f>IF(ISBLANK(E_EnergyFlows!J148),"",E_EnergyFlows!J148)</f>
        <v/>
      </c>
      <c r="K281" s="412" t="str">
        <f>IF(ISBLANK(E_EnergyFlows!K148),"",E_EnergyFlows!K148)</f>
        <v/>
      </c>
      <c r="L281" s="412" t="str">
        <f>IF(ISBLANK(E_EnergyFlows!L148),"",E_EnergyFlows!L148)</f>
        <v/>
      </c>
      <c r="M281" s="412" t="str">
        <f>IF(ISBLANK(E_EnergyFlows!M148),"",E_EnergyFlows!M148)</f>
        <v/>
      </c>
      <c r="N281" s="412" t="str">
        <f>IF(ISBLANK(E_EnergyFlows!N148),"",E_EnergyFlows!N148)</f>
        <v/>
      </c>
      <c r="O281" s="19"/>
      <c r="P281" s="410"/>
      <c r="Q281" s="410"/>
      <c r="R281" s="410"/>
      <c r="S281" s="410"/>
      <c r="T281" s="343"/>
      <c r="U281" s="349"/>
      <c r="V281" s="349"/>
    </row>
    <row r="282" spans="1:22" ht="12.75" customHeight="1" x14ac:dyDescent="0.25">
      <c r="A282" s="349"/>
      <c r="B282" s="19"/>
      <c r="C282" s="19"/>
      <c r="D282" s="289"/>
      <c r="E282" s="2780" t="str">
        <f>E_EnergyFlows!E149</f>
        <v/>
      </c>
      <c r="F282" s="2476"/>
      <c r="G282" s="353" t="str">
        <f>E_EnergyFlows!G149</f>
        <v>TJ / år</v>
      </c>
      <c r="H282" s="752" t="str">
        <f>IF(ISBLANK(E_EnergyFlows!H149),"",E_EnergyFlows!H149)</f>
        <v/>
      </c>
      <c r="I282" s="752" t="str">
        <f>IF(ISBLANK(E_EnergyFlows!I149),"",E_EnergyFlows!I149)</f>
        <v/>
      </c>
      <c r="J282" s="752" t="str">
        <f>IF(ISBLANK(E_EnergyFlows!J149),"",E_EnergyFlows!J149)</f>
        <v/>
      </c>
      <c r="K282" s="412" t="str">
        <f>IF(ISBLANK(E_EnergyFlows!K149),"",E_EnergyFlows!K149)</f>
        <v/>
      </c>
      <c r="L282" s="412" t="str">
        <f>IF(ISBLANK(E_EnergyFlows!L149),"",E_EnergyFlows!L149)</f>
        <v/>
      </c>
      <c r="M282" s="412" t="str">
        <f>IF(ISBLANK(E_EnergyFlows!M149),"",E_EnergyFlows!M149)</f>
        <v/>
      </c>
      <c r="N282" s="412" t="str">
        <f>IF(ISBLANK(E_EnergyFlows!N149),"",E_EnergyFlows!N149)</f>
        <v/>
      </c>
      <c r="O282" s="19"/>
      <c r="P282" s="410"/>
      <c r="Q282" s="410"/>
      <c r="R282" s="410"/>
      <c r="S282" s="410"/>
      <c r="T282" s="343"/>
      <c r="U282" s="349"/>
      <c r="V282" s="349"/>
    </row>
    <row r="283" spans="1:22" x14ac:dyDescent="0.25">
      <c r="A283" s="349"/>
      <c r="B283" s="19"/>
      <c r="C283" s="19"/>
      <c r="D283" s="289"/>
      <c r="E283" s="2780" t="str">
        <f>E_EnergyFlows!E150</f>
        <v/>
      </c>
      <c r="F283" s="2476"/>
      <c r="G283" s="353" t="str">
        <f>E_EnergyFlows!G150</f>
        <v>TJ / år</v>
      </c>
      <c r="H283" s="752" t="str">
        <f>IF(ISBLANK(E_EnergyFlows!H150),"",E_EnergyFlows!H150)</f>
        <v/>
      </c>
      <c r="I283" s="752" t="str">
        <f>IF(ISBLANK(E_EnergyFlows!I150),"",E_EnergyFlows!I150)</f>
        <v/>
      </c>
      <c r="J283" s="752" t="str">
        <f>IF(ISBLANK(E_EnergyFlows!J150),"",E_EnergyFlows!J150)</f>
        <v/>
      </c>
      <c r="K283" s="412" t="str">
        <f>IF(ISBLANK(E_EnergyFlows!K150),"",E_EnergyFlows!K150)</f>
        <v/>
      </c>
      <c r="L283" s="412" t="str">
        <f>IF(ISBLANK(E_EnergyFlows!L150),"",E_EnergyFlows!L150)</f>
        <v/>
      </c>
      <c r="M283" s="412" t="str">
        <f>IF(ISBLANK(E_EnergyFlows!M150),"",E_EnergyFlows!M150)</f>
        <v/>
      </c>
      <c r="N283" s="412" t="str">
        <f>IF(ISBLANK(E_EnergyFlows!N150),"",E_EnergyFlows!N150)</f>
        <v/>
      </c>
      <c r="O283" s="19"/>
      <c r="P283" s="410"/>
      <c r="Q283" s="410"/>
      <c r="R283" s="410"/>
      <c r="S283" s="410"/>
      <c r="T283" s="343"/>
      <c r="U283" s="349"/>
      <c r="V283" s="349"/>
    </row>
    <row r="284" spans="1:22" x14ac:dyDescent="0.25">
      <c r="A284" s="349"/>
      <c r="B284" s="19"/>
      <c r="C284" s="19"/>
      <c r="D284" s="289"/>
      <c r="E284" s="2780" t="str">
        <f>E_EnergyFlows!E151</f>
        <v/>
      </c>
      <c r="F284" s="2476"/>
      <c r="G284" s="353" t="str">
        <f>E_EnergyFlows!G151</f>
        <v>TJ / år</v>
      </c>
      <c r="H284" s="752" t="str">
        <f>IF(ISBLANK(E_EnergyFlows!H151),"",E_EnergyFlows!H151)</f>
        <v/>
      </c>
      <c r="I284" s="752" t="str">
        <f>IF(ISBLANK(E_EnergyFlows!I151),"",E_EnergyFlows!I151)</f>
        <v/>
      </c>
      <c r="J284" s="752" t="str">
        <f>IF(ISBLANK(E_EnergyFlows!J151),"",E_EnergyFlows!J151)</f>
        <v/>
      </c>
      <c r="K284" s="412" t="str">
        <f>IF(ISBLANK(E_EnergyFlows!K151),"",E_EnergyFlows!K151)</f>
        <v/>
      </c>
      <c r="L284" s="412" t="str">
        <f>IF(ISBLANK(E_EnergyFlows!L151),"",E_EnergyFlows!L151)</f>
        <v/>
      </c>
      <c r="M284" s="412" t="str">
        <f>IF(ISBLANK(E_EnergyFlows!M151),"",E_EnergyFlows!M151)</f>
        <v/>
      </c>
      <c r="N284" s="412" t="str">
        <f>IF(ISBLANK(E_EnergyFlows!N151),"",E_EnergyFlows!N151)</f>
        <v/>
      </c>
      <c r="O284" s="19"/>
      <c r="P284" s="410"/>
      <c r="Q284" s="410"/>
      <c r="R284" s="410"/>
      <c r="S284" s="410"/>
      <c r="T284" s="343"/>
      <c r="U284" s="349"/>
      <c r="V284" s="349"/>
    </row>
    <row r="285" spans="1:22" x14ac:dyDescent="0.25">
      <c r="A285" s="349"/>
      <c r="B285" s="19"/>
      <c r="C285" s="19"/>
      <c r="D285" s="289"/>
      <c r="E285" s="2780" t="str">
        <f>E_EnergyFlows!E152</f>
        <v/>
      </c>
      <c r="F285" s="2476"/>
      <c r="G285" s="353" t="str">
        <f>E_EnergyFlows!G152</f>
        <v>TJ / år</v>
      </c>
      <c r="H285" s="752" t="str">
        <f>IF(ISBLANK(E_EnergyFlows!H152),"",E_EnergyFlows!H152)</f>
        <v/>
      </c>
      <c r="I285" s="752" t="str">
        <f>IF(ISBLANK(E_EnergyFlows!I152),"",E_EnergyFlows!I152)</f>
        <v/>
      </c>
      <c r="J285" s="752" t="str">
        <f>IF(ISBLANK(E_EnergyFlows!J152),"",E_EnergyFlows!J152)</f>
        <v/>
      </c>
      <c r="K285" s="412" t="str">
        <f>IF(ISBLANK(E_EnergyFlows!K152),"",E_EnergyFlows!K152)</f>
        <v/>
      </c>
      <c r="L285" s="412" t="str">
        <f>IF(ISBLANK(E_EnergyFlows!L152),"",E_EnergyFlows!L152)</f>
        <v/>
      </c>
      <c r="M285" s="412" t="str">
        <f>IF(ISBLANK(E_EnergyFlows!M152),"",E_EnergyFlows!M152)</f>
        <v/>
      </c>
      <c r="N285" s="412" t="str">
        <f>IF(ISBLANK(E_EnergyFlows!N152),"",E_EnergyFlows!N152)</f>
        <v/>
      </c>
      <c r="O285" s="19"/>
      <c r="P285" s="410"/>
      <c r="Q285" s="410"/>
      <c r="R285" s="410"/>
      <c r="S285" s="410"/>
      <c r="T285" s="343"/>
      <c r="U285" s="349"/>
      <c r="V285" s="349"/>
    </row>
    <row r="286" spans="1:22" x14ac:dyDescent="0.25">
      <c r="A286" s="349"/>
      <c r="B286" s="19"/>
      <c r="C286" s="19"/>
      <c r="D286" s="289"/>
      <c r="E286" s="2780" t="str">
        <f>E_EnergyFlows!E153</f>
        <v/>
      </c>
      <c r="F286" s="2476"/>
      <c r="G286" s="353" t="str">
        <f>E_EnergyFlows!G153</f>
        <v>TJ / år</v>
      </c>
      <c r="H286" s="752" t="str">
        <f>IF(ISBLANK(E_EnergyFlows!H153),"",E_EnergyFlows!H153)</f>
        <v/>
      </c>
      <c r="I286" s="752" t="str">
        <f>IF(ISBLANK(E_EnergyFlows!I153),"",E_EnergyFlows!I153)</f>
        <v/>
      </c>
      <c r="J286" s="752" t="str">
        <f>IF(ISBLANK(E_EnergyFlows!J153),"",E_EnergyFlows!J153)</f>
        <v/>
      </c>
      <c r="K286" s="412" t="str">
        <f>IF(ISBLANK(E_EnergyFlows!K153),"",E_EnergyFlows!K153)</f>
        <v/>
      </c>
      <c r="L286" s="412" t="str">
        <f>IF(ISBLANK(E_EnergyFlows!L153),"",E_EnergyFlows!L153)</f>
        <v/>
      </c>
      <c r="M286" s="412" t="str">
        <f>IF(ISBLANK(E_EnergyFlows!M153),"",E_EnergyFlows!M153)</f>
        <v/>
      </c>
      <c r="N286" s="412" t="str">
        <f>IF(ISBLANK(E_EnergyFlows!N153),"",E_EnergyFlows!N153)</f>
        <v/>
      </c>
      <c r="O286" s="19"/>
      <c r="P286" s="410"/>
      <c r="Q286" s="410"/>
      <c r="R286" s="410"/>
      <c r="S286" s="410"/>
      <c r="T286" s="343"/>
      <c r="U286" s="349"/>
      <c r="V286" s="349"/>
    </row>
    <row r="287" spans="1:22" x14ac:dyDescent="0.25">
      <c r="A287" s="349"/>
      <c r="B287" s="19"/>
      <c r="C287" s="19"/>
      <c r="D287" s="289"/>
      <c r="E287" s="2780" t="str">
        <f>E_EnergyFlows!E154</f>
        <v/>
      </c>
      <c r="F287" s="2476"/>
      <c r="G287" s="353" t="str">
        <f>E_EnergyFlows!G154</f>
        <v>TJ / år</v>
      </c>
      <c r="H287" s="752" t="str">
        <f>IF(ISBLANK(E_EnergyFlows!H154),"",E_EnergyFlows!H154)</f>
        <v/>
      </c>
      <c r="I287" s="752" t="str">
        <f>IF(ISBLANK(E_EnergyFlows!I154),"",E_EnergyFlows!I154)</f>
        <v/>
      </c>
      <c r="J287" s="752" t="str">
        <f>IF(ISBLANK(E_EnergyFlows!J154),"",E_EnergyFlows!J154)</f>
        <v/>
      </c>
      <c r="K287" s="412" t="str">
        <f>IF(ISBLANK(E_EnergyFlows!K154),"",E_EnergyFlows!K154)</f>
        <v/>
      </c>
      <c r="L287" s="412" t="str">
        <f>IF(ISBLANK(E_EnergyFlows!L154),"",E_EnergyFlows!L154)</f>
        <v/>
      </c>
      <c r="M287" s="412" t="str">
        <f>IF(ISBLANK(E_EnergyFlows!M154),"",E_EnergyFlows!M154)</f>
        <v/>
      </c>
      <c r="N287" s="412" t="str">
        <f>IF(ISBLANK(E_EnergyFlows!N154),"",E_EnergyFlows!N154)</f>
        <v/>
      </c>
      <c r="O287" s="19"/>
      <c r="P287" s="410"/>
      <c r="Q287" s="410"/>
      <c r="R287" s="410"/>
      <c r="S287" s="410"/>
      <c r="T287" s="343"/>
      <c r="U287" s="349"/>
      <c r="V287" s="349"/>
    </row>
    <row r="288" spans="1:22" x14ac:dyDescent="0.25">
      <c r="A288" s="349"/>
      <c r="B288" s="19"/>
      <c r="C288" s="19"/>
      <c r="D288" s="289"/>
      <c r="E288" s="2780" t="str">
        <f>E_EnergyFlows!E155</f>
        <v/>
      </c>
      <c r="F288" s="2476"/>
      <c r="G288" s="353" t="str">
        <f>E_EnergyFlows!G155</f>
        <v>TJ / år</v>
      </c>
      <c r="H288" s="752" t="str">
        <f>IF(ISBLANK(E_EnergyFlows!H155),"",E_EnergyFlows!H155)</f>
        <v/>
      </c>
      <c r="I288" s="752" t="str">
        <f>IF(ISBLANK(E_EnergyFlows!I155),"",E_EnergyFlows!I155)</f>
        <v/>
      </c>
      <c r="J288" s="752" t="str">
        <f>IF(ISBLANK(E_EnergyFlows!J155),"",E_EnergyFlows!J155)</f>
        <v/>
      </c>
      <c r="K288" s="412" t="str">
        <f>IF(ISBLANK(E_EnergyFlows!K155),"",E_EnergyFlows!K155)</f>
        <v/>
      </c>
      <c r="L288" s="412" t="str">
        <f>IF(ISBLANK(E_EnergyFlows!L155),"",E_EnergyFlows!L155)</f>
        <v/>
      </c>
      <c r="M288" s="412" t="str">
        <f>IF(ISBLANK(E_EnergyFlows!M155),"",E_EnergyFlows!M155)</f>
        <v/>
      </c>
      <c r="N288" s="412" t="str">
        <f>IF(ISBLANK(E_EnergyFlows!N155),"",E_EnergyFlows!N155)</f>
        <v/>
      </c>
      <c r="O288" s="19"/>
      <c r="P288" s="410"/>
      <c r="Q288" s="410"/>
      <c r="R288" s="410"/>
      <c r="S288" s="410"/>
      <c r="T288" s="343"/>
      <c r="U288" s="349"/>
      <c r="V288" s="349"/>
    </row>
    <row r="289" spans="1:22" x14ac:dyDescent="0.25">
      <c r="A289" s="349"/>
      <c r="B289" s="19"/>
      <c r="C289" s="19"/>
      <c r="D289" s="289"/>
      <c r="E289" s="2781" t="str">
        <f>E_EnergyFlows!E156</f>
        <v/>
      </c>
      <c r="F289" s="2487"/>
      <c r="G289" s="354" t="str">
        <f>E_EnergyFlows!G156</f>
        <v>TJ / år</v>
      </c>
      <c r="H289" s="753" t="str">
        <f>IF(ISBLANK(E_EnergyFlows!H156),"",E_EnergyFlows!H156)</f>
        <v/>
      </c>
      <c r="I289" s="753" t="str">
        <f>IF(ISBLANK(E_EnergyFlows!I156),"",E_EnergyFlows!I156)</f>
        <v/>
      </c>
      <c r="J289" s="753" t="str">
        <f>IF(ISBLANK(E_EnergyFlows!J156),"",E_EnergyFlows!J156)</f>
        <v/>
      </c>
      <c r="K289" s="537" t="str">
        <f>IF(ISBLANK(E_EnergyFlows!K156),"",E_EnergyFlows!K156)</f>
        <v/>
      </c>
      <c r="L289" s="537" t="str">
        <f>IF(ISBLANK(E_EnergyFlows!L156),"",E_EnergyFlows!L156)</f>
        <v/>
      </c>
      <c r="M289" s="537" t="str">
        <f>IF(ISBLANK(E_EnergyFlows!M156),"",E_EnergyFlows!M156)</f>
        <v/>
      </c>
      <c r="N289" s="537" t="str">
        <f>IF(ISBLANK(E_EnergyFlows!N156),"",E_EnergyFlows!N156)</f>
        <v/>
      </c>
      <c r="O289" s="19"/>
      <c r="P289" s="410"/>
      <c r="Q289" s="410"/>
      <c r="R289" s="410"/>
      <c r="S289" s="410"/>
      <c r="T289" s="343"/>
      <c r="U289" s="349"/>
      <c r="V289" s="349"/>
    </row>
    <row r="290" spans="1:22" ht="12.75" customHeight="1" x14ac:dyDescent="0.25">
      <c r="A290" s="349"/>
      <c r="B290" s="19"/>
      <c r="C290" s="175"/>
      <c r="D290" s="289"/>
      <c r="E290" s="2496" t="str">
        <f>E_EnergyFlows!E157</f>
        <v>Delsumma</v>
      </c>
      <c r="F290" s="1997"/>
      <c r="G290" s="36" t="str">
        <f>E_EnergyFlows!G157</f>
        <v>TJ / år</v>
      </c>
      <c r="H290" s="750" t="str">
        <f>E_EnergyFlows!H157</f>
        <v/>
      </c>
      <c r="I290" s="750" t="str">
        <f>E_EnergyFlows!I157</f>
        <v/>
      </c>
      <c r="J290" s="750" t="str">
        <f>E_EnergyFlows!J157</f>
        <v/>
      </c>
      <c r="K290" s="351" t="str">
        <f>E_EnergyFlows!K157</f>
        <v/>
      </c>
      <c r="L290" s="351" t="str">
        <f>E_EnergyFlows!L157</f>
        <v/>
      </c>
      <c r="M290" s="351" t="str">
        <f>E_EnergyFlows!M157</f>
        <v/>
      </c>
      <c r="N290" s="351" t="str">
        <f>E_EnergyFlows!N157</f>
        <v/>
      </c>
      <c r="O290" s="19"/>
      <c r="P290" s="410"/>
      <c r="Q290" s="410"/>
      <c r="R290" s="410"/>
      <c r="S290" s="410"/>
      <c r="T290" s="343"/>
      <c r="U290" s="349"/>
      <c r="V290" s="349"/>
    </row>
    <row r="291" spans="1:22" ht="5.15" customHeight="1" x14ac:dyDescent="0.25">
      <c r="A291" s="349"/>
      <c r="B291" s="3"/>
      <c r="C291" s="3"/>
      <c r="D291" s="3"/>
      <c r="E291" s="3"/>
      <c r="F291" s="3"/>
      <c r="G291" s="3"/>
      <c r="H291" s="3"/>
      <c r="I291" s="3"/>
      <c r="J291" s="3"/>
      <c r="K291" s="3"/>
      <c r="L291" s="3"/>
      <c r="M291" s="3"/>
      <c r="N291" s="3"/>
      <c r="O291" s="19"/>
      <c r="P291" s="410"/>
      <c r="Q291" s="410"/>
      <c r="R291" s="410"/>
      <c r="S291" s="410"/>
      <c r="T291" s="343"/>
      <c r="U291" s="349"/>
      <c r="V291" s="349"/>
    </row>
    <row r="292" spans="1:22" ht="12.65" customHeight="1" x14ac:dyDescent="0.25">
      <c r="A292" s="349"/>
      <c r="B292" s="19"/>
      <c r="C292" s="19"/>
      <c r="D292" s="19"/>
      <c r="E292" s="2062" t="str">
        <f>E_EnergyFlows!E159</f>
        <v>Värden som angetts i blad ”F_ProductBM”:</v>
      </c>
      <c r="F292" s="2497"/>
      <c r="G292" s="2497"/>
      <c r="H292" s="2497"/>
      <c r="I292" s="2497"/>
      <c r="J292" s="2497"/>
      <c r="K292" s="2497"/>
      <c r="L292" s="2497"/>
      <c r="M292" s="2497"/>
      <c r="N292" s="2497"/>
      <c r="O292" s="19"/>
      <c r="P292" s="410"/>
      <c r="Q292" s="410"/>
      <c r="R292" s="410"/>
      <c r="S292" s="410"/>
      <c r="T292" s="343"/>
      <c r="U292" s="349"/>
      <c r="V292" s="349"/>
    </row>
    <row r="293" spans="1:22" ht="12.65" customHeight="1" x14ac:dyDescent="0.25">
      <c r="A293" s="349"/>
      <c r="B293" s="19"/>
      <c r="C293" s="175"/>
      <c r="D293" s="289"/>
      <c r="E293" s="2496" t="str">
        <f>E_EnergyFlows!E160</f>
        <v>Mängd värme från källor utanför ETS</v>
      </c>
      <c r="F293" s="1997"/>
      <c r="G293" s="174" t="str">
        <f>E_EnergyFlows!G160</f>
        <v>TJ / år</v>
      </c>
      <c r="H293" s="754" t="str">
        <f>E_EnergyFlows!H160</f>
        <v/>
      </c>
      <c r="I293" s="754" t="str">
        <f>E_EnergyFlows!I160</f>
        <v/>
      </c>
      <c r="J293" s="754" t="str">
        <f>E_EnergyFlows!J160</f>
        <v/>
      </c>
      <c r="K293" s="255" t="str">
        <f>E_EnergyFlows!K160</f>
        <v/>
      </c>
      <c r="L293" s="255" t="str">
        <f>E_EnergyFlows!L160</f>
        <v/>
      </c>
      <c r="M293" s="255" t="str">
        <f>E_EnergyFlows!M160</f>
        <v/>
      </c>
      <c r="N293" s="255" t="str">
        <f>E_EnergyFlows!N160</f>
        <v/>
      </c>
      <c r="O293" s="19"/>
      <c r="P293" s="349"/>
      <c r="Q293" s="349"/>
      <c r="R293" s="349"/>
      <c r="S293" s="349"/>
      <c r="T293" s="343"/>
      <c r="U293" s="349"/>
      <c r="V293" s="349"/>
    </row>
    <row r="294" spans="1:22" ht="5.15" customHeight="1" x14ac:dyDescent="0.25">
      <c r="A294" s="349"/>
      <c r="B294" s="3"/>
      <c r="C294" s="3"/>
      <c r="D294" s="3"/>
      <c r="E294" s="3"/>
      <c r="F294" s="3"/>
      <c r="G294" s="3"/>
      <c r="H294" s="3"/>
      <c r="I294" s="3"/>
      <c r="J294" s="3"/>
      <c r="K294" s="3"/>
      <c r="L294" s="3"/>
      <c r="M294" s="3"/>
      <c r="N294" s="3"/>
      <c r="O294" s="19"/>
      <c r="P294" s="410"/>
      <c r="Q294" s="349"/>
      <c r="R294" s="349"/>
      <c r="S294" s="349"/>
      <c r="T294" s="343"/>
      <c r="U294" s="349"/>
      <c r="V294" s="349"/>
    </row>
    <row r="295" spans="1:22" ht="12.65" customHeight="1" x14ac:dyDescent="0.25">
      <c r="A295" s="349"/>
      <c r="B295" s="19"/>
      <c r="C295" s="19"/>
      <c r="D295" s="19"/>
      <c r="E295" s="2062" t="str">
        <f>E_EnergyFlows!E166</f>
        <v>Värme utanför ETS som angetts i blad ”F_ProductBM” jämfört med totalmängden värme för alla produktriktmärken:</v>
      </c>
      <c r="F295" s="2497"/>
      <c r="G295" s="2497"/>
      <c r="H295" s="2497"/>
      <c r="I295" s="2497"/>
      <c r="J295" s="2497"/>
      <c r="K295" s="2497"/>
      <c r="L295" s="2497"/>
      <c r="M295" s="2497"/>
      <c r="N295" s="2497"/>
      <c r="O295" s="19"/>
      <c r="P295" s="349"/>
      <c r="Q295" s="349"/>
      <c r="R295" s="349"/>
      <c r="S295" s="349"/>
      <c r="T295" s="343"/>
      <c r="U295" s="349"/>
      <c r="V295" s="349"/>
    </row>
    <row r="296" spans="1:22" ht="12.65" customHeight="1" x14ac:dyDescent="0.25">
      <c r="A296" s="349"/>
      <c r="B296" s="19"/>
      <c r="C296" s="175"/>
      <c r="D296" s="289"/>
      <c r="E296" s="2129" t="str">
        <f>E_EnergyFlows!E167</f>
        <v>Punkt xii i förhållande till punkt xi:</v>
      </c>
      <c r="F296" s="1997"/>
      <c r="G296" s="47" t="str">
        <f>E_EnergyFlows!G167</f>
        <v>%</v>
      </c>
      <c r="H296" s="754" t="str">
        <f>E_EnergyFlows!H167</f>
        <v/>
      </c>
      <c r="I296" s="754" t="str">
        <f>E_EnergyFlows!I167</f>
        <v/>
      </c>
      <c r="J296" s="754" t="str">
        <f>E_EnergyFlows!J167</f>
        <v/>
      </c>
      <c r="K296" s="255" t="str">
        <f>E_EnergyFlows!K167</f>
        <v/>
      </c>
      <c r="L296" s="255" t="str">
        <f>E_EnergyFlows!L167</f>
        <v/>
      </c>
      <c r="M296" s="255" t="str">
        <f>E_EnergyFlows!M167</f>
        <v/>
      </c>
      <c r="N296" s="255" t="str">
        <f>E_EnergyFlows!N167</f>
        <v/>
      </c>
      <c r="O296" s="19"/>
      <c r="P296" s="349"/>
      <c r="Q296" s="349"/>
      <c r="R296" s="349"/>
      <c r="S296" s="349"/>
      <c r="T296" s="343"/>
      <c r="U296" s="349"/>
      <c r="V296" s="349"/>
    </row>
    <row r="297" spans="1:22" ht="5.15" customHeight="1" x14ac:dyDescent="0.25">
      <c r="A297" s="349"/>
      <c r="B297" s="3"/>
      <c r="C297" s="292"/>
      <c r="D297" s="292"/>
      <c r="E297" s="3"/>
      <c r="F297" s="3"/>
      <c r="G297" s="3"/>
      <c r="H297" s="3"/>
      <c r="I297" s="3"/>
      <c r="J297" s="3"/>
      <c r="K297" s="3"/>
      <c r="L297" s="3"/>
      <c r="M297" s="3"/>
      <c r="N297" s="3"/>
      <c r="O297" s="19"/>
      <c r="P297" s="410"/>
      <c r="Q297" s="349"/>
      <c r="R297" s="349"/>
      <c r="S297" s="349"/>
      <c r="T297" s="343"/>
      <c r="U297" s="349"/>
      <c r="V297" s="349"/>
    </row>
    <row r="298" spans="1:22" ht="12.65" customHeight="1" x14ac:dyDescent="0.25">
      <c r="A298" s="349"/>
      <c r="B298" s="19"/>
      <c r="C298" s="175"/>
      <c r="D298" s="175"/>
      <c r="E298" s="2062" t="str">
        <f>E_EnergyFlows!E169</f>
        <v>Värme utanför ETS som angetts i blad ”F_ProductBM” jämfört med totalmängden värmeimport utanför ETS som angetts i punkt c:</v>
      </c>
      <c r="F298" s="2497"/>
      <c r="G298" s="2497"/>
      <c r="H298" s="2497"/>
      <c r="I298" s="2497"/>
      <c r="J298" s="2497"/>
      <c r="K298" s="2497"/>
      <c r="L298" s="2497"/>
      <c r="M298" s="2497"/>
      <c r="N298" s="2497"/>
      <c r="O298" s="19"/>
      <c r="P298" s="349"/>
      <c r="Q298" s="349"/>
      <c r="R298" s="349"/>
      <c r="S298" s="349"/>
      <c r="T298" s="343"/>
      <c r="U298" s="349"/>
      <c r="V298" s="349"/>
    </row>
    <row r="299" spans="1:22" ht="12.65" customHeight="1" x14ac:dyDescent="0.25">
      <c r="A299" s="349"/>
      <c r="B299" s="19"/>
      <c r="C299" s="175"/>
      <c r="D299" s="289"/>
      <c r="E299" s="2129" t="str">
        <f>E_EnergyFlows!E170</f>
        <v>Punkt xii i förhållande till punkt c ovan:</v>
      </c>
      <c r="F299" s="1997"/>
      <c r="G299" s="47" t="str">
        <f>E_EnergyFlows!G170</f>
        <v>%</v>
      </c>
      <c r="H299" s="754" t="str">
        <f>E_EnergyFlows!H170</f>
        <v/>
      </c>
      <c r="I299" s="754" t="str">
        <f>E_EnergyFlows!I170</f>
        <v/>
      </c>
      <c r="J299" s="754" t="str">
        <f>E_EnergyFlows!J170</f>
        <v/>
      </c>
      <c r="K299" s="255" t="str">
        <f>E_EnergyFlows!K170</f>
        <v/>
      </c>
      <c r="L299" s="255" t="str">
        <f>E_EnergyFlows!L170</f>
        <v/>
      </c>
      <c r="M299" s="255" t="str">
        <f>E_EnergyFlows!M170</f>
        <v/>
      </c>
      <c r="N299" s="255" t="str">
        <f>E_EnergyFlows!N170</f>
        <v/>
      </c>
      <c r="O299" s="19"/>
      <c r="P299" s="349"/>
      <c r="Q299" s="349"/>
      <c r="R299" s="349"/>
      <c r="S299" s="349"/>
      <c r="T299" s="343"/>
      <c r="U299" s="349"/>
      <c r="V299" s="349"/>
    </row>
    <row r="300" spans="1:22" ht="5.15" customHeight="1" x14ac:dyDescent="0.25">
      <c r="A300" s="349"/>
      <c r="B300" s="19"/>
      <c r="C300" s="19"/>
      <c r="D300" s="19"/>
      <c r="E300" s="19"/>
      <c r="F300" s="19"/>
      <c r="G300" s="19"/>
      <c r="H300" s="19"/>
      <c r="I300" s="19"/>
      <c r="J300" s="19"/>
      <c r="K300" s="19"/>
      <c r="L300" s="19"/>
      <c r="M300" s="19"/>
      <c r="N300" s="19"/>
      <c r="O300" s="19"/>
      <c r="P300" s="349"/>
      <c r="Q300" s="349"/>
      <c r="R300" s="349"/>
      <c r="S300" s="349"/>
      <c r="T300" s="343"/>
      <c r="U300" s="349"/>
      <c r="V300" s="349"/>
    </row>
    <row r="301" spans="1:22" ht="13" customHeight="1" x14ac:dyDescent="0.25">
      <c r="A301" s="349"/>
      <c r="B301" s="19"/>
      <c r="C301" s="13"/>
      <c r="D301" s="13" t="str">
        <f>E_EnergyFlows!D172</f>
        <v>(i)</v>
      </c>
      <c r="E301" s="2106" t="str">
        <f>E_EnergyFlows!E172</f>
        <v>Värme som exporteras till ETS-anläggningar (icke-berättigande för värmeriktmärke):</v>
      </c>
      <c r="F301" s="1960"/>
      <c r="G301" s="1960"/>
      <c r="H301" s="1960"/>
      <c r="I301" s="1960"/>
      <c r="J301" s="1960"/>
      <c r="K301" s="1960"/>
      <c r="L301" s="1960"/>
      <c r="M301" s="1960"/>
      <c r="N301" s="1960"/>
      <c r="O301" s="19"/>
      <c r="P301" s="349"/>
      <c r="Q301" s="349"/>
      <c r="R301" s="349"/>
      <c r="S301" s="349"/>
      <c r="T301" s="343"/>
      <c r="U301" s="349"/>
      <c r="V301" s="349"/>
    </row>
    <row r="302" spans="1:22" ht="13" customHeight="1" x14ac:dyDescent="0.25">
      <c r="A302" s="349"/>
      <c r="B302" s="19"/>
      <c r="C302" s="19"/>
      <c r="D302" s="19"/>
      <c r="E302" s="2062" t="str">
        <f>E_EnergyFlows!E176</f>
        <v>Anläggningens namn</v>
      </c>
      <c r="F302" s="2497"/>
      <c r="G302" s="30" t="str">
        <f>E_EnergyFlows!G176</f>
        <v>Enhet</v>
      </c>
      <c r="H302" s="350">
        <f>E_EnergyFlows!H176</f>
        <v>2019</v>
      </c>
      <c r="I302" s="350">
        <f>E_EnergyFlows!I176</f>
        <v>2020</v>
      </c>
      <c r="J302" s="350">
        <f>E_EnergyFlows!J176</f>
        <v>2021</v>
      </c>
      <c r="K302" s="350">
        <f>E_EnergyFlows!K176</f>
        <v>2022</v>
      </c>
      <c r="L302" s="350">
        <f>E_EnergyFlows!L176</f>
        <v>2023</v>
      </c>
      <c r="M302" s="350">
        <f>E_EnergyFlows!M176</f>
        <v>2024</v>
      </c>
      <c r="N302" s="350">
        <f>E_EnergyFlows!N176</f>
        <v>2025</v>
      </c>
      <c r="O302" s="19"/>
      <c r="P302" s="349"/>
      <c r="Q302" s="349"/>
      <c r="R302" s="349"/>
      <c r="S302" s="349"/>
      <c r="T302" s="343"/>
      <c r="U302" s="349"/>
      <c r="V302" s="349"/>
    </row>
    <row r="303" spans="1:22" x14ac:dyDescent="0.25">
      <c r="A303" s="349"/>
      <c r="B303" s="19"/>
      <c r="C303" s="175"/>
      <c r="D303" s="175"/>
      <c r="E303" s="2783" t="str">
        <f>IF(ISBLANK(E_EnergyFlows!E177),"",E_EnergyFlows!E177)</f>
        <v/>
      </c>
      <c r="F303" s="2484"/>
      <c r="G303" s="35" t="str">
        <f>E_EnergyFlows!G177</f>
        <v>TJ / år</v>
      </c>
      <c r="H303" s="755" t="str">
        <f>IF(ISBLANK(E_EnergyFlows!H177),"",E_EnergyFlows!H177)</f>
        <v/>
      </c>
      <c r="I303" s="755" t="str">
        <f>IF(ISBLANK(E_EnergyFlows!I177),"",E_EnergyFlows!I177)</f>
        <v/>
      </c>
      <c r="J303" s="755" t="str">
        <f>IF(ISBLANK(E_EnergyFlows!J177),"",E_EnergyFlows!J177)</f>
        <v/>
      </c>
      <c r="K303" s="650" t="str">
        <f>IF(ISBLANK(E_EnergyFlows!K177),"",E_EnergyFlows!K177)</f>
        <v/>
      </c>
      <c r="L303" s="650" t="str">
        <f>IF(ISBLANK(E_EnergyFlows!L177),"",E_EnergyFlows!L177)</f>
        <v/>
      </c>
      <c r="M303" s="650" t="str">
        <f>IF(ISBLANK(E_EnergyFlows!M177),"",E_EnergyFlows!M177)</f>
        <v/>
      </c>
      <c r="N303" s="650" t="str">
        <f>IF(ISBLANK(E_EnergyFlows!N177),"",E_EnergyFlows!N177)</f>
        <v/>
      </c>
      <c r="O303" s="19"/>
      <c r="P303" s="349"/>
      <c r="Q303" s="349"/>
      <c r="R303" s="349"/>
      <c r="S303" s="349"/>
      <c r="T303" s="343"/>
      <c r="U303" s="349"/>
      <c r="V303" s="349"/>
    </row>
    <row r="304" spans="1:22" x14ac:dyDescent="0.25">
      <c r="A304" s="349"/>
      <c r="B304" s="19"/>
      <c r="C304" s="175"/>
      <c r="D304" s="175"/>
      <c r="E304" s="2780" t="str">
        <f>IF(ISBLANK(E_EnergyFlows!E178),"",E_EnergyFlows!E178)</f>
        <v/>
      </c>
      <c r="F304" s="2476"/>
      <c r="G304" s="33" t="str">
        <f>E_EnergyFlows!G178</f>
        <v>TJ / år</v>
      </c>
      <c r="H304" s="752" t="str">
        <f>IF(ISBLANK(E_EnergyFlows!H178),"",E_EnergyFlows!H178)</f>
        <v/>
      </c>
      <c r="I304" s="752" t="str">
        <f>IF(ISBLANK(E_EnergyFlows!I178),"",E_EnergyFlows!I178)</f>
        <v/>
      </c>
      <c r="J304" s="752" t="str">
        <f>IF(ISBLANK(E_EnergyFlows!J178),"",E_EnergyFlows!J178)</f>
        <v/>
      </c>
      <c r="K304" s="412" t="str">
        <f>IF(ISBLANK(E_EnergyFlows!K178),"",E_EnergyFlows!K178)</f>
        <v/>
      </c>
      <c r="L304" s="412" t="str">
        <f>IF(ISBLANK(E_EnergyFlows!L178),"",E_EnergyFlows!L178)</f>
        <v/>
      </c>
      <c r="M304" s="412" t="str">
        <f>IF(ISBLANK(E_EnergyFlows!M178),"",E_EnergyFlows!M178)</f>
        <v/>
      </c>
      <c r="N304" s="412" t="str">
        <f>IF(ISBLANK(E_EnergyFlows!N178),"",E_EnergyFlows!N178)</f>
        <v/>
      </c>
      <c r="O304" s="19"/>
      <c r="P304" s="349"/>
      <c r="Q304" s="349"/>
      <c r="R304" s="349"/>
      <c r="S304" s="349"/>
      <c r="T304" s="343"/>
      <c r="U304" s="349"/>
      <c r="V304" s="349"/>
    </row>
    <row r="305" spans="1:22" x14ac:dyDescent="0.25">
      <c r="A305" s="349"/>
      <c r="B305" s="19"/>
      <c r="C305" s="175"/>
      <c r="D305" s="175"/>
      <c r="E305" s="2780" t="str">
        <f>IF(ISBLANK(E_EnergyFlows!E179),"",E_EnergyFlows!E179)</f>
        <v/>
      </c>
      <c r="F305" s="2476"/>
      <c r="G305" s="33" t="str">
        <f>E_EnergyFlows!G179</f>
        <v>TJ / år</v>
      </c>
      <c r="H305" s="752" t="str">
        <f>IF(ISBLANK(E_EnergyFlows!H179),"",E_EnergyFlows!H179)</f>
        <v/>
      </c>
      <c r="I305" s="752" t="str">
        <f>IF(ISBLANK(E_EnergyFlows!I179),"",E_EnergyFlows!I179)</f>
        <v/>
      </c>
      <c r="J305" s="752" t="str">
        <f>IF(ISBLANK(E_EnergyFlows!J179),"",E_EnergyFlows!J179)</f>
        <v/>
      </c>
      <c r="K305" s="412" t="str">
        <f>IF(ISBLANK(E_EnergyFlows!K179),"",E_EnergyFlows!K179)</f>
        <v/>
      </c>
      <c r="L305" s="412" t="str">
        <f>IF(ISBLANK(E_EnergyFlows!L179),"",E_EnergyFlows!L179)</f>
        <v/>
      </c>
      <c r="M305" s="412" t="str">
        <f>IF(ISBLANK(E_EnergyFlows!M179),"",E_EnergyFlows!M179)</f>
        <v/>
      </c>
      <c r="N305" s="412" t="str">
        <f>IF(ISBLANK(E_EnergyFlows!N179),"",E_EnergyFlows!N179)</f>
        <v/>
      </c>
      <c r="O305" s="19"/>
      <c r="P305" s="349"/>
      <c r="Q305" s="349"/>
      <c r="R305" s="349"/>
      <c r="S305" s="349"/>
      <c r="T305" s="343"/>
      <c r="U305" s="349"/>
      <c r="V305" s="349"/>
    </row>
    <row r="306" spans="1:22" x14ac:dyDescent="0.25">
      <c r="A306" s="349"/>
      <c r="B306" s="19"/>
      <c r="C306" s="175"/>
      <c r="D306" s="175"/>
      <c r="E306" s="2780" t="str">
        <f>IF(ISBLANK(E_EnergyFlows!E180),"",E_EnergyFlows!E180)</f>
        <v/>
      </c>
      <c r="F306" s="2476"/>
      <c r="G306" s="33" t="str">
        <f>E_EnergyFlows!G180</f>
        <v>TJ / år</v>
      </c>
      <c r="H306" s="752" t="str">
        <f>IF(ISBLANK(E_EnergyFlows!H180),"",E_EnergyFlows!H180)</f>
        <v/>
      </c>
      <c r="I306" s="752" t="str">
        <f>IF(ISBLANK(E_EnergyFlows!I180),"",E_EnergyFlows!I180)</f>
        <v/>
      </c>
      <c r="J306" s="752" t="str">
        <f>IF(ISBLANK(E_EnergyFlows!J180),"",E_EnergyFlows!J180)</f>
        <v/>
      </c>
      <c r="K306" s="412" t="str">
        <f>IF(ISBLANK(E_EnergyFlows!K180),"",E_EnergyFlows!K180)</f>
        <v/>
      </c>
      <c r="L306" s="412" t="str">
        <f>IF(ISBLANK(E_EnergyFlows!L180),"",E_EnergyFlows!L180)</f>
        <v/>
      </c>
      <c r="M306" s="412" t="str">
        <f>IF(ISBLANK(E_EnergyFlows!M180),"",E_EnergyFlows!M180)</f>
        <v/>
      </c>
      <c r="N306" s="412" t="str">
        <f>IF(ISBLANK(E_EnergyFlows!N180),"",E_EnergyFlows!N180)</f>
        <v/>
      </c>
      <c r="O306" s="19"/>
      <c r="P306" s="349"/>
      <c r="Q306" s="349"/>
      <c r="R306" s="349"/>
      <c r="S306" s="349"/>
      <c r="T306" s="343"/>
      <c r="U306" s="349"/>
      <c r="V306" s="349"/>
    </row>
    <row r="307" spans="1:22" x14ac:dyDescent="0.25">
      <c r="A307" s="349"/>
      <c r="B307" s="19"/>
      <c r="C307" s="175"/>
      <c r="D307" s="175"/>
      <c r="E307" s="2781" t="str">
        <f>IF(ISBLANK(E_EnergyFlows!E181),"",E_EnergyFlows!E181)</f>
        <v/>
      </c>
      <c r="F307" s="2487"/>
      <c r="G307" s="36" t="str">
        <f>E_EnergyFlows!G181</f>
        <v>TJ / år</v>
      </c>
      <c r="H307" s="753" t="str">
        <f>IF(ISBLANK(E_EnergyFlows!H181),"",E_EnergyFlows!H181)</f>
        <v/>
      </c>
      <c r="I307" s="753" t="str">
        <f>IF(ISBLANK(E_EnergyFlows!I181),"",E_EnergyFlows!I181)</f>
        <v/>
      </c>
      <c r="J307" s="753" t="str">
        <f>IF(ISBLANK(E_EnergyFlows!J181),"",E_EnergyFlows!J181)</f>
        <v/>
      </c>
      <c r="K307" s="537" t="str">
        <f>IF(ISBLANK(E_EnergyFlows!K181),"",E_EnergyFlows!K181)</f>
        <v/>
      </c>
      <c r="L307" s="537" t="str">
        <f>IF(ISBLANK(E_EnergyFlows!L181),"",E_EnergyFlows!L181)</f>
        <v/>
      </c>
      <c r="M307" s="537" t="str">
        <f>IF(ISBLANK(E_EnergyFlows!M181),"",E_EnergyFlows!M181)</f>
        <v/>
      </c>
      <c r="N307" s="537" t="str">
        <f>IF(ISBLANK(E_EnergyFlows!N181),"",E_EnergyFlows!N181)</f>
        <v/>
      </c>
      <c r="O307" s="19"/>
      <c r="P307" s="349"/>
      <c r="Q307" s="349"/>
      <c r="R307" s="349"/>
      <c r="S307" s="349"/>
      <c r="T307" s="343"/>
      <c r="U307" s="349"/>
      <c r="V307" s="349"/>
    </row>
    <row r="308" spans="1:22" ht="12.65" customHeight="1" x14ac:dyDescent="0.25">
      <c r="A308" s="349"/>
      <c r="B308" s="19"/>
      <c r="C308" s="175"/>
      <c r="D308" s="175"/>
      <c r="E308" s="2496" t="str">
        <f>E_EnergyFlows!E182</f>
        <v>Total värme som exporteras till ETS-anläggningar</v>
      </c>
      <c r="F308" s="1997"/>
      <c r="G308" s="46" t="str">
        <f>E_EnergyFlows!G182</f>
        <v>TJ / år</v>
      </c>
      <c r="H308" s="756" t="str">
        <f>E_EnergyFlows!H182</f>
        <v/>
      </c>
      <c r="I308" s="756" t="str">
        <f>E_EnergyFlows!I182</f>
        <v/>
      </c>
      <c r="J308" s="756" t="str">
        <f>E_EnergyFlows!J182</f>
        <v/>
      </c>
      <c r="K308" s="256" t="str">
        <f>E_EnergyFlows!K182</f>
        <v/>
      </c>
      <c r="L308" s="256" t="str">
        <f>E_EnergyFlows!L182</f>
        <v/>
      </c>
      <c r="M308" s="256" t="str">
        <f>E_EnergyFlows!M182</f>
        <v/>
      </c>
      <c r="N308" s="256" t="str">
        <f>E_EnergyFlows!N182</f>
        <v/>
      </c>
      <c r="O308" s="19"/>
      <c r="P308" s="349"/>
      <c r="Q308" s="349"/>
      <c r="R308" s="349"/>
      <c r="S308" s="349"/>
      <c r="T308" s="343"/>
      <c r="U308" s="349"/>
      <c r="V308" s="349"/>
    </row>
    <row r="309" spans="1:22" ht="5.15" customHeight="1" x14ac:dyDescent="0.25">
      <c r="A309" s="349"/>
      <c r="B309" s="3"/>
      <c r="C309" s="3"/>
      <c r="D309" s="3"/>
      <c r="E309" s="3"/>
      <c r="F309" s="3"/>
      <c r="G309" s="3"/>
      <c r="H309" s="3"/>
      <c r="I309" s="3"/>
      <c r="J309" s="3"/>
      <c r="K309" s="3"/>
      <c r="L309" s="3"/>
      <c r="M309" s="3"/>
      <c r="N309" s="3"/>
      <c r="O309" s="19"/>
      <c r="P309" s="410"/>
      <c r="Q309" s="349"/>
      <c r="R309" s="349"/>
      <c r="S309" s="349"/>
      <c r="T309" s="343"/>
      <c r="U309" s="349"/>
      <c r="V309" s="349"/>
    </row>
    <row r="310" spans="1:22" ht="13" customHeight="1" x14ac:dyDescent="0.25">
      <c r="A310" s="349"/>
      <c r="B310" s="3"/>
      <c r="C310" s="13"/>
      <c r="D310" s="13" t="str">
        <f>E_EnergyFlows!D186</f>
        <v>(j)</v>
      </c>
      <c r="E310" s="2106" t="str">
        <f>E_EnergyFlows!E186</f>
        <v>Delsumma: återstående total mätbar värme, potentiellt tillhörande delanläggningar med värmeriktmärke (= e–g–h–i):</v>
      </c>
      <c r="F310" s="1960"/>
      <c r="G310" s="1960"/>
      <c r="H310" s="1960"/>
      <c r="I310" s="1960"/>
      <c r="J310" s="1960"/>
      <c r="K310" s="1960"/>
      <c r="L310" s="1960"/>
      <c r="M310" s="1960"/>
      <c r="N310" s="1960"/>
      <c r="O310" s="19"/>
      <c r="P310" s="410"/>
      <c r="Q310" s="349"/>
      <c r="R310" s="349"/>
      <c r="S310" s="349"/>
      <c r="T310" s="343"/>
      <c r="U310" s="349"/>
      <c r="V310" s="349"/>
    </row>
    <row r="311" spans="1:22" ht="5.15" customHeight="1" x14ac:dyDescent="0.25">
      <c r="A311" s="349"/>
      <c r="B311" s="3"/>
      <c r="C311" s="3"/>
      <c r="D311" s="3"/>
      <c r="E311" s="3"/>
      <c r="F311" s="3"/>
      <c r="G311" s="3"/>
      <c r="H311" s="3"/>
      <c r="I311" s="3"/>
      <c r="J311" s="3"/>
      <c r="K311" s="3"/>
      <c r="L311" s="3"/>
      <c r="M311" s="3"/>
      <c r="N311" s="3"/>
      <c r="O311" s="19"/>
      <c r="P311" s="410"/>
      <c r="Q311" s="349"/>
      <c r="R311" s="349"/>
      <c r="S311" s="349"/>
      <c r="T311" s="343"/>
      <c r="U311" s="349"/>
      <c r="V311" s="349"/>
    </row>
    <row r="312" spans="1:22" ht="13" x14ac:dyDescent="0.25">
      <c r="A312" s="349"/>
      <c r="B312" s="19"/>
      <c r="C312" s="19"/>
      <c r="D312" s="19"/>
      <c r="E312" s="24"/>
      <c r="F312" s="21"/>
      <c r="G312" s="30" t="str">
        <f>E_EnergyFlows!G188</f>
        <v>Enhet</v>
      </c>
      <c r="H312" s="320">
        <f>E_EnergyFlows!H188</f>
        <v>2019</v>
      </c>
      <c r="I312" s="320">
        <f>E_EnergyFlows!I188</f>
        <v>2020</v>
      </c>
      <c r="J312" s="320">
        <f>E_EnergyFlows!J188</f>
        <v>2021</v>
      </c>
      <c r="K312" s="320">
        <f>E_EnergyFlows!K188</f>
        <v>2022</v>
      </c>
      <c r="L312" s="320">
        <f>E_EnergyFlows!L188</f>
        <v>2023</v>
      </c>
      <c r="M312" s="320">
        <f>E_EnergyFlows!M188</f>
        <v>2024</v>
      </c>
      <c r="N312" s="320">
        <f>E_EnergyFlows!N188</f>
        <v>2025</v>
      </c>
      <c r="O312" s="19"/>
      <c r="P312" s="349"/>
      <c r="Q312" s="349"/>
      <c r="R312" s="349"/>
      <c r="S312" s="349"/>
      <c r="T312" s="343"/>
      <c r="U312" s="349"/>
      <c r="V312" s="349"/>
    </row>
    <row r="313" spans="1:22" x14ac:dyDescent="0.25">
      <c r="A313" s="349"/>
      <c r="B313" s="19"/>
      <c r="C313" s="175"/>
      <c r="D313" s="175"/>
      <c r="E313" s="2129" t="str">
        <f>E_EnergyFlows!E189</f>
        <v>Delsumma:</v>
      </c>
      <c r="F313" s="1997"/>
      <c r="G313" s="47" t="str">
        <f>E_EnergyFlows!G189</f>
        <v>TJ / år</v>
      </c>
      <c r="H313" s="750" t="str">
        <f>E_EnergyFlows!H189</f>
        <v/>
      </c>
      <c r="I313" s="750" t="str">
        <f>E_EnergyFlows!I189</f>
        <v/>
      </c>
      <c r="J313" s="750" t="str">
        <f>E_EnergyFlows!J189</f>
        <v/>
      </c>
      <c r="K313" s="258" t="str">
        <f>E_EnergyFlows!K189</f>
        <v/>
      </c>
      <c r="L313" s="258" t="str">
        <f>E_EnergyFlows!L189</f>
        <v/>
      </c>
      <c r="M313" s="258" t="str">
        <f>E_EnergyFlows!M189</f>
        <v/>
      </c>
      <c r="N313" s="258" t="str">
        <f>E_EnergyFlows!N189</f>
        <v/>
      </c>
      <c r="O313" s="19"/>
      <c r="P313" s="349"/>
      <c r="Q313" s="349"/>
      <c r="R313" s="349"/>
      <c r="S313" s="349"/>
      <c r="T313" s="343"/>
      <c r="U313" s="349"/>
      <c r="V313" s="349"/>
    </row>
    <row r="314" spans="1:22" ht="5.15" customHeight="1" x14ac:dyDescent="0.25">
      <c r="A314" s="349"/>
      <c r="B314" s="3"/>
      <c r="C314" s="3"/>
      <c r="D314" s="3"/>
      <c r="E314" s="3"/>
      <c r="F314" s="3"/>
      <c r="G314" s="3"/>
      <c r="H314" s="3"/>
      <c r="I314" s="3"/>
      <c r="J314" s="3"/>
      <c r="K314" s="3"/>
      <c r="L314" s="3"/>
      <c r="M314" s="3"/>
      <c r="N314" s="3"/>
      <c r="O314" s="19"/>
      <c r="P314" s="410"/>
      <c r="Q314" s="349"/>
      <c r="R314" s="349"/>
      <c r="S314" s="349"/>
      <c r="T314" s="343"/>
      <c r="U314" s="349"/>
      <c r="V314" s="349"/>
    </row>
    <row r="315" spans="1:22" ht="12.65" customHeight="1" x14ac:dyDescent="0.25">
      <c r="A315" s="349"/>
      <c r="B315" s="19"/>
      <c r="C315" s="175"/>
      <c r="D315" s="175"/>
      <c r="E315" s="2787" t="str">
        <f>E_EnergyFlows!E193</f>
        <v>berättigande p.g.a. ursprung:</v>
      </c>
      <c r="F315" s="2484"/>
      <c r="G315" s="32" t="str">
        <f>E_EnergyFlows!G193</f>
        <v>TJ / år</v>
      </c>
      <c r="H315" s="751" t="str">
        <f>E_EnergyFlows!H193</f>
        <v/>
      </c>
      <c r="I315" s="751" t="str">
        <f>E_EnergyFlows!I193</f>
        <v/>
      </c>
      <c r="J315" s="751" t="str">
        <f>E_EnergyFlows!J193</f>
        <v/>
      </c>
      <c r="K315" s="276" t="str">
        <f>E_EnergyFlows!K193</f>
        <v/>
      </c>
      <c r="L315" s="276" t="str">
        <f>E_EnergyFlows!L193</f>
        <v/>
      </c>
      <c r="M315" s="276" t="str">
        <f>E_EnergyFlows!M193</f>
        <v/>
      </c>
      <c r="N315" s="276" t="str">
        <f>E_EnergyFlows!N193</f>
        <v/>
      </c>
      <c r="O315" s="19"/>
      <c r="P315" s="349"/>
      <c r="Q315" s="349"/>
      <c r="R315" s="349"/>
      <c r="S315" s="349"/>
      <c r="T315" s="343"/>
      <c r="U315" s="349"/>
      <c r="V315" s="349"/>
    </row>
    <row r="316" spans="1:22" ht="12.65" customHeight="1" x14ac:dyDescent="0.25">
      <c r="A316" s="349"/>
      <c r="B316" s="19"/>
      <c r="C316" s="175"/>
      <c r="D316" s="175"/>
      <c r="E316" s="2788" t="str">
        <f>E_EnergyFlows!E194</f>
        <v>icke-berättigande p.g.a. ursprung:</v>
      </c>
      <c r="F316" s="2487"/>
      <c r="G316" s="36" t="str">
        <f>E_EnergyFlows!G194</f>
        <v>TJ / år</v>
      </c>
      <c r="H316" s="753" t="str">
        <f>E_EnergyFlows!H194</f>
        <v/>
      </c>
      <c r="I316" s="753" t="str">
        <f>E_EnergyFlows!I194</f>
        <v/>
      </c>
      <c r="J316" s="753" t="str">
        <f>E_EnergyFlows!J194</f>
        <v/>
      </c>
      <c r="K316" s="275" t="str">
        <f>E_EnergyFlows!K194</f>
        <v/>
      </c>
      <c r="L316" s="275" t="str">
        <f>E_EnergyFlows!L194</f>
        <v/>
      </c>
      <c r="M316" s="275" t="str">
        <f>E_EnergyFlows!M194</f>
        <v/>
      </c>
      <c r="N316" s="275" t="str">
        <f>E_EnergyFlows!N194</f>
        <v/>
      </c>
      <c r="O316" s="19"/>
      <c r="P316" s="349"/>
      <c r="Q316" s="349"/>
      <c r="R316" s="349"/>
      <c r="S316" s="349"/>
      <c r="T316" s="343"/>
      <c r="U316" s="349"/>
      <c r="V316" s="349"/>
    </row>
    <row r="317" spans="1:22" ht="5.15" customHeight="1" x14ac:dyDescent="0.25">
      <c r="A317" s="349"/>
      <c r="B317" s="19"/>
      <c r="C317" s="19"/>
      <c r="D317" s="19"/>
      <c r="E317" s="19"/>
      <c r="F317" s="19"/>
      <c r="G317" s="19"/>
      <c r="H317" s="19"/>
      <c r="I317" s="19"/>
      <c r="J317" s="19"/>
      <c r="K317" s="19"/>
      <c r="L317" s="19"/>
      <c r="M317" s="19"/>
      <c r="N317" s="19"/>
      <c r="O317" s="19"/>
      <c r="P317" s="349"/>
      <c r="Q317" s="349"/>
      <c r="R317" s="349"/>
      <c r="S317" s="349"/>
      <c r="T317" s="343"/>
      <c r="U317" s="349"/>
      <c r="V317" s="349"/>
    </row>
    <row r="318" spans="1:22" ht="13" customHeight="1" x14ac:dyDescent="0.25">
      <c r="A318" s="349"/>
      <c r="B318" s="3"/>
      <c r="C318" s="13"/>
      <c r="D318" s="13" t="str">
        <f>E_EnergyFlows!D196</f>
        <v>(k)</v>
      </c>
      <c r="E318" s="2062" t="str">
        <f>E_EnergyFlows!E196</f>
        <v>Berättigandekvot för återstående värme som beräknas i punkt j:</v>
      </c>
      <c r="F318" s="2497"/>
      <c r="G318" s="2497"/>
      <c r="H318" s="2497"/>
      <c r="I318" s="2497"/>
      <c r="J318" s="2497"/>
      <c r="K318" s="2497"/>
      <c r="L318" s="2497"/>
      <c r="M318" s="2497"/>
      <c r="N318" s="2497"/>
      <c r="O318" s="19"/>
      <c r="P318" s="410"/>
      <c r="Q318" s="349"/>
      <c r="R318" s="349"/>
      <c r="S318" s="349"/>
      <c r="T318" s="343"/>
      <c r="U318" s="349"/>
      <c r="V318" s="349"/>
    </row>
    <row r="319" spans="1:22" ht="13" customHeight="1" x14ac:dyDescent="0.25">
      <c r="A319" s="349"/>
      <c r="B319" s="19"/>
      <c r="C319" s="175"/>
      <c r="D319" s="175"/>
      <c r="E319" s="2784" t="str">
        <f>E_EnergyFlows!E197</f>
        <v>korrigerad berättigandekvot (= j.ii/j.i):</v>
      </c>
      <c r="F319" s="1997"/>
      <c r="G319" s="472" t="str">
        <f>E_EnergyFlows!G197</f>
        <v>%</v>
      </c>
      <c r="H319" s="757" t="str">
        <f>E_EnergyFlows!H197</f>
        <v/>
      </c>
      <c r="I319" s="757" t="str">
        <f>E_EnergyFlows!I197</f>
        <v/>
      </c>
      <c r="J319" s="757" t="str">
        <f>E_EnergyFlows!J197</f>
        <v/>
      </c>
      <c r="K319" s="254" t="str">
        <f>E_EnergyFlows!K197</f>
        <v/>
      </c>
      <c r="L319" s="254" t="str">
        <f>E_EnergyFlows!L197</f>
        <v/>
      </c>
      <c r="M319" s="254" t="str">
        <f>E_EnergyFlows!M197</f>
        <v/>
      </c>
      <c r="N319" s="254" t="str">
        <f>E_EnergyFlows!N197</f>
        <v/>
      </c>
      <c r="O319" s="19"/>
      <c r="P319" s="349"/>
      <c r="Q319" s="349"/>
      <c r="R319" s="349"/>
      <c r="S319" s="349"/>
      <c r="T319" s="343"/>
      <c r="U319" s="349"/>
      <c r="V319" s="349"/>
    </row>
    <row r="320" spans="1:22" ht="5.15" customHeight="1" x14ac:dyDescent="0.25">
      <c r="A320" s="349"/>
      <c r="B320" s="3"/>
      <c r="C320" s="3"/>
      <c r="D320" s="3"/>
      <c r="E320" s="3"/>
      <c r="F320" s="3"/>
      <c r="G320" s="3"/>
      <c r="H320" s="3"/>
      <c r="I320" s="3"/>
      <c r="J320" s="3"/>
      <c r="K320" s="3"/>
      <c r="L320" s="3"/>
      <c r="M320" s="3"/>
      <c r="N320" s="3"/>
      <c r="O320" s="19"/>
      <c r="P320" s="410"/>
      <c r="Q320" s="349"/>
      <c r="R320" s="349"/>
      <c r="S320" s="349"/>
      <c r="T320" s="343"/>
      <c r="U320" s="349"/>
      <c r="V320" s="349"/>
    </row>
    <row r="321" spans="1:22" ht="13" customHeight="1" x14ac:dyDescent="0.25">
      <c r="A321" s="349"/>
      <c r="B321" s="3"/>
      <c r="C321" s="13"/>
      <c r="D321" s="13" t="str">
        <f>E_EnergyFlows!D199</f>
        <v>(l)</v>
      </c>
      <c r="E321" s="2062" t="str">
        <f>E_EnergyFlows!E199</f>
        <v>Nettomängd mätbar värme som förbrukas vid anläggningen och som kan ingå i värmeriktmärke:</v>
      </c>
      <c r="F321" s="2497"/>
      <c r="G321" s="2497"/>
      <c r="H321" s="2497"/>
      <c r="I321" s="2497"/>
      <c r="J321" s="2497"/>
      <c r="K321" s="2497"/>
      <c r="L321" s="2497"/>
      <c r="M321" s="2497"/>
      <c r="N321" s="2497"/>
      <c r="O321" s="19"/>
      <c r="P321" s="410"/>
      <c r="Q321" s="349"/>
      <c r="R321" s="349"/>
      <c r="S321" s="349"/>
      <c r="T321" s="343"/>
      <c r="U321" s="349"/>
      <c r="V321" s="349"/>
    </row>
    <row r="322" spans="1:22" ht="12.65" customHeight="1" x14ac:dyDescent="0.25">
      <c r="A322" s="349"/>
      <c r="B322" s="19"/>
      <c r="C322" s="19"/>
      <c r="D322" s="19"/>
      <c r="E322" s="2129" t="str">
        <f>E_EnergyFlows!E201</f>
        <v>Värme som förbrukas inom anläggningen</v>
      </c>
      <c r="F322" s="1997"/>
      <c r="G322" s="47" t="str">
        <f>E_EnergyFlows!G201</f>
        <v>TJ / år</v>
      </c>
      <c r="H322" s="750" t="str">
        <f>IF(ISBLANK(E_EnergyFlows!H201),"",E_EnergyFlows!H201)</f>
        <v/>
      </c>
      <c r="I322" s="750" t="str">
        <f>IF(ISBLANK(E_EnergyFlows!I201),"",E_EnergyFlows!I201)</f>
        <v/>
      </c>
      <c r="J322" s="750" t="str">
        <f>IF(ISBLANK(E_EnergyFlows!J201),"",E_EnergyFlows!J201)</f>
        <v/>
      </c>
      <c r="K322" s="351" t="str">
        <f>IF(ISBLANK(E_EnergyFlows!K201),"",E_EnergyFlows!K201)</f>
        <v/>
      </c>
      <c r="L322" s="351" t="str">
        <f>IF(ISBLANK(E_EnergyFlows!L201),"",E_EnergyFlows!L201)</f>
        <v/>
      </c>
      <c r="M322" s="351" t="str">
        <f>IF(ISBLANK(E_EnergyFlows!M201),"",E_EnergyFlows!M201)</f>
        <v/>
      </c>
      <c r="N322" s="351" t="str">
        <f>IF(ISBLANK(E_EnergyFlows!N201),"",E_EnergyFlows!N201)</f>
        <v/>
      </c>
      <c r="O322" s="19"/>
      <c r="P322" s="349"/>
      <c r="Q322" s="349"/>
      <c r="R322" s="349"/>
      <c r="S322" s="349"/>
      <c r="T322" s="343"/>
      <c r="U322" s="349"/>
      <c r="V322" s="349"/>
    </row>
    <row r="323" spans="1:22" ht="5.15" customHeight="1" x14ac:dyDescent="0.25">
      <c r="A323" s="349"/>
      <c r="B323" s="3"/>
      <c r="C323" s="3"/>
      <c r="D323" s="3"/>
      <c r="E323" s="3"/>
      <c r="F323" s="3"/>
      <c r="G323" s="3"/>
      <c r="H323" s="3"/>
      <c r="I323" s="3"/>
      <c r="J323" s="3"/>
      <c r="K323" s="3"/>
      <c r="L323" s="3"/>
      <c r="M323" s="3"/>
      <c r="N323" s="3"/>
      <c r="O323" s="19"/>
      <c r="P323" s="410"/>
      <c r="Q323" s="349"/>
      <c r="R323" s="349"/>
      <c r="S323" s="349"/>
      <c r="T323" s="343"/>
      <c r="U323" s="349"/>
      <c r="V323" s="349"/>
    </row>
    <row r="324" spans="1:22" ht="13" customHeight="1" x14ac:dyDescent="0.25">
      <c r="A324" s="349"/>
      <c r="B324" s="19"/>
      <c r="C324" s="13"/>
      <c r="D324" s="13" t="str">
        <f>E_EnergyFlows!D203</f>
        <v>(m)</v>
      </c>
      <c r="E324" s="2106" t="str">
        <f>E_EnergyFlows!E203</f>
        <v>Värme som exporteras till anläggningar eller enheter utanför ETS (t.ex. fjärrvärmenät):</v>
      </c>
      <c r="F324" s="1960"/>
      <c r="G324" s="1960"/>
      <c r="H324" s="1960"/>
      <c r="I324" s="1960"/>
      <c r="J324" s="1960"/>
      <c r="K324" s="1960"/>
      <c r="L324" s="1960"/>
      <c r="M324" s="1960"/>
      <c r="N324" s="1960"/>
      <c r="O324" s="19"/>
      <c r="P324" s="349"/>
      <c r="Q324" s="349"/>
      <c r="R324" s="349"/>
      <c r="S324" s="349"/>
      <c r="T324" s="343"/>
      <c r="U324" s="349"/>
      <c r="V324" s="349"/>
    </row>
    <row r="325" spans="1:22" ht="13" customHeight="1" x14ac:dyDescent="0.25">
      <c r="A325" s="349"/>
      <c r="B325" s="19"/>
      <c r="C325" s="19"/>
      <c r="D325" s="19"/>
      <c r="E325" s="2062" t="str">
        <f>E_EnergyFlows!E206</f>
        <v>Namn på mottagande enhet eller anläggning</v>
      </c>
      <c r="F325" s="2497"/>
      <c r="G325" s="30" t="str">
        <f>E_EnergyFlows!G206</f>
        <v>Enhet</v>
      </c>
      <c r="H325" s="350">
        <f>E_EnergyFlows!H206</f>
        <v>2019</v>
      </c>
      <c r="I325" s="350">
        <f>E_EnergyFlows!I206</f>
        <v>2020</v>
      </c>
      <c r="J325" s="350">
        <f>E_EnergyFlows!J206</f>
        <v>2021</v>
      </c>
      <c r="K325" s="350">
        <f>E_EnergyFlows!K206</f>
        <v>2022</v>
      </c>
      <c r="L325" s="350">
        <f>E_EnergyFlows!L206</f>
        <v>2023</v>
      </c>
      <c r="M325" s="350">
        <f>E_EnergyFlows!M206</f>
        <v>2024</v>
      </c>
      <c r="N325" s="350">
        <f>E_EnergyFlows!N206</f>
        <v>2025</v>
      </c>
      <c r="O325" s="19"/>
      <c r="P325" s="349"/>
      <c r="Q325" s="349"/>
      <c r="R325" s="349"/>
      <c r="S325" s="349"/>
      <c r="T325" s="343"/>
      <c r="U325" s="349"/>
      <c r="V325" s="349"/>
    </row>
    <row r="326" spans="1:22" x14ac:dyDescent="0.25">
      <c r="A326" s="349"/>
      <c r="B326" s="19"/>
      <c r="C326" s="175"/>
      <c r="D326" s="175"/>
      <c r="E326" s="2783" t="str">
        <f>IF(ISBLANK(E_EnergyFlows!E207),"",E_EnergyFlows!E207)</f>
        <v/>
      </c>
      <c r="F326" s="2484"/>
      <c r="G326" s="33" t="str">
        <f>E_EnergyFlows!G207</f>
        <v>TJ / år</v>
      </c>
      <c r="H326" s="755" t="str">
        <f>IF(ISBLANK(E_EnergyFlows!H207),"",E_EnergyFlows!H207)</f>
        <v/>
      </c>
      <c r="I326" s="755" t="str">
        <f>IF(ISBLANK(E_EnergyFlows!I207),"",E_EnergyFlows!I207)</f>
        <v/>
      </c>
      <c r="J326" s="755" t="str">
        <f>IF(ISBLANK(E_EnergyFlows!J207),"",E_EnergyFlows!J207)</f>
        <v/>
      </c>
      <c r="K326" s="650" t="str">
        <f>IF(ISBLANK(E_EnergyFlows!K207),"",E_EnergyFlows!K207)</f>
        <v/>
      </c>
      <c r="L326" s="650" t="str">
        <f>IF(ISBLANK(E_EnergyFlows!L207),"",E_EnergyFlows!L207)</f>
        <v/>
      </c>
      <c r="M326" s="650" t="str">
        <f>IF(ISBLANK(E_EnergyFlows!M207),"",E_EnergyFlows!M207)</f>
        <v/>
      </c>
      <c r="N326" s="650" t="str">
        <f>IF(ISBLANK(E_EnergyFlows!N207),"",E_EnergyFlows!N207)</f>
        <v/>
      </c>
      <c r="O326" s="19"/>
      <c r="P326" s="349"/>
      <c r="Q326" s="349"/>
      <c r="R326" s="349"/>
      <c r="S326" s="349"/>
      <c r="T326" s="343"/>
      <c r="U326" s="349"/>
      <c r="V326" s="349"/>
    </row>
    <row r="327" spans="1:22" x14ac:dyDescent="0.25">
      <c r="A327" s="349"/>
      <c r="B327" s="19"/>
      <c r="C327" s="175"/>
      <c r="D327" s="175"/>
      <c r="E327" s="2780" t="str">
        <f>IF(ISBLANK(E_EnergyFlows!E208),"",E_EnergyFlows!E208)</f>
        <v/>
      </c>
      <c r="F327" s="2476"/>
      <c r="G327" s="33" t="str">
        <f>E_EnergyFlows!G208</f>
        <v>TJ / år</v>
      </c>
      <c r="H327" s="752" t="str">
        <f>IF(ISBLANK(E_EnergyFlows!H208),"",E_EnergyFlows!H208)</f>
        <v/>
      </c>
      <c r="I327" s="752" t="str">
        <f>IF(ISBLANK(E_EnergyFlows!I208),"",E_EnergyFlows!I208)</f>
        <v/>
      </c>
      <c r="J327" s="752" t="str">
        <f>IF(ISBLANK(E_EnergyFlows!J208),"",E_EnergyFlows!J208)</f>
        <v/>
      </c>
      <c r="K327" s="412" t="str">
        <f>IF(ISBLANK(E_EnergyFlows!K208),"",E_EnergyFlows!K208)</f>
        <v/>
      </c>
      <c r="L327" s="412" t="str">
        <f>IF(ISBLANK(E_EnergyFlows!L208),"",E_EnergyFlows!L208)</f>
        <v/>
      </c>
      <c r="M327" s="412" t="str">
        <f>IF(ISBLANK(E_EnergyFlows!M208),"",E_EnergyFlows!M208)</f>
        <v/>
      </c>
      <c r="N327" s="412" t="str">
        <f>IF(ISBLANK(E_EnergyFlows!N208),"",E_EnergyFlows!N208)</f>
        <v/>
      </c>
      <c r="O327" s="19"/>
      <c r="P327" s="349"/>
      <c r="Q327" s="349"/>
      <c r="R327" s="349"/>
      <c r="S327" s="349"/>
      <c r="T327" s="343"/>
      <c r="U327" s="349"/>
      <c r="V327" s="349"/>
    </row>
    <row r="328" spans="1:22" x14ac:dyDescent="0.25">
      <c r="A328" s="349"/>
      <c r="B328" s="19"/>
      <c r="C328" s="175"/>
      <c r="D328" s="175"/>
      <c r="E328" s="2780" t="str">
        <f>IF(ISBLANK(E_EnergyFlows!E209),"",E_EnergyFlows!E209)</f>
        <v/>
      </c>
      <c r="F328" s="2476"/>
      <c r="G328" s="33" t="str">
        <f>E_EnergyFlows!G209</f>
        <v>TJ / år</v>
      </c>
      <c r="H328" s="752" t="str">
        <f>IF(ISBLANK(E_EnergyFlows!H209),"",E_EnergyFlows!H209)</f>
        <v/>
      </c>
      <c r="I328" s="752" t="str">
        <f>IF(ISBLANK(E_EnergyFlows!I209),"",E_EnergyFlows!I209)</f>
        <v/>
      </c>
      <c r="J328" s="752" t="str">
        <f>IF(ISBLANK(E_EnergyFlows!J209),"",E_EnergyFlows!J209)</f>
        <v/>
      </c>
      <c r="K328" s="412" t="str">
        <f>IF(ISBLANK(E_EnergyFlows!K209),"",E_EnergyFlows!K209)</f>
        <v/>
      </c>
      <c r="L328" s="412" t="str">
        <f>IF(ISBLANK(E_EnergyFlows!L209),"",E_EnergyFlows!L209)</f>
        <v/>
      </c>
      <c r="M328" s="412" t="str">
        <f>IF(ISBLANK(E_EnergyFlows!M209),"",E_EnergyFlows!M209)</f>
        <v/>
      </c>
      <c r="N328" s="412" t="str">
        <f>IF(ISBLANK(E_EnergyFlows!N209),"",E_EnergyFlows!N209)</f>
        <v/>
      </c>
      <c r="O328" s="19"/>
      <c r="P328" s="349"/>
      <c r="Q328" s="349"/>
      <c r="R328" s="349"/>
      <c r="S328" s="349"/>
      <c r="T328" s="343"/>
      <c r="U328" s="349"/>
      <c r="V328" s="349"/>
    </row>
    <row r="329" spans="1:22" x14ac:dyDescent="0.25">
      <c r="A329" s="349"/>
      <c r="B329" s="19"/>
      <c r="C329" s="175"/>
      <c r="D329" s="175"/>
      <c r="E329" s="2780" t="str">
        <f>IF(ISBLANK(E_EnergyFlows!E210),"",E_EnergyFlows!E210)</f>
        <v/>
      </c>
      <c r="F329" s="2476"/>
      <c r="G329" s="33" t="str">
        <f>E_EnergyFlows!G210</f>
        <v>TJ / år</v>
      </c>
      <c r="H329" s="752" t="str">
        <f>IF(ISBLANK(E_EnergyFlows!H210),"",E_EnergyFlows!H210)</f>
        <v/>
      </c>
      <c r="I329" s="752" t="str">
        <f>IF(ISBLANK(E_EnergyFlows!I210),"",E_EnergyFlows!I210)</f>
        <v/>
      </c>
      <c r="J329" s="752" t="str">
        <f>IF(ISBLANK(E_EnergyFlows!J210),"",E_EnergyFlows!J210)</f>
        <v/>
      </c>
      <c r="K329" s="412" t="str">
        <f>IF(ISBLANK(E_EnergyFlows!K210),"",E_EnergyFlows!K210)</f>
        <v/>
      </c>
      <c r="L329" s="412" t="str">
        <f>IF(ISBLANK(E_EnergyFlows!L210),"",E_EnergyFlows!L210)</f>
        <v/>
      </c>
      <c r="M329" s="412" t="str">
        <f>IF(ISBLANK(E_EnergyFlows!M210),"",E_EnergyFlows!M210)</f>
        <v/>
      </c>
      <c r="N329" s="412" t="str">
        <f>IF(ISBLANK(E_EnergyFlows!N210),"",E_EnergyFlows!N210)</f>
        <v/>
      </c>
      <c r="O329" s="19"/>
      <c r="P329" s="349"/>
      <c r="Q329" s="349"/>
      <c r="R329" s="349"/>
      <c r="S329" s="349"/>
      <c r="T329" s="343"/>
      <c r="U329" s="349"/>
      <c r="V329" s="349"/>
    </row>
    <row r="330" spans="1:22" x14ac:dyDescent="0.25">
      <c r="A330" s="349"/>
      <c r="B330" s="19"/>
      <c r="C330" s="175"/>
      <c r="D330" s="175"/>
      <c r="E330" s="2781" t="str">
        <f>IF(ISBLANK(E_EnergyFlows!E211),"",E_EnergyFlows!E211)</f>
        <v/>
      </c>
      <c r="F330" s="2487"/>
      <c r="G330" s="36" t="str">
        <f>E_EnergyFlows!G211</f>
        <v>TJ / år</v>
      </c>
      <c r="H330" s="753" t="str">
        <f>IF(ISBLANK(E_EnergyFlows!H211),"",E_EnergyFlows!H211)</f>
        <v/>
      </c>
      <c r="I330" s="753" t="str">
        <f>IF(ISBLANK(E_EnergyFlows!I211),"",E_EnergyFlows!I211)</f>
        <v/>
      </c>
      <c r="J330" s="753" t="str">
        <f>IF(ISBLANK(E_EnergyFlows!J211),"",E_EnergyFlows!J211)</f>
        <v/>
      </c>
      <c r="K330" s="537" t="str">
        <f>IF(ISBLANK(E_EnergyFlows!K211),"",E_EnergyFlows!K211)</f>
        <v/>
      </c>
      <c r="L330" s="537" t="str">
        <f>IF(ISBLANK(E_EnergyFlows!L211),"",E_EnergyFlows!L211)</f>
        <v/>
      </c>
      <c r="M330" s="537" t="str">
        <f>IF(ISBLANK(E_EnergyFlows!M211),"",E_EnergyFlows!M211)</f>
        <v/>
      </c>
      <c r="N330" s="537" t="str">
        <f>IF(ISBLANK(E_EnergyFlows!N211),"",E_EnergyFlows!N211)</f>
        <v/>
      </c>
      <c r="O330" s="19"/>
      <c r="P330" s="349"/>
      <c r="Q330" s="349"/>
      <c r="R330" s="349"/>
      <c r="S330" s="349"/>
      <c r="T330" s="343"/>
      <c r="U330" s="349"/>
      <c r="V330" s="349"/>
    </row>
    <row r="331" spans="1:22" ht="12.65" customHeight="1" x14ac:dyDescent="0.25">
      <c r="A331" s="349"/>
      <c r="B331" s="19"/>
      <c r="C331" s="175"/>
      <c r="D331" s="175"/>
      <c r="E331" s="2496" t="str">
        <f>E_EnergyFlows!E212</f>
        <v>Total värme som exporteras utanför ETS:</v>
      </c>
      <c r="F331" s="1997"/>
      <c r="G331" s="46" t="str">
        <f>E_EnergyFlows!G212</f>
        <v>TJ / år</v>
      </c>
      <c r="H331" s="256" t="str">
        <f>E_EnergyFlows!H212</f>
        <v/>
      </c>
      <c r="I331" s="256" t="str">
        <f>E_EnergyFlows!I212</f>
        <v/>
      </c>
      <c r="J331" s="256" t="str">
        <f>E_EnergyFlows!J212</f>
        <v/>
      </c>
      <c r="K331" s="256" t="str">
        <f>E_EnergyFlows!K212</f>
        <v/>
      </c>
      <c r="L331" s="256" t="str">
        <f>E_EnergyFlows!L212</f>
        <v/>
      </c>
      <c r="M331" s="256" t="str">
        <f>E_EnergyFlows!M212</f>
        <v/>
      </c>
      <c r="N331" s="256" t="str">
        <f>E_EnergyFlows!N212</f>
        <v/>
      </c>
      <c r="O331" s="19"/>
      <c r="P331" s="349"/>
      <c r="Q331" s="349"/>
      <c r="R331" s="349"/>
      <c r="S331" s="349"/>
      <c r="T331" s="343"/>
      <c r="U331" s="349"/>
      <c r="V331" s="349"/>
    </row>
    <row r="332" spans="1:22" ht="5.15" customHeight="1" x14ac:dyDescent="0.25">
      <c r="A332" s="349"/>
      <c r="B332" s="3"/>
      <c r="C332" s="3"/>
      <c r="D332" s="3"/>
      <c r="E332" s="3"/>
      <c r="F332" s="3"/>
      <c r="G332" s="3"/>
      <c r="H332" s="3"/>
      <c r="I332" s="3"/>
      <c r="J332" s="3"/>
      <c r="K332" s="3"/>
      <c r="L332" s="3"/>
      <c r="M332" s="3"/>
      <c r="N332" s="3"/>
      <c r="O332" s="19"/>
      <c r="P332" s="410"/>
      <c r="Q332" s="349"/>
      <c r="R332" s="349"/>
      <c r="S332" s="349"/>
      <c r="T332" s="343"/>
      <c r="U332" s="349"/>
      <c r="V332" s="349"/>
    </row>
    <row r="333" spans="1:22" ht="13" customHeight="1" x14ac:dyDescent="0.25">
      <c r="A333" s="349"/>
      <c r="B333" s="19"/>
      <c r="C333" s="13"/>
      <c r="D333" s="13" t="str">
        <f>E_EnergyFlows!D214</f>
        <v>(n)</v>
      </c>
      <c r="E333" s="2106" t="str">
        <f>E_EnergyFlows!E214</f>
        <v>Värmeförluster (= j–l–m)</v>
      </c>
      <c r="F333" s="1960"/>
      <c r="G333" s="1960"/>
      <c r="H333" s="1960"/>
      <c r="I333" s="1960"/>
      <c r="J333" s="1960"/>
      <c r="K333" s="1960"/>
      <c r="L333" s="1960"/>
      <c r="M333" s="1960"/>
      <c r="N333" s="1960"/>
      <c r="O333" s="19"/>
      <c r="P333" s="349"/>
      <c r="Q333" s="349"/>
      <c r="R333" s="349"/>
      <c r="S333" s="349"/>
      <c r="T333" s="343"/>
      <c r="U333" s="349"/>
      <c r="V333" s="349"/>
    </row>
    <row r="334" spans="1:22" ht="13" x14ac:dyDescent="0.25">
      <c r="A334" s="349"/>
      <c r="B334" s="19"/>
      <c r="C334" s="19"/>
      <c r="D334" s="19"/>
      <c r="E334" s="24"/>
      <c r="F334" s="21"/>
      <c r="G334" s="30" t="str">
        <f>E_EnergyFlows!G217</f>
        <v>Enhet</v>
      </c>
      <c r="H334" s="320">
        <f>E_EnergyFlows!H217</f>
        <v>2019</v>
      </c>
      <c r="I334" s="320">
        <f>E_EnergyFlows!I217</f>
        <v>2020</v>
      </c>
      <c r="J334" s="320">
        <f>E_EnergyFlows!J217</f>
        <v>2021</v>
      </c>
      <c r="K334" s="320">
        <f>E_EnergyFlows!K217</f>
        <v>2022</v>
      </c>
      <c r="L334" s="320">
        <f>E_EnergyFlows!L217</f>
        <v>2023</v>
      </c>
      <c r="M334" s="320">
        <f>E_EnergyFlows!M217</f>
        <v>2024</v>
      </c>
      <c r="N334" s="320">
        <f>E_EnergyFlows!N217</f>
        <v>2025</v>
      </c>
      <c r="O334" s="19"/>
      <c r="P334" s="349"/>
      <c r="Q334" s="349"/>
      <c r="R334" s="349"/>
      <c r="S334" s="349"/>
      <c r="T334" s="343"/>
      <c r="U334" s="349"/>
      <c r="V334" s="349"/>
    </row>
    <row r="335" spans="1:22" ht="12.65" customHeight="1" x14ac:dyDescent="0.25">
      <c r="A335" s="349"/>
      <c r="B335" s="19"/>
      <c r="C335" s="19"/>
      <c r="D335" s="175"/>
      <c r="E335" s="2129" t="str">
        <f>E_EnergyFlows!E218</f>
        <v>Värmeförluster (beräknade)</v>
      </c>
      <c r="F335" s="1997"/>
      <c r="G335" s="47" t="str">
        <f>E_EnergyFlows!G218</f>
        <v>TJ / år</v>
      </c>
      <c r="H335" s="750" t="str">
        <f>E_EnergyFlows!H218</f>
        <v/>
      </c>
      <c r="I335" s="750" t="str">
        <f>E_EnergyFlows!I218</f>
        <v/>
      </c>
      <c r="J335" s="750" t="str">
        <f>E_EnergyFlows!J218</f>
        <v/>
      </c>
      <c r="K335" s="258" t="str">
        <f>E_EnergyFlows!K218</f>
        <v/>
      </c>
      <c r="L335" s="258" t="str">
        <f>E_EnergyFlows!L218</f>
        <v/>
      </c>
      <c r="M335" s="258" t="str">
        <f>E_EnergyFlows!M218</f>
        <v/>
      </c>
      <c r="N335" s="258" t="str">
        <f>E_EnergyFlows!N218</f>
        <v/>
      </c>
      <c r="O335" s="19"/>
      <c r="P335" s="349"/>
      <c r="Q335" s="349"/>
      <c r="R335" s="349"/>
      <c r="S335" s="349"/>
      <c r="T335" s="343"/>
      <c r="U335" s="349"/>
      <c r="V335" s="349"/>
    </row>
    <row r="336" spans="1:22" ht="25.5" customHeight="1" x14ac:dyDescent="0.25">
      <c r="A336" s="349"/>
      <c r="B336" s="19"/>
      <c r="C336" s="19"/>
      <c r="D336" s="175"/>
      <c r="E336" s="2129" t="str">
        <f>E_EnergyFlows!E219</f>
        <v>Värmeförluster (andel tillgänglig värme = e)</v>
      </c>
      <c r="F336" s="1997"/>
      <c r="G336" s="47" t="str">
        <f>E_EnergyFlows!G219</f>
        <v>%</v>
      </c>
      <c r="H336" s="750" t="str">
        <f>E_EnergyFlows!H219</f>
        <v/>
      </c>
      <c r="I336" s="750" t="str">
        <f>E_EnergyFlows!I219</f>
        <v/>
      </c>
      <c r="J336" s="750" t="str">
        <f>E_EnergyFlows!J219</f>
        <v/>
      </c>
      <c r="K336" s="258" t="str">
        <f>E_EnergyFlows!K219</f>
        <v/>
      </c>
      <c r="L336" s="258" t="str">
        <f>E_EnergyFlows!L219</f>
        <v/>
      </c>
      <c r="M336" s="258" t="str">
        <f>E_EnergyFlows!M219</f>
        <v/>
      </c>
      <c r="N336" s="258" t="str">
        <f>E_EnergyFlows!N219</f>
        <v/>
      </c>
      <c r="O336" s="19"/>
      <c r="P336" s="349"/>
      <c r="Q336" s="349"/>
      <c r="R336" s="349"/>
      <c r="S336" s="349"/>
      <c r="T336" s="343"/>
      <c r="U336" s="349"/>
      <c r="V336" s="349"/>
    </row>
    <row r="337" spans="1:22" ht="5.15" customHeight="1" x14ac:dyDescent="0.25">
      <c r="A337" s="349"/>
      <c r="B337" s="19"/>
      <c r="C337" s="19"/>
      <c r="D337" s="19"/>
      <c r="E337" s="19"/>
      <c r="F337" s="19"/>
      <c r="G337" s="19"/>
      <c r="H337" s="19"/>
      <c r="I337" s="19"/>
      <c r="J337" s="19"/>
      <c r="K337" s="19"/>
      <c r="L337" s="19"/>
      <c r="M337" s="19"/>
      <c r="N337" s="19"/>
      <c r="O337" s="19"/>
      <c r="P337" s="349"/>
      <c r="Q337" s="349"/>
      <c r="R337" s="349"/>
      <c r="S337" s="349"/>
      <c r="T337" s="343"/>
      <c r="U337" s="349"/>
      <c r="V337" s="349"/>
    </row>
    <row r="338" spans="1:22" ht="13" customHeight="1" x14ac:dyDescent="0.25">
      <c r="A338" s="349"/>
      <c r="B338" s="3"/>
      <c r="C338" s="13"/>
      <c r="D338" s="13" t="str">
        <f>E_EnergyFlows!D221</f>
        <v>(o)</v>
      </c>
      <c r="E338" s="2062" t="str">
        <f>E_EnergyFlows!E221</f>
        <v>Total mängd värme som eventuellt ingår i delanläggningar med värmeriktmärke eller fjärrvärmedelanläggningen (= l+m):</v>
      </c>
      <c r="F338" s="2497"/>
      <c r="G338" s="2497"/>
      <c r="H338" s="2497"/>
      <c r="I338" s="2497"/>
      <c r="J338" s="2497"/>
      <c r="K338" s="2497"/>
      <c r="L338" s="2497"/>
      <c r="M338" s="2497"/>
      <c r="N338" s="2497"/>
      <c r="O338" s="19"/>
      <c r="P338" s="410"/>
      <c r="Q338" s="349"/>
      <c r="R338" s="349"/>
      <c r="S338" s="349"/>
      <c r="T338" s="343"/>
      <c r="U338" s="349"/>
      <c r="V338" s="349"/>
    </row>
    <row r="339" spans="1:22" ht="12.65" customHeight="1" x14ac:dyDescent="0.25">
      <c r="A339" s="349"/>
      <c r="B339" s="19"/>
      <c r="C339" s="19"/>
      <c r="D339" s="19"/>
      <c r="E339" s="2129" t="str">
        <f>E_EnergyFlows!E222</f>
        <v>Total värme för delanläggningar med värmeriktmärke:</v>
      </c>
      <c r="F339" s="1997"/>
      <c r="G339" s="47" t="str">
        <f>E_EnergyFlows!G222</f>
        <v>TJ / år</v>
      </c>
      <c r="H339" s="750" t="str">
        <f>E_EnergyFlows!H222</f>
        <v/>
      </c>
      <c r="I339" s="750" t="str">
        <f>E_EnergyFlows!I222</f>
        <v/>
      </c>
      <c r="J339" s="750" t="str">
        <f>E_EnergyFlows!J222</f>
        <v/>
      </c>
      <c r="K339" s="258" t="str">
        <f>E_EnergyFlows!K222</f>
        <v/>
      </c>
      <c r="L339" s="258" t="str">
        <f>E_EnergyFlows!L222</f>
        <v/>
      </c>
      <c r="M339" s="258" t="str">
        <f>E_EnergyFlows!M222</f>
        <v/>
      </c>
      <c r="N339" s="258" t="str">
        <f>E_EnergyFlows!N222</f>
        <v/>
      </c>
      <c r="O339" s="19"/>
      <c r="P339" s="349"/>
      <c r="Q339" s="349"/>
      <c r="R339" s="349"/>
      <c r="S339" s="349"/>
      <c r="T339" s="343"/>
      <c r="U339" s="349"/>
      <c r="V339" s="349"/>
    </row>
    <row r="340" spans="1:22" ht="5.15" customHeight="1" x14ac:dyDescent="0.25">
      <c r="A340" s="349"/>
      <c r="B340" s="3"/>
      <c r="C340" s="3"/>
      <c r="D340" s="3"/>
      <c r="E340" s="3"/>
      <c r="F340" s="3"/>
      <c r="G340" s="3"/>
      <c r="H340" s="3"/>
      <c r="I340" s="3"/>
      <c r="J340" s="3"/>
      <c r="K340" s="3"/>
      <c r="L340" s="3"/>
      <c r="M340" s="3"/>
      <c r="N340" s="3"/>
      <c r="O340" s="19"/>
      <c r="P340" s="410"/>
      <c r="Q340" s="349"/>
      <c r="R340" s="349"/>
      <c r="S340" s="349"/>
      <c r="T340" s="343"/>
      <c r="U340" s="349"/>
      <c r="V340" s="349"/>
    </row>
    <row r="341" spans="1:22" ht="13" customHeight="1" x14ac:dyDescent="0.25">
      <c r="A341" s="349"/>
      <c r="B341" s="3"/>
      <c r="C341" s="13"/>
      <c r="D341" s="13" t="str">
        <f>E_EnergyFlows!D224</f>
        <v>(p)</v>
      </c>
      <c r="E341" s="2106" t="str">
        <f>E_EnergyFlows!E224</f>
        <v>Slutresultat: Mängd värme som kan tillskrivas delanläggningar med värmeriktmärke eller fjärrvärmedelanläggningen:</v>
      </c>
      <c r="F341" s="1960"/>
      <c r="G341" s="1960"/>
      <c r="H341" s="1960"/>
      <c r="I341" s="1960"/>
      <c r="J341" s="1960"/>
      <c r="K341" s="1960"/>
      <c r="L341" s="1960"/>
      <c r="M341" s="1960"/>
      <c r="N341" s="1960"/>
      <c r="O341" s="19"/>
      <c r="P341" s="410"/>
      <c r="Q341" s="349"/>
      <c r="R341" s="349"/>
      <c r="S341" s="349"/>
      <c r="T341" s="343"/>
      <c r="U341" s="349"/>
      <c r="V341" s="349"/>
    </row>
    <row r="342" spans="1:22" ht="13" x14ac:dyDescent="0.25">
      <c r="A342" s="349"/>
      <c r="B342" s="19"/>
      <c r="C342" s="19"/>
      <c r="D342" s="19"/>
      <c r="E342" s="24"/>
      <c r="F342" s="21"/>
      <c r="G342" s="30" t="str">
        <f>E_EnergyFlows!G227</f>
        <v>Enhet</v>
      </c>
      <c r="H342" s="320">
        <f>E_EnergyFlows!H227</f>
        <v>2019</v>
      </c>
      <c r="I342" s="320">
        <f>E_EnergyFlows!I227</f>
        <v>2020</v>
      </c>
      <c r="J342" s="320">
        <f>E_EnergyFlows!J227</f>
        <v>2021</v>
      </c>
      <c r="K342" s="320">
        <f>E_EnergyFlows!K227</f>
        <v>2022</v>
      </c>
      <c r="L342" s="320">
        <f>E_EnergyFlows!L227</f>
        <v>2023</v>
      </c>
      <c r="M342" s="320">
        <f>E_EnergyFlows!M227</f>
        <v>2024</v>
      </c>
      <c r="N342" s="320">
        <f>E_EnergyFlows!N227</f>
        <v>2025</v>
      </c>
      <c r="O342" s="19"/>
      <c r="P342" s="349"/>
      <c r="Q342" s="349"/>
      <c r="R342" s="349"/>
      <c r="S342" s="349"/>
      <c r="T342" s="343"/>
      <c r="U342" s="349"/>
      <c r="V342" s="349"/>
    </row>
    <row r="343" spans="1:22" ht="25.5" customHeight="1" x14ac:dyDescent="0.25">
      <c r="A343" s="349"/>
      <c r="B343" s="19"/>
      <c r="C343" s="19"/>
      <c r="D343" s="19"/>
      <c r="E343" s="2129" t="str">
        <f>E_EnergyFlows!E228</f>
        <v>Värme som kan ingå i delanläggningar med värmeriktmärke</v>
      </c>
      <c r="F343" s="1997"/>
      <c r="G343" s="48" t="str">
        <f>E_EnergyFlows!G228</f>
        <v>TJ / år</v>
      </c>
      <c r="H343" s="254" t="str">
        <f>E_EnergyFlows!H228</f>
        <v/>
      </c>
      <c r="I343" s="254" t="str">
        <f>E_EnergyFlows!I228</f>
        <v/>
      </c>
      <c r="J343" s="254" t="str">
        <f>E_EnergyFlows!J228</f>
        <v/>
      </c>
      <c r="K343" s="254" t="str">
        <f>E_EnergyFlows!K228</f>
        <v/>
      </c>
      <c r="L343" s="254" t="str">
        <f>E_EnergyFlows!L228</f>
        <v/>
      </c>
      <c r="M343" s="254" t="str">
        <f>E_EnergyFlows!M228</f>
        <v/>
      </c>
      <c r="N343" s="254" t="str">
        <f>E_EnergyFlows!N228</f>
        <v/>
      </c>
      <c r="O343" s="19"/>
      <c r="P343" s="349"/>
      <c r="Q343" s="349"/>
      <c r="R343" s="349"/>
      <c r="S343" s="349"/>
      <c r="T343" s="343"/>
      <c r="U343" s="349"/>
      <c r="V343" s="349"/>
    </row>
    <row r="344" spans="1:22" s="534" customFormat="1" ht="5.15" customHeight="1" x14ac:dyDescent="0.25">
      <c r="A344" s="343"/>
      <c r="B344" s="15"/>
      <c r="C344" s="15"/>
      <c r="D344" s="15"/>
      <c r="E344" s="15"/>
      <c r="F344" s="15"/>
      <c r="G344" s="15"/>
      <c r="H344" s="15"/>
      <c r="I344" s="15"/>
      <c r="J344" s="15"/>
      <c r="K344" s="15"/>
      <c r="L344" s="15"/>
      <c r="M344" s="15"/>
      <c r="N344" s="15"/>
      <c r="O344" s="19"/>
      <c r="P344" s="343"/>
      <c r="Q344" s="343"/>
      <c r="R344" s="343"/>
      <c r="S344" s="343"/>
      <c r="T344" s="343"/>
      <c r="U344" s="349"/>
      <c r="V344" s="349"/>
    </row>
    <row r="345" spans="1:22" s="534" customFormat="1" ht="14.15" customHeight="1" x14ac:dyDescent="0.3">
      <c r="A345" s="343"/>
      <c r="B345" s="3"/>
      <c r="C345" s="17"/>
      <c r="D345" s="2079" t="str">
        <f>Translations!$B$1018</f>
        <v>Sammanfattning av värme- och fjärrvärmedelanläggningar</v>
      </c>
      <c r="E345" s="1960"/>
      <c r="F345" s="1960"/>
      <c r="G345" s="1960"/>
      <c r="H345" s="1960"/>
      <c r="I345" s="1960"/>
      <c r="J345" s="1960"/>
      <c r="K345" s="1960"/>
      <c r="L345" s="1960"/>
      <c r="M345" s="1960"/>
      <c r="N345" s="1960"/>
      <c r="O345" s="19"/>
      <c r="P345" s="343"/>
      <c r="Q345" s="343"/>
      <c r="R345" s="343"/>
      <c r="S345" s="343"/>
      <c r="T345" s="343"/>
      <c r="U345" s="349"/>
      <c r="V345" s="349"/>
    </row>
    <row r="346" spans="1:22" s="534" customFormat="1" ht="13.5" thickBot="1" x14ac:dyDescent="0.3">
      <c r="A346" s="343"/>
      <c r="B346" s="15"/>
      <c r="C346" s="15"/>
      <c r="D346" s="15"/>
      <c r="E346" s="14"/>
      <c r="F346" s="15"/>
      <c r="G346" s="31" t="str">
        <f>Translations!$B$1014</f>
        <v>Enhet</v>
      </c>
      <c r="H346" s="320">
        <f t="shared" ref="H346:N346" si="29">H$2596</f>
        <v>2019</v>
      </c>
      <c r="I346" s="320">
        <f t="shared" si="29"/>
        <v>2020</v>
      </c>
      <c r="J346" s="320">
        <f t="shared" si="29"/>
        <v>2021</v>
      </c>
      <c r="K346" s="320">
        <f t="shared" si="29"/>
        <v>2022</v>
      </c>
      <c r="L346" s="320">
        <f t="shared" si="29"/>
        <v>2023</v>
      </c>
      <c r="M346" s="320">
        <f t="shared" si="29"/>
        <v>2024</v>
      </c>
      <c r="N346" s="320">
        <f t="shared" si="29"/>
        <v>2025</v>
      </c>
      <c r="O346" s="19"/>
      <c r="P346" s="343"/>
      <c r="Q346" s="343"/>
      <c r="R346" s="343"/>
      <c r="S346" s="343"/>
      <c r="T346" s="343"/>
      <c r="U346" s="349"/>
      <c r="V346" s="349"/>
    </row>
    <row r="347" spans="1:22" s="534" customFormat="1" ht="12.75" customHeight="1" x14ac:dyDescent="0.25">
      <c r="A347" s="343"/>
      <c r="B347" s="15"/>
      <c r="C347" s="15"/>
      <c r="D347" s="289"/>
      <c r="E347" s="2815" t="str">
        <f>E_EnergyFlows!E400</f>
        <v>Delanläggning med värmeriktmärke, KL</v>
      </c>
      <c r="F347" s="2799"/>
      <c r="G347" s="656" t="str">
        <f>EUconst_TJpa</f>
        <v>TJ / år</v>
      </c>
      <c r="H347" s="758" t="str">
        <f>E_EnergyFlows!H400</f>
        <v/>
      </c>
      <c r="I347" s="758" t="str">
        <f>E_EnergyFlows!I400</f>
        <v/>
      </c>
      <c r="J347" s="758" t="str">
        <f>E_EnergyFlows!J400</f>
        <v/>
      </c>
      <c r="K347" s="758" t="str">
        <f>E_EnergyFlows!K400</f>
        <v/>
      </c>
      <c r="L347" s="758" t="str">
        <f>E_EnergyFlows!L400</f>
        <v/>
      </c>
      <c r="M347" s="758" t="str">
        <f>E_EnergyFlows!M400</f>
        <v/>
      </c>
      <c r="N347" s="759" t="str">
        <f>E_EnergyFlows!N400</f>
        <v/>
      </c>
      <c r="O347" s="19"/>
      <c r="P347" s="343"/>
      <c r="Q347" s="343"/>
      <c r="R347" s="343"/>
      <c r="S347" s="343"/>
      <c r="T347" s="343"/>
      <c r="U347" s="349"/>
      <c r="V347" s="349"/>
    </row>
    <row r="348" spans="1:22" s="534" customFormat="1" ht="13.5" customHeight="1" x14ac:dyDescent="0.25">
      <c r="A348" s="343"/>
      <c r="B348" s="15"/>
      <c r="C348" s="15"/>
      <c r="D348" s="289"/>
      <c r="E348" s="2816" t="str">
        <f>E_EnergyFlows!E401</f>
        <v>Delanläggning med värmeriktmärke, ej KL</v>
      </c>
      <c r="F348" s="1997"/>
      <c r="G348" s="653" t="str">
        <f>EUconst_TJpa</f>
        <v>TJ / år</v>
      </c>
      <c r="H348" s="742" t="str">
        <f>E_EnergyFlows!H401</f>
        <v/>
      </c>
      <c r="I348" s="742" t="str">
        <f>E_EnergyFlows!I401</f>
        <v/>
      </c>
      <c r="J348" s="742" t="str">
        <f>E_EnergyFlows!J401</f>
        <v/>
      </c>
      <c r="K348" s="742" t="str">
        <f>E_EnergyFlows!K401</f>
        <v/>
      </c>
      <c r="L348" s="742" t="str">
        <f>E_EnergyFlows!L401</f>
        <v/>
      </c>
      <c r="M348" s="742" t="str">
        <f>E_EnergyFlows!M401</f>
        <v/>
      </c>
      <c r="N348" s="760" t="str">
        <f>E_EnergyFlows!N401</f>
        <v/>
      </c>
      <c r="O348" s="19"/>
      <c r="P348" s="343"/>
      <c r="Q348" s="343"/>
      <c r="R348" s="343"/>
      <c r="S348" s="343"/>
      <c r="T348" s="343"/>
      <c r="U348" s="349"/>
      <c r="V348" s="349"/>
    </row>
    <row r="349" spans="1:22" s="534" customFormat="1" ht="12.75" customHeight="1" thickBot="1" x14ac:dyDescent="0.3">
      <c r="A349" s="343"/>
      <c r="B349" s="15"/>
      <c r="C349" s="15"/>
      <c r="D349" s="15"/>
      <c r="E349" s="2814" t="str">
        <f>E_EnergyFlows!E402</f>
        <v>Fjärrvärmedelanläggning</v>
      </c>
      <c r="F349" s="2489"/>
      <c r="G349" s="659" t="str">
        <f>EUconst_TJpa</f>
        <v>TJ / år</v>
      </c>
      <c r="H349" s="761" t="str">
        <f>E_EnergyFlows!H402</f>
        <v/>
      </c>
      <c r="I349" s="761" t="str">
        <f>E_EnergyFlows!I402</f>
        <v/>
      </c>
      <c r="J349" s="761" t="str">
        <f>E_EnergyFlows!J402</f>
        <v/>
      </c>
      <c r="K349" s="761" t="str">
        <f>E_EnergyFlows!K402</f>
        <v/>
      </c>
      <c r="L349" s="761" t="str">
        <f>E_EnergyFlows!L402</f>
        <v/>
      </c>
      <c r="M349" s="761" t="str">
        <f>E_EnergyFlows!M402</f>
        <v/>
      </c>
      <c r="N349" s="762" t="str">
        <f>E_EnergyFlows!N402</f>
        <v/>
      </c>
      <c r="O349" s="19"/>
      <c r="P349" s="343"/>
      <c r="Q349" s="343"/>
      <c r="R349" s="343"/>
      <c r="S349" s="343"/>
      <c r="T349" s="343"/>
      <c r="U349" s="349"/>
      <c r="V349" s="349"/>
    </row>
    <row r="350" spans="1:22" s="534" customFormat="1" ht="12.75" customHeight="1" x14ac:dyDescent="0.25">
      <c r="A350" s="343"/>
      <c r="B350" s="15"/>
      <c r="C350" s="15"/>
      <c r="D350" s="15"/>
      <c r="E350" s="15"/>
      <c r="F350" s="15"/>
      <c r="G350" s="15"/>
      <c r="H350" s="15"/>
      <c r="I350" s="15"/>
      <c r="J350" s="15"/>
      <c r="K350" s="15"/>
      <c r="L350" s="15"/>
      <c r="M350" s="15"/>
      <c r="N350" s="15"/>
      <c r="O350" s="19"/>
      <c r="P350" s="343"/>
      <c r="Q350" s="343"/>
      <c r="R350" s="343"/>
      <c r="S350" s="343"/>
      <c r="T350" s="343"/>
      <c r="U350" s="349"/>
      <c r="V350" s="349"/>
    </row>
    <row r="351" spans="1:22" ht="15" customHeight="1" x14ac:dyDescent="0.3">
      <c r="A351" s="349"/>
      <c r="B351" s="3"/>
      <c r="C351" s="17">
        <v>7</v>
      </c>
      <c r="D351" s="2079" t="str">
        <f>E_EnergyFlows!D250</f>
        <v>Komplett restgasbalans vid anläggningen</v>
      </c>
      <c r="E351" s="1960"/>
      <c r="F351" s="1960"/>
      <c r="G351" s="1960"/>
      <c r="H351" s="1960"/>
      <c r="I351" s="1960"/>
      <c r="J351" s="1960"/>
      <c r="K351" s="1960"/>
      <c r="L351" s="1960"/>
      <c r="M351" s="1960"/>
      <c r="N351" s="1960"/>
      <c r="O351" s="19"/>
      <c r="P351" s="410"/>
      <c r="Q351" s="349"/>
      <c r="R351" s="349"/>
      <c r="S351" s="349"/>
      <c r="T351" s="343"/>
      <c r="U351" s="349"/>
      <c r="V351" s="349"/>
    </row>
    <row r="352" spans="1:22" ht="5.15" customHeight="1" x14ac:dyDescent="0.25">
      <c r="A352" s="349"/>
      <c r="B352" s="3"/>
      <c r="C352" s="3"/>
      <c r="D352" s="3"/>
      <c r="E352" s="3"/>
      <c r="F352" s="3"/>
      <c r="G352" s="3"/>
      <c r="H352" s="3"/>
      <c r="I352" s="3"/>
      <c r="J352" s="3"/>
      <c r="K352" s="3"/>
      <c r="L352" s="3"/>
      <c r="M352" s="3"/>
      <c r="N352" s="3"/>
      <c r="O352" s="19"/>
      <c r="P352" s="410"/>
      <c r="Q352" s="349"/>
      <c r="R352" s="349"/>
      <c r="S352" s="349"/>
      <c r="T352" s="343"/>
      <c r="U352" s="349"/>
      <c r="V352" s="349"/>
    </row>
    <row r="353" spans="1:22" ht="13" customHeight="1" x14ac:dyDescent="0.25">
      <c r="A353" s="349"/>
      <c r="B353" s="3"/>
      <c r="C353" s="13"/>
      <c r="D353" s="13" t="str">
        <f>E_EnergyFlows!D258</f>
        <v>(a)</v>
      </c>
      <c r="E353" s="2106" t="str">
        <f>E_EnergyFlows!E258</f>
        <v>Restgaser som produceras inom systemgränserna för en delanläggning med produktriktmärke</v>
      </c>
      <c r="F353" s="1960"/>
      <c r="G353" s="1960"/>
      <c r="H353" s="1960"/>
      <c r="I353" s="1960"/>
      <c r="J353" s="1960"/>
      <c r="K353" s="1960"/>
      <c r="L353" s="1960"/>
      <c r="M353" s="1960"/>
      <c r="N353" s="1960"/>
      <c r="O353" s="19"/>
      <c r="P353" s="410"/>
      <c r="Q353" s="410"/>
      <c r="R353" s="410"/>
      <c r="S353" s="349"/>
      <c r="T353" s="343"/>
      <c r="U353" s="349"/>
      <c r="V353" s="349"/>
    </row>
    <row r="354" spans="1:22" ht="13" customHeight="1" x14ac:dyDescent="0.25">
      <c r="A354" s="349"/>
      <c r="B354" s="19"/>
      <c r="C354" s="19"/>
      <c r="D354" s="19"/>
      <c r="E354" s="2062" t="str">
        <f>E_EnergyFlows!E260</f>
        <v>Delanläggning</v>
      </c>
      <c r="F354" s="2497"/>
      <c r="G354" s="30" t="str">
        <f>E_EnergyFlows!G260</f>
        <v>Enhet</v>
      </c>
      <c r="H354" s="320">
        <f>E_EnergyFlows!H260</f>
        <v>2019</v>
      </c>
      <c r="I354" s="320">
        <f>E_EnergyFlows!I260</f>
        <v>2020</v>
      </c>
      <c r="J354" s="320">
        <f>E_EnergyFlows!J260</f>
        <v>2021</v>
      </c>
      <c r="K354" s="320">
        <f>E_EnergyFlows!K260</f>
        <v>2022</v>
      </c>
      <c r="L354" s="320">
        <f>E_EnergyFlows!L260</f>
        <v>2023</v>
      </c>
      <c r="M354" s="320">
        <f>E_EnergyFlows!M260</f>
        <v>2024</v>
      </c>
      <c r="N354" s="342">
        <f>E_EnergyFlows!N260</f>
        <v>2025</v>
      </c>
      <c r="O354" s="19"/>
      <c r="P354" s="410"/>
      <c r="Q354" s="410"/>
      <c r="R354" s="410"/>
      <c r="S354" s="349"/>
      <c r="T354" s="343"/>
      <c r="U354" s="349"/>
      <c r="V354" s="349"/>
    </row>
    <row r="355" spans="1:22" ht="12.65" customHeight="1" x14ac:dyDescent="0.25">
      <c r="A355" s="349"/>
      <c r="B355" s="19"/>
      <c r="C355" s="19"/>
      <c r="D355" s="175"/>
      <c r="E355" s="2783" t="str">
        <f>E_EnergyFlows!E261</f>
        <v/>
      </c>
      <c r="F355" s="2484"/>
      <c r="G355" s="25" t="str">
        <f>E_EnergyFlows!G261</f>
        <v>TJ / år</v>
      </c>
      <c r="H355" s="536" t="str">
        <f>E_EnergyFlows!H261</f>
        <v/>
      </c>
      <c r="I355" s="536" t="str">
        <f>E_EnergyFlows!I261</f>
        <v/>
      </c>
      <c r="J355" s="536" t="str">
        <f>E_EnergyFlows!J261</f>
        <v/>
      </c>
      <c r="K355" s="536" t="str">
        <f>E_EnergyFlows!K261</f>
        <v/>
      </c>
      <c r="L355" s="536" t="str">
        <f>E_EnergyFlows!L261</f>
        <v/>
      </c>
      <c r="M355" s="536" t="str">
        <f>E_EnergyFlows!M261</f>
        <v/>
      </c>
      <c r="N355" s="536" t="str">
        <f>E_EnergyFlows!N261</f>
        <v/>
      </c>
      <c r="O355" s="19"/>
      <c r="P355" s="410"/>
      <c r="Q355" s="410"/>
      <c r="R355" s="410"/>
      <c r="S355" s="349"/>
      <c r="T355" s="343"/>
      <c r="U355" s="349"/>
      <c r="V355" s="349"/>
    </row>
    <row r="356" spans="1:22" x14ac:dyDescent="0.25">
      <c r="A356" s="349"/>
      <c r="B356" s="19"/>
      <c r="C356" s="19"/>
      <c r="D356" s="175"/>
      <c r="E356" s="2780" t="str">
        <f>E_EnergyFlows!E262</f>
        <v/>
      </c>
      <c r="F356" s="2476"/>
      <c r="G356" s="26" t="str">
        <f>E_EnergyFlows!G262</f>
        <v>TJ / år</v>
      </c>
      <c r="H356" s="412" t="str">
        <f>E_EnergyFlows!H262</f>
        <v/>
      </c>
      <c r="I356" s="412" t="str">
        <f>E_EnergyFlows!I262</f>
        <v/>
      </c>
      <c r="J356" s="412" t="str">
        <f>E_EnergyFlows!J262</f>
        <v/>
      </c>
      <c r="K356" s="412" t="str">
        <f>E_EnergyFlows!K262</f>
        <v/>
      </c>
      <c r="L356" s="412" t="str">
        <f>E_EnergyFlows!L262</f>
        <v/>
      </c>
      <c r="M356" s="412" t="str">
        <f>E_EnergyFlows!M262</f>
        <v/>
      </c>
      <c r="N356" s="412" t="str">
        <f>E_EnergyFlows!N262</f>
        <v/>
      </c>
      <c r="O356" s="19"/>
      <c r="P356" s="410"/>
      <c r="Q356" s="410"/>
      <c r="R356" s="410"/>
      <c r="S356" s="349"/>
      <c r="T356" s="343"/>
      <c r="U356" s="349"/>
      <c r="V356" s="349"/>
    </row>
    <row r="357" spans="1:22" x14ac:dyDescent="0.25">
      <c r="A357" s="349"/>
      <c r="B357" s="19"/>
      <c r="C357" s="19"/>
      <c r="D357" s="175"/>
      <c r="E357" s="2780" t="str">
        <f>E_EnergyFlows!E263</f>
        <v/>
      </c>
      <c r="F357" s="2476"/>
      <c r="G357" s="26" t="str">
        <f>E_EnergyFlows!G263</f>
        <v>TJ / år</v>
      </c>
      <c r="H357" s="412" t="str">
        <f>E_EnergyFlows!H263</f>
        <v/>
      </c>
      <c r="I357" s="412" t="str">
        <f>E_EnergyFlows!I263</f>
        <v/>
      </c>
      <c r="J357" s="412" t="str">
        <f>E_EnergyFlows!J263</f>
        <v/>
      </c>
      <c r="K357" s="412" t="str">
        <f>E_EnergyFlows!K263</f>
        <v/>
      </c>
      <c r="L357" s="412" t="str">
        <f>E_EnergyFlows!L263</f>
        <v/>
      </c>
      <c r="M357" s="412" t="str">
        <f>E_EnergyFlows!M263</f>
        <v/>
      </c>
      <c r="N357" s="412" t="str">
        <f>E_EnergyFlows!N263</f>
        <v/>
      </c>
      <c r="O357" s="19"/>
      <c r="P357" s="410"/>
      <c r="Q357" s="410"/>
      <c r="R357" s="410"/>
      <c r="S357" s="349"/>
      <c r="T357" s="343"/>
      <c r="U357" s="349"/>
      <c r="V357" s="349"/>
    </row>
    <row r="358" spans="1:22" x14ac:dyDescent="0.25">
      <c r="A358" s="349"/>
      <c r="B358" s="19"/>
      <c r="C358" s="19"/>
      <c r="D358" s="175"/>
      <c r="E358" s="2780" t="str">
        <f>E_EnergyFlows!E264</f>
        <v/>
      </c>
      <c r="F358" s="2476"/>
      <c r="G358" s="26" t="str">
        <f>E_EnergyFlows!G264</f>
        <v>TJ / år</v>
      </c>
      <c r="H358" s="412" t="str">
        <f>E_EnergyFlows!H264</f>
        <v/>
      </c>
      <c r="I358" s="412" t="str">
        <f>E_EnergyFlows!I264</f>
        <v/>
      </c>
      <c r="J358" s="412" t="str">
        <f>E_EnergyFlows!J264</f>
        <v/>
      </c>
      <c r="K358" s="412" t="str">
        <f>E_EnergyFlows!K264</f>
        <v/>
      </c>
      <c r="L358" s="412" t="str">
        <f>E_EnergyFlows!L264</f>
        <v/>
      </c>
      <c r="M358" s="412" t="str">
        <f>E_EnergyFlows!M264</f>
        <v/>
      </c>
      <c r="N358" s="412" t="str">
        <f>E_EnergyFlows!N264</f>
        <v/>
      </c>
      <c r="O358" s="19"/>
      <c r="P358" s="410"/>
      <c r="Q358" s="410"/>
      <c r="R358" s="410"/>
      <c r="S358" s="349"/>
      <c r="T358" s="343"/>
      <c r="U358" s="349"/>
      <c r="V358" s="349"/>
    </row>
    <row r="359" spans="1:22" x14ac:dyDescent="0.25">
      <c r="A359" s="349"/>
      <c r="B359" s="19"/>
      <c r="C359" s="19"/>
      <c r="D359" s="289"/>
      <c r="E359" s="2780" t="str">
        <f>E_EnergyFlows!E265</f>
        <v/>
      </c>
      <c r="F359" s="2476"/>
      <c r="G359" s="26" t="str">
        <f>E_EnergyFlows!G265</f>
        <v>TJ / år</v>
      </c>
      <c r="H359" s="412" t="str">
        <f>E_EnergyFlows!H265</f>
        <v/>
      </c>
      <c r="I359" s="412" t="str">
        <f>E_EnergyFlows!I265</f>
        <v/>
      </c>
      <c r="J359" s="412" t="str">
        <f>E_EnergyFlows!J265</f>
        <v/>
      </c>
      <c r="K359" s="412" t="str">
        <f>E_EnergyFlows!K265</f>
        <v/>
      </c>
      <c r="L359" s="412" t="str">
        <f>E_EnergyFlows!L265</f>
        <v/>
      </c>
      <c r="M359" s="412" t="str">
        <f>E_EnergyFlows!M265</f>
        <v/>
      </c>
      <c r="N359" s="412" t="str">
        <f>E_EnergyFlows!N265</f>
        <v/>
      </c>
      <c r="O359" s="19"/>
      <c r="P359" s="410"/>
      <c r="Q359" s="410"/>
      <c r="R359" s="410"/>
      <c r="S359" s="349"/>
      <c r="T359" s="343"/>
      <c r="U359" s="349"/>
      <c r="V359" s="349"/>
    </row>
    <row r="360" spans="1:22" x14ac:dyDescent="0.25">
      <c r="A360" s="349"/>
      <c r="B360" s="19"/>
      <c r="C360" s="19"/>
      <c r="D360" s="289"/>
      <c r="E360" s="2780" t="str">
        <f>E_EnergyFlows!E266</f>
        <v/>
      </c>
      <c r="F360" s="2476"/>
      <c r="G360" s="26" t="str">
        <f>E_EnergyFlows!G266</f>
        <v>TJ / år</v>
      </c>
      <c r="H360" s="412" t="str">
        <f>E_EnergyFlows!H266</f>
        <v/>
      </c>
      <c r="I360" s="412" t="str">
        <f>E_EnergyFlows!I266</f>
        <v/>
      </c>
      <c r="J360" s="412" t="str">
        <f>E_EnergyFlows!J266</f>
        <v/>
      </c>
      <c r="K360" s="412" t="str">
        <f>E_EnergyFlows!K266</f>
        <v/>
      </c>
      <c r="L360" s="412" t="str">
        <f>E_EnergyFlows!L266</f>
        <v/>
      </c>
      <c r="M360" s="412" t="str">
        <f>E_EnergyFlows!M266</f>
        <v/>
      </c>
      <c r="N360" s="412" t="str">
        <f>E_EnergyFlows!N266</f>
        <v/>
      </c>
      <c r="O360" s="19"/>
      <c r="P360" s="410"/>
      <c r="Q360" s="410"/>
      <c r="R360" s="410"/>
      <c r="S360" s="349"/>
      <c r="T360" s="343"/>
      <c r="U360" s="349"/>
      <c r="V360" s="349"/>
    </row>
    <row r="361" spans="1:22" x14ac:dyDescent="0.25">
      <c r="A361" s="349"/>
      <c r="B361" s="19"/>
      <c r="C361" s="19"/>
      <c r="D361" s="289"/>
      <c r="E361" s="2780" t="str">
        <f>E_EnergyFlows!E267</f>
        <v/>
      </c>
      <c r="F361" s="2476"/>
      <c r="G361" s="26" t="str">
        <f>E_EnergyFlows!G267</f>
        <v>TJ / år</v>
      </c>
      <c r="H361" s="412" t="str">
        <f>E_EnergyFlows!H267</f>
        <v/>
      </c>
      <c r="I361" s="412" t="str">
        <f>E_EnergyFlows!I267</f>
        <v/>
      </c>
      <c r="J361" s="412" t="str">
        <f>E_EnergyFlows!J267</f>
        <v/>
      </c>
      <c r="K361" s="412" t="str">
        <f>E_EnergyFlows!K267</f>
        <v/>
      </c>
      <c r="L361" s="412" t="str">
        <f>E_EnergyFlows!L267</f>
        <v/>
      </c>
      <c r="M361" s="412" t="str">
        <f>E_EnergyFlows!M267</f>
        <v/>
      </c>
      <c r="N361" s="412" t="str">
        <f>E_EnergyFlows!N267</f>
        <v/>
      </c>
      <c r="O361" s="19"/>
      <c r="P361" s="410"/>
      <c r="Q361" s="410"/>
      <c r="R361" s="410"/>
      <c r="S361" s="349"/>
      <c r="T361" s="343"/>
      <c r="U361" s="349"/>
      <c r="V361" s="349"/>
    </row>
    <row r="362" spans="1:22" x14ac:dyDescent="0.25">
      <c r="A362" s="349"/>
      <c r="B362" s="19"/>
      <c r="C362" s="19"/>
      <c r="D362" s="289"/>
      <c r="E362" s="2780" t="str">
        <f>E_EnergyFlows!E268</f>
        <v/>
      </c>
      <c r="F362" s="2476"/>
      <c r="G362" s="26" t="str">
        <f>E_EnergyFlows!G268</f>
        <v>TJ / år</v>
      </c>
      <c r="H362" s="412" t="str">
        <f>E_EnergyFlows!H268</f>
        <v/>
      </c>
      <c r="I362" s="412" t="str">
        <f>E_EnergyFlows!I268</f>
        <v/>
      </c>
      <c r="J362" s="412" t="str">
        <f>E_EnergyFlows!J268</f>
        <v/>
      </c>
      <c r="K362" s="412" t="str">
        <f>E_EnergyFlows!K268</f>
        <v/>
      </c>
      <c r="L362" s="412" t="str">
        <f>E_EnergyFlows!L268</f>
        <v/>
      </c>
      <c r="M362" s="412" t="str">
        <f>E_EnergyFlows!M268</f>
        <v/>
      </c>
      <c r="N362" s="412" t="str">
        <f>E_EnergyFlows!N268</f>
        <v/>
      </c>
      <c r="O362" s="19"/>
      <c r="P362" s="410"/>
      <c r="Q362" s="410"/>
      <c r="R362" s="410"/>
      <c r="S362" s="349"/>
      <c r="T362" s="343"/>
      <c r="U362" s="349"/>
      <c r="V362" s="349"/>
    </row>
    <row r="363" spans="1:22" x14ac:dyDescent="0.25">
      <c r="A363" s="349"/>
      <c r="B363" s="19"/>
      <c r="C363" s="19"/>
      <c r="D363" s="289"/>
      <c r="E363" s="2780" t="str">
        <f>E_EnergyFlows!E269</f>
        <v/>
      </c>
      <c r="F363" s="2476"/>
      <c r="G363" s="26" t="str">
        <f>E_EnergyFlows!G269</f>
        <v>TJ / år</v>
      </c>
      <c r="H363" s="412" t="str">
        <f>E_EnergyFlows!H269</f>
        <v/>
      </c>
      <c r="I363" s="412" t="str">
        <f>E_EnergyFlows!I269</f>
        <v/>
      </c>
      <c r="J363" s="412" t="str">
        <f>E_EnergyFlows!J269</f>
        <v/>
      </c>
      <c r="K363" s="412" t="str">
        <f>E_EnergyFlows!K269</f>
        <v/>
      </c>
      <c r="L363" s="412" t="str">
        <f>E_EnergyFlows!L269</f>
        <v/>
      </c>
      <c r="M363" s="412" t="str">
        <f>E_EnergyFlows!M269</f>
        <v/>
      </c>
      <c r="N363" s="412" t="str">
        <f>E_EnergyFlows!N269</f>
        <v/>
      </c>
      <c r="O363" s="19"/>
      <c r="P363" s="410"/>
      <c r="Q363" s="410"/>
      <c r="R363" s="410"/>
      <c r="S363" s="349"/>
      <c r="T363" s="343"/>
      <c r="U363" s="349"/>
      <c r="V363" s="349"/>
    </row>
    <row r="364" spans="1:22" x14ac:dyDescent="0.25">
      <c r="A364" s="349"/>
      <c r="B364" s="19"/>
      <c r="C364" s="19"/>
      <c r="D364" s="289"/>
      <c r="E364" s="2781" t="str">
        <f>E_EnergyFlows!E270</f>
        <v/>
      </c>
      <c r="F364" s="2487"/>
      <c r="G364" s="27" t="str">
        <f>E_EnergyFlows!G270</f>
        <v>TJ / år</v>
      </c>
      <c r="H364" s="537" t="str">
        <f>E_EnergyFlows!H270</f>
        <v/>
      </c>
      <c r="I364" s="537" t="str">
        <f>E_EnergyFlows!I270</f>
        <v/>
      </c>
      <c r="J364" s="537" t="str">
        <f>E_EnergyFlows!J270</f>
        <v/>
      </c>
      <c r="K364" s="537" t="str">
        <f>E_EnergyFlows!K270</f>
        <v/>
      </c>
      <c r="L364" s="537" t="str">
        <f>E_EnergyFlows!L270</f>
        <v/>
      </c>
      <c r="M364" s="537" t="str">
        <f>E_EnergyFlows!M270</f>
        <v/>
      </c>
      <c r="N364" s="537" t="str">
        <f>E_EnergyFlows!N270</f>
        <v/>
      </c>
      <c r="O364" s="19"/>
      <c r="P364" s="410"/>
      <c r="Q364" s="410"/>
      <c r="R364" s="410"/>
      <c r="S364" s="349"/>
      <c r="T364" s="343"/>
      <c r="U364" s="349"/>
      <c r="V364" s="349"/>
    </row>
    <row r="365" spans="1:22" ht="12.75" customHeight="1" x14ac:dyDescent="0.25">
      <c r="A365" s="349"/>
      <c r="B365" s="19"/>
      <c r="C365" s="19"/>
      <c r="D365" s="289"/>
      <c r="E365" s="2496" t="str">
        <f>E_EnergyFlows!E271</f>
        <v>Delsumma</v>
      </c>
      <c r="F365" s="1997"/>
      <c r="G365" s="43" t="str">
        <f>E_EnergyFlows!G271</f>
        <v>TJ / år</v>
      </c>
      <c r="H365" s="258" t="str">
        <f>E_EnergyFlows!H271</f>
        <v/>
      </c>
      <c r="I365" s="258" t="str">
        <f>E_EnergyFlows!I271</f>
        <v/>
      </c>
      <c r="J365" s="258" t="str">
        <f>E_EnergyFlows!J271</f>
        <v/>
      </c>
      <c r="K365" s="258" t="str">
        <f>E_EnergyFlows!K271</f>
        <v/>
      </c>
      <c r="L365" s="258" t="str">
        <f>E_EnergyFlows!L271</f>
        <v/>
      </c>
      <c r="M365" s="258" t="str">
        <f>E_EnergyFlows!M271</f>
        <v/>
      </c>
      <c r="N365" s="258" t="str">
        <f>E_EnergyFlows!N271</f>
        <v/>
      </c>
      <c r="O365" s="19"/>
      <c r="P365" s="410"/>
      <c r="Q365" s="410"/>
      <c r="R365" s="410"/>
      <c r="S365" s="349"/>
      <c r="T365" s="343"/>
      <c r="U365" s="349"/>
      <c r="V365" s="349"/>
    </row>
    <row r="366" spans="1:22" ht="5.15" customHeight="1" x14ac:dyDescent="0.25">
      <c r="A366" s="349"/>
      <c r="B366" s="3"/>
      <c r="C366" s="3"/>
      <c r="D366" s="3"/>
      <c r="E366" s="3"/>
      <c r="F366" s="3"/>
      <c r="G366" s="3"/>
      <c r="H366" s="3"/>
      <c r="I366" s="3"/>
      <c r="J366" s="3"/>
      <c r="K366" s="3"/>
      <c r="L366" s="3"/>
      <c r="M366" s="3"/>
      <c r="N366" s="3"/>
      <c r="O366" s="19"/>
      <c r="P366" s="410"/>
      <c r="Q366" s="410"/>
      <c r="R366" s="410"/>
      <c r="S366" s="349"/>
      <c r="T366" s="343"/>
      <c r="U366" s="349"/>
      <c r="V366" s="349"/>
    </row>
    <row r="367" spans="1:22" ht="12.75" customHeight="1" x14ac:dyDescent="0.25">
      <c r="A367" s="349"/>
      <c r="B367" s="3"/>
      <c r="C367" s="13"/>
      <c r="D367" s="13" t="str">
        <f>E_EnergyFlows!D273</f>
        <v>(b)</v>
      </c>
      <c r="E367" s="2106" t="str">
        <f>E_EnergyFlows!E273</f>
        <v>Restgaser som produceras utanför systemgränserna för en delanläggning med produktriktmärke</v>
      </c>
      <c r="F367" s="1960"/>
      <c r="G367" s="1960"/>
      <c r="H367" s="1960"/>
      <c r="I367" s="1960"/>
      <c r="J367" s="1960"/>
      <c r="K367" s="1960"/>
      <c r="L367" s="1960"/>
      <c r="M367" s="1960"/>
      <c r="N367" s="1960"/>
      <c r="O367" s="19"/>
      <c r="P367" s="410"/>
      <c r="Q367" s="410"/>
      <c r="R367" s="410"/>
      <c r="S367" s="349"/>
      <c r="T367" s="343"/>
      <c r="U367" s="349"/>
      <c r="V367" s="349"/>
    </row>
    <row r="368" spans="1:22" ht="13" customHeight="1" x14ac:dyDescent="0.25">
      <c r="A368" s="349"/>
      <c r="B368" s="19"/>
      <c r="C368" s="19"/>
      <c r="D368" s="19"/>
      <c r="E368" s="2062" t="str">
        <f>E_EnergyFlows!E276</f>
        <v>från avsnitt D.IV.</v>
      </c>
      <c r="F368" s="2497"/>
      <c r="G368" s="30" t="str">
        <f>E_EnergyFlows!G276</f>
        <v>Enhet</v>
      </c>
      <c r="H368" s="320">
        <f>E_EnergyFlows!H276</f>
        <v>2019</v>
      </c>
      <c r="I368" s="320">
        <f>E_EnergyFlows!I276</f>
        <v>2020</v>
      </c>
      <c r="J368" s="320">
        <f>E_EnergyFlows!J276</f>
        <v>2021</v>
      </c>
      <c r="K368" s="320">
        <f>E_EnergyFlows!K276</f>
        <v>2022</v>
      </c>
      <c r="L368" s="320">
        <f>E_EnergyFlows!L276</f>
        <v>2023</v>
      </c>
      <c r="M368" s="320">
        <f>E_EnergyFlows!M276</f>
        <v>2024</v>
      </c>
      <c r="N368" s="342">
        <f>E_EnergyFlows!N276</f>
        <v>2025</v>
      </c>
      <c r="O368" s="19"/>
      <c r="P368" s="410"/>
      <c r="Q368" s="410"/>
      <c r="R368" s="410"/>
      <c r="S368" s="349"/>
      <c r="T368" s="343"/>
      <c r="U368" s="349"/>
      <c r="V368" s="349"/>
    </row>
    <row r="369" spans="1:22" x14ac:dyDescent="0.25">
      <c r="A369" s="349"/>
      <c r="B369" s="19"/>
      <c r="C369" s="19"/>
      <c r="D369" s="175"/>
      <c r="E369" s="2810" t="str">
        <f>E_EnergyFlows!E277</f>
        <v>Restgas 1</v>
      </c>
      <c r="F369" s="2484"/>
      <c r="G369" s="25" t="str">
        <f>E_EnergyFlows!G277</f>
        <v>TJ / år</v>
      </c>
      <c r="H369" s="536" t="str">
        <f>E_EnergyFlows!H277</f>
        <v/>
      </c>
      <c r="I369" s="536" t="str">
        <f>E_EnergyFlows!I277</f>
        <v/>
      </c>
      <c r="J369" s="536" t="str">
        <f>E_EnergyFlows!J277</f>
        <v/>
      </c>
      <c r="K369" s="536" t="str">
        <f>E_EnergyFlows!K277</f>
        <v/>
      </c>
      <c r="L369" s="536" t="str">
        <f>E_EnergyFlows!L277</f>
        <v/>
      </c>
      <c r="M369" s="536" t="str">
        <f>E_EnergyFlows!M277</f>
        <v/>
      </c>
      <c r="N369" s="536" t="str">
        <f>E_EnergyFlows!N277</f>
        <v/>
      </c>
      <c r="O369" s="19"/>
      <c r="P369" s="410"/>
      <c r="Q369" s="410"/>
      <c r="R369" s="410"/>
      <c r="S369" s="349"/>
      <c r="T369" s="343"/>
      <c r="U369" s="349"/>
      <c r="V369" s="349"/>
    </row>
    <row r="370" spans="1:22" x14ac:dyDescent="0.25">
      <c r="A370" s="349"/>
      <c r="B370" s="19"/>
      <c r="C370" s="19"/>
      <c r="D370" s="175"/>
      <c r="E370" s="2811" t="str">
        <f>E_EnergyFlows!E278</f>
        <v>Restgas 2</v>
      </c>
      <c r="F370" s="2487"/>
      <c r="G370" s="26" t="str">
        <f>E_EnergyFlows!G278</f>
        <v>TJ / år</v>
      </c>
      <c r="H370" s="537" t="str">
        <f>E_EnergyFlows!H278</f>
        <v/>
      </c>
      <c r="I370" s="537" t="str">
        <f>E_EnergyFlows!I278</f>
        <v/>
      </c>
      <c r="J370" s="537" t="str">
        <f>E_EnergyFlows!J278</f>
        <v/>
      </c>
      <c r="K370" s="537" t="str">
        <f>E_EnergyFlows!K278</f>
        <v/>
      </c>
      <c r="L370" s="537" t="str">
        <f>E_EnergyFlows!L278</f>
        <v/>
      </c>
      <c r="M370" s="537" t="str">
        <f>E_EnergyFlows!M278</f>
        <v/>
      </c>
      <c r="N370" s="537" t="str">
        <f>E_EnergyFlows!N278</f>
        <v/>
      </c>
      <c r="O370" s="19"/>
      <c r="P370" s="410"/>
      <c r="Q370" s="410"/>
      <c r="R370" s="410"/>
      <c r="S370" s="349"/>
      <c r="T370" s="343"/>
      <c r="U370" s="349"/>
      <c r="V370" s="349"/>
    </row>
    <row r="371" spans="1:22" ht="12.75" customHeight="1" x14ac:dyDescent="0.25">
      <c r="A371" s="349"/>
      <c r="B371" s="19"/>
      <c r="C371" s="19"/>
      <c r="D371" s="289"/>
      <c r="E371" s="2496" t="str">
        <f>E_EnergyFlows!E279</f>
        <v>Delsumma</v>
      </c>
      <c r="F371" s="1997"/>
      <c r="G371" s="43" t="str">
        <f>E_EnergyFlows!G279</f>
        <v>TJ / år</v>
      </c>
      <c r="H371" s="258" t="str">
        <f>E_EnergyFlows!H279</f>
        <v/>
      </c>
      <c r="I371" s="258" t="str">
        <f>E_EnergyFlows!I279</f>
        <v/>
      </c>
      <c r="J371" s="258" t="str">
        <f>E_EnergyFlows!J279</f>
        <v/>
      </c>
      <c r="K371" s="258" t="str">
        <f>E_EnergyFlows!K279</f>
        <v/>
      </c>
      <c r="L371" s="258" t="str">
        <f>E_EnergyFlows!L279</f>
        <v/>
      </c>
      <c r="M371" s="258" t="str">
        <f>E_EnergyFlows!M279</f>
        <v/>
      </c>
      <c r="N371" s="258" t="str">
        <f>E_EnergyFlows!N279</f>
        <v/>
      </c>
      <c r="O371" s="19"/>
      <c r="P371" s="410"/>
      <c r="Q371" s="410"/>
      <c r="R371" s="410"/>
      <c r="S371" s="349"/>
      <c r="T371" s="343"/>
      <c r="U371" s="349"/>
      <c r="V371" s="349"/>
    </row>
    <row r="372" spans="1:22" ht="5.15" customHeight="1" x14ac:dyDescent="0.25">
      <c r="A372" s="349"/>
      <c r="B372" s="3"/>
      <c r="C372" s="3"/>
      <c r="D372" s="3"/>
      <c r="E372" s="3"/>
      <c r="F372" s="3"/>
      <c r="G372" s="3"/>
      <c r="H372" s="3"/>
      <c r="I372" s="3"/>
      <c r="J372" s="3"/>
      <c r="K372" s="3"/>
      <c r="L372" s="3"/>
      <c r="M372" s="3"/>
      <c r="N372" s="3"/>
      <c r="O372" s="19"/>
      <c r="P372" s="410"/>
      <c r="Q372" s="410"/>
      <c r="R372" s="410"/>
      <c r="S372" s="349"/>
      <c r="T372" s="343"/>
      <c r="U372" s="349"/>
      <c r="V372" s="349"/>
    </row>
    <row r="373" spans="1:22" ht="13" customHeight="1" x14ac:dyDescent="0.25">
      <c r="A373" s="349"/>
      <c r="B373" s="3"/>
      <c r="C373" s="13"/>
      <c r="D373" s="13" t="str">
        <f>E_EnergyFlows!D281</f>
        <v>(c)</v>
      </c>
      <c r="E373" s="2062" t="str">
        <f>E_EnergyFlows!E281</f>
        <v>Summa av restgaser (= a+b)</v>
      </c>
      <c r="F373" s="2497"/>
      <c r="G373" s="1030"/>
      <c r="H373" s="1030"/>
      <c r="I373" s="1030"/>
      <c r="J373" s="1030"/>
      <c r="K373" s="1030"/>
      <c r="L373" s="1030"/>
      <c r="M373" s="1030"/>
      <c r="N373" s="1030"/>
      <c r="O373" s="19"/>
      <c r="P373" s="410"/>
      <c r="Q373" s="410"/>
      <c r="R373" s="410"/>
      <c r="S373" s="349"/>
      <c r="T373" s="343"/>
      <c r="U373" s="349"/>
      <c r="V373" s="349"/>
    </row>
    <row r="374" spans="1:22" ht="12.65" customHeight="1" x14ac:dyDescent="0.25">
      <c r="A374" s="349"/>
      <c r="B374" s="19"/>
      <c r="C374" s="19"/>
      <c r="D374" s="19"/>
      <c r="E374" s="2129" t="str">
        <f>E_EnergyFlows!E282</f>
        <v>Producerade restgaser</v>
      </c>
      <c r="F374" s="1997"/>
      <c r="G374" s="47" t="str">
        <f>E_EnergyFlows!G282</f>
        <v>TJ / år</v>
      </c>
      <c r="H374" s="258" t="str">
        <f>E_EnergyFlows!H282</f>
        <v/>
      </c>
      <c r="I374" s="258" t="str">
        <f>E_EnergyFlows!I282</f>
        <v/>
      </c>
      <c r="J374" s="258" t="str">
        <f>E_EnergyFlows!J282</f>
        <v/>
      </c>
      <c r="K374" s="258" t="str">
        <f>E_EnergyFlows!K282</f>
        <v/>
      </c>
      <c r="L374" s="258" t="str">
        <f>E_EnergyFlows!L282</f>
        <v/>
      </c>
      <c r="M374" s="258" t="str">
        <f>E_EnergyFlows!M282</f>
        <v/>
      </c>
      <c r="N374" s="258" t="str">
        <f>E_EnergyFlows!N282</f>
        <v/>
      </c>
      <c r="O374" s="19"/>
      <c r="P374" s="349"/>
      <c r="Q374" s="349"/>
      <c r="R374" s="349"/>
      <c r="S374" s="349"/>
      <c r="T374" s="343"/>
      <c r="U374" s="349"/>
      <c r="V374" s="349"/>
    </row>
    <row r="375" spans="1:22" ht="5.15" customHeight="1" x14ac:dyDescent="0.25">
      <c r="A375" s="349"/>
      <c r="B375" s="19"/>
      <c r="C375" s="19"/>
      <c r="D375" s="19"/>
      <c r="E375" s="19"/>
      <c r="F375" s="19"/>
      <c r="G375" s="19"/>
      <c r="H375" s="19"/>
      <c r="I375" s="19"/>
      <c r="J375" s="19"/>
      <c r="K375" s="19"/>
      <c r="L375" s="19"/>
      <c r="M375" s="19"/>
      <c r="N375" s="19"/>
      <c r="O375" s="19"/>
      <c r="P375" s="349"/>
      <c r="Q375" s="349"/>
      <c r="R375" s="349"/>
      <c r="S375" s="349"/>
      <c r="T375" s="343"/>
      <c r="U375" s="349"/>
      <c r="V375" s="349"/>
    </row>
    <row r="376" spans="1:22" ht="13" customHeight="1" x14ac:dyDescent="0.25">
      <c r="A376" s="349"/>
      <c r="B376" s="3"/>
      <c r="C376" s="13"/>
      <c r="D376" s="13" t="str">
        <f>E_EnergyFlows!D284</f>
        <v>(d)</v>
      </c>
      <c r="E376" s="2106" t="str">
        <f>E_EnergyFlows!E284</f>
        <v>Restgaser som importeras från andra anläggningar eller enheter</v>
      </c>
      <c r="F376" s="1960"/>
      <c r="G376" s="1960"/>
      <c r="H376" s="1960"/>
      <c r="I376" s="1960"/>
      <c r="J376" s="1960"/>
      <c r="K376" s="1960"/>
      <c r="L376" s="1960"/>
      <c r="M376" s="1960"/>
      <c r="N376" s="1960"/>
      <c r="O376" s="19"/>
      <c r="P376" s="410"/>
      <c r="Q376" s="349"/>
      <c r="R376" s="349"/>
      <c r="S376" s="349"/>
      <c r="T376" s="343"/>
      <c r="U376" s="349"/>
      <c r="V376" s="349"/>
    </row>
    <row r="377" spans="1:22" ht="12.75" customHeight="1" x14ac:dyDescent="0.25">
      <c r="A377" s="349"/>
      <c r="B377" s="19"/>
      <c r="C377" s="19"/>
      <c r="D377" s="19"/>
      <c r="E377" s="2062" t="str">
        <f>E_EnergyFlows!E287</f>
        <v>Anläggningens eller enhetens namn</v>
      </c>
      <c r="F377" s="2497"/>
      <c r="G377" s="30" t="str">
        <f>E_EnergyFlows!G287</f>
        <v>Enhet</v>
      </c>
      <c r="H377" s="320">
        <f>E_EnergyFlows!H287</f>
        <v>2019</v>
      </c>
      <c r="I377" s="320">
        <f>E_EnergyFlows!I287</f>
        <v>2020</v>
      </c>
      <c r="J377" s="320">
        <f>E_EnergyFlows!J287</f>
        <v>2021</v>
      </c>
      <c r="K377" s="320">
        <f>E_EnergyFlows!K287</f>
        <v>2022</v>
      </c>
      <c r="L377" s="320">
        <f>E_EnergyFlows!L287</f>
        <v>2023</v>
      </c>
      <c r="M377" s="320">
        <f>E_EnergyFlows!M287</f>
        <v>2024</v>
      </c>
      <c r="N377" s="342">
        <f>E_EnergyFlows!N287</f>
        <v>2025</v>
      </c>
      <c r="O377" s="19"/>
      <c r="P377" s="349"/>
      <c r="Q377" s="349"/>
      <c r="R377" s="349"/>
      <c r="S377" s="349"/>
      <c r="T377" s="343"/>
      <c r="U377" s="349"/>
      <c r="V377" s="349"/>
    </row>
    <row r="378" spans="1:22" x14ac:dyDescent="0.25">
      <c r="A378" s="349"/>
      <c r="B378" s="19"/>
      <c r="C378" s="175"/>
      <c r="D378" s="175"/>
      <c r="E378" s="2783" t="str">
        <f>IF(ISBLANK(E_EnergyFlows!E288),"",E_EnergyFlows!E288)</f>
        <v/>
      </c>
      <c r="F378" s="2484"/>
      <c r="G378" s="32" t="str">
        <f>E_EnergyFlows!G288</f>
        <v>TJ / år</v>
      </c>
      <c r="H378" s="536" t="str">
        <f>IF(ISBLANK(E_EnergyFlows!H288),"",E_EnergyFlows!H288)</f>
        <v/>
      </c>
      <c r="I378" s="536" t="str">
        <f>IF(ISBLANK(E_EnergyFlows!I288),"",E_EnergyFlows!I288)</f>
        <v/>
      </c>
      <c r="J378" s="536" t="str">
        <f>IF(ISBLANK(E_EnergyFlows!J288),"",E_EnergyFlows!J288)</f>
        <v/>
      </c>
      <c r="K378" s="536" t="str">
        <f>IF(ISBLANK(E_EnergyFlows!K288),"",E_EnergyFlows!K288)</f>
        <v/>
      </c>
      <c r="L378" s="536" t="str">
        <f>IF(ISBLANK(E_EnergyFlows!L288),"",E_EnergyFlows!L288)</f>
        <v/>
      </c>
      <c r="M378" s="536" t="str">
        <f>IF(ISBLANK(E_EnergyFlows!M288),"",E_EnergyFlows!M288)</f>
        <v/>
      </c>
      <c r="N378" s="536" t="str">
        <f>IF(ISBLANK(E_EnergyFlows!N288),"",E_EnergyFlows!N288)</f>
        <v/>
      </c>
      <c r="O378" s="19"/>
      <c r="P378" s="349"/>
      <c r="Q378" s="349"/>
      <c r="R378" s="349"/>
      <c r="S378" s="349"/>
      <c r="T378" s="343"/>
      <c r="U378" s="349"/>
      <c r="V378" s="349"/>
    </row>
    <row r="379" spans="1:22" x14ac:dyDescent="0.25">
      <c r="A379" s="349"/>
      <c r="B379" s="19"/>
      <c r="C379" s="175"/>
      <c r="D379" s="175"/>
      <c r="E379" s="2780" t="str">
        <f>IF(ISBLANK(E_EnergyFlows!E289),"",E_EnergyFlows!E289)</f>
        <v/>
      </c>
      <c r="F379" s="2476"/>
      <c r="G379" s="33" t="str">
        <f>E_EnergyFlows!G289</f>
        <v>TJ / år</v>
      </c>
      <c r="H379" s="412" t="str">
        <f>IF(ISBLANK(E_EnergyFlows!H289),"",E_EnergyFlows!H289)</f>
        <v/>
      </c>
      <c r="I379" s="412" t="str">
        <f>IF(ISBLANK(E_EnergyFlows!I289),"",E_EnergyFlows!I289)</f>
        <v/>
      </c>
      <c r="J379" s="412" t="str">
        <f>IF(ISBLANK(E_EnergyFlows!J289),"",E_EnergyFlows!J289)</f>
        <v/>
      </c>
      <c r="K379" s="412" t="str">
        <f>IF(ISBLANK(E_EnergyFlows!K289),"",E_EnergyFlows!K289)</f>
        <v/>
      </c>
      <c r="L379" s="412" t="str">
        <f>IF(ISBLANK(E_EnergyFlows!L289),"",E_EnergyFlows!L289)</f>
        <v/>
      </c>
      <c r="M379" s="412" t="str">
        <f>IF(ISBLANK(E_EnergyFlows!M289),"",E_EnergyFlows!M289)</f>
        <v/>
      </c>
      <c r="N379" s="412" t="str">
        <f>IF(ISBLANK(E_EnergyFlows!N289),"",E_EnergyFlows!N289)</f>
        <v/>
      </c>
      <c r="O379" s="19"/>
      <c r="P379" s="349"/>
      <c r="Q379" s="349"/>
      <c r="R379" s="349"/>
      <c r="S379" s="349"/>
      <c r="T379" s="343"/>
      <c r="U379" s="349"/>
      <c r="V379" s="349"/>
    </row>
    <row r="380" spans="1:22" x14ac:dyDescent="0.25">
      <c r="A380" s="349"/>
      <c r="B380" s="19"/>
      <c r="C380" s="175"/>
      <c r="D380" s="175"/>
      <c r="E380" s="2781" t="str">
        <f>IF(ISBLANK(E_EnergyFlows!E290),"",E_EnergyFlows!E290)</f>
        <v/>
      </c>
      <c r="F380" s="2487"/>
      <c r="G380" s="36" t="str">
        <f>E_EnergyFlows!G290</f>
        <v>TJ / år</v>
      </c>
      <c r="H380" s="537" t="str">
        <f>IF(ISBLANK(E_EnergyFlows!H290),"",E_EnergyFlows!H290)</f>
        <v/>
      </c>
      <c r="I380" s="537" t="str">
        <f>IF(ISBLANK(E_EnergyFlows!I290),"",E_EnergyFlows!I290)</f>
        <v/>
      </c>
      <c r="J380" s="537" t="str">
        <f>IF(ISBLANK(E_EnergyFlows!J290),"",E_EnergyFlows!J290)</f>
        <v/>
      </c>
      <c r="K380" s="537" t="str">
        <f>IF(ISBLANK(E_EnergyFlows!K290),"",E_EnergyFlows!K290)</f>
        <v/>
      </c>
      <c r="L380" s="537" t="str">
        <f>IF(ISBLANK(E_EnergyFlows!L290),"",E_EnergyFlows!L290)</f>
        <v/>
      </c>
      <c r="M380" s="537" t="str">
        <f>IF(ISBLANK(E_EnergyFlows!M290),"",E_EnergyFlows!M290)</f>
        <v/>
      </c>
      <c r="N380" s="537" t="str">
        <f>IF(ISBLANK(E_EnergyFlows!N290),"",E_EnergyFlows!N290)</f>
        <v/>
      </c>
      <c r="O380" s="19"/>
      <c r="P380" s="349"/>
      <c r="Q380" s="349"/>
      <c r="R380" s="349"/>
      <c r="S380" s="349"/>
      <c r="T380" s="343"/>
      <c r="U380" s="349"/>
      <c r="V380" s="349"/>
    </row>
    <row r="381" spans="1:22" x14ac:dyDescent="0.25">
      <c r="A381" s="349"/>
      <c r="B381" s="19"/>
      <c r="C381" s="175"/>
      <c r="D381" s="175"/>
      <c r="E381" s="2496" t="str">
        <f>E_EnergyFlows!E291</f>
        <v>Delsumma</v>
      </c>
      <c r="F381" s="1997"/>
      <c r="G381" s="47" t="str">
        <f>E_EnergyFlows!G291</f>
        <v>TJ / år</v>
      </c>
      <c r="H381" s="258" t="str">
        <f>E_EnergyFlows!H291</f>
        <v/>
      </c>
      <c r="I381" s="258" t="str">
        <f>E_EnergyFlows!I291</f>
        <v/>
      </c>
      <c r="J381" s="258" t="str">
        <f>E_EnergyFlows!J291</f>
        <v/>
      </c>
      <c r="K381" s="258" t="str">
        <f>E_EnergyFlows!K291</f>
        <v/>
      </c>
      <c r="L381" s="258" t="str">
        <f>E_EnergyFlows!L291</f>
        <v/>
      </c>
      <c r="M381" s="258" t="str">
        <f>E_EnergyFlows!M291</f>
        <v/>
      </c>
      <c r="N381" s="258" t="str">
        <f>E_EnergyFlows!N291</f>
        <v/>
      </c>
      <c r="O381" s="19"/>
      <c r="P381" s="349"/>
      <c r="Q381" s="349"/>
      <c r="R381" s="349"/>
      <c r="S381" s="349"/>
      <c r="T381" s="343"/>
      <c r="U381" s="349"/>
      <c r="V381" s="349"/>
    </row>
    <row r="382" spans="1:22" ht="5.15" customHeight="1" x14ac:dyDescent="0.25">
      <c r="A382" s="349"/>
      <c r="B382" s="3"/>
      <c r="C382" s="3"/>
      <c r="D382" s="3"/>
      <c r="E382" s="3"/>
      <c r="F382" s="3"/>
      <c r="G382" s="3"/>
      <c r="H382" s="3"/>
      <c r="I382" s="3"/>
      <c r="J382" s="3"/>
      <c r="K382" s="3"/>
      <c r="L382" s="3"/>
      <c r="M382" s="3"/>
      <c r="N382" s="3"/>
      <c r="O382" s="19"/>
      <c r="P382" s="410"/>
      <c r="Q382" s="349"/>
      <c r="R382" s="349"/>
      <c r="S382" s="349"/>
      <c r="T382" s="343"/>
      <c r="U382" s="349"/>
      <c r="V382" s="349"/>
    </row>
    <row r="383" spans="1:22" ht="12.75" customHeight="1" x14ac:dyDescent="0.25">
      <c r="A383" s="349"/>
      <c r="B383" s="3"/>
      <c r="C383" s="13"/>
      <c r="D383" s="13" t="str">
        <f>E_EnergyFlows!D293</f>
        <v>(e)</v>
      </c>
      <c r="E383" s="2106" t="str">
        <f>E_EnergyFlows!E293</f>
        <v>Restgaser som exporteras från andra anläggningar eller enheter</v>
      </c>
      <c r="F383" s="1960"/>
      <c r="G383" s="1960"/>
      <c r="H383" s="1960"/>
      <c r="I383" s="1960"/>
      <c r="J383" s="1960"/>
      <c r="K383" s="1960"/>
      <c r="L383" s="1960"/>
      <c r="M383" s="1960"/>
      <c r="N383" s="1960"/>
      <c r="O383" s="19"/>
      <c r="P383" s="410"/>
      <c r="Q383" s="349"/>
      <c r="R383" s="349"/>
      <c r="S383" s="349"/>
      <c r="T383" s="343"/>
      <c r="U383" s="349"/>
      <c r="V383" s="349"/>
    </row>
    <row r="384" spans="1:22" ht="13" customHeight="1" x14ac:dyDescent="0.25">
      <c r="A384" s="349"/>
      <c r="B384" s="19"/>
      <c r="C384" s="19"/>
      <c r="D384" s="19"/>
      <c r="E384" s="2062" t="str">
        <f>E_EnergyFlows!E295</f>
        <v>Anläggningens eller enhetens namn</v>
      </c>
      <c r="F384" s="2497"/>
      <c r="G384" s="30" t="str">
        <f>E_EnergyFlows!G295</f>
        <v>Enhet</v>
      </c>
      <c r="H384" s="320">
        <f>E_EnergyFlows!H295</f>
        <v>2019</v>
      </c>
      <c r="I384" s="320">
        <f>E_EnergyFlows!I295</f>
        <v>2020</v>
      </c>
      <c r="J384" s="320">
        <f>E_EnergyFlows!J295</f>
        <v>2021</v>
      </c>
      <c r="K384" s="320">
        <f>E_EnergyFlows!K295</f>
        <v>2022</v>
      </c>
      <c r="L384" s="320">
        <f>E_EnergyFlows!L295</f>
        <v>2023</v>
      </c>
      <c r="M384" s="320">
        <f>E_EnergyFlows!M295</f>
        <v>2024</v>
      </c>
      <c r="N384" s="342">
        <f>E_EnergyFlows!N295</f>
        <v>2025</v>
      </c>
      <c r="O384" s="19"/>
      <c r="P384" s="349"/>
      <c r="Q384" s="349"/>
      <c r="R384" s="349"/>
      <c r="S384" s="349"/>
      <c r="T384" s="343"/>
      <c r="U384" s="349"/>
      <c r="V384" s="349"/>
    </row>
    <row r="385" spans="1:22" x14ac:dyDescent="0.25">
      <c r="A385" s="349"/>
      <c r="B385" s="19"/>
      <c r="C385" s="175"/>
      <c r="D385" s="175"/>
      <c r="E385" s="2783" t="str">
        <f>IF(ISBLANK(E_EnergyFlows!E296),"",E_EnergyFlows!E296)</f>
        <v/>
      </c>
      <c r="F385" s="2484"/>
      <c r="G385" s="32" t="str">
        <f>E_EnergyFlows!G296</f>
        <v>TJ / år</v>
      </c>
      <c r="H385" s="536" t="str">
        <f>IF(ISBLANK(E_EnergyFlows!H296),"",E_EnergyFlows!H296)</f>
        <v/>
      </c>
      <c r="I385" s="536" t="str">
        <f>IF(ISBLANK(E_EnergyFlows!I296),"",E_EnergyFlows!I296)</f>
        <v/>
      </c>
      <c r="J385" s="536" t="str">
        <f>IF(ISBLANK(E_EnergyFlows!J296),"",E_EnergyFlows!J296)</f>
        <v/>
      </c>
      <c r="K385" s="536" t="str">
        <f>IF(ISBLANK(E_EnergyFlows!K296),"",E_EnergyFlows!K296)</f>
        <v/>
      </c>
      <c r="L385" s="536" t="str">
        <f>IF(ISBLANK(E_EnergyFlows!L296),"",E_EnergyFlows!L296)</f>
        <v/>
      </c>
      <c r="M385" s="536" t="str">
        <f>IF(ISBLANK(E_EnergyFlows!M296),"",E_EnergyFlows!M296)</f>
        <v/>
      </c>
      <c r="N385" s="647" t="str">
        <f>IF(ISBLANK(E_EnergyFlows!N296),"",E_EnergyFlows!N296)</f>
        <v/>
      </c>
      <c r="O385" s="19"/>
      <c r="P385" s="349"/>
      <c r="Q385" s="349"/>
      <c r="R385" s="349"/>
      <c r="S385" s="349"/>
      <c r="T385" s="343"/>
      <c r="U385" s="349"/>
      <c r="V385" s="349"/>
    </row>
    <row r="386" spans="1:22" x14ac:dyDescent="0.25">
      <c r="A386" s="349"/>
      <c r="B386" s="19"/>
      <c r="C386" s="175"/>
      <c r="D386" s="175"/>
      <c r="E386" s="2780" t="str">
        <f>IF(ISBLANK(E_EnergyFlows!E297),"",E_EnergyFlows!E297)</f>
        <v/>
      </c>
      <c r="F386" s="2476"/>
      <c r="G386" s="33" t="str">
        <f>E_EnergyFlows!G297</f>
        <v>TJ / år</v>
      </c>
      <c r="H386" s="412" t="str">
        <f>IF(ISBLANK(E_EnergyFlows!H297),"",E_EnergyFlows!H297)</f>
        <v/>
      </c>
      <c r="I386" s="412" t="str">
        <f>IF(ISBLANK(E_EnergyFlows!I297),"",E_EnergyFlows!I297)</f>
        <v/>
      </c>
      <c r="J386" s="412" t="str">
        <f>IF(ISBLANK(E_EnergyFlows!J297),"",E_EnergyFlows!J297)</f>
        <v/>
      </c>
      <c r="K386" s="412" t="str">
        <f>IF(ISBLANK(E_EnergyFlows!K297),"",E_EnergyFlows!K297)</f>
        <v/>
      </c>
      <c r="L386" s="412" t="str">
        <f>IF(ISBLANK(E_EnergyFlows!L297),"",E_EnergyFlows!L297)</f>
        <v/>
      </c>
      <c r="M386" s="412" t="str">
        <f>IF(ISBLANK(E_EnergyFlows!M297),"",E_EnergyFlows!M297)</f>
        <v/>
      </c>
      <c r="N386" s="648" t="str">
        <f>IF(ISBLANK(E_EnergyFlows!N297),"",E_EnergyFlows!N297)</f>
        <v/>
      </c>
      <c r="O386" s="19"/>
      <c r="P386" s="349"/>
      <c r="Q386" s="349"/>
      <c r="R386" s="349"/>
      <c r="S386" s="349"/>
      <c r="T386" s="343"/>
      <c r="U386" s="349"/>
      <c r="V386" s="349"/>
    </row>
    <row r="387" spans="1:22" x14ac:dyDescent="0.25">
      <c r="A387" s="349"/>
      <c r="B387" s="19"/>
      <c r="C387" s="175"/>
      <c r="D387" s="175"/>
      <c r="E387" s="2781" t="str">
        <f>IF(ISBLANK(E_EnergyFlows!E298),"",E_EnergyFlows!E298)</f>
        <v/>
      </c>
      <c r="F387" s="2487"/>
      <c r="G387" s="36" t="str">
        <f>E_EnergyFlows!G298</f>
        <v>TJ / år</v>
      </c>
      <c r="H387" s="537" t="str">
        <f>IF(ISBLANK(E_EnergyFlows!H298),"",E_EnergyFlows!H298)</f>
        <v/>
      </c>
      <c r="I387" s="537" t="str">
        <f>IF(ISBLANK(E_EnergyFlows!I298),"",E_EnergyFlows!I298)</f>
        <v/>
      </c>
      <c r="J387" s="537" t="str">
        <f>IF(ISBLANK(E_EnergyFlows!J298),"",E_EnergyFlows!J298)</f>
        <v/>
      </c>
      <c r="K387" s="537" t="str">
        <f>IF(ISBLANK(E_EnergyFlows!K298),"",E_EnergyFlows!K298)</f>
        <v/>
      </c>
      <c r="L387" s="537" t="str">
        <f>IF(ISBLANK(E_EnergyFlows!L298),"",E_EnergyFlows!L298)</f>
        <v/>
      </c>
      <c r="M387" s="537" t="str">
        <f>IF(ISBLANK(E_EnergyFlows!M298),"",E_EnergyFlows!M298)</f>
        <v/>
      </c>
      <c r="N387" s="649" t="str">
        <f>IF(ISBLANK(E_EnergyFlows!N298),"",E_EnergyFlows!N298)</f>
        <v/>
      </c>
      <c r="O387" s="19"/>
      <c r="P387" s="349"/>
      <c r="Q387" s="349"/>
      <c r="R387" s="349"/>
      <c r="S387" s="349"/>
      <c r="T387" s="343"/>
      <c r="U387" s="349"/>
      <c r="V387" s="349"/>
    </row>
    <row r="388" spans="1:22" x14ac:dyDescent="0.25">
      <c r="A388" s="349"/>
      <c r="B388" s="19"/>
      <c r="C388" s="175"/>
      <c r="D388" s="175"/>
      <c r="E388" s="2496" t="str">
        <f>E_EnergyFlows!E299</f>
        <v>Delsumma</v>
      </c>
      <c r="F388" s="1997"/>
      <c r="G388" s="47" t="str">
        <f>E_EnergyFlows!G299</f>
        <v>TJ / år</v>
      </c>
      <c r="H388" s="258" t="str">
        <f>E_EnergyFlows!H299</f>
        <v/>
      </c>
      <c r="I388" s="258" t="str">
        <f>E_EnergyFlows!I299</f>
        <v/>
      </c>
      <c r="J388" s="258" t="str">
        <f>E_EnergyFlows!J299</f>
        <v/>
      </c>
      <c r="K388" s="258" t="str">
        <f>E_EnergyFlows!K299</f>
        <v/>
      </c>
      <c r="L388" s="258" t="str">
        <f>E_EnergyFlows!L299</f>
        <v/>
      </c>
      <c r="M388" s="258" t="str">
        <f>E_EnergyFlows!M299</f>
        <v/>
      </c>
      <c r="N388" s="257" t="str">
        <f>E_EnergyFlows!N299</f>
        <v/>
      </c>
      <c r="O388" s="19"/>
      <c r="P388" s="349"/>
      <c r="Q388" s="349"/>
      <c r="R388" s="349"/>
      <c r="S388" s="349"/>
      <c r="T388" s="343"/>
      <c r="U388" s="349"/>
      <c r="V388" s="349"/>
    </row>
    <row r="389" spans="1:22" ht="5.15" customHeight="1" x14ac:dyDescent="0.25">
      <c r="A389" s="349"/>
      <c r="B389" s="3"/>
      <c r="C389" s="3"/>
      <c r="D389" s="3"/>
      <c r="E389" s="3"/>
      <c r="F389" s="3"/>
      <c r="G389" s="3"/>
      <c r="H389" s="3"/>
      <c r="I389" s="3"/>
      <c r="J389" s="3"/>
      <c r="K389" s="3"/>
      <c r="L389" s="3"/>
      <c r="M389" s="3"/>
      <c r="N389" s="3"/>
      <c r="O389" s="19"/>
      <c r="P389" s="410"/>
      <c r="Q389" s="349"/>
      <c r="R389" s="349"/>
      <c r="S389" s="349"/>
      <c r="T389" s="343"/>
      <c r="U389" s="349"/>
      <c r="V389" s="349"/>
    </row>
    <row r="390" spans="1:22" ht="13" customHeight="1" x14ac:dyDescent="0.25">
      <c r="A390" s="349"/>
      <c r="B390" s="3"/>
      <c r="C390" s="13"/>
      <c r="D390" s="13" t="str">
        <f>E_EnergyFlows!D301</f>
        <v>(f)</v>
      </c>
      <c r="E390" s="2062" t="str">
        <f>E_EnergyFlows!E301</f>
        <v>Summa av restgaser som finns vid anläggningen (= c+d+e)</v>
      </c>
      <c r="F390" s="2497"/>
      <c r="G390" s="2497"/>
      <c r="H390" s="2497"/>
      <c r="I390" s="2497"/>
      <c r="J390" s="2497"/>
      <c r="K390" s="2497"/>
      <c r="L390" s="2497"/>
      <c r="M390" s="2497"/>
      <c r="N390" s="2497"/>
      <c r="O390" s="19"/>
      <c r="P390" s="410"/>
      <c r="Q390" s="349"/>
      <c r="R390" s="349"/>
      <c r="S390" s="349"/>
      <c r="T390" s="343"/>
      <c r="U390" s="349"/>
      <c r="V390" s="349"/>
    </row>
    <row r="391" spans="1:22" ht="12.65" customHeight="1" x14ac:dyDescent="0.25">
      <c r="A391" s="349"/>
      <c r="B391" s="19"/>
      <c r="C391" s="19"/>
      <c r="D391" s="19"/>
      <c r="E391" s="2129" t="str">
        <f>E_EnergyFlows!E302</f>
        <v>Tillgängliga restgaser</v>
      </c>
      <c r="F391" s="1997"/>
      <c r="G391" s="47" t="str">
        <f>E_EnergyFlows!G302</f>
        <v>TJ / år</v>
      </c>
      <c r="H391" s="258" t="str">
        <f>E_EnergyFlows!H302</f>
        <v/>
      </c>
      <c r="I391" s="258" t="str">
        <f>E_EnergyFlows!I302</f>
        <v/>
      </c>
      <c r="J391" s="258" t="str">
        <f>E_EnergyFlows!J302</f>
        <v/>
      </c>
      <c r="K391" s="258" t="str">
        <f>E_EnergyFlows!K302</f>
        <v/>
      </c>
      <c r="L391" s="258" t="str">
        <f>E_EnergyFlows!L302</f>
        <v/>
      </c>
      <c r="M391" s="258" t="str">
        <f>E_EnergyFlows!M302</f>
        <v/>
      </c>
      <c r="N391" s="258" t="str">
        <f>E_EnergyFlows!N302</f>
        <v/>
      </c>
      <c r="O391" s="19"/>
      <c r="P391" s="349"/>
      <c r="Q391" s="349"/>
      <c r="R391" s="349"/>
      <c r="S391" s="349"/>
      <c r="T391" s="343"/>
      <c r="U391" s="349"/>
      <c r="V391" s="349"/>
    </row>
    <row r="392" spans="1:22" ht="5.15" customHeight="1" x14ac:dyDescent="0.25">
      <c r="A392" s="349"/>
      <c r="B392" s="19"/>
      <c r="C392" s="19"/>
      <c r="D392" s="19"/>
      <c r="E392" s="19"/>
      <c r="F392" s="19"/>
      <c r="G392" s="19"/>
      <c r="H392" s="19"/>
      <c r="I392" s="19"/>
      <c r="J392" s="19"/>
      <c r="K392" s="19"/>
      <c r="L392" s="19"/>
      <c r="M392" s="19"/>
      <c r="N392" s="19"/>
      <c r="O392" s="19"/>
      <c r="P392" s="349"/>
      <c r="Q392" s="349"/>
      <c r="R392" s="349"/>
      <c r="S392" s="349"/>
      <c r="T392" s="343"/>
      <c r="U392" s="349"/>
      <c r="V392" s="349"/>
    </row>
    <row r="393" spans="1:22" ht="13" customHeight="1" x14ac:dyDescent="0.25">
      <c r="A393" s="349"/>
      <c r="B393" s="3"/>
      <c r="C393" s="13"/>
      <c r="D393" s="13" t="str">
        <f>E_EnergyFlows!D304</f>
        <v>(g)</v>
      </c>
      <c r="E393" s="2106" t="str">
        <f>E_EnergyFlows!E304</f>
        <v>Restgaser som förbrukas vid delanläggningar med produktriktmärke</v>
      </c>
      <c r="F393" s="1960"/>
      <c r="G393" s="1960"/>
      <c r="H393" s="1960"/>
      <c r="I393" s="1960"/>
      <c r="J393" s="1960"/>
      <c r="K393" s="1960"/>
      <c r="L393" s="1960"/>
      <c r="M393" s="1960"/>
      <c r="N393" s="1960"/>
      <c r="O393" s="19"/>
      <c r="P393" s="410"/>
      <c r="Q393" s="349"/>
      <c r="R393" s="349"/>
      <c r="S393" s="349"/>
      <c r="T393" s="343"/>
      <c r="U393" s="349"/>
      <c r="V393" s="349"/>
    </row>
    <row r="394" spans="1:22" ht="13" customHeight="1" x14ac:dyDescent="0.25">
      <c r="A394" s="349"/>
      <c r="B394" s="19"/>
      <c r="C394" s="19"/>
      <c r="D394" s="19"/>
      <c r="E394" s="2062" t="str">
        <f>E_EnergyFlows!E306</f>
        <v>Typ av delanläggning med produktriktmärke</v>
      </c>
      <c r="F394" s="2497"/>
      <c r="G394" s="30" t="str">
        <f>E_EnergyFlows!G306</f>
        <v>Enhet</v>
      </c>
      <c r="H394" s="320">
        <f>E_EnergyFlows!H306</f>
        <v>2019</v>
      </c>
      <c r="I394" s="320">
        <f>E_EnergyFlows!I306</f>
        <v>2020</v>
      </c>
      <c r="J394" s="320">
        <f>E_EnergyFlows!J306</f>
        <v>2021</v>
      </c>
      <c r="K394" s="320">
        <f>E_EnergyFlows!K306</f>
        <v>2022</v>
      </c>
      <c r="L394" s="320">
        <f>E_EnergyFlows!L306</f>
        <v>2023</v>
      </c>
      <c r="M394" s="320">
        <f>E_EnergyFlows!M306</f>
        <v>2024</v>
      </c>
      <c r="N394" s="320">
        <f>E_EnergyFlows!N306</f>
        <v>2025</v>
      </c>
      <c r="O394" s="19"/>
      <c r="P394" s="410"/>
      <c r="Q394" s="410"/>
      <c r="R394" s="410"/>
      <c r="S394" s="410"/>
      <c r="T394" s="343"/>
      <c r="U394" s="349"/>
      <c r="V394" s="349"/>
    </row>
    <row r="395" spans="1:22" ht="12.75" customHeight="1" x14ac:dyDescent="0.25">
      <c r="A395" s="349"/>
      <c r="B395" s="19"/>
      <c r="C395" s="19"/>
      <c r="D395" s="289"/>
      <c r="E395" s="2783" t="str">
        <f>E_EnergyFlows!E307</f>
        <v/>
      </c>
      <c r="F395" s="2484"/>
      <c r="G395" s="352" t="str">
        <f>E_EnergyFlows!G307</f>
        <v>TJ / år</v>
      </c>
      <c r="H395" s="536" t="str">
        <f>E_EnergyFlows!H307</f>
        <v/>
      </c>
      <c r="I395" s="536" t="str">
        <f>E_EnergyFlows!I307</f>
        <v/>
      </c>
      <c r="J395" s="536" t="str">
        <f>E_EnergyFlows!J307</f>
        <v/>
      </c>
      <c r="K395" s="536" t="str">
        <f>E_EnergyFlows!K307</f>
        <v/>
      </c>
      <c r="L395" s="536" t="str">
        <f>E_EnergyFlows!L307</f>
        <v/>
      </c>
      <c r="M395" s="536" t="str">
        <f>E_EnergyFlows!M307</f>
        <v/>
      </c>
      <c r="N395" s="536" t="str">
        <f>E_EnergyFlows!N307</f>
        <v/>
      </c>
      <c r="O395" s="19"/>
      <c r="P395" s="410"/>
      <c r="Q395" s="410"/>
      <c r="R395" s="410"/>
      <c r="S395" s="410"/>
      <c r="T395" s="343"/>
      <c r="U395" s="349"/>
      <c r="V395" s="349"/>
    </row>
    <row r="396" spans="1:22" x14ac:dyDescent="0.25">
      <c r="A396" s="349"/>
      <c r="B396" s="19"/>
      <c r="C396" s="19"/>
      <c r="D396" s="289"/>
      <c r="E396" s="2780" t="str">
        <f>E_EnergyFlows!E308</f>
        <v/>
      </c>
      <c r="F396" s="2476"/>
      <c r="G396" s="353" t="str">
        <f>E_EnergyFlows!G308</f>
        <v>TJ / år</v>
      </c>
      <c r="H396" s="412" t="str">
        <f>E_EnergyFlows!H308</f>
        <v/>
      </c>
      <c r="I396" s="412" t="str">
        <f>E_EnergyFlows!I308</f>
        <v/>
      </c>
      <c r="J396" s="412" t="str">
        <f>E_EnergyFlows!J308</f>
        <v/>
      </c>
      <c r="K396" s="412" t="str">
        <f>E_EnergyFlows!K308</f>
        <v/>
      </c>
      <c r="L396" s="412" t="str">
        <f>E_EnergyFlows!L308</f>
        <v/>
      </c>
      <c r="M396" s="412" t="str">
        <f>E_EnergyFlows!M308</f>
        <v/>
      </c>
      <c r="N396" s="412" t="str">
        <f>E_EnergyFlows!N308</f>
        <v/>
      </c>
      <c r="O396" s="19"/>
      <c r="P396" s="410"/>
      <c r="Q396" s="410"/>
      <c r="R396" s="410"/>
      <c r="S396" s="410"/>
      <c r="T396" s="343"/>
      <c r="U396" s="349"/>
      <c r="V396" s="349"/>
    </row>
    <row r="397" spans="1:22" ht="12.75" customHeight="1" x14ac:dyDescent="0.25">
      <c r="A397" s="349"/>
      <c r="B397" s="19"/>
      <c r="C397" s="19"/>
      <c r="D397" s="289"/>
      <c r="E397" s="2780" t="str">
        <f>E_EnergyFlows!E309</f>
        <v/>
      </c>
      <c r="F397" s="2476"/>
      <c r="G397" s="353" t="str">
        <f>E_EnergyFlows!G309</f>
        <v>TJ / år</v>
      </c>
      <c r="H397" s="412" t="str">
        <f>E_EnergyFlows!H309</f>
        <v/>
      </c>
      <c r="I397" s="412" t="str">
        <f>E_EnergyFlows!I309</f>
        <v/>
      </c>
      <c r="J397" s="412" t="str">
        <f>E_EnergyFlows!J309</f>
        <v/>
      </c>
      <c r="K397" s="412" t="str">
        <f>E_EnergyFlows!K309</f>
        <v/>
      </c>
      <c r="L397" s="412" t="str">
        <f>E_EnergyFlows!L309</f>
        <v/>
      </c>
      <c r="M397" s="412" t="str">
        <f>E_EnergyFlows!M309</f>
        <v/>
      </c>
      <c r="N397" s="412" t="str">
        <f>E_EnergyFlows!N309</f>
        <v/>
      </c>
      <c r="O397" s="19"/>
      <c r="P397" s="410"/>
      <c r="Q397" s="410"/>
      <c r="R397" s="410"/>
      <c r="S397" s="410"/>
      <c r="T397" s="343"/>
      <c r="U397" s="349"/>
      <c r="V397" s="349"/>
    </row>
    <row r="398" spans="1:22" x14ac:dyDescent="0.25">
      <c r="A398" s="349"/>
      <c r="B398" s="19"/>
      <c r="C398" s="19"/>
      <c r="D398" s="289"/>
      <c r="E398" s="2780" t="str">
        <f>E_EnergyFlows!E310</f>
        <v/>
      </c>
      <c r="F398" s="2476"/>
      <c r="G398" s="353" t="str">
        <f>E_EnergyFlows!G310</f>
        <v>TJ / år</v>
      </c>
      <c r="H398" s="412" t="str">
        <f>E_EnergyFlows!H310</f>
        <v/>
      </c>
      <c r="I398" s="412" t="str">
        <f>E_EnergyFlows!I310</f>
        <v/>
      </c>
      <c r="J398" s="412" t="str">
        <f>E_EnergyFlows!J310</f>
        <v/>
      </c>
      <c r="K398" s="412" t="str">
        <f>E_EnergyFlows!K310</f>
        <v/>
      </c>
      <c r="L398" s="412" t="str">
        <f>E_EnergyFlows!L310</f>
        <v/>
      </c>
      <c r="M398" s="412" t="str">
        <f>E_EnergyFlows!M310</f>
        <v/>
      </c>
      <c r="N398" s="412" t="str">
        <f>E_EnergyFlows!N310</f>
        <v/>
      </c>
      <c r="O398" s="19"/>
      <c r="P398" s="410"/>
      <c r="Q398" s="410"/>
      <c r="R398" s="410"/>
      <c r="S398" s="410"/>
      <c r="T398" s="343"/>
      <c r="U398" s="349"/>
      <c r="V398" s="349"/>
    </row>
    <row r="399" spans="1:22" x14ac:dyDescent="0.25">
      <c r="A399" s="349"/>
      <c r="B399" s="19"/>
      <c r="C399" s="19"/>
      <c r="D399" s="289"/>
      <c r="E399" s="2780" t="str">
        <f>E_EnergyFlows!E311</f>
        <v/>
      </c>
      <c r="F399" s="2476"/>
      <c r="G399" s="353" t="str">
        <f>E_EnergyFlows!G311</f>
        <v>TJ / år</v>
      </c>
      <c r="H399" s="412" t="str">
        <f>E_EnergyFlows!H311</f>
        <v/>
      </c>
      <c r="I399" s="412" t="str">
        <f>E_EnergyFlows!I311</f>
        <v/>
      </c>
      <c r="J399" s="412" t="str">
        <f>E_EnergyFlows!J311</f>
        <v/>
      </c>
      <c r="K399" s="412" t="str">
        <f>E_EnergyFlows!K311</f>
        <v/>
      </c>
      <c r="L399" s="412" t="str">
        <f>E_EnergyFlows!L311</f>
        <v/>
      </c>
      <c r="M399" s="412" t="str">
        <f>E_EnergyFlows!M311</f>
        <v/>
      </c>
      <c r="N399" s="412" t="str">
        <f>E_EnergyFlows!N311</f>
        <v/>
      </c>
      <c r="O399" s="19"/>
      <c r="P399" s="410"/>
      <c r="Q399" s="410"/>
      <c r="R399" s="410"/>
      <c r="S399" s="410"/>
      <c r="T399" s="343"/>
      <c r="U399" s="349"/>
      <c r="V399" s="349"/>
    </row>
    <row r="400" spans="1:22" x14ac:dyDescent="0.25">
      <c r="A400" s="349"/>
      <c r="B400" s="19"/>
      <c r="C400" s="19"/>
      <c r="D400" s="289"/>
      <c r="E400" s="2780" t="str">
        <f>E_EnergyFlows!E312</f>
        <v/>
      </c>
      <c r="F400" s="2476"/>
      <c r="G400" s="353" t="str">
        <f>E_EnergyFlows!G312</f>
        <v>TJ / år</v>
      </c>
      <c r="H400" s="412" t="str">
        <f>E_EnergyFlows!H312</f>
        <v/>
      </c>
      <c r="I400" s="412" t="str">
        <f>E_EnergyFlows!I312</f>
        <v/>
      </c>
      <c r="J400" s="412" t="str">
        <f>E_EnergyFlows!J312</f>
        <v/>
      </c>
      <c r="K400" s="412" t="str">
        <f>E_EnergyFlows!K312</f>
        <v/>
      </c>
      <c r="L400" s="412" t="str">
        <f>E_EnergyFlows!L312</f>
        <v/>
      </c>
      <c r="M400" s="412" t="str">
        <f>E_EnergyFlows!M312</f>
        <v/>
      </c>
      <c r="N400" s="412" t="str">
        <f>E_EnergyFlows!N312</f>
        <v/>
      </c>
      <c r="O400" s="19"/>
      <c r="P400" s="410"/>
      <c r="Q400" s="410"/>
      <c r="R400" s="410"/>
      <c r="S400" s="410"/>
      <c r="T400" s="343"/>
      <c r="U400" s="349"/>
      <c r="V400" s="349"/>
    </row>
    <row r="401" spans="1:22" x14ac:dyDescent="0.25">
      <c r="A401" s="349"/>
      <c r="B401" s="19"/>
      <c r="C401" s="19"/>
      <c r="D401" s="289"/>
      <c r="E401" s="2780" t="str">
        <f>E_EnergyFlows!E313</f>
        <v/>
      </c>
      <c r="F401" s="2476"/>
      <c r="G401" s="353" t="str">
        <f>E_EnergyFlows!G313</f>
        <v>TJ / år</v>
      </c>
      <c r="H401" s="412" t="str">
        <f>E_EnergyFlows!H313</f>
        <v/>
      </c>
      <c r="I401" s="412" t="str">
        <f>E_EnergyFlows!I313</f>
        <v/>
      </c>
      <c r="J401" s="412" t="str">
        <f>E_EnergyFlows!J313</f>
        <v/>
      </c>
      <c r="K401" s="412" t="str">
        <f>E_EnergyFlows!K313</f>
        <v/>
      </c>
      <c r="L401" s="412" t="str">
        <f>E_EnergyFlows!L313</f>
        <v/>
      </c>
      <c r="M401" s="412" t="str">
        <f>E_EnergyFlows!M313</f>
        <v/>
      </c>
      <c r="N401" s="412" t="str">
        <f>E_EnergyFlows!N313</f>
        <v/>
      </c>
      <c r="O401" s="19"/>
      <c r="P401" s="410"/>
      <c r="Q401" s="410"/>
      <c r="R401" s="410"/>
      <c r="S401" s="410"/>
      <c r="T401" s="343"/>
      <c r="U401" s="349"/>
      <c r="V401" s="349"/>
    </row>
    <row r="402" spans="1:22" x14ac:dyDescent="0.25">
      <c r="A402" s="349"/>
      <c r="B402" s="19"/>
      <c r="C402" s="19"/>
      <c r="D402" s="289"/>
      <c r="E402" s="2780" t="str">
        <f>E_EnergyFlows!E314</f>
        <v/>
      </c>
      <c r="F402" s="2476"/>
      <c r="G402" s="353" t="str">
        <f>E_EnergyFlows!G314</f>
        <v>TJ / år</v>
      </c>
      <c r="H402" s="412" t="str">
        <f>E_EnergyFlows!H314</f>
        <v/>
      </c>
      <c r="I402" s="412" t="str">
        <f>E_EnergyFlows!I314</f>
        <v/>
      </c>
      <c r="J402" s="412" t="str">
        <f>E_EnergyFlows!J314</f>
        <v/>
      </c>
      <c r="K402" s="412" t="str">
        <f>E_EnergyFlows!K314</f>
        <v/>
      </c>
      <c r="L402" s="412" t="str">
        <f>E_EnergyFlows!L314</f>
        <v/>
      </c>
      <c r="M402" s="412" t="str">
        <f>E_EnergyFlows!M314</f>
        <v/>
      </c>
      <c r="N402" s="412" t="str">
        <f>E_EnergyFlows!N314</f>
        <v/>
      </c>
      <c r="O402" s="19"/>
      <c r="P402" s="410"/>
      <c r="Q402" s="410"/>
      <c r="R402" s="410"/>
      <c r="S402" s="410"/>
      <c r="T402" s="343"/>
      <c r="U402" s="349"/>
      <c r="V402" s="349"/>
    </row>
    <row r="403" spans="1:22" x14ac:dyDescent="0.25">
      <c r="A403" s="349"/>
      <c r="B403" s="19"/>
      <c r="C403" s="19"/>
      <c r="D403" s="289"/>
      <c r="E403" s="2780" t="str">
        <f>E_EnergyFlows!E315</f>
        <v/>
      </c>
      <c r="F403" s="2476"/>
      <c r="G403" s="353" t="str">
        <f>E_EnergyFlows!G315</f>
        <v>TJ / år</v>
      </c>
      <c r="H403" s="412" t="str">
        <f>E_EnergyFlows!H315</f>
        <v/>
      </c>
      <c r="I403" s="412" t="str">
        <f>E_EnergyFlows!I315</f>
        <v/>
      </c>
      <c r="J403" s="412" t="str">
        <f>E_EnergyFlows!J315</f>
        <v/>
      </c>
      <c r="K403" s="412" t="str">
        <f>E_EnergyFlows!K315</f>
        <v/>
      </c>
      <c r="L403" s="412" t="str">
        <f>E_EnergyFlows!L315</f>
        <v/>
      </c>
      <c r="M403" s="412" t="str">
        <f>E_EnergyFlows!M315</f>
        <v/>
      </c>
      <c r="N403" s="412" t="str">
        <f>E_EnergyFlows!N315</f>
        <v/>
      </c>
      <c r="O403" s="19"/>
      <c r="P403" s="410"/>
      <c r="Q403" s="410"/>
      <c r="R403" s="410"/>
      <c r="S403" s="410"/>
      <c r="T403" s="343"/>
      <c r="U403" s="349"/>
      <c r="V403" s="349"/>
    </row>
    <row r="404" spans="1:22" x14ac:dyDescent="0.25">
      <c r="A404" s="349"/>
      <c r="B404" s="19"/>
      <c r="C404" s="19"/>
      <c r="D404" s="289"/>
      <c r="E404" s="2781" t="str">
        <f>E_EnergyFlows!E316</f>
        <v/>
      </c>
      <c r="F404" s="2487"/>
      <c r="G404" s="354" t="str">
        <f>E_EnergyFlows!G316</f>
        <v>TJ / år</v>
      </c>
      <c r="H404" s="537" t="str">
        <f>E_EnergyFlows!H316</f>
        <v/>
      </c>
      <c r="I404" s="537" t="str">
        <f>E_EnergyFlows!I316</f>
        <v/>
      </c>
      <c r="J404" s="537" t="str">
        <f>E_EnergyFlows!J316</f>
        <v/>
      </c>
      <c r="K404" s="537" t="str">
        <f>E_EnergyFlows!K316</f>
        <v/>
      </c>
      <c r="L404" s="537" t="str">
        <f>E_EnergyFlows!L316</f>
        <v/>
      </c>
      <c r="M404" s="537" t="str">
        <f>E_EnergyFlows!M316</f>
        <v/>
      </c>
      <c r="N404" s="537" t="str">
        <f>E_EnergyFlows!N316</f>
        <v/>
      </c>
      <c r="O404" s="19"/>
      <c r="P404" s="410"/>
      <c r="Q404" s="410"/>
      <c r="R404" s="410"/>
      <c r="S404" s="410"/>
      <c r="T404" s="343"/>
      <c r="U404" s="349"/>
      <c r="V404" s="349"/>
    </row>
    <row r="405" spans="1:22" ht="12.75" customHeight="1" x14ac:dyDescent="0.25">
      <c r="A405" s="349"/>
      <c r="B405" s="19"/>
      <c r="C405" s="175"/>
      <c r="D405" s="289"/>
      <c r="E405" s="2496" t="str">
        <f>E_EnergyFlows!E317</f>
        <v>Delsumma</v>
      </c>
      <c r="F405" s="1997"/>
      <c r="G405" s="36" t="str">
        <f>E_EnergyFlows!G317</f>
        <v>TJ / år</v>
      </c>
      <c r="H405" s="351" t="str">
        <f>E_EnergyFlows!H317</f>
        <v/>
      </c>
      <c r="I405" s="351" t="str">
        <f>E_EnergyFlows!I317</f>
        <v/>
      </c>
      <c r="J405" s="351" t="str">
        <f>E_EnergyFlows!J317</f>
        <v/>
      </c>
      <c r="K405" s="351" t="str">
        <f>E_EnergyFlows!K317</f>
        <v/>
      </c>
      <c r="L405" s="351" t="str">
        <f>E_EnergyFlows!L317</f>
        <v/>
      </c>
      <c r="M405" s="351" t="str">
        <f>E_EnergyFlows!M317</f>
        <v/>
      </c>
      <c r="N405" s="351" t="str">
        <f>E_EnergyFlows!N317</f>
        <v/>
      </c>
      <c r="O405" s="19"/>
      <c r="P405" s="410"/>
      <c r="Q405" s="410"/>
      <c r="R405" s="410"/>
      <c r="S405" s="410"/>
      <c r="T405" s="343"/>
      <c r="U405" s="349"/>
      <c r="V405" s="349"/>
    </row>
    <row r="406" spans="1:22" ht="5.15" customHeight="1" x14ac:dyDescent="0.25">
      <c r="A406" s="349"/>
      <c r="B406" s="3"/>
      <c r="C406" s="3"/>
      <c r="D406" s="3"/>
      <c r="E406" s="3"/>
      <c r="F406" s="3"/>
      <c r="G406" s="3"/>
      <c r="H406" s="3"/>
      <c r="I406" s="3"/>
      <c r="J406" s="3"/>
      <c r="K406" s="3"/>
      <c r="L406" s="3"/>
      <c r="M406" s="3"/>
      <c r="N406" s="3"/>
      <c r="O406" s="19"/>
      <c r="P406" s="410"/>
      <c r="Q406" s="410"/>
      <c r="R406" s="410"/>
      <c r="S406" s="410"/>
      <c r="T406" s="343"/>
      <c r="U406" s="349"/>
      <c r="V406" s="349"/>
    </row>
    <row r="407" spans="1:22" ht="13" customHeight="1" x14ac:dyDescent="0.25">
      <c r="A407" s="349"/>
      <c r="B407" s="3"/>
      <c r="C407" s="13"/>
      <c r="D407" s="13" t="str">
        <f>E_EnergyFlows!D319</f>
        <v>(h)</v>
      </c>
      <c r="E407" s="2106" t="str">
        <f>E_EnergyFlows!E319</f>
        <v>Restgaser som förbrukas vid ”fall-back”-delanläggningar</v>
      </c>
      <c r="F407" s="1960"/>
      <c r="G407" s="1960"/>
      <c r="H407" s="1960"/>
      <c r="I407" s="1960"/>
      <c r="J407" s="1960"/>
      <c r="K407" s="1960"/>
      <c r="L407" s="1960"/>
      <c r="M407" s="1960"/>
      <c r="N407" s="1960"/>
      <c r="O407" s="19"/>
      <c r="P407" s="410"/>
      <c r="Q407" s="410"/>
      <c r="R407" s="410"/>
      <c r="S407" s="410"/>
      <c r="T407" s="343"/>
      <c r="U407" s="349"/>
      <c r="V407" s="349"/>
    </row>
    <row r="408" spans="1:22" ht="13" customHeight="1" x14ac:dyDescent="0.25">
      <c r="A408" s="349"/>
      <c r="B408" s="19"/>
      <c r="C408" s="19"/>
      <c r="D408" s="19"/>
      <c r="E408" s="2062" t="str">
        <f>E_EnergyFlows!E321</f>
        <v>Typ av ”fall-back”-delanläggning</v>
      </c>
      <c r="F408" s="2497"/>
      <c r="G408" s="13" t="str">
        <f>E_EnergyFlows!G321</f>
        <v>Enhet</v>
      </c>
      <c r="H408" s="320">
        <f>E_EnergyFlows!H321</f>
        <v>2019</v>
      </c>
      <c r="I408" s="320">
        <f>E_EnergyFlows!I321</f>
        <v>2020</v>
      </c>
      <c r="J408" s="320">
        <f>E_EnergyFlows!J321</f>
        <v>2021</v>
      </c>
      <c r="K408" s="320">
        <f>E_EnergyFlows!K321</f>
        <v>2022</v>
      </c>
      <c r="L408" s="320">
        <f>E_EnergyFlows!L321</f>
        <v>2023</v>
      </c>
      <c r="M408" s="320">
        <f>E_EnergyFlows!M321</f>
        <v>2024</v>
      </c>
      <c r="N408" s="342">
        <f>E_EnergyFlows!N321</f>
        <v>2025</v>
      </c>
      <c r="O408" s="19"/>
      <c r="P408" s="410"/>
      <c r="Q408" s="410"/>
      <c r="R408" s="410"/>
      <c r="S408" s="410"/>
      <c r="T408" s="343"/>
      <c r="U408" s="349"/>
      <c r="V408" s="349"/>
    </row>
    <row r="409" spans="1:22" ht="12.75" customHeight="1" x14ac:dyDescent="0.25">
      <c r="A409" s="2"/>
      <c r="B409" s="19"/>
      <c r="C409" s="19"/>
      <c r="D409" s="175"/>
      <c r="E409" s="2483" t="str">
        <f>E_EnergyFlows!E322</f>
        <v>Delanläggning med värmeriktmärke, KL</v>
      </c>
      <c r="F409" s="2484"/>
      <c r="G409" s="352" t="str">
        <f>E_EnergyFlows!G322</f>
        <v>TJ / år</v>
      </c>
      <c r="H409" s="536" t="str">
        <f>E_EnergyFlows!H322</f>
        <v/>
      </c>
      <c r="I409" s="536" t="str">
        <f>E_EnergyFlows!I322</f>
        <v/>
      </c>
      <c r="J409" s="536" t="str">
        <f>E_EnergyFlows!J322</f>
        <v/>
      </c>
      <c r="K409" s="536" t="str">
        <f>E_EnergyFlows!K322</f>
        <v/>
      </c>
      <c r="L409" s="536" t="str">
        <f>E_EnergyFlows!L322</f>
        <v/>
      </c>
      <c r="M409" s="536" t="str">
        <f>E_EnergyFlows!M322</f>
        <v/>
      </c>
      <c r="N409" s="536" t="str">
        <f>E_EnergyFlows!N322</f>
        <v/>
      </c>
      <c r="O409" s="19"/>
      <c r="P409" s="410"/>
      <c r="Q409" s="410"/>
      <c r="R409" s="410"/>
      <c r="S409" s="410"/>
      <c r="T409" s="343"/>
      <c r="U409" s="349"/>
      <c r="V409" s="349"/>
    </row>
    <row r="410" spans="1:22" ht="12.75" customHeight="1" x14ac:dyDescent="0.25">
      <c r="A410" s="2"/>
      <c r="B410" s="19"/>
      <c r="C410" s="19"/>
      <c r="D410" s="175"/>
      <c r="E410" s="2485" t="str">
        <f>E_EnergyFlows!E323</f>
        <v>Delanläggning med värmeriktmärke, ej KL</v>
      </c>
      <c r="F410" s="2476"/>
      <c r="G410" s="353" t="str">
        <f>E_EnergyFlows!G323</f>
        <v>TJ / år</v>
      </c>
      <c r="H410" s="412" t="str">
        <f>E_EnergyFlows!H323</f>
        <v/>
      </c>
      <c r="I410" s="412" t="str">
        <f>E_EnergyFlows!I323</f>
        <v/>
      </c>
      <c r="J410" s="412" t="str">
        <f>E_EnergyFlows!J323</f>
        <v/>
      </c>
      <c r="K410" s="412" t="str">
        <f>E_EnergyFlows!K323</f>
        <v/>
      </c>
      <c r="L410" s="412" t="str">
        <f>E_EnergyFlows!L323</f>
        <v/>
      </c>
      <c r="M410" s="412" t="str">
        <f>E_EnergyFlows!M323</f>
        <v/>
      </c>
      <c r="N410" s="412" t="str">
        <f>E_EnergyFlows!N323</f>
        <v/>
      </c>
      <c r="O410" s="19"/>
      <c r="P410" s="410"/>
      <c r="Q410" s="410"/>
      <c r="R410" s="410"/>
      <c r="S410" s="410"/>
      <c r="T410" s="343"/>
      <c r="U410" s="349"/>
      <c r="V410" s="349"/>
    </row>
    <row r="411" spans="1:22" ht="12.75" customHeight="1" x14ac:dyDescent="0.25">
      <c r="A411" s="2"/>
      <c r="B411" s="19"/>
      <c r="C411" s="19"/>
      <c r="D411" s="175"/>
      <c r="E411" s="2485" t="str">
        <f>E_EnergyFlows!E324</f>
        <v>Fjärrvärmedelanläggning</v>
      </c>
      <c r="F411" s="2476"/>
      <c r="G411" s="353" t="str">
        <f>E_EnergyFlows!G324</f>
        <v>TJ / år</v>
      </c>
      <c r="H411" s="412" t="str">
        <f>E_EnergyFlows!H324</f>
        <v/>
      </c>
      <c r="I411" s="412" t="str">
        <f>E_EnergyFlows!I324</f>
        <v/>
      </c>
      <c r="J411" s="412" t="str">
        <f>E_EnergyFlows!J324</f>
        <v/>
      </c>
      <c r="K411" s="412" t="str">
        <f>E_EnergyFlows!K324</f>
        <v/>
      </c>
      <c r="L411" s="412" t="str">
        <f>E_EnergyFlows!L324</f>
        <v/>
      </c>
      <c r="M411" s="412" t="str">
        <f>E_EnergyFlows!M324</f>
        <v/>
      </c>
      <c r="N411" s="412" t="str">
        <f>E_EnergyFlows!N324</f>
        <v/>
      </c>
      <c r="O411" s="19"/>
      <c r="P411" s="410"/>
      <c r="Q411" s="410"/>
      <c r="R411" s="410"/>
      <c r="S411" s="410"/>
      <c r="T411" s="343"/>
      <c r="U411" s="349"/>
      <c r="V411" s="349"/>
    </row>
    <row r="412" spans="1:22" ht="12.75" customHeight="1" x14ac:dyDescent="0.25">
      <c r="A412" s="2"/>
      <c r="B412" s="19"/>
      <c r="C412" s="19"/>
      <c r="D412" s="175"/>
      <c r="E412" s="2485" t="str">
        <f>E_EnergyFlows!E325</f>
        <v>Delanläggning med bränsleriktmärke, KL</v>
      </c>
      <c r="F412" s="2476"/>
      <c r="G412" s="353" t="str">
        <f>E_EnergyFlows!G325</f>
        <v>TJ / år</v>
      </c>
      <c r="H412" s="412" t="str">
        <f>E_EnergyFlows!H325</f>
        <v/>
      </c>
      <c r="I412" s="412" t="str">
        <f>E_EnergyFlows!I325</f>
        <v/>
      </c>
      <c r="J412" s="412" t="str">
        <f>E_EnergyFlows!J325</f>
        <v/>
      </c>
      <c r="K412" s="412" t="str">
        <f>E_EnergyFlows!K325</f>
        <v/>
      </c>
      <c r="L412" s="412" t="str">
        <f>E_EnergyFlows!L325</f>
        <v/>
      </c>
      <c r="M412" s="412" t="str">
        <f>E_EnergyFlows!M325</f>
        <v/>
      </c>
      <c r="N412" s="412" t="str">
        <f>E_EnergyFlows!N325</f>
        <v/>
      </c>
      <c r="O412" s="19"/>
      <c r="P412" s="410"/>
      <c r="Q412" s="410"/>
      <c r="R412" s="410"/>
      <c r="S412" s="410"/>
      <c r="T412" s="343"/>
      <c r="U412" s="349"/>
      <c r="V412" s="349"/>
    </row>
    <row r="413" spans="1:22" ht="12.75" customHeight="1" x14ac:dyDescent="0.25">
      <c r="A413" s="2"/>
      <c r="B413" s="19"/>
      <c r="C413" s="19"/>
      <c r="D413" s="289"/>
      <c r="E413" s="2486" t="str">
        <f>E_EnergyFlows!E326</f>
        <v>Delanläggning med bränsleriktmärke, ej KL</v>
      </c>
      <c r="F413" s="2487"/>
      <c r="G413" s="354" t="str">
        <f>E_EnergyFlows!G326</f>
        <v>TJ / år</v>
      </c>
      <c r="H413" s="537" t="str">
        <f>E_EnergyFlows!H326</f>
        <v/>
      </c>
      <c r="I413" s="537" t="str">
        <f>E_EnergyFlows!I326</f>
        <v/>
      </c>
      <c r="J413" s="537" t="str">
        <f>E_EnergyFlows!J326</f>
        <v/>
      </c>
      <c r="K413" s="537" t="str">
        <f>E_EnergyFlows!K326</f>
        <v/>
      </c>
      <c r="L413" s="537" t="str">
        <f>E_EnergyFlows!L326</f>
        <v/>
      </c>
      <c r="M413" s="537" t="str">
        <f>E_EnergyFlows!M326</f>
        <v/>
      </c>
      <c r="N413" s="537" t="str">
        <f>E_EnergyFlows!N326</f>
        <v/>
      </c>
      <c r="O413" s="19"/>
      <c r="P413" s="410"/>
      <c r="Q413" s="410"/>
      <c r="R413" s="410"/>
      <c r="S413" s="410"/>
      <c r="T413" s="343"/>
      <c r="U413" s="349"/>
      <c r="V413" s="349"/>
    </row>
    <row r="414" spans="1:22" ht="12.75" customHeight="1" x14ac:dyDescent="0.25">
      <c r="A414" s="349"/>
      <c r="B414" s="19"/>
      <c r="C414" s="19"/>
      <c r="D414" s="289"/>
      <c r="E414" s="2496" t="str">
        <f>E_EnergyFlows!E327</f>
        <v>Delsumma</v>
      </c>
      <c r="F414" s="1997"/>
      <c r="G414" s="37" t="str">
        <f>E_EnergyFlows!G327</f>
        <v>TJ / år</v>
      </c>
      <c r="H414" s="256" t="str">
        <f>E_EnergyFlows!H327</f>
        <v/>
      </c>
      <c r="I414" s="256" t="str">
        <f>E_EnergyFlows!I327</f>
        <v/>
      </c>
      <c r="J414" s="256" t="str">
        <f>E_EnergyFlows!J327</f>
        <v/>
      </c>
      <c r="K414" s="256" t="str">
        <f>E_EnergyFlows!K327</f>
        <v/>
      </c>
      <c r="L414" s="256" t="str">
        <f>E_EnergyFlows!L327</f>
        <v/>
      </c>
      <c r="M414" s="256" t="str">
        <f>E_EnergyFlows!M327</f>
        <v/>
      </c>
      <c r="N414" s="256" t="str">
        <f>E_EnergyFlows!N327</f>
        <v/>
      </c>
      <c r="O414" s="19"/>
      <c r="P414" s="410"/>
      <c r="Q414" s="410"/>
      <c r="R414" s="410"/>
      <c r="S414" s="410"/>
      <c r="T414" s="343"/>
      <c r="U414" s="349"/>
      <c r="V414" s="349"/>
    </row>
    <row r="415" spans="1:22" ht="5.15" customHeight="1" x14ac:dyDescent="0.25">
      <c r="A415" s="349"/>
      <c r="B415" s="19"/>
      <c r="C415" s="19"/>
      <c r="D415" s="19"/>
      <c r="E415" s="15"/>
      <c r="F415" s="19"/>
      <c r="G415" s="19"/>
      <c r="H415" s="19"/>
      <c r="I415" s="19"/>
      <c r="J415" s="19"/>
      <c r="K415" s="19"/>
      <c r="L415" s="19"/>
      <c r="M415" s="19"/>
      <c r="N415" s="19"/>
      <c r="O415" s="19"/>
      <c r="P415" s="410"/>
      <c r="Q415" s="410"/>
      <c r="R415" s="410"/>
      <c r="S415" s="410"/>
      <c r="T415" s="343"/>
      <c r="U415" s="349"/>
      <c r="V415" s="349"/>
    </row>
    <row r="416" spans="1:22" ht="13" customHeight="1" x14ac:dyDescent="0.25">
      <c r="A416" s="349"/>
      <c r="B416" s="3"/>
      <c r="C416" s="13"/>
      <c r="D416" s="13" t="str">
        <f>E_EnergyFlows!D329</f>
        <v>(i)</v>
      </c>
      <c r="E416" s="2062" t="str">
        <f>E_EnergyFlows!E329</f>
        <v>Mängden restgaser som förbrukas för elproduktion</v>
      </c>
      <c r="F416" s="2497"/>
      <c r="G416" s="2497"/>
      <c r="H416" s="2497"/>
      <c r="I416" s="2497"/>
      <c r="J416" s="2497"/>
      <c r="K416" s="2497"/>
      <c r="L416" s="2497"/>
      <c r="M416" s="2497"/>
      <c r="N416" s="2497"/>
      <c r="O416" s="19"/>
      <c r="P416" s="410"/>
      <c r="Q416" s="410"/>
      <c r="R416" s="410"/>
      <c r="S416" s="410"/>
      <c r="T416" s="343"/>
      <c r="U416" s="349"/>
      <c r="V416" s="349"/>
    </row>
    <row r="417" spans="1:22" ht="12.65" customHeight="1" x14ac:dyDescent="0.25">
      <c r="A417" s="349"/>
      <c r="B417" s="19"/>
      <c r="C417" s="19"/>
      <c r="D417" s="19"/>
      <c r="E417" s="2129" t="str">
        <f>E_EnergyFlows!E330</f>
        <v>Restgaser för elproduktion</v>
      </c>
      <c r="F417" s="1997"/>
      <c r="G417" s="47" t="str">
        <f>E_EnergyFlows!G330</f>
        <v>TJ / år</v>
      </c>
      <c r="H417" s="351" t="str">
        <f>IF(ISBLANK(E_EnergyFlows!H330),"",E_EnergyFlows!H330)</f>
        <v/>
      </c>
      <c r="I417" s="351" t="str">
        <f>IF(ISBLANK(E_EnergyFlows!I330),"",E_EnergyFlows!I330)</f>
        <v/>
      </c>
      <c r="J417" s="351" t="str">
        <f>IF(ISBLANK(E_EnergyFlows!J330),"",E_EnergyFlows!J330)</f>
        <v/>
      </c>
      <c r="K417" s="351" t="str">
        <f>IF(ISBLANK(E_EnergyFlows!K330),"",E_EnergyFlows!K330)</f>
        <v/>
      </c>
      <c r="L417" s="351" t="str">
        <f>IF(ISBLANK(E_EnergyFlows!L330),"",E_EnergyFlows!L330)</f>
        <v/>
      </c>
      <c r="M417" s="351" t="str">
        <f>IF(ISBLANK(E_EnergyFlows!M330),"",E_EnergyFlows!M330)</f>
        <v/>
      </c>
      <c r="N417" s="351" t="str">
        <f>IF(ISBLANK(E_EnergyFlows!N330),"",E_EnergyFlows!N330)</f>
        <v/>
      </c>
      <c r="O417" s="19"/>
      <c r="P417" s="410"/>
      <c r="Q417" s="410"/>
      <c r="R417" s="410"/>
      <c r="S417" s="410"/>
      <c r="T417" s="343"/>
      <c r="U417" s="349"/>
      <c r="V417" s="349"/>
    </row>
    <row r="418" spans="1:22" ht="5.15" customHeight="1" x14ac:dyDescent="0.25">
      <c r="A418" s="349"/>
      <c r="B418" s="3"/>
      <c r="C418" s="3"/>
      <c r="D418" s="3"/>
      <c r="E418" s="3"/>
      <c r="F418" s="3"/>
      <c r="G418" s="3"/>
      <c r="H418" s="3"/>
      <c r="I418" s="3"/>
      <c r="J418" s="3"/>
      <c r="K418" s="3"/>
      <c r="L418" s="3"/>
      <c r="M418" s="3"/>
      <c r="N418" s="3"/>
      <c r="O418" s="19"/>
      <c r="P418" s="410"/>
      <c r="Q418" s="410"/>
      <c r="R418" s="410"/>
      <c r="S418" s="410"/>
      <c r="T418" s="343"/>
      <c r="U418" s="349"/>
      <c r="V418" s="349"/>
    </row>
    <row r="419" spans="1:22" ht="12.75" customHeight="1" x14ac:dyDescent="0.25">
      <c r="A419" s="349"/>
      <c r="B419" s="3"/>
      <c r="C419" s="13"/>
      <c r="D419" s="13" t="str">
        <f>E_EnergyFlows!D332</f>
        <v>(j)</v>
      </c>
      <c r="E419" s="2106" t="str">
        <f>E_EnergyFlows!E332</f>
        <v>Mängden restgaser för fackling förutom säkerhetsfackling</v>
      </c>
      <c r="F419" s="1960"/>
      <c r="G419" s="1960"/>
      <c r="H419" s="1960"/>
      <c r="I419" s="1960"/>
      <c r="J419" s="1960"/>
      <c r="K419" s="1960"/>
      <c r="L419" s="1960"/>
      <c r="M419" s="1960"/>
      <c r="N419" s="1960"/>
      <c r="O419" s="19"/>
      <c r="P419" s="410"/>
      <c r="Q419" s="410"/>
      <c r="R419" s="410"/>
      <c r="S419" s="410"/>
      <c r="T419" s="343"/>
      <c r="U419" s="349"/>
      <c r="V419" s="349"/>
    </row>
    <row r="420" spans="1:22" ht="13" customHeight="1" x14ac:dyDescent="0.25">
      <c r="A420" s="349"/>
      <c r="B420" s="19"/>
      <c r="C420" s="19"/>
      <c r="D420" s="19"/>
      <c r="E420" s="2062" t="str">
        <f>E_EnergyFlows!E335</f>
        <v>Delanläggning</v>
      </c>
      <c r="F420" s="2497"/>
      <c r="G420" s="30" t="str">
        <f>E_EnergyFlows!G335</f>
        <v>Enhet</v>
      </c>
      <c r="H420" s="350">
        <f>E_EnergyFlows!H335</f>
        <v>2019</v>
      </c>
      <c r="I420" s="350">
        <f>E_EnergyFlows!I335</f>
        <v>2020</v>
      </c>
      <c r="J420" s="350">
        <f>E_EnergyFlows!J335</f>
        <v>2021</v>
      </c>
      <c r="K420" s="350">
        <f>E_EnergyFlows!K335</f>
        <v>2022</v>
      </c>
      <c r="L420" s="350">
        <f>E_EnergyFlows!L335</f>
        <v>2023</v>
      </c>
      <c r="M420" s="350">
        <f>E_EnergyFlows!M335</f>
        <v>2024</v>
      </c>
      <c r="N420" s="350">
        <f>E_EnergyFlows!N335</f>
        <v>2025</v>
      </c>
      <c r="O420" s="19"/>
      <c r="P420" s="410"/>
      <c r="Q420" s="410"/>
      <c r="R420" s="410"/>
      <c r="S420" s="410"/>
      <c r="T420" s="343"/>
      <c r="U420" s="349"/>
      <c r="V420" s="349"/>
    </row>
    <row r="421" spans="1:22" ht="12.75" customHeight="1" x14ac:dyDescent="0.25">
      <c r="A421" s="349"/>
      <c r="B421" s="19"/>
      <c r="C421" s="19"/>
      <c r="D421" s="289"/>
      <c r="E421" s="2783" t="str">
        <f>E_EnergyFlows!E336</f>
        <v/>
      </c>
      <c r="F421" s="2484"/>
      <c r="G421" s="352" t="str">
        <f>E_EnergyFlows!G336</f>
        <v>TJ / år</v>
      </c>
      <c r="H421" s="536" t="str">
        <f>E_EnergyFlows!H336</f>
        <v/>
      </c>
      <c r="I421" s="536" t="str">
        <f>E_EnergyFlows!I336</f>
        <v/>
      </c>
      <c r="J421" s="536" t="str">
        <f>E_EnergyFlows!J336</f>
        <v/>
      </c>
      <c r="K421" s="536" t="str">
        <f>E_EnergyFlows!K336</f>
        <v/>
      </c>
      <c r="L421" s="536" t="str">
        <f>E_EnergyFlows!L336</f>
        <v/>
      </c>
      <c r="M421" s="536" t="str">
        <f>E_EnergyFlows!M336</f>
        <v/>
      </c>
      <c r="N421" s="536" t="str">
        <f>E_EnergyFlows!N336</f>
        <v/>
      </c>
      <c r="O421" s="19"/>
      <c r="P421" s="410"/>
      <c r="Q421" s="410"/>
      <c r="R421" s="410"/>
      <c r="S421" s="410"/>
      <c r="T421" s="343"/>
      <c r="U421" s="349"/>
      <c r="V421" s="349"/>
    </row>
    <row r="422" spans="1:22" ht="12.75" customHeight="1" x14ac:dyDescent="0.25">
      <c r="A422" s="349"/>
      <c r="B422" s="19"/>
      <c r="C422" s="19"/>
      <c r="D422" s="289"/>
      <c r="E422" s="2780" t="str">
        <f>E_EnergyFlows!E337</f>
        <v/>
      </c>
      <c r="F422" s="2476"/>
      <c r="G422" s="353" t="str">
        <f>E_EnergyFlows!G337</f>
        <v>TJ / år</v>
      </c>
      <c r="H422" s="412" t="str">
        <f>E_EnergyFlows!H337</f>
        <v/>
      </c>
      <c r="I422" s="412" t="str">
        <f>E_EnergyFlows!I337</f>
        <v/>
      </c>
      <c r="J422" s="412" t="str">
        <f>E_EnergyFlows!J337</f>
        <v/>
      </c>
      <c r="K422" s="412" t="str">
        <f>E_EnergyFlows!K337</f>
        <v/>
      </c>
      <c r="L422" s="412" t="str">
        <f>E_EnergyFlows!L337</f>
        <v/>
      </c>
      <c r="M422" s="412" t="str">
        <f>E_EnergyFlows!M337</f>
        <v/>
      </c>
      <c r="N422" s="412" t="str">
        <f>E_EnergyFlows!N337</f>
        <v/>
      </c>
      <c r="O422" s="19"/>
      <c r="P422" s="410"/>
      <c r="Q422" s="410"/>
      <c r="R422" s="410"/>
      <c r="S422" s="410"/>
      <c r="T422" s="343"/>
      <c r="U422" s="349"/>
      <c r="V422" s="349"/>
    </row>
    <row r="423" spans="1:22" ht="12.75" customHeight="1" x14ac:dyDescent="0.25">
      <c r="A423" s="349"/>
      <c r="B423" s="19"/>
      <c r="C423" s="19"/>
      <c r="D423" s="289"/>
      <c r="E423" s="2780" t="str">
        <f>E_EnergyFlows!E338</f>
        <v/>
      </c>
      <c r="F423" s="2476"/>
      <c r="G423" s="353" t="str">
        <f>E_EnergyFlows!G338</f>
        <v>TJ / år</v>
      </c>
      <c r="H423" s="412" t="str">
        <f>E_EnergyFlows!H338</f>
        <v/>
      </c>
      <c r="I423" s="412" t="str">
        <f>E_EnergyFlows!I338</f>
        <v/>
      </c>
      <c r="J423" s="412" t="str">
        <f>E_EnergyFlows!J338</f>
        <v/>
      </c>
      <c r="K423" s="412" t="str">
        <f>E_EnergyFlows!K338</f>
        <v/>
      </c>
      <c r="L423" s="412" t="str">
        <f>E_EnergyFlows!L338</f>
        <v/>
      </c>
      <c r="M423" s="412" t="str">
        <f>E_EnergyFlows!M338</f>
        <v/>
      </c>
      <c r="N423" s="412" t="str">
        <f>E_EnergyFlows!N338</f>
        <v/>
      </c>
      <c r="O423" s="19"/>
      <c r="P423" s="410"/>
      <c r="Q423" s="410"/>
      <c r="R423" s="410"/>
      <c r="S423" s="410"/>
      <c r="T423" s="343"/>
      <c r="U423" s="349"/>
      <c r="V423" s="349"/>
    </row>
    <row r="424" spans="1:22" ht="12.75" customHeight="1" x14ac:dyDescent="0.25">
      <c r="A424" s="349"/>
      <c r="B424" s="19"/>
      <c r="C424" s="19"/>
      <c r="D424" s="289"/>
      <c r="E424" s="2780" t="str">
        <f>E_EnergyFlows!E339</f>
        <v/>
      </c>
      <c r="F424" s="2476"/>
      <c r="G424" s="353" t="str">
        <f>E_EnergyFlows!G339</f>
        <v>TJ / år</v>
      </c>
      <c r="H424" s="412" t="str">
        <f>E_EnergyFlows!H339</f>
        <v/>
      </c>
      <c r="I424" s="412" t="str">
        <f>E_EnergyFlows!I339</f>
        <v/>
      </c>
      <c r="J424" s="412" t="str">
        <f>E_EnergyFlows!J339</f>
        <v/>
      </c>
      <c r="K424" s="412" t="str">
        <f>E_EnergyFlows!K339</f>
        <v/>
      </c>
      <c r="L424" s="412" t="str">
        <f>E_EnergyFlows!L339</f>
        <v/>
      </c>
      <c r="M424" s="412" t="str">
        <f>E_EnergyFlows!M339</f>
        <v/>
      </c>
      <c r="N424" s="412" t="str">
        <f>E_EnergyFlows!N339</f>
        <v/>
      </c>
      <c r="O424" s="19"/>
      <c r="P424" s="410"/>
      <c r="Q424" s="410"/>
      <c r="R424" s="410"/>
      <c r="S424" s="410"/>
      <c r="T424" s="343"/>
      <c r="U424" s="349"/>
      <c r="V424" s="349"/>
    </row>
    <row r="425" spans="1:22" ht="12.75" customHeight="1" x14ac:dyDescent="0.25">
      <c r="A425" s="349"/>
      <c r="B425" s="19"/>
      <c r="C425" s="19"/>
      <c r="D425" s="289"/>
      <c r="E425" s="2780" t="str">
        <f>E_EnergyFlows!E340</f>
        <v/>
      </c>
      <c r="F425" s="2476"/>
      <c r="G425" s="353" t="str">
        <f>E_EnergyFlows!G340</f>
        <v>TJ / år</v>
      </c>
      <c r="H425" s="412" t="str">
        <f>E_EnergyFlows!H340</f>
        <v/>
      </c>
      <c r="I425" s="412" t="str">
        <f>E_EnergyFlows!I340</f>
        <v/>
      </c>
      <c r="J425" s="412" t="str">
        <f>E_EnergyFlows!J340</f>
        <v/>
      </c>
      <c r="K425" s="412" t="str">
        <f>E_EnergyFlows!K340</f>
        <v/>
      </c>
      <c r="L425" s="412" t="str">
        <f>E_EnergyFlows!L340</f>
        <v/>
      </c>
      <c r="M425" s="412" t="str">
        <f>E_EnergyFlows!M340</f>
        <v/>
      </c>
      <c r="N425" s="412" t="str">
        <f>E_EnergyFlows!N340</f>
        <v/>
      </c>
      <c r="O425" s="19"/>
      <c r="P425" s="410"/>
      <c r="Q425" s="410"/>
      <c r="R425" s="410"/>
      <c r="S425" s="410"/>
      <c r="T425" s="343"/>
      <c r="U425" s="349"/>
      <c r="V425" s="349"/>
    </row>
    <row r="426" spans="1:22" ht="12.75" customHeight="1" x14ac:dyDescent="0.25">
      <c r="A426" s="349"/>
      <c r="B426" s="19"/>
      <c r="C426" s="19"/>
      <c r="D426" s="289"/>
      <c r="E426" s="2780" t="str">
        <f>E_EnergyFlows!E341</f>
        <v/>
      </c>
      <c r="F426" s="2476"/>
      <c r="G426" s="353" t="str">
        <f>E_EnergyFlows!G341</f>
        <v>TJ / år</v>
      </c>
      <c r="H426" s="412" t="str">
        <f>E_EnergyFlows!H341</f>
        <v/>
      </c>
      <c r="I426" s="412" t="str">
        <f>E_EnergyFlows!I341</f>
        <v/>
      </c>
      <c r="J426" s="412" t="str">
        <f>E_EnergyFlows!J341</f>
        <v/>
      </c>
      <c r="K426" s="412" t="str">
        <f>E_EnergyFlows!K341</f>
        <v/>
      </c>
      <c r="L426" s="412" t="str">
        <f>E_EnergyFlows!L341</f>
        <v/>
      </c>
      <c r="M426" s="412" t="str">
        <f>E_EnergyFlows!M341</f>
        <v/>
      </c>
      <c r="N426" s="412" t="str">
        <f>E_EnergyFlows!N341</f>
        <v/>
      </c>
      <c r="O426" s="19"/>
      <c r="P426" s="410"/>
      <c r="Q426" s="410"/>
      <c r="R426" s="410"/>
      <c r="S426" s="410"/>
      <c r="T426" s="343"/>
      <c r="U426" s="349"/>
      <c r="V426" s="349"/>
    </row>
    <row r="427" spans="1:22" ht="12.75" customHeight="1" x14ac:dyDescent="0.25">
      <c r="A427" s="349"/>
      <c r="B427" s="19"/>
      <c r="C427" s="19"/>
      <c r="D427" s="289"/>
      <c r="E427" s="2780" t="str">
        <f>E_EnergyFlows!E342</f>
        <v/>
      </c>
      <c r="F427" s="2476"/>
      <c r="G427" s="353" t="str">
        <f>E_EnergyFlows!G342</f>
        <v>TJ / år</v>
      </c>
      <c r="H427" s="412" t="str">
        <f>E_EnergyFlows!H342</f>
        <v/>
      </c>
      <c r="I427" s="412" t="str">
        <f>E_EnergyFlows!I342</f>
        <v/>
      </c>
      <c r="J427" s="412" t="str">
        <f>E_EnergyFlows!J342</f>
        <v/>
      </c>
      <c r="K427" s="412" t="str">
        <f>E_EnergyFlows!K342</f>
        <v/>
      </c>
      <c r="L427" s="412" t="str">
        <f>E_EnergyFlows!L342</f>
        <v/>
      </c>
      <c r="M427" s="412" t="str">
        <f>E_EnergyFlows!M342</f>
        <v/>
      </c>
      <c r="N427" s="412" t="str">
        <f>E_EnergyFlows!N342</f>
        <v/>
      </c>
      <c r="O427" s="19"/>
      <c r="P427" s="410"/>
      <c r="Q427" s="410"/>
      <c r="R427" s="410"/>
      <c r="S427" s="410"/>
      <c r="T427" s="343"/>
      <c r="U427" s="349"/>
      <c r="V427" s="349"/>
    </row>
    <row r="428" spans="1:22" ht="12.75" customHeight="1" x14ac:dyDescent="0.25">
      <c r="A428" s="349"/>
      <c r="B428" s="19"/>
      <c r="C428" s="19"/>
      <c r="D428" s="289"/>
      <c r="E428" s="2780" t="str">
        <f>E_EnergyFlows!E343</f>
        <v/>
      </c>
      <c r="F428" s="2476"/>
      <c r="G428" s="353" t="str">
        <f>E_EnergyFlows!G343</f>
        <v>TJ / år</v>
      </c>
      <c r="H428" s="412" t="str">
        <f>E_EnergyFlows!H343</f>
        <v/>
      </c>
      <c r="I428" s="412" t="str">
        <f>E_EnergyFlows!I343</f>
        <v/>
      </c>
      <c r="J428" s="412" t="str">
        <f>E_EnergyFlows!J343</f>
        <v/>
      </c>
      <c r="K428" s="412" t="str">
        <f>E_EnergyFlows!K343</f>
        <v/>
      </c>
      <c r="L428" s="412" t="str">
        <f>E_EnergyFlows!L343</f>
        <v/>
      </c>
      <c r="M428" s="412" t="str">
        <f>E_EnergyFlows!M343</f>
        <v/>
      </c>
      <c r="N428" s="412" t="str">
        <f>E_EnergyFlows!N343</f>
        <v/>
      </c>
      <c r="O428" s="19"/>
      <c r="P428" s="410"/>
      <c r="Q428" s="410"/>
      <c r="R428" s="410"/>
      <c r="S428" s="410"/>
      <c r="T428" s="343"/>
      <c r="U428" s="349"/>
      <c r="V428" s="349"/>
    </row>
    <row r="429" spans="1:22" ht="12.75" customHeight="1" x14ac:dyDescent="0.25">
      <c r="A429" s="349"/>
      <c r="B429" s="19"/>
      <c r="C429" s="19"/>
      <c r="D429" s="289"/>
      <c r="E429" s="2780" t="str">
        <f>E_EnergyFlows!E344</f>
        <v/>
      </c>
      <c r="F429" s="2476"/>
      <c r="G429" s="353" t="str">
        <f>E_EnergyFlows!G344</f>
        <v>TJ / år</v>
      </c>
      <c r="H429" s="412" t="str">
        <f>E_EnergyFlows!H344</f>
        <v/>
      </c>
      <c r="I429" s="412" t="str">
        <f>E_EnergyFlows!I344</f>
        <v/>
      </c>
      <c r="J429" s="412" t="str">
        <f>E_EnergyFlows!J344</f>
        <v/>
      </c>
      <c r="K429" s="412" t="str">
        <f>E_EnergyFlows!K344</f>
        <v/>
      </c>
      <c r="L429" s="412" t="str">
        <f>E_EnergyFlows!L344</f>
        <v/>
      </c>
      <c r="M429" s="412" t="str">
        <f>E_EnergyFlows!M344</f>
        <v/>
      </c>
      <c r="N429" s="412" t="str">
        <f>E_EnergyFlows!N344</f>
        <v/>
      </c>
      <c r="O429" s="19"/>
      <c r="P429" s="410"/>
      <c r="Q429" s="410"/>
      <c r="R429" s="410"/>
      <c r="S429" s="410"/>
      <c r="T429" s="343"/>
      <c r="U429" s="349"/>
      <c r="V429" s="349"/>
    </row>
    <row r="430" spans="1:22" ht="12.75" customHeight="1" x14ac:dyDescent="0.25">
      <c r="A430" s="349"/>
      <c r="B430" s="19"/>
      <c r="C430" s="19"/>
      <c r="D430" s="289"/>
      <c r="E430" s="2781" t="str">
        <f>E_EnergyFlows!E345</f>
        <v/>
      </c>
      <c r="F430" s="2487"/>
      <c r="G430" s="354" t="str">
        <f>E_EnergyFlows!G345</f>
        <v>TJ / år</v>
      </c>
      <c r="H430" s="537" t="str">
        <f>E_EnergyFlows!H345</f>
        <v/>
      </c>
      <c r="I430" s="537" t="str">
        <f>E_EnergyFlows!I345</f>
        <v/>
      </c>
      <c r="J430" s="537" t="str">
        <f>E_EnergyFlows!J345</f>
        <v/>
      </c>
      <c r="K430" s="537" t="str">
        <f>E_EnergyFlows!K345</f>
        <v/>
      </c>
      <c r="L430" s="537" t="str">
        <f>E_EnergyFlows!L345</f>
        <v/>
      </c>
      <c r="M430" s="537" t="str">
        <f>E_EnergyFlows!M345</f>
        <v/>
      </c>
      <c r="N430" s="537" t="str">
        <f>E_EnergyFlows!N345</f>
        <v/>
      </c>
      <c r="O430" s="19"/>
      <c r="P430" s="410"/>
      <c r="Q430" s="410"/>
      <c r="R430" s="410"/>
      <c r="S430" s="410"/>
      <c r="T430" s="343"/>
      <c r="U430" s="349"/>
      <c r="V430" s="349"/>
    </row>
    <row r="431" spans="1:22" ht="25.5" customHeight="1" x14ac:dyDescent="0.25">
      <c r="A431" s="349"/>
      <c r="B431" s="19"/>
      <c r="C431" s="19"/>
      <c r="D431" s="289"/>
      <c r="E431" s="2129" t="str">
        <f>E_EnergyFlows!E346</f>
        <v>produceras utanför delanläggningar med produktriktmärke</v>
      </c>
      <c r="F431" s="1997"/>
      <c r="G431" s="46" t="str">
        <f>E_EnergyFlows!G346</f>
        <v>TJ / år</v>
      </c>
      <c r="H431" s="660" t="str">
        <f>IF(ISBLANK(E_EnergyFlows!H346),"",E_EnergyFlows!H346)</f>
        <v/>
      </c>
      <c r="I431" s="660" t="str">
        <f>IF(ISBLANK(E_EnergyFlows!I346),"",E_EnergyFlows!I346)</f>
        <v/>
      </c>
      <c r="J431" s="660" t="str">
        <f>IF(ISBLANK(E_EnergyFlows!J346),"",E_EnergyFlows!J346)</f>
        <v/>
      </c>
      <c r="K431" s="660" t="str">
        <f>IF(ISBLANK(E_EnergyFlows!K346),"",E_EnergyFlows!K346)</f>
        <v/>
      </c>
      <c r="L431" s="660" t="str">
        <f>IF(ISBLANK(E_EnergyFlows!L346),"",E_EnergyFlows!L346)</f>
        <v/>
      </c>
      <c r="M431" s="660" t="str">
        <f>IF(ISBLANK(E_EnergyFlows!M346),"",E_EnergyFlows!M346)</f>
        <v/>
      </c>
      <c r="N431" s="660" t="str">
        <f>IF(ISBLANK(E_EnergyFlows!N346),"",E_EnergyFlows!N346)</f>
        <v/>
      </c>
      <c r="O431" s="19"/>
      <c r="P431" s="410"/>
      <c r="Q431" s="410"/>
      <c r="R431" s="410"/>
      <c r="S431" s="410"/>
      <c r="T431" s="343"/>
      <c r="U431" s="349"/>
      <c r="V431" s="349"/>
    </row>
    <row r="432" spans="1:22" ht="12.75" customHeight="1" x14ac:dyDescent="0.25">
      <c r="A432" s="349"/>
      <c r="B432" s="19"/>
      <c r="C432" s="19"/>
      <c r="D432" s="289"/>
      <c r="E432" s="2496" t="str">
        <f>E_EnergyFlows!E347</f>
        <v>Delsumma</v>
      </c>
      <c r="F432" s="1997"/>
      <c r="G432" s="47" t="str">
        <f>E_EnergyFlows!G347</f>
        <v>TJ / år</v>
      </c>
      <c r="H432" s="258" t="str">
        <f>E_EnergyFlows!H347</f>
        <v/>
      </c>
      <c r="I432" s="258" t="str">
        <f>E_EnergyFlows!I347</f>
        <v/>
      </c>
      <c r="J432" s="258" t="str">
        <f>E_EnergyFlows!J347</f>
        <v/>
      </c>
      <c r="K432" s="258" t="str">
        <f>E_EnergyFlows!K347</f>
        <v/>
      </c>
      <c r="L432" s="258" t="str">
        <f>E_EnergyFlows!L347</f>
        <v/>
      </c>
      <c r="M432" s="258" t="str">
        <f>E_EnergyFlows!M347</f>
        <v/>
      </c>
      <c r="N432" s="258" t="str">
        <f>E_EnergyFlows!N347</f>
        <v/>
      </c>
      <c r="O432" s="19"/>
      <c r="P432" s="410"/>
      <c r="Q432" s="410"/>
      <c r="R432" s="410"/>
      <c r="S432" s="410"/>
      <c r="T432" s="343"/>
      <c r="U432" s="349"/>
      <c r="V432" s="349"/>
    </row>
    <row r="433" spans="1:22" ht="5.15" customHeight="1" x14ac:dyDescent="0.25">
      <c r="A433" s="349"/>
      <c r="B433" s="3"/>
      <c r="C433" s="3"/>
      <c r="D433" s="3"/>
      <c r="E433" s="3"/>
      <c r="F433" s="3"/>
      <c r="G433" s="3"/>
      <c r="H433" s="3"/>
      <c r="I433" s="3"/>
      <c r="J433" s="3"/>
      <c r="K433" s="3"/>
      <c r="L433" s="3"/>
      <c r="M433" s="3"/>
      <c r="N433" s="3"/>
      <c r="O433" s="19"/>
      <c r="P433" s="410"/>
      <c r="Q433" s="410"/>
      <c r="R433" s="410"/>
      <c r="S433" s="410"/>
      <c r="T433" s="343"/>
      <c r="U433" s="349"/>
      <c r="V433" s="349"/>
    </row>
    <row r="434" spans="1:22" ht="12.75" customHeight="1" x14ac:dyDescent="0.25">
      <c r="A434" s="349"/>
      <c r="B434" s="3"/>
      <c r="C434" s="13"/>
      <c r="D434" s="13" t="str">
        <f>E_EnergyFlows!D349</f>
        <v>(k)</v>
      </c>
      <c r="E434" s="2062" t="str">
        <f>E_EnergyFlows!E349</f>
        <v>Rimlighetskontroll</v>
      </c>
      <c r="F434" s="2497"/>
      <c r="G434" s="2497"/>
      <c r="H434" s="2497"/>
      <c r="I434" s="2497"/>
      <c r="J434" s="2497"/>
      <c r="K434" s="2497"/>
      <c r="L434" s="2497"/>
      <c r="M434" s="2497"/>
      <c r="N434" s="2497"/>
      <c r="O434" s="19"/>
      <c r="P434" s="410"/>
      <c r="Q434" s="410"/>
      <c r="R434" s="410"/>
      <c r="S434" s="410"/>
      <c r="T434" s="343"/>
      <c r="U434" s="349"/>
      <c r="V434" s="349"/>
    </row>
    <row r="435" spans="1:22" ht="12.75" customHeight="1" x14ac:dyDescent="0.25">
      <c r="A435" s="349"/>
      <c r="B435" s="19"/>
      <c r="C435" s="19"/>
      <c r="D435" s="175"/>
      <c r="E435" s="2129" t="str">
        <f>E_EnergyFlows!E351</f>
        <v>Differens (beräknad)</v>
      </c>
      <c r="F435" s="1997"/>
      <c r="G435" s="47" t="str">
        <f>E_EnergyFlows!G351</f>
        <v>TJ / år</v>
      </c>
      <c r="H435" s="258" t="str">
        <f>E_EnergyFlows!H351</f>
        <v/>
      </c>
      <c r="I435" s="258" t="str">
        <f>E_EnergyFlows!I351</f>
        <v/>
      </c>
      <c r="J435" s="258" t="str">
        <f>E_EnergyFlows!J351</f>
        <v/>
      </c>
      <c r="K435" s="258" t="str">
        <f>E_EnergyFlows!K351</f>
        <v/>
      </c>
      <c r="L435" s="258" t="str">
        <f>E_EnergyFlows!L351</f>
        <v/>
      </c>
      <c r="M435" s="258" t="str">
        <f>E_EnergyFlows!M351</f>
        <v/>
      </c>
      <c r="N435" s="258" t="str">
        <f>E_EnergyFlows!N351</f>
        <v/>
      </c>
      <c r="O435" s="19"/>
      <c r="P435" s="410"/>
      <c r="Q435" s="410"/>
      <c r="R435" s="410"/>
      <c r="S435" s="410"/>
      <c r="T435" s="343"/>
      <c r="U435" s="349"/>
      <c r="V435" s="349"/>
    </row>
    <row r="436" spans="1:22" ht="12.75" customHeight="1" x14ac:dyDescent="0.25">
      <c r="A436" s="349"/>
      <c r="B436" s="19"/>
      <c r="C436" s="19"/>
      <c r="D436" s="175"/>
      <c r="E436" s="2129" t="str">
        <f>E_EnergyFlows!E352</f>
        <v>Differens (som fraktion av punkt f)</v>
      </c>
      <c r="F436" s="1997"/>
      <c r="G436" s="450" t="str">
        <f>E_EnergyFlows!G352</f>
        <v>%</v>
      </c>
      <c r="H436" s="256" t="str">
        <f>E_EnergyFlows!H352</f>
        <v/>
      </c>
      <c r="I436" s="256" t="str">
        <f>E_EnergyFlows!I352</f>
        <v/>
      </c>
      <c r="J436" s="256" t="str">
        <f>E_EnergyFlows!J352</f>
        <v/>
      </c>
      <c r="K436" s="256" t="str">
        <f>E_EnergyFlows!K352</f>
        <v/>
      </c>
      <c r="L436" s="256" t="str">
        <f>E_EnergyFlows!L352</f>
        <v/>
      </c>
      <c r="M436" s="256" t="str">
        <f>E_EnergyFlows!M352</f>
        <v/>
      </c>
      <c r="N436" s="256" t="str">
        <f>E_EnergyFlows!N352</f>
        <v/>
      </c>
      <c r="O436" s="19"/>
      <c r="P436" s="410"/>
      <c r="Q436" s="410"/>
      <c r="R436" s="410"/>
      <c r="S436" s="410"/>
      <c r="T436" s="343"/>
      <c r="U436" s="349"/>
      <c r="V436" s="349"/>
    </row>
    <row r="437" spans="1:22" s="534" customFormat="1" ht="12.75" customHeight="1" x14ac:dyDescent="0.25">
      <c r="A437" s="343"/>
      <c r="B437" s="15"/>
      <c r="C437" s="15"/>
      <c r="D437" s="15"/>
      <c r="E437" s="15"/>
      <c r="F437" s="15"/>
      <c r="G437" s="15"/>
      <c r="H437" s="15"/>
      <c r="I437" s="15"/>
      <c r="J437" s="15"/>
      <c r="K437" s="15"/>
      <c r="L437" s="15"/>
      <c r="M437" s="15"/>
      <c r="N437" s="15"/>
      <c r="O437" s="19"/>
      <c r="P437" s="410"/>
      <c r="Q437" s="410"/>
      <c r="R437" s="410"/>
      <c r="S437" s="410"/>
      <c r="T437" s="343"/>
      <c r="U437" s="349"/>
      <c r="V437" s="349"/>
    </row>
    <row r="438" spans="1:22" ht="14.15" customHeight="1" x14ac:dyDescent="0.3">
      <c r="A438" s="349"/>
      <c r="B438" s="3"/>
      <c r="C438" s="17">
        <v>8</v>
      </c>
      <c r="D438" s="2079" t="str">
        <f>E_EnergyFlows!D356</f>
        <v>Komplett elbalans vid anläggningen</v>
      </c>
      <c r="E438" s="1960"/>
      <c r="F438" s="1960"/>
      <c r="G438" s="1960"/>
      <c r="H438" s="1960"/>
      <c r="I438" s="1960"/>
      <c r="J438" s="1960"/>
      <c r="K438" s="1960"/>
      <c r="L438" s="1960"/>
      <c r="M438" s="1960"/>
      <c r="N438" s="1960"/>
      <c r="O438" s="19"/>
      <c r="P438" s="410"/>
      <c r="Q438" s="410"/>
      <c r="R438" s="410"/>
      <c r="S438" s="410"/>
      <c r="T438" s="343"/>
      <c r="U438" s="349"/>
      <c r="V438" s="349"/>
    </row>
    <row r="439" spans="1:22" ht="5.15" customHeight="1" x14ac:dyDescent="0.25">
      <c r="A439" s="349"/>
      <c r="B439" s="3"/>
      <c r="C439" s="3"/>
      <c r="D439" s="3"/>
      <c r="E439" s="3"/>
      <c r="F439" s="3"/>
      <c r="G439" s="3"/>
      <c r="H439" s="3"/>
      <c r="I439" s="3"/>
      <c r="J439" s="3"/>
      <c r="K439" s="3"/>
      <c r="L439" s="3"/>
      <c r="M439" s="3"/>
      <c r="N439" s="3"/>
      <c r="O439" s="19"/>
      <c r="P439" s="410"/>
      <c r="Q439" s="410"/>
      <c r="R439" s="410"/>
      <c r="S439" s="410"/>
      <c r="T439" s="343"/>
      <c r="U439" s="349"/>
      <c r="V439" s="349"/>
    </row>
    <row r="440" spans="1:22" ht="13.5" customHeight="1" x14ac:dyDescent="0.25">
      <c r="A440" s="2"/>
      <c r="B440" s="19"/>
      <c r="C440" s="19"/>
      <c r="D440" s="13"/>
      <c r="E440" s="2106" t="str">
        <f>E_EnergyFlows!E358</f>
        <v>Produceras el vid anläggningen?</v>
      </c>
      <c r="F440" s="1960"/>
      <c r="G440" s="1960"/>
      <c r="H440" s="1960"/>
      <c r="I440" s="1960"/>
      <c r="J440" s="1960"/>
      <c r="K440" s="1960"/>
      <c r="L440" s="2520"/>
      <c r="M440" s="1040" t="str">
        <f>IF(ISBLANK(E_EnergyFlows!M358),"",E_EnergyFlows!M358)</f>
        <v/>
      </c>
      <c r="N440" s="1041"/>
      <c r="O440" s="19"/>
      <c r="P440" s="410"/>
      <c r="Q440" s="410"/>
      <c r="R440" s="410"/>
      <c r="S440" s="410"/>
      <c r="T440" s="343"/>
      <c r="U440" s="349"/>
      <c r="V440" s="349"/>
    </row>
    <row r="441" spans="1:22" ht="5.15" customHeight="1" x14ac:dyDescent="0.25">
      <c r="A441" s="349"/>
      <c r="B441" s="3"/>
      <c r="C441" s="3"/>
      <c r="D441" s="13"/>
      <c r="E441" s="1029"/>
      <c r="F441" s="1030"/>
      <c r="G441" s="1030"/>
      <c r="H441" s="1030"/>
      <c r="I441" s="1030"/>
      <c r="J441" s="1030"/>
      <c r="K441" s="1030"/>
      <c r="L441" s="1030"/>
      <c r="M441" s="1030"/>
      <c r="N441" s="1030"/>
      <c r="O441" s="19"/>
      <c r="P441" s="410"/>
      <c r="Q441" s="410"/>
      <c r="R441" s="410"/>
      <c r="S441" s="410"/>
      <c r="T441" s="343"/>
      <c r="U441" s="349"/>
      <c r="V441" s="349"/>
    </row>
    <row r="442" spans="1:22" ht="13" x14ac:dyDescent="0.25">
      <c r="A442" s="349"/>
      <c r="B442" s="19"/>
      <c r="C442" s="19"/>
      <c r="D442" s="19"/>
      <c r="E442" s="24"/>
      <c r="F442" s="21"/>
      <c r="G442" s="30" t="str">
        <f>E_EnergyFlows!G363</f>
        <v>Enhet</v>
      </c>
      <c r="H442" s="320">
        <f>E_EnergyFlows!H363</f>
        <v>2019</v>
      </c>
      <c r="I442" s="320">
        <f>E_EnergyFlows!I363</f>
        <v>2020</v>
      </c>
      <c r="J442" s="320">
        <f>E_EnergyFlows!J363</f>
        <v>2021</v>
      </c>
      <c r="K442" s="320">
        <f>E_EnergyFlows!K363</f>
        <v>2022</v>
      </c>
      <c r="L442" s="320">
        <f>E_EnergyFlows!L363</f>
        <v>2023</v>
      </c>
      <c r="M442" s="320">
        <f>E_EnergyFlows!M363</f>
        <v>2024</v>
      </c>
      <c r="N442" s="320">
        <f>E_EnergyFlows!N363</f>
        <v>2025</v>
      </c>
      <c r="O442" s="19"/>
      <c r="P442" s="410"/>
      <c r="Q442" s="410"/>
      <c r="R442" s="410"/>
      <c r="S442" s="410"/>
      <c r="T442" s="343"/>
      <c r="U442" s="349"/>
      <c r="V442" s="349"/>
    </row>
    <row r="443" spans="1:22" ht="12.65" customHeight="1" x14ac:dyDescent="0.25">
      <c r="A443" s="349"/>
      <c r="B443" s="19"/>
      <c r="C443" s="19"/>
      <c r="D443" s="175"/>
      <c r="E443" s="2496" t="str">
        <f>E_EnergyFlows!E364</f>
        <v>Nettomängd el som produceras från bränslen</v>
      </c>
      <c r="F443" s="1997"/>
      <c r="G443" s="43" t="str">
        <f>E_EnergyFlows!G364</f>
        <v>MWh / år</v>
      </c>
      <c r="H443" s="351" t="str">
        <f>IF(ISBLANK(E_EnergyFlows!H364),"",E_EnergyFlows!H364)</f>
        <v/>
      </c>
      <c r="I443" s="351" t="str">
        <f>IF(ISBLANK(E_EnergyFlows!I364),"",E_EnergyFlows!I364)</f>
        <v/>
      </c>
      <c r="J443" s="351" t="str">
        <f>IF(ISBLANK(E_EnergyFlows!J364),"",E_EnergyFlows!J364)</f>
        <v/>
      </c>
      <c r="K443" s="351" t="str">
        <f>IF(ISBLANK(E_EnergyFlows!K364),"",E_EnergyFlows!K364)</f>
        <v/>
      </c>
      <c r="L443" s="351" t="str">
        <f>IF(ISBLANK(E_EnergyFlows!L364),"",E_EnergyFlows!L364)</f>
        <v/>
      </c>
      <c r="M443" s="351" t="str">
        <f>IF(ISBLANK(E_EnergyFlows!M364),"",E_EnergyFlows!M364)</f>
        <v/>
      </c>
      <c r="N443" s="351" t="str">
        <f>IF(ISBLANK(E_EnergyFlows!N364),"",E_EnergyFlows!N364)</f>
        <v/>
      </c>
      <c r="O443" s="19"/>
      <c r="P443" s="410"/>
      <c r="Q443" s="410"/>
      <c r="R443" s="410"/>
      <c r="S443" s="410"/>
      <c r="T443" s="343"/>
      <c r="U443" s="349"/>
      <c r="V443" s="349"/>
    </row>
    <row r="444" spans="1:22" ht="12.65" customHeight="1" x14ac:dyDescent="0.25">
      <c r="A444" s="349"/>
      <c r="B444" s="19"/>
      <c r="C444" s="19"/>
      <c r="D444" s="175"/>
      <c r="E444" s="2496" t="str">
        <f>E_EnergyFlows!E365</f>
        <v>Övrig elproduktion</v>
      </c>
      <c r="F444" s="1997"/>
      <c r="G444" s="43" t="str">
        <f>E_EnergyFlows!G365</f>
        <v>MWh / år</v>
      </c>
      <c r="H444" s="351" t="str">
        <f>IF(ISBLANK(E_EnergyFlows!H365),"",E_EnergyFlows!H365)</f>
        <v/>
      </c>
      <c r="I444" s="351" t="str">
        <f>IF(ISBLANK(E_EnergyFlows!I365),"",E_EnergyFlows!I365)</f>
        <v/>
      </c>
      <c r="J444" s="351" t="str">
        <f>IF(ISBLANK(E_EnergyFlows!J365),"",E_EnergyFlows!J365)</f>
        <v/>
      </c>
      <c r="K444" s="351" t="str">
        <f>IF(ISBLANK(E_EnergyFlows!K365),"",E_EnergyFlows!K365)</f>
        <v/>
      </c>
      <c r="L444" s="351" t="str">
        <f>IF(ISBLANK(E_EnergyFlows!L365),"",E_EnergyFlows!L365)</f>
        <v/>
      </c>
      <c r="M444" s="351" t="str">
        <f>IF(ISBLANK(E_EnergyFlows!M365),"",E_EnergyFlows!M365)</f>
        <v/>
      </c>
      <c r="N444" s="351" t="str">
        <f>IF(ISBLANK(E_EnergyFlows!N365),"",E_EnergyFlows!N365)</f>
        <v/>
      </c>
      <c r="O444" s="19"/>
      <c r="P444" s="410"/>
      <c r="Q444" s="410"/>
      <c r="R444" s="410"/>
      <c r="S444" s="410"/>
      <c r="T444" s="343"/>
      <c r="U444" s="349"/>
      <c r="V444" s="349"/>
    </row>
    <row r="445" spans="1:22" ht="12.65" customHeight="1" x14ac:dyDescent="0.25">
      <c r="A445" s="349"/>
      <c r="B445" s="19"/>
      <c r="C445" s="19"/>
      <c r="D445" s="19"/>
      <c r="E445" s="2496" t="str">
        <f>E_EnergyFlows!E368</f>
        <v>Importerad el</v>
      </c>
      <c r="F445" s="1997"/>
      <c r="G445" s="43" t="str">
        <f>E_EnergyFlows!G368</f>
        <v>MWh / år</v>
      </c>
      <c r="H445" s="351" t="str">
        <f>IF(ISBLANK(E_EnergyFlows!H368),"",E_EnergyFlows!H368)</f>
        <v/>
      </c>
      <c r="I445" s="351" t="str">
        <f>IF(ISBLANK(E_EnergyFlows!I368),"",E_EnergyFlows!I368)</f>
        <v/>
      </c>
      <c r="J445" s="351" t="str">
        <f>IF(ISBLANK(E_EnergyFlows!J368),"",E_EnergyFlows!J368)</f>
        <v/>
      </c>
      <c r="K445" s="351" t="str">
        <f>IF(ISBLANK(E_EnergyFlows!K368),"",E_EnergyFlows!K368)</f>
        <v/>
      </c>
      <c r="L445" s="351" t="str">
        <f>IF(ISBLANK(E_EnergyFlows!L368),"",E_EnergyFlows!L368)</f>
        <v/>
      </c>
      <c r="M445" s="351" t="str">
        <f>IF(ISBLANK(E_EnergyFlows!M368),"",E_EnergyFlows!M368)</f>
        <v/>
      </c>
      <c r="N445" s="351" t="str">
        <f>IF(ISBLANK(E_EnergyFlows!N368),"",E_EnergyFlows!N368)</f>
        <v/>
      </c>
      <c r="O445" s="19"/>
      <c r="P445" s="410"/>
      <c r="Q445" s="410"/>
      <c r="R445" s="410"/>
      <c r="S445" s="410"/>
      <c r="T445" s="343"/>
      <c r="U445" s="349"/>
      <c r="V445" s="349"/>
    </row>
    <row r="446" spans="1:22" ht="12.65" customHeight="1" x14ac:dyDescent="0.25">
      <c r="A446" s="349"/>
      <c r="B446" s="19"/>
      <c r="C446" s="19"/>
      <c r="D446" s="19"/>
      <c r="E446" s="2496" t="str">
        <f>E_EnergyFlows!E371</f>
        <v>Exporterad el</v>
      </c>
      <c r="F446" s="1997"/>
      <c r="G446" s="43" t="str">
        <f>E_EnergyFlows!G371</f>
        <v>MWh / år</v>
      </c>
      <c r="H446" s="351" t="str">
        <f>IF(ISBLANK(E_EnergyFlows!H371),"",E_EnergyFlows!H371)</f>
        <v/>
      </c>
      <c r="I446" s="351" t="str">
        <f>IF(ISBLANK(E_EnergyFlows!I371),"",E_EnergyFlows!I371)</f>
        <v/>
      </c>
      <c r="J446" s="351" t="str">
        <f>IF(ISBLANK(E_EnergyFlows!J371),"",E_EnergyFlows!J371)</f>
        <v/>
      </c>
      <c r="K446" s="351" t="str">
        <f>IF(ISBLANK(E_EnergyFlows!K371),"",E_EnergyFlows!K371)</f>
        <v/>
      </c>
      <c r="L446" s="351" t="str">
        <f>IF(ISBLANK(E_EnergyFlows!L371),"",E_EnergyFlows!L371)</f>
        <v/>
      </c>
      <c r="M446" s="351" t="str">
        <f>IF(ISBLANK(E_EnergyFlows!M371),"",E_EnergyFlows!M371)</f>
        <v/>
      </c>
      <c r="N446" s="351" t="str">
        <f>IF(ISBLANK(E_EnergyFlows!N371),"",E_EnergyFlows!N371)</f>
        <v/>
      </c>
      <c r="O446" s="19"/>
      <c r="P446" s="410"/>
      <c r="Q446" s="410"/>
      <c r="R446" s="410"/>
      <c r="S446" s="410"/>
      <c r="T446" s="343"/>
      <c r="U446" s="349"/>
      <c r="V446" s="349"/>
    </row>
    <row r="447" spans="1:22" ht="12.65" customHeight="1" x14ac:dyDescent="0.25">
      <c r="A447" s="349"/>
      <c r="B447" s="19"/>
      <c r="C447" s="19"/>
      <c r="D447" s="19"/>
      <c r="E447" s="2496" t="str">
        <f>E_EnergyFlows!E374</f>
        <v>El som kan användas</v>
      </c>
      <c r="F447" s="1997"/>
      <c r="G447" s="43" t="str">
        <f>E_EnergyFlows!G374</f>
        <v>MWh / år</v>
      </c>
      <c r="H447" s="258" t="str">
        <f>E_EnergyFlows!H374</f>
        <v/>
      </c>
      <c r="I447" s="258" t="str">
        <f>E_EnergyFlows!I374</f>
        <v/>
      </c>
      <c r="J447" s="258" t="str">
        <f>E_EnergyFlows!J374</f>
        <v/>
      </c>
      <c r="K447" s="258" t="str">
        <f>E_EnergyFlows!K374</f>
        <v/>
      </c>
      <c r="L447" s="258" t="str">
        <f>E_EnergyFlows!L374</f>
        <v/>
      </c>
      <c r="M447" s="258" t="str">
        <f>E_EnergyFlows!M374</f>
        <v/>
      </c>
      <c r="N447" s="258" t="str">
        <f>E_EnergyFlows!N374</f>
        <v/>
      </c>
      <c r="O447" s="19"/>
      <c r="P447" s="410"/>
      <c r="Q447" s="410"/>
      <c r="R447" s="410"/>
      <c r="S447" s="410"/>
      <c r="T447" s="343"/>
      <c r="U447" s="349"/>
      <c r="V447" s="349"/>
    </row>
    <row r="448" spans="1:22" ht="12.65" customHeight="1" x14ac:dyDescent="0.25">
      <c r="A448" s="349"/>
      <c r="B448" s="19"/>
      <c r="C448" s="19"/>
      <c r="D448" s="19"/>
      <c r="E448" s="2496" t="str">
        <f>E_EnergyFlows!E377</f>
        <v>El som förbrukas vid anläggningen</v>
      </c>
      <c r="F448" s="1997"/>
      <c r="G448" s="43" t="str">
        <f>E_EnergyFlows!G377</f>
        <v>MWh / år</v>
      </c>
      <c r="H448" s="351" t="str">
        <f>IF(ISBLANK(E_EnergyFlows!H377),"",E_EnergyFlows!H377)</f>
        <v/>
      </c>
      <c r="I448" s="351" t="str">
        <f>IF(ISBLANK(E_EnergyFlows!I377),"",E_EnergyFlows!I377)</f>
        <v/>
      </c>
      <c r="J448" s="351" t="str">
        <f>IF(ISBLANK(E_EnergyFlows!J377),"",E_EnergyFlows!J377)</f>
        <v/>
      </c>
      <c r="K448" s="351" t="str">
        <f>IF(ISBLANK(E_EnergyFlows!K377),"",E_EnergyFlows!K377)</f>
        <v/>
      </c>
      <c r="L448" s="351" t="str">
        <f>IF(ISBLANK(E_EnergyFlows!L377),"",E_EnergyFlows!L377)</f>
        <v/>
      </c>
      <c r="M448" s="351" t="str">
        <f>IF(ISBLANK(E_EnergyFlows!M377),"",E_EnergyFlows!M377)</f>
        <v/>
      </c>
      <c r="N448" s="351" t="str">
        <f>IF(ISBLANK(E_EnergyFlows!N377),"",E_EnergyFlows!N377)</f>
        <v/>
      </c>
      <c r="O448" s="19"/>
      <c r="P448" s="410"/>
      <c r="Q448" s="410"/>
      <c r="R448" s="410"/>
      <c r="S448" s="410"/>
      <c r="T448" s="343"/>
      <c r="U448" s="349"/>
      <c r="V448" s="349"/>
    </row>
    <row r="449" spans="1:22" ht="12.75" customHeight="1" x14ac:dyDescent="0.25">
      <c r="A449" s="2"/>
      <c r="B449" s="19"/>
      <c r="C449" s="19"/>
      <c r="D449" s="19"/>
      <c r="E449" s="19"/>
      <c r="F449" s="19"/>
      <c r="G449" s="19"/>
      <c r="H449" s="19"/>
      <c r="I449" s="19"/>
      <c r="J449" s="19"/>
      <c r="K449" s="19"/>
      <c r="L449" s="19"/>
      <c r="M449" s="19"/>
      <c r="N449" s="19"/>
      <c r="O449" s="19"/>
      <c r="P449" s="7"/>
      <c r="Q449" s="7"/>
      <c r="R449" s="7"/>
      <c r="S449" s="7"/>
      <c r="T449" s="7"/>
      <c r="U449" s="349"/>
      <c r="V449" s="349"/>
    </row>
    <row r="450" spans="1:22" s="534" customFormat="1" ht="16" thickBot="1" x14ac:dyDescent="0.4">
      <c r="A450" s="343"/>
      <c r="B450" s="3"/>
      <c r="C450" s="11" t="s">
        <v>12</v>
      </c>
      <c r="D450" s="12" t="str">
        <f>Translations!$B$1019</f>
        <v>Uppgifter om delanläggningar av relevans för tilldelning och riktmärkesuppdatering</v>
      </c>
      <c r="E450" s="12"/>
      <c r="F450" s="12"/>
      <c r="G450" s="12"/>
      <c r="H450" s="12"/>
      <c r="I450" s="12"/>
      <c r="J450" s="12"/>
      <c r="K450" s="12"/>
      <c r="L450" s="12"/>
      <c r="M450" s="12"/>
      <c r="N450" s="12"/>
      <c r="O450" s="19"/>
      <c r="P450" s="7"/>
      <c r="Q450" s="7"/>
      <c r="R450" s="7"/>
      <c r="S450" s="7"/>
      <c r="T450" s="7"/>
      <c r="U450" s="349"/>
      <c r="V450" s="349"/>
    </row>
    <row r="451" spans="1:22" s="534" customFormat="1" ht="5.15" customHeight="1" x14ac:dyDescent="0.25">
      <c r="A451" s="343"/>
      <c r="B451" s="15"/>
      <c r="C451" s="230"/>
      <c r="D451" s="230"/>
      <c r="E451" s="230"/>
      <c r="F451" s="230"/>
      <c r="G451" s="230"/>
      <c r="H451" s="230"/>
      <c r="I451" s="230"/>
      <c r="J451" s="230"/>
      <c r="K451" s="230"/>
      <c r="L451" s="230"/>
      <c r="M451" s="230"/>
      <c r="N451" s="230"/>
      <c r="O451" s="19"/>
      <c r="P451" s="343"/>
      <c r="Q451" s="343"/>
      <c r="R451" s="343"/>
      <c r="S451" s="343"/>
      <c r="T451" s="7"/>
      <c r="U451" s="349"/>
      <c r="V451" s="349"/>
    </row>
    <row r="452" spans="1:22" s="534" customFormat="1" ht="14" x14ac:dyDescent="0.25">
      <c r="A452" s="343"/>
      <c r="B452" s="15"/>
      <c r="C452" s="15"/>
      <c r="D452" s="2053" t="str">
        <f>Translations!$B$1020</f>
        <v>Indikativ beräkning av antalet utsläppsrätter</v>
      </c>
      <c r="E452" s="2053"/>
      <c r="F452" s="2053"/>
      <c r="G452" s="2053"/>
      <c r="H452" s="2053"/>
      <c r="I452" s="2053"/>
      <c r="J452" s="2053"/>
      <c r="K452" s="2053"/>
      <c r="L452" s="2053"/>
      <c r="M452" s="2053"/>
      <c r="N452" s="2053"/>
      <c r="O452" s="19"/>
      <c r="P452" s="343"/>
      <c r="Q452" s="343"/>
      <c r="R452" s="343"/>
      <c r="S452" s="343"/>
      <c r="T452" s="7"/>
      <c r="U452" s="349"/>
      <c r="V452" s="349"/>
    </row>
    <row r="453" spans="1:22" s="534" customFormat="1" ht="5.15" customHeight="1" x14ac:dyDescent="0.25">
      <c r="A453" s="343"/>
      <c r="B453" s="15"/>
      <c r="C453" s="3"/>
      <c r="D453" s="3"/>
      <c r="E453" s="3"/>
      <c r="F453" s="3"/>
      <c r="G453" s="3"/>
      <c r="H453" s="3"/>
      <c r="I453" s="3"/>
      <c r="J453" s="3"/>
      <c r="K453" s="3"/>
      <c r="L453" s="3"/>
      <c r="M453" s="3"/>
      <c r="N453" s="3"/>
      <c r="O453" s="19"/>
      <c r="P453" s="343"/>
      <c r="Q453" s="343"/>
      <c r="R453" s="343"/>
      <c r="S453" s="343"/>
      <c r="T453" s="7"/>
      <c r="U453" s="349"/>
      <c r="V453" s="349"/>
    </row>
    <row r="454" spans="1:22" s="534" customFormat="1" ht="12.75" customHeight="1" x14ac:dyDescent="0.25">
      <c r="A454" s="343"/>
      <c r="B454" s="3"/>
      <c r="C454" s="3"/>
      <c r="D454" s="2096" t="str">
        <f>Translations!$B$1021</f>
        <v>Följande förkortningar används i tabellerna nedan:</v>
      </c>
      <c r="E454" s="2096"/>
      <c r="F454" s="2096"/>
      <c r="G454" s="2096"/>
      <c r="H454" s="2096"/>
      <c r="I454" s="2096"/>
      <c r="J454" s="2096"/>
      <c r="K454" s="2096"/>
      <c r="L454" s="2096"/>
      <c r="M454" s="2096"/>
      <c r="N454" s="2096"/>
      <c r="O454" s="19"/>
      <c r="P454" s="7"/>
      <c r="Q454" s="343"/>
      <c r="R454" s="343"/>
      <c r="S454" s="343"/>
      <c r="T454" s="343"/>
      <c r="U454" s="349"/>
      <c r="V454" s="349"/>
    </row>
    <row r="455" spans="1:22" s="534" customFormat="1" ht="12.75" customHeight="1" x14ac:dyDescent="0.25">
      <c r="A455" s="343"/>
      <c r="B455" s="3"/>
      <c r="C455" s="3"/>
      <c r="D455" s="2093" t="str">
        <f>Translations!$B$1022</f>
        <v>KL-risk</v>
      </c>
      <c r="E455" s="2093"/>
      <c r="F455" s="2094" t="str">
        <f>Translations!$B$1023</f>
        <v>Risk för koldioxidläckage. ”SANT” om delanläggningen betjänar en sektor som bedöms vara utsatt för en betydande risk för koldioxidläckage.</v>
      </c>
      <c r="G455" s="2094"/>
      <c r="H455" s="2094"/>
      <c r="I455" s="2094"/>
      <c r="J455" s="2094"/>
      <c r="K455" s="2094"/>
      <c r="L455" s="2094"/>
      <c r="M455" s="2094"/>
      <c r="N455" s="2094"/>
      <c r="O455" s="19"/>
      <c r="P455" s="7"/>
      <c r="Q455" s="343"/>
      <c r="R455" s="343"/>
      <c r="S455" s="343"/>
      <c r="T455" s="343"/>
      <c r="U455" s="349"/>
      <c r="V455" s="349"/>
    </row>
    <row r="456" spans="1:22" s="534" customFormat="1" ht="12.75" customHeight="1" x14ac:dyDescent="0.25">
      <c r="A456" s="343"/>
      <c r="B456" s="3"/>
      <c r="C456" s="3"/>
      <c r="D456" s="2093" t="str">
        <f>Translations!$B$1024</f>
        <v>RM-nummer</v>
      </c>
      <c r="E456" s="2093"/>
      <c r="F456" s="2094" t="str">
        <f>Translations!$B$1025</f>
        <v>Riktmärkets nummer</v>
      </c>
      <c r="G456" s="2094"/>
      <c r="H456" s="2094"/>
      <c r="I456" s="2094"/>
      <c r="J456" s="2094"/>
      <c r="K456" s="2094"/>
      <c r="L456" s="2094"/>
      <c r="M456" s="2094"/>
      <c r="N456" s="2094"/>
      <c r="O456" s="19"/>
      <c r="P456" s="7"/>
      <c r="Q456" s="343"/>
      <c r="R456" s="343"/>
      <c r="S456" s="343"/>
      <c r="T456" s="343"/>
      <c r="U456" s="349"/>
      <c r="V456" s="349"/>
    </row>
    <row r="457" spans="1:22" s="534" customFormat="1" ht="12.75" customHeight="1" x14ac:dyDescent="0.25">
      <c r="A457" s="343"/>
      <c r="B457" s="3"/>
      <c r="C457" s="3"/>
      <c r="D457" s="2093" t="str">
        <f>Translations!$B$1026</f>
        <v>I drift</v>
      </c>
      <c r="E457" s="2093"/>
      <c r="F457" s="2094" t="str">
        <f>Translations!$B$1027</f>
        <v>Start av drift vid anläggningen</v>
      </c>
      <c r="G457" s="2094"/>
      <c r="H457" s="2094"/>
      <c r="I457" s="2094"/>
      <c r="J457" s="2094"/>
      <c r="K457" s="2094"/>
      <c r="L457" s="2094"/>
      <c r="M457" s="2094"/>
      <c r="N457" s="2094"/>
      <c r="O457" s="19"/>
      <c r="P457" s="7"/>
      <c r="Q457" s="343"/>
      <c r="R457" s="343"/>
      <c r="S457" s="343"/>
      <c r="T457" s="343"/>
      <c r="U457" s="349"/>
      <c r="V457" s="349"/>
    </row>
    <row r="458" spans="1:22" s="534" customFormat="1" ht="12.75" customHeight="1" x14ac:dyDescent="0.25">
      <c r="A458" s="343"/>
      <c r="B458" s="3"/>
      <c r="C458" s="3"/>
      <c r="D458" s="2093" t="str">
        <f>Translations!$B$1545</f>
        <v>Upphört</v>
      </c>
      <c r="E458" s="2093"/>
      <c r="F458" s="2094" t="str">
        <f>Translations!$B$1546</f>
        <v>Datum då delanläggningens verksamhet upphörde, om relevant.</v>
      </c>
      <c r="G458" s="2094"/>
      <c r="H458" s="2094"/>
      <c r="I458" s="2094"/>
      <c r="J458" s="2094"/>
      <c r="K458" s="2094"/>
      <c r="L458" s="2094"/>
      <c r="M458" s="2094"/>
      <c r="N458" s="2094"/>
      <c r="O458" s="19"/>
      <c r="P458" s="7"/>
      <c r="Q458" s="343"/>
      <c r="R458" s="343"/>
      <c r="S458" s="343"/>
      <c r="T458" s="343"/>
      <c r="U458" s="349"/>
      <c r="V458" s="349"/>
    </row>
    <row r="459" spans="1:22" s="534" customFormat="1" ht="12.75" customHeight="1" x14ac:dyDescent="0.25">
      <c r="A459" s="343"/>
      <c r="B459" s="3"/>
      <c r="C459" s="3"/>
      <c r="D459" s="2093" t="str">
        <f>Translations!$B$1028</f>
        <v>RM-värde</v>
      </c>
      <c r="E459" s="2097"/>
      <c r="F459" s="2094" t="str">
        <f>Translations!$B$1547</f>
        <v>Riktmärkets värde.</v>
      </c>
      <c r="G459" s="2094"/>
      <c r="H459" s="2094"/>
      <c r="I459" s="2094"/>
      <c r="J459" s="2094"/>
      <c r="K459" s="2094"/>
      <c r="L459" s="2094"/>
      <c r="M459" s="2094"/>
      <c r="N459" s="2094"/>
      <c r="O459" s="19"/>
      <c r="P459" s="7"/>
      <c r="Q459" s="343"/>
      <c r="R459" s="343"/>
      <c r="S459" s="343"/>
      <c r="T459" s="343"/>
      <c r="U459" s="349"/>
      <c r="V459" s="349"/>
    </row>
    <row r="460" spans="1:22" s="534" customFormat="1" ht="12.75" customHeight="1" x14ac:dyDescent="0.25">
      <c r="A460" s="343"/>
      <c r="B460" s="3"/>
      <c r="C460" s="3"/>
      <c r="D460" s="2093" t="s">
        <v>1380</v>
      </c>
      <c r="E460" s="2093"/>
      <c r="F460" s="2094" t="str">
        <f>Translations!$B$1034</f>
        <v>Är utbytbarheten mellan el och bränsle relevant för delanläggningen?</v>
      </c>
      <c r="G460" s="2094"/>
      <c r="H460" s="2094"/>
      <c r="I460" s="2094"/>
      <c r="J460" s="2094"/>
      <c r="K460" s="2094"/>
      <c r="L460" s="2094"/>
      <c r="M460" s="2094"/>
      <c r="N460" s="2094"/>
      <c r="O460" s="19"/>
      <c r="P460" s="7"/>
      <c r="Q460" s="343"/>
      <c r="R460" s="343"/>
      <c r="S460" s="343"/>
      <c r="T460" s="343"/>
      <c r="U460" s="349"/>
      <c r="V460" s="349"/>
    </row>
    <row r="461" spans="1:22" s="534" customFormat="1" ht="12.75" customHeight="1" x14ac:dyDescent="0.25">
      <c r="A461" s="343"/>
      <c r="B461" s="3"/>
      <c r="C461" s="3"/>
      <c r="D461" s="2093" t="s">
        <v>1526</v>
      </c>
      <c r="E461" s="2093"/>
      <c r="F461" s="2094" t="str">
        <f>Translations!$B$1035</f>
        <v>Beräkningsfaktor för att beakta utbytbarheten mellan el och bränsle i enlighet med artikel 22 i FAR</v>
      </c>
      <c r="G461" s="2094"/>
      <c r="H461" s="2094"/>
      <c r="I461" s="2094"/>
      <c r="J461" s="2094"/>
      <c r="K461" s="2094"/>
      <c r="L461" s="2094"/>
      <c r="M461" s="2094"/>
      <c r="N461" s="2094"/>
      <c r="O461" s="19"/>
      <c r="P461" s="7"/>
      <c r="Q461" s="343"/>
      <c r="R461" s="343"/>
      <c r="S461" s="343"/>
      <c r="T461" s="343"/>
      <c r="U461" s="349"/>
      <c r="V461" s="349"/>
    </row>
    <row r="462" spans="1:22" s="534" customFormat="1" ht="12.75" customHeight="1" x14ac:dyDescent="0.25">
      <c r="A462" s="343"/>
      <c r="B462" s="3"/>
      <c r="C462" s="3"/>
      <c r="D462" s="2093" t="str">
        <f>Translations!$B$1036</f>
        <v>Värme utanför ETS</v>
      </c>
      <c r="E462" s="2093"/>
      <c r="F462" s="2094" t="str">
        <f>Translations!$B$1037</f>
        <v>Mängd som ska dras av från den preliminära årliga mängden utsläppsrätter i enlighet med artikel 21 i FAR</v>
      </c>
      <c r="G462" s="2094"/>
      <c r="H462" s="2094"/>
      <c r="I462" s="2094"/>
      <c r="J462" s="2094"/>
      <c r="K462" s="2094"/>
      <c r="L462" s="2094"/>
      <c r="M462" s="2094"/>
      <c r="N462" s="2094"/>
      <c r="O462" s="19"/>
      <c r="P462" s="7"/>
      <c r="Q462" s="343"/>
      <c r="R462" s="343"/>
      <c r="S462" s="343"/>
      <c r="T462" s="343"/>
      <c r="U462" s="349"/>
      <c r="V462" s="349"/>
    </row>
    <row r="463" spans="1:22" s="534" customFormat="1" ht="25.5" customHeight="1" x14ac:dyDescent="0.25">
      <c r="A463" s="343"/>
      <c r="B463" s="3"/>
      <c r="C463" s="3"/>
      <c r="D463" s="2093" t="str">
        <f>Translations!$B$1038</f>
        <v>Wgfacklad</v>
      </c>
      <c r="E463" s="2093"/>
      <c r="F463" s="2094" t="str">
        <f>Translations!$B$1039</f>
        <v>Mängd som ska dras av från den preliminära årliga mängden utsläppsrätter för facklade restgaser från 2026 och framåt i enlighet med artikel 16.5 andra stycket i FAR</v>
      </c>
      <c r="G463" s="2094"/>
      <c r="H463" s="2094"/>
      <c r="I463" s="2094"/>
      <c r="J463" s="2094"/>
      <c r="K463" s="2094"/>
      <c r="L463" s="2094"/>
      <c r="M463" s="2094"/>
      <c r="N463" s="2094"/>
      <c r="O463" s="19"/>
      <c r="P463" s="7"/>
      <c r="Q463" s="343"/>
      <c r="R463" s="343"/>
      <c r="S463" s="343"/>
      <c r="T463" s="343"/>
      <c r="U463" s="349"/>
      <c r="V463" s="349"/>
    </row>
    <row r="464" spans="1:22" s="534" customFormat="1" ht="12.75" customHeight="1" x14ac:dyDescent="0.25">
      <c r="A464" s="343"/>
      <c r="B464" s="3"/>
      <c r="C464" s="3"/>
      <c r="D464" s="2093" t="s">
        <v>1527</v>
      </c>
      <c r="E464" s="2093"/>
      <c r="F464" s="2094" t="str">
        <f>Translations!$B$1040</f>
        <v>Mängd som ska läggas till den preliminära årliga mängden utsläppsrätter för ångkrackningsdelanläggningar i enlighet med artikel 19 i FAR</v>
      </c>
      <c r="G464" s="2094"/>
      <c r="H464" s="2094"/>
      <c r="I464" s="2094"/>
      <c r="J464" s="2094"/>
      <c r="K464" s="2094"/>
      <c r="L464" s="2094"/>
      <c r="M464" s="2094"/>
      <c r="N464" s="2094"/>
      <c r="O464" s="19"/>
      <c r="P464" s="7"/>
      <c r="Q464" s="7"/>
      <c r="R464" s="7"/>
      <c r="S464" s="7"/>
      <c r="T464" s="7"/>
      <c r="U464" s="349"/>
      <c r="V464" s="349"/>
    </row>
    <row r="465" spans="1:22" s="534" customFormat="1" ht="12.75" customHeight="1" x14ac:dyDescent="0.25">
      <c r="A465" s="343"/>
      <c r="B465" s="3"/>
      <c r="C465" s="3"/>
      <c r="D465" s="2093" t="s">
        <v>1528</v>
      </c>
      <c r="E465" s="2093"/>
      <c r="F465" s="2094" t="str">
        <f>Translations!$B$1041</f>
        <v>Beräkningsfaktor för att beakta vätgasrelaterade utsläpp i delanläggningar för vinylkloridmonomer i enlighet med artikel 20 i FAR</v>
      </c>
      <c r="G465" s="2094"/>
      <c r="H465" s="2094"/>
      <c r="I465" s="2094"/>
      <c r="J465" s="2094"/>
      <c r="K465" s="2094"/>
      <c r="L465" s="2094"/>
      <c r="M465" s="2094"/>
      <c r="N465" s="2094"/>
      <c r="O465" s="19"/>
      <c r="P465" s="7"/>
      <c r="Q465" s="7"/>
      <c r="R465" s="7"/>
      <c r="S465" s="7"/>
      <c r="T465" s="7"/>
      <c r="U465" s="349"/>
      <c r="V465" s="349"/>
    </row>
    <row r="466" spans="1:22" s="1906" customFormat="1" ht="12.75" customHeight="1" x14ac:dyDescent="0.25">
      <c r="A466" s="343"/>
      <c r="B466" s="713"/>
      <c r="C466" s="713"/>
      <c r="D466" s="2094" t="str">
        <f>Translations!$B$1482</f>
        <v>Genomsnittligt årligt värde</v>
      </c>
      <c r="E466" s="2094"/>
      <c r="F466" s="2094" t="str">
        <f>Translations!$B$1548</f>
        <v>Det glidande medelvärdet för två år enligt artikel 2.1 i verksamhetsändringsförordningen för verksamhetsnivåer och i artikel 6.4 för andra parametrar.</v>
      </c>
      <c r="G466" s="2094"/>
      <c r="H466" s="2094"/>
      <c r="I466" s="2094"/>
      <c r="J466" s="2094"/>
      <c r="K466" s="2094"/>
      <c r="L466" s="2094"/>
      <c r="M466" s="2094"/>
      <c r="N466" s="2094"/>
      <c r="O466" s="19"/>
      <c r="P466" s="714"/>
      <c r="Q466" s="712"/>
      <c r="R466" s="712"/>
      <c r="S466" s="712"/>
      <c r="T466" s="712"/>
      <c r="U466" s="349"/>
      <c r="V466" s="349"/>
    </row>
    <row r="467" spans="1:22" s="1906" customFormat="1" ht="25.5" customHeight="1" x14ac:dyDescent="0.25">
      <c r="A467" s="343"/>
      <c r="B467" s="713"/>
      <c r="C467" s="713"/>
      <c r="D467" s="2813" t="str">
        <f>Translations!$B$1549</f>
        <v>Kriterium 1: Verksam &gt;2 år?</v>
      </c>
      <c r="E467" s="2813"/>
      <c r="F467" s="2094" t="str">
        <f>Translations!$B$1550</f>
        <v>Om SANT beräknas det glidande medelvärdet för alla tilldelningsjusteringar. Om FALSKT tillämpas artikel 4.2 i verksamhetsändringsförordningen.</v>
      </c>
      <c r="G467" s="2094"/>
      <c r="H467" s="2094"/>
      <c r="I467" s="2094"/>
      <c r="J467" s="2094"/>
      <c r="K467" s="2094"/>
      <c r="L467" s="2094"/>
      <c r="M467" s="2094"/>
      <c r="N467" s="2094"/>
      <c r="O467" s="19"/>
      <c r="P467" s="714"/>
      <c r="Q467" s="712"/>
      <c r="R467" s="712"/>
      <c r="S467" s="712"/>
      <c r="T467" s="712"/>
      <c r="U467" s="349"/>
      <c r="V467" s="349"/>
    </row>
    <row r="468" spans="1:22" s="1906" customFormat="1" ht="25.5" customHeight="1" x14ac:dyDescent="0.25">
      <c r="A468" s="343"/>
      <c r="B468" s="713"/>
      <c r="C468" s="713"/>
      <c r="D468" s="2813" t="str">
        <f>Translations!$B$1551</f>
        <v>Kriterium 2: Upphörde inte föregående år?</v>
      </c>
      <c r="E468" s="2813"/>
      <c r="F468" s="2094" t="str">
        <f>Translations!$B$1552</f>
        <v>Om FALSKT har (del)anläggningen upphört under föregående år och tilldelningen justeras till noll enligt artikel 5.4 i verksamhetsändringsförordningen.</v>
      </c>
      <c r="G468" s="2094"/>
      <c r="H468" s="2094"/>
      <c r="I468" s="2094"/>
      <c r="J468" s="2094"/>
      <c r="K468" s="2094"/>
      <c r="L468" s="2094"/>
      <c r="M468" s="2094"/>
      <c r="N468" s="2094"/>
      <c r="O468" s="19"/>
      <c r="P468" s="714"/>
      <c r="Q468" s="712"/>
      <c r="R468" s="712"/>
      <c r="S468" s="712"/>
      <c r="T468" s="712"/>
      <c r="U468" s="349"/>
      <c r="V468" s="349"/>
    </row>
    <row r="469" spans="1:22" s="1906" customFormat="1" ht="25.5" customHeight="1" x14ac:dyDescent="0.25">
      <c r="A469" s="343"/>
      <c r="B469" s="713"/>
      <c r="C469" s="713"/>
      <c r="D469" s="2813" t="str">
        <f>Translations!$B$1553</f>
        <v>Kriterium 3a: Har relativa tröskelvärden överskridits?</v>
      </c>
      <c r="E469" s="2813"/>
      <c r="F469" s="2094" t="str">
        <f>Translations!$B$1554</f>
        <v>SANT innebär att de relativa tröskelvärden som avses i artikel 5 i verksamhetsändringsförordningen har överskridits och att tilldelningen justeras i förhållande till den historiska verksamhetsnivån.</v>
      </c>
      <c r="G469" s="2094"/>
      <c r="H469" s="2094"/>
      <c r="I469" s="2094"/>
      <c r="J469" s="2094"/>
      <c r="K469" s="2094"/>
      <c r="L469" s="2094"/>
      <c r="M469" s="2094"/>
      <c r="N469" s="2094"/>
      <c r="O469" s="19"/>
      <c r="P469" s="714"/>
      <c r="Q469" s="712"/>
      <c r="R469" s="712"/>
      <c r="S469" s="712"/>
      <c r="T469" s="712"/>
      <c r="U469" s="349"/>
      <c r="V469" s="349"/>
    </row>
    <row r="470" spans="1:22" s="1906" customFormat="1" ht="25.5" customHeight="1" x14ac:dyDescent="0.25">
      <c r="A470" s="343"/>
      <c r="B470" s="713"/>
      <c r="C470" s="713"/>
      <c r="D470" s="2813" t="str">
        <f>Translations!$B$1555</f>
        <v>Kriterium 4a: Är skillnaden minst 100 utsläppsrätter?</v>
      </c>
      <c r="E470" s="2813"/>
      <c r="F470" s="2094" t="str">
        <f>Translations!$B$1556</f>
        <v>SANT innebär att de absoluta tröskelvärden som avses i artikel 5 i verksamhetsändringsförordningen (100 utsläppsrätter) har överskridits och att tilldelningen justeras.</v>
      </c>
      <c r="G470" s="2094"/>
      <c r="H470" s="2094"/>
      <c r="I470" s="2094"/>
      <c r="J470" s="2094"/>
      <c r="K470" s="2094"/>
      <c r="L470" s="2094"/>
      <c r="M470" s="2094"/>
      <c r="N470" s="2094"/>
      <c r="O470" s="19"/>
      <c r="P470" s="714"/>
      <c r="Q470" s="712"/>
      <c r="R470" s="712"/>
      <c r="S470" s="712"/>
      <c r="T470" s="712"/>
      <c r="U470" s="349"/>
      <c r="V470" s="349"/>
    </row>
    <row r="471" spans="1:22" s="1906" customFormat="1" ht="25.5" customHeight="1" x14ac:dyDescent="0.25">
      <c r="A471" s="343"/>
      <c r="B471" s="713"/>
      <c r="C471" s="713"/>
      <c r="D471" s="2813" t="str">
        <f>Translations!$B$1557</f>
        <v>Kriterium 5: Kan behörig myndighet besluta?</v>
      </c>
      <c r="E471" s="2813"/>
      <c r="F471" s="2094" t="str">
        <f>Translations!$B$1558</f>
        <v>Enligt artikel 6.1 och 6.2 i verksamhetsändringsförordningen kan behörig myndighet besluta om att godkänna eller avslå tilldelningsjusteringarna om energieffektivitetsändringarna överskred 15 %. SANT innebär att dessa tröskelvärden har överskridits och att den behöriga myndigheten kan besluta.</v>
      </c>
      <c r="G471" s="2094"/>
      <c r="H471" s="2094"/>
      <c r="I471" s="2094"/>
      <c r="J471" s="2094"/>
      <c r="K471" s="2094"/>
      <c r="L471" s="2094"/>
      <c r="M471" s="2094"/>
      <c r="N471" s="2094"/>
      <c r="O471" s="19"/>
      <c r="P471" s="714"/>
      <c r="Q471" s="712"/>
      <c r="R471" s="712"/>
      <c r="S471" s="712"/>
      <c r="T471" s="712"/>
      <c r="U471" s="349"/>
      <c r="V471" s="349"/>
    </row>
    <row r="472" spans="1:22" s="1906" customFormat="1" ht="25.5" customHeight="1" x14ac:dyDescent="0.25">
      <c r="A472" s="343"/>
      <c r="B472" s="713"/>
      <c r="C472" s="713"/>
      <c r="D472" s="2813" t="str">
        <f>Translations!$B$1559</f>
        <v>Kriterium 6: Ej avslag från behörig myndighet?</v>
      </c>
      <c r="E472" s="2813"/>
      <c r="F472" s="2094" t="str">
        <f>Translations!$B$1560</f>
        <v>SANT innebär att en behörig myndighet avslog justeringen. FALSKT innebär att justeringen kommer att ske om alla ovanstående tröskelvärden har överskridits.</v>
      </c>
      <c r="G472" s="2094"/>
      <c r="H472" s="2094"/>
      <c r="I472" s="2094"/>
      <c r="J472" s="2094"/>
      <c r="K472" s="2094"/>
      <c r="L472" s="2094"/>
      <c r="M472" s="2094"/>
      <c r="N472" s="2094"/>
      <c r="O472" s="19"/>
      <c r="P472" s="714"/>
      <c r="Q472" s="712"/>
      <c r="R472" s="712"/>
      <c r="S472" s="712"/>
      <c r="T472" s="712"/>
      <c r="U472" s="349"/>
      <c r="V472" s="349"/>
    </row>
    <row r="473" spans="1:22" s="1906" customFormat="1" ht="25.5" customHeight="1" x14ac:dyDescent="0.25">
      <c r="A473" s="343"/>
      <c r="B473" s="713"/>
      <c r="C473" s="713"/>
      <c r="D473" s="2094" t="str">
        <f>Translations!$B$956</f>
        <v>Preliminär tilldelning</v>
      </c>
      <c r="E473" s="2094"/>
      <c r="F473" s="2812" t="str">
        <f>Translations!$B$1561</f>
        <v>Preliminärt årsantal utsläppsrätter som tilldelas gratis för periodens första år i enlighet med artikel 16.6 i FAR, dvs. efter tillämpningen av KL-exponeringsfaktorn och eventuella justeringar på grund av verksamhetsändringsförordningen men före tillämpningen av den linjära faktorn eller den sektorsövergripande korrigeringsfaktorn.</v>
      </c>
      <c r="G473" s="2812"/>
      <c r="H473" s="2812"/>
      <c r="I473" s="2812"/>
      <c r="J473" s="2812"/>
      <c r="K473" s="2812"/>
      <c r="L473" s="2812"/>
      <c r="M473" s="2812"/>
      <c r="N473" s="2812"/>
      <c r="O473" s="19"/>
      <c r="P473" s="714"/>
      <c r="Q473" s="712"/>
      <c r="R473" s="712"/>
      <c r="S473" s="712"/>
      <c r="T473" s="712"/>
      <c r="U473" s="349"/>
      <c r="V473" s="349"/>
    </row>
    <row r="474" spans="1:22" s="534" customFormat="1" ht="12.75" customHeight="1" thickBot="1" x14ac:dyDescent="0.3">
      <c r="A474" s="343"/>
      <c r="B474" s="3"/>
      <c r="C474" s="3"/>
      <c r="D474" s="15"/>
      <c r="E474" s="15"/>
      <c r="F474" s="15"/>
      <c r="G474" s="15"/>
      <c r="H474" s="15"/>
      <c r="I474" s="15"/>
      <c r="J474" s="15"/>
      <c r="K474" s="15"/>
      <c r="L474" s="15"/>
      <c r="M474" s="15"/>
      <c r="N474" s="15"/>
      <c r="O474" s="19"/>
      <c r="P474" s="7"/>
      <c r="Q474" s="7"/>
      <c r="R474" s="7"/>
      <c r="S474" s="7"/>
      <c r="T474" s="7"/>
      <c r="U474" s="349"/>
      <c r="V474" s="349"/>
    </row>
    <row r="475" spans="1:22" s="534" customFormat="1" ht="75" customHeight="1" thickBot="1" x14ac:dyDescent="0.3">
      <c r="A475" s="343"/>
      <c r="B475" s="3"/>
      <c r="C475" s="3"/>
      <c r="D475" s="2076" t="str">
        <f>Translations!$B$1051</f>
        <v>Ansvarsfriskrivning: Var god notera att värdena för den preliminära tilldelningen endast är indikativa</v>
      </c>
      <c r="E475" s="2077"/>
      <c r="F475" s="2077"/>
      <c r="G475" s="2077"/>
      <c r="H475" s="2077"/>
      <c r="I475" s="2077"/>
      <c r="J475" s="2077"/>
      <c r="K475" s="2077"/>
      <c r="L475" s="2077"/>
      <c r="M475" s="2077"/>
      <c r="N475" s="2078"/>
      <c r="O475" s="19"/>
      <c r="P475" s="7"/>
      <c r="Q475" s="7"/>
      <c r="R475" s="7"/>
      <c r="S475" s="7"/>
      <c r="T475" s="7"/>
      <c r="U475" s="349"/>
      <c r="V475" s="349"/>
    </row>
    <row r="476" spans="1:22" s="534" customFormat="1" ht="13" thickBot="1" x14ac:dyDescent="0.3">
      <c r="A476" s="343"/>
      <c r="B476" s="15"/>
      <c r="C476" s="15"/>
      <c r="D476" s="15"/>
      <c r="E476" s="15"/>
      <c r="F476" s="15"/>
      <c r="G476" s="15"/>
      <c r="H476" s="15"/>
      <c r="I476" s="15"/>
      <c r="J476" s="15"/>
      <c r="K476" s="15"/>
      <c r="L476" s="15"/>
      <c r="M476" s="15"/>
      <c r="N476" s="15"/>
      <c r="O476" s="19"/>
      <c r="P476" s="343" t="s">
        <v>1383</v>
      </c>
      <c r="Q476" s="343" t="s">
        <v>1384</v>
      </c>
      <c r="R476" s="343" t="s">
        <v>946</v>
      </c>
      <c r="S476" s="343"/>
      <c r="T476" s="343"/>
      <c r="U476" s="349"/>
      <c r="V476" s="349"/>
    </row>
    <row r="477" spans="1:22" s="534" customFormat="1" ht="15" customHeight="1" thickBot="1" x14ac:dyDescent="0.35">
      <c r="A477" s="343"/>
      <c r="B477" s="15"/>
      <c r="C477" s="17">
        <v>1</v>
      </c>
      <c r="D477" s="2053" t="str">
        <f>CONCATENATE(EUconst_BMSubinst," ",C477, ":")</f>
        <v>Delanläggning med produktriktmärke 1:</v>
      </c>
      <c r="E477" s="2053"/>
      <c r="F477" s="2053"/>
      <c r="G477" s="2053"/>
      <c r="H477" s="2081"/>
      <c r="I477" s="2090" t="str">
        <f>IF(INDEX(CNTR_SubInstListIsProdBM,$C477),INDEX(CNTR_SubInstListNames,$C477),"")</f>
        <v/>
      </c>
      <c r="J477" s="2091"/>
      <c r="K477" s="2091"/>
      <c r="L477" s="2091"/>
      <c r="M477" s="2091"/>
      <c r="N477" s="2092"/>
      <c r="O477" s="19"/>
      <c r="P477" s="343"/>
      <c r="Q477" s="723">
        <f>C477</f>
        <v>1</v>
      </c>
      <c r="R477" s="722" t="str">
        <f>I477</f>
        <v/>
      </c>
      <c r="S477" s="343"/>
      <c r="T477" s="343"/>
      <c r="U477" s="349"/>
      <c r="V477" s="349"/>
    </row>
    <row r="478" spans="1:22" s="534" customFormat="1" ht="5.15" customHeight="1" x14ac:dyDescent="0.3">
      <c r="A478" s="343"/>
      <c r="B478" s="15"/>
      <c r="C478" s="17"/>
      <c r="D478" s="17"/>
      <c r="E478" s="17"/>
      <c r="F478" s="17"/>
      <c r="G478" s="17"/>
      <c r="H478" s="17"/>
      <c r="I478" s="17"/>
      <c r="J478" s="17"/>
      <c r="K478" s="17"/>
      <c r="L478" s="17"/>
      <c r="M478" s="17"/>
      <c r="N478" s="17"/>
      <c r="O478" s="19"/>
      <c r="P478" s="343"/>
      <c r="Q478" s="343"/>
      <c r="R478" s="343"/>
      <c r="S478" s="343"/>
      <c r="T478" s="343"/>
      <c r="U478" s="349"/>
      <c r="V478" s="349"/>
    </row>
    <row r="479" spans="1:22" s="534" customFormat="1" ht="12.75" customHeight="1" x14ac:dyDescent="0.3">
      <c r="A479" s="343"/>
      <c r="B479" s="15"/>
      <c r="C479" s="17"/>
      <c r="D479" s="17"/>
      <c r="E479" s="17"/>
      <c r="F479" s="17"/>
      <c r="H479" s="506" t="str">
        <f>Translations!$B$1022</f>
        <v>KL-risk</v>
      </c>
      <c r="I479" s="506" t="s">
        <v>1380</v>
      </c>
      <c r="J479" s="506" t="str">
        <f>Translations!$B$1026</f>
        <v>I drift</v>
      </c>
      <c r="K479" s="506" t="str">
        <f>Translations!$B$1545</f>
        <v>Upphört</v>
      </c>
      <c r="L479" s="952" t="str">
        <f>Translations!$B$1024</f>
        <v>RM-nummer</v>
      </c>
      <c r="M479" s="2786" t="str">
        <f>Translations!$B$1028</f>
        <v>RM-värde</v>
      </c>
      <c r="N479" s="2786"/>
      <c r="O479" s="19"/>
      <c r="P479" s="343"/>
      <c r="Q479" s="343"/>
      <c r="R479" s="343"/>
      <c r="S479" s="343"/>
      <c r="T479" s="940"/>
      <c r="U479" s="349"/>
      <c r="V479" s="349"/>
    </row>
    <row r="480" spans="1:22" s="534" customFormat="1" ht="12.75" customHeight="1" x14ac:dyDescent="0.3">
      <c r="A480" s="343"/>
      <c r="B480" s="15"/>
      <c r="C480" s="17"/>
      <c r="D480" s="17"/>
      <c r="E480" s="508" t="str">
        <f>I477</f>
        <v/>
      </c>
      <c r="F480" s="509"/>
      <c r="G480" s="509"/>
      <c r="H480" s="510" t="str">
        <f>IF(L480=EUconst_NA,EUconst_NA,INDEX(EUconst_BMlistCLstatus,L480))</f>
        <v>Ej tillämpligt</v>
      </c>
      <c r="I480" s="510" t="str">
        <f>IF(I477="","",INDEX(EUconst_BMlistElExchangability,L480))</f>
        <v/>
      </c>
      <c r="J480" s="1045" t="str">
        <f>IF($I477="",EUconst_NA,INDEX(CNTR_SubInstStartDate,MATCH(I477,CNTR_SubInstListNames,0)))</f>
        <v>Ej tillämpligt</v>
      </c>
      <c r="K480" s="1045" t="str">
        <f>IF($I477="",EUconst_NA,IF(INDEX(CNTR_SubInstCessationDate,MATCH(I477,CNTR_SubInstListNames,0))=0,"",INDEX(CNTR_SubInstCessationDate,MATCH(I477,CNTR_SubInstListNames,0))))</f>
        <v>Ej tillämpligt</v>
      </c>
      <c r="L480" s="953" t="str">
        <f>IF($I477="",EUconst_NA,MATCH(I477,EUconst_BMlistNames,0))</f>
        <v>Ej tillämpligt</v>
      </c>
      <c r="M480" s="1744" t="str">
        <f>IF(I477="",EUconst_NA,INDEX(EUconst_BMlistBMvaluesMatrix,L480,3))</f>
        <v>Ej tillämpligt</v>
      </c>
      <c r="N480" s="1041" t="str">
        <f>EUconst_EUA &amp; "/" &amp; F483</f>
        <v>EUA/ton</v>
      </c>
      <c r="O480" s="19"/>
      <c r="P480" s="343"/>
      <c r="Q480" s="343"/>
      <c r="R480" s="343"/>
      <c r="S480" s="343"/>
      <c r="T480" s="940"/>
      <c r="U480" s="349"/>
      <c r="V480" s="349"/>
    </row>
    <row r="481" spans="1:22" s="534" customFormat="1" ht="5.15" customHeight="1" thickBot="1" x14ac:dyDescent="0.35">
      <c r="A481" s="343"/>
      <c r="B481" s="15"/>
      <c r="C481" s="15"/>
      <c r="D481" s="15"/>
      <c r="E481" s="17"/>
      <c r="J481" s="15"/>
      <c r="K481" s="15"/>
      <c r="L481" s="15"/>
      <c r="M481" s="15"/>
      <c r="N481" s="15"/>
      <c r="O481" s="19"/>
      <c r="P481" s="343"/>
      <c r="Q481" s="343"/>
      <c r="R481" s="343"/>
      <c r="S481" s="343"/>
      <c r="T481" s="7"/>
      <c r="U481" s="349"/>
      <c r="V481" s="349"/>
    </row>
    <row r="482" spans="1:22" s="534" customFormat="1" ht="12.75" customHeight="1" x14ac:dyDescent="0.25">
      <c r="A482" s="343"/>
      <c r="B482" s="15"/>
      <c r="C482" s="15"/>
      <c r="D482" s="15"/>
      <c r="E482" s="39"/>
      <c r="F482" s="13" t="str">
        <f>EUconst_Unit</f>
        <v>Enhet</v>
      </c>
      <c r="G482" s="1202" t="str">
        <f>Translations!$B$1432</f>
        <v>HAL</v>
      </c>
      <c r="H482" s="987">
        <f t="shared" ref="H482:N482" si="30">H$2596</f>
        <v>2019</v>
      </c>
      <c r="I482" s="342">
        <f t="shared" si="30"/>
        <v>2020</v>
      </c>
      <c r="J482" s="987">
        <f t="shared" si="30"/>
        <v>2021</v>
      </c>
      <c r="K482" s="320">
        <f t="shared" si="30"/>
        <v>2022</v>
      </c>
      <c r="L482" s="320">
        <f t="shared" si="30"/>
        <v>2023</v>
      </c>
      <c r="M482" s="320">
        <f t="shared" si="30"/>
        <v>2024</v>
      </c>
      <c r="N482" s="320">
        <f t="shared" si="30"/>
        <v>2025</v>
      </c>
      <c r="O482" s="19"/>
      <c r="P482" s="343"/>
      <c r="Q482" s="343" t="s">
        <v>2010</v>
      </c>
      <c r="R482" s="1635">
        <f>J$2596</f>
        <v>2021</v>
      </c>
      <c r="S482" s="1636">
        <f>K$2596</f>
        <v>2022</v>
      </c>
      <c r="T482" s="1636">
        <f>L$2596</f>
        <v>2023</v>
      </c>
      <c r="U482" s="1636">
        <f>M$2596</f>
        <v>2024</v>
      </c>
      <c r="V482" s="1637">
        <f>N$2596</f>
        <v>2025</v>
      </c>
    </row>
    <row r="483" spans="1:22" s="534" customFormat="1" ht="12.75" customHeight="1" thickBot="1" x14ac:dyDescent="0.3">
      <c r="A483" s="343"/>
      <c r="B483" s="15"/>
      <c r="C483" s="15"/>
      <c r="D483" s="15"/>
      <c r="E483" s="514" t="str">
        <f>Translations!$B$1562</f>
        <v>Rapporterad verksamhetsnivå</v>
      </c>
      <c r="F483" s="563" t="str">
        <f>IF(ISNUMBER(L480),INDEX(EUconst_BMlistUnits,L480),EUconst_Tons)</f>
        <v>ton</v>
      </c>
      <c r="G483" s="943" t="str">
        <f>I586</f>
        <v/>
      </c>
      <c r="H483" s="1131" t="str">
        <f>IF($I477="","",IF(H482&gt;=CNTR_ReportingYear,"",INDEX(F_ProductBM!H:H,MATCH($P483,F_ProductBM!$Q:$Q,0))))</f>
        <v/>
      </c>
      <c r="I483" s="641" t="str">
        <f>IF($I477="","",IF(I482&gt;=CNTR_ReportingYear,"",INDEX(F_ProductBM!I:I,MATCH($P483,F_ProductBM!$Q:$Q,0))))</f>
        <v/>
      </c>
      <c r="J483" s="1131" t="str">
        <f>IF($I477="","",IF(J482&gt;=CNTR_ReportingYear,"",INDEX(F_ProductBM!J:J,MATCH($P483,F_ProductBM!$Q:$Q,0))))</f>
        <v/>
      </c>
      <c r="K483" s="421" t="str">
        <f>IF($I477="","",IF(K482&gt;=CNTR_ReportingYear,"",INDEX(F_ProductBM!K:K,MATCH($P483,F_ProductBM!$Q:$Q,0))))</f>
        <v/>
      </c>
      <c r="L483" s="421" t="str">
        <f>IF($I477="","",IF(L482&gt;=CNTR_ReportingYear,"",INDEX(F_ProductBM!L:L,MATCH($P483,F_ProductBM!$Q:$Q,0))))</f>
        <v/>
      </c>
      <c r="M483" s="421" t="str">
        <f>IF($I477="","",IF(M482&gt;=CNTR_ReportingYear,"",INDEX(F_ProductBM!M:M,MATCH($P483,F_ProductBM!$Q:$Q,0))))</f>
        <v/>
      </c>
      <c r="N483" s="421" t="str">
        <f>IF($I477="","",IF(N482&gt;=CNTR_ReportingYear,"",INDEX(F_ProductBM!N:N,MATCH($P483,F_ProductBM!$Q:$Q,0))))</f>
        <v/>
      </c>
      <c r="O483" s="19"/>
      <c r="P483" s="165" t="str">
        <f>EUconst_CNTR_HAL&amp;I477</f>
        <v>HAL_</v>
      </c>
      <c r="Q483" s="343"/>
      <c r="R483" s="1329" t="b">
        <f>AND($I477&lt;&gt;"",R482&lt;=CNTR_ReportingYear,IF($J480&lt;&gt;EUconst_NA,R482&gt;=YEAR($J480),TRUE))</f>
        <v>0</v>
      </c>
      <c r="S483" s="1330" t="b">
        <f>AND($I477&lt;&gt;"",S482&lt;=CNTR_ReportingYear,IF($J480&lt;&gt;EUconst_NA,S482&gt;=YEAR($J480),TRUE))</f>
        <v>0</v>
      </c>
      <c r="T483" s="1330" t="b">
        <f>AND($I477&lt;&gt;"",T482&lt;=CNTR_ReportingYear,IF($J480&lt;&gt;EUconst_NA,T482&gt;=YEAR($J480),TRUE))</f>
        <v>0</v>
      </c>
      <c r="U483" s="1330" t="b">
        <f>AND($I477&lt;&gt;"",U482&lt;=CNTR_ReportingYear,IF($J480&lt;&gt;EUconst_NA,U482&gt;=YEAR($J480),TRUE))</f>
        <v>0</v>
      </c>
      <c r="V483" s="1331" t="b">
        <f>AND($I477&lt;&gt;"",V482&lt;=CNTR_ReportingYear,IF($J480&lt;&gt;EUconst_NA,V482&gt;=YEAR($J480),TRUE))</f>
        <v>0</v>
      </c>
    </row>
    <row r="484" spans="1:22" s="534" customFormat="1" ht="5.15" customHeight="1" thickBot="1" x14ac:dyDescent="0.35">
      <c r="A484" s="343"/>
      <c r="B484" s="15"/>
      <c r="C484" s="17"/>
      <c r="D484" s="17"/>
      <c r="E484" s="17"/>
      <c r="F484" s="17"/>
      <c r="G484" s="17"/>
      <c r="H484" s="17"/>
      <c r="I484" s="17"/>
      <c r="J484" s="17"/>
      <c r="K484" s="17"/>
      <c r="L484" s="17"/>
      <c r="M484" s="17"/>
      <c r="N484" s="17"/>
      <c r="O484" s="19"/>
      <c r="P484" s="343"/>
      <c r="Q484" s="343"/>
      <c r="R484" s="343"/>
      <c r="S484" s="343"/>
      <c r="T484" s="343"/>
      <c r="U484" s="349"/>
      <c r="V484" s="349"/>
    </row>
    <row r="485" spans="1:22" s="534" customFormat="1" ht="5.15" customHeight="1" x14ac:dyDescent="0.3">
      <c r="A485" s="343"/>
      <c r="B485" s="15"/>
      <c r="C485" s="17"/>
      <c r="D485" s="1383"/>
      <c r="E485" s="1384"/>
      <c r="F485" s="1384"/>
      <c r="G485" s="1384"/>
      <c r="H485" s="1384"/>
      <c r="I485" s="1384"/>
      <c r="J485" s="1384"/>
      <c r="K485" s="1384"/>
      <c r="L485" s="1384"/>
      <c r="M485" s="1384"/>
      <c r="N485" s="1385"/>
      <c r="O485" s="19"/>
      <c r="P485" s="343"/>
      <c r="Q485" s="343"/>
      <c r="R485" s="343"/>
      <c r="S485" s="343"/>
      <c r="T485" s="343"/>
      <c r="U485" s="349"/>
      <c r="V485" s="349"/>
    </row>
    <row r="486" spans="1:22" s="534" customFormat="1" ht="12.75" customHeight="1" x14ac:dyDescent="0.3">
      <c r="A486" s="343"/>
      <c r="B486" s="15"/>
      <c r="C486" s="17"/>
      <c r="D486" s="1386"/>
      <c r="E486" s="42" t="str">
        <f>Translations!$B$1563</f>
        <v>Tillämplighet av glidande medelvärde</v>
      </c>
      <c r="F486" s="188"/>
      <c r="G486" s="188"/>
      <c r="H486" s="30"/>
      <c r="I486" s="1157"/>
      <c r="J486" s="1065">
        <f>J$2596</f>
        <v>2021</v>
      </c>
      <c r="K486" s="350">
        <f>K$2596</f>
        <v>2022</v>
      </c>
      <c r="L486" s="350">
        <f>L$2596</f>
        <v>2023</v>
      </c>
      <c r="M486" s="350">
        <f>M$2596</f>
        <v>2024</v>
      </c>
      <c r="N486" s="966">
        <f>N$2596</f>
        <v>2025</v>
      </c>
      <c r="O486" s="19"/>
      <c r="P486" s="343"/>
      <c r="Q486" s="343"/>
      <c r="R486" s="343"/>
      <c r="S486" s="343"/>
      <c r="T486" s="343"/>
      <c r="U486" s="349"/>
      <c r="V486" s="349"/>
    </row>
    <row r="487" spans="1:22" s="534" customFormat="1" ht="12.75" customHeight="1" x14ac:dyDescent="0.3">
      <c r="A487" s="343"/>
      <c r="B487" s="15"/>
      <c r="C487" s="17"/>
      <c r="D487" s="1386"/>
      <c r="E487" s="1477" t="str">
        <f>Translations!$B$1549</f>
        <v>Kriterium 1: Verksam &gt;2 år?</v>
      </c>
      <c r="F487" s="1478"/>
      <c r="G487" s="1478"/>
      <c r="H487" s="1366"/>
      <c r="I487" s="1478"/>
      <c r="J487" s="1469" t="str">
        <f>IF(R483,INDEX(F_ProductBM!V:V,MATCH($P487,F_ProductBM!$Q:$Q,0))&gt;=3,"")</f>
        <v/>
      </c>
      <c r="K487" s="1470" t="str">
        <f>IF(S483,INDEX(F_ProductBM!W:W,MATCH($P487,F_ProductBM!$Q:$Q,0))&gt;=3,"")</f>
        <v/>
      </c>
      <c r="L487" s="1470" t="str">
        <f>IF(T483,INDEX(F_ProductBM!X:X,MATCH($P487,F_ProductBM!$Q:$Q,0))&gt;=3,"")</f>
        <v/>
      </c>
      <c r="M487" s="1470" t="str">
        <f>IF(U483,INDEX(F_ProductBM!Y:Y,MATCH($P487,F_ProductBM!$Q:$Q,0))&gt;=3,"")</f>
        <v/>
      </c>
      <c r="N487" s="1471" t="str">
        <f>IF(V483,INDEX(F_ProductBM!Z:Z,MATCH($P487,F_ProductBM!$Q:$Q,0))&gt;=3,"")</f>
        <v/>
      </c>
      <c r="O487" s="19"/>
      <c r="P487" s="165" t="str">
        <f>EUconst_CNTR_HALinitial&amp;I477</f>
        <v>HALini_</v>
      </c>
      <c r="Q487" s="343"/>
      <c r="R487" s="343"/>
      <c r="S487" s="343"/>
      <c r="T487" s="343"/>
      <c r="U487" s="349"/>
      <c r="V487" s="349"/>
    </row>
    <row r="488" spans="1:22" s="534" customFormat="1" ht="12.75" customHeight="1" x14ac:dyDescent="0.3">
      <c r="A488" s="343"/>
      <c r="B488" s="15"/>
      <c r="C488" s="17"/>
      <c r="D488" s="1386"/>
      <c r="E488" s="1472" t="str">
        <f>Translations!$B$1551</f>
        <v>Kriterium 2: Upphörde inte föregående år?</v>
      </c>
      <c r="F488" s="1479"/>
      <c r="G488" s="1479"/>
      <c r="H488" s="1473"/>
      <c r="I488" s="1479"/>
      <c r="J488" s="1474" t="str">
        <f>IF(R483,IF($K480="",2050,YEAR($K480))&lt;&gt;(J486-1),"")</f>
        <v/>
      </c>
      <c r="K488" s="1475" t="str">
        <f>IF(S483,IF($K480="",2050,YEAR($K480))&lt;&gt;(K486-1),"")</f>
        <v/>
      </c>
      <c r="L488" s="1475" t="str">
        <f>IF(T483,IF($K480="",2050,YEAR($K480))&lt;&gt;(L486-1),"")</f>
        <v/>
      </c>
      <c r="M488" s="1475" t="str">
        <f>IF(U483,IF($K480="",2050,YEAR($K480))&lt;&gt;(M486-1),"")</f>
        <v/>
      </c>
      <c r="N488" s="1476" t="str">
        <f>IF(V483,IF($K480="",2050,YEAR($K480))&lt;&gt;(N486-1),"")</f>
        <v/>
      </c>
      <c r="O488" s="19"/>
      <c r="P488" s="343"/>
      <c r="Q488" s="343"/>
      <c r="R488" s="343"/>
      <c r="S488" s="343"/>
      <c r="T488" s="343"/>
      <c r="U488" s="349"/>
      <c r="V488" s="349"/>
    </row>
    <row r="489" spans="1:22" s="534" customFormat="1" ht="5.15" customHeight="1" x14ac:dyDescent="0.3">
      <c r="A489" s="343"/>
      <c r="B489" s="15"/>
      <c r="C489" s="17"/>
      <c r="D489" s="1386"/>
      <c r="E489" s="17"/>
      <c r="F489" s="17"/>
      <c r="G489" s="17"/>
      <c r="H489" s="17"/>
      <c r="I489" s="17"/>
      <c r="J489" s="17"/>
      <c r="K489" s="17"/>
      <c r="L489" s="17"/>
      <c r="M489" s="17"/>
      <c r="N489" s="1388"/>
      <c r="O489" s="19"/>
      <c r="P489" s="343"/>
      <c r="Q489" s="343"/>
      <c r="R489" s="343"/>
      <c r="S489" s="343"/>
      <c r="T489" s="343"/>
      <c r="U489" s="349"/>
      <c r="V489" s="349"/>
    </row>
    <row r="490" spans="1:22" s="534" customFormat="1" ht="12.75" customHeight="1" x14ac:dyDescent="0.3">
      <c r="A490" s="343"/>
      <c r="B490" s="15"/>
      <c r="C490" s="17"/>
      <c r="D490" s="1386"/>
      <c r="E490" s="39" t="str">
        <f>Translations!$B$1564</f>
        <v>Ändringar: Ingen ändring (bas)</v>
      </c>
      <c r="F490" s="15"/>
      <c r="G490" s="15"/>
      <c r="H490" s="30" t="str">
        <f>EUconst_Unit</f>
        <v>Enhet</v>
      </c>
      <c r="I490" s="1157"/>
      <c r="J490" s="987">
        <f>J$2596</f>
        <v>2021</v>
      </c>
      <c r="K490" s="320">
        <f>K$2596</f>
        <v>2022</v>
      </c>
      <c r="L490" s="320">
        <f>L$2596</f>
        <v>2023</v>
      </c>
      <c r="M490" s="320">
        <f>M$2596</f>
        <v>2024</v>
      </c>
      <c r="N490" s="1387">
        <f>N$2596</f>
        <v>2025</v>
      </c>
      <c r="O490" s="19"/>
      <c r="P490" s="343"/>
      <c r="Q490" s="343"/>
      <c r="R490" s="343"/>
      <c r="S490" s="343"/>
      <c r="T490" s="343"/>
      <c r="U490" s="349"/>
      <c r="V490" s="349"/>
    </row>
    <row r="491" spans="1:22" s="534" customFormat="1" ht="12.75" hidden="1" customHeight="1" x14ac:dyDescent="0.3">
      <c r="A491" s="343" t="str">
        <f t="shared" ref="A491:A496" si="31">IF(P491="","ausblenden","")</f>
        <v>ausblenden</v>
      </c>
      <c r="B491" s="15"/>
      <c r="C491" s="17"/>
      <c r="D491" s="1386"/>
      <c r="E491" s="514" t="s">
        <v>1918</v>
      </c>
      <c r="F491" s="514"/>
      <c r="G491" s="514"/>
      <c r="H491" s="917" t="str">
        <f>F483</f>
        <v>ton</v>
      </c>
      <c r="I491" s="514"/>
      <c r="J491" s="1152" t="str">
        <f>IF(T592&gt;=$H$2595,S586,I586)</f>
        <v/>
      </c>
      <c r="K491" s="943" t="str">
        <f t="shared" ref="K491:N496" si="32">J586</f>
        <v/>
      </c>
      <c r="L491" s="943" t="str">
        <f t="shared" si="32"/>
        <v/>
      </c>
      <c r="M491" s="943" t="str">
        <f t="shared" si="32"/>
        <v/>
      </c>
      <c r="N491" s="1389" t="str">
        <f t="shared" si="32"/>
        <v/>
      </c>
      <c r="O491" s="19"/>
      <c r="P491" s="343"/>
      <c r="Q491" s="343"/>
      <c r="R491" s="343"/>
      <c r="S491" s="343"/>
      <c r="T491" s="343"/>
      <c r="U491" s="349"/>
      <c r="V491" s="349"/>
    </row>
    <row r="492" spans="1:22" s="534" customFormat="1" ht="12.75" hidden="1" customHeight="1" x14ac:dyDescent="0.3">
      <c r="A492" s="343" t="str">
        <f t="shared" si="31"/>
        <v>ausblenden</v>
      </c>
      <c r="B492" s="15"/>
      <c r="C492" s="17"/>
      <c r="D492" s="1386"/>
      <c r="E492" s="944" t="s">
        <v>339</v>
      </c>
      <c r="F492" s="944"/>
      <c r="G492" s="944"/>
      <c r="H492" s="954" t="str">
        <f>EUconst_EUA</f>
        <v>EUA</v>
      </c>
      <c r="I492" s="945"/>
      <c r="J492" s="1209" t="str">
        <f>IF(T592&gt;=$H$2595,S587,I587)</f>
        <v/>
      </c>
      <c r="K492" s="1210" t="str">
        <f t="shared" si="32"/>
        <v/>
      </c>
      <c r="L492" s="1210" t="str">
        <f t="shared" si="32"/>
        <v/>
      </c>
      <c r="M492" s="1210" t="str">
        <f t="shared" si="32"/>
        <v/>
      </c>
      <c r="N492" s="1390" t="str">
        <f t="shared" si="32"/>
        <v/>
      </c>
      <c r="O492" s="19"/>
      <c r="P492" s="343"/>
      <c r="Q492" s="343"/>
      <c r="R492" s="343"/>
      <c r="S492" s="343"/>
      <c r="T492" s="343"/>
      <c r="U492" s="349"/>
      <c r="V492" s="349"/>
    </row>
    <row r="493" spans="1:22" s="534" customFormat="1" ht="12.75" hidden="1" customHeight="1" x14ac:dyDescent="0.3">
      <c r="A493" s="343" t="str">
        <f t="shared" si="31"/>
        <v>ausblenden</v>
      </c>
      <c r="B493" s="15"/>
      <c r="C493" s="17"/>
      <c r="D493" s="1386"/>
      <c r="E493" s="947" t="s">
        <v>1560</v>
      </c>
      <c r="F493" s="947"/>
      <c r="G493" s="947"/>
      <c r="H493" s="955" t="str">
        <f>EUconst_EUA</f>
        <v>EUA</v>
      </c>
      <c r="I493" s="948"/>
      <c r="J493" s="1165" t="str">
        <f>IF(T592&gt;=$H$2595,S588,I588)</f>
        <v/>
      </c>
      <c r="K493" s="975" t="str">
        <f t="shared" si="32"/>
        <v/>
      </c>
      <c r="L493" s="975" t="str">
        <f t="shared" si="32"/>
        <v/>
      </c>
      <c r="M493" s="975" t="str">
        <f t="shared" si="32"/>
        <v/>
      </c>
      <c r="N493" s="1391" t="str">
        <f t="shared" si="32"/>
        <v/>
      </c>
      <c r="O493" s="19"/>
      <c r="P493" s="343"/>
      <c r="Q493" s="343"/>
      <c r="R493" s="343"/>
      <c r="S493" s="343"/>
      <c r="T493" s="343"/>
      <c r="U493" s="349"/>
      <c r="V493" s="349"/>
    </row>
    <row r="494" spans="1:22" s="534" customFormat="1" ht="12.75" hidden="1" customHeight="1" x14ac:dyDescent="0.3">
      <c r="A494" s="343" t="str">
        <f t="shared" si="31"/>
        <v>ausblenden</v>
      </c>
      <c r="B494" s="15"/>
      <c r="C494" s="17"/>
      <c r="D494" s="1386"/>
      <c r="E494" s="947" t="s">
        <v>1527</v>
      </c>
      <c r="F494" s="947"/>
      <c r="G494" s="947"/>
      <c r="H494" s="955" t="str">
        <f>EUconst_EUA</f>
        <v>EUA</v>
      </c>
      <c r="I494" s="948"/>
      <c r="J494" s="1165" t="str">
        <f>IF(T592&gt;=$H$2595,S589,I589)</f>
        <v/>
      </c>
      <c r="K494" s="975" t="str">
        <f t="shared" si="32"/>
        <v/>
      </c>
      <c r="L494" s="975" t="str">
        <f t="shared" si="32"/>
        <v/>
      </c>
      <c r="M494" s="975" t="str">
        <f t="shared" si="32"/>
        <v/>
      </c>
      <c r="N494" s="1391" t="str">
        <f t="shared" si="32"/>
        <v/>
      </c>
      <c r="O494" s="19"/>
      <c r="P494" s="343"/>
      <c r="Q494" s="343"/>
      <c r="R494" s="343"/>
      <c r="S494" s="343"/>
      <c r="T494" s="343"/>
      <c r="U494" s="349"/>
      <c r="V494" s="349"/>
    </row>
    <row r="495" spans="1:22" s="534" customFormat="1" ht="12.75" hidden="1" customHeight="1" x14ac:dyDescent="0.3">
      <c r="A495" s="343" t="str">
        <f t="shared" si="31"/>
        <v>ausblenden</v>
      </c>
      <c r="B495" s="15"/>
      <c r="C495" s="17"/>
      <c r="D495" s="1386"/>
      <c r="E495" s="947" t="s">
        <v>1526</v>
      </c>
      <c r="F495" s="947"/>
      <c r="G495" s="947"/>
      <c r="H495" s="956" t="s">
        <v>1112</v>
      </c>
      <c r="I495" s="948"/>
      <c r="J495" s="1211" t="str">
        <f>IF(T592&gt;=$H$2595,S590,I590)</f>
        <v/>
      </c>
      <c r="K495" s="1212" t="str">
        <f t="shared" si="32"/>
        <v/>
      </c>
      <c r="L495" s="1212" t="str">
        <f t="shared" si="32"/>
        <v/>
      </c>
      <c r="M495" s="1212" t="str">
        <f t="shared" si="32"/>
        <v/>
      </c>
      <c r="N495" s="1392" t="str">
        <f t="shared" si="32"/>
        <v/>
      </c>
      <c r="O495" s="19"/>
      <c r="P495" s="343"/>
      <c r="Q495" s="343"/>
      <c r="R495" s="343"/>
      <c r="S495" s="343"/>
      <c r="T495" s="343"/>
      <c r="U495" s="349"/>
      <c r="V495" s="349"/>
    </row>
    <row r="496" spans="1:22" s="534" customFormat="1" ht="12.75" hidden="1" customHeight="1" x14ac:dyDescent="0.3">
      <c r="A496" s="343" t="str">
        <f t="shared" si="31"/>
        <v>ausblenden</v>
      </c>
      <c r="B496" s="15"/>
      <c r="C496" s="17"/>
      <c r="D496" s="1386"/>
      <c r="E496" s="950" t="s">
        <v>1528</v>
      </c>
      <c r="F496" s="950"/>
      <c r="G496" s="950"/>
      <c r="H496" s="957" t="s">
        <v>1112</v>
      </c>
      <c r="I496" s="951"/>
      <c r="J496" s="1213" t="str">
        <f>IF(T592&gt;=$H$2595,S591,I591)</f>
        <v/>
      </c>
      <c r="K496" s="1214" t="str">
        <f t="shared" si="32"/>
        <v/>
      </c>
      <c r="L496" s="1214" t="str">
        <f t="shared" si="32"/>
        <v/>
      </c>
      <c r="M496" s="1214" t="str">
        <f t="shared" si="32"/>
        <v/>
      </c>
      <c r="N496" s="1393" t="str">
        <f t="shared" si="32"/>
        <v/>
      </c>
      <c r="O496" s="19"/>
      <c r="P496" s="343"/>
      <c r="Q496" s="343"/>
      <c r="R496" s="343"/>
      <c r="S496" s="343"/>
      <c r="T496" s="343"/>
      <c r="U496" s="349"/>
      <c r="V496" s="349"/>
    </row>
    <row r="497" spans="1:22" s="534" customFormat="1" ht="12.75" customHeight="1" x14ac:dyDescent="0.3">
      <c r="A497" s="343"/>
      <c r="B497" s="15"/>
      <c r="C497" s="17"/>
      <c r="D497" s="1386"/>
      <c r="E497" s="514" t="str">
        <f>Translations!$B$1565</f>
        <v>Preliminärt tilldelningsvärde</v>
      </c>
      <c r="F497" s="514"/>
      <c r="G497" s="514"/>
      <c r="H497" s="129" t="str">
        <f>EUconst_EUA</f>
        <v>EUA</v>
      </c>
      <c r="I497" s="1151"/>
      <c r="J497" s="1131" t="str">
        <f>IF($I477="","",MAX(0,ROUND((SUM($M480)*SUM(J491)*SUM(J495)*SUM(J496)-SUM(J492)-SUM(J493)+SUM(J494))*IF($H480=TRUE,1,J$2517),0)))</f>
        <v/>
      </c>
      <c r="K497" s="421" t="str">
        <f>IF($I477="","",MAX(0,ROUND((SUM($M480)*SUM(K491)*SUM(K495)*SUM(K496)-SUM(K492)-SUM(K493)+SUM(K494))*IF($H480=TRUE,1,K$2517),0)))</f>
        <v/>
      </c>
      <c r="L497" s="421" t="str">
        <f>IF($I477="","",MAX(0,ROUND((SUM($M480)*SUM(L491)*SUM(L495)*SUM(L496)-SUM(L492)-SUM(L493)+SUM(L494))*IF($H480=TRUE,1,L$2517),0)))</f>
        <v/>
      </c>
      <c r="M497" s="421" t="str">
        <f>IF($I477="","",MAX(0,ROUND((SUM($M480)*SUM(M491)*SUM(M495)*SUM(M496)-SUM(M492)-SUM(M493)+SUM(M494))*IF($H480=TRUE,1,M$2517),0)))</f>
        <v/>
      </c>
      <c r="N497" s="967" t="str">
        <f>IF($I477="","",MAX(0,ROUND((SUM($M480+IF(L480=52,0.415,0))*SUM(N491)*SUM(N495)*SUM(N496)-SUM(N492)-SUM(N493)+SUM(N494))*IF($H480=TRUE,1,N$2517),0)))</f>
        <v/>
      </c>
      <c r="O497" s="19"/>
      <c r="P497" s="343"/>
      <c r="Q497" s="343"/>
      <c r="R497" s="343"/>
      <c r="S497" s="343"/>
      <c r="T497" s="343"/>
      <c r="U497" s="349"/>
      <c r="V497" s="349"/>
    </row>
    <row r="498" spans="1:22" s="534" customFormat="1" ht="5.15" customHeight="1" x14ac:dyDescent="0.3">
      <c r="A498" s="343"/>
      <c r="B498" s="15"/>
      <c r="C498" s="17"/>
      <c r="D498" s="1386"/>
      <c r="E498" s="17"/>
      <c r="F498" s="17"/>
      <c r="G498" s="17"/>
      <c r="H498" s="17"/>
      <c r="I498" s="17"/>
      <c r="J498" s="17"/>
      <c r="K498" s="17"/>
      <c r="L498" s="17"/>
      <c r="M498" s="17"/>
      <c r="N498" s="1388"/>
      <c r="O498" s="19"/>
      <c r="P498" s="343"/>
      <c r="Q498" s="343"/>
      <c r="R498" s="343"/>
      <c r="S498" s="343"/>
      <c r="T498" s="343"/>
      <c r="U498" s="349"/>
      <c r="V498" s="349"/>
    </row>
    <row r="499" spans="1:22" s="534" customFormat="1" ht="12.75" customHeight="1" x14ac:dyDescent="0.3">
      <c r="A499" s="343"/>
      <c r="B499" s="15"/>
      <c r="C499" s="17"/>
      <c r="D499" s="1386"/>
      <c r="E499" s="42" t="str">
        <f>Translations!$B$1566</f>
        <v>Ändringar: Verksamhetsnivå</v>
      </c>
      <c r="F499" s="188"/>
      <c r="G499" s="188"/>
      <c r="H499" s="30" t="str">
        <f>EUconst_Unit</f>
        <v>Enhet</v>
      </c>
      <c r="I499" s="1157"/>
      <c r="J499" s="1065">
        <f>J$2596</f>
        <v>2021</v>
      </c>
      <c r="K499" s="350">
        <f>K$2596</f>
        <v>2022</v>
      </c>
      <c r="L499" s="350">
        <f>L$2596</f>
        <v>2023</v>
      </c>
      <c r="M499" s="350">
        <f>M$2596</f>
        <v>2024</v>
      </c>
      <c r="N499" s="966">
        <f>N$2596</f>
        <v>2025</v>
      </c>
      <c r="O499" s="19"/>
      <c r="P499" s="343"/>
      <c r="Q499" s="343"/>
      <c r="R499" s="343"/>
      <c r="S499" s="343"/>
      <c r="T499" s="343"/>
      <c r="U499" s="349"/>
      <c r="V499" s="349"/>
    </row>
    <row r="500" spans="1:22" s="534" customFormat="1" ht="12.75" customHeight="1" x14ac:dyDescent="0.3">
      <c r="A500" s="343"/>
      <c r="B500" s="15"/>
      <c r="C500" s="17"/>
      <c r="D500" s="1386"/>
      <c r="E500" s="944" t="str">
        <f>Translations!$B$1482</f>
        <v>Genomsnittligt årligt värde</v>
      </c>
      <c r="F500" s="944"/>
      <c r="G500" s="944"/>
      <c r="H500" s="1443" t="str">
        <f>H491</f>
        <v>ton</v>
      </c>
      <c r="I500" s="1367"/>
      <c r="J500" s="1161" t="str">
        <f>INDEX(F_ProductBM!J:J,MATCH($P500,F_ProductBM!$Q:$Q,0))</f>
        <v/>
      </c>
      <c r="K500" s="946" t="str">
        <f>INDEX(F_ProductBM!K:K,MATCH($P500,F_ProductBM!$Q:$Q,0))</f>
        <v/>
      </c>
      <c r="L500" s="946" t="str">
        <f>INDEX(F_ProductBM!L:L,MATCH($P500,F_ProductBM!$Q:$Q,0))</f>
        <v/>
      </c>
      <c r="M500" s="946" t="str">
        <f>INDEX(F_ProductBM!M:M,MATCH($P500,F_ProductBM!$Q:$Q,0))</f>
        <v/>
      </c>
      <c r="N500" s="1046" t="str">
        <f>INDEX(F_ProductBM!N:N,MATCH($P500,F_ProductBM!$Q:$Q,0))</f>
        <v/>
      </c>
      <c r="O500" s="19"/>
      <c r="P500" s="165" t="str">
        <f>EUconst_CNTR_HALinitial&amp;I477</f>
        <v>HALini_</v>
      </c>
      <c r="Q500" s="343"/>
      <c r="R500" s="343"/>
      <c r="S500" s="343"/>
      <c r="T500" s="343"/>
      <c r="U500" s="349"/>
      <c r="V500" s="349"/>
    </row>
    <row r="501" spans="1:22" s="534" customFormat="1" ht="12.75" customHeight="1" x14ac:dyDescent="0.3">
      <c r="A501" s="343"/>
      <c r="B501" s="15"/>
      <c r="C501" s="17"/>
      <c r="D501" s="1386"/>
      <c r="E501" s="947" t="str">
        <f>Translations!$B$1567</f>
        <v>Ändring jämfört med historik verksamhetsnivå</v>
      </c>
      <c r="F501" s="947"/>
      <c r="G501" s="947"/>
      <c r="H501" s="1442" t="s">
        <v>1112</v>
      </c>
      <c r="I501" s="1371"/>
      <c r="J501" s="1415" t="str">
        <f>INDEX(F_ProductBM!J:J,MATCH($P501,F_ProductBM!$Q:$Q,0))</f>
        <v/>
      </c>
      <c r="K501" s="1416" t="str">
        <f>INDEX(F_ProductBM!K:K,MATCH($P501,F_ProductBM!$Q:$Q,0))</f>
        <v/>
      </c>
      <c r="L501" s="1416" t="str">
        <f>INDEX(F_ProductBM!L:L,MATCH($P501,F_ProductBM!$Q:$Q,0))</f>
        <v/>
      </c>
      <c r="M501" s="1416" t="str">
        <f>INDEX(F_ProductBM!M:M,MATCH($P501,F_ProductBM!$Q:$Q,0))</f>
        <v/>
      </c>
      <c r="N501" s="1417" t="str">
        <f>INDEX(F_ProductBM!N:N,MATCH($P501,F_ProductBM!$Q:$Q,0))</f>
        <v/>
      </c>
      <c r="O501" s="19"/>
      <c r="P501" s="165" t="str">
        <f>EUconst_CNTR_RelThreshold &amp; P503</f>
        <v>RelThresh_HALprelim_</v>
      </c>
      <c r="Q501" s="343"/>
      <c r="R501" s="343"/>
      <c r="S501" s="343"/>
      <c r="T501" s="343"/>
      <c r="U501" s="349"/>
      <c r="V501" s="349"/>
    </row>
    <row r="502" spans="1:22" s="534" customFormat="1" ht="12.75" customHeight="1" x14ac:dyDescent="0.3">
      <c r="A502" s="343"/>
      <c r="B502" s="15"/>
      <c r="C502" s="17"/>
      <c r="D502" s="1386"/>
      <c r="E502" s="1418" t="str">
        <f>Translations!$B$1553</f>
        <v>Kriterium 3a: Har relativa tröskelvärden överskridits?</v>
      </c>
      <c r="F502" s="1418"/>
      <c r="G502" s="1418"/>
      <c r="H502" s="1444" t="s">
        <v>1112</v>
      </c>
      <c r="I502" s="1423"/>
      <c r="J502" s="1420" t="str">
        <f>INDEX(F_ProductBM!V:V,MATCH($P502,F_ProductBM!$Q:$Q,0)+1)</f>
        <v/>
      </c>
      <c r="K502" s="1421" t="str">
        <f>INDEX(F_ProductBM!W:W,MATCH($P502,F_ProductBM!$Q:$Q,0)+1)</f>
        <v/>
      </c>
      <c r="L502" s="1421" t="str">
        <f>INDEX(F_ProductBM!X:X,MATCH($P502,F_ProductBM!$Q:$Q,0)+1)</f>
        <v/>
      </c>
      <c r="M502" s="1421" t="str">
        <f>INDEX(F_ProductBM!Y:Y,MATCH($P502,F_ProductBM!$Q:$Q,0)+1)</f>
        <v/>
      </c>
      <c r="N502" s="1422" t="str">
        <f>INDEX(F_ProductBM!Z:Z,MATCH($P502,F_ProductBM!$Q:$Q,0)+1)</f>
        <v/>
      </c>
      <c r="O502" s="19"/>
      <c r="P502" s="165" t="str">
        <f>P501</f>
        <v>RelThresh_HALprelim_</v>
      </c>
      <c r="Q502" s="343"/>
      <c r="R502" s="343"/>
      <c r="S502" s="343"/>
      <c r="T502" s="343"/>
      <c r="U502" s="349"/>
      <c r="V502" s="349"/>
    </row>
    <row r="503" spans="1:22" s="534" customFormat="1" ht="12.75" customHeight="1" x14ac:dyDescent="0.3">
      <c r="A503" s="343" t="str">
        <f t="shared" ref="A503:A508" si="33">IF(P503="","ausblenden","")</f>
        <v/>
      </c>
      <c r="B503" s="15"/>
      <c r="C503" s="17"/>
      <c r="D503" s="1386"/>
      <c r="E503" s="950" t="str">
        <f>Translations!$B$1568</f>
        <v>Preliminärt värde</v>
      </c>
      <c r="F503" s="950"/>
      <c r="G503" s="950"/>
      <c r="H503" s="1372" t="str">
        <f>F483</f>
        <v>ton</v>
      </c>
      <c r="I503" s="950"/>
      <c r="J503" s="1373" t="str">
        <f>INDEX(F_ProductBM!J:J,MATCH($P503,F_ProductBM!$Q:$Q,0))</f>
        <v/>
      </c>
      <c r="K503" s="1374" t="str">
        <f>INDEX(F_ProductBM!K:K,MATCH($P503,F_ProductBM!$Q:$Q,0))</f>
        <v/>
      </c>
      <c r="L503" s="1374" t="str">
        <f>INDEX(F_ProductBM!L:L,MATCH($P503,F_ProductBM!$Q:$Q,0))</f>
        <v/>
      </c>
      <c r="M503" s="1374" t="str">
        <f>INDEX(F_ProductBM!M:M,MATCH($P503,F_ProductBM!$Q:$Q,0))</f>
        <v/>
      </c>
      <c r="N503" s="1395" t="str">
        <f>INDEX(F_ProductBM!N:N,MATCH($P503,F_ProductBM!$Q:$Q,0))</f>
        <v/>
      </c>
      <c r="O503" s="19"/>
      <c r="P503" s="165" t="str">
        <f>EUconst_CNTR_HALprelim&amp;I477</f>
        <v>HALprelim_</v>
      </c>
      <c r="Q503" s="343"/>
      <c r="R503" s="343"/>
      <c r="S503" s="343"/>
      <c r="T503" s="343"/>
      <c r="U503" s="349"/>
      <c r="V503" s="349"/>
    </row>
    <row r="504" spans="1:22" s="534" customFormat="1" ht="12.75" hidden="1" customHeight="1" x14ac:dyDescent="0.3">
      <c r="A504" s="343" t="str">
        <f t="shared" si="33"/>
        <v>ausblenden</v>
      </c>
      <c r="B504" s="15"/>
      <c r="C504" s="17"/>
      <c r="D504" s="1386"/>
      <c r="E504" s="944" t="s">
        <v>339</v>
      </c>
      <c r="F504" s="944"/>
      <c r="G504" s="944"/>
      <c r="H504" s="954" t="str">
        <f>EUconst_EUA</f>
        <v>EUA</v>
      </c>
      <c r="I504" s="945"/>
      <c r="J504" s="1209" t="str">
        <f>J492</f>
        <v/>
      </c>
      <c r="K504" s="1210" t="str">
        <f t="shared" ref="K504:N508" si="34">J587</f>
        <v/>
      </c>
      <c r="L504" s="1210" t="str">
        <f t="shared" si="34"/>
        <v/>
      </c>
      <c r="M504" s="1210" t="str">
        <f t="shared" si="34"/>
        <v/>
      </c>
      <c r="N504" s="1390" t="str">
        <f t="shared" si="34"/>
        <v/>
      </c>
      <c r="O504" s="19"/>
      <c r="P504" s="343"/>
      <c r="Q504" s="343"/>
      <c r="R504" s="343"/>
      <c r="S504" s="343"/>
      <c r="T504" s="343"/>
      <c r="U504" s="349"/>
      <c r="V504" s="349"/>
    </row>
    <row r="505" spans="1:22" s="534" customFormat="1" ht="12.75" hidden="1" customHeight="1" x14ac:dyDescent="0.3">
      <c r="A505" s="343" t="str">
        <f t="shared" si="33"/>
        <v>ausblenden</v>
      </c>
      <c r="B505" s="15"/>
      <c r="C505" s="17"/>
      <c r="D505" s="1386"/>
      <c r="E505" s="947" t="s">
        <v>1560</v>
      </c>
      <c r="F505" s="947"/>
      <c r="G505" s="947"/>
      <c r="H505" s="955" t="str">
        <f>EUconst_EUA</f>
        <v>EUA</v>
      </c>
      <c r="I505" s="948"/>
      <c r="J505" s="1165" t="str">
        <f>J493</f>
        <v/>
      </c>
      <c r="K505" s="975" t="str">
        <f t="shared" si="34"/>
        <v/>
      </c>
      <c r="L505" s="975" t="str">
        <f t="shared" si="34"/>
        <v/>
      </c>
      <c r="M505" s="975" t="str">
        <f t="shared" si="34"/>
        <v/>
      </c>
      <c r="N505" s="1391" t="str">
        <f t="shared" si="34"/>
        <v/>
      </c>
      <c r="O505" s="19"/>
      <c r="P505" s="343"/>
      <c r="Q505" s="343"/>
      <c r="R505" s="343"/>
      <c r="S505" s="343"/>
      <c r="T505" s="343"/>
      <c r="U505" s="349"/>
      <c r="V505" s="349"/>
    </row>
    <row r="506" spans="1:22" s="534" customFormat="1" ht="12.75" hidden="1" customHeight="1" x14ac:dyDescent="0.3">
      <c r="A506" s="343" t="str">
        <f t="shared" si="33"/>
        <v>ausblenden</v>
      </c>
      <c r="B506" s="15"/>
      <c r="C506" s="17"/>
      <c r="D506" s="1386"/>
      <c r="E506" s="947" t="s">
        <v>1527</v>
      </c>
      <c r="F506" s="947"/>
      <c r="G506" s="947"/>
      <c r="H506" s="955" t="str">
        <f>EUconst_EUA</f>
        <v>EUA</v>
      </c>
      <c r="I506" s="948"/>
      <c r="J506" s="1165" t="str">
        <f>J494</f>
        <v/>
      </c>
      <c r="K506" s="975" t="str">
        <f t="shared" si="34"/>
        <v/>
      </c>
      <c r="L506" s="975" t="str">
        <f t="shared" si="34"/>
        <v/>
      </c>
      <c r="M506" s="975" t="str">
        <f t="shared" si="34"/>
        <v/>
      </c>
      <c r="N506" s="1391" t="str">
        <f t="shared" si="34"/>
        <v/>
      </c>
      <c r="O506" s="19"/>
      <c r="P506" s="343"/>
      <c r="Q506" s="343"/>
      <c r="R506" s="343"/>
      <c r="S506" s="343"/>
      <c r="T506" s="343"/>
      <c r="U506" s="349"/>
      <c r="V506" s="349"/>
    </row>
    <row r="507" spans="1:22" s="534" customFormat="1" ht="12.75" hidden="1" customHeight="1" x14ac:dyDescent="0.3">
      <c r="A507" s="343" t="str">
        <f t="shared" si="33"/>
        <v>ausblenden</v>
      </c>
      <c r="B507" s="15"/>
      <c r="C507" s="17"/>
      <c r="D507" s="1386"/>
      <c r="E507" s="947" t="s">
        <v>1526</v>
      </c>
      <c r="F507" s="947"/>
      <c r="G507" s="947"/>
      <c r="H507" s="956" t="s">
        <v>1112</v>
      </c>
      <c r="I507" s="948"/>
      <c r="J507" s="1211" t="str">
        <f>J495</f>
        <v/>
      </c>
      <c r="K507" s="1212" t="str">
        <f t="shared" si="34"/>
        <v/>
      </c>
      <c r="L507" s="1212" t="str">
        <f t="shared" si="34"/>
        <v/>
      </c>
      <c r="M507" s="1212" t="str">
        <f t="shared" si="34"/>
        <v/>
      </c>
      <c r="N507" s="1392" t="str">
        <f t="shared" si="34"/>
        <v/>
      </c>
      <c r="O507" s="19"/>
      <c r="P507" s="343"/>
      <c r="Q507" s="343"/>
      <c r="R507" s="343"/>
      <c r="S507" s="343"/>
      <c r="T507" s="343"/>
      <c r="U507" s="349"/>
      <c r="V507" s="349"/>
    </row>
    <row r="508" spans="1:22" s="534" customFormat="1" ht="12.75" hidden="1" customHeight="1" x14ac:dyDescent="0.3">
      <c r="A508" s="343" t="str">
        <f t="shared" si="33"/>
        <v>ausblenden</v>
      </c>
      <c r="B508" s="15"/>
      <c r="C508" s="17"/>
      <c r="D508" s="1386"/>
      <c r="E508" s="950" t="s">
        <v>1528</v>
      </c>
      <c r="F508" s="950"/>
      <c r="G508" s="950"/>
      <c r="H508" s="957" t="s">
        <v>1112</v>
      </c>
      <c r="I508" s="951"/>
      <c r="J508" s="1213" t="str">
        <f>J496</f>
        <v/>
      </c>
      <c r="K508" s="1214" t="str">
        <f t="shared" si="34"/>
        <v/>
      </c>
      <c r="L508" s="1214" t="str">
        <f t="shared" si="34"/>
        <v/>
      </c>
      <c r="M508" s="1214" t="str">
        <f t="shared" si="34"/>
        <v/>
      </c>
      <c r="N508" s="1393" t="str">
        <f t="shared" si="34"/>
        <v/>
      </c>
      <c r="O508" s="19"/>
      <c r="P508" s="343"/>
      <c r="Q508" s="343"/>
      <c r="R508" s="343"/>
      <c r="S508" s="343"/>
      <c r="T508" s="343"/>
      <c r="U508" s="349"/>
      <c r="V508" s="349"/>
    </row>
    <row r="509" spans="1:22" s="534" customFormat="1" ht="12.75" customHeight="1" x14ac:dyDescent="0.3">
      <c r="A509" s="343"/>
      <c r="B509" s="15"/>
      <c r="C509" s="17"/>
      <c r="D509" s="1386"/>
      <c r="E509" s="514" t="str">
        <f>Translations!$B$1565</f>
        <v>Preliminärt tilldelningsvärde</v>
      </c>
      <c r="F509" s="514"/>
      <c r="G509" s="514"/>
      <c r="H509" s="129" t="str">
        <f>EUconst_EUA</f>
        <v>EUA</v>
      </c>
      <c r="I509" s="1151"/>
      <c r="J509" s="1131" t="str">
        <f>IF($I477="","",MAX(0,ROUND((SUM($M480)*SUM(J503)*SUM(J507)*SUM(J508)-SUM(J504)-SUM(J505)+SUM(J506))*IF($H480=TRUE,1,J$2517),0)))</f>
        <v/>
      </c>
      <c r="K509" s="421" t="str">
        <f>IF($I477="","",MAX(0,ROUND((SUM($M480)*SUM(K503)*SUM(K507)*SUM(K508)-SUM(K504)-SUM(K505)+SUM(K506))*IF($H480=TRUE,1,K$2517),0)))</f>
        <v/>
      </c>
      <c r="L509" s="421" t="str">
        <f>IF($I477="","",MAX(0,ROUND((SUM($M480)*SUM(L503)*SUM(L507)*SUM(L508)-SUM(L504)-SUM(L505)+SUM(L506))*IF($H480=TRUE,1,L$2517),0)))</f>
        <v/>
      </c>
      <c r="M509" s="421" t="str">
        <f>IF($I477="","",MAX(0,ROUND((SUM($M480)*SUM(M503)*SUM(M507)*SUM(M508)-SUM(M504)-SUM(M505)+SUM(M506))*IF($H480=TRUE,1,M$2517),0)))</f>
        <v/>
      </c>
      <c r="N509" s="967" t="str">
        <f>IF($I477="","",MAX(0,ROUND((SUM($M480+IF(L480=52,0.415,0))*SUM(N503)*SUM(N507)*SUM(N508)-SUM(N504)-SUM(N505)+SUM(N506))*IF($H480=TRUE,1,N$2517),0)))</f>
        <v/>
      </c>
      <c r="O509" s="19"/>
      <c r="P509" s="343"/>
      <c r="Q509" s="343"/>
      <c r="R509" s="343"/>
      <c r="S509" s="343"/>
      <c r="T509" s="343"/>
      <c r="U509" s="349"/>
      <c r="V509" s="349"/>
    </row>
    <row r="510" spans="1:22" s="534" customFormat="1" ht="12.75" customHeight="1" x14ac:dyDescent="0.3">
      <c r="A510" s="343"/>
      <c r="B510" s="15"/>
      <c r="C510" s="17"/>
      <c r="D510" s="1386"/>
      <c r="E510" s="514" t="str">
        <f>Translations!$B$1569</f>
        <v>Skillnad i tilldelning</v>
      </c>
      <c r="F510" s="514"/>
      <c r="G510" s="514"/>
      <c r="H510" s="129" t="str">
        <f>EUconst_EUA</f>
        <v>EUA</v>
      </c>
      <c r="I510" s="1151"/>
      <c r="J510" s="1131" t="str">
        <f>IF($I477="","",ABS(SUM(J509)-SUM(J497)))</f>
        <v/>
      </c>
      <c r="K510" s="421" t="str">
        <f>IF($I477="","",ABS(SUM(K509)-SUM(K497)))</f>
        <v/>
      </c>
      <c r="L510" s="421" t="str">
        <f>IF($I477="","",ABS(SUM(L509)-SUM(L497)))</f>
        <v/>
      </c>
      <c r="M510" s="421" t="str">
        <f>IF($I477="","",ABS(SUM(M509)-SUM(M497)))</f>
        <v/>
      </c>
      <c r="N510" s="967" t="str">
        <f>IF($I477="","",ABS(SUM(N509)-SUM(N497)))</f>
        <v/>
      </c>
      <c r="O510" s="19"/>
      <c r="P510" s="343"/>
      <c r="Q510" s="343"/>
      <c r="R510" s="343"/>
      <c r="S510" s="343"/>
      <c r="T510" s="343"/>
      <c r="U510" s="349"/>
      <c r="V510" s="349"/>
    </row>
    <row r="511" spans="1:22" s="534" customFormat="1" ht="12.75" customHeight="1" x14ac:dyDescent="0.3">
      <c r="A511" s="343"/>
      <c r="B511" s="15"/>
      <c r="C511" s="17"/>
      <c r="D511" s="1386"/>
      <c r="E511" s="1419" t="str">
        <f>Translations!$B$1555</f>
        <v>Kriterium 4a: Är skillnaden minst 100 utsläppsrätter?</v>
      </c>
      <c r="F511" s="1419"/>
      <c r="G511" s="1419"/>
      <c r="H511" s="1424" t="s">
        <v>1112</v>
      </c>
      <c r="I511" s="1425"/>
      <c r="J511" s="1426" t="str">
        <f>IF($I477="","",J510&gt;=100)</f>
        <v/>
      </c>
      <c r="K511" s="1427" t="str">
        <f>IF($I477="","",K510&gt;=100)</f>
        <v/>
      </c>
      <c r="L511" s="1427" t="str">
        <f>IF($I477="","",L510&gt;=100)</f>
        <v/>
      </c>
      <c r="M511" s="1427" t="str">
        <f>IF($I477="","",M510&gt;=100)</f>
        <v/>
      </c>
      <c r="N511" s="1428" t="str">
        <f>IF($I477="","",N510&gt;=100)</f>
        <v/>
      </c>
      <c r="O511" s="19"/>
      <c r="P511" s="165" t="str">
        <f>EUconst_CNTR_100EUA_ActivityLevel&amp;I477</f>
        <v>EUA100AL_</v>
      </c>
      <c r="Q511" s="343"/>
      <c r="R511" s="343"/>
      <c r="S511" s="343"/>
      <c r="T511" s="343"/>
      <c r="U511" s="349"/>
      <c r="V511" s="349"/>
    </row>
    <row r="512" spans="1:22" s="534" customFormat="1" ht="5.15" customHeight="1" x14ac:dyDescent="0.3">
      <c r="A512" s="343"/>
      <c r="B512" s="15"/>
      <c r="C512" s="17"/>
      <c r="D512" s="1386"/>
      <c r="E512" s="15"/>
      <c r="F512" s="15"/>
      <c r="G512" s="15"/>
      <c r="H512" s="15"/>
      <c r="I512" s="941"/>
      <c r="J512" s="15"/>
      <c r="K512" s="15"/>
      <c r="L512" s="15"/>
      <c r="M512" s="15"/>
      <c r="N512" s="968"/>
      <c r="O512" s="19"/>
      <c r="P512" s="343"/>
      <c r="Q512" s="343"/>
      <c r="R512" s="343"/>
      <c r="S512" s="343"/>
      <c r="T512" s="343"/>
      <c r="U512" s="349"/>
      <c r="V512" s="349"/>
    </row>
    <row r="513" spans="1:22" s="534" customFormat="1" ht="12.75" customHeight="1" x14ac:dyDescent="0.3">
      <c r="A513" s="343"/>
      <c r="B513" s="15"/>
      <c r="C513" s="17"/>
      <c r="D513" s="1386"/>
      <c r="E513" s="42" t="str">
        <f>Translations!$B$1570</f>
        <v>Ändringar: Utbytt el</v>
      </c>
      <c r="F513" s="188"/>
      <c r="G513" s="188"/>
      <c r="H513" s="30" t="str">
        <f>EUconst_Unit</f>
        <v>Enhet</v>
      </c>
      <c r="I513" s="1157"/>
      <c r="J513" s="1065">
        <f>J$2596</f>
        <v>2021</v>
      </c>
      <c r="K513" s="350">
        <f>K$2596</f>
        <v>2022</v>
      </c>
      <c r="L513" s="350">
        <f>L$2596</f>
        <v>2023</v>
      </c>
      <c r="M513" s="350">
        <f>M$2596</f>
        <v>2024</v>
      </c>
      <c r="N513" s="966">
        <f>N$2596</f>
        <v>2025</v>
      </c>
      <c r="O513" s="19"/>
      <c r="P513" s="343"/>
      <c r="Q513" s="343"/>
      <c r="R513" s="343"/>
      <c r="S513" s="343"/>
      <c r="T513" s="343"/>
      <c r="U513" s="349"/>
      <c r="V513" s="349"/>
    </row>
    <row r="514" spans="1:22" s="534" customFormat="1" ht="12.75" hidden="1" customHeight="1" x14ac:dyDescent="0.3">
      <c r="A514" s="343" t="str">
        <f>IF(P514="","ausblenden","")</f>
        <v>ausblenden</v>
      </c>
      <c r="B514" s="15"/>
      <c r="C514" s="17"/>
      <c r="D514" s="1386"/>
      <c r="E514" s="514" t="s">
        <v>1918</v>
      </c>
      <c r="F514" s="514"/>
      <c r="G514" s="514"/>
      <c r="H514" s="917" t="str">
        <f>H503</f>
        <v>ton</v>
      </c>
      <c r="I514" s="514"/>
      <c r="J514" s="1152" t="str">
        <f>J491</f>
        <v/>
      </c>
      <c r="K514" s="943" t="str">
        <f t="shared" ref="K514:N517" si="35">J586</f>
        <v/>
      </c>
      <c r="L514" s="943" t="str">
        <f t="shared" si="35"/>
        <v/>
      </c>
      <c r="M514" s="943" t="str">
        <f t="shared" si="35"/>
        <v/>
      </c>
      <c r="N514" s="1389" t="str">
        <f t="shared" si="35"/>
        <v/>
      </c>
      <c r="O514" s="19"/>
      <c r="P514" s="343"/>
      <c r="Q514" s="343"/>
      <c r="R514" s="343"/>
      <c r="S514" s="343"/>
      <c r="T514" s="343"/>
      <c r="U514" s="349"/>
      <c r="V514" s="349"/>
    </row>
    <row r="515" spans="1:22" s="534" customFormat="1" ht="12.75" hidden="1" customHeight="1" x14ac:dyDescent="0.3">
      <c r="A515" s="343" t="str">
        <f>IF(P515="","ausblenden","")</f>
        <v>ausblenden</v>
      </c>
      <c r="B515" s="15"/>
      <c r="C515" s="17"/>
      <c r="D515" s="1386"/>
      <c r="E515" s="944" t="s">
        <v>339</v>
      </c>
      <c r="F515" s="944"/>
      <c r="G515" s="944"/>
      <c r="H515" s="954" t="str">
        <f>EUconst_EUA</f>
        <v>EUA</v>
      </c>
      <c r="I515" s="945"/>
      <c r="J515" s="1209" t="str">
        <f>J492</f>
        <v/>
      </c>
      <c r="K515" s="1210" t="str">
        <f t="shared" si="35"/>
        <v/>
      </c>
      <c r="L515" s="1210" t="str">
        <f t="shared" si="35"/>
        <v/>
      </c>
      <c r="M515" s="1210" t="str">
        <f t="shared" si="35"/>
        <v/>
      </c>
      <c r="N515" s="1390" t="str">
        <f t="shared" si="35"/>
        <v/>
      </c>
      <c r="O515" s="19"/>
      <c r="P515" s="343"/>
      <c r="Q515" s="343"/>
      <c r="R515" s="343"/>
      <c r="S515" s="343"/>
      <c r="T515" s="343"/>
      <c r="U515" s="349"/>
      <c r="V515" s="349"/>
    </row>
    <row r="516" spans="1:22" s="534" customFormat="1" ht="12.75" hidden="1" customHeight="1" x14ac:dyDescent="0.3">
      <c r="A516" s="343" t="str">
        <f>IF(P516="","ausblenden","")</f>
        <v>ausblenden</v>
      </c>
      <c r="B516" s="15"/>
      <c r="C516" s="17"/>
      <c r="D516" s="1386"/>
      <c r="E516" s="947" t="s">
        <v>1560</v>
      </c>
      <c r="F516" s="947"/>
      <c r="G516" s="947"/>
      <c r="H516" s="955" t="str">
        <f>EUconst_EUA</f>
        <v>EUA</v>
      </c>
      <c r="I516" s="948"/>
      <c r="J516" s="1165" t="str">
        <f>J493</f>
        <v/>
      </c>
      <c r="K516" s="975" t="str">
        <f t="shared" si="35"/>
        <v/>
      </c>
      <c r="L516" s="975" t="str">
        <f t="shared" si="35"/>
        <v/>
      </c>
      <c r="M516" s="975" t="str">
        <f t="shared" si="35"/>
        <v/>
      </c>
      <c r="N516" s="1391" t="str">
        <f t="shared" si="35"/>
        <v/>
      </c>
      <c r="O516" s="19"/>
      <c r="P516" s="343"/>
      <c r="Q516" s="343"/>
      <c r="R516" s="343"/>
      <c r="S516" s="343"/>
      <c r="T516" s="343"/>
      <c r="U516" s="349"/>
      <c r="V516" s="349"/>
    </row>
    <row r="517" spans="1:22" s="534" customFormat="1" ht="12.75" hidden="1" customHeight="1" x14ac:dyDescent="0.3">
      <c r="A517" s="343" t="str">
        <f>IF(P517="","ausblenden","")</f>
        <v>ausblenden</v>
      </c>
      <c r="B517" s="15"/>
      <c r="C517" s="17"/>
      <c r="D517" s="1386"/>
      <c r="E517" s="1433" t="s">
        <v>1527</v>
      </c>
      <c r="F517" s="1433"/>
      <c r="G517" s="1433"/>
      <c r="H517" s="1434" t="str">
        <f>EUconst_EUA</f>
        <v>EUA</v>
      </c>
      <c r="I517" s="1435"/>
      <c r="J517" s="1436" t="str">
        <f>J494</f>
        <v/>
      </c>
      <c r="K517" s="1437" t="str">
        <f t="shared" si="35"/>
        <v/>
      </c>
      <c r="L517" s="1437" t="str">
        <f t="shared" si="35"/>
        <v/>
      </c>
      <c r="M517" s="1437" t="str">
        <f t="shared" si="35"/>
        <v/>
      </c>
      <c r="N517" s="1438" t="str">
        <f t="shared" si="35"/>
        <v/>
      </c>
      <c r="O517" s="19"/>
      <c r="P517" s="343"/>
      <c r="Q517" s="343"/>
      <c r="R517" s="343"/>
      <c r="S517" s="343"/>
      <c r="T517" s="343"/>
      <c r="U517" s="349"/>
      <c r="V517" s="349"/>
    </row>
    <row r="518" spans="1:22" s="534" customFormat="1" ht="12.75" customHeight="1" x14ac:dyDescent="0.3">
      <c r="A518" s="343"/>
      <c r="B518" s="15"/>
      <c r="C518" s="17"/>
      <c r="D518" s="1386"/>
      <c r="E518" s="944" t="str">
        <f>Translations!$B$1482</f>
        <v>Genomsnittligt årligt värde</v>
      </c>
      <c r="F518" s="944"/>
      <c r="G518" s="944"/>
      <c r="H518" s="627" t="s">
        <v>1112</v>
      </c>
      <c r="I518" s="945"/>
      <c r="J518" s="1439" t="str">
        <f>INDEX(F_ProductBM!J:J,MATCH($P518,F_ProductBM!$Q:$Q,0))</f>
        <v/>
      </c>
      <c r="K518" s="1440" t="str">
        <f>INDEX(F_ProductBM!K:K,MATCH($P518,F_ProductBM!$Q:$Q,0))</f>
        <v/>
      </c>
      <c r="L518" s="1440" t="str">
        <f>INDEX(F_ProductBM!L:L,MATCH($P518,F_ProductBM!$Q:$Q,0))</f>
        <v/>
      </c>
      <c r="M518" s="1440" t="str">
        <f>INDEX(F_ProductBM!M:M,MATCH($P518,F_ProductBM!$Q:$Q,0))</f>
        <v/>
      </c>
      <c r="N518" s="1441" t="str">
        <f>INDEX(F_ProductBM!N:N,MATCH($P518,F_ProductBM!$Q:$Q,0))</f>
        <v/>
      </c>
      <c r="O518" s="19"/>
      <c r="P518" s="165" t="str">
        <f>EUconst_CNTR_HAL &amp; EUconst_CNTR_ELEXCHInitial &amp; I477</f>
        <v>HAL_ELEXCHIni_</v>
      </c>
      <c r="Q518" s="343"/>
      <c r="R518" s="343"/>
      <c r="S518" s="343"/>
      <c r="T518" s="343"/>
      <c r="U518" s="349"/>
      <c r="V518" s="349"/>
    </row>
    <row r="519" spans="1:22" s="534" customFormat="1" ht="12.75" customHeight="1" x14ac:dyDescent="0.3">
      <c r="A519" s="343"/>
      <c r="B519" s="15"/>
      <c r="C519" s="17"/>
      <c r="D519" s="1386"/>
      <c r="E519" s="947" t="str">
        <f>Translations!$B$1571</f>
        <v>Ändring jämfört med värde enligt nationella genomförandeåtgärder</v>
      </c>
      <c r="F519" s="947"/>
      <c r="G519" s="947"/>
      <c r="H519" s="1442" t="s">
        <v>1112</v>
      </c>
      <c r="I519" s="1371"/>
      <c r="J519" s="1415" t="str">
        <f>INDEX(F_ProductBM!J:J,MATCH($P519,F_ProductBM!$Q:$Q,0))</f>
        <v/>
      </c>
      <c r="K519" s="1416" t="str">
        <f>INDEX(F_ProductBM!K:K,MATCH($P519,F_ProductBM!$Q:$Q,0))</f>
        <v/>
      </c>
      <c r="L519" s="1416" t="str">
        <f>INDEX(F_ProductBM!L:L,MATCH($P519,F_ProductBM!$Q:$Q,0))</f>
        <v/>
      </c>
      <c r="M519" s="1416" t="str">
        <f>INDEX(F_ProductBM!M:M,MATCH($P519,F_ProductBM!$Q:$Q,0))</f>
        <v/>
      </c>
      <c r="N519" s="1417" t="str">
        <f>INDEX(F_ProductBM!N:N,MATCH($P519,F_ProductBM!$Q:$Q,0))</f>
        <v/>
      </c>
      <c r="O519" s="19"/>
      <c r="P519" s="165" t="str">
        <f>EUconst_CNTR_RelThreshold &amp; P521</f>
        <v>RelThresh_HALprelim_ELEXCH_</v>
      </c>
      <c r="Q519" s="343"/>
      <c r="R519" s="343"/>
      <c r="S519" s="343"/>
      <c r="T519" s="343"/>
      <c r="U519" s="349"/>
      <c r="V519" s="349"/>
    </row>
    <row r="520" spans="1:22" s="534" customFormat="1" ht="12.75" customHeight="1" x14ac:dyDescent="0.3">
      <c r="A520" s="343"/>
      <c r="B520" s="15"/>
      <c r="C520" s="17"/>
      <c r="D520" s="1386"/>
      <c r="E520" s="1418" t="str">
        <f>Translations!$B$1572</f>
        <v>Kriterium 3b: Har relativa tröskelvärden överskridits?</v>
      </c>
      <c r="F520" s="1418"/>
      <c r="G520" s="1418"/>
      <c r="H520" s="1444" t="s">
        <v>1112</v>
      </c>
      <c r="I520" s="1423"/>
      <c r="J520" s="1420" t="str">
        <f>INDEX(F_ProductBM!V:V,MATCH($P520,F_ProductBM!$Q:$Q,0))</f>
        <v/>
      </c>
      <c r="K520" s="1421" t="str">
        <f>INDEX(F_ProductBM!W:W,MATCH($P520,F_ProductBM!$Q:$Q,0))</f>
        <v/>
      </c>
      <c r="L520" s="1421" t="str">
        <f>INDEX(F_ProductBM!X:X,MATCH($P520,F_ProductBM!$Q:$Q,0))</f>
        <v/>
      </c>
      <c r="M520" s="1421" t="str">
        <f>INDEX(F_ProductBM!Y:Y,MATCH($P520,F_ProductBM!$Q:$Q,0))</f>
        <v/>
      </c>
      <c r="N520" s="1422" t="str">
        <f>INDEX(F_ProductBM!Z:Z,MATCH($P520,F_ProductBM!$Q:$Q,0))</f>
        <v/>
      </c>
      <c r="O520" s="19"/>
      <c r="P520" s="165" t="str">
        <f>P519</f>
        <v>RelThresh_HALprelim_ELEXCH_</v>
      </c>
      <c r="Q520" s="343"/>
      <c r="R520" s="343"/>
      <c r="S520" s="343"/>
      <c r="T520" s="343"/>
      <c r="U520" s="349"/>
      <c r="V520" s="349"/>
    </row>
    <row r="521" spans="1:22" s="534" customFormat="1" ht="12.75" customHeight="1" x14ac:dyDescent="0.3">
      <c r="A521" s="343" t="str">
        <f>IF(P521="","ausblenden","")</f>
        <v/>
      </c>
      <c r="B521" s="15"/>
      <c r="C521" s="17"/>
      <c r="D521" s="1386"/>
      <c r="E521" s="950" t="str">
        <f>Translations!$B$1568</f>
        <v>Preliminärt värde</v>
      </c>
      <c r="F521" s="950"/>
      <c r="G521" s="950"/>
      <c r="H521" s="629" t="s">
        <v>1112</v>
      </c>
      <c r="I521" s="950"/>
      <c r="J521" s="1404" t="str">
        <f>IF($I480=TRUE,INDEX(F_ProductBM!J:J,MATCH($P521,F_ProductBM!$Q:$Q,0)),"")</f>
        <v/>
      </c>
      <c r="K521" s="1405" t="str">
        <f>IF($I480=TRUE,INDEX(F_ProductBM!K:K,MATCH($P521,F_ProductBM!$Q:$Q,0)),"")</f>
        <v/>
      </c>
      <c r="L521" s="1405" t="str">
        <f>IF($I480=TRUE,INDEX(F_ProductBM!L:L,MATCH($P521,F_ProductBM!$Q:$Q,0)),"")</f>
        <v/>
      </c>
      <c r="M521" s="1405" t="str">
        <f>IF($I480=TRUE,INDEX(F_ProductBM!M:M,MATCH($P521,F_ProductBM!$Q:$Q,0)),"")</f>
        <v/>
      </c>
      <c r="N521" s="1406" t="str">
        <f>IF($I480=TRUE,INDEX(F_ProductBM!N:N,MATCH($P521,F_ProductBM!$Q:$Q,0)),"")</f>
        <v/>
      </c>
      <c r="O521" s="19"/>
      <c r="P521" s="165" t="str">
        <f>EUconst_CNTR_HALprelim&amp;EUconst_CNTR_ELEXCH&amp;$I477</f>
        <v>HALprelim_ELEXCH_</v>
      </c>
      <c r="Q521" s="343"/>
      <c r="R521" s="343"/>
      <c r="S521" s="343"/>
      <c r="T521" s="343"/>
      <c r="U521" s="349"/>
      <c r="V521" s="349"/>
    </row>
    <row r="522" spans="1:22" s="534" customFormat="1" ht="12.75" hidden="1" customHeight="1" x14ac:dyDescent="0.3">
      <c r="A522" s="343" t="str">
        <f>IF(P522="","ausblenden","")</f>
        <v>ausblenden</v>
      </c>
      <c r="B522" s="15"/>
      <c r="C522" s="17"/>
      <c r="D522" s="1386"/>
      <c r="E522" s="950" t="s">
        <v>1528</v>
      </c>
      <c r="F522" s="950"/>
      <c r="G522" s="950"/>
      <c r="H522" s="1375" t="s">
        <v>1112</v>
      </c>
      <c r="I522" s="951"/>
      <c r="J522" s="1213" t="str">
        <f>J496</f>
        <v/>
      </c>
      <c r="K522" s="1214" t="str">
        <f>J591</f>
        <v/>
      </c>
      <c r="L522" s="1214" t="str">
        <f>K591</f>
        <v/>
      </c>
      <c r="M522" s="1214" t="str">
        <f>L591</f>
        <v/>
      </c>
      <c r="N522" s="1393" t="str">
        <f>M591</f>
        <v/>
      </c>
      <c r="O522" s="19"/>
      <c r="P522" s="343"/>
      <c r="Q522" s="343"/>
      <c r="R522" s="343"/>
      <c r="S522" s="343"/>
      <c r="T522" s="343"/>
      <c r="U522" s="349"/>
      <c r="V522" s="349"/>
    </row>
    <row r="523" spans="1:22" s="534" customFormat="1" ht="12.75" customHeight="1" x14ac:dyDescent="0.3">
      <c r="A523" s="343"/>
      <c r="B523" s="15"/>
      <c r="C523" s="17"/>
      <c r="D523" s="1386"/>
      <c r="E523" s="514" t="str">
        <f>Translations!$B$1565</f>
        <v>Preliminärt tilldelningsvärde</v>
      </c>
      <c r="F523" s="514"/>
      <c r="G523" s="514"/>
      <c r="H523" s="129" t="str">
        <f>EUconst_EUA</f>
        <v>EUA</v>
      </c>
      <c r="I523" s="1151"/>
      <c r="J523" s="1131" t="str">
        <f>IF($I480=TRUE,MAX(0,ROUND((SUM($M480)*SUM(J514)*SUM(J521)*SUM(J522)-SUM(J515)-SUM(J516)+SUM(J517))*IF($H480=TRUE,1,J$2517),0)),"")</f>
        <v/>
      </c>
      <c r="K523" s="421" t="str">
        <f>IF($I480=TRUE,MAX(0,ROUND((SUM($M480)*SUM(K514)*SUM(K521)*SUM(K522)-SUM(K515)-SUM(K516)+SUM(K517))*IF($H480=TRUE,1,K$2517),0)),"")</f>
        <v/>
      </c>
      <c r="L523" s="421" t="str">
        <f>IF($I480=TRUE,MAX(0,ROUND((SUM($M480)*SUM(L514)*SUM(L521)*SUM(L522)-SUM(L515)-SUM(L516)+SUM(L517))*IF($H480=TRUE,1,L$2517),0)),"")</f>
        <v/>
      </c>
      <c r="M523" s="421" t="str">
        <f>IF($I480=TRUE,MAX(0,ROUND((SUM($M480)*SUM(M514)*SUM(M521)*SUM(M522)-SUM(M515)-SUM(M516)+SUM(M517))*IF($H480=TRUE,1,M$2517),0)),"")</f>
        <v/>
      </c>
      <c r="N523" s="967" t="str">
        <f>IF($I480=TRUE,MAX(0,ROUND((SUM($M480)*SUM(N514)*SUM(N521)*SUM(N522)-SUM(N515)-SUM(N516)+SUM(N517))*IF($H480=TRUE,1,N$2517),0)),"")</f>
        <v/>
      </c>
      <c r="O523" s="19"/>
      <c r="P523" s="343"/>
      <c r="Q523" s="343"/>
      <c r="R523" s="343"/>
      <c r="S523" s="343"/>
      <c r="T523" s="343"/>
      <c r="U523" s="349"/>
      <c r="V523" s="349"/>
    </row>
    <row r="524" spans="1:22" s="534" customFormat="1" ht="12.75" customHeight="1" x14ac:dyDescent="0.3">
      <c r="A524" s="343"/>
      <c r="B524" s="15"/>
      <c r="C524" s="17"/>
      <c r="D524" s="1386"/>
      <c r="E524" s="514" t="str">
        <f>Translations!$B$1569</f>
        <v>Skillnad i tilldelning</v>
      </c>
      <c r="F524" s="514"/>
      <c r="G524" s="514"/>
      <c r="H524" s="129" t="str">
        <f>EUconst_EUA</f>
        <v>EUA</v>
      </c>
      <c r="I524" s="1151"/>
      <c r="J524" s="1131" t="str">
        <f>IF($I480=TRUE,ABS(SUM(J523)-SUM(J497)),"")</f>
        <v/>
      </c>
      <c r="K524" s="421" t="str">
        <f>IF($I480=TRUE,ABS(SUM(K523)-SUM(K497)),"")</f>
        <v/>
      </c>
      <c r="L524" s="421" t="str">
        <f>IF($I480=TRUE,ABS(SUM(L523)-SUM(L497)),"")</f>
        <v/>
      </c>
      <c r="M524" s="421" t="str">
        <f>IF($I480=TRUE,ABS(SUM(M523)-SUM(M497)),"")</f>
        <v/>
      </c>
      <c r="N524" s="967" t="str">
        <f>IF($I480=TRUE,ABS(SUM(N523)-SUM(N497)),"")</f>
        <v/>
      </c>
      <c r="O524" s="19"/>
      <c r="P524" s="343"/>
      <c r="Q524" s="343"/>
      <c r="R524" s="343"/>
      <c r="S524" s="343"/>
      <c r="T524" s="343"/>
      <c r="U524" s="349"/>
      <c r="V524" s="349"/>
    </row>
    <row r="525" spans="1:22" s="534" customFormat="1" ht="12.75" customHeight="1" x14ac:dyDescent="0.3">
      <c r="A525" s="343"/>
      <c r="B525" s="15"/>
      <c r="C525" s="17"/>
      <c r="D525" s="1386"/>
      <c r="E525" s="1419" t="str">
        <f>Translations!$B$1573</f>
        <v>Kriterium 4b: Är skillnaden minst 100 utsläppsrätter?</v>
      </c>
      <c r="F525" s="1419"/>
      <c r="G525" s="1419"/>
      <c r="H525" s="1424" t="s">
        <v>1112</v>
      </c>
      <c r="I525" s="1425"/>
      <c r="J525" s="1426" t="str">
        <f>IF($I480=TRUE,J524&gt;=100,"")</f>
        <v/>
      </c>
      <c r="K525" s="1427" t="str">
        <f>IF($I480=TRUE,K524&gt;=100,"")</f>
        <v/>
      </c>
      <c r="L525" s="1427" t="str">
        <f>IF($I480=TRUE,L524&gt;=100,"")</f>
        <v/>
      </c>
      <c r="M525" s="1427" t="str">
        <f>IF($I480=TRUE,M524&gt;=100,"")</f>
        <v/>
      </c>
      <c r="N525" s="1428" t="str">
        <f>IF($I480=TRUE,N524&gt;=100,"")</f>
        <v/>
      </c>
      <c r="O525" s="19"/>
      <c r="P525" s="165" t="str">
        <f>EUconst_CNTR_100EUA_ElExch&amp;I477</f>
        <v>EUA100ElExch_</v>
      </c>
      <c r="Q525" s="343"/>
      <c r="R525" s="343"/>
      <c r="S525" s="343"/>
      <c r="T525" s="343"/>
      <c r="U525" s="349"/>
      <c r="V525" s="349"/>
    </row>
    <row r="526" spans="1:22" s="534" customFormat="1" ht="5.15" customHeight="1" x14ac:dyDescent="0.3">
      <c r="A526" s="343"/>
      <c r="B526" s="15"/>
      <c r="C526" s="17"/>
      <c r="D526" s="1386"/>
      <c r="E526" s="15"/>
      <c r="F526" s="15"/>
      <c r="G526" s="15"/>
      <c r="H526" s="15"/>
      <c r="I526" s="941"/>
      <c r="J526" s="15"/>
      <c r="K526" s="15"/>
      <c r="L526" s="15"/>
      <c r="M526" s="15"/>
      <c r="N526" s="968"/>
      <c r="O526" s="19"/>
      <c r="P526" s="343"/>
      <c r="Q526" s="343"/>
      <c r="R526" s="343"/>
      <c r="S526" s="343"/>
      <c r="T526" s="343"/>
      <c r="U526" s="349"/>
      <c r="V526" s="349"/>
    </row>
    <row r="527" spans="1:22" s="534" customFormat="1" ht="12.75" customHeight="1" x14ac:dyDescent="0.3">
      <c r="A527" s="343"/>
      <c r="B527" s="15"/>
      <c r="C527" s="17"/>
      <c r="D527" s="1386"/>
      <c r="E527" s="42" t="str">
        <f>Translations!$B$1574</f>
        <v>Ändringar: Värme från icke-ETS</v>
      </c>
      <c r="F527" s="188"/>
      <c r="G527" s="188"/>
      <c r="H527" s="30" t="str">
        <f>EUconst_Unit</f>
        <v>Enhet</v>
      </c>
      <c r="I527" s="1157"/>
      <c r="J527" s="1065">
        <f>J$2596</f>
        <v>2021</v>
      </c>
      <c r="K527" s="350">
        <f>K$2596</f>
        <v>2022</v>
      </c>
      <c r="L527" s="350">
        <f>L$2596</f>
        <v>2023</v>
      </c>
      <c r="M527" s="350">
        <f>M$2596</f>
        <v>2024</v>
      </c>
      <c r="N527" s="966">
        <f>N$2596</f>
        <v>2025</v>
      </c>
      <c r="O527" s="19"/>
      <c r="P527" s="343"/>
      <c r="Q527" s="343"/>
      <c r="R527" s="343"/>
      <c r="S527" s="343"/>
      <c r="T527" s="343"/>
      <c r="U527" s="349"/>
      <c r="V527" s="349"/>
    </row>
    <row r="528" spans="1:22" s="534" customFormat="1" ht="12.75" hidden="1" customHeight="1" x14ac:dyDescent="0.3">
      <c r="A528" s="343" t="str">
        <f>IF(P528="","ausblenden","")</f>
        <v>ausblenden</v>
      </c>
      <c r="B528" s="15"/>
      <c r="C528" s="17"/>
      <c r="D528" s="1386"/>
      <c r="E528" s="514" t="s">
        <v>1918</v>
      </c>
      <c r="F528" s="514"/>
      <c r="G528" s="514"/>
      <c r="H528" s="917" t="str">
        <f>H514</f>
        <v>ton</v>
      </c>
      <c r="I528" s="514"/>
      <c r="J528" s="1152" t="str">
        <f>J491</f>
        <v/>
      </c>
      <c r="K528" s="943" t="str">
        <f>J586</f>
        <v/>
      </c>
      <c r="L528" s="943" t="str">
        <f>K586</f>
        <v/>
      </c>
      <c r="M528" s="943" t="str">
        <f>L586</f>
        <v/>
      </c>
      <c r="N528" s="1389" t="str">
        <f>M586</f>
        <v/>
      </c>
      <c r="O528" s="19"/>
      <c r="P528" s="343"/>
      <c r="Q528" s="343"/>
      <c r="R528" s="343"/>
      <c r="S528" s="343"/>
      <c r="T528" s="343"/>
      <c r="U528" s="349"/>
      <c r="V528" s="349"/>
    </row>
    <row r="529" spans="1:22" s="534" customFormat="1" ht="12.75" customHeight="1" x14ac:dyDescent="0.3">
      <c r="A529" s="343"/>
      <c r="B529" s="15"/>
      <c r="C529" s="17"/>
      <c r="D529" s="1386"/>
      <c r="E529" s="944" t="str">
        <f>Translations!$B$1482</f>
        <v>Genomsnittligt årligt värde</v>
      </c>
      <c r="F529" s="944"/>
      <c r="G529" s="944"/>
      <c r="H529" s="627" t="str">
        <f>EUconst_EUA</f>
        <v>EUA</v>
      </c>
      <c r="I529" s="945"/>
      <c r="J529" s="1161" t="str">
        <f>IF(R483,SUM(INDEX(F_ProductBM!J:J,MATCH($P529,F_ProductBM!$Q:$Q,0))),"")</f>
        <v/>
      </c>
      <c r="K529" s="946" t="str">
        <f>IF(S483,SUM(INDEX(F_ProductBM!K:K,MATCH($P529,F_ProductBM!$Q:$Q,0))),"")</f>
        <v/>
      </c>
      <c r="L529" s="946" t="str">
        <f>IF(T483,SUM(INDEX(F_ProductBM!L:L,MATCH($P529,F_ProductBM!$Q:$Q,0))),"")</f>
        <v/>
      </c>
      <c r="M529" s="946" t="str">
        <f>IF(U483,SUM(INDEX(F_ProductBM!M:M,MATCH($P529,F_ProductBM!$Q:$Q,0))),"")</f>
        <v/>
      </c>
      <c r="N529" s="1046" t="str">
        <f>IF(V483,SUM(INDEX(F_ProductBM!N:N,MATCH($P529,F_ProductBM!$Q:$Q,0))),"")</f>
        <v/>
      </c>
      <c r="O529" s="19"/>
      <c r="P529" s="165" t="str">
        <f>EUconst_CNTR_HEATInitial &amp; I477</f>
        <v>HEATIni_</v>
      </c>
      <c r="Q529" s="343"/>
      <c r="R529" s="343"/>
      <c r="S529" s="343"/>
      <c r="T529" s="343"/>
      <c r="U529" s="349"/>
      <c r="V529" s="349"/>
    </row>
    <row r="530" spans="1:22" s="534" customFormat="1" ht="12.75" customHeight="1" x14ac:dyDescent="0.3">
      <c r="A530" s="343"/>
      <c r="B530" s="15"/>
      <c r="C530" s="17"/>
      <c r="D530" s="1386"/>
      <c r="E530" s="947" t="str">
        <f>Translations!$B$1571</f>
        <v>Ändring jämfört med värde enligt nationella genomförandeåtgärder</v>
      </c>
      <c r="F530" s="947"/>
      <c r="G530" s="947"/>
      <c r="H530" s="1442" t="s">
        <v>1112</v>
      </c>
      <c r="I530" s="1371"/>
      <c r="J530" s="1415" t="str">
        <f>INDEX(F_ProductBM!J:J,MATCH($P530,F_ProductBM!$Q:$Q,0))</f>
        <v/>
      </c>
      <c r="K530" s="1416" t="str">
        <f>INDEX(F_ProductBM!K:K,MATCH($P530,F_ProductBM!$Q:$Q,0))</f>
        <v/>
      </c>
      <c r="L530" s="1416" t="str">
        <f>INDEX(F_ProductBM!L:L,MATCH($P530,F_ProductBM!$Q:$Q,0))</f>
        <v/>
      </c>
      <c r="M530" s="1416" t="str">
        <f>INDEX(F_ProductBM!M:M,MATCH($P530,F_ProductBM!$Q:$Q,0))</f>
        <v/>
      </c>
      <c r="N530" s="1417" t="str">
        <f>INDEX(F_ProductBM!N:N,MATCH($P530,F_ProductBM!$Q:$Q,0))</f>
        <v/>
      </c>
      <c r="O530" s="19"/>
      <c r="P530" s="165" t="str">
        <f>EUconst_CNTR_RelThreshold &amp; P532</f>
        <v>RelThresh_HEATprelim_</v>
      </c>
      <c r="Q530" s="343"/>
      <c r="R530" s="343"/>
      <c r="S530" s="343"/>
      <c r="T530" s="343"/>
      <c r="U530" s="349"/>
      <c r="V530" s="349"/>
    </row>
    <row r="531" spans="1:22" s="534" customFormat="1" ht="12.75" customHeight="1" x14ac:dyDescent="0.3">
      <c r="A531" s="343"/>
      <c r="B531" s="15"/>
      <c r="C531" s="17"/>
      <c r="D531" s="1386"/>
      <c r="E531" s="1418" t="str">
        <f>Translations!$B$1575</f>
        <v>Kriterium 3c: Har relativa tröskelvärden överskridits?</v>
      </c>
      <c r="F531" s="1418"/>
      <c r="G531" s="1418"/>
      <c r="H531" s="1444" t="s">
        <v>1112</v>
      </c>
      <c r="I531" s="1423"/>
      <c r="J531" s="1420" t="str">
        <f>INDEX(F_ProductBM!V:V,MATCH($P531,F_ProductBM!$Q:$Q,0))</f>
        <v/>
      </c>
      <c r="K531" s="1421" t="str">
        <f>INDEX(F_ProductBM!W:W,MATCH($P531,F_ProductBM!$Q:$Q,0))</f>
        <v/>
      </c>
      <c r="L531" s="1421" t="str">
        <f>INDEX(F_ProductBM!X:X,MATCH($P531,F_ProductBM!$Q:$Q,0))</f>
        <v/>
      </c>
      <c r="M531" s="1421" t="str">
        <f>INDEX(F_ProductBM!Y:Y,MATCH($P531,F_ProductBM!$Q:$Q,0))</f>
        <v/>
      </c>
      <c r="N531" s="1422" t="str">
        <f>INDEX(F_ProductBM!Z:Z,MATCH($P531,F_ProductBM!$Q:$Q,0))</f>
        <v/>
      </c>
      <c r="O531" s="19"/>
      <c r="P531" s="165" t="str">
        <f>P530</f>
        <v>RelThresh_HEATprelim_</v>
      </c>
      <c r="Q531" s="343"/>
      <c r="R531" s="343"/>
      <c r="S531" s="343"/>
      <c r="T531" s="343"/>
      <c r="U531" s="349"/>
      <c r="V531" s="349"/>
    </row>
    <row r="532" spans="1:22" s="534" customFormat="1" ht="12.75" customHeight="1" x14ac:dyDescent="0.3">
      <c r="A532" s="343" t="str">
        <f>IF(P532="","ausblenden","")</f>
        <v/>
      </c>
      <c r="B532" s="15"/>
      <c r="C532" s="17"/>
      <c r="D532" s="1386"/>
      <c r="E532" s="950" t="str">
        <f>Translations!$B$1568</f>
        <v>Preliminärt värde</v>
      </c>
      <c r="F532" s="950"/>
      <c r="G532" s="950"/>
      <c r="H532" s="629" t="str">
        <f>EUconst_EUA</f>
        <v>EUA</v>
      </c>
      <c r="I532" s="950"/>
      <c r="J532" s="1373" t="str">
        <f>IF($I477="","",INDEX(F_ProductBM!J:J,MATCH($P532,F_ProductBM!$Q:$Q,0)))</f>
        <v/>
      </c>
      <c r="K532" s="1374" t="str">
        <f>IF($I477="","",INDEX(F_ProductBM!K:K,MATCH($P532,F_ProductBM!$Q:$Q,0)))</f>
        <v/>
      </c>
      <c r="L532" s="1374" t="str">
        <f>IF($I477="","",INDEX(F_ProductBM!L:L,MATCH($P532,F_ProductBM!$Q:$Q,0)))</f>
        <v/>
      </c>
      <c r="M532" s="1374" t="str">
        <f>IF($I477="","",INDEX(F_ProductBM!M:M,MATCH($P532,F_ProductBM!$Q:$Q,0)))</f>
        <v/>
      </c>
      <c r="N532" s="1395" t="str">
        <f>IF($I477="","",INDEX(F_ProductBM!N:N,MATCH($P532,F_ProductBM!$Q:$Q,0)))</f>
        <v/>
      </c>
      <c r="O532" s="19"/>
      <c r="P532" s="165" t="str">
        <f>EUconst_CNTR_HEATprelim&amp;I477</f>
        <v>HEATprelim_</v>
      </c>
      <c r="Q532" s="343"/>
      <c r="R532" s="343"/>
      <c r="S532" s="343"/>
      <c r="T532" s="343"/>
      <c r="U532" s="349"/>
      <c r="V532" s="349"/>
    </row>
    <row r="533" spans="1:22" s="534" customFormat="1" ht="12.75" hidden="1" customHeight="1" x14ac:dyDescent="0.3">
      <c r="A533" s="343" t="str">
        <f>IF(P533="","ausblenden","")</f>
        <v>ausblenden</v>
      </c>
      <c r="B533" s="15"/>
      <c r="C533" s="17"/>
      <c r="D533" s="1386"/>
      <c r="E533" s="947" t="s">
        <v>1560</v>
      </c>
      <c r="F533" s="947"/>
      <c r="G533" s="947"/>
      <c r="H533" s="955" t="str">
        <f>EUconst_EUA</f>
        <v>EUA</v>
      </c>
      <c r="I533" s="948"/>
      <c r="J533" s="1165" t="str">
        <f>J493</f>
        <v/>
      </c>
      <c r="K533" s="975" t="str">
        <f t="shared" ref="K533:N536" si="36">J588</f>
        <v/>
      </c>
      <c r="L533" s="975" t="str">
        <f t="shared" si="36"/>
        <v/>
      </c>
      <c r="M533" s="975" t="str">
        <f t="shared" si="36"/>
        <v/>
      </c>
      <c r="N533" s="1391" t="str">
        <f t="shared" si="36"/>
        <v/>
      </c>
      <c r="O533" s="19"/>
      <c r="P533" s="343"/>
      <c r="Q533" s="343"/>
      <c r="R533" s="343"/>
      <c r="S533" s="343"/>
      <c r="T533" s="343"/>
      <c r="U533" s="349"/>
      <c r="V533" s="349"/>
    </row>
    <row r="534" spans="1:22" s="534" customFormat="1" ht="12.75" hidden="1" customHeight="1" x14ac:dyDescent="0.3">
      <c r="A534" s="343" t="str">
        <f>IF(P534="","ausblenden","")</f>
        <v>ausblenden</v>
      </c>
      <c r="B534" s="15"/>
      <c r="C534" s="17"/>
      <c r="D534" s="1386"/>
      <c r="E534" s="947" t="s">
        <v>1527</v>
      </c>
      <c r="F534" s="947"/>
      <c r="G534" s="947"/>
      <c r="H534" s="955" t="str">
        <f>EUconst_EUA</f>
        <v>EUA</v>
      </c>
      <c r="I534" s="948"/>
      <c r="J534" s="1165" t="str">
        <f>J494</f>
        <v/>
      </c>
      <c r="K534" s="975" t="str">
        <f t="shared" si="36"/>
        <v/>
      </c>
      <c r="L534" s="975" t="str">
        <f t="shared" si="36"/>
        <v/>
      </c>
      <c r="M534" s="975" t="str">
        <f t="shared" si="36"/>
        <v/>
      </c>
      <c r="N534" s="1391" t="str">
        <f t="shared" si="36"/>
        <v/>
      </c>
      <c r="O534" s="19"/>
      <c r="P534" s="343"/>
      <c r="Q534" s="343"/>
      <c r="R534" s="343"/>
      <c r="S534" s="343"/>
      <c r="T534" s="343"/>
      <c r="U534" s="349"/>
      <c r="V534" s="349"/>
    </row>
    <row r="535" spans="1:22" s="534" customFormat="1" ht="12.75" hidden="1" customHeight="1" x14ac:dyDescent="0.3">
      <c r="A535" s="343" t="str">
        <f>IF(P535="","ausblenden","")</f>
        <v>ausblenden</v>
      </c>
      <c r="B535" s="15"/>
      <c r="C535" s="17"/>
      <c r="D535" s="1386"/>
      <c r="E535" s="947" t="s">
        <v>1526</v>
      </c>
      <c r="F535" s="947"/>
      <c r="G535" s="947"/>
      <c r="H535" s="956" t="s">
        <v>1112</v>
      </c>
      <c r="I535" s="948"/>
      <c r="J535" s="1211" t="str">
        <f>J495</f>
        <v/>
      </c>
      <c r="K535" s="1212" t="str">
        <f t="shared" si="36"/>
        <v/>
      </c>
      <c r="L535" s="1212" t="str">
        <f t="shared" si="36"/>
        <v/>
      </c>
      <c r="M535" s="1212" t="str">
        <f t="shared" si="36"/>
        <v/>
      </c>
      <c r="N535" s="1392" t="str">
        <f t="shared" si="36"/>
        <v/>
      </c>
      <c r="O535" s="19"/>
      <c r="P535" s="343"/>
      <c r="Q535" s="343"/>
      <c r="R535" s="343"/>
      <c r="S535" s="343"/>
      <c r="T535" s="343"/>
      <c r="U535" s="349"/>
      <c r="V535" s="349"/>
    </row>
    <row r="536" spans="1:22" s="534" customFormat="1" ht="12.75" hidden="1" customHeight="1" x14ac:dyDescent="0.3">
      <c r="A536" s="343" t="str">
        <f>IF(P536="","ausblenden","")</f>
        <v>ausblenden</v>
      </c>
      <c r="B536" s="15"/>
      <c r="C536" s="17"/>
      <c r="D536" s="1386"/>
      <c r="E536" s="950" t="s">
        <v>1528</v>
      </c>
      <c r="F536" s="950"/>
      <c r="G536" s="950"/>
      <c r="H536" s="957" t="s">
        <v>1112</v>
      </c>
      <c r="I536" s="951"/>
      <c r="J536" s="1213" t="str">
        <f>J496</f>
        <v/>
      </c>
      <c r="K536" s="1214" t="str">
        <f t="shared" si="36"/>
        <v/>
      </c>
      <c r="L536" s="1214" t="str">
        <f t="shared" si="36"/>
        <v/>
      </c>
      <c r="M536" s="1214" t="str">
        <f t="shared" si="36"/>
        <v/>
      </c>
      <c r="N536" s="1393" t="str">
        <f t="shared" si="36"/>
        <v/>
      </c>
      <c r="O536" s="19"/>
      <c r="P536" s="343"/>
      <c r="Q536" s="343"/>
      <c r="R536" s="343"/>
      <c r="S536" s="343"/>
      <c r="T536" s="343"/>
      <c r="U536" s="349"/>
      <c r="V536" s="349"/>
    </row>
    <row r="537" spans="1:22" s="534" customFormat="1" ht="12.75" customHeight="1" x14ac:dyDescent="0.3">
      <c r="A537" s="343"/>
      <c r="B537" s="15"/>
      <c r="C537" s="17"/>
      <c r="D537" s="1386"/>
      <c r="E537" s="514" t="str">
        <f>Translations!$B$1565</f>
        <v>Preliminärt tilldelningsvärde</v>
      </c>
      <c r="F537" s="514"/>
      <c r="G537" s="514"/>
      <c r="H537" s="129" t="str">
        <f>EUconst_EUA</f>
        <v>EUA</v>
      </c>
      <c r="I537" s="1151"/>
      <c r="J537" s="1131" t="str">
        <f>IF($I477="","",MAX(0,ROUND((SUM($M480)*SUM(J528)*SUM(J535)*SUM(J536)-SUM(J532)-SUM(J533)+SUM(J534))*IF($H480=TRUE,1,J$2517),0)))</f>
        <v/>
      </c>
      <c r="K537" s="421" t="str">
        <f>IF($I477="","",MAX(0,ROUND((SUM($M480)*SUM(K528)*SUM(K535)*SUM(K536)-SUM(K532)-SUM(K533)+SUM(K534))*IF($H480=TRUE,1,K$2517),0)))</f>
        <v/>
      </c>
      <c r="L537" s="421" t="str">
        <f>IF($I477="","",MAX(0,ROUND((SUM($M480)*SUM(L528)*SUM(L535)*SUM(L536)-SUM(L532)-SUM(L533)+SUM(L534))*IF($H480=TRUE,1,L$2517),0)))</f>
        <v/>
      </c>
      <c r="M537" s="421" t="str">
        <f>IF($I477="","",MAX(0,ROUND((SUM($M480)*SUM(M528)*SUM(M535)*SUM(M536)-SUM(M532)-SUM(M533)+SUM(M534))*IF($H480=TRUE,1,M$2517),0)))</f>
        <v/>
      </c>
      <c r="N537" s="967" t="str">
        <f>IF($I477="","",MAX(0,ROUND((SUM($M480+IF(L480=52,0.415,0))*SUM(N528)*SUM(N535)*SUM(N536)-SUM(N532)-SUM(N533)+SUM(N534))*IF($H480=TRUE,1,N$2517),0)))</f>
        <v/>
      </c>
      <c r="O537" s="19"/>
      <c r="P537" s="343"/>
      <c r="Q537" s="343"/>
      <c r="R537" s="343"/>
      <c r="S537" s="343"/>
      <c r="T537" s="343"/>
      <c r="U537" s="349"/>
      <c r="V537" s="349"/>
    </row>
    <row r="538" spans="1:22" s="534" customFormat="1" ht="12.75" customHeight="1" x14ac:dyDescent="0.3">
      <c r="A538" s="343"/>
      <c r="B538" s="15"/>
      <c r="C538" s="17"/>
      <c r="D538" s="1386"/>
      <c r="E538" s="514" t="str">
        <f>Translations!$B$1569</f>
        <v>Skillnad i tilldelning</v>
      </c>
      <c r="F538" s="514"/>
      <c r="G538" s="514"/>
      <c r="H538" s="129" t="str">
        <f>EUconst_EUA</f>
        <v>EUA</v>
      </c>
      <c r="I538" s="1151"/>
      <c r="J538" s="1131" t="str">
        <f>IF($I477="","",ABS(SUM(J537)-SUM(J497)))</f>
        <v/>
      </c>
      <c r="K538" s="421" t="str">
        <f>IF($I477="","",ABS(SUM(K537)-SUM(K497)))</f>
        <v/>
      </c>
      <c r="L538" s="421" t="str">
        <f>IF($I477="","",ABS(SUM(L537)-SUM(L497)))</f>
        <v/>
      </c>
      <c r="M538" s="421" t="str">
        <f>IF($I477="","",ABS(SUM(M537)-SUM(M497)))</f>
        <v/>
      </c>
      <c r="N538" s="967" t="str">
        <f>IF($I477="","",ABS(SUM(N537)-SUM(N497)))</f>
        <v/>
      </c>
      <c r="O538" s="19"/>
      <c r="P538" s="343"/>
      <c r="Q538" s="343"/>
      <c r="R538" s="343"/>
      <c r="S538" s="343"/>
      <c r="T538" s="343"/>
      <c r="U538" s="349"/>
      <c r="V538" s="349"/>
    </row>
    <row r="539" spans="1:22" s="534" customFormat="1" ht="12.75" customHeight="1" x14ac:dyDescent="0.3">
      <c r="A539" s="343"/>
      <c r="B539" s="15"/>
      <c r="C539" s="17"/>
      <c r="D539" s="1386"/>
      <c r="E539" s="1419" t="str">
        <f>Translations!$B$1576</f>
        <v>Kriterium 4c: Är skillnaden minst 100 utsläppsrätter?</v>
      </c>
      <c r="F539" s="1419"/>
      <c r="G539" s="1419"/>
      <c r="H539" s="1424" t="s">
        <v>1112</v>
      </c>
      <c r="I539" s="1425"/>
      <c r="J539" s="1426" t="str">
        <f>IF($I477="","",J538&gt;=100)</f>
        <v/>
      </c>
      <c r="K539" s="1427" t="str">
        <f>IF($I477="","",K538&gt;=100)</f>
        <v/>
      </c>
      <c r="L539" s="1427" t="str">
        <f>IF($I477="","",L538&gt;=100)</f>
        <v/>
      </c>
      <c r="M539" s="1427" t="str">
        <f>IF($I477="","",M538&gt;=100)</f>
        <v/>
      </c>
      <c r="N539" s="1428" t="str">
        <f>IF($I477="","",N538&gt;=100)</f>
        <v/>
      </c>
      <c r="O539" s="19"/>
      <c r="P539" s="165" t="str">
        <f>EUconst_CNTR_100EUA_HEAT&amp;I477</f>
        <v>EUA100HEAT_</v>
      </c>
      <c r="Q539" s="343"/>
      <c r="R539" s="343"/>
      <c r="S539" s="343"/>
      <c r="T539" s="343"/>
      <c r="U539" s="349"/>
      <c r="V539" s="349"/>
    </row>
    <row r="540" spans="1:22" s="534" customFormat="1" ht="5.15" customHeight="1" x14ac:dyDescent="0.3">
      <c r="A540" s="343"/>
      <c r="B540" s="15"/>
      <c r="C540" s="17"/>
      <c r="D540" s="1386"/>
      <c r="E540" s="15"/>
      <c r="F540" s="15"/>
      <c r="G540" s="15"/>
      <c r="H540" s="15"/>
      <c r="I540" s="941"/>
      <c r="J540" s="15"/>
      <c r="K540" s="15"/>
      <c r="L540" s="15"/>
      <c r="M540" s="15"/>
      <c r="N540" s="968"/>
      <c r="O540" s="19"/>
      <c r="P540" s="343"/>
      <c r="Q540" s="343"/>
      <c r="R540" s="343"/>
      <c r="S540" s="343"/>
      <c r="T540" s="343"/>
      <c r="U540" s="349"/>
      <c r="V540" s="349"/>
    </row>
    <row r="541" spans="1:22" s="534" customFormat="1" ht="12.75" customHeight="1" x14ac:dyDescent="0.3">
      <c r="A541" s="343"/>
      <c r="B541" s="15"/>
      <c r="C541" s="17"/>
      <c r="D541" s="1386"/>
      <c r="E541" s="42" t="str">
        <f>Translations!$B$1577</f>
        <v>Ändringar: HVC-korrigering</v>
      </c>
      <c r="F541" s="188"/>
      <c r="G541" s="188"/>
      <c r="H541" s="30" t="str">
        <f>EUconst_Unit</f>
        <v>Enhet</v>
      </c>
      <c r="I541" s="1157"/>
      <c r="J541" s="1065">
        <f>J$2596</f>
        <v>2021</v>
      </c>
      <c r="K541" s="350">
        <f>K$2596</f>
        <v>2022</v>
      </c>
      <c r="L541" s="350">
        <f>L$2596</f>
        <v>2023</v>
      </c>
      <c r="M541" s="350">
        <f>M$2596</f>
        <v>2024</v>
      </c>
      <c r="N541" s="966">
        <f>N$2596</f>
        <v>2025</v>
      </c>
      <c r="O541" s="19"/>
      <c r="P541" s="343"/>
      <c r="Q541" s="343"/>
      <c r="R541" s="343"/>
      <c r="S541" s="343"/>
      <c r="T541" s="343"/>
      <c r="U541" s="349"/>
      <c r="V541" s="349"/>
    </row>
    <row r="542" spans="1:22" s="534" customFormat="1" ht="12.75" hidden="1" customHeight="1" x14ac:dyDescent="0.3">
      <c r="A542" s="343" t="str">
        <f>IF(P542="","ausblenden","")</f>
        <v>ausblenden</v>
      </c>
      <c r="B542" s="15"/>
      <c r="C542" s="17"/>
      <c r="D542" s="1386"/>
      <c r="E542" s="514" t="s">
        <v>1918</v>
      </c>
      <c r="F542" s="514"/>
      <c r="G542" s="514"/>
      <c r="H542" s="917" t="str">
        <f>H528</f>
        <v>ton</v>
      </c>
      <c r="I542" s="514"/>
      <c r="J542" s="1152" t="str">
        <f>J491</f>
        <v/>
      </c>
      <c r="K542" s="943" t="str">
        <f t="shared" ref="K542:N544" si="37">J586</f>
        <v/>
      </c>
      <c r="L542" s="943" t="str">
        <f t="shared" si="37"/>
        <v/>
      </c>
      <c r="M542" s="943" t="str">
        <f t="shared" si="37"/>
        <v/>
      </c>
      <c r="N542" s="1389" t="str">
        <f t="shared" si="37"/>
        <v/>
      </c>
      <c r="O542" s="19"/>
      <c r="P542" s="343"/>
      <c r="Q542" s="343"/>
      <c r="R542" s="343"/>
      <c r="S542" s="343"/>
      <c r="T542" s="343"/>
      <c r="U542" s="349"/>
      <c r="V542" s="349"/>
    </row>
    <row r="543" spans="1:22" s="534" customFormat="1" ht="12.75" hidden="1" customHeight="1" x14ac:dyDescent="0.3">
      <c r="A543" s="343" t="str">
        <f>IF(P543="","ausblenden","")</f>
        <v>ausblenden</v>
      </c>
      <c r="B543" s="15"/>
      <c r="C543" s="17"/>
      <c r="D543" s="1386"/>
      <c r="E543" s="944" t="s">
        <v>339</v>
      </c>
      <c r="F543" s="944"/>
      <c r="G543" s="944"/>
      <c r="H543" s="954" t="str">
        <f>EUconst_EUA</f>
        <v>EUA</v>
      </c>
      <c r="I543" s="945"/>
      <c r="J543" s="1209" t="str">
        <f>J492</f>
        <v/>
      </c>
      <c r="K543" s="1210" t="str">
        <f t="shared" si="37"/>
        <v/>
      </c>
      <c r="L543" s="1210" t="str">
        <f t="shared" si="37"/>
        <v/>
      </c>
      <c r="M543" s="1210" t="str">
        <f t="shared" si="37"/>
        <v/>
      </c>
      <c r="N543" s="1390" t="str">
        <f t="shared" si="37"/>
        <v/>
      </c>
      <c r="O543" s="19"/>
      <c r="P543" s="343"/>
      <c r="Q543" s="343"/>
      <c r="R543" s="343"/>
      <c r="S543" s="343"/>
      <c r="T543" s="343"/>
      <c r="U543" s="349"/>
      <c r="V543" s="349"/>
    </row>
    <row r="544" spans="1:22" s="534" customFormat="1" ht="12.75" hidden="1" customHeight="1" x14ac:dyDescent="0.3">
      <c r="A544" s="343" t="str">
        <f>IF(P544="","ausblenden","")</f>
        <v>ausblenden</v>
      </c>
      <c r="B544" s="15"/>
      <c r="C544" s="17"/>
      <c r="D544" s="1386"/>
      <c r="E544" s="1433" t="s">
        <v>1560</v>
      </c>
      <c r="F544" s="1433"/>
      <c r="G544" s="1433"/>
      <c r="H544" s="1434" t="str">
        <f>EUconst_EUA</f>
        <v>EUA</v>
      </c>
      <c r="I544" s="1435"/>
      <c r="J544" s="1436" t="str">
        <f>J493</f>
        <v/>
      </c>
      <c r="K544" s="1437" t="str">
        <f t="shared" si="37"/>
        <v/>
      </c>
      <c r="L544" s="1437" t="str">
        <f t="shared" si="37"/>
        <v/>
      </c>
      <c r="M544" s="1437" t="str">
        <f t="shared" si="37"/>
        <v/>
      </c>
      <c r="N544" s="1438" t="str">
        <f t="shared" si="37"/>
        <v/>
      </c>
      <c r="O544" s="19"/>
      <c r="P544" s="343"/>
      <c r="Q544" s="343"/>
      <c r="R544" s="343"/>
      <c r="S544" s="343"/>
      <c r="T544" s="343"/>
      <c r="U544" s="349"/>
      <c r="V544" s="349"/>
    </row>
    <row r="545" spans="1:22" s="534" customFormat="1" ht="12.75" customHeight="1" x14ac:dyDescent="0.3">
      <c r="A545" s="343"/>
      <c r="B545" s="15"/>
      <c r="C545" s="17"/>
      <c r="D545" s="1386"/>
      <c r="E545" s="944" t="str">
        <f>Translations!$B$1482</f>
        <v>Genomsnittligt årligt värde</v>
      </c>
      <c r="F545" s="944"/>
      <c r="G545" s="944"/>
      <c r="H545" s="954" t="str">
        <f>EUconst_EUA</f>
        <v>EUA</v>
      </c>
      <c r="I545" s="945"/>
      <c r="J545" s="1445" t="str">
        <f>IF(L480=42,INDEX(H_SpecialBM!J:J,MATCH($P545,H_SpecialBM!$Q:$Q,0)),"")</f>
        <v/>
      </c>
      <c r="K545" s="1446" t="str">
        <f>IF(L480=42,INDEX(H_SpecialBM!K:K,MATCH($P545,H_SpecialBM!$Q:$Q,0)),"")</f>
        <v/>
      </c>
      <c r="L545" s="1446" t="str">
        <f>IF(L480=42,INDEX(H_SpecialBM!L:L,MATCH($P545,H_SpecialBM!$Q:$Q,0)),"")</f>
        <v/>
      </c>
      <c r="M545" s="1446" t="str">
        <f>IF(L480=42,INDEX(H_SpecialBM!M:M,MATCH($P545,H_SpecialBM!$Q:$Q,0)),"")</f>
        <v/>
      </c>
      <c r="N545" s="1447" t="str">
        <f>IF(L480=42,INDEX(H_SpecialBM!N:N,MATCH($P545,H_SpecialBM!$Q:$Q,0)),"")</f>
        <v/>
      </c>
      <c r="O545" s="19"/>
      <c r="P545" s="165" t="str">
        <f>EUconst_CNTR_HVCInitial &amp; INDEX(EUconst_BMlistNames,42)</f>
        <v>HVCIni_Ångkrackning</v>
      </c>
      <c r="Q545" s="343"/>
      <c r="R545" s="343"/>
      <c r="S545" s="343"/>
      <c r="T545" s="343"/>
      <c r="U545" s="349"/>
      <c r="V545" s="349"/>
    </row>
    <row r="546" spans="1:22" s="534" customFormat="1" ht="12.75" customHeight="1" x14ac:dyDescent="0.3">
      <c r="A546" s="343"/>
      <c r="B546" s="15"/>
      <c r="C546" s="17"/>
      <c r="D546" s="1386"/>
      <c r="E546" s="947" t="str">
        <f>Translations!$B$1571</f>
        <v>Ändring jämfört med värde enligt nationella genomförandeåtgärder</v>
      </c>
      <c r="F546" s="947"/>
      <c r="G546" s="947"/>
      <c r="H546" s="1370" t="s">
        <v>1112</v>
      </c>
      <c r="I546" s="1371"/>
      <c r="J546" s="1415" t="str">
        <f>IF(L480=42,INDEX(H_SpecialBM!J:J,MATCH($P546,H_SpecialBM!$Q:$Q,0)),"")</f>
        <v/>
      </c>
      <c r="K546" s="1416" t="str">
        <f>IF(L480=42,INDEX(H_SpecialBM!K:K,MATCH($P546,H_SpecialBM!$Q:$Q,0)),"")</f>
        <v/>
      </c>
      <c r="L546" s="1416" t="str">
        <f>IF(L480=42,INDEX(H_SpecialBM!L:L,MATCH($P546,H_SpecialBM!$Q:$Q,0)),"")</f>
        <v/>
      </c>
      <c r="M546" s="1416" t="str">
        <f>IF(L480=42,INDEX(H_SpecialBM!M:M,MATCH($P546,H_SpecialBM!$Q:$Q,0)),"")</f>
        <v/>
      </c>
      <c r="N546" s="1417" t="str">
        <f>IF(L480=42,INDEX(H_SpecialBM!N:N,MATCH($P546,H_SpecialBM!$Q:$Q,0)),"")</f>
        <v/>
      </c>
      <c r="O546" s="19"/>
      <c r="P546" s="165" t="str">
        <f>EUconst_CNTR_RelThreshold &amp; P548</f>
        <v>RelThresh_HVCprelim_</v>
      </c>
      <c r="Q546" s="343"/>
      <c r="R546" s="343"/>
      <c r="S546" s="343"/>
      <c r="T546" s="343"/>
      <c r="U546" s="349"/>
      <c r="V546" s="349"/>
    </row>
    <row r="547" spans="1:22" s="534" customFormat="1" ht="12.75" customHeight="1" x14ac:dyDescent="0.3">
      <c r="A547" s="343"/>
      <c r="B547" s="15"/>
      <c r="C547" s="17"/>
      <c r="D547" s="1386"/>
      <c r="E547" s="1418" t="str">
        <f>Translations!$B$1578</f>
        <v>Kriterium 3d: Har relativa tröskelvärden överskridits?</v>
      </c>
      <c r="F547" s="1418"/>
      <c r="G547" s="1418"/>
      <c r="H547" s="1423" t="s">
        <v>1112</v>
      </c>
      <c r="I547" s="1423"/>
      <c r="J547" s="1420" t="str">
        <f>IF(L480=42,INDEX(H_SpecialBM!V:V,MATCH($P547,H_SpecialBM!$Q:$Q,0)),"")</f>
        <v/>
      </c>
      <c r="K547" s="1421" t="str">
        <f>IF(L480=42,INDEX(H_SpecialBM!W:W,MATCH($P547,H_SpecialBM!$Q:$Q,0)),"")</f>
        <v/>
      </c>
      <c r="L547" s="1421" t="str">
        <f>IF(L480=42,INDEX(H_SpecialBM!X:X,MATCH($P547,H_SpecialBM!$Q:$Q,0)),"")</f>
        <v/>
      </c>
      <c r="M547" s="1421" t="str">
        <f>IF(L480=42,INDEX(H_SpecialBM!Y:Y,MATCH($P547,H_SpecialBM!$Q:$Q,0)),"")</f>
        <v/>
      </c>
      <c r="N547" s="1422" t="str">
        <f>IF(L480=42,INDEX(H_SpecialBM!Z:Z,MATCH($P547,H_SpecialBM!$Q:$Q,0)),"")</f>
        <v/>
      </c>
      <c r="O547" s="19"/>
      <c r="P547" s="165" t="str">
        <f>P546</f>
        <v>RelThresh_HVCprelim_</v>
      </c>
      <c r="Q547" s="343"/>
      <c r="R547" s="343"/>
      <c r="S547" s="343"/>
      <c r="T547" s="343"/>
      <c r="U547" s="349"/>
      <c r="V547" s="349"/>
    </row>
    <row r="548" spans="1:22" s="534" customFormat="1" ht="12.75" customHeight="1" x14ac:dyDescent="0.3">
      <c r="A548" s="343" t="str">
        <f>IF(P548="","ausblenden","")</f>
        <v/>
      </c>
      <c r="B548" s="15"/>
      <c r="C548" s="17"/>
      <c r="D548" s="1386"/>
      <c r="E548" s="950" t="str">
        <f>Translations!$B$1568</f>
        <v>Preliminärt värde</v>
      </c>
      <c r="F548" s="950"/>
      <c r="G548" s="950"/>
      <c r="H548" s="957" t="str">
        <f>EUconst_EUA</f>
        <v>EUA</v>
      </c>
      <c r="I548" s="951"/>
      <c r="J548" s="1381" t="str">
        <f>IF($L480=42,INDEX(H_SpecialBM!J:J,MATCH($P548,H_SpecialBM!$Q:$Q,0)),"")</f>
        <v/>
      </c>
      <c r="K548" s="1382" t="str">
        <f>IF($L480=42,INDEX(H_SpecialBM!K:K,MATCH($P548,H_SpecialBM!$Q:$Q,0)),"")</f>
        <v/>
      </c>
      <c r="L548" s="1382" t="str">
        <f>IF($L480=42,INDEX(H_SpecialBM!L:L,MATCH($P548,H_SpecialBM!$Q:$Q,0)),"")</f>
        <v/>
      </c>
      <c r="M548" s="1382" t="str">
        <f>IF($L480=42,INDEX(H_SpecialBM!M:M,MATCH($P548,H_SpecialBM!$Q:$Q,0)),"")</f>
        <v/>
      </c>
      <c r="N548" s="1396" t="str">
        <f>IF($L480=42,INDEX(H_SpecialBM!N:N,MATCH($P548,H_SpecialBM!$Q:$Q,0)),"")</f>
        <v/>
      </c>
      <c r="O548" s="19"/>
      <c r="P548" s="165" t="str">
        <f>EUconst_CNTR_HVCprelim</f>
        <v>HVCprelim_</v>
      </c>
      <c r="Q548" s="343"/>
      <c r="R548" s="343"/>
      <c r="S548" s="343"/>
      <c r="T548" s="343"/>
      <c r="U548" s="349"/>
      <c r="V548" s="349"/>
    </row>
    <row r="549" spans="1:22" s="534" customFormat="1" ht="12.75" hidden="1" customHeight="1" x14ac:dyDescent="0.3">
      <c r="A549" s="343" t="str">
        <f>IF(P549="","ausblenden","")</f>
        <v>ausblenden</v>
      </c>
      <c r="B549" s="15"/>
      <c r="C549" s="17"/>
      <c r="D549" s="1386"/>
      <c r="E549" s="1376" t="s">
        <v>1526</v>
      </c>
      <c r="F549" s="1376"/>
      <c r="G549" s="1376"/>
      <c r="H549" s="1378" t="s">
        <v>1112</v>
      </c>
      <c r="I549" s="1377"/>
      <c r="J549" s="1379" t="str">
        <f>J495</f>
        <v/>
      </c>
      <c r="K549" s="1380" t="str">
        <f t="shared" ref="K549:N550" si="38">J590</f>
        <v/>
      </c>
      <c r="L549" s="1380" t="str">
        <f t="shared" si="38"/>
        <v/>
      </c>
      <c r="M549" s="1380" t="str">
        <f t="shared" si="38"/>
        <v/>
      </c>
      <c r="N549" s="1397" t="str">
        <f t="shared" si="38"/>
        <v/>
      </c>
      <c r="O549" s="19"/>
      <c r="P549" s="343"/>
      <c r="Q549" s="343"/>
      <c r="R549" s="343"/>
      <c r="S549" s="343"/>
      <c r="T549" s="343"/>
      <c r="U549" s="349"/>
      <c r="V549" s="349"/>
    </row>
    <row r="550" spans="1:22" s="534" customFormat="1" ht="12.75" hidden="1" customHeight="1" x14ac:dyDescent="0.3">
      <c r="A550" s="343" t="str">
        <f>IF(P550="","ausblenden","")</f>
        <v>ausblenden</v>
      </c>
      <c r="B550" s="15"/>
      <c r="C550" s="17"/>
      <c r="D550" s="1386"/>
      <c r="E550" s="950" t="s">
        <v>1528</v>
      </c>
      <c r="F550" s="950"/>
      <c r="G550" s="950"/>
      <c r="H550" s="957" t="s">
        <v>1112</v>
      </c>
      <c r="I550" s="951"/>
      <c r="J550" s="1213" t="str">
        <f>J496</f>
        <v/>
      </c>
      <c r="K550" s="1214" t="str">
        <f t="shared" si="38"/>
        <v/>
      </c>
      <c r="L550" s="1214" t="str">
        <f t="shared" si="38"/>
        <v/>
      </c>
      <c r="M550" s="1214" t="str">
        <f t="shared" si="38"/>
        <v/>
      </c>
      <c r="N550" s="1393" t="str">
        <f t="shared" si="38"/>
        <v/>
      </c>
      <c r="O550" s="19"/>
      <c r="P550" s="343"/>
      <c r="Q550" s="343"/>
      <c r="R550" s="343"/>
      <c r="S550" s="343"/>
      <c r="T550" s="343"/>
      <c r="U550" s="349"/>
      <c r="V550" s="349"/>
    </row>
    <row r="551" spans="1:22" s="534" customFormat="1" ht="12.75" customHeight="1" x14ac:dyDescent="0.3">
      <c r="A551" s="343"/>
      <c r="B551" s="15"/>
      <c r="C551" s="17"/>
      <c r="D551" s="1386"/>
      <c r="E551" s="514" t="str">
        <f>Translations!$B$1565</f>
        <v>Preliminärt tilldelningsvärde</v>
      </c>
      <c r="F551" s="514"/>
      <c r="G551" s="514"/>
      <c r="H551" s="129" t="str">
        <f>EUconst_EUA</f>
        <v>EUA</v>
      </c>
      <c r="I551" s="1151"/>
      <c r="J551" s="1131" t="str">
        <f>IF(J548="","",MAX(0,ROUND((SUM($M480)*SUM(J542)*SUM(J549)*SUM(J550)-SUM(J543)-SUM(J544)+SUM(J548))*IF($H480=TRUE,1,J$2517),0)))</f>
        <v/>
      </c>
      <c r="K551" s="421" t="str">
        <f>IF(K548="","",MAX(0,ROUND((SUM($M480)*SUM(K542)*SUM(K549)*SUM(K550)-SUM(K543)-SUM(K544)+SUM(K548))*IF($H480=TRUE,1,K$2517),0)))</f>
        <v/>
      </c>
      <c r="L551" s="421" t="str">
        <f>IF(L548="","",MAX(0,ROUND((SUM($M480)*SUM(L542)*SUM(L549)*SUM(L550)-SUM(L543)-SUM(L544)+SUM(L548))*IF($H480=TRUE,1,L$2517),0)))</f>
        <v/>
      </c>
      <c r="M551" s="421" t="str">
        <f>IF(M548="","",MAX(0,ROUND((SUM($M480)*SUM(M542)*SUM(M549)*SUM(M550)-SUM(M543)-SUM(M544)+SUM(M548))*IF($H480=TRUE,1,M$2517),0)))</f>
        <v/>
      </c>
      <c r="N551" s="967" t="str">
        <f>IF(N548="","",MAX(0,ROUND((SUM($M480)*SUM(N542)*SUM(N549)*SUM(N550)-SUM(N543)-SUM(N544)+SUM(N548))*IF($H480=TRUE,1,N$2517),0)))</f>
        <v/>
      </c>
      <c r="O551" s="19"/>
      <c r="P551" s="343"/>
      <c r="Q551" s="343"/>
      <c r="R551" s="343"/>
      <c r="S551" s="343"/>
      <c r="T551" s="343"/>
      <c r="U551" s="349"/>
      <c r="V551" s="349"/>
    </row>
    <row r="552" spans="1:22" s="534" customFormat="1" ht="12.75" customHeight="1" x14ac:dyDescent="0.3">
      <c r="A552" s="343"/>
      <c r="B552" s="15"/>
      <c r="C552" s="17"/>
      <c r="D552" s="1386"/>
      <c r="E552" s="514" t="str">
        <f>Translations!$B$1569</f>
        <v>Skillnad i tilldelning</v>
      </c>
      <c r="F552" s="514"/>
      <c r="G552" s="514"/>
      <c r="H552" s="129" t="str">
        <f>EUconst_EUA</f>
        <v>EUA</v>
      </c>
      <c r="I552" s="1151"/>
      <c r="J552" s="1131" t="str">
        <f>IF(J551="","",ABS(SUM(J551)-SUM(J497)))</f>
        <v/>
      </c>
      <c r="K552" s="421" t="str">
        <f>IF(K551="","",ABS(SUM(K551)-SUM(K497)))</f>
        <v/>
      </c>
      <c r="L552" s="421" t="str">
        <f>IF(L551="","",ABS(SUM(L551)-SUM(L497)))</f>
        <v/>
      </c>
      <c r="M552" s="421" t="str">
        <f>IF(M551="","",ABS(SUM(M551)-SUM(M497)))</f>
        <v/>
      </c>
      <c r="N552" s="967" t="str">
        <f>IF(N551="","",ABS(SUM(N551)-SUM(N497)))</f>
        <v/>
      </c>
      <c r="O552" s="19"/>
      <c r="P552" s="343"/>
      <c r="Q552" s="343"/>
      <c r="R552" s="343"/>
      <c r="S552" s="343"/>
      <c r="T552" s="343"/>
      <c r="U552" s="349"/>
      <c r="V552" s="349"/>
    </row>
    <row r="553" spans="1:22" s="534" customFormat="1" ht="12.75" customHeight="1" x14ac:dyDescent="0.3">
      <c r="A553" s="343"/>
      <c r="B553" s="15"/>
      <c r="C553" s="17"/>
      <c r="D553" s="1386"/>
      <c r="E553" s="1419" t="str">
        <f>Translations!$B$1579</f>
        <v>Kriterium 4d: Är skillnaden minst 100 utsläppsrätter?</v>
      </c>
      <c r="F553" s="514"/>
      <c r="G553" s="514"/>
      <c r="H553" s="1424" t="s">
        <v>1112</v>
      </c>
      <c r="I553" s="1425"/>
      <c r="J553" s="1426" t="str">
        <f>IF(J552="","",J552&gt;=100)</f>
        <v/>
      </c>
      <c r="K553" s="1427" t="str">
        <f>IF(K552="","",K552&gt;=100)</f>
        <v/>
      </c>
      <c r="L553" s="1427" t="str">
        <f>IF(L552="","",L552&gt;=100)</f>
        <v/>
      </c>
      <c r="M553" s="1427" t="str">
        <f>IF(M552="","",M552&gt;=100)</f>
        <v/>
      </c>
      <c r="N553" s="1428" t="str">
        <f>IF(N552="","",N552&gt;=100)</f>
        <v/>
      </c>
      <c r="O553" s="19"/>
      <c r="P553" s="165" t="str">
        <f>EUconst_CNTR_100EUA_HVC&amp;I477</f>
        <v>EUA100HVC_</v>
      </c>
      <c r="Q553" s="343"/>
      <c r="R553" s="343"/>
      <c r="S553" s="343"/>
      <c r="T553" s="343"/>
      <c r="U553" s="349"/>
      <c r="V553" s="349"/>
    </row>
    <row r="554" spans="1:22" s="534" customFormat="1" ht="5.15" customHeight="1" x14ac:dyDescent="0.3">
      <c r="A554" s="343"/>
      <c r="B554" s="15"/>
      <c r="C554" s="17"/>
      <c r="D554" s="1386"/>
      <c r="E554" s="15"/>
      <c r="F554" s="15"/>
      <c r="G554" s="15"/>
      <c r="H554" s="15"/>
      <c r="I554" s="941"/>
      <c r="J554" s="15"/>
      <c r="K554" s="15"/>
      <c r="L554" s="15"/>
      <c r="M554" s="15"/>
      <c r="N554" s="968"/>
      <c r="O554" s="19"/>
      <c r="P554" s="343"/>
      <c r="Q554" s="343"/>
      <c r="R554" s="343"/>
      <c r="S554" s="343"/>
      <c r="T554" s="343"/>
      <c r="U554" s="349"/>
      <c r="V554" s="349"/>
    </row>
    <row r="555" spans="1:22" s="534" customFormat="1" ht="12.75" customHeight="1" x14ac:dyDescent="0.3">
      <c r="A555" s="343"/>
      <c r="B555" s="15"/>
      <c r="C555" s="17"/>
      <c r="D555" s="1386"/>
      <c r="E555" s="42" t="str">
        <f>Translations!$B$1580</f>
        <v>Ändringar: VCM-korrigering</v>
      </c>
      <c r="F555" s="188"/>
      <c r="G555" s="188"/>
      <c r="H555" s="30" t="str">
        <f>EUconst_Unit</f>
        <v>Enhet</v>
      </c>
      <c r="I555" s="1157"/>
      <c r="J555" s="1065">
        <f>J$2596</f>
        <v>2021</v>
      </c>
      <c r="K555" s="350">
        <f>K$2596</f>
        <v>2022</v>
      </c>
      <c r="L555" s="350">
        <f>L$2596</f>
        <v>2023</v>
      </c>
      <c r="M555" s="350">
        <f>M$2596</f>
        <v>2024</v>
      </c>
      <c r="N555" s="966">
        <f>N$2596</f>
        <v>2025</v>
      </c>
      <c r="O555" s="19"/>
      <c r="P555" s="343"/>
      <c r="Q555" s="343"/>
      <c r="R555" s="343"/>
      <c r="S555" s="343"/>
      <c r="T555" s="343"/>
      <c r="U555" s="349"/>
      <c r="V555" s="349"/>
    </row>
    <row r="556" spans="1:22" s="534" customFormat="1" ht="12.75" hidden="1" customHeight="1" x14ac:dyDescent="0.3">
      <c r="A556" s="343" t="str">
        <f>IF(P556="","ausblenden","")</f>
        <v>ausblenden</v>
      </c>
      <c r="B556" s="15"/>
      <c r="C556" s="17"/>
      <c r="D556" s="1386"/>
      <c r="E556" s="514" t="s">
        <v>1918</v>
      </c>
      <c r="F556" s="514"/>
      <c r="G556" s="514"/>
      <c r="H556" s="917" t="str">
        <f>H542</f>
        <v>ton</v>
      </c>
      <c r="I556" s="514"/>
      <c r="J556" s="1152" t="str">
        <f>J491</f>
        <v/>
      </c>
      <c r="K556" s="943" t="str">
        <f t="shared" ref="K556:N560" si="39">J586</f>
        <v/>
      </c>
      <c r="L556" s="943" t="str">
        <f t="shared" si="39"/>
        <v/>
      </c>
      <c r="M556" s="943" t="str">
        <f t="shared" si="39"/>
        <v/>
      </c>
      <c r="N556" s="1389" t="str">
        <f t="shared" si="39"/>
        <v/>
      </c>
      <c r="O556" s="19"/>
      <c r="P556" s="343"/>
      <c r="Q556" s="343"/>
      <c r="R556" s="343"/>
      <c r="S556" s="343"/>
      <c r="T556" s="343"/>
      <c r="U556" s="349"/>
      <c r="V556" s="349"/>
    </row>
    <row r="557" spans="1:22" s="534" customFormat="1" ht="12.75" hidden="1" customHeight="1" x14ac:dyDescent="0.3">
      <c r="A557" s="343" t="str">
        <f>IF(P557="","ausblenden","")</f>
        <v>ausblenden</v>
      </c>
      <c r="B557" s="15"/>
      <c r="C557" s="17"/>
      <c r="D557" s="1386"/>
      <c r="E557" s="944" t="s">
        <v>339</v>
      </c>
      <c r="F557" s="944"/>
      <c r="G557" s="944"/>
      <c r="H557" s="954" t="str">
        <f>EUconst_EUA</f>
        <v>EUA</v>
      </c>
      <c r="I557" s="945"/>
      <c r="J557" s="1209" t="str">
        <f>J492</f>
        <v/>
      </c>
      <c r="K557" s="1210" t="str">
        <f t="shared" si="39"/>
        <v/>
      </c>
      <c r="L557" s="1210" t="str">
        <f t="shared" si="39"/>
        <v/>
      </c>
      <c r="M557" s="1210" t="str">
        <f t="shared" si="39"/>
        <v/>
      </c>
      <c r="N557" s="1390" t="str">
        <f t="shared" si="39"/>
        <v/>
      </c>
      <c r="O557" s="19"/>
      <c r="P557" s="343"/>
      <c r="Q557" s="343"/>
      <c r="R557" s="343"/>
      <c r="S557" s="343"/>
      <c r="T557" s="343"/>
      <c r="U557" s="349"/>
      <c r="V557" s="349"/>
    </row>
    <row r="558" spans="1:22" s="534" customFormat="1" ht="12.75" hidden="1" customHeight="1" x14ac:dyDescent="0.3">
      <c r="A558" s="343" t="str">
        <f>IF(P558="","ausblenden","")</f>
        <v>ausblenden</v>
      </c>
      <c r="B558" s="15"/>
      <c r="C558" s="17"/>
      <c r="D558" s="1386"/>
      <c r="E558" s="947" t="s">
        <v>1560</v>
      </c>
      <c r="F558" s="947"/>
      <c r="G558" s="947"/>
      <c r="H558" s="955" t="str">
        <f>EUconst_EUA</f>
        <v>EUA</v>
      </c>
      <c r="I558" s="948"/>
      <c r="J558" s="1165" t="str">
        <f>J493</f>
        <v/>
      </c>
      <c r="K558" s="975" t="str">
        <f t="shared" si="39"/>
        <v/>
      </c>
      <c r="L558" s="975" t="str">
        <f t="shared" si="39"/>
        <v/>
      </c>
      <c r="M558" s="975" t="str">
        <f t="shared" si="39"/>
        <v/>
      </c>
      <c r="N558" s="1391" t="str">
        <f t="shared" si="39"/>
        <v/>
      </c>
      <c r="O558" s="19"/>
      <c r="P558" s="343"/>
      <c r="Q558" s="343"/>
      <c r="R558" s="343"/>
      <c r="S558" s="343"/>
      <c r="T558" s="343"/>
      <c r="U558" s="349"/>
      <c r="V558" s="349"/>
    </row>
    <row r="559" spans="1:22" s="534" customFormat="1" ht="12.75" hidden="1" customHeight="1" x14ac:dyDescent="0.3">
      <c r="A559" s="343" t="str">
        <f>IF(P559="","ausblenden","")</f>
        <v>ausblenden</v>
      </c>
      <c r="B559" s="15"/>
      <c r="C559" s="17"/>
      <c r="D559" s="1386"/>
      <c r="E559" s="947" t="s">
        <v>1527</v>
      </c>
      <c r="F559" s="947"/>
      <c r="G559" s="947"/>
      <c r="H559" s="955" t="str">
        <f>EUconst_EUA</f>
        <v>EUA</v>
      </c>
      <c r="I559" s="948"/>
      <c r="J559" s="1165" t="str">
        <f>J494</f>
        <v/>
      </c>
      <c r="K559" s="975" t="str">
        <f t="shared" si="39"/>
        <v/>
      </c>
      <c r="L559" s="975" t="str">
        <f t="shared" si="39"/>
        <v/>
      </c>
      <c r="M559" s="975" t="str">
        <f t="shared" si="39"/>
        <v/>
      </c>
      <c r="N559" s="1391" t="str">
        <f t="shared" si="39"/>
        <v/>
      </c>
      <c r="O559" s="19"/>
      <c r="P559" s="343"/>
      <c r="Q559" s="343"/>
      <c r="R559" s="343"/>
      <c r="S559" s="343"/>
      <c r="T559" s="343"/>
      <c r="U559" s="349"/>
      <c r="V559" s="349"/>
    </row>
    <row r="560" spans="1:22" s="534" customFormat="1" ht="12.75" hidden="1" customHeight="1" x14ac:dyDescent="0.3">
      <c r="A560" s="343" t="str">
        <f>IF(P560="","ausblenden","")</f>
        <v>ausblenden</v>
      </c>
      <c r="B560" s="15"/>
      <c r="C560" s="17"/>
      <c r="D560" s="1386"/>
      <c r="E560" s="1433" t="s">
        <v>1526</v>
      </c>
      <c r="F560" s="1433"/>
      <c r="G560" s="1433"/>
      <c r="H560" s="1448" t="s">
        <v>1112</v>
      </c>
      <c r="I560" s="1435"/>
      <c r="J560" s="1449" t="str">
        <f>J495</f>
        <v/>
      </c>
      <c r="K560" s="1450" t="str">
        <f t="shared" si="39"/>
        <v/>
      </c>
      <c r="L560" s="1450" t="str">
        <f t="shared" si="39"/>
        <v/>
      </c>
      <c r="M560" s="1450" t="str">
        <f t="shared" si="39"/>
        <v/>
      </c>
      <c r="N560" s="1451" t="str">
        <f t="shared" si="39"/>
        <v/>
      </c>
      <c r="O560" s="19"/>
      <c r="P560" s="343"/>
      <c r="Q560" s="343"/>
      <c r="R560" s="343"/>
      <c r="S560" s="343"/>
      <c r="T560" s="343"/>
      <c r="U560" s="349"/>
      <c r="V560" s="349"/>
    </row>
    <row r="561" spans="1:22" s="534" customFormat="1" ht="12.75" customHeight="1" x14ac:dyDescent="0.3">
      <c r="A561" s="343"/>
      <c r="B561" s="15"/>
      <c r="C561" s="17"/>
      <c r="D561" s="1386"/>
      <c r="E561" s="944" t="str">
        <f>Translations!$B$1482</f>
        <v>Genomsnittligt årligt värde</v>
      </c>
      <c r="F561" s="944"/>
      <c r="G561" s="944"/>
      <c r="H561" s="627" t="s">
        <v>1112</v>
      </c>
      <c r="I561" s="945"/>
      <c r="J561" s="1439" t="str">
        <f>IF(L480=47,INDEX(H_SpecialBM!J:J,MATCH($P561,H_SpecialBM!$Q:$Q,0)),"")</f>
        <v/>
      </c>
      <c r="K561" s="1440" t="str">
        <f>IF(L480=47,INDEX(H_SpecialBM!K:K,MATCH($P561,H_SpecialBM!$Q:$Q,0)),"")</f>
        <v/>
      </c>
      <c r="L561" s="1440" t="str">
        <f>IF(L480=47,INDEX(H_SpecialBM!L:L,MATCH($P561,H_SpecialBM!$Q:$Q,0)),"")</f>
        <v/>
      </c>
      <c r="M561" s="1440" t="str">
        <f>IF(L480=47,INDEX(H_SpecialBM!M:M,MATCH($P561,H_SpecialBM!$Q:$Q,0)),"")</f>
        <v/>
      </c>
      <c r="N561" s="1441" t="str">
        <f>IF(L480=47,INDEX(H_SpecialBM!N:N,MATCH($P561,H_SpecialBM!$Q:$Q,0)),"")</f>
        <v/>
      </c>
      <c r="O561" s="19"/>
      <c r="P561" s="165" t="str">
        <f>EUconst_CNTR_VCMInitial &amp; INDEX(EUconst_BMlistNames,47)</f>
        <v>VCMIni_Vinylkloridmonomer</v>
      </c>
      <c r="Q561" s="343"/>
      <c r="R561" s="343"/>
      <c r="S561" s="343"/>
      <c r="T561" s="343"/>
      <c r="U561" s="349"/>
      <c r="V561" s="349"/>
    </row>
    <row r="562" spans="1:22" s="534" customFormat="1" ht="12.75" customHeight="1" x14ac:dyDescent="0.3">
      <c r="A562" s="343"/>
      <c r="B562" s="15"/>
      <c r="C562" s="17"/>
      <c r="D562" s="1386"/>
      <c r="E562" s="947" t="str">
        <f>Translations!$B$1571</f>
        <v>Ändring jämfört med värde enligt nationella genomförandeåtgärder</v>
      </c>
      <c r="F562" s="947"/>
      <c r="G562" s="947"/>
      <c r="H562" s="1370" t="s">
        <v>1112</v>
      </c>
      <c r="I562" s="1371"/>
      <c r="J562" s="1415" t="str">
        <f>IF(L480=47,INDEX(H_SpecialBM!J:J,MATCH($P562,H_SpecialBM!$Q:$Q,0)),"")</f>
        <v/>
      </c>
      <c r="K562" s="1416" t="str">
        <f>IF(L480=47,INDEX(H_SpecialBM!K:K,MATCH($P562,H_SpecialBM!$Q:$Q,0)),"")</f>
        <v/>
      </c>
      <c r="L562" s="1416" t="str">
        <f>IF(L480=47,INDEX(H_SpecialBM!L:L,MATCH($P562,H_SpecialBM!$Q:$Q,0)),"")</f>
        <v/>
      </c>
      <c r="M562" s="1416" t="str">
        <f>IF(L480=47,INDEX(H_SpecialBM!M:M,MATCH($P562,H_SpecialBM!$Q:$Q,0)),"")</f>
        <v/>
      </c>
      <c r="N562" s="1417" t="str">
        <f>IF(L480=47,INDEX(H_SpecialBM!N:N,MATCH($P562,H_SpecialBM!$Q:$Q,0)),"")</f>
        <v/>
      </c>
      <c r="O562" s="19"/>
      <c r="P562" s="165" t="str">
        <f>EUconst_CNTR_RelThreshold &amp; P564</f>
        <v>RelThresh_VCMprelim_</v>
      </c>
      <c r="Q562" s="343"/>
      <c r="R562" s="343"/>
      <c r="S562" s="343"/>
      <c r="T562" s="343"/>
      <c r="U562" s="349"/>
      <c r="V562" s="349"/>
    </row>
    <row r="563" spans="1:22" s="534" customFormat="1" ht="12.75" customHeight="1" x14ac:dyDescent="0.3">
      <c r="A563" s="343"/>
      <c r="B563" s="15"/>
      <c r="C563" s="17"/>
      <c r="D563" s="1386"/>
      <c r="E563" s="1418" t="str">
        <f>Translations!$B$1581</f>
        <v>Kriterium 3e: Har relativa tröskelvärden överskridits?</v>
      </c>
      <c r="F563" s="1418"/>
      <c r="G563" s="1418"/>
      <c r="H563" s="1423" t="s">
        <v>1112</v>
      </c>
      <c r="I563" s="1423"/>
      <c r="J563" s="1420" t="str">
        <f>IF(L480=47,INDEX(H_SpecialBM!V:V,MATCH($P563,H_SpecialBM!$Q:$Q,0)),"")</f>
        <v/>
      </c>
      <c r="K563" s="1421" t="str">
        <f>IF(L480=47,INDEX(H_SpecialBM!W:W,MATCH($P563,H_SpecialBM!$Q:$Q,0)),"")</f>
        <v/>
      </c>
      <c r="L563" s="1421" t="str">
        <f>IF(L480=47,INDEX(H_SpecialBM!X:X,MATCH($P563,H_SpecialBM!$Q:$Q,0)),"")</f>
        <v/>
      </c>
      <c r="M563" s="1421" t="str">
        <f>IF(L480=47,INDEX(H_SpecialBM!Y:Y,MATCH($P563,H_SpecialBM!$Q:$Q,0)),"")</f>
        <v/>
      </c>
      <c r="N563" s="1422" t="str">
        <f>IF(L480=47,INDEX(H_SpecialBM!Z:Z,MATCH($P563,H_SpecialBM!$Q:$Q,0)),"")</f>
        <v/>
      </c>
      <c r="O563" s="19"/>
      <c r="P563" s="165" t="str">
        <f>P562</f>
        <v>RelThresh_VCMprelim_</v>
      </c>
      <c r="Q563" s="343"/>
      <c r="R563" s="343"/>
      <c r="S563" s="343"/>
      <c r="T563" s="343"/>
      <c r="U563" s="349"/>
      <c r="V563" s="349"/>
    </row>
    <row r="564" spans="1:22" s="534" customFormat="1" ht="12.75" customHeight="1" x14ac:dyDescent="0.3">
      <c r="A564" s="343" t="str">
        <f>IF(P564="","ausblenden","")</f>
        <v/>
      </c>
      <c r="B564" s="15"/>
      <c r="C564" s="17"/>
      <c r="D564" s="1386"/>
      <c r="E564" s="950" t="str">
        <f>Translations!$B$1568</f>
        <v>Preliminärt värde</v>
      </c>
      <c r="F564" s="950"/>
      <c r="G564" s="950"/>
      <c r="H564" s="957" t="s">
        <v>1112</v>
      </c>
      <c r="I564" s="951"/>
      <c r="J564" s="1404" t="str">
        <f>IF($L480=47,IF(ISNUMBER(INDEX(H_SpecialBM!J:J,MATCH($P564,H_SpecialBM!$Q:$Q,0))),INDEX(H_SpecialBM!J:J,MATCH($P564,H_SpecialBM!$Q:$Q,0)),1),"")</f>
        <v/>
      </c>
      <c r="K564" s="1405" t="str">
        <f>IF($L480=47,IF(ISNUMBER(INDEX(H_SpecialBM!K:K,MATCH($P564,H_SpecialBM!$Q:$Q,0))),INDEX(H_SpecialBM!K:K,MATCH($P564,H_SpecialBM!$Q:$Q,0)),1),"")</f>
        <v/>
      </c>
      <c r="L564" s="1405" t="str">
        <f>IF($L480=47,IF(ISNUMBER(INDEX(H_SpecialBM!L:L,MATCH($P564,H_SpecialBM!$Q:$Q,0))),INDEX(H_SpecialBM!L:L,MATCH($P564,H_SpecialBM!$Q:$Q,0)),1),"")</f>
        <v/>
      </c>
      <c r="M564" s="1405" t="str">
        <f>IF($L480=47,IF(ISNUMBER(INDEX(H_SpecialBM!M:M,MATCH($P564,H_SpecialBM!$Q:$Q,0))),INDEX(H_SpecialBM!M:M,MATCH($P564,H_SpecialBM!$Q:$Q,0)),1),"")</f>
        <v/>
      </c>
      <c r="N564" s="1406" t="str">
        <f>IF($L480=47,IF(ISNUMBER(INDEX(H_SpecialBM!N:N,MATCH($P564,H_SpecialBM!$Q:$Q,0))),INDEX(H_SpecialBM!N:N,MATCH($P564,H_SpecialBM!$Q:$Q,0)),1),"")</f>
        <v/>
      </c>
      <c r="O564" s="19"/>
      <c r="P564" s="165" t="str">
        <f>EUconst_CNTR_VCMprelim</f>
        <v>VCMprelim_</v>
      </c>
      <c r="Q564" s="343"/>
      <c r="R564" s="343"/>
      <c r="S564" s="343"/>
      <c r="T564" s="343"/>
      <c r="U564" s="349"/>
      <c r="V564" s="349"/>
    </row>
    <row r="565" spans="1:22" s="534" customFormat="1" ht="12.75" customHeight="1" x14ac:dyDescent="0.3">
      <c r="A565" s="343"/>
      <c r="B565" s="15"/>
      <c r="C565" s="17"/>
      <c r="D565" s="1386"/>
      <c r="E565" s="514" t="str">
        <f>Translations!$B$1565</f>
        <v>Preliminärt tilldelningsvärde</v>
      </c>
      <c r="F565" s="514"/>
      <c r="G565" s="514"/>
      <c r="H565" s="129" t="str">
        <f>EUconst_EUA</f>
        <v>EUA</v>
      </c>
      <c r="I565" s="1151"/>
      <c r="J565" s="1131" t="str">
        <f>IF(J564="","",MAX(0,ROUND((SUM($M480)*SUM(J556)*SUM(J560)*SUM(J564)-SUM(J557)-SUM(J558)+SUM(J559))*IF($H480=TRUE,1,J$2517),0)))</f>
        <v/>
      </c>
      <c r="K565" s="421" t="str">
        <f>IF(K564="","",MAX(0,ROUND((SUM($M480)*SUM(K556)*SUM(K560)*SUM(K564)-SUM(K557)-SUM(K558)+SUM(K559))*IF($H480=TRUE,1,K$2517),0)))</f>
        <v/>
      </c>
      <c r="L565" s="421" t="str">
        <f>IF(L564="","",MAX(0,ROUND((SUM($M480)*SUM(L556)*SUM(L560)*SUM(L564)-SUM(L557)-SUM(L558)+SUM(L559))*IF($H480=TRUE,1,L$2517),0)))</f>
        <v/>
      </c>
      <c r="M565" s="421" t="str">
        <f>IF(M564="","",MAX(0,ROUND((SUM($M480)*SUM(M556)*SUM(M560)*SUM(M564)-SUM(M557)-SUM(M558)+SUM(M559))*IF($H480=TRUE,1,M$2517),0)))</f>
        <v/>
      </c>
      <c r="N565" s="967" t="str">
        <f>IF(N564="","",MAX(0,ROUND((SUM($M480)*SUM(N556)*SUM(N560)*SUM(N564)-SUM(N557)-SUM(N558)+SUM(N559))*IF($H480=TRUE,1,N$2517),0)))</f>
        <v/>
      </c>
      <c r="O565" s="19"/>
      <c r="P565" s="343"/>
      <c r="Q565" s="343"/>
      <c r="R565" s="343"/>
      <c r="S565" s="343"/>
      <c r="T565" s="343"/>
      <c r="U565" s="349"/>
      <c r="V565" s="349"/>
    </row>
    <row r="566" spans="1:22" s="534" customFormat="1" ht="12.75" customHeight="1" x14ac:dyDescent="0.3">
      <c r="A566" s="343"/>
      <c r="B566" s="15"/>
      <c r="C566" s="17"/>
      <c r="D566" s="1386"/>
      <c r="E566" s="514" t="str">
        <f>Translations!$B$1569</f>
        <v>Skillnad i tilldelning</v>
      </c>
      <c r="F566" s="514"/>
      <c r="G566" s="514"/>
      <c r="H566" s="129" t="str">
        <f>EUconst_EUA</f>
        <v>EUA</v>
      </c>
      <c r="I566" s="1151"/>
      <c r="J566" s="1131" t="str">
        <f>IF(J565="","",ABS(SUM(J565)-SUM(J497)))</f>
        <v/>
      </c>
      <c r="K566" s="421" t="str">
        <f>IF(K565="","",ABS(SUM(K565)-SUM(K497)))</f>
        <v/>
      </c>
      <c r="L566" s="421" t="str">
        <f>IF(L565="","",ABS(SUM(L565)-SUM(L497)))</f>
        <v/>
      </c>
      <c r="M566" s="421" t="str">
        <f>IF(M565="","",ABS(SUM(M565)-SUM(M497)))</f>
        <v/>
      </c>
      <c r="N566" s="967" t="str">
        <f>IF(N565="","",ABS(SUM(N565)-SUM(N497)))</f>
        <v/>
      </c>
      <c r="O566" s="19"/>
      <c r="P566" s="343"/>
      <c r="Q566" s="343"/>
      <c r="R566" s="343"/>
      <c r="S566" s="343"/>
      <c r="T566" s="343"/>
      <c r="U566" s="349"/>
      <c r="V566" s="349"/>
    </row>
    <row r="567" spans="1:22" s="534" customFormat="1" ht="12.75" customHeight="1" x14ac:dyDescent="0.3">
      <c r="A567" s="343"/>
      <c r="B567" s="15"/>
      <c r="C567" s="17"/>
      <c r="D567" s="1386"/>
      <c r="E567" s="1419" t="str">
        <f>Translations!$B$1582</f>
        <v>Kriterium 4e: Är skillnaden minst 100 utsläppsrätter?</v>
      </c>
      <c r="F567" s="514"/>
      <c r="G567" s="514"/>
      <c r="H567" s="1424" t="s">
        <v>1112</v>
      </c>
      <c r="I567" s="1425"/>
      <c r="J567" s="1426" t="str">
        <f>IF(J566="","",J566&gt;=100)</f>
        <v/>
      </c>
      <c r="K567" s="1427" t="str">
        <f>IF(K566="","",K566&gt;=100)</f>
        <v/>
      </c>
      <c r="L567" s="1427" t="str">
        <f>IF(L566="","",L566&gt;=100)</f>
        <v/>
      </c>
      <c r="M567" s="1427" t="str">
        <f>IF(M566="","",M566&gt;=100)</f>
        <v/>
      </c>
      <c r="N567" s="1428" t="str">
        <f>IF(N566="","",N566&gt;=100)</f>
        <v/>
      </c>
      <c r="O567" s="19"/>
      <c r="P567" s="165" t="str">
        <f>EUconst_CNTR_100EUA_VCM&amp;I504</f>
        <v>EUA100VCM_</v>
      </c>
      <c r="Q567" s="343"/>
      <c r="R567" s="343"/>
      <c r="S567" s="343"/>
      <c r="T567" s="343"/>
      <c r="U567" s="349"/>
      <c r="V567" s="349"/>
    </row>
    <row r="568" spans="1:22" s="534" customFormat="1" ht="5.15" customHeight="1" x14ac:dyDescent="0.3">
      <c r="A568" s="343"/>
      <c r="B568" s="15"/>
      <c r="C568" s="17"/>
      <c r="D568" s="1386"/>
      <c r="E568" s="15"/>
      <c r="F568" s="15"/>
      <c r="G568" s="15"/>
      <c r="H568" s="15"/>
      <c r="I568" s="941"/>
      <c r="J568" s="15"/>
      <c r="K568" s="15"/>
      <c r="L568" s="15"/>
      <c r="M568" s="15"/>
      <c r="N568" s="968"/>
      <c r="O568" s="19"/>
      <c r="P568" s="343"/>
      <c r="Q568" s="343"/>
      <c r="R568" s="343"/>
      <c r="S568" s="343"/>
      <c r="T568" s="343"/>
      <c r="U568" s="349"/>
      <c r="V568" s="349"/>
    </row>
    <row r="569" spans="1:22" s="534" customFormat="1" ht="12.75" customHeight="1" x14ac:dyDescent="0.3">
      <c r="A569" s="343"/>
      <c r="B569" s="15"/>
      <c r="C569" s="17"/>
      <c r="D569" s="1386"/>
      <c r="E569" s="42" t="str">
        <f>Translations!$B$1583</f>
        <v>Ändringar: Facklad restgas</v>
      </c>
      <c r="F569" s="188"/>
      <c r="G569" s="188"/>
      <c r="H569" s="30" t="str">
        <f>EUconst_Unit</f>
        <v>Enhet</v>
      </c>
      <c r="I569" s="1157"/>
      <c r="J569" s="1065">
        <f>J$2596</f>
        <v>2021</v>
      </c>
      <c r="K569" s="350">
        <f>K$2596</f>
        <v>2022</v>
      </c>
      <c r="L569" s="350">
        <f>L$2596</f>
        <v>2023</v>
      </c>
      <c r="M569" s="350">
        <f>M$2596</f>
        <v>2024</v>
      </c>
      <c r="N569" s="966">
        <f>N$2596</f>
        <v>2025</v>
      </c>
      <c r="O569" s="19"/>
      <c r="P569" s="343"/>
      <c r="Q569" s="343"/>
      <c r="R569" s="343"/>
      <c r="S569" s="343"/>
      <c r="T569" s="343"/>
      <c r="U569" s="349"/>
      <c r="V569" s="349"/>
    </row>
    <row r="570" spans="1:22" s="534" customFormat="1" ht="12.75" hidden="1" customHeight="1" x14ac:dyDescent="0.3">
      <c r="A570" s="343" t="str">
        <f>IF(P570="","ausblenden","")</f>
        <v>ausblenden</v>
      </c>
      <c r="B570" s="15"/>
      <c r="C570" s="17"/>
      <c r="D570" s="1386"/>
      <c r="E570" s="514" t="s">
        <v>1918</v>
      </c>
      <c r="F570" s="514"/>
      <c r="G570" s="514"/>
      <c r="H570" s="917" t="str">
        <f>H556</f>
        <v>ton</v>
      </c>
      <c r="I570" s="514"/>
      <c r="J570" s="1152" t="str">
        <f>J491</f>
        <v/>
      </c>
      <c r="K570" s="943" t="str">
        <f t="shared" ref="K570:N571" si="40">J586</f>
        <v/>
      </c>
      <c r="L570" s="943" t="str">
        <f t="shared" si="40"/>
        <v/>
      </c>
      <c r="M570" s="943" t="str">
        <f t="shared" si="40"/>
        <v/>
      </c>
      <c r="N570" s="1389" t="str">
        <f t="shared" si="40"/>
        <v/>
      </c>
      <c r="O570" s="19"/>
      <c r="P570" s="343"/>
      <c r="Q570" s="343"/>
      <c r="R570" s="343"/>
      <c r="S570" s="343"/>
      <c r="T570" s="343"/>
      <c r="U570" s="349"/>
      <c r="V570" s="349"/>
    </row>
    <row r="571" spans="1:22" s="534" customFormat="1" ht="12.75" hidden="1" customHeight="1" x14ac:dyDescent="0.3">
      <c r="A571" s="343" t="str">
        <f>IF(P571="","ausblenden","")</f>
        <v>ausblenden</v>
      </c>
      <c r="B571" s="15"/>
      <c r="C571" s="17"/>
      <c r="D571" s="1386"/>
      <c r="E571" s="944" t="s">
        <v>339</v>
      </c>
      <c r="F571" s="944"/>
      <c r="G571" s="944"/>
      <c r="H571" s="954" t="str">
        <f>EUconst_EUA</f>
        <v>EUA</v>
      </c>
      <c r="I571" s="945"/>
      <c r="J571" s="1209" t="str">
        <f>J492</f>
        <v/>
      </c>
      <c r="K571" s="1210" t="str">
        <f t="shared" si="40"/>
        <v/>
      </c>
      <c r="L571" s="1210" t="str">
        <f t="shared" si="40"/>
        <v/>
      </c>
      <c r="M571" s="1210" t="str">
        <f t="shared" si="40"/>
        <v/>
      </c>
      <c r="N571" s="1390" t="str">
        <f t="shared" si="40"/>
        <v/>
      </c>
      <c r="O571" s="19"/>
      <c r="P571" s="343"/>
      <c r="Q571" s="343"/>
      <c r="R571" s="343"/>
      <c r="S571" s="343"/>
      <c r="T571" s="343"/>
      <c r="U571" s="349"/>
      <c r="V571" s="349"/>
    </row>
    <row r="572" spans="1:22" s="534" customFormat="1" ht="12.75" customHeight="1" x14ac:dyDescent="0.3">
      <c r="A572" s="343"/>
      <c r="B572" s="15"/>
      <c r="C572" s="17"/>
      <c r="D572" s="1386"/>
      <c r="E572" s="944" t="str">
        <f>Translations!$B$1482</f>
        <v>Genomsnittligt årligt värde</v>
      </c>
      <c r="F572" s="944"/>
      <c r="G572" s="944"/>
      <c r="H572" s="627" t="str">
        <f>EUconst_tCO2</f>
        <v>t CO2</v>
      </c>
      <c r="I572" s="945"/>
      <c r="J572" s="1161" t="str">
        <f>INDEX(F_ProductBM!J:J,MATCH($P572,F_ProductBM!$Q:$Q,0))</f>
        <v/>
      </c>
      <c r="K572" s="946" t="str">
        <f>INDEX(F_ProductBM!K:K,MATCH($P572,F_ProductBM!$Q:$Q,0))</f>
        <v/>
      </c>
      <c r="L572" s="946" t="str">
        <f>INDEX(F_ProductBM!L:L,MATCH($P572,F_ProductBM!$Q:$Q,0))</f>
        <v/>
      </c>
      <c r="M572" s="946" t="str">
        <f>INDEX(F_ProductBM!M:M,MATCH($P572,F_ProductBM!$Q:$Q,0))</f>
        <v/>
      </c>
      <c r="N572" s="1046" t="str">
        <f>INDEX(F_ProductBM!N:N,MATCH($P572,F_ProductBM!$Q:$Q,0))</f>
        <v/>
      </c>
      <c r="O572" s="19"/>
      <c r="P572" s="165" t="str">
        <f>EUconst_CNTR_HALinitial &amp; EUconst_CNTR_WGFlared &amp; I477</f>
        <v>HALini_WasteGasFlare_</v>
      </c>
      <c r="Q572" s="343"/>
      <c r="R572" s="343"/>
      <c r="S572" s="343"/>
      <c r="T572" s="343"/>
      <c r="U572" s="349"/>
      <c r="V572" s="349"/>
    </row>
    <row r="573" spans="1:22" s="534" customFormat="1" ht="12.75" customHeight="1" x14ac:dyDescent="0.3">
      <c r="A573" s="343"/>
      <c r="B573" s="15"/>
      <c r="C573" s="17"/>
      <c r="D573" s="1386"/>
      <c r="E573" s="947" t="str">
        <f>Translations!$B$1571</f>
        <v>Ändring jämfört med värde enligt nationella genomförandeåtgärder</v>
      </c>
      <c r="F573" s="947"/>
      <c r="G573" s="947"/>
      <c r="H573" s="1442" t="s">
        <v>1112</v>
      </c>
      <c r="I573" s="1371"/>
      <c r="J573" s="1415" t="str">
        <f>INDEX(F_ProductBM!J:J,MATCH($P573,F_ProductBM!$Q:$Q,0))</f>
        <v/>
      </c>
      <c r="K573" s="1416" t="str">
        <f>INDEX(F_ProductBM!K:K,MATCH($P573,F_ProductBM!$Q:$Q,0))</f>
        <v/>
      </c>
      <c r="L573" s="1416" t="str">
        <f>INDEX(F_ProductBM!L:L,MATCH($P573,F_ProductBM!$Q:$Q,0))</f>
        <v/>
      </c>
      <c r="M573" s="1416" t="str">
        <f>INDEX(F_ProductBM!M:M,MATCH($P573,F_ProductBM!$Q:$Q,0))</f>
        <v/>
      </c>
      <c r="N573" s="1417" t="str">
        <f>INDEX(F_ProductBM!N:N,MATCH($P573,F_ProductBM!$Q:$Q,0))</f>
        <v/>
      </c>
      <c r="O573" s="19"/>
      <c r="P573" s="165" t="str">
        <f>EUconst_CNTR_RelThreshold &amp; P575</f>
        <v>RelThresh_HALprelim_WasteGasFlare_</v>
      </c>
      <c r="Q573" s="343"/>
      <c r="R573" s="343"/>
      <c r="S573" s="343"/>
      <c r="T573" s="343"/>
      <c r="U573" s="349"/>
      <c r="V573" s="349"/>
    </row>
    <row r="574" spans="1:22" s="534" customFormat="1" ht="12.75" customHeight="1" x14ac:dyDescent="0.3">
      <c r="A574" s="343"/>
      <c r="B574" s="15"/>
      <c r="C574" s="17"/>
      <c r="D574" s="1386"/>
      <c r="E574" s="1418" t="str">
        <f>Translations!$B$1584</f>
        <v>Kriterium 3f: Har relativa tröskelvärden överskridits?</v>
      </c>
      <c r="F574" s="1418"/>
      <c r="G574" s="1418"/>
      <c r="H574" s="1444" t="s">
        <v>1112</v>
      </c>
      <c r="I574" s="1423"/>
      <c r="J574" s="1420" t="str">
        <f>INDEX(F_ProductBM!V:V,MATCH($P574,F_ProductBM!$Q:$Q,0))</f>
        <v/>
      </c>
      <c r="K574" s="1421" t="str">
        <f>INDEX(F_ProductBM!W:W,MATCH($P574,F_ProductBM!$Q:$Q,0))</f>
        <v/>
      </c>
      <c r="L574" s="1421" t="str">
        <f>INDEX(F_ProductBM!X:X,MATCH($P574,F_ProductBM!$Q:$Q,0))</f>
        <v/>
      </c>
      <c r="M574" s="1421" t="str">
        <f>INDEX(F_ProductBM!Y:Y,MATCH($P574,F_ProductBM!$Q:$Q,0))</f>
        <v/>
      </c>
      <c r="N574" s="1422" t="str">
        <f>INDEX(F_ProductBM!Z:Z,MATCH($P574,F_ProductBM!$Q:$Q,0))</f>
        <v/>
      </c>
      <c r="O574" s="19"/>
      <c r="P574" s="165" t="str">
        <f>P573</f>
        <v>RelThresh_HALprelim_WasteGasFlare_</v>
      </c>
      <c r="Q574" s="343"/>
      <c r="R574" s="343"/>
      <c r="S574" s="343"/>
      <c r="T574" s="343"/>
      <c r="U574" s="349"/>
      <c r="V574" s="349"/>
    </row>
    <row r="575" spans="1:22" s="534" customFormat="1" ht="12.75" customHeight="1" x14ac:dyDescent="0.3">
      <c r="A575" s="343" t="str">
        <f>IF(P575="","ausblenden","")</f>
        <v/>
      </c>
      <c r="B575" s="15"/>
      <c r="C575" s="17"/>
      <c r="D575" s="1386"/>
      <c r="E575" s="950" t="str">
        <f>Translations!$B$1568</f>
        <v>Preliminärt värde</v>
      </c>
      <c r="F575" s="950"/>
      <c r="G575" s="950"/>
      <c r="H575" s="957" t="str">
        <f>EUconst_tCO2</f>
        <v>t CO2</v>
      </c>
      <c r="I575" s="951"/>
      <c r="J575" s="1373" t="str">
        <f>IF(OR($I477="",CNTR_SubPeriod=1),"",INDEX(F_ProductBM!J:J,MATCH($P575,F_ProductBM!$Q:$Q,0)))</f>
        <v/>
      </c>
      <c r="K575" s="1374" t="str">
        <f>IF(OR($I477="",CNTR_SubPeriod=1),"",INDEX(F_ProductBM!K:K,MATCH($P575,F_ProductBM!$Q:$Q,0)))</f>
        <v/>
      </c>
      <c r="L575" s="1374" t="str">
        <f>IF(OR($I477="",CNTR_SubPeriod=1),"",INDEX(F_ProductBM!L:L,MATCH($P575,F_ProductBM!$Q:$Q,0)))</f>
        <v/>
      </c>
      <c r="M575" s="1374" t="str">
        <f>IF(OR($I477="",CNTR_SubPeriod=1),"",INDEX(F_ProductBM!M:M,MATCH($P575,F_ProductBM!$Q:$Q,0)))</f>
        <v/>
      </c>
      <c r="N575" s="1395" t="str">
        <f>IF(OR($I477="",CNTR_SubPeriod=1),"",INDEX(F_ProductBM!N:N,MATCH($P575,F_ProductBM!$Q:$Q,0)))</f>
        <v/>
      </c>
      <c r="O575" s="19"/>
      <c r="P575" s="165" t="str">
        <f>EUconst_CNTR_HALprelim&amp;EUconst_CNTR_WGFlared&amp;$I477</f>
        <v>HALprelim_WasteGasFlare_</v>
      </c>
      <c r="Q575" s="343"/>
      <c r="R575" s="343"/>
      <c r="S575" s="343"/>
      <c r="T575" s="343"/>
      <c r="U575" s="349"/>
      <c r="V575" s="349"/>
    </row>
    <row r="576" spans="1:22" s="534" customFormat="1" ht="12.75" hidden="1" customHeight="1" x14ac:dyDescent="0.3">
      <c r="A576" s="343" t="str">
        <f>IF(P576="","ausblenden","")</f>
        <v>ausblenden</v>
      </c>
      <c r="B576" s="15"/>
      <c r="C576" s="17"/>
      <c r="D576" s="1386"/>
      <c r="E576" s="947" t="s">
        <v>1527</v>
      </c>
      <c r="F576" s="947"/>
      <c r="G576" s="947"/>
      <c r="H576" s="955" t="str">
        <f>EUconst_EUA</f>
        <v>EUA</v>
      </c>
      <c r="I576" s="948"/>
      <c r="J576" s="1165" t="str">
        <f>J494</f>
        <v/>
      </c>
      <c r="K576" s="975" t="str">
        <f t="shared" ref="K576:N578" si="41">J589</f>
        <v/>
      </c>
      <c r="L576" s="975" t="str">
        <f t="shared" si="41"/>
        <v/>
      </c>
      <c r="M576" s="975" t="str">
        <f t="shared" si="41"/>
        <v/>
      </c>
      <c r="N576" s="1391" t="str">
        <f t="shared" si="41"/>
        <v/>
      </c>
      <c r="O576" s="19"/>
      <c r="P576" s="343"/>
      <c r="Q576" s="343"/>
      <c r="R576" s="343"/>
      <c r="S576" s="343"/>
      <c r="T576" s="343"/>
      <c r="U576" s="349"/>
      <c r="V576" s="349"/>
    </row>
    <row r="577" spans="1:22" s="534" customFormat="1" ht="12.75" hidden="1" customHeight="1" x14ac:dyDescent="0.3">
      <c r="A577" s="343" t="str">
        <f>IF(P577="","ausblenden","")</f>
        <v>ausblenden</v>
      </c>
      <c r="B577" s="15"/>
      <c r="C577" s="17"/>
      <c r="D577" s="1386"/>
      <c r="E577" s="947" t="s">
        <v>1526</v>
      </c>
      <c r="F577" s="947"/>
      <c r="G577" s="947"/>
      <c r="H577" s="956" t="s">
        <v>1112</v>
      </c>
      <c r="I577" s="948"/>
      <c r="J577" s="1211" t="str">
        <f>J495</f>
        <v/>
      </c>
      <c r="K577" s="1212" t="str">
        <f t="shared" si="41"/>
        <v/>
      </c>
      <c r="L577" s="1212" t="str">
        <f t="shared" si="41"/>
        <v/>
      </c>
      <c r="M577" s="1212" t="str">
        <f t="shared" si="41"/>
        <v/>
      </c>
      <c r="N577" s="1392" t="str">
        <f t="shared" si="41"/>
        <v/>
      </c>
      <c r="O577" s="19"/>
      <c r="P577" s="343"/>
      <c r="Q577" s="343"/>
      <c r="R577" s="343"/>
      <c r="S577" s="343"/>
      <c r="T577" s="343"/>
      <c r="U577" s="349"/>
      <c r="V577" s="349"/>
    </row>
    <row r="578" spans="1:22" s="534" customFormat="1" ht="12.75" hidden="1" customHeight="1" x14ac:dyDescent="0.3">
      <c r="A578" s="343" t="str">
        <f>IF(P578="","ausblenden","")</f>
        <v>ausblenden</v>
      </c>
      <c r="B578" s="15"/>
      <c r="C578" s="17"/>
      <c r="D578" s="1386"/>
      <c r="E578" s="950" t="s">
        <v>1528</v>
      </c>
      <c r="F578" s="950"/>
      <c r="G578" s="950"/>
      <c r="H578" s="957" t="s">
        <v>1112</v>
      </c>
      <c r="I578" s="951"/>
      <c r="J578" s="1213" t="str">
        <f>J496</f>
        <v/>
      </c>
      <c r="K578" s="1214" t="str">
        <f t="shared" si="41"/>
        <v/>
      </c>
      <c r="L578" s="1214" t="str">
        <f t="shared" si="41"/>
        <v/>
      </c>
      <c r="M578" s="1214" t="str">
        <f t="shared" si="41"/>
        <v/>
      </c>
      <c r="N578" s="1393" t="str">
        <f t="shared" si="41"/>
        <v/>
      </c>
      <c r="O578" s="19"/>
      <c r="P578" s="343"/>
      <c r="Q578" s="343"/>
      <c r="R578" s="343"/>
      <c r="S578" s="343"/>
      <c r="T578" s="343"/>
      <c r="U578" s="349"/>
      <c r="V578" s="349"/>
    </row>
    <row r="579" spans="1:22" s="534" customFormat="1" ht="12.75" customHeight="1" x14ac:dyDescent="0.3">
      <c r="A579" s="343"/>
      <c r="B579" s="15"/>
      <c r="C579" s="17"/>
      <c r="D579" s="1386"/>
      <c r="E579" s="514" t="str">
        <f>Translations!$B$1565</f>
        <v>Preliminärt tilldelningsvärde</v>
      </c>
      <c r="F579" s="514"/>
      <c r="G579" s="514"/>
      <c r="H579" s="129" t="str">
        <f>EUconst_EUA</f>
        <v>EUA</v>
      </c>
      <c r="I579" s="1151"/>
      <c r="J579" s="1131" t="str">
        <f>IF(J575="","",MAX(0,ROUND((SUM($M480)*SUM(J570)*SUM(J577)*SUM(J578)-SUM(J571)-SUM(J575)+SUM(J576))*IF($H480=TRUE,1,J$2517),0)))</f>
        <v/>
      </c>
      <c r="K579" s="421" t="str">
        <f>IF(K575="","",MAX(0,ROUND((SUM($M480)*SUM(K570)*SUM(K577)*SUM(K578)-SUM(K571)-SUM(K575)+SUM(K576))*IF($H480=TRUE,1,K$2517),0)))</f>
        <v/>
      </c>
      <c r="L579" s="421" t="str">
        <f>IF(L575="","",MAX(0,ROUND((SUM($M480)*SUM(L570)*SUM(L577)*SUM(L578)-SUM(L571)-SUM(L575)+SUM(L576))*IF($H480=TRUE,1,L$2517),0)))</f>
        <v/>
      </c>
      <c r="M579" s="421" t="str">
        <f>IF(M575="","",MAX(0,ROUND((SUM($M480)*SUM(M570)*SUM(M577)*SUM(M578)-SUM(M571)-SUM(M575)+SUM(M576))*IF($H480=TRUE,1,M$2517),0)))</f>
        <v/>
      </c>
      <c r="N579" s="967" t="str">
        <f>IF(N575="","",MAX(0,ROUND((SUM($M480)*SUM(N570)*SUM(N577)*SUM(N578)-SUM(N571)-SUM(N575)+SUM(N576))*IF($H480=TRUE,1,N$2517),0)))</f>
        <v/>
      </c>
      <c r="O579" s="19"/>
      <c r="P579" s="343"/>
      <c r="Q579" s="343"/>
      <c r="R579" s="343"/>
      <c r="S579" s="343"/>
      <c r="T579" s="343"/>
      <c r="U579" s="349"/>
      <c r="V579" s="349"/>
    </row>
    <row r="580" spans="1:22" s="534" customFormat="1" ht="12.75" customHeight="1" x14ac:dyDescent="0.3">
      <c r="A580" s="343"/>
      <c r="B580" s="15"/>
      <c r="C580" s="17"/>
      <c r="D580" s="1386"/>
      <c r="E580" s="514" t="str">
        <f>Translations!$B$1569</f>
        <v>Skillnad i tilldelning</v>
      </c>
      <c r="F580" s="514"/>
      <c r="G580" s="514"/>
      <c r="H580" s="129" t="str">
        <f>EUconst_EUA</f>
        <v>EUA</v>
      </c>
      <c r="I580" s="1151"/>
      <c r="J580" s="1131" t="str">
        <f>IF(J579="","",ABS(SUM(J579)-SUM(J497)))</f>
        <v/>
      </c>
      <c r="K580" s="421" t="str">
        <f>IF(K579="","",ABS(SUM(K579)-SUM(K497)))</f>
        <v/>
      </c>
      <c r="L580" s="421" t="str">
        <f>IF(L579="","",ABS(SUM(L579)-SUM(L497)))</f>
        <v/>
      </c>
      <c r="M580" s="421" t="str">
        <f>IF(M579="","",ABS(SUM(M579)-SUM(M497)))</f>
        <v/>
      </c>
      <c r="N580" s="967" t="str">
        <f>IF(N579="","",ABS(SUM(N579)-SUM(N497)))</f>
        <v/>
      </c>
      <c r="O580" s="19"/>
      <c r="P580" s="343"/>
      <c r="Q580" s="343"/>
      <c r="R580" s="343"/>
      <c r="S580" s="343"/>
      <c r="T580" s="343"/>
      <c r="U580" s="349"/>
      <c r="V580" s="349"/>
    </row>
    <row r="581" spans="1:22" s="534" customFormat="1" ht="12.75" customHeight="1" x14ac:dyDescent="0.3">
      <c r="A581" s="343"/>
      <c r="B581" s="15"/>
      <c r="C581" s="17"/>
      <c r="D581" s="1386"/>
      <c r="E581" s="1419" t="str">
        <f>Translations!$B$1585</f>
        <v>Kriterium 4f: Är skillnaden minst 100 utsläppsrätter?</v>
      </c>
      <c r="F581" s="514"/>
      <c r="G581" s="514"/>
      <c r="H581" s="1424" t="s">
        <v>1112</v>
      </c>
      <c r="I581" s="1425"/>
      <c r="J581" s="1426" t="str">
        <f>IF(J580="","",J580&gt;=100)</f>
        <v/>
      </c>
      <c r="K581" s="1427" t="str">
        <f>IF(K580="","",K580&gt;=100)</f>
        <v/>
      </c>
      <c r="L581" s="1427" t="str">
        <f>IF(L580="","",L580&gt;=100)</f>
        <v/>
      </c>
      <c r="M581" s="1427" t="str">
        <f>IF(M580="","",M580&gt;=100)</f>
        <v/>
      </c>
      <c r="N581" s="1428" t="str">
        <f>IF(N580="","",N580&gt;=100)</f>
        <v/>
      </c>
      <c r="O581" s="19"/>
      <c r="P581" s="165" t="str">
        <f>EUconst_CNTR_100EUA_WGFlare&amp;I477</f>
        <v>EUA100WGFlare_</v>
      </c>
      <c r="Q581" s="343"/>
      <c r="R581" s="343"/>
      <c r="S581" s="343"/>
      <c r="T581" s="343"/>
      <c r="U581" s="349"/>
      <c r="V581" s="349"/>
    </row>
    <row r="582" spans="1:22" s="534" customFormat="1" ht="12.75" customHeight="1" thickBot="1" x14ac:dyDescent="0.35">
      <c r="A582" s="343"/>
      <c r="B582" s="15"/>
      <c r="C582" s="17"/>
      <c r="D582" s="1398"/>
      <c r="E582" s="973"/>
      <c r="F582" s="973"/>
      <c r="G582" s="973"/>
      <c r="H582" s="973"/>
      <c r="I582" s="1399"/>
      <c r="J582" s="973"/>
      <c r="K582" s="973"/>
      <c r="L582" s="973"/>
      <c r="M582" s="973"/>
      <c r="N582" s="974"/>
      <c r="O582" s="19"/>
      <c r="P582" s="343"/>
      <c r="Q582" s="343"/>
      <c r="R582" s="343"/>
      <c r="S582" s="343"/>
      <c r="T582" s="343"/>
      <c r="U582" s="349"/>
      <c r="V582" s="349"/>
    </row>
    <row r="583" spans="1:22" s="534" customFormat="1" ht="5.15" customHeight="1" thickBot="1" x14ac:dyDescent="0.35">
      <c r="A583" s="343"/>
      <c r="B583" s="15"/>
      <c r="C583" s="17"/>
      <c r="D583" s="17"/>
      <c r="E583" s="15"/>
      <c r="F583" s="15"/>
      <c r="G583" s="15"/>
      <c r="H583" s="15"/>
      <c r="I583" s="941"/>
      <c r="J583" s="15"/>
      <c r="K583" s="15"/>
      <c r="L583" s="15"/>
      <c r="M583" s="15"/>
      <c r="N583" s="15"/>
      <c r="O583" s="19"/>
      <c r="P583" s="343"/>
      <c r="Q583" s="343"/>
      <c r="R583" s="343"/>
      <c r="S583" s="343"/>
      <c r="T583" s="343"/>
      <c r="U583" s="349"/>
      <c r="V583" s="349"/>
    </row>
    <row r="584" spans="1:22" s="534" customFormat="1" ht="5.15" customHeight="1" x14ac:dyDescent="0.25">
      <c r="A584" s="343"/>
      <c r="B584" s="15"/>
      <c r="C584" s="15"/>
      <c r="D584" s="961"/>
      <c r="E584" s="962"/>
      <c r="F584" s="962"/>
      <c r="G584" s="962"/>
      <c r="H584" s="962"/>
      <c r="I584" s="963"/>
      <c r="J584" s="962"/>
      <c r="K584" s="962"/>
      <c r="L584" s="962"/>
      <c r="M584" s="962"/>
      <c r="N584" s="964"/>
      <c r="O584" s="19"/>
      <c r="P584" s="343"/>
      <c r="Q584" s="343"/>
      <c r="R584" s="343"/>
      <c r="S584" s="343"/>
      <c r="T584" s="7"/>
      <c r="U584" s="349"/>
      <c r="V584" s="349"/>
    </row>
    <row r="585" spans="1:22" s="534" customFormat="1" ht="13" x14ac:dyDescent="0.25">
      <c r="A585" s="343"/>
      <c r="B585" s="15"/>
      <c r="C585" s="15"/>
      <c r="D585" s="965"/>
      <c r="E585" s="39" t="str">
        <f>Translations!$B$1586</f>
        <v>Faktiska använda värden</v>
      </c>
      <c r="F585" s="15"/>
      <c r="G585" s="15"/>
      <c r="H585" s="30" t="str">
        <f>EUconst_Unit</f>
        <v>Enhet</v>
      </c>
      <c r="I585" s="1614" t="str">
        <f>Translations!$B$1510</f>
        <v>Basvärde</v>
      </c>
      <c r="J585" s="1065">
        <f>J$2596</f>
        <v>2021</v>
      </c>
      <c r="K585" s="350">
        <f>K$2596</f>
        <v>2022</v>
      </c>
      <c r="L585" s="350">
        <f>L$2596</f>
        <v>2023</v>
      </c>
      <c r="M585" s="350">
        <f>M$2596</f>
        <v>2024</v>
      </c>
      <c r="N585" s="966">
        <f>N$2596</f>
        <v>2025</v>
      </c>
      <c r="O585" s="19"/>
      <c r="P585" s="343"/>
      <c r="Q585" s="343"/>
      <c r="R585" s="343"/>
      <c r="S585" s="297" t="s">
        <v>1846</v>
      </c>
      <c r="T585" s="7"/>
      <c r="U585" s="349"/>
      <c r="V585" s="349"/>
    </row>
    <row r="586" spans="1:22" s="534" customFormat="1" x14ac:dyDescent="0.25">
      <c r="A586" s="343"/>
      <c r="B586" s="15"/>
      <c r="C586" s="15"/>
      <c r="D586" s="965"/>
      <c r="E586" s="944" t="str">
        <f>Translations!$B$1587</f>
        <v>Verksamhetsnivå</v>
      </c>
      <c r="F586" s="944"/>
      <c r="G586" s="944"/>
      <c r="H586" s="1443" t="str">
        <f>H570</f>
        <v>ton</v>
      </c>
      <c r="I586" s="1615" t="str">
        <f>IF($I477="","",IF(T592&gt;=$H$2595,0,S586))</f>
        <v/>
      </c>
      <c r="J586" s="1161" t="str">
        <f>IF($I477="","",INDEX(F_ProductBM!J:J,MATCH($P586,F_ProductBM!$Q:$Q,0)))</f>
        <v/>
      </c>
      <c r="K586" s="946" t="str">
        <f>IF($I477="","",INDEX(F_ProductBM!K:K,MATCH($P586,F_ProductBM!$Q:$Q,0)))</f>
        <v/>
      </c>
      <c r="L586" s="946" t="str">
        <f>IF($I477="","",INDEX(F_ProductBM!L:L,MATCH($P586,F_ProductBM!$Q:$Q,0)))</f>
        <v/>
      </c>
      <c r="M586" s="946" t="str">
        <f>IF($I477="","",INDEX(F_ProductBM!M:M,MATCH($P586,F_ProductBM!$Q:$Q,0)))</f>
        <v/>
      </c>
      <c r="N586" s="1046" t="str">
        <f>IF($I477="","",INDEX(F_ProductBM!N:N,MATCH($P586,F_ProductBM!$Q:$Q,0)))</f>
        <v/>
      </c>
      <c r="O586" s="19"/>
      <c r="P586" s="165" t="str">
        <f>EUconst_CNTR_HALfinal&amp;I477</f>
        <v>HALfinal_</v>
      </c>
      <c r="Q586" s="343"/>
      <c r="R586" s="343"/>
      <c r="S586" s="1691" t="str">
        <f>IF($I477="","",INDEX(F_ProductBM!I:I,MATCH($P586,F_ProductBM!$Q:$Q,0)))</f>
        <v/>
      </c>
      <c r="T586" s="7"/>
      <c r="U586" s="349"/>
      <c r="V586" s="349"/>
    </row>
    <row r="587" spans="1:22" s="534" customFormat="1" x14ac:dyDescent="0.25">
      <c r="A587" s="343"/>
      <c r="B587" s="15"/>
      <c r="C587" s="15"/>
      <c r="D587" s="965"/>
      <c r="E587" s="1376" t="str">
        <f>Translations!$B$1036</f>
        <v>Värme utanför ETS</v>
      </c>
      <c r="F587" s="1376"/>
      <c r="G587" s="1376"/>
      <c r="H587" s="1429" t="str">
        <f>EUconst_EUA</f>
        <v>EUA</v>
      </c>
      <c r="I587" s="1616" t="str">
        <f>IF($I477="","",IF(YEAR(J480)&gt;=$H$2595-1,0,S587))</f>
        <v/>
      </c>
      <c r="J587" s="1430" t="str">
        <f>IF($I477="","",INDEX(F_ProductBM!J:J,MATCH($P587,F_ProductBM!$Q:$Q,0)))</f>
        <v/>
      </c>
      <c r="K587" s="1431" t="str">
        <f>IF($I477="","",INDEX(F_ProductBM!K:K,MATCH($P587,F_ProductBM!$Q:$Q,0)))</f>
        <v/>
      </c>
      <c r="L587" s="1431" t="str">
        <f>IF($I477="","",INDEX(F_ProductBM!L:L,MATCH($P587,F_ProductBM!$Q:$Q,0)))</f>
        <v/>
      </c>
      <c r="M587" s="1431" t="str">
        <f>IF($I477="","",INDEX(F_ProductBM!M:M,MATCH($P587,F_ProductBM!$Q:$Q,0)))</f>
        <v/>
      </c>
      <c r="N587" s="1432" t="str">
        <f>IF($I477="","",INDEX(F_ProductBM!N:N,MATCH($P587,F_ProductBM!$Q:$Q,0)))</f>
        <v/>
      </c>
      <c r="O587" s="19"/>
      <c r="P587" s="165" t="str">
        <f>EUconst_CNTR_HEATfinal&amp;I477</f>
        <v>HEATfinal_</v>
      </c>
      <c r="Q587" s="343"/>
      <c r="R587" s="343"/>
      <c r="S587" s="1692" t="str">
        <f>IF($I477="","",INDEX(F_ProductBM!I:I,MATCH($P587,F_ProductBM!$Q:$Q,0)))</f>
        <v/>
      </c>
      <c r="T587" s="7"/>
      <c r="U587" s="349"/>
      <c r="V587" s="349"/>
    </row>
    <row r="588" spans="1:22" s="534" customFormat="1" x14ac:dyDescent="0.25">
      <c r="A588" s="343"/>
      <c r="B588" s="15"/>
      <c r="C588" s="15"/>
      <c r="D588" s="965"/>
      <c r="E588" s="947" t="str">
        <f>Translations!$B$1038</f>
        <v>Wgfacklad</v>
      </c>
      <c r="F588" s="947"/>
      <c r="G588" s="947"/>
      <c r="H588" s="955" t="str">
        <f>EUconst_EUA</f>
        <v>EUA</v>
      </c>
      <c r="I588" s="1617" t="str">
        <f>IF($I477="","",IF(T592&gt;=$H$2595,0,S588))</f>
        <v/>
      </c>
      <c r="J588" s="1162" t="str">
        <f>IF($I477="","",INDEX(F_ProductBM!J:J,MATCH($P588,F_ProductBM!$Q:$Q,0)))</f>
        <v/>
      </c>
      <c r="K588" s="949" t="str">
        <f>IF($I477="","",INDEX(F_ProductBM!K:K,MATCH($P588,F_ProductBM!$Q:$Q,0)))</f>
        <v/>
      </c>
      <c r="L588" s="949" t="str">
        <f>IF($I477="","",INDEX(F_ProductBM!L:L,MATCH($P588,F_ProductBM!$Q:$Q,0)))</f>
        <v/>
      </c>
      <c r="M588" s="949" t="str">
        <f>IF($I477="","",INDEX(F_ProductBM!M:M,MATCH($P588,F_ProductBM!$Q:$Q,0)))</f>
        <v/>
      </c>
      <c r="N588" s="969" t="str">
        <f>IF($I477="","",INDEX(F_ProductBM!N:N,MATCH($P588,F_ProductBM!$Q:$Q,0)))</f>
        <v/>
      </c>
      <c r="O588" s="19"/>
      <c r="P588" s="165" t="str">
        <f>EUconst_CNTR_HALfinal&amp;EUconst_CNTR_WGFlared&amp;$I477</f>
        <v>HALfinal_WasteGasFlare_</v>
      </c>
      <c r="Q588" s="343"/>
      <c r="R588" s="343"/>
      <c r="S588" s="1693" t="str">
        <f>IF($I477="","",INDEX(F_ProductBM!I:I,MATCH($P588,F_ProductBM!$Q:$Q,0)))</f>
        <v/>
      </c>
      <c r="T588" s="7"/>
      <c r="U588" s="349"/>
      <c r="V588" s="349"/>
    </row>
    <row r="589" spans="1:22" s="534" customFormat="1" x14ac:dyDescent="0.25">
      <c r="A589" s="343"/>
      <c r="B589" s="15"/>
      <c r="C589" s="15"/>
      <c r="D589" s="965"/>
      <c r="E589" s="947" t="s">
        <v>1527</v>
      </c>
      <c r="F589" s="947"/>
      <c r="G589" s="947"/>
      <c r="H589" s="955" t="str">
        <f>EUconst_EUA</f>
        <v>EUA</v>
      </c>
      <c r="I589" s="1617" t="str">
        <f>IF($I477="","",IF(T592&gt;=$H$2595,0,IF(L480=42,S589,0)))</f>
        <v/>
      </c>
      <c r="J589" s="1162" t="str">
        <f>IF($I477="","",IF($L480=42,INDEX(H_SpecialBM!J:J,MATCH($P589,H_SpecialBM!$Q:$Q,0)),0))</f>
        <v/>
      </c>
      <c r="K589" s="949" t="str">
        <f>IF($I477="","",IF($L480=42,INDEX(H_SpecialBM!K:K,MATCH($P589,H_SpecialBM!$Q:$Q,0)),0))</f>
        <v/>
      </c>
      <c r="L589" s="949" t="str">
        <f>IF($I477="","",IF($L480=42,INDEX(H_SpecialBM!L:L,MATCH($P589,H_SpecialBM!$Q:$Q,0)),0))</f>
        <v/>
      </c>
      <c r="M589" s="949" t="str">
        <f>IF($I477="","",IF($L480=42,INDEX(H_SpecialBM!M:M,MATCH($P589,H_SpecialBM!$Q:$Q,0)),0))</f>
        <v/>
      </c>
      <c r="N589" s="969" t="str">
        <f>IF($I477="","",IF($L480=42,INDEX(H_SpecialBM!N:N,MATCH($P589,H_SpecialBM!$Q:$Q,0)),0))</f>
        <v/>
      </c>
      <c r="O589" s="19"/>
      <c r="P589" s="165" t="str">
        <f>EUconst_CNTR_HVCfinal</f>
        <v>HVCfinal_</v>
      </c>
      <c r="Q589" s="343"/>
      <c r="R589" s="343"/>
      <c r="S589" s="1693" t="str">
        <f>IF($I477="","",IF(L480=42,INDEX(H_SpecialBM!I:I,MATCH($P589,H_SpecialBM!$Q:$Q,0)),0))</f>
        <v/>
      </c>
      <c r="T589" s="7"/>
      <c r="U589" s="349"/>
      <c r="V589" s="349"/>
    </row>
    <row r="590" spans="1:22" s="534" customFormat="1" x14ac:dyDescent="0.25">
      <c r="A590" s="343"/>
      <c r="B590" s="15"/>
      <c r="C590" s="15"/>
      <c r="D590" s="965"/>
      <c r="E590" s="947" t="s">
        <v>1526</v>
      </c>
      <c r="F590" s="947"/>
      <c r="G590" s="947"/>
      <c r="H590" s="956" t="s">
        <v>1112</v>
      </c>
      <c r="I590" s="1618" t="str">
        <f>IF(AND($I477&lt;&gt;"",$I480=TRUE),IF(T592&gt;=$H$2595,1,S590),IF($I477="","",1))</f>
        <v/>
      </c>
      <c r="J590" s="1163" t="str">
        <f>IF(AND($I477&lt;&gt;"",$I480=TRUE),INDEX(F_ProductBM!J:J,MATCH($P590,F_ProductBM!$Q:$Q,0)),IF($I477="","",1))</f>
        <v/>
      </c>
      <c r="K590" s="959" t="str">
        <f>IF(AND($I477&lt;&gt;"",$I480=TRUE),INDEX(F_ProductBM!K:K,MATCH($P590,F_ProductBM!$Q:$Q,0)),IF($I477="","",1))</f>
        <v/>
      </c>
      <c r="L590" s="959" t="str">
        <f>IF(AND($I477&lt;&gt;"",$I480=TRUE),INDEX(F_ProductBM!L:L,MATCH($P590,F_ProductBM!$Q:$Q,0)),IF($I477="","",1))</f>
        <v/>
      </c>
      <c r="M590" s="959" t="str">
        <f>IF(AND($I477&lt;&gt;"",$I480=TRUE),INDEX(F_ProductBM!M:M,MATCH($P590,F_ProductBM!$Q:$Q,0)),IF($I477="","",1))</f>
        <v/>
      </c>
      <c r="N590" s="970" t="str">
        <f>IF(AND($I477&lt;&gt;"",$I480=TRUE),INDEX(F_ProductBM!N:N,MATCH($P590,F_ProductBM!$Q:$Q,0)),IF($I477="","",1))</f>
        <v/>
      </c>
      <c r="O590" s="19"/>
      <c r="P590" s="165" t="str">
        <f>EUconst_CNTR_HALfinal&amp;EUconst_CNTR_ELEXCH&amp;$I477</f>
        <v>HALfinal_ELEXCH_</v>
      </c>
      <c r="Q590" s="343"/>
      <c r="R590" s="343"/>
      <c r="S590" s="1694" t="str">
        <f>IF(AND($I477&lt;&gt;"",$I480=TRUE),INDEX(F_ProductBM!I:I,MATCH($P590,F_ProductBM!$Q:$Q,0)),IF($I477="","",1))</f>
        <v/>
      </c>
      <c r="T590" s="343"/>
      <c r="U590" s="349"/>
      <c r="V590" s="349"/>
    </row>
    <row r="591" spans="1:22" s="534" customFormat="1" x14ac:dyDescent="0.25">
      <c r="A591" s="343"/>
      <c r="B591" s="15"/>
      <c r="C591" s="15"/>
      <c r="D591" s="965"/>
      <c r="E591" s="950" t="s">
        <v>1528</v>
      </c>
      <c r="F591" s="950"/>
      <c r="G591" s="950"/>
      <c r="H591" s="957" t="s">
        <v>1112</v>
      </c>
      <c r="I591" s="1619" t="str">
        <f>IF($I477="","",IF($L480=47,IF(AND(ISNUMBER(S591),YEAR(J480)&lt;2021),S591,1),1))</f>
        <v/>
      </c>
      <c r="J591" s="1164" t="str">
        <f>IF($I477="","",IF($L480=47,IF(ISNUMBER(INDEX(H_SpecialBM!J:J,MATCH($P591,H_SpecialBM!$Q:$Q,0))),INDEX(H_SpecialBM!J:J,MATCH($P591,H_SpecialBM!$Q:$Q,0)),1),1))</f>
        <v/>
      </c>
      <c r="K591" s="958" t="str">
        <f>IF($I477="","",IF($L480=47,IF(ISNUMBER(INDEX(H_SpecialBM!K:K,MATCH($P591,H_SpecialBM!$Q:$Q,0))),INDEX(H_SpecialBM!K:K,MATCH($P591,H_SpecialBM!$Q:$Q,0)),1),1))</f>
        <v/>
      </c>
      <c r="L591" s="958" t="str">
        <f>IF($I477="","",IF($L480=47,IF(ISNUMBER(INDEX(H_SpecialBM!L:L,MATCH($P591,H_SpecialBM!$Q:$Q,0))),INDEX(H_SpecialBM!L:L,MATCH($P591,H_SpecialBM!$Q:$Q,0)),1),1))</f>
        <v/>
      </c>
      <c r="M591" s="958" t="str">
        <f>IF($I477="","",IF($L480=47,IF(ISNUMBER(INDEX(H_SpecialBM!M:M,MATCH($P591,H_SpecialBM!$Q:$Q,0))),INDEX(H_SpecialBM!M:M,MATCH($P591,H_SpecialBM!$Q:$Q,0)),1),1))</f>
        <v/>
      </c>
      <c r="N591" s="971" t="str">
        <f>IF($I477="","",IF($L480=47,IF(ISNUMBER(INDEX(H_SpecialBM!N:N,MATCH($P591,H_SpecialBM!$Q:$Q,0))),INDEX(H_SpecialBM!N:N,MATCH($P591,H_SpecialBM!$Q:$Q,0)),1),1))</f>
        <v/>
      </c>
      <c r="O591" s="19"/>
      <c r="P591" s="165" t="str">
        <f>EUconst_CNTR_VCMfinal</f>
        <v>VCMfinal_</v>
      </c>
      <c r="Q591" s="343"/>
      <c r="R591" s="343"/>
      <c r="S591" s="1695" t="str">
        <f>IF($I477="","",IF($L480=47,IF(ISNUMBER(INDEX(H_SpecialBM!I:I,MATCH($P591,H_SpecialBM!$Q:$Q,0))),INDEX(H_SpecialBM!I:I,MATCH($P591,H_SpecialBM!$Q:$Q,0)),1),1))</f>
        <v/>
      </c>
      <c r="T591" s="343"/>
      <c r="U591" s="349"/>
      <c r="V591" s="349"/>
    </row>
    <row r="592" spans="1:22" s="534" customFormat="1" x14ac:dyDescent="0.25">
      <c r="A592" s="343"/>
      <c r="B592" s="15"/>
      <c r="C592" s="15"/>
      <c r="D592" s="965"/>
      <c r="E592" s="514" t="str">
        <f>Translations!$B$956</f>
        <v>Preliminär tilldelning</v>
      </c>
      <c r="F592" s="514"/>
      <c r="G592" s="514"/>
      <c r="H592" s="129" t="str">
        <f>EUconst_EUA</f>
        <v>EUA</v>
      </c>
      <c r="I592" s="1620" t="str">
        <f>IF($I477="","",MAX(0,ROUND((SUM($M480)*SUM(I586)*SUM(I590)*SUM(I591)-SUM(I587)-SUM(I588)+SUM(I589))*IF($H480=TRUE,1,J$2517),0)))</f>
        <v/>
      </c>
      <c r="J592" s="1131" t="str">
        <f>IF($I477="","",MAX(0,ROUND((SUM($M480)*SUM(J586)*SUM(J590)*SUM(J591)-SUM(J587)-SUM(J588)+SUM(J589))*IF($H480=TRUE,1,J$2517),0)))</f>
        <v/>
      </c>
      <c r="K592" s="421" t="str">
        <f>IF($I477="","",MAX(0,ROUND((SUM($M480)*SUM(K586)*SUM(K590)*SUM(K591)-SUM(K587)-SUM(K588)+SUM(K589))*IF($H480=TRUE,1,K$2517),0)))</f>
        <v/>
      </c>
      <c r="L592" s="421" t="str">
        <f>IF($I477="","",MAX(0,ROUND((SUM($M480)*SUM(L586)*SUM(L590)*SUM(L591)-SUM(L587)-SUM(L588)+SUM(L589))*IF($H480=TRUE,1,L$2517),0)))</f>
        <v/>
      </c>
      <c r="M592" s="421" t="str">
        <f>IF($I477="","",MAX(0,ROUND((SUM($M480)*SUM(M586)*SUM(M590)*SUM(M591)-SUM(M587)-SUM(M588)+SUM(M589))*IF($H480=TRUE,1,M$2517),0)))</f>
        <v/>
      </c>
      <c r="N592" s="967" t="str">
        <f>IF($I477="","",MAX(0,ROUND((SUM($M480+IF(L480=52,0.415,0))*SUM(N586)*SUM(N590)*SUM(N591)-SUM(N587)-SUM(N588)+SUM(N589))*IF($H480=TRUE,1,N$2517),0)))</f>
        <v/>
      </c>
      <c r="O592" s="19"/>
      <c r="P592" s="165" t="str">
        <f>EUconst_AllocPrelim&amp;I477</f>
        <v>AllocPrelim_</v>
      </c>
      <c r="Q592" s="343"/>
      <c r="R592" s="343"/>
      <c r="S592" s="1696" t="str">
        <f>IF($I477="","",MAX(0,ROUND((SUM($M480)*SUM(S586)*SUM(S590)*SUM(S591)-SUM(S587)-SUM(S588)+SUM(S589))*IF($H480=TRUE,1,J$2517),0)))</f>
        <v/>
      </c>
      <c r="T592" s="663">
        <f>INDEX(F_ProductBM!V:V,MATCH(C477,F_ProductBM!C:C,0))</f>
        <v>2005</v>
      </c>
      <c r="U592" s="603" t="e">
        <f>OR(INDEX(I592:N592,CNTR_ReportingYear-$I$2596)&lt;&gt;INDEX(I592:N592,CNTR_ReportingYear-$H$2596),
(CNTR_ReportingYear-T592)&lt;=1)</f>
        <v>#REF!</v>
      </c>
      <c r="V592" s="355" t="b">
        <f ca="1">IF(I592="",FALSE,COUNTIF(OFFSET(I592,,,,MAX(1,CNTR_ReportingYear-$I$2596)),"&lt;&gt;" &amp; INDEX(I592:N592,CNTR_ReportingYear-$H$2596))&gt;0)</f>
        <v>0</v>
      </c>
    </row>
    <row r="593" spans="1:22" s="534" customFormat="1" ht="5.15" customHeight="1" thickBot="1" x14ac:dyDescent="0.3">
      <c r="A593" s="343"/>
      <c r="B593" s="15"/>
      <c r="C593" s="15"/>
      <c r="D593" s="972"/>
      <c r="E593" s="973"/>
      <c r="F593" s="973"/>
      <c r="G593" s="973"/>
      <c r="H593" s="973"/>
      <c r="I593" s="973"/>
      <c r="J593" s="973"/>
      <c r="K593" s="973"/>
      <c r="L593" s="973"/>
      <c r="M593" s="973"/>
      <c r="N593" s="974"/>
      <c r="O593" s="19"/>
      <c r="P593" s="343"/>
      <c r="Q593" s="343"/>
      <c r="R593" s="343"/>
      <c r="S593" s="343"/>
      <c r="T593" s="343"/>
      <c r="U593" s="349"/>
      <c r="V593" s="349"/>
    </row>
    <row r="594" spans="1:22" s="534" customFormat="1" ht="5.15" customHeight="1" thickBot="1" x14ac:dyDescent="0.3">
      <c r="A594" s="343"/>
      <c r="B594" s="15"/>
      <c r="C594" s="15"/>
      <c r="E594" s="289"/>
      <c r="F594" s="15"/>
      <c r="G594" s="15"/>
      <c r="H594" s="15"/>
      <c r="I594" s="15"/>
      <c r="J594" s="15"/>
      <c r="K594" s="15"/>
      <c r="L594" s="15"/>
      <c r="M594" s="15"/>
      <c r="N594" s="15"/>
      <c r="O594" s="19"/>
      <c r="P594" s="343"/>
      <c r="Q594" s="343"/>
      <c r="R594" s="343"/>
      <c r="S594" s="343"/>
      <c r="T594" s="343"/>
      <c r="U594" s="349"/>
      <c r="V594" s="349"/>
    </row>
    <row r="595" spans="1:22" s="534" customFormat="1" ht="12.75" customHeight="1" x14ac:dyDescent="0.25">
      <c r="A595" s="343"/>
      <c r="B595" s="15"/>
      <c r="C595" s="15"/>
      <c r="D595" s="1452"/>
      <c r="E595" s="1453"/>
      <c r="F595" s="1453"/>
      <c r="G595" s="777"/>
      <c r="H595" s="777"/>
      <c r="I595" s="777"/>
      <c r="J595" s="777"/>
      <c r="K595" s="777"/>
      <c r="L595" s="777"/>
      <c r="M595" s="777"/>
      <c r="N595" s="778"/>
      <c r="O595" s="19"/>
      <c r="P595" s="343"/>
      <c r="Q595" s="343"/>
      <c r="R595" s="343"/>
      <c r="S595" s="343"/>
      <c r="T595" s="343"/>
      <c r="U595" s="349"/>
      <c r="V595" s="349"/>
    </row>
    <row r="596" spans="1:22" s="534" customFormat="1" ht="13.5" thickBot="1" x14ac:dyDescent="0.3">
      <c r="A596" s="343"/>
      <c r="B596" s="15"/>
      <c r="C596" s="15"/>
      <c r="D596" s="1454"/>
      <c r="E596" s="416"/>
      <c r="F596" s="416"/>
      <c r="G596" s="415" t="str">
        <f>EUconst_Unit</f>
        <v>Enhet</v>
      </c>
      <c r="H596" s="744">
        <f t="shared" ref="H596:M596" si="42">H$2596</f>
        <v>2019</v>
      </c>
      <c r="I596" s="1155">
        <f t="shared" si="42"/>
        <v>2020</v>
      </c>
      <c r="J596" s="1104">
        <f t="shared" si="42"/>
        <v>2021</v>
      </c>
      <c r="K596" s="362">
        <f t="shared" si="42"/>
        <v>2022</v>
      </c>
      <c r="L596" s="362">
        <f t="shared" si="42"/>
        <v>2023</v>
      </c>
      <c r="M596" s="362">
        <f t="shared" si="42"/>
        <v>2024</v>
      </c>
      <c r="N596" s="1141">
        <f>N$2596</f>
        <v>2025</v>
      </c>
      <c r="O596" s="19"/>
      <c r="P596" s="343"/>
      <c r="Q596" s="343"/>
      <c r="R596" s="343"/>
      <c r="S596" s="343"/>
      <c r="T596" s="7"/>
      <c r="U596" s="349"/>
      <c r="V596" s="349"/>
    </row>
    <row r="597" spans="1:22" s="534" customFormat="1" ht="13.5" customHeight="1" thickBot="1" x14ac:dyDescent="0.3">
      <c r="A597" s="343"/>
      <c r="B597" s="15"/>
      <c r="C597" s="15"/>
      <c r="D597" s="1454"/>
      <c r="E597" s="2747" t="str">
        <f>Translations!$B$1056</f>
        <v>Totala tillskrivna utsläpp</v>
      </c>
      <c r="F597" s="2747"/>
      <c r="G597" s="710" t="str">
        <f>EUconst_tCO2epa</f>
        <v>t CO2e/år</v>
      </c>
      <c r="H597" s="735" t="str">
        <f t="shared" ref="H597:N597" si="43">INDEX(H$92:H$108,MATCH($I477,$E$92:$E$108,0))</f>
        <v/>
      </c>
      <c r="I597" s="1156" t="str">
        <f t="shared" si="43"/>
        <v/>
      </c>
      <c r="J597" s="735" t="str">
        <f t="shared" si="43"/>
        <v/>
      </c>
      <c r="K597" s="736" t="str">
        <f t="shared" si="43"/>
        <v/>
      </c>
      <c r="L597" s="736" t="str">
        <f t="shared" si="43"/>
        <v/>
      </c>
      <c r="M597" s="736" t="str">
        <f t="shared" si="43"/>
        <v/>
      </c>
      <c r="N597" s="737" t="str">
        <f t="shared" si="43"/>
        <v/>
      </c>
      <c r="O597" s="19"/>
      <c r="P597" s="343"/>
      <c r="Q597" s="343"/>
      <c r="R597" s="343"/>
      <c r="S597" s="343"/>
      <c r="T597" s="7"/>
      <c r="U597" s="349"/>
      <c r="V597" s="349"/>
    </row>
    <row r="598" spans="1:22" s="534" customFormat="1" ht="5.15" customHeight="1" x14ac:dyDescent="0.25">
      <c r="A598" s="343"/>
      <c r="B598" s="15"/>
      <c r="C598" s="15"/>
      <c r="D598" s="1454"/>
      <c r="E598" s="899"/>
      <c r="F598" s="899"/>
      <c r="G598" s="416"/>
      <c r="H598" s="738"/>
      <c r="I598" s="738"/>
      <c r="J598" s="738"/>
      <c r="K598" s="738"/>
      <c r="L598" s="738"/>
      <c r="M598" s="738"/>
      <c r="N598" s="1455"/>
      <c r="O598" s="19"/>
      <c r="P598" s="343"/>
      <c r="Q598" s="343"/>
      <c r="R598" s="343"/>
      <c r="S598" s="343"/>
      <c r="T598" s="7"/>
      <c r="U598" s="349"/>
      <c r="V598" s="349"/>
    </row>
    <row r="599" spans="1:22" s="534" customFormat="1" ht="12.75" customHeight="1" x14ac:dyDescent="0.25">
      <c r="A599" s="343"/>
      <c r="B599" s="15"/>
      <c r="C599" s="15"/>
      <c r="D599" s="1454"/>
      <c r="E599" s="2611" t="str">
        <f>Translations!$B$571</f>
        <v>Insatsbränsle</v>
      </c>
      <c r="F599" s="2484"/>
      <c r="G599" s="365" t="str">
        <f>EUconst_TJpa</f>
        <v>TJ / år</v>
      </c>
      <c r="H599" s="739" t="str">
        <f>IF($I477="","",IF(INDEX(F_ProductBM!H:H,MATCH($P599,F_ProductBM!$Q:$Q,0))="","",INDEX(F_ProductBM!H:H,MATCH($P599,F_ProductBM!$Q:$Q,0))))</f>
        <v/>
      </c>
      <c r="I599" s="1153" t="str">
        <f>IF($I477="","",IF(INDEX(F_ProductBM!I:I,MATCH($P599,F_ProductBM!$Q:$Q,0))="","",INDEX(F_ProductBM!I:I,MATCH($P599,F_ProductBM!$Q:$Q,0))))</f>
        <v/>
      </c>
      <c r="J599" s="1159" t="str">
        <f>IF($I477="","",IF(INDEX(F_ProductBM!J:J,MATCH($P599,F_ProductBM!$Q:$Q,0))="","",INDEX(F_ProductBM!J:J,MATCH($P599,F_ProductBM!$Q:$Q,0))))</f>
        <v/>
      </c>
      <c r="K599" s="739" t="str">
        <f>IF($I477="","",IF(INDEX(F_ProductBM!K:K,MATCH($P599,F_ProductBM!$Q:$Q,0))="","",INDEX(F_ProductBM!K:K,MATCH($P599,F_ProductBM!$Q:$Q,0))))</f>
        <v/>
      </c>
      <c r="L599" s="739" t="str">
        <f>IF($I477="","",IF(INDEX(F_ProductBM!L:L,MATCH($P599,F_ProductBM!$Q:$Q,0))="","",INDEX(F_ProductBM!L:L,MATCH($P599,F_ProductBM!$Q:$Q,0))))</f>
        <v/>
      </c>
      <c r="M599" s="739" t="str">
        <f>IF($I477="","",IF(INDEX(F_ProductBM!M:M,MATCH($P599,F_ProductBM!$Q:$Q,0))="","",INDEX(F_ProductBM!M:M,MATCH($P599,F_ProductBM!$Q:$Q,0))))</f>
        <v/>
      </c>
      <c r="N599" s="1456" t="str">
        <f>IF($I477="","",IF(INDEX(F_ProductBM!N:N,MATCH($P599,F_ProductBM!$Q:$Q,0))="","",INDEX(F_ProductBM!N:N,MATCH($P599,F_ProductBM!$Q:$Q,0))))</f>
        <v/>
      </c>
      <c r="O599" s="19"/>
      <c r="P599" s="622" t="str">
        <f>EUconst_CNTR_FuelInput &amp; I477</f>
        <v>FuelInput_</v>
      </c>
      <c r="Q599" s="343"/>
      <c r="R599" s="343"/>
      <c r="S599" s="343"/>
      <c r="T599" s="7"/>
      <c r="U599" s="349"/>
      <c r="V599" s="349"/>
    </row>
    <row r="600" spans="1:22" s="534" customFormat="1" ht="12.75" customHeight="1" x14ac:dyDescent="0.25">
      <c r="A600" s="343"/>
      <c r="B600" s="15"/>
      <c r="C600" s="15"/>
      <c r="D600" s="1454"/>
      <c r="E600" s="2612" t="str">
        <f>Translations!$B$572</f>
        <v>Viktad emissionsfaktor</v>
      </c>
      <c r="F600" s="2487"/>
      <c r="G600" s="384" t="str">
        <f>EUconst_tCO2pTJ</f>
        <v>t CO2 / TJ</v>
      </c>
      <c r="H600" s="740" t="str">
        <f>IF($I477="","",IF(INDEX(F_ProductBM!H:H,MATCH($P600,F_ProductBM!$Q:$Q,0))="","",INDEX(F_ProductBM!H:H,MATCH($P600,F_ProductBM!$Q:$Q,0))))</f>
        <v/>
      </c>
      <c r="I600" s="1154" t="str">
        <f>IF($I477="","",IF(INDEX(F_ProductBM!I:I,MATCH($P600,F_ProductBM!$Q:$Q,0))="","",INDEX(F_ProductBM!I:I,MATCH($P600,F_ProductBM!$Q:$Q,0))))</f>
        <v/>
      </c>
      <c r="J600" s="1160" t="str">
        <f>IF($I477="","",IF(INDEX(F_ProductBM!J:J,MATCH($P600,F_ProductBM!$Q:$Q,0))="","",INDEX(F_ProductBM!J:J,MATCH($P600,F_ProductBM!$Q:$Q,0))))</f>
        <v/>
      </c>
      <c r="K600" s="740" t="str">
        <f>IF($I477="","",IF(INDEX(F_ProductBM!K:K,MATCH($P600,F_ProductBM!$Q:$Q,0))="","",INDEX(F_ProductBM!K:K,MATCH($P600,F_ProductBM!$Q:$Q,0))))</f>
        <v/>
      </c>
      <c r="L600" s="740" t="str">
        <f>IF($I477="","",IF(INDEX(F_ProductBM!L:L,MATCH($P600,F_ProductBM!$Q:$Q,0))="","",INDEX(F_ProductBM!L:L,MATCH($P600,F_ProductBM!$Q:$Q,0))))</f>
        <v/>
      </c>
      <c r="M600" s="740" t="str">
        <f>IF($I477="","",IF(INDEX(F_ProductBM!M:M,MATCH($P600,F_ProductBM!$Q:$Q,0))="","",INDEX(F_ProductBM!M:M,MATCH($P600,F_ProductBM!$Q:$Q,0))))</f>
        <v/>
      </c>
      <c r="N600" s="1457" t="str">
        <f>IF($I477="","",IF(INDEX(F_ProductBM!N:N,MATCH($P600,F_ProductBM!$Q:$Q,0))="","",INDEX(F_ProductBM!N:N,MATCH($P600,F_ProductBM!$Q:$Q,0))))</f>
        <v/>
      </c>
      <c r="O600" s="19"/>
      <c r="P600" s="298" t="str">
        <f>EUconst_CNTR_FuelEF &amp; I477</f>
        <v>FuelEF_</v>
      </c>
      <c r="Q600" s="343"/>
      <c r="R600" s="343"/>
      <c r="S600" s="343"/>
      <c r="T600" s="7"/>
      <c r="U600" s="349"/>
      <c r="V600" s="349"/>
    </row>
    <row r="601" spans="1:22" s="534" customFormat="1" ht="5.15" customHeight="1" x14ac:dyDescent="0.25">
      <c r="A601" s="343"/>
      <c r="B601" s="15"/>
      <c r="C601" s="15"/>
      <c r="D601" s="1454"/>
      <c r="E601" s="899"/>
      <c r="F601" s="899"/>
      <c r="G601" s="623"/>
      <c r="H601" s="741"/>
      <c r="I601" s="741"/>
      <c r="J601" s="741"/>
      <c r="K601" s="741"/>
      <c r="L601" s="741"/>
      <c r="M601" s="741"/>
      <c r="N601" s="1458"/>
      <c r="O601" s="19"/>
      <c r="P601" s="343"/>
      <c r="Q601" s="343"/>
      <c r="R601" s="343"/>
      <c r="S601" s="343"/>
      <c r="T601" s="7"/>
      <c r="U601" s="349"/>
      <c r="V601" s="349"/>
    </row>
    <row r="602" spans="1:22" s="534" customFormat="1" ht="12.75" customHeight="1" x14ac:dyDescent="0.25">
      <c r="A602" s="343"/>
      <c r="B602" s="15"/>
      <c r="C602" s="15"/>
      <c r="D602" s="1454"/>
      <c r="E602" s="2613" t="str">
        <f>Translations!$B$528</f>
        <v>Direkta utsläpp</v>
      </c>
      <c r="F602" s="1997"/>
      <c r="G602" s="364" t="str">
        <f>EUconst_tCO2pa</f>
        <v>t CO2 / år</v>
      </c>
      <c r="H602" s="742" t="str">
        <f>IF($I477="","",IF(INDEX(F_ProductBM!H:H,MATCH($P602,F_ProductBM!$Q:$Q,0))="","",INDEX(F_ProductBM!H:H,MATCH($P602,F_ProductBM!$Q:$Q,0))))</f>
        <v/>
      </c>
      <c r="I602" s="1021" t="str">
        <f>IF($I477="","",IF(INDEX(F_ProductBM!I:I,MATCH($P602,F_ProductBM!$Q:$Q,0))="","",INDEX(F_ProductBM!I:I,MATCH($P602,F_ProductBM!$Q:$Q,0))))</f>
        <v/>
      </c>
      <c r="J602" s="1158" t="str">
        <f>IF($I477="","",IF(INDEX(F_ProductBM!J:J,MATCH($P602,F_ProductBM!$Q:$Q,0))="","",INDEX(F_ProductBM!J:J,MATCH($P602,F_ProductBM!$Q:$Q,0))))</f>
        <v/>
      </c>
      <c r="K602" s="742" t="str">
        <f>IF($I477="","",IF(INDEX(F_ProductBM!K:K,MATCH($P602,F_ProductBM!$Q:$Q,0))="","",INDEX(F_ProductBM!K:K,MATCH($P602,F_ProductBM!$Q:$Q,0))))</f>
        <v/>
      </c>
      <c r="L602" s="742" t="str">
        <f>IF($I477="","",IF(INDEX(F_ProductBM!L:L,MATCH($P602,F_ProductBM!$Q:$Q,0))="","",INDEX(F_ProductBM!L:L,MATCH($P602,F_ProductBM!$Q:$Q,0))))</f>
        <v/>
      </c>
      <c r="M602" s="742" t="str">
        <f>IF($I477="","",IF(INDEX(F_ProductBM!M:M,MATCH($P602,F_ProductBM!$Q:$Q,0))="","",INDEX(F_ProductBM!M:M,MATCH($P602,F_ProductBM!$Q:$Q,0))))</f>
        <v/>
      </c>
      <c r="N602" s="1459" t="str">
        <f>IF($I477="","",IF(INDEX(F_ProductBM!N:N,MATCH($P602,F_ProductBM!$Q:$Q,0))="","",INDEX(F_ProductBM!N:N,MATCH($P602,F_ProductBM!$Q:$Q,0))))</f>
        <v/>
      </c>
      <c r="O602" s="19"/>
      <c r="P602" s="298" t="str">
        <f>EUconst_CNTR_Emissions &amp; I477</f>
        <v>DirEmissions_</v>
      </c>
      <c r="Q602" s="343"/>
      <c r="R602" s="343"/>
      <c r="S602" s="343"/>
      <c r="T602" s="7"/>
      <c r="U602" s="349"/>
      <c r="V602" s="349"/>
    </row>
    <row r="603" spans="1:22" s="534" customFormat="1" ht="12.75" customHeight="1" x14ac:dyDescent="0.25">
      <c r="A603" s="343"/>
      <c r="B603" s="15"/>
      <c r="C603" s="15"/>
      <c r="D603" s="1454"/>
      <c r="E603" s="2613" t="str">
        <f>Translations!$B$582</f>
        <v>Andra bränsle-/materialmängder – 1</v>
      </c>
      <c r="F603" s="1997"/>
      <c r="G603" s="364" t="str">
        <f>EUconst_tCO2pa</f>
        <v>t CO2 / år</v>
      </c>
      <c r="H603" s="742" t="str">
        <f>IF($I477="","",IF(INDEX(F_ProductBM!H:H,MATCH($P603,F_ProductBM!$Q:$Q,0))="","",INDEX(F_ProductBM!H:H,MATCH($P603,F_ProductBM!$Q:$Q,0))))</f>
        <v/>
      </c>
      <c r="I603" s="1021" t="str">
        <f>IF($I477="","",IF(INDEX(F_ProductBM!I:I,MATCH($P603,F_ProductBM!$Q:$Q,0))="","",INDEX(F_ProductBM!I:I,MATCH($P603,F_ProductBM!$Q:$Q,0))))</f>
        <v/>
      </c>
      <c r="J603" s="1158" t="str">
        <f>IF($I477="","",IF(INDEX(F_ProductBM!J:J,MATCH($P603,F_ProductBM!$Q:$Q,0))="","",INDEX(F_ProductBM!J:J,MATCH($P603,F_ProductBM!$Q:$Q,0))))</f>
        <v/>
      </c>
      <c r="K603" s="742" t="str">
        <f>IF($I477="","",IF(INDEX(F_ProductBM!K:K,MATCH($P603,F_ProductBM!$Q:$Q,0))="","",INDEX(F_ProductBM!K:K,MATCH($P603,F_ProductBM!$Q:$Q,0))))</f>
        <v/>
      </c>
      <c r="L603" s="742" t="str">
        <f>IF($I477="","",IF(INDEX(F_ProductBM!L:L,MATCH($P603,F_ProductBM!$Q:$Q,0))="","",INDEX(F_ProductBM!L:L,MATCH($P603,F_ProductBM!$Q:$Q,0))))</f>
        <v/>
      </c>
      <c r="M603" s="742" t="str">
        <f>IF($I477="","",IF(INDEX(F_ProductBM!M:M,MATCH($P603,F_ProductBM!$Q:$Q,0))="","",INDEX(F_ProductBM!M:M,MATCH($P603,F_ProductBM!$Q:$Q,0))))</f>
        <v/>
      </c>
      <c r="N603" s="1459" t="str">
        <f>IF($I477="","",IF(INDEX(F_ProductBM!N:N,MATCH($P603,F_ProductBM!$Q:$Q,0))="","",INDEX(F_ProductBM!N:N,MATCH($P603,F_ProductBM!$Q:$Q,0))))</f>
        <v/>
      </c>
      <c r="O603" s="19"/>
      <c r="P603" s="298" t="str">
        <f>EUconst_CNTR_EmissionsIntSource1 &amp; I477</f>
        <v>EmInternalSource1_</v>
      </c>
      <c r="Q603" s="343"/>
      <c r="R603" s="343"/>
      <c r="S603" s="343"/>
      <c r="T603" s="7"/>
      <c r="U603" s="349"/>
      <c r="V603" s="349"/>
    </row>
    <row r="604" spans="1:22" s="534" customFormat="1" ht="12.75" customHeight="1" x14ac:dyDescent="0.25">
      <c r="A604" s="343"/>
      <c r="B604" s="15"/>
      <c r="C604" s="15"/>
      <c r="D604" s="1454"/>
      <c r="E604" s="2613" t="str">
        <f>Translations!$B$592</f>
        <v>Andra bränsle-/materialmängder – 2</v>
      </c>
      <c r="F604" s="1997"/>
      <c r="G604" s="364" t="str">
        <f>EUconst_tCO2pa</f>
        <v>t CO2 / år</v>
      </c>
      <c r="H604" s="742" t="str">
        <f>IF($I477="","",IF(INDEX(F_ProductBM!H:H,MATCH($P604,F_ProductBM!$Q:$Q,0))="","",INDEX(F_ProductBM!H:H,MATCH($P604,F_ProductBM!$Q:$Q,0))))</f>
        <v/>
      </c>
      <c r="I604" s="1021" t="str">
        <f>IF($I477="","",IF(INDEX(F_ProductBM!I:I,MATCH($P604,F_ProductBM!$Q:$Q,0))="","",INDEX(F_ProductBM!I:I,MATCH($P604,F_ProductBM!$Q:$Q,0))))</f>
        <v/>
      </c>
      <c r="J604" s="1158" t="str">
        <f>IF($I477="","",IF(INDEX(F_ProductBM!J:J,MATCH($P604,F_ProductBM!$Q:$Q,0))="","",INDEX(F_ProductBM!J:J,MATCH($P604,F_ProductBM!$Q:$Q,0))))</f>
        <v/>
      </c>
      <c r="K604" s="742" t="str">
        <f>IF($I477="","",IF(INDEX(F_ProductBM!K:K,MATCH($P604,F_ProductBM!$Q:$Q,0))="","",INDEX(F_ProductBM!K:K,MATCH($P604,F_ProductBM!$Q:$Q,0))))</f>
        <v/>
      </c>
      <c r="L604" s="742" t="str">
        <f>IF($I477="","",IF(INDEX(F_ProductBM!L:L,MATCH($P604,F_ProductBM!$Q:$Q,0))="","",INDEX(F_ProductBM!L:L,MATCH($P604,F_ProductBM!$Q:$Q,0))))</f>
        <v/>
      </c>
      <c r="M604" s="742" t="str">
        <f>IF($I477="","",IF(INDEX(F_ProductBM!M:M,MATCH($P604,F_ProductBM!$Q:$Q,0))="","",INDEX(F_ProductBM!M:M,MATCH($P604,F_ProductBM!$Q:$Q,0))))</f>
        <v/>
      </c>
      <c r="N604" s="1459" t="str">
        <f>IF($I477="","",IF(INDEX(F_ProductBM!N:N,MATCH($P604,F_ProductBM!$Q:$Q,0))="","",INDEX(F_ProductBM!N:N,MATCH($P604,F_ProductBM!$Q:$Q,0))))</f>
        <v/>
      </c>
      <c r="O604" s="19"/>
      <c r="P604" s="298" t="str">
        <f>EUconst_CNTR_EmissionsIntSource2 &amp; I477</f>
        <v>EmInternalSource2_</v>
      </c>
      <c r="Q604" s="343"/>
      <c r="R604" s="343"/>
      <c r="S604" s="343"/>
      <c r="T604" s="7"/>
      <c r="U604" s="349"/>
      <c r="V604" s="349"/>
    </row>
    <row r="605" spans="1:22" s="534" customFormat="1" ht="12.75" customHeight="1" x14ac:dyDescent="0.25">
      <c r="A605" s="343"/>
      <c r="B605" s="15"/>
      <c r="C605" s="15"/>
      <c r="D605" s="1454"/>
      <c r="E605" s="2613" t="str">
        <f>Translations!$B$596</f>
        <v>Importerade eller exporterade växthusgaser</v>
      </c>
      <c r="F605" s="1997"/>
      <c r="G605" s="364" t="str">
        <f>EUconst_tCO2epa</f>
        <v>t CO2e/år</v>
      </c>
      <c r="H605" s="742" t="str">
        <f>IF($I477="","",IF(INDEX(F_ProductBM!H:H,MATCH($P605,F_ProductBM!$Q:$Q,0))="","",INDEX(F_ProductBM!H:H,MATCH($P605,F_ProductBM!$Q:$Q,0))))</f>
        <v/>
      </c>
      <c r="I605" s="1021" t="str">
        <f>IF($I477="","",IF(INDEX(F_ProductBM!I:I,MATCH($P605,F_ProductBM!$Q:$Q,0))="","",INDEX(F_ProductBM!I:I,MATCH($P605,F_ProductBM!$Q:$Q,0))))</f>
        <v/>
      </c>
      <c r="J605" s="1158" t="str">
        <f>IF($I477="","",IF(INDEX(F_ProductBM!J:J,MATCH($P605,F_ProductBM!$Q:$Q,0))="","",INDEX(F_ProductBM!J:J,MATCH($P605,F_ProductBM!$Q:$Q,0))))</f>
        <v/>
      </c>
      <c r="K605" s="742" t="str">
        <f>IF($I477="","",IF(INDEX(F_ProductBM!K:K,MATCH($P605,F_ProductBM!$Q:$Q,0))="","",INDEX(F_ProductBM!K:K,MATCH($P605,F_ProductBM!$Q:$Q,0))))</f>
        <v/>
      </c>
      <c r="L605" s="742" t="str">
        <f>IF($I477="","",IF(INDEX(F_ProductBM!L:L,MATCH($P605,F_ProductBM!$Q:$Q,0))="","",INDEX(F_ProductBM!L:L,MATCH($P605,F_ProductBM!$Q:$Q,0))))</f>
        <v/>
      </c>
      <c r="M605" s="742" t="str">
        <f>IF($I477="","",IF(INDEX(F_ProductBM!M:M,MATCH($P605,F_ProductBM!$Q:$Q,0))="","",INDEX(F_ProductBM!M:M,MATCH($P605,F_ProductBM!$Q:$Q,0))))</f>
        <v/>
      </c>
      <c r="N605" s="1459" t="str">
        <f>IF($I477="","",IF(INDEX(F_ProductBM!N:N,MATCH($P605,F_ProductBM!$Q:$Q,0))="","",INDEX(F_ProductBM!N:N,MATCH($P605,F_ProductBM!$Q:$Q,0))))</f>
        <v/>
      </c>
      <c r="O605" s="19"/>
      <c r="P605" s="298" t="str">
        <f>EUconst_CNTR_CO2Feedstock &amp; I477</f>
        <v>EmCO2Feedstock_</v>
      </c>
      <c r="Q605" s="343"/>
      <c r="R605" s="343"/>
      <c r="S605" s="343"/>
      <c r="T605" s="7"/>
      <c r="U605" s="349"/>
      <c r="V605" s="349"/>
    </row>
    <row r="606" spans="1:22" s="534" customFormat="1" ht="5.15" customHeight="1" x14ac:dyDescent="0.25">
      <c r="A606" s="343"/>
      <c r="B606" s="15"/>
      <c r="C606" s="15"/>
      <c r="D606" s="1454"/>
      <c r="E606" s="899"/>
      <c r="F606" s="899"/>
      <c r="G606" s="623"/>
      <c r="H606" s="741"/>
      <c r="I606" s="741"/>
      <c r="J606" s="741"/>
      <c r="K606" s="741"/>
      <c r="L606" s="741"/>
      <c r="M606" s="741"/>
      <c r="N606" s="1458"/>
      <c r="O606" s="19"/>
      <c r="P606" s="343"/>
      <c r="Q606" s="343"/>
      <c r="R606" s="343"/>
      <c r="S606" s="343"/>
      <c r="T606" s="7"/>
      <c r="U606" s="349"/>
      <c r="V606" s="349"/>
    </row>
    <row r="607" spans="1:22" s="534" customFormat="1" ht="12.75" customHeight="1" x14ac:dyDescent="0.25">
      <c r="A607" s="343"/>
      <c r="B607" s="15"/>
      <c r="C607" s="15"/>
      <c r="D607" s="1454"/>
      <c r="E607" s="2611" t="str">
        <f>Translations!$B$604</f>
        <v>Nettomängd importerad värme</v>
      </c>
      <c r="F607" s="2484"/>
      <c r="G607" s="365" t="str">
        <f>EUconst_TJpa</f>
        <v>TJ / år</v>
      </c>
      <c r="H607" s="739" t="str">
        <f>IF($I477="","",IF(INDEX(F_ProductBM!H:H,MATCH($P607,F_ProductBM!$Q:$Q,0))="","",INDEX(F_ProductBM!H:H,MATCH($P607,F_ProductBM!$Q:$Q,0))))</f>
        <v/>
      </c>
      <c r="I607" s="1153" t="str">
        <f>IF($I477="","",IF(INDEX(F_ProductBM!I:I,MATCH($P607,F_ProductBM!$Q:$Q,0))="","",INDEX(F_ProductBM!I:I,MATCH($P607,F_ProductBM!$Q:$Q,0))))</f>
        <v/>
      </c>
      <c r="J607" s="1159" t="str">
        <f>IF($I477="","",IF(INDEX(F_ProductBM!J:J,MATCH($P607,F_ProductBM!$Q:$Q,0))="","",INDEX(F_ProductBM!J:J,MATCH($P607,F_ProductBM!$Q:$Q,0))))</f>
        <v/>
      </c>
      <c r="K607" s="739" t="str">
        <f>IF($I477="","",IF(INDEX(F_ProductBM!K:K,MATCH($P607,F_ProductBM!$Q:$Q,0))="","",INDEX(F_ProductBM!K:K,MATCH($P607,F_ProductBM!$Q:$Q,0))))</f>
        <v/>
      </c>
      <c r="L607" s="739" t="str">
        <f>IF($I477="","",IF(INDEX(F_ProductBM!L:L,MATCH($P607,F_ProductBM!$Q:$Q,0))="","",INDEX(F_ProductBM!L:L,MATCH($P607,F_ProductBM!$Q:$Q,0))))</f>
        <v/>
      </c>
      <c r="M607" s="739" t="str">
        <f>IF($I477="","",IF(INDEX(F_ProductBM!M:M,MATCH($P607,F_ProductBM!$Q:$Q,0))="","",INDEX(F_ProductBM!M:M,MATCH($P607,F_ProductBM!$Q:$Q,0))))</f>
        <v/>
      </c>
      <c r="N607" s="1456" t="str">
        <f>IF($I477="","",IF(INDEX(F_ProductBM!N:N,MATCH($P607,F_ProductBM!$Q:$Q,0))="","",INDEX(F_ProductBM!N:N,MATCH($P607,F_ProductBM!$Q:$Q,0))))</f>
        <v/>
      </c>
      <c r="O607" s="19"/>
      <c r="P607" s="298" t="str">
        <f>EUconst_CNTR_HeatImport &amp; I477</f>
        <v>HeatIm_</v>
      </c>
      <c r="Q607" s="343"/>
      <c r="R607" s="343"/>
      <c r="S607" s="343"/>
      <c r="T607" s="7"/>
      <c r="U607" s="349"/>
      <c r="V607" s="349"/>
    </row>
    <row r="608" spans="1:22" s="534" customFormat="1" ht="12.75" customHeight="1" x14ac:dyDescent="0.25">
      <c r="A608" s="343"/>
      <c r="B608" s="15"/>
      <c r="C608" s="15"/>
      <c r="D608" s="1454"/>
      <c r="E608" s="2612" t="str">
        <f>Translations!$B$605</f>
        <v>Särskild emissionsfaktor (importerad värme)</v>
      </c>
      <c r="F608" s="2487"/>
      <c r="G608" s="384" t="str">
        <f>EUconst_tCO2pTJ</f>
        <v>t CO2 / TJ</v>
      </c>
      <c r="H608" s="740" t="str">
        <f>IF($I477="","",IF(INDEX(F_ProductBM!H:H,MATCH($P608,F_ProductBM!$Q:$Q,0))="","",INDEX(F_ProductBM!H:H,MATCH($P608,F_ProductBM!$Q:$Q,0))))</f>
        <v/>
      </c>
      <c r="I608" s="1154" t="str">
        <f>IF($I477="","",IF(INDEX(F_ProductBM!I:I,MATCH($P608,F_ProductBM!$Q:$Q,0))="","",INDEX(F_ProductBM!I:I,MATCH($P608,F_ProductBM!$Q:$Q,0))))</f>
        <v/>
      </c>
      <c r="J608" s="1160" t="str">
        <f>IF($I477="","",IF(INDEX(F_ProductBM!J:J,MATCH($P608,F_ProductBM!$Q:$Q,0))="","",INDEX(F_ProductBM!J:J,MATCH($P608,F_ProductBM!$Q:$Q,0))))</f>
        <v/>
      </c>
      <c r="K608" s="740" t="str">
        <f>IF($I477="","",IF(INDEX(F_ProductBM!K:K,MATCH($P608,F_ProductBM!$Q:$Q,0))="","",INDEX(F_ProductBM!K:K,MATCH($P608,F_ProductBM!$Q:$Q,0))))</f>
        <v/>
      </c>
      <c r="L608" s="740" t="str">
        <f>IF($I477="","",IF(INDEX(F_ProductBM!L:L,MATCH($P608,F_ProductBM!$Q:$Q,0))="","",INDEX(F_ProductBM!L:L,MATCH($P608,F_ProductBM!$Q:$Q,0))))</f>
        <v/>
      </c>
      <c r="M608" s="740" t="str">
        <f>IF($I477="","",IF(INDEX(F_ProductBM!M:M,MATCH($P608,F_ProductBM!$Q:$Q,0))="","",INDEX(F_ProductBM!M:M,MATCH($P608,F_ProductBM!$Q:$Q,0))))</f>
        <v/>
      </c>
      <c r="N608" s="1457" t="str">
        <f>IF($I477="","",IF(INDEX(F_ProductBM!N:N,MATCH($P608,F_ProductBM!$Q:$Q,0))="","",INDEX(F_ProductBM!N:N,MATCH($P608,F_ProductBM!$Q:$Q,0))))</f>
        <v/>
      </c>
      <c r="O608" s="19"/>
      <c r="P608" s="298" t="str">
        <f>EUconst_CNTR_HeatImportEF &amp; I477</f>
        <v>HeatImEF_</v>
      </c>
      <c r="Q608" s="343"/>
      <c r="R608" s="343"/>
      <c r="S608" s="343"/>
      <c r="T608" s="7"/>
      <c r="U608" s="349"/>
      <c r="V608" s="349"/>
    </row>
    <row r="609" spans="1:22" s="534" customFormat="1" ht="5.15" customHeight="1" x14ac:dyDescent="0.25">
      <c r="A609" s="343"/>
      <c r="B609" s="15"/>
      <c r="C609" s="15"/>
      <c r="D609" s="1454"/>
      <c r="E609" s="899"/>
      <c r="F609" s="899"/>
      <c r="G609" s="623"/>
      <c r="H609" s="741"/>
      <c r="I609" s="741"/>
      <c r="J609" s="741"/>
      <c r="K609" s="741"/>
      <c r="L609" s="741"/>
      <c r="M609" s="741"/>
      <c r="N609" s="1458"/>
      <c r="O609" s="19"/>
      <c r="P609" s="7"/>
      <c r="Q609" s="343"/>
      <c r="R609" s="343"/>
      <c r="S609" s="343"/>
      <c r="T609" s="7"/>
      <c r="U609" s="349"/>
      <c r="V609" s="349"/>
    </row>
    <row r="610" spans="1:22" s="534" customFormat="1" ht="12.75" customHeight="1" x14ac:dyDescent="0.25">
      <c r="A610" s="343"/>
      <c r="B610" s="15"/>
      <c r="C610" s="15"/>
      <c r="D610" s="1454"/>
      <c r="E610" s="2613" t="str">
        <f>Translations!$B$659</f>
        <v>Importerad nettovärme från massa</v>
      </c>
      <c r="F610" s="1997"/>
      <c r="G610" s="364" t="str">
        <f>EUconst_TJpa</f>
        <v>TJ / år</v>
      </c>
      <c r="H610" s="742" t="str">
        <f>IF($I477="","",IF(INDEX(F_ProductBM!H:H,MATCH($P610,F_ProductBM!$Q:$Q,0))="","",INDEX(F_ProductBM!H:H,MATCH($P610,F_ProductBM!$Q:$Q,0))))</f>
        <v/>
      </c>
      <c r="I610" s="1021" t="str">
        <f>IF($I477="","",IF(INDEX(F_ProductBM!I:I,MATCH($P610,F_ProductBM!$Q:$Q,0))="","",INDEX(F_ProductBM!I:I,MATCH($P610,F_ProductBM!$Q:$Q,0))))</f>
        <v/>
      </c>
      <c r="J610" s="1158" t="str">
        <f>IF($I477="","",IF(INDEX(F_ProductBM!J:J,MATCH($P610,F_ProductBM!$Q:$Q,0))="","",INDEX(F_ProductBM!J:J,MATCH($P610,F_ProductBM!$Q:$Q,0))))</f>
        <v/>
      </c>
      <c r="K610" s="742" t="str">
        <f>IF($I477="","",IF(INDEX(F_ProductBM!K:K,MATCH($P610,F_ProductBM!$Q:$Q,0))="","",INDEX(F_ProductBM!K:K,MATCH($P610,F_ProductBM!$Q:$Q,0))))</f>
        <v/>
      </c>
      <c r="L610" s="742" t="str">
        <f>IF($I477="","",IF(INDEX(F_ProductBM!L:L,MATCH($P610,F_ProductBM!$Q:$Q,0))="","",INDEX(F_ProductBM!L:L,MATCH($P610,F_ProductBM!$Q:$Q,0))))</f>
        <v/>
      </c>
      <c r="M610" s="742" t="str">
        <f>IF($I477="","",IF(INDEX(F_ProductBM!M:M,MATCH($P610,F_ProductBM!$Q:$Q,0))="","",INDEX(F_ProductBM!M:M,MATCH($P610,F_ProductBM!$Q:$Q,0))))</f>
        <v/>
      </c>
      <c r="N610" s="1459" t="str">
        <f>IF($I477="","",IF(INDEX(F_ProductBM!N:N,MATCH($P610,F_ProductBM!$Q:$Q,0))="","",INDEX(F_ProductBM!N:N,MATCH($P610,F_ProductBM!$Q:$Q,0))))</f>
        <v/>
      </c>
      <c r="O610" s="19"/>
      <c r="P610" s="298" t="str">
        <f>EUconst_CNTR_HeatImportPulp &amp; I477</f>
        <v>HeatImPulp_</v>
      </c>
      <c r="Q610" s="343"/>
      <c r="R610" s="343"/>
      <c r="S610" s="343"/>
      <c r="T610" s="7"/>
      <c r="U610" s="349"/>
      <c r="V610" s="349"/>
    </row>
    <row r="611" spans="1:22" s="534" customFormat="1" ht="12.75" customHeight="1" x14ac:dyDescent="0.25">
      <c r="A611" s="343"/>
      <c r="B611" s="15"/>
      <c r="C611" s="15"/>
      <c r="D611" s="1454"/>
      <c r="E611" s="2613" t="str">
        <f>Translations!$B$608</f>
        <v>Nettomängd importerad värme från delanläggningar för salpetersyra</v>
      </c>
      <c r="F611" s="1997"/>
      <c r="G611" s="364" t="str">
        <f>EUconst_TJpa</f>
        <v>TJ / år</v>
      </c>
      <c r="H611" s="742" t="str">
        <f>IF($I477="","",IF(INDEX(F_ProductBM!H:H,MATCH($P611,F_ProductBM!$Q:$Q,0))="","",INDEX(F_ProductBM!H:H,MATCH($P611,F_ProductBM!$Q:$Q,0))))</f>
        <v/>
      </c>
      <c r="I611" s="1021" t="str">
        <f>IF($I477="","",IF(INDEX(F_ProductBM!I:I,MATCH($P611,F_ProductBM!$Q:$Q,0))="","",INDEX(F_ProductBM!I:I,MATCH($P611,F_ProductBM!$Q:$Q,0))))</f>
        <v/>
      </c>
      <c r="J611" s="1158" t="str">
        <f>IF($I477="","",IF(INDEX(F_ProductBM!J:J,MATCH($P611,F_ProductBM!$Q:$Q,0))="","",INDEX(F_ProductBM!J:J,MATCH($P611,F_ProductBM!$Q:$Q,0))))</f>
        <v/>
      </c>
      <c r="K611" s="742" t="str">
        <f>IF($I477="","",IF(INDEX(F_ProductBM!K:K,MATCH($P611,F_ProductBM!$Q:$Q,0))="","",INDEX(F_ProductBM!K:K,MATCH($P611,F_ProductBM!$Q:$Q,0))))</f>
        <v/>
      </c>
      <c r="L611" s="742" t="str">
        <f>IF($I477="","",IF(INDEX(F_ProductBM!L:L,MATCH($P611,F_ProductBM!$Q:$Q,0))="","",INDEX(F_ProductBM!L:L,MATCH($P611,F_ProductBM!$Q:$Q,0))))</f>
        <v/>
      </c>
      <c r="M611" s="742" t="str">
        <f>IF($I477="","",IF(INDEX(F_ProductBM!M:M,MATCH($P611,F_ProductBM!$Q:$Q,0))="","",INDEX(F_ProductBM!M:M,MATCH($P611,F_ProductBM!$Q:$Q,0))))</f>
        <v/>
      </c>
      <c r="N611" s="1459" t="str">
        <f>IF($I477="","",IF(INDEX(F_ProductBM!N:N,MATCH($P611,F_ProductBM!$Q:$Q,0))="","",INDEX(F_ProductBM!N:N,MATCH($P611,F_ProductBM!$Q:$Q,0))))</f>
        <v/>
      </c>
      <c r="O611" s="19"/>
      <c r="P611" s="298" t="str">
        <f>EUconst_CNTR_HeatImportNitric &amp; I477</f>
        <v>HeatImNitric_</v>
      </c>
      <c r="Q611" s="343"/>
      <c r="R611" s="343"/>
      <c r="S611" s="343"/>
      <c r="T611" s="7"/>
      <c r="U611" s="349"/>
      <c r="V611" s="349"/>
    </row>
    <row r="612" spans="1:22" s="534" customFormat="1" ht="5.15" customHeight="1" x14ac:dyDescent="0.25">
      <c r="A612" s="343"/>
      <c r="B612" s="15"/>
      <c r="C612" s="15"/>
      <c r="D612" s="1454"/>
      <c r="E612" s="899"/>
      <c r="F612" s="899"/>
      <c r="G612" s="416"/>
      <c r="H612" s="741"/>
      <c r="I612" s="741"/>
      <c r="J612" s="741"/>
      <c r="K612" s="741"/>
      <c r="L612" s="741"/>
      <c r="M612" s="741"/>
      <c r="N612" s="1458"/>
      <c r="O612" s="19"/>
      <c r="P612" s="7"/>
      <c r="Q612" s="343"/>
      <c r="R612" s="343"/>
      <c r="S612" s="343"/>
      <c r="T612" s="7"/>
      <c r="U612" s="349"/>
      <c r="V612" s="349"/>
    </row>
    <row r="613" spans="1:22" s="534" customFormat="1" ht="12.75" customHeight="1" x14ac:dyDescent="0.25">
      <c r="A613" s="343"/>
      <c r="B613" s="15"/>
      <c r="C613" s="15"/>
      <c r="D613" s="1454"/>
      <c r="E613" s="2611" t="str">
        <f>Translations!$B$610</f>
        <v>Nettomängd exporterad värme</v>
      </c>
      <c r="F613" s="2484"/>
      <c r="G613" s="365" t="str">
        <f>EUconst_TJpa</f>
        <v>TJ / år</v>
      </c>
      <c r="H613" s="739" t="str">
        <f>IF($I477="","",IF(INDEX(F_ProductBM!H:H,MATCH($P613,F_ProductBM!$Q:$Q,0))="","",INDEX(F_ProductBM!H:H,MATCH($P613,F_ProductBM!$Q:$Q,0))))</f>
        <v/>
      </c>
      <c r="I613" s="1153" t="str">
        <f>IF($I477="","",IF(INDEX(F_ProductBM!I:I,MATCH($P613,F_ProductBM!$Q:$Q,0))="","",INDEX(F_ProductBM!I:I,MATCH($P613,F_ProductBM!$Q:$Q,0))))</f>
        <v/>
      </c>
      <c r="J613" s="1159" t="str">
        <f>IF($I477="","",IF(INDEX(F_ProductBM!J:J,MATCH($P613,F_ProductBM!$Q:$Q,0))="","",INDEX(F_ProductBM!J:J,MATCH($P613,F_ProductBM!$Q:$Q,0))))</f>
        <v/>
      </c>
      <c r="K613" s="739" t="str">
        <f>IF($I477="","",IF(INDEX(F_ProductBM!K:K,MATCH($P613,F_ProductBM!$Q:$Q,0))="","",INDEX(F_ProductBM!K:K,MATCH($P613,F_ProductBM!$Q:$Q,0))))</f>
        <v/>
      </c>
      <c r="L613" s="739" t="str">
        <f>IF($I477="","",IF(INDEX(F_ProductBM!L:L,MATCH($P613,F_ProductBM!$Q:$Q,0))="","",INDEX(F_ProductBM!L:L,MATCH($P613,F_ProductBM!$Q:$Q,0))))</f>
        <v/>
      </c>
      <c r="M613" s="739" t="str">
        <f>IF($I477="","",IF(INDEX(F_ProductBM!M:M,MATCH($P613,F_ProductBM!$Q:$Q,0))="","",INDEX(F_ProductBM!M:M,MATCH($P613,F_ProductBM!$Q:$Q,0))))</f>
        <v/>
      </c>
      <c r="N613" s="1456" t="str">
        <f>IF($I477="","",IF(INDEX(F_ProductBM!N:N,MATCH($P613,F_ProductBM!$Q:$Q,0))="","",INDEX(F_ProductBM!N:N,MATCH($P613,F_ProductBM!$Q:$Q,0))))</f>
        <v/>
      </c>
      <c r="O613" s="19"/>
      <c r="P613" s="298" t="str">
        <f>EUconst_CNTR_HeatExport &amp; I477</f>
        <v>HeatEx_</v>
      </c>
      <c r="Q613" s="343"/>
      <c r="R613" s="343"/>
      <c r="S613" s="343"/>
      <c r="T613" s="7"/>
      <c r="U613" s="349"/>
      <c r="V613" s="349"/>
    </row>
    <row r="614" spans="1:22" s="534" customFormat="1" ht="12.75" customHeight="1" x14ac:dyDescent="0.25">
      <c r="A614" s="343"/>
      <c r="B614" s="15"/>
      <c r="C614" s="15"/>
      <c r="D614" s="1454"/>
      <c r="E614" s="2612" t="str">
        <f>Translations!$B$611</f>
        <v>Särskild emissionsfaktor (exporterad värme)</v>
      </c>
      <c r="F614" s="2487"/>
      <c r="G614" s="384" t="str">
        <f>EUconst_tCO2pTJ</f>
        <v>t CO2 / TJ</v>
      </c>
      <c r="H614" s="740" t="str">
        <f>IF($I477="","",IF(INDEX(F_ProductBM!H:H,MATCH($P614,F_ProductBM!$Q:$Q,0))="","",INDEX(F_ProductBM!H:H,MATCH($P614,F_ProductBM!$Q:$Q,0))))</f>
        <v/>
      </c>
      <c r="I614" s="1154" t="str">
        <f>IF($I477="","",IF(INDEX(F_ProductBM!I:I,MATCH($P614,F_ProductBM!$Q:$Q,0))="","",INDEX(F_ProductBM!I:I,MATCH($P614,F_ProductBM!$Q:$Q,0))))</f>
        <v/>
      </c>
      <c r="J614" s="1160" t="str">
        <f>IF($I477="","",IF(INDEX(F_ProductBM!J:J,MATCH($P614,F_ProductBM!$Q:$Q,0))="","",INDEX(F_ProductBM!J:J,MATCH($P614,F_ProductBM!$Q:$Q,0))))</f>
        <v/>
      </c>
      <c r="K614" s="740" t="str">
        <f>IF($I477="","",IF(INDEX(F_ProductBM!K:K,MATCH($P614,F_ProductBM!$Q:$Q,0))="","",INDEX(F_ProductBM!K:K,MATCH($P614,F_ProductBM!$Q:$Q,0))))</f>
        <v/>
      </c>
      <c r="L614" s="740" t="str">
        <f>IF($I477="","",IF(INDEX(F_ProductBM!L:L,MATCH($P614,F_ProductBM!$Q:$Q,0))="","",INDEX(F_ProductBM!L:L,MATCH($P614,F_ProductBM!$Q:$Q,0))))</f>
        <v/>
      </c>
      <c r="M614" s="740" t="str">
        <f>IF($I477="","",IF(INDEX(F_ProductBM!M:M,MATCH($P614,F_ProductBM!$Q:$Q,0))="","",INDEX(F_ProductBM!M:M,MATCH($P614,F_ProductBM!$Q:$Q,0))))</f>
        <v/>
      </c>
      <c r="N614" s="1457" t="str">
        <f>IF($I477="","",IF(INDEX(F_ProductBM!N:N,MATCH($P614,F_ProductBM!$Q:$Q,0))="","",INDEX(F_ProductBM!N:N,MATCH($P614,F_ProductBM!$Q:$Q,0))))</f>
        <v/>
      </c>
      <c r="O614" s="19"/>
      <c r="P614" s="298" t="str">
        <f>EUconst_CNTR_HeatExportEF &amp; I477</f>
        <v>HeatExEF_</v>
      </c>
      <c r="Q614" s="343"/>
      <c r="R614" s="343"/>
      <c r="S614" s="343"/>
      <c r="T614" s="7"/>
      <c r="U614" s="349"/>
      <c r="V614" s="349"/>
    </row>
    <row r="615" spans="1:22" s="534" customFormat="1" ht="5.15" customHeight="1" x14ac:dyDescent="0.25">
      <c r="A615" s="343"/>
      <c r="B615" s="15"/>
      <c r="C615" s="15"/>
      <c r="D615" s="1454"/>
      <c r="E615" s="899"/>
      <c r="F615" s="899"/>
      <c r="G615" s="416"/>
      <c r="H615" s="741"/>
      <c r="I615" s="741"/>
      <c r="J615" s="741"/>
      <c r="K615" s="741"/>
      <c r="L615" s="741"/>
      <c r="M615" s="741"/>
      <c r="N615" s="1458"/>
      <c r="O615" s="19"/>
      <c r="P615" s="7"/>
      <c r="Q615" s="343"/>
      <c r="R615" s="343"/>
      <c r="S615" s="343"/>
      <c r="T615" s="7"/>
      <c r="U615" s="349"/>
      <c r="V615" s="349"/>
    </row>
    <row r="616" spans="1:22" s="534" customFormat="1" ht="12.75" customHeight="1" x14ac:dyDescent="0.25">
      <c r="A616" s="343"/>
      <c r="B616" s="15"/>
      <c r="C616" s="15"/>
      <c r="D616" s="1454"/>
      <c r="E616" s="2611" t="str">
        <f>Translations!$B$618</f>
        <v>Producerad restgas</v>
      </c>
      <c r="F616" s="2484"/>
      <c r="G616" s="365" t="str">
        <f>EUconst_TJpa</f>
        <v>TJ / år</v>
      </c>
      <c r="H616" s="739" t="str">
        <f>IF($I477="","",IF(INDEX(F_ProductBM!H:H,MATCH($P616,F_ProductBM!$Q:$Q,0))="","",INDEX(F_ProductBM!H:H,MATCH($P616,F_ProductBM!$Q:$Q,0))))</f>
        <v/>
      </c>
      <c r="I616" s="1153" t="str">
        <f>IF($I477="","",IF(INDEX(F_ProductBM!I:I,MATCH($P616,F_ProductBM!$Q:$Q,0))="","",INDEX(F_ProductBM!I:I,MATCH($P616,F_ProductBM!$Q:$Q,0))))</f>
        <v/>
      </c>
      <c r="J616" s="1159" t="str">
        <f>IF($I477="","",IF(INDEX(F_ProductBM!J:J,MATCH($P616,F_ProductBM!$Q:$Q,0))="","",INDEX(F_ProductBM!J:J,MATCH($P616,F_ProductBM!$Q:$Q,0))))</f>
        <v/>
      </c>
      <c r="K616" s="739" t="str">
        <f>IF($I477="","",IF(INDEX(F_ProductBM!K:K,MATCH($P616,F_ProductBM!$Q:$Q,0))="","",INDEX(F_ProductBM!K:K,MATCH($P616,F_ProductBM!$Q:$Q,0))))</f>
        <v/>
      </c>
      <c r="L616" s="739" t="str">
        <f>IF($I477="","",IF(INDEX(F_ProductBM!L:L,MATCH($P616,F_ProductBM!$Q:$Q,0))="","",INDEX(F_ProductBM!L:L,MATCH($P616,F_ProductBM!$Q:$Q,0))))</f>
        <v/>
      </c>
      <c r="M616" s="739" t="str">
        <f>IF($I477="","",IF(INDEX(F_ProductBM!M:M,MATCH($P616,F_ProductBM!$Q:$Q,0))="","",INDEX(F_ProductBM!M:M,MATCH($P616,F_ProductBM!$Q:$Q,0))))</f>
        <v/>
      </c>
      <c r="N616" s="1456" t="str">
        <f>IF($I477="","",IF(INDEX(F_ProductBM!N:N,MATCH($P616,F_ProductBM!$Q:$Q,0))="","",INDEX(F_ProductBM!N:N,MATCH($P616,F_ProductBM!$Q:$Q,0))))</f>
        <v/>
      </c>
      <c r="O616" s="19"/>
      <c r="P616" s="622" t="str">
        <f>EUconst_CNTR_WGProduced &amp; I477</f>
        <v>WasteGasProd_</v>
      </c>
      <c r="Q616" s="343"/>
      <c r="R616" s="343"/>
      <c r="S616" s="343"/>
      <c r="T616" s="7"/>
      <c r="U616" s="349"/>
      <c r="V616" s="349"/>
    </row>
    <row r="617" spans="1:22" s="534" customFormat="1" ht="12.75" customHeight="1" x14ac:dyDescent="0.25">
      <c r="A617" s="343"/>
      <c r="B617" s="15"/>
      <c r="C617" s="15"/>
      <c r="D617" s="1454"/>
      <c r="E617" s="2612" t="str">
        <f>Translations!$B$619</f>
        <v>Särskild emissionsfaktor (producerad restgas)</v>
      </c>
      <c r="F617" s="2487"/>
      <c r="G617" s="384" t="str">
        <f>EUconst_tCO2pTJ</f>
        <v>t CO2 / TJ</v>
      </c>
      <c r="H617" s="740" t="str">
        <f>IF($I477="","",IF(INDEX(F_ProductBM!H:H,MATCH($P617,F_ProductBM!$Q:$Q,0))="","",INDEX(F_ProductBM!H:H,MATCH($P617,F_ProductBM!$Q:$Q,0))))</f>
        <v/>
      </c>
      <c r="I617" s="1154" t="str">
        <f>IF($I477="","",IF(INDEX(F_ProductBM!I:I,MATCH($P617,F_ProductBM!$Q:$Q,0))="","",INDEX(F_ProductBM!I:I,MATCH($P617,F_ProductBM!$Q:$Q,0))))</f>
        <v/>
      </c>
      <c r="J617" s="1160" t="str">
        <f>IF($I477="","",IF(INDEX(F_ProductBM!J:J,MATCH($P617,F_ProductBM!$Q:$Q,0))="","",INDEX(F_ProductBM!J:J,MATCH($P617,F_ProductBM!$Q:$Q,0))))</f>
        <v/>
      </c>
      <c r="K617" s="740" t="str">
        <f>IF($I477="","",IF(INDEX(F_ProductBM!K:K,MATCH($P617,F_ProductBM!$Q:$Q,0))="","",INDEX(F_ProductBM!K:K,MATCH($P617,F_ProductBM!$Q:$Q,0))))</f>
        <v/>
      </c>
      <c r="L617" s="740" t="str">
        <f>IF($I477="","",IF(INDEX(F_ProductBM!L:L,MATCH($P617,F_ProductBM!$Q:$Q,0))="","",INDEX(F_ProductBM!L:L,MATCH($P617,F_ProductBM!$Q:$Q,0))))</f>
        <v/>
      </c>
      <c r="M617" s="740" t="str">
        <f>IF($I477="","",IF(INDEX(F_ProductBM!M:M,MATCH($P617,F_ProductBM!$Q:$Q,0))="","",INDEX(F_ProductBM!M:M,MATCH($P617,F_ProductBM!$Q:$Q,0))))</f>
        <v/>
      </c>
      <c r="N617" s="1457" t="str">
        <f>IF($I477="","",IF(INDEX(F_ProductBM!N:N,MATCH($P617,F_ProductBM!$Q:$Q,0))="","",INDEX(F_ProductBM!N:N,MATCH($P617,F_ProductBM!$Q:$Q,0))))</f>
        <v/>
      </c>
      <c r="O617" s="19"/>
      <c r="P617" s="298" t="str">
        <f>EUconst_CNTR_WGProducedEF &amp; I477</f>
        <v>WasteGasProdEF_</v>
      </c>
      <c r="Q617" s="343"/>
      <c r="R617" s="343"/>
      <c r="S617" s="343"/>
      <c r="T617" s="7"/>
      <c r="U617" s="349"/>
      <c r="V617" s="349"/>
    </row>
    <row r="618" spans="1:22" s="534" customFormat="1" ht="12.75" customHeight="1" x14ac:dyDescent="0.25">
      <c r="A618" s="343"/>
      <c r="B618" s="15"/>
      <c r="C618" s="15"/>
      <c r="D618" s="1454"/>
      <c r="E618" s="2611" t="str">
        <f>Translations!$B$623</f>
        <v>Förbrukad restgas</v>
      </c>
      <c r="F618" s="2484"/>
      <c r="G618" s="365" t="str">
        <f>EUconst_TJpa</f>
        <v>TJ / år</v>
      </c>
      <c r="H618" s="739" t="str">
        <f>IF($I477="","",IF(INDEX(F_ProductBM!H:H,MATCH($P618,F_ProductBM!$Q:$Q,0))="","",INDEX(F_ProductBM!H:H,MATCH($P618,F_ProductBM!$Q:$Q,0))))</f>
        <v/>
      </c>
      <c r="I618" s="1153" t="str">
        <f>IF($I477="","",IF(INDEX(F_ProductBM!I:I,MATCH($P618,F_ProductBM!$Q:$Q,0))="","",INDEX(F_ProductBM!I:I,MATCH($P618,F_ProductBM!$Q:$Q,0))))</f>
        <v/>
      </c>
      <c r="J618" s="1159" t="str">
        <f>IF($I477="","",IF(INDEX(F_ProductBM!J:J,MATCH($P618,F_ProductBM!$Q:$Q,0))="","",INDEX(F_ProductBM!J:J,MATCH($P618,F_ProductBM!$Q:$Q,0))))</f>
        <v/>
      </c>
      <c r="K618" s="739" t="str">
        <f>IF($I477="","",IF(INDEX(F_ProductBM!K:K,MATCH($P618,F_ProductBM!$Q:$Q,0))="","",INDEX(F_ProductBM!K:K,MATCH($P618,F_ProductBM!$Q:$Q,0))))</f>
        <v/>
      </c>
      <c r="L618" s="739" t="str">
        <f>IF($I477="","",IF(INDEX(F_ProductBM!L:L,MATCH($P618,F_ProductBM!$Q:$Q,0))="","",INDEX(F_ProductBM!L:L,MATCH($P618,F_ProductBM!$Q:$Q,0))))</f>
        <v/>
      </c>
      <c r="M618" s="739" t="str">
        <f>IF($I477="","",IF(INDEX(F_ProductBM!M:M,MATCH($P618,F_ProductBM!$Q:$Q,0))="","",INDEX(F_ProductBM!M:M,MATCH($P618,F_ProductBM!$Q:$Q,0))))</f>
        <v/>
      </c>
      <c r="N618" s="1456" t="str">
        <f>IF($I477="","",IF(INDEX(F_ProductBM!N:N,MATCH($P618,F_ProductBM!$Q:$Q,0))="","",INDEX(F_ProductBM!N:N,MATCH($P618,F_ProductBM!$Q:$Q,0))))</f>
        <v/>
      </c>
      <c r="O618" s="19"/>
      <c r="P618" s="298" t="str">
        <f>EUconst_CNTR_WGConsumed &amp; I477</f>
        <v>WasteGasCons_</v>
      </c>
      <c r="Q618" s="343"/>
      <c r="R618" s="343"/>
      <c r="S618" s="343"/>
      <c r="T618" s="7"/>
      <c r="U618" s="349"/>
      <c r="V618" s="349"/>
    </row>
    <row r="619" spans="1:22" s="534" customFormat="1" ht="12.75" customHeight="1" x14ac:dyDescent="0.25">
      <c r="A619" s="343"/>
      <c r="B619" s="15"/>
      <c r="C619" s="15"/>
      <c r="D619" s="1454"/>
      <c r="E619" s="2612" t="str">
        <f>Translations!$B$624</f>
        <v>Särskild emissionsfaktor (förbrukad restgas)</v>
      </c>
      <c r="F619" s="2487"/>
      <c r="G619" s="384" t="str">
        <f>EUconst_tCO2pTJ</f>
        <v>t CO2 / TJ</v>
      </c>
      <c r="H619" s="740" t="str">
        <f>IF($I477="","",IF(INDEX(F_ProductBM!H:H,MATCH($P619,F_ProductBM!$Q:$Q,0))="","",INDEX(F_ProductBM!H:H,MATCH($P619,F_ProductBM!$Q:$Q,0))))</f>
        <v/>
      </c>
      <c r="I619" s="1154" t="str">
        <f>IF($I477="","",IF(INDEX(F_ProductBM!I:I,MATCH($P619,F_ProductBM!$Q:$Q,0))="","",INDEX(F_ProductBM!I:I,MATCH($P619,F_ProductBM!$Q:$Q,0))))</f>
        <v/>
      </c>
      <c r="J619" s="1160" t="str">
        <f>IF($I477="","",IF(INDEX(F_ProductBM!J:J,MATCH($P619,F_ProductBM!$Q:$Q,0))="","",INDEX(F_ProductBM!J:J,MATCH($P619,F_ProductBM!$Q:$Q,0))))</f>
        <v/>
      </c>
      <c r="K619" s="740" t="str">
        <f>IF($I477="","",IF(INDEX(F_ProductBM!K:K,MATCH($P619,F_ProductBM!$Q:$Q,0))="","",INDEX(F_ProductBM!K:K,MATCH($P619,F_ProductBM!$Q:$Q,0))))</f>
        <v/>
      </c>
      <c r="L619" s="740" t="str">
        <f>IF($I477="","",IF(INDEX(F_ProductBM!L:L,MATCH($P619,F_ProductBM!$Q:$Q,0))="","",INDEX(F_ProductBM!L:L,MATCH($P619,F_ProductBM!$Q:$Q,0))))</f>
        <v/>
      </c>
      <c r="M619" s="740" t="str">
        <f>IF($I477="","",IF(INDEX(F_ProductBM!M:M,MATCH($P619,F_ProductBM!$Q:$Q,0))="","",INDEX(F_ProductBM!M:M,MATCH($P619,F_ProductBM!$Q:$Q,0))))</f>
        <v/>
      </c>
      <c r="N619" s="1457" t="str">
        <f>IF($I477="","",IF(INDEX(F_ProductBM!N:N,MATCH($P619,F_ProductBM!$Q:$Q,0))="","",INDEX(F_ProductBM!N:N,MATCH($P619,F_ProductBM!$Q:$Q,0))))</f>
        <v/>
      </c>
      <c r="O619" s="19"/>
      <c r="P619" s="298" t="str">
        <f>EUconst_CNTR_WGConsumedEF &amp; I477</f>
        <v>WasteGasConsEF_</v>
      </c>
      <c r="Q619" s="343"/>
      <c r="R619" s="343"/>
      <c r="S619" s="343"/>
      <c r="T619" s="7"/>
      <c r="U619" s="349"/>
      <c r="V619" s="349"/>
    </row>
    <row r="620" spans="1:22" s="534" customFormat="1" ht="12.75" customHeight="1" x14ac:dyDescent="0.25">
      <c r="A620" s="343"/>
      <c r="B620" s="15"/>
      <c r="C620" s="15"/>
      <c r="D620" s="1454"/>
      <c r="E620" s="2611" t="str">
        <f>Translations!$B$630</f>
        <v>Facklad restgas</v>
      </c>
      <c r="F620" s="2484"/>
      <c r="G620" s="365" t="str">
        <f>EUconst_TJpa</f>
        <v>TJ / år</v>
      </c>
      <c r="H620" s="739" t="str">
        <f>IF($I477="","",IF(INDEX(F_ProductBM!H:H,MATCH($P620,F_ProductBM!$Q:$Q,0))="","",INDEX(F_ProductBM!H:H,MATCH($P620,F_ProductBM!$Q:$Q,0))))</f>
        <v/>
      </c>
      <c r="I620" s="1153" t="str">
        <f>IF($I477="","",IF(INDEX(F_ProductBM!I:I,MATCH($P620,F_ProductBM!$Q:$Q,0))="","",INDEX(F_ProductBM!I:I,MATCH($P620,F_ProductBM!$Q:$Q,0))))</f>
        <v/>
      </c>
      <c r="J620" s="1159" t="str">
        <f>IF($I477="","",IF(INDEX(F_ProductBM!J:J,MATCH($P620,F_ProductBM!$Q:$Q,0))="","",INDEX(F_ProductBM!J:J,MATCH($P620,F_ProductBM!$Q:$Q,0))))</f>
        <v/>
      </c>
      <c r="K620" s="739" t="str">
        <f>IF($I477="","",IF(INDEX(F_ProductBM!K:K,MATCH($P620,F_ProductBM!$Q:$Q,0))="","",INDEX(F_ProductBM!K:K,MATCH($P620,F_ProductBM!$Q:$Q,0))))</f>
        <v/>
      </c>
      <c r="L620" s="739" t="str">
        <f>IF($I477="","",IF(INDEX(F_ProductBM!L:L,MATCH($P620,F_ProductBM!$Q:$Q,0))="","",INDEX(F_ProductBM!L:L,MATCH($P620,F_ProductBM!$Q:$Q,0))))</f>
        <v/>
      </c>
      <c r="M620" s="739" t="str">
        <f>IF($I477="","",IF(INDEX(F_ProductBM!M:M,MATCH($P620,F_ProductBM!$Q:$Q,0))="","",INDEX(F_ProductBM!M:M,MATCH($P620,F_ProductBM!$Q:$Q,0))))</f>
        <v/>
      </c>
      <c r="N620" s="1456" t="str">
        <f>IF($I477="","",IF(INDEX(F_ProductBM!N:N,MATCH($P620,F_ProductBM!$Q:$Q,0))="","",INDEX(F_ProductBM!N:N,MATCH($P620,F_ProductBM!$Q:$Q,0))))</f>
        <v/>
      </c>
      <c r="O620" s="19"/>
      <c r="P620" s="298" t="str">
        <f>EUconst_CNTR_WGFlared &amp; I477</f>
        <v>WasteGasFlare_</v>
      </c>
      <c r="Q620" s="343"/>
      <c r="R620" s="343"/>
      <c r="S620" s="343"/>
      <c r="T620" s="7"/>
      <c r="U620" s="349"/>
      <c r="V620" s="349"/>
    </row>
    <row r="621" spans="1:22" s="534" customFormat="1" ht="12.75" customHeight="1" x14ac:dyDescent="0.25">
      <c r="A621" s="343"/>
      <c r="B621" s="15"/>
      <c r="C621" s="15"/>
      <c r="D621" s="1454"/>
      <c r="E621" s="2612" t="str">
        <f>Translations!$B$631</f>
        <v>Särskild emissionsfaktor (facklad restgas)</v>
      </c>
      <c r="F621" s="2487"/>
      <c r="G621" s="384" t="str">
        <f>EUconst_tCO2pTJ</f>
        <v>t CO2 / TJ</v>
      </c>
      <c r="H621" s="740" t="str">
        <f>IF($I477="","",IF(INDEX(F_ProductBM!H:H,MATCH($P621,F_ProductBM!$Q:$Q,0))="","",INDEX(F_ProductBM!H:H,MATCH($P621,F_ProductBM!$Q:$Q,0))))</f>
        <v/>
      </c>
      <c r="I621" s="1154" t="str">
        <f>IF($I477="","",IF(INDEX(F_ProductBM!I:I,MATCH($P621,F_ProductBM!$Q:$Q,0))="","",INDEX(F_ProductBM!I:I,MATCH($P621,F_ProductBM!$Q:$Q,0))))</f>
        <v/>
      </c>
      <c r="J621" s="1160" t="str">
        <f>IF($I477="","",IF(INDEX(F_ProductBM!J:J,MATCH($P621,F_ProductBM!$Q:$Q,0))="","",INDEX(F_ProductBM!J:J,MATCH($P621,F_ProductBM!$Q:$Q,0))))</f>
        <v/>
      </c>
      <c r="K621" s="740" t="str">
        <f>IF($I477="","",IF(INDEX(F_ProductBM!K:K,MATCH($P621,F_ProductBM!$Q:$Q,0))="","",INDEX(F_ProductBM!K:K,MATCH($P621,F_ProductBM!$Q:$Q,0))))</f>
        <v/>
      </c>
      <c r="L621" s="740" t="str">
        <f>IF($I477="","",IF(INDEX(F_ProductBM!L:L,MATCH($P621,F_ProductBM!$Q:$Q,0))="","",INDEX(F_ProductBM!L:L,MATCH($P621,F_ProductBM!$Q:$Q,0))))</f>
        <v/>
      </c>
      <c r="M621" s="740" t="str">
        <f>IF($I477="","",IF(INDEX(F_ProductBM!M:M,MATCH($P621,F_ProductBM!$Q:$Q,0))="","",INDEX(F_ProductBM!M:M,MATCH($P621,F_ProductBM!$Q:$Q,0))))</f>
        <v/>
      </c>
      <c r="N621" s="1457" t="str">
        <f>IF($I477="","",IF(INDEX(F_ProductBM!N:N,MATCH($P621,F_ProductBM!$Q:$Q,0))="","",INDEX(F_ProductBM!N:N,MATCH($P621,F_ProductBM!$Q:$Q,0))))</f>
        <v/>
      </c>
      <c r="O621" s="19"/>
      <c r="P621" s="298" t="str">
        <f>EUconst_CNTR_WGFlaredEF &amp; I477</f>
        <v>WasteGasFlareEF_</v>
      </c>
      <c r="Q621" s="343"/>
      <c r="R621" s="343"/>
      <c r="S621" s="343"/>
      <c r="T621" s="7"/>
      <c r="U621" s="349"/>
      <c r="V621" s="349"/>
    </row>
    <row r="622" spans="1:22" s="534" customFormat="1" ht="12.75" customHeight="1" x14ac:dyDescent="0.25">
      <c r="A622" s="343"/>
      <c r="B622" s="15"/>
      <c r="C622" s="15"/>
      <c r="D622" s="1454"/>
      <c r="E622" s="2611" t="str">
        <f>Translations!$B$636</f>
        <v>Importerad restgas</v>
      </c>
      <c r="F622" s="2484"/>
      <c r="G622" s="365" t="str">
        <f>EUconst_TJpa</f>
        <v>TJ / år</v>
      </c>
      <c r="H622" s="739" t="str">
        <f>IF($I477="","",IF(INDEX(F_ProductBM!H:H,MATCH($P622,F_ProductBM!$Q:$Q,0))="","",INDEX(F_ProductBM!H:H,MATCH($P622,F_ProductBM!$Q:$Q,0))))</f>
        <v/>
      </c>
      <c r="I622" s="1153" t="str">
        <f>IF($I477="","",IF(INDEX(F_ProductBM!I:I,MATCH($P622,F_ProductBM!$Q:$Q,0))="","",INDEX(F_ProductBM!I:I,MATCH($P622,F_ProductBM!$Q:$Q,0))))</f>
        <v/>
      </c>
      <c r="J622" s="1159" t="str">
        <f>IF($I477="","",IF(INDEX(F_ProductBM!J:J,MATCH($P622,F_ProductBM!$Q:$Q,0))="","",INDEX(F_ProductBM!J:J,MATCH($P622,F_ProductBM!$Q:$Q,0))))</f>
        <v/>
      </c>
      <c r="K622" s="739" t="str">
        <f>IF($I477="","",IF(INDEX(F_ProductBM!K:K,MATCH($P622,F_ProductBM!$Q:$Q,0))="","",INDEX(F_ProductBM!K:K,MATCH($P622,F_ProductBM!$Q:$Q,0))))</f>
        <v/>
      </c>
      <c r="L622" s="739" t="str">
        <f>IF($I477="","",IF(INDEX(F_ProductBM!L:L,MATCH($P622,F_ProductBM!$Q:$Q,0))="","",INDEX(F_ProductBM!L:L,MATCH($P622,F_ProductBM!$Q:$Q,0))))</f>
        <v/>
      </c>
      <c r="M622" s="739" t="str">
        <f>IF($I477="","",IF(INDEX(F_ProductBM!M:M,MATCH($P622,F_ProductBM!$Q:$Q,0))="","",INDEX(F_ProductBM!M:M,MATCH($P622,F_ProductBM!$Q:$Q,0))))</f>
        <v/>
      </c>
      <c r="N622" s="1456" t="str">
        <f>IF($I477="","",IF(INDEX(F_ProductBM!N:N,MATCH($P622,F_ProductBM!$Q:$Q,0))="","",INDEX(F_ProductBM!N:N,MATCH($P622,F_ProductBM!$Q:$Q,0))))</f>
        <v/>
      </c>
      <c r="O622" s="19"/>
      <c r="P622" s="298" t="str">
        <f>EUconst_CNTR_WGImport &amp; I477</f>
        <v>WasteGasIm_</v>
      </c>
      <c r="Q622" s="343"/>
      <c r="R622" s="343"/>
      <c r="S622" s="343"/>
      <c r="T622" s="7"/>
      <c r="U622" s="349"/>
      <c r="V622" s="349"/>
    </row>
    <row r="623" spans="1:22" s="534" customFormat="1" ht="12.75" customHeight="1" x14ac:dyDescent="0.25">
      <c r="A623" s="343"/>
      <c r="B623" s="15"/>
      <c r="C623" s="15"/>
      <c r="D623" s="1454"/>
      <c r="E623" s="1776" t="str">
        <f>Translations!$B$637</f>
        <v>Särskild emissionsfaktor (importerad restgas)</v>
      </c>
      <c r="F623" s="1776"/>
      <c r="G623" s="624" t="str">
        <f>EUconst_tCO2pTJ</f>
        <v>t CO2 / TJ</v>
      </c>
      <c r="H623" s="740" t="str">
        <f>IF($I477="","",IF(INDEX(F_ProductBM!H:H,MATCH($P623,F_ProductBM!$Q:$Q,0))="","",INDEX(F_ProductBM!H:H,MATCH($P623,F_ProductBM!$Q:$Q,0))))</f>
        <v/>
      </c>
      <c r="I623" s="1154" t="str">
        <f>IF($I477="","",IF(INDEX(F_ProductBM!I:I,MATCH($P623,F_ProductBM!$Q:$Q,0))="","",INDEX(F_ProductBM!I:I,MATCH($P623,F_ProductBM!$Q:$Q,0))))</f>
        <v/>
      </c>
      <c r="J623" s="1160" t="str">
        <f>IF($I477="","",IF(INDEX(F_ProductBM!J:J,MATCH($P623,F_ProductBM!$Q:$Q,0))="","",INDEX(F_ProductBM!J:J,MATCH($P623,F_ProductBM!$Q:$Q,0))))</f>
        <v/>
      </c>
      <c r="K623" s="740" t="str">
        <f>IF($I477="","",IF(INDEX(F_ProductBM!K:K,MATCH($P623,F_ProductBM!$Q:$Q,0))="","",INDEX(F_ProductBM!K:K,MATCH($P623,F_ProductBM!$Q:$Q,0))))</f>
        <v/>
      </c>
      <c r="L623" s="740" t="str">
        <f>IF($I477="","",IF(INDEX(F_ProductBM!L:L,MATCH($P623,F_ProductBM!$Q:$Q,0))="","",INDEX(F_ProductBM!L:L,MATCH($P623,F_ProductBM!$Q:$Q,0))))</f>
        <v/>
      </c>
      <c r="M623" s="740" t="str">
        <f>IF($I477="","",IF(INDEX(F_ProductBM!M:M,MATCH($P623,F_ProductBM!$Q:$Q,0))="","",INDEX(F_ProductBM!M:M,MATCH($P623,F_ProductBM!$Q:$Q,0))))</f>
        <v/>
      </c>
      <c r="N623" s="1457" t="str">
        <f>IF($I477="","",IF(INDEX(F_ProductBM!N:N,MATCH($P623,F_ProductBM!$Q:$Q,0))="","",INDEX(F_ProductBM!N:N,MATCH($P623,F_ProductBM!$Q:$Q,0))))</f>
        <v/>
      </c>
      <c r="O623" s="19"/>
      <c r="P623" s="298" t="str">
        <f>EUconst_CNTR_WGImportEF &amp; I477</f>
        <v>WasteGasImEF_</v>
      </c>
      <c r="Q623" s="343"/>
      <c r="R623" s="343"/>
      <c r="S623" s="343"/>
      <c r="T623" s="7"/>
      <c r="U623" s="349"/>
      <c r="V623" s="349"/>
    </row>
    <row r="624" spans="1:22" s="534" customFormat="1" ht="12.75" customHeight="1" x14ac:dyDescent="0.25">
      <c r="A624" s="343"/>
      <c r="B624" s="15"/>
      <c r="C624" s="15"/>
      <c r="D624" s="1454"/>
      <c r="E624" s="2611" t="str">
        <f>Translations!$B$641</f>
        <v>Exporterad restgas</v>
      </c>
      <c r="F624" s="2484"/>
      <c r="G624" s="365" t="str">
        <f>EUconst_TJpa</f>
        <v>TJ / år</v>
      </c>
      <c r="H624" s="739" t="str">
        <f>IF($I477="","",IF(INDEX(F_ProductBM!H:H,MATCH($P624,F_ProductBM!$Q:$Q,0))="","",INDEX(F_ProductBM!H:H,MATCH($P624,F_ProductBM!$Q:$Q,0))))</f>
        <v/>
      </c>
      <c r="I624" s="1153" t="str">
        <f>IF($I477="","",IF(INDEX(F_ProductBM!I:I,MATCH($P624,F_ProductBM!$Q:$Q,0))="","",INDEX(F_ProductBM!I:I,MATCH($P624,F_ProductBM!$Q:$Q,0))))</f>
        <v/>
      </c>
      <c r="J624" s="1159" t="str">
        <f>IF($I477="","",IF(INDEX(F_ProductBM!J:J,MATCH($P624,F_ProductBM!$Q:$Q,0))="","",INDEX(F_ProductBM!J:J,MATCH($P624,F_ProductBM!$Q:$Q,0))))</f>
        <v/>
      </c>
      <c r="K624" s="739" t="str">
        <f>IF($I477="","",IF(INDEX(F_ProductBM!K:K,MATCH($P624,F_ProductBM!$Q:$Q,0))="","",INDEX(F_ProductBM!K:K,MATCH($P624,F_ProductBM!$Q:$Q,0))))</f>
        <v/>
      </c>
      <c r="L624" s="739" t="str">
        <f>IF($I477="","",IF(INDEX(F_ProductBM!L:L,MATCH($P624,F_ProductBM!$Q:$Q,0))="","",INDEX(F_ProductBM!L:L,MATCH($P624,F_ProductBM!$Q:$Q,0))))</f>
        <v/>
      </c>
      <c r="M624" s="739" t="str">
        <f>IF($I477="","",IF(INDEX(F_ProductBM!M:M,MATCH($P624,F_ProductBM!$Q:$Q,0))="","",INDEX(F_ProductBM!M:M,MATCH($P624,F_ProductBM!$Q:$Q,0))))</f>
        <v/>
      </c>
      <c r="N624" s="1456" t="str">
        <f>IF($I477="","",IF(INDEX(F_ProductBM!N:N,MATCH($P624,F_ProductBM!$Q:$Q,0))="","",INDEX(F_ProductBM!N:N,MATCH($P624,F_ProductBM!$Q:$Q,0))))</f>
        <v/>
      </c>
      <c r="O624" s="19"/>
      <c r="P624" s="298" t="str">
        <f>EUconst_CNTR_WGExport &amp; I477</f>
        <v>WasteGasEx_</v>
      </c>
      <c r="Q624" s="343"/>
      <c r="R624" s="343"/>
      <c r="S624" s="343"/>
      <c r="T624" s="7"/>
      <c r="U624" s="349"/>
      <c r="V624" s="349"/>
    </row>
    <row r="625" spans="1:22" s="534" customFormat="1" ht="12.75" customHeight="1" x14ac:dyDescent="0.25">
      <c r="A625" s="343"/>
      <c r="B625" s="15"/>
      <c r="C625" s="15"/>
      <c r="D625" s="1454"/>
      <c r="E625" s="2612" t="str">
        <f>Translations!$B$642</f>
        <v>Särskild emissionsfaktor (exporterad restgas)</v>
      </c>
      <c r="F625" s="2487"/>
      <c r="G625" s="624" t="str">
        <f>EUconst_tCO2pTJ</f>
        <v>t CO2 / TJ</v>
      </c>
      <c r="H625" s="740" t="str">
        <f>IF($I477="","",IF(INDEX(F_ProductBM!H:H,MATCH($P625,F_ProductBM!$Q:$Q,0))="","",INDEX(F_ProductBM!H:H,MATCH($P625,F_ProductBM!$Q:$Q,0))))</f>
        <v/>
      </c>
      <c r="I625" s="1154" t="str">
        <f>IF($I477="","",IF(INDEX(F_ProductBM!I:I,MATCH($P625,F_ProductBM!$Q:$Q,0))="","",INDEX(F_ProductBM!I:I,MATCH($P625,F_ProductBM!$Q:$Q,0))))</f>
        <v/>
      </c>
      <c r="J625" s="1160" t="str">
        <f>IF($I477="","",IF(INDEX(F_ProductBM!J:J,MATCH($P625,F_ProductBM!$Q:$Q,0))="","",INDEX(F_ProductBM!J:J,MATCH($P625,F_ProductBM!$Q:$Q,0))))</f>
        <v/>
      </c>
      <c r="K625" s="740" t="str">
        <f>IF($I477="","",IF(INDEX(F_ProductBM!K:K,MATCH($P625,F_ProductBM!$Q:$Q,0))="","",INDEX(F_ProductBM!K:K,MATCH($P625,F_ProductBM!$Q:$Q,0))))</f>
        <v/>
      </c>
      <c r="L625" s="740" t="str">
        <f>IF($I477="","",IF(INDEX(F_ProductBM!L:L,MATCH($P625,F_ProductBM!$Q:$Q,0))="","",INDEX(F_ProductBM!L:L,MATCH($P625,F_ProductBM!$Q:$Q,0))))</f>
        <v/>
      </c>
      <c r="M625" s="740" t="str">
        <f>IF($I477="","",IF(INDEX(F_ProductBM!M:M,MATCH($P625,F_ProductBM!$Q:$Q,0))="","",INDEX(F_ProductBM!M:M,MATCH($P625,F_ProductBM!$Q:$Q,0))))</f>
        <v/>
      </c>
      <c r="N625" s="1457" t="str">
        <f>IF($I477="","",IF(INDEX(F_ProductBM!N:N,MATCH($P625,F_ProductBM!$Q:$Q,0))="","",INDEX(F_ProductBM!N:N,MATCH($P625,F_ProductBM!$Q:$Q,0))))</f>
        <v/>
      </c>
      <c r="O625" s="19"/>
      <c r="P625" s="298" t="str">
        <f>EUconst_CNTR_WGExportEF &amp; I477</f>
        <v>WasteGasExEF_</v>
      </c>
      <c r="Q625" s="343"/>
      <c r="R625" s="343"/>
      <c r="S625" s="343"/>
      <c r="T625" s="7"/>
      <c r="U625" s="349"/>
      <c r="V625" s="349"/>
    </row>
    <row r="626" spans="1:22" s="534" customFormat="1" ht="5.15" customHeight="1" x14ac:dyDescent="0.25">
      <c r="A626" s="343"/>
      <c r="B626" s="15"/>
      <c r="C626" s="15"/>
      <c r="D626" s="1454"/>
      <c r="E626" s="899"/>
      <c r="F626" s="899"/>
      <c r="G626" s="416"/>
      <c r="H626" s="741"/>
      <c r="I626" s="741"/>
      <c r="J626" s="741"/>
      <c r="K626" s="741"/>
      <c r="L626" s="741"/>
      <c r="M626" s="741"/>
      <c r="N626" s="1458"/>
      <c r="O626" s="19"/>
      <c r="P626" s="7"/>
      <c r="Q626" s="343"/>
      <c r="R626" s="343"/>
      <c r="S626" s="343"/>
      <c r="T626" s="7"/>
      <c r="U626" s="349"/>
      <c r="V626" s="349"/>
    </row>
    <row r="627" spans="1:22" s="534" customFormat="1" ht="12.75" customHeight="1" x14ac:dyDescent="0.25">
      <c r="A627" s="343"/>
      <c r="B627" s="15"/>
      <c r="C627" s="15"/>
      <c r="D627" s="1454"/>
      <c r="E627" s="2613" t="str">
        <f>Translations!$B$530</f>
        <v>Relevant elförbrukning</v>
      </c>
      <c r="F627" s="1997"/>
      <c r="G627" s="364" t="str">
        <f>EUconst_MWhpa</f>
        <v>MWh / år</v>
      </c>
      <c r="H627" s="742" t="str">
        <f>IF($I477="","",IF(INDEX(F_ProductBM!H:H,MATCH($P627,F_ProductBM!$R:$R,0))="","",INDEX(F_ProductBM!H:H,MATCH($P627,F_ProductBM!$R:$R,0))))</f>
        <v/>
      </c>
      <c r="I627" s="1021" t="str">
        <f>IF($I477="","",IF(INDEX(F_ProductBM!I:I,MATCH($P627,F_ProductBM!$R:$R,0))="","",INDEX(F_ProductBM!I:I,MATCH($P627,F_ProductBM!$R:$R,0))))</f>
        <v/>
      </c>
      <c r="J627" s="1158" t="str">
        <f>IF($I477="","",IF(INDEX(F_ProductBM!J:J,MATCH($P627,F_ProductBM!$R:$R,0))="","",INDEX(F_ProductBM!J:J,MATCH($P627,F_ProductBM!$R:$R,0))))</f>
        <v/>
      </c>
      <c r="K627" s="742" t="str">
        <f>IF($I477="","",IF(INDEX(F_ProductBM!K:K,MATCH($P627,F_ProductBM!$R:$R,0))="","",INDEX(F_ProductBM!K:K,MATCH($P627,F_ProductBM!$R:$R,0))))</f>
        <v/>
      </c>
      <c r="L627" s="742" t="str">
        <f>IF($I477="","",IF(INDEX(F_ProductBM!L:L,MATCH($P627,F_ProductBM!$R:$R,0))="","",INDEX(F_ProductBM!L:L,MATCH($P627,F_ProductBM!$R:$R,0))))</f>
        <v/>
      </c>
      <c r="M627" s="742" t="str">
        <f>IF($I477="","",IF(INDEX(F_ProductBM!M:M,MATCH($P627,F_ProductBM!$R:$R,0))="","",INDEX(F_ProductBM!M:M,MATCH($P627,F_ProductBM!$R:$R,0))))</f>
        <v/>
      </c>
      <c r="N627" s="1459" t="str">
        <f>IF($I477="","",IF(INDEX(F_ProductBM!N:N,MATCH($P627,F_ProductBM!$R:$R,0))="","",INDEX(F_ProductBM!N:N,MATCH($P627,F_ProductBM!$R:$R,0))))</f>
        <v/>
      </c>
      <c r="O627" s="19"/>
      <c r="P627" s="165" t="str">
        <f>EUconst_CNTR_HAL&amp;EUconst_CNTR_ELEXCH &amp; I477</f>
        <v>HAL_ELEXCH_</v>
      </c>
      <c r="Q627" s="343"/>
      <c r="R627" s="343"/>
      <c r="S627" s="343"/>
      <c r="T627" s="7"/>
      <c r="U627" s="349"/>
      <c r="V627" s="349"/>
    </row>
    <row r="628" spans="1:22" s="534" customFormat="1" ht="12.75" customHeight="1" x14ac:dyDescent="0.25">
      <c r="A628" s="343"/>
      <c r="B628" s="15"/>
      <c r="C628" s="15"/>
      <c r="D628" s="1454"/>
      <c r="E628" s="2613" t="str">
        <f>Translations!$B$645</f>
        <v>Producerad el</v>
      </c>
      <c r="F628" s="1997"/>
      <c r="G628" s="364" t="str">
        <f>EUconst_MWhpa</f>
        <v>MWh / år</v>
      </c>
      <c r="H628" s="742" t="str">
        <f>IF($I477="","",IF(INDEX(F_ProductBM!H:H,MATCH($P628,F_ProductBM!$Q:$Q,0))="","",INDEX(F_ProductBM!H:H,MATCH($P628,F_ProductBM!$Q:$Q,0))))</f>
        <v/>
      </c>
      <c r="I628" s="1021" t="str">
        <f>IF($I477="","",IF(INDEX(F_ProductBM!I:I,MATCH($P628,F_ProductBM!$Q:$Q,0))="","",INDEX(F_ProductBM!I:I,MATCH($P628,F_ProductBM!$Q:$Q,0))))</f>
        <v/>
      </c>
      <c r="J628" s="1158" t="str">
        <f>IF($I477="","",IF(INDEX(F_ProductBM!J:J,MATCH($P628,F_ProductBM!$Q:$Q,0))="","",INDEX(F_ProductBM!J:J,MATCH($P628,F_ProductBM!$Q:$Q,0))))</f>
        <v/>
      </c>
      <c r="K628" s="742" t="str">
        <f>IF($I477="","",IF(INDEX(F_ProductBM!K:K,MATCH($P628,F_ProductBM!$Q:$Q,0))="","",INDEX(F_ProductBM!K:K,MATCH($P628,F_ProductBM!$Q:$Q,0))))</f>
        <v/>
      </c>
      <c r="L628" s="742" t="str">
        <f>IF($I477="","",IF(INDEX(F_ProductBM!L:L,MATCH($P628,F_ProductBM!$Q:$Q,0))="","",INDEX(F_ProductBM!L:L,MATCH($P628,F_ProductBM!$Q:$Q,0))))</f>
        <v/>
      </c>
      <c r="M628" s="742" t="str">
        <f>IF($I477="","",IF(INDEX(F_ProductBM!M:M,MATCH($P628,F_ProductBM!$Q:$Q,0))="","",INDEX(F_ProductBM!M:M,MATCH($P628,F_ProductBM!$Q:$Q,0))))</f>
        <v/>
      </c>
      <c r="N628" s="1459" t="str">
        <f>IF($I477="","",IF(INDEX(F_ProductBM!N:N,MATCH($P628,F_ProductBM!$Q:$Q,0))="","",INDEX(F_ProductBM!N:N,MATCH($P628,F_ProductBM!$Q:$Q,0))))</f>
        <v/>
      </c>
      <c r="O628" s="19"/>
      <c r="P628" s="298" t="str">
        <f>EUconst_CNTR_ElectricityExported &amp; I477</f>
        <v>ElecEx_</v>
      </c>
      <c r="Q628" s="343"/>
      <c r="R628" s="343"/>
      <c r="S628" s="343"/>
      <c r="T628" s="7"/>
      <c r="U628" s="349"/>
      <c r="V628" s="349"/>
    </row>
    <row r="629" spans="1:22" s="534" customFormat="1" ht="5.15" customHeight="1" x14ac:dyDescent="0.25">
      <c r="A629" s="343"/>
      <c r="B629" s="15"/>
      <c r="C629" s="15"/>
      <c r="D629" s="1454"/>
      <c r="E629" s="899"/>
      <c r="F629" s="899"/>
      <c r="G629" s="416"/>
      <c r="H629" s="741"/>
      <c r="I629" s="741"/>
      <c r="J629" s="741"/>
      <c r="K629" s="741"/>
      <c r="L629" s="741"/>
      <c r="M629" s="741"/>
      <c r="N629" s="1458"/>
      <c r="O629" s="19"/>
      <c r="P629" s="7"/>
      <c r="Q629" s="343"/>
      <c r="R629" s="343"/>
      <c r="S629" s="343"/>
      <c r="T629" s="7"/>
      <c r="U629" s="349"/>
      <c r="V629" s="349"/>
    </row>
    <row r="630" spans="1:22" s="534" customFormat="1" ht="12.75" customHeight="1" x14ac:dyDescent="0.25">
      <c r="A630" s="343"/>
      <c r="B630" s="15"/>
      <c r="C630" s="15"/>
      <c r="D630" s="1454"/>
      <c r="E630" s="2613" t="str">
        <f>Translations!$B$646</f>
        <v>Total producerad massamängd</v>
      </c>
      <c r="F630" s="1997"/>
      <c r="G630" s="364" t="str">
        <f>EUconst_Tons</f>
        <v>ton</v>
      </c>
      <c r="H630" s="742" t="str">
        <f>IF($I477="","",IF(INDEX(F_ProductBM!H:H,MATCH($P630,F_ProductBM!$Q:$Q,0))="","",INDEX(F_ProductBM!H:H,MATCH($P630,F_ProductBM!$Q:$Q,0))))</f>
        <v/>
      </c>
      <c r="I630" s="1021" t="str">
        <f>IF($I477="","",IF(INDEX(F_ProductBM!I:I,MATCH($P630,F_ProductBM!$Q:$Q,0))="","",INDEX(F_ProductBM!I:I,MATCH($P630,F_ProductBM!$Q:$Q,0))))</f>
        <v/>
      </c>
      <c r="J630" s="1158" t="str">
        <f>IF($I477="","",IF(INDEX(F_ProductBM!J:J,MATCH($P630,F_ProductBM!$Q:$Q,0))="","",INDEX(F_ProductBM!J:J,MATCH($P630,F_ProductBM!$Q:$Q,0))))</f>
        <v/>
      </c>
      <c r="K630" s="742" t="str">
        <f>IF($I477="","",IF(INDEX(F_ProductBM!K:K,MATCH($P630,F_ProductBM!$Q:$Q,0))="","",INDEX(F_ProductBM!K:K,MATCH($P630,F_ProductBM!$Q:$Q,0))))</f>
        <v/>
      </c>
      <c r="L630" s="742" t="str">
        <f>IF($I477="","",IF(INDEX(F_ProductBM!L:L,MATCH($P630,F_ProductBM!$Q:$Q,0))="","",INDEX(F_ProductBM!L:L,MATCH($P630,F_ProductBM!$Q:$Q,0))))</f>
        <v/>
      </c>
      <c r="M630" s="742" t="str">
        <f>IF($I477="","",IF(INDEX(F_ProductBM!M:M,MATCH($P630,F_ProductBM!$Q:$Q,0))="","",INDEX(F_ProductBM!M:M,MATCH($P630,F_ProductBM!$Q:$Q,0))))</f>
        <v/>
      </c>
      <c r="N630" s="1459" t="str">
        <f>IF($I477="","",IF(INDEX(F_ProductBM!N:N,MATCH($P630,F_ProductBM!$Q:$Q,0))="","",INDEX(F_ProductBM!N:N,MATCH($P630,F_ProductBM!$Q:$Q,0))))</f>
        <v/>
      </c>
      <c r="O630" s="19"/>
      <c r="P630" s="298" t="str">
        <f>EUconst_CNTR_HALPulpTotal &amp; I477</f>
        <v>HALPulpTotal_</v>
      </c>
      <c r="Q630" s="343"/>
      <c r="R630" s="343"/>
      <c r="S630" s="343"/>
      <c r="T630" s="7"/>
      <c r="U630" s="349"/>
      <c r="V630" s="349"/>
    </row>
    <row r="631" spans="1:22" s="534" customFormat="1" ht="5.15" customHeight="1" x14ac:dyDescent="0.25">
      <c r="A631" s="343"/>
      <c r="B631" s="15"/>
      <c r="C631" s="15"/>
      <c r="D631" s="1454"/>
      <c r="E631" s="899"/>
      <c r="F631" s="899"/>
      <c r="G631" s="416"/>
      <c r="H631" s="741"/>
      <c r="I631" s="741"/>
      <c r="J631" s="741"/>
      <c r="K631" s="741"/>
      <c r="L631" s="741"/>
      <c r="M631" s="741"/>
      <c r="N631" s="1458"/>
      <c r="O631" s="19"/>
      <c r="P631" s="7"/>
      <c r="Q631" s="343"/>
      <c r="R631" s="343"/>
      <c r="S631" s="343"/>
      <c r="T631" s="7"/>
      <c r="U631" s="349"/>
      <c r="V631" s="349"/>
    </row>
    <row r="632" spans="1:22" s="534" customFormat="1" x14ac:dyDescent="0.25">
      <c r="A632" s="343"/>
      <c r="B632" s="15"/>
      <c r="C632" s="15"/>
      <c r="D632" s="1454"/>
      <c r="E632" s="2785" t="str">
        <f>Translations!$B$1057</f>
        <v>Mellanimport:</v>
      </c>
      <c r="F632" s="2497"/>
      <c r="G632" s="416"/>
      <c r="H632" s="741"/>
      <c r="I632" s="741"/>
      <c r="J632" s="741"/>
      <c r="K632" s="741"/>
      <c r="L632" s="741"/>
      <c r="M632" s="741"/>
      <c r="N632" s="1458"/>
      <c r="O632" s="19"/>
      <c r="P632" s="7"/>
      <c r="Q632" s="343"/>
      <c r="R632" s="343"/>
      <c r="S632" s="343"/>
      <c r="T632" s="7"/>
      <c r="U632" s="349"/>
      <c r="V632" s="349"/>
    </row>
    <row r="633" spans="1:22" s="534" customFormat="1" x14ac:dyDescent="0.25">
      <c r="A633" s="343"/>
      <c r="B633" s="15"/>
      <c r="C633" s="15"/>
      <c r="D633" s="1454"/>
      <c r="E633" s="2617" t="str">
        <f>IF(I477="","",IF(INDEX(F_ProductBM!E:E,MATCH($P633,F_ProductBM!$Q:$Q,0))="","",INDEX(F_ProductBM!E:E,MATCH($P633,F_ProductBM!$Q:$Q,0))))</f>
        <v/>
      </c>
      <c r="F633" s="1997"/>
      <c r="G633" s="364" t="str">
        <f>EUconst_Tons</f>
        <v>ton</v>
      </c>
      <c r="H633" s="742" t="str">
        <f>IF($I477="","",IF(INDEX(F_ProductBM!H:H,MATCH($P633,F_ProductBM!$Q:$Q,0))="","",INDEX(F_ProductBM!H:H,MATCH($P633,F_ProductBM!$Q:$Q,0))))</f>
        <v/>
      </c>
      <c r="I633" s="1021" t="str">
        <f>IF($I477="","",IF(INDEX(F_ProductBM!I:I,MATCH($P633,F_ProductBM!$Q:$Q,0))="","",INDEX(F_ProductBM!I:I,MATCH($P633,F_ProductBM!$Q:$Q,0))))</f>
        <v/>
      </c>
      <c r="J633" s="1158" t="str">
        <f>IF($I477="","",IF(INDEX(F_ProductBM!J:J,MATCH($P633,F_ProductBM!$Q:$Q,0))="","",INDEX(F_ProductBM!J:J,MATCH($P633,F_ProductBM!$Q:$Q,0))))</f>
        <v/>
      </c>
      <c r="K633" s="742" t="str">
        <f>IF($I477="","",IF(INDEX(F_ProductBM!K:K,MATCH($P633,F_ProductBM!$Q:$Q,0))="","",INDEX(F_ProductBM!K:K,MATCH($P633,F_ProductBM!$Q:$Q,0))))</f>
        <v/>
      </c>
      <c r="L633" s="742" t="str">
        <f>IF($I477="","",IF(INDEX(F_ProductBM!L:L,MATCH($P633,F_ProductBM!$Q:$Q,0))="","",INDEX(F_ProductBM!L:L,MATCH($P633,F_ProductBM!$Q:$Q,0))))</f>
        <v/>
      </c>
      <c r="M633" s="742" t="str">
        <f>IF($I477="","",IF(INDEX(F_ProductBM!M:M,MATCH($P633,F_ProductBM!$Q:$Q,0))="","",INDEX(F_ProductBM!M:M,MATCH($P633,F_ProductBM!$Q:$Q,0))))</f>
        <v/>
      </c>
      <c r="N633" s="1459" t="str">
        <f>IF($I477="","",IF(INDEX(F_ProductBM!N:N,MATCH($P633,F_ProductBM!$Q:$Q,0))="","",INDEX(F_ProductBM!N:N,MATCH($P633,F_ProductBM!$Q:$Q,0))))</f>
        <v/>
      </c>
      <c r="O633" s="19"/>
      <c r="P633" s="298" t="str">
        <f>EUconst_CNTR_IntermediateImport &amp; R633 &amp; "_" &amp; I477</f>
        <v>IntImp_1_</v>
      </c>
      <c r="Q633" s="343"/>
      <c r="R633" s="663">
        <v>1</v>
      </c>
      <c r="S633" s="343"/>
      <c r="T633" s="7"/>
      <c r="U633" s="349"/>
      <c r="V633" s="349"/>
    </row>
    <row r="634" spans="1:22" s="534" customFormat="1" x14ac:dyDescent="0.25">
      <c r="A634" s="343"/>
      <c r="B634" s="15"/>
      <c r="C634" s="15"/>
      <c r="D634" s="1454"/>
      <c r="E634" s="2617" t="str">
        <f>IF(I477="","",IF(INDEX(F_ProductBM!E:E,MATCH($P634,F_ProductBM!$Q:$Q,0))="","",INDEX(F_ProductBM!E:E,MATCH($P634,F_ProductBM!$Q:$Q,0))))</f>
        <v/>
      </c>
      <c r="F634" s="1997"/>
      <c r="G634" s="364" t="str">
        <f>EUconst_Tons</f>
        <v>ton</v>
      </c>
      <c r="H634" s="742" t="str">
        <f>IF($I477="","",IF(INDEX(F_ProductBM!H:H,MATCH($P634,F_ProductBM!$Q:$Q,0))="","",INDEX(F_ProductBM!H:H,MATCH($P634,F_ProductBM!$Q:$Q,0))))</f>
        <v/>
      </c>
      <c r="I634" s="1021" t="str">
        <f>IF($I477="","",IF(INDEX(F_ProductBM!I:I,MATCH($P634,F_ProductBM!$Q:$Q,0))="","",INDEX(F_ProductBM!I:I,MATCH($P634,F_ProductBM!$Q:$Q,0))))</f>
        <v/>
      </c>
      <c r="J634" s="1158" t="str">
        <f>IF($I477="","",IF(INDEX(F_ProductBM!J:J,MATCH($P634,F_ProductBM!$Q:$Q,0))="","",INDEX(F_ProductBM!J:J,MATCH($P634,F_ProductBM!$Q:$Q,0))))</f>
        <v/>
      </c>
      <c r="K634" s="742" t="str">
        <f>IF($I477="","",IF(INDEX(F_ProductBM!K:K,MATCH($P634,F_ProductBM!$Q:$Q,0))="","",INDEX(F_ProductBM!K:K,MATCH($P634,F_ProductBM!$Q:$Q,0))))</f>
        <v/>
      </c>
      <c r="L634" s="742" t="str">
        <f>IF($I477="","",IF(INDEX(F_ProductBM!L:L,MATCH($P634,F_ProductBM!$Q:$Q,0))="","",INDEX(F_ProductBM!L:L,MATCH($P634,F_ProductBM!$Q:$Q,0))))</f>
        <v/>
      </c>
      <c r="M634" s="742" t="str">
        <f>IF($I477="","",IF(INDEX(F_ProductBM!M:M,MATCH($P634,F_ProductBM!$Q:$Q,0))="","",INDEX(F_ProductBM!M:M,MATCH($P634,F_ProductBM!$Q:$Q,0))))</f>
        <v/>
      </c>
      <c r="N634" s="1459" t="str">
        <f>IF($I477="","",IF(INDEX(F_ProductBM!N:N,MATCH($P634,F_ProductBM!$Q:$Q,0))="","",INDEX(F_ProductBM!N:N,MATCH($P634,F_ProductBM!$Q:$Q,0))))</f>
        <v/>
      </c>
      <c r="O634" s="19"/>
      <c r="P634" s="298" t="str">
        <f>EUconst_CNTR_IntermediateImport &amp; R634 &amp; "_" &amp; I477</f>
        <v>IntImp_2_</v>
      </c>
      <c r="Q634" s="343"/>
      <c r="R634" s="663">
        <v>2</v>
      </c>
      <c r="S634" s="343"/>
      <c r="T634" s="7"/>
      <c r="U634" s="349"/>
      <c r="V634" s="349"/>
    </row>
    <row r="635" spans="1:22" s="534" customFormat="1" x14ac:dyDescent="0.25">
      <c r="A635" s="343"/>
      <c r="B635" s="15"/>
      <c r="C635" s="15"/>
      <c r="D635" s="1454"/>
      <c r="E635" s="2613" t="str">
        <f>Translations!$B$1058</f>
        <v>Mellanexport:</v>
      </c>
      <c r="F635" s="1997"/>
      <c r="G635" s="416"/>
      <c r="H635" s="741"/>
      <c r="I635" s="741"/>
      <c r="J635" s="741"/>
      <c r="K635" s="741"/>
      <c r="L635" s="741"/>
      <c r="M635" s="741"/>
      <c r="N635" s="1458"/>
      <c r="O635" s="19"/>
      <c r="P635" s="7"/>
      <c r="Q635" s="343"/>
      <c r="R635" s="343"/>
      <c r="S635" s="343"/>
      <c r="T635" s="7"/>
      <c r="U635" s="349"/>
      <c r="V635" s="349"/>
    </row>
    <row r="636" spans="1:22" s="534" customFormat="1" x14ac:dyDescent="0.25">
      <c r="A636" s="343"/>
      <c r="B636" s="15"/>
      <c r="C636" s="15"/>
      <c r="D636" s="1454"/>
      <c r="E636" s="2617" t="str">
        <f>IF(I477="","",IF(INDEX(F_ProductBM!E:E,MATCH($P636,F_ProductBM!$Q:$Q,0))="","",INDEX(F_ProductBM!E:E,MATCH($P636,F_ProductBM!$Q:$Q,0))))</f>
        <v/>
      </c>
      <c r="F636" s="1997"/>
      <c r="G636" s="364" t="str">
        <f>EUconst_Tons</f>
        <v>ton</v>
      </c>
      <c r="H636" s="742" t="str">
        <f>IF($I477="","",IF(INDEX(F_ProductBM!H:H,MATCH($P636,F_ProductBM!$Q:$Q,0))="","",INDEX(F_ProductBM!H:H,MATCH($P636,F_ProductBM!$Q:$Q,0))))</f>
        <v/>
      </c>
      <c r="I636" s="1021" t="str">
        <f>IF($I477="","",IF(INDEX(F_ProductBM!I:I,MATCH($P636,F_ProductBM!$Q:$Q,0))="","",INDEX(F_ProductBM!I:I,MATCH($P636,F_ProductBM!$Q:$Q,0))))</f>
        <v/>
      </c>
      <c r="J636" s="1158" t="str">
        <f>IF($I477="","",IF(INDEX(F_ProductBM!J:J,MATCH($P636,F_ProductBM!$Q:$Q,0))="","",INDEX(F_ProductBM!J:J,MATCH($P636,F_ProductBM!$Q:$Q,0))))</f>
        <v/>
      </c>
      <c r="K636" s="742" t="str">
        <f>IF($I477="","",IF(INDEX(F_ProductBM!K:K,MATCH($P636,F_ProductBM!$Q:$Q,0))="","",INDEX(F_ProductBM!K:K,MATCH($P636,F_ProductBM!$Q:$Q,0))))</f>
        <v/>
      </c>
      <c r="L636" s="742" t="str">
        <f>IF($I477="","",IF(INDEX(F_ProductBM!L:L,MATCH($P636,F_ProductBM!$Q:$Q,0))="","",INDEX(F_ProductBM!L:L,MATCH($P636,F_ProductBM!$Q:$Q,0))))</f>
        <v/>
      </c>
      <c r="M636" s="742" t="str">
        <f>IF($I477="","",IF(INDEX(F_ProductBM!M:M,MATCH($P636,F_ProductBM!$Q:$Q,0))="","",INDEX(F_ProductBM!M:M,MATCH($P636,F_ProductBM!$Q:$Q,0))))</f>
        <v/>
      </c>
      <c r="N636" s="1459" t="str">
        <f>IF($I477="","",IF(INDEX(F_ProductBM!N:N,MATCH($P636,F_ProductBM!$Q:$Q,0))="","",INDEX(F_ProductBM!N:N,MATCH($P636,F_ProductBM!$Q:$Q,0))))</f>
        <v/>
      </c>
      <c r="O636" s="19"/>
      <c r="P636" s="298" t="str">
        <f>EUconst_CNTR_IntermediateExport &amp; R633 &amp; "_" &amp; I477</f>
        <v>IntExp_1_</v>
      </c>
      <c r="Q636" s="343"/>
      <c r="R636" s="663">
        <v>1</v>
      </c>
      <c r="S636" s="343"/>
      <c r="T636" s="7"/>
      <c r="U636" s="349"/>
      <c r="V636" s="349"/>
    </row>
    <row r="637" spans="1:22" s="534" customFormat="1" x14ac:dyDescent="0.25">
      <c r="A637" s="343"/>
      <c r="B637" s="15"/>
      <c r="C637" s="15"/>
      <c r="D637" s="1454"/>
      <c r="E637" s="2617" t="str">
        <f>IF(I477="","",IF(INDEX(F_ProductBM!E:E,MATCH($P637,F_ProductBM!$Q:$Q,0))="","",INDEX(F_ProductBM!E:E,MATCH($P637,F_ProductBM!$Q:$Q,0))))</f>
        <v/>
      </c>
      <c r="F637" s="1997"/>
      <c r="G637" s="364" t="str">
        <f>EUconst_Tons</f>
        <v>ton</v>
      </c>
      <c r="H637" s="742" t="str">
        <f>IF($I477="","",IF(INDEX(F_ProductBM!H:H,MATCH($P637,F_ProductBM!$Q:$Q,0))="","",INDEX(F_ProductBM!H:H,MATCH($P637,F_ProductBM!$Q:$Q,0))))</f>
        <v/>
      </c>
      <c r="I637" s="1021" t="str">
        <f>IF($I477="","",IF(INDEX(F_ProductBM!I:I,MATCH($P637,F_ProductBM!$Q:$Q,0))="","",INDEX(F_ProductBM!I:I,MATCH($P637,F_ProductBM!$Q:$Q,0))))</f>
        <v/>
      </c>
      <c r="J637" s="1158" t="str">
        <f>IF($I477="","",IF(INDEX(F_ProductBM!J:J,MATCH($P637,F_ProductBM!$Q:$Q,0))="","",INDEX(F_ProductBM!J:J,MATCH($P637,F_ProductBM!$Q:$Q,0))))</f>
        <v/>
      </c>
      <c r="K637" s="742" t="str">
        <f>IF($I477="","",IF(INDEX(F_ProductBM!K:K,MATCH($P637,F_ProductBM!$Q:$Q,0))="","",INDEX(F_ProductBM!K:K,MATCH($P637,F_ProductBM!$Q:$Q,0))))</f>
        <v/>
      </c>
      <c r="L637" s="742" t="str">
        <f>IF($I477="","",IF(INDEX(F_ProductBM!L:L,MATCH($P637,F_ProductBM!$Q:$Q,0))="","",INDEX(F_ProductBM!L:L,MATCH($P637,F_ProductBM!$Q:$Q,0))))</f>
        <v/>
      </c>
      <c r="M637" s="742" t="str">
        <f>IF($I477="","",IF(INDEX(F_ProductBM!M:M,MATCH($P637,F_ProductBM!$Q:$Q,0))="","",INDEX(F_ProductBM!M:M,MATCH($P637,F_ProductBM!$Q:$Q,0))))</f>
        <v/>
      </c>
      <c r="N637" s="1459" t="str">
        <f>IF($I477="","",IF(INDEX(F_ProductBM!N:N,MATCH($P637,F_ProductBM!$Q:$Q,0))="","",INDEX(F_ProductBM!N:N,MATCH($P637,F_ProductBM!$Q:$Q,0))))</f>
        <v/>
      </c>
      <c r="O637" s="19"/>
      <c r="P637" s="298" t="str">
        <f>EUconst_CNTR_IntermediateExport &amp; R637 &amp; "_" &amp; I477</f>
        <v>IntExp_2_</v>
      </c>
      <c r="Q637" s="343"/>
      <c r="R637" s="663">
        <v>2</v>
      </c>
      <c r="S637" s="343"/>
      <c r="T637" s="7"/>
      <c r="U637" s="349"/>
      <c r="V637" s="349"/>
    </row>
    <row r="638" spans="1:22" s="534" customFormat="1" ht="12.75" customHeight="1" thickBot="1" x14ac:dyDescent="0.3">
      <c r="A638" s="343"/>
      <c r="B638" s="15"/>
      <c r="C638" s="15"/>
      <c r="D638" s="1460"/>
      <c r="E638" s="1461"/>
      <c r="F638" s="1461"/>
      <c r="G638" s="1462"/>
      <c r="H638" s="1462"/>
      <c r="I638" s="783"/>
      <c r="J638" s="783"/>
      <c r="K638" s="783"/>
      <c r="L638" s="783"/>
      <c r="M638" s="783"/>
      <c r="N638" s="784"/>
      <c r="O638" s="19"/>
      <c r="P638" s="7"/>
      <c r="Q638" s="343"/>
      <c r="R638" s="343"/>
      <c r="S638" s="343"/>
      <c r="T638" s="7"/>
      <c r="U638" s="349"/>
      <c r="V638" s="349"/>
    </row>
    <row r="639" spans="1:22" s="534" customFormat="1" ht="5.15" customHeight="1" thickBot="1" x14ac:dyDescent="0.3">
      <c r="A639" s="343"/>
      <c r="B639" s="15"/>
      <c r="C639" s="15"/>
      <c r="D639" s="15"/>
      <c r="E639" s="748"/>
      <c r="O639" s="19"/>
      <c r="P639" s="343"/>
      <c r="Q639" s="343"/>
      <c r="R639" s="343"/>
      <c r="S639" s="343"/>
      <c r="T639" s="343"/>
      <c r="U639" s="349"/>
      <c r="V639" s="349"/>
    </row>
    <row r="640" spans="1:22" s="534" customFormat="1" ht="5.15" customHeight="1" thickBot="1" x14ac:dyDescent="0.3">
      <c r="A640" s="343"/>
      <c r="B640" s="3"/>
      <c r="C640" s="230"/>
      <c r="D640" s="230"/>
      <c r="E640" s="230"/>
      <c r="F640" s="230"/>
      <c r="G640" s="230"/>
      <c r="H640" s="230"/>
      <c r="I640" s="230"/>
      <c r="J640" s="230"/>
      <c r="K640" s="230"/>
      <c r="L640" s="230"/>
      <c r="M640" s="230"/>
      <c r="N640" s="230"/>
      <c r="O640" s="19"/>
      <c r="P640" s="343"/>
      <c r="Q640" s="343"/>
      <c r="R640" s="343"/>
      <c r="S640" s="343"/>
      <c r="T640" s="343"/>
      <c r="U640" s="349"/>
      <c r="V640" s="349"/>
    </row>
    <row r="641" spans="1:22" s="534" customFormat="1" ht="15" customHeight="1" thickBot="1" x14ac:dyDescent="0.35">
      <c r="A641" s="343"/>
      <c r="B641" s="15"/>
      <c r="C641" s="17">
        <f>C477+1</f>
        <v>2</v>
      </c>
      <c r="D641" s="2053" t="str">
        <f>CONCATENATE(EUconst_BMSubinst," ",C641, ":")</f>
        <v>Delanläggning med produktriktmärke 2:</v>
      </c>
      <c r="E641" s="2053"/>
      <c r="F641" s="2053"/>
      <c r="G641" s="2053"/>
      <c r="H641" s="2081"/>
      <c r="I641" s="2090" t="str">
        <f>IF(INDEX(CNTR_SubInstListIsProdBM,$C641),INDEX(CNTR_SubInstListNames,$C641),"")</f>
        <v/>
      </c>
      <c r="J641" s="2091"/>
      <c r="K641" s="2091"/>
      <c r="L641" s="2091"/>
      <c r="M641" s="2091"/>
      <c r="N641" s="2092"/>
      <c r="O641" s="19"/>
      <c r="P641" s="343"/>
      <c r="Q641" s="723">
        <f>C641</f>
        <v>2</v>
      </c>
      <c r="R641" s="722" t="str">
        <f>I641</f>
        <v/>
      </c>
      <c r="S641" s="343"/>
      <c r="T641" s="343"/>
      <c r="U641" s="349"/>
      <c r="V641" s="349"/>
    </row>
    <row r="642" spans="1:22" s="534" customFormat="1" ht="5.15" customHeight="1" x14ac:dyDescent="0.3">
      <c r="A642" s="343"/>
      <c r="B642" s="15"/>
      <c r="C642" s="17"/>
      <c r="D642" s="17"/>
      <c r="E642" s="17"/>
      <c r="F642" s="17"/>
      <c r="G642" s="17"/>
      <c r="H642" s="17"/>
      <c r="I642" s="17"/>
      <c r="J642" s="17"/>
      <c r="K642" s="17"/>
      <c r="L642" s="17"/>
      <c r="M642" s="17"/>
      <c r="N642" s="17"/>
      <c r="O642" s="19"/>
      <c r="P642" s="343"/>
      <c r="Q642" s="343"/>
      <c r="R642" s="343"/>
      <c r="S642" s="343"/>
      <c r="T642" s="343"/>
      <c r="U642" s="349"/>
      <c r="V642" s="349"/>
    </row>
    <row r="643" spans="1:22" s="534" customFormat="1" ht="12.75" customHeight="1" x14ac:dyDescent="0.3">
      <c r="A643" s="343"/>
      <c r="B643" s="15"/>
      <c r="C643" s="17"/>
      <c r="D643" s="17"/>
      <c r="E643" s="17"/>
      <c r="F643" s="17"/>
      <c r="H643" s="506" t="str">
        <f>Translations!$B$1022</f>
        <v>KL-risk</v>
      </c>
      <c r="I643" s="506" t="s">
        <v>1380</v>
      </c>
      <c r="J643" s="506" t="str">
        <f>Translations!$B$1026</f>
        <v>I drift</v>
      </c>
      <c r="K643" s="506" t="str">
        <f>Translations!$B$1545</f>
        <v>Upphört</v>
      </c>
      <c r="L643" s="952" t="str">
        <f>Translations!$B$1024</f>
        <v>RM-nummer</v>
      </c>
      <c r="M643" s="2786" t="str">
        <f>Translations!$B$1028</f>
        <v>RM-värde</v>
      </c>
      <c r="N643" s="2786"/>
      <c r="O643" s="19"/>
      <c r="P643" s="343"/>
      <c r="Q643" s="343"/>
      <c r="R643" s="343"/>
      <c r="S643" s="343"/>
      <c r="T643" s="940"/>
      <c r="U643" s="349"/>
      <c r="V643" s="349"/>
    </row>
    <row r="644" spans="1:22" s="534" customFormat="1" ht="12.75" customHeight="1" x14ac:dyDescent="0.3">
      <c r="A644" s="343"/>
      <c r="B644" s="15"/>
      <c r="C644" s="17"/>
      <c r="D644" s="17"/>
      <c r="E644" s="508" t="str">
        <f>I641</f>
        <v/>
      </c>
      <c r="F644" s="509"/>
      <c r="G644" s="509"/>
      <c r="H644" s="510" t="str">
        <f>IF(L644=EUconst_NA,EUconst_NA,INDEX(EUconst_BMlistCLstatus,L644))</f>
        <v>Ej tillämpligt</v>
      </c>
      <c r="I644" s="510" t="str">
        <f>IF(I641="","",INDEX(EUconst_BMlistElExchangability,L644))</f>
        <v/>
      </c>
      <c r="J644" s="1045" t="str">
        <f>IF($I641="",EUconst_NA,INDEX(CNTR_SubInstStartDate,MATCH(I641,CNTR_SubInstListNames,0)))</f>
        <v>Ej tillämpligt</v>
      </c>
      <c r="K644" s="1045" t="str">
        <f>IF($I641="",EUconst_NA,IF(INDEX(CNTR_SubInstCessationDate,MATCH(I641,CNTR_SubInstListNames,0))=0,"",INDEX(CNTR_SubInstCessationDate,MATCH(I641,CNTR_SubInstListNames,0))))</f>
        <v>Ej tillämpligt</v>
      </c>
      <c r="L644" s="953" t="str">
        <f>IF($I641="",EUconst_NA,MATCH(I641,EUconst_BMlistNames,0))</f>
        <v>Ej tillämpligt</v>
      </c>
      <c r="M644" s="1744" t="str">
        <f>IF(I641="",EUconst_NA,INDEX(EUconst_BMlistBMvaluesMatrix,L644,3))</f>
        <v>Ej tillämpligt</v>
      </c>
      <c r="N644" s="1041" t="str">
        <f>EUconst_EUA &amp; "/" &amp; F647</f>
        <v>EUA/ton</v>
      </c>
      <c r="O644" s="19"/>
      <c r="P644" s="343"/>
      <c r="Q644" s="343"/>
      <c r="R644" s="343"/>
      <c r="S644" s="343"/>
      <c r="T644" s="940"/>
      <c r="U644" s="349"/>
      <c r="V644" s="349"/>
    </row>
    <row r="645" spans="1:22" s="534" customFormat="1" ht="5.15" customHeight="1" thickBot="1" x14ac:dyDescent="0.35">
      <c r="A645" s="343"/>
      <c r="B645" s="15"/>
      <c r="C645" s="15"/>
      <c r="D645" s="15"/>
      <c r="E645" s="17"/>
      <c r="J645" s="15"/>
      <c r="K645" s="15"/>
      <c r="L645" s="15"/>
      <c r="M645" s="15"/>
      <c r="N645" s="15"/>
      <c r="O645" s="19"/>
      <c r="P645" s="343"/>
      <c r="Q645" s="343"/>
      <c r="R645" s="343"/>
      <c r="S645" s="343"/>
      <c r="T645" s="7"/>
      <c r="U645" s="349"/>
      <c r="V645" s="349"/>
    </row>
    <row r="646" spans="1:22" s="534" customFormat="1" ht="12.75" customHeight="1" x14ac:dyDescent="0.25">
      <c r="A646" s="343"/>
      <c r="B646" s="15"/>
      <c r="C646" s="15"/>
      <c r="D646" s="15"/>
      <c r="E646" s="39"/>
      <c r="F646" s="13" t="str">
        <f>EUconst_Unit</f>
        <v>Enhet</v>
      </c>
      <c r="G646" s="1202" t="str">
        <f>Translations!$B$1432</f>
        <v>HAL</v>
      </c>
      <c r="H646" s="987">
        <f t="shared" ref="H646:N646" si="44">H$2596</f>
        <v>2019</v>
      </c>
      <c r="I646" s="342">
        <f t="shared" si="44"/>
        <v>2020</v>
      </c>
      <c r="J646" s="987">
        <f t="shared" si="44"/>
        <v>2021</v>
      </c>
      <c r="K646" s="320">
        <f t="shared" si="44"/>
        <v>2022</v>
      </c>
      <c r="L646" s="320">
        <f t="shared" si="44"/>
        <v>2023</v>
      </c>
      <c r="M646" s="320">
        <f t="shared" si="44"/>
        <v>2024</v>
      </c>
      <c r="N646" s="320">
        <f t="shared" si="44"/>
        <v>2025</v>
      </c>
      <c r="O646" s="19"/>
      <c r="P646" s="343"/>
      <c r="Q646" s="343" t="s">
        <v>2010</v>
      </c>
      <c r="R646" s="1635">
        <f>J$2596</f>
        <v>2021</v>
      </c>
      <c r="S646" s="1636">
        <f>K$2596</f>
        <v>2022</v>
      </c>
      <c r="T646" s="1636">
        <f>L$2596</f>
        <v>2023</v>
      </c>
      <c r="U646" s="1636">
        <f>M$2596</f>
        <v>2024</v>
      </c>
      <c r="V646" s="1637">
        <f>N$2596</f>
        <v>2025</v>
      </c>
    </row>
    <row r="647" spans="1:22" s="534" customFormat="1" ht="12.75" customHeight="1" thickBot="1" x14ac:dyDescent="0.3">
      <c r="A647" s="343"/>
      <c r="B647" s="15"/>
      <c r="C647" s="15"/>
      <c r="D647" s="15"/>
      <c r="E647" s="514" t="str">
        <f>Translations!$B$1562</f>
        <v>Rapporterad verksamhetsnivå</v>
      </c>
      <c r="F647" s="563" t="str">
        <f>IF(ISNUMBER(L644),INDEX(EUconst_BMlistUnits,L644),EUconst_Tons)</f>
        <v>ton</v>
      </c>
      <c r="G647" s="943" t="str">
        <f>I750</f>
        <v/>
      </c>
      <c r="H647" s="1131" t="str">
        <f>IF($I641="","",IF(H646&gt;=CNTR_ReportingYear,"",INDEX(F_ProductBM!H:H,MATCH($P647,F_ProductBM!$Q:$Q,0))))</f>
        <v/>
      </c>
      <c r="I647" s="641" t="str">
        <f>IF($I641="","",IF(I646&gt;=CNTR_ReportingYear,"",INDEX(F_ProductBM!I:I,MATCH($P647,F_ProductBM!$Q:$Q,0))))</f>
        <v/>
      </c>
      <c r="J647" s="1131" t="str">
        <f>IF($I641="","",IF(J646&gt;=CNTR_ReportingYear,"",INDEX(F_ProductBM!J:J,MATCH($P647,F_ProductBM!$Q:$Q,0))))</f>
        <v/>
      </c>
      <c r="K647" s="421" t="str">
        <f>IF($I641="","",IF(K646&gt;=CNTR_ReportingYear,"",INDEX(F_ProductBM!K:K,MATCH($P647,F_ProductBM!$Q:$Q,0))))</f>
        <v/>
      </c>
      <c r="L647" s="421" t="str">
        <f>IF($I641="","",IF(L646&gt;=CNTR_ReportingYear,"",INDEX(F_ProductBM!L:L,MATCH($P647,F_ProductBM!$Q:$Q,0))))</f>
        <v/>
      </c>
      <c r="M647" s="421" t="str">
        <f>IF($I641="","",IF(M646&gt;=CNTR_ReportingYear,"",INDEX(F_ProductBM!M:M,MATCH($P647,F_ProductBM!$Q:$Q,0))))</f>
        <v/>
      </c>
      <c r="N647" s="421" t="str">
        <f>IF($I641="","",IF(N646&gt;=CNTR_ReportingYear,"",INDEX(F_ProductBM!N:N,MATCH($P647,F_ProductBM!$Q:$Q,0))))</f>
        <v/>
      </c>
      <c r="O647" s="19"/>
      <c r="P647" s="165" t="str">
        <f>EUconst_CNTR_HAL&amp;I641</f>
        <v>HAL_</v>
      </c>
      <c r="Q647" s="343"/>
      <c r="R647" s="1329" t="b">
        <f>AND($I641&lt;&gt;"",R646&lt;=CNTR_ReportingYear,IF($J644&lt;&gt;EUconst_NA,R646&gt;=YEAR($J644),TRUE))</f>
        <v>0</v>
      </c>
      <c r="S647" s="1330" t="b">
        <f>AND($I641&lt;&gt;"",S646&lt;=CNTR_ReportingYear,IF($J644&lt;&gt;EUconst_NA,S646&gt;=YEAR($J644),TRUE))</f>
        <v>0</v>
      </c>
      <c r="T647" s="1330" t="b">
        <f>AND($I641&lt;&gt;"",T646&lt;=CNTR_ReportingYear,IF($J644&lt;&gt;EUconst_NA,T646&gt;=YEAR($J644),TRUE))</f>
        <v>0</v>
      </c>
      <c r="U647" s="1330" t="b">
        <f>AND($I641&lt;&gt;"",U646&lt;=CNTR_ReportingYear,IF($J644&lt;&gt;EUconst_NA,U646&gt;=YEAR($J644),TRUE))</f>
        <v>0</v>
      </c>
      <c r="V647" s="1331" t="b">
        <f>AND($I641&lt;&gt;"",V646&lt;=CNTR_ReportingYear,IF($J644&lt;&gt;EUconst_NA,V646&gt;=YEAR($J644),TRUE))</f>
        <v>0</v>
      </c>
    </row>
    <row r="648" spans="1:22" s="534" customFormat="1" ht="5.15" customHeight="1" thickBot="1" x14ac:dyDescent="0.35">
      <c r="A648" s="343"/>
      <c r="B648" s="15"/>
      <c r="C648" s="17"/>
      <c r="D648" s="17"/>
      <c r="E648" s="17"/>
      <c r="F648" s="17"/>
      <c r="G648" s="17"/>
      <c r="H648" s="17"/>
      <c r="I648" s="17"/>
      <c r="J648" s="17"/>
      <c r="K648" s="17"/>
      <c r="L648" s="17"/>
      <c r="M648" s="17"/>
      <c r="N648" s="17"/>
      <c r="O648" s="19"/>
      <c r="P648" s="343"/>
      <c r="Q648" s="343"/>
      <c r="R648" s="343"/>
      <c r="S648" s="343"/>
      <c r="T648" s="343"/>
      <c r="U648" s="349"/>
      <c r="V648" s="349"/>
    </row>
    <row r="649" spans="1:22" s="534" customFormat="1" ht="5.15" customHeight="1" x14ac:dyDescent="0.3">
      <c r="A649" s="343"/>
      <c r="B649" s="15"/>
      <c r="C649" s="17"/>
      <c r="D649" s="1383"/>
      <c r="E649" s="1384"/>
      <c r="F649" s="1384"/>
      <c r="G649" s="1384"/>
      <c r="H649" s="1384"/>
      <c r="I649" s="1384"/>
      <c r="J649" s="1384"/>
      <c r="K649" s="1384"/>
      <c r="L649" s="1384"/>
      <c r="M649" s="1384"/>
      <c r="N649" s="1385"/>
      <c r="O649" s="19"/>
      <c r="P649" s="343"/>
      <c r="Q649" s="343"/>
      <c r="R649" s="343"/>
      <c r="S649" s="343"/>
      <c r="T649" s="343"/>
      <c r="U649" s="349"/>
      <c r="V649" s="349"/>
    </row>
    <row r="650" spans="1:22" s="534" customFormat="1" ht="12.75" customHeight="1" x14ac:dyDescent="0.3">
      <c r="A650" s="343"/>
      <c r="B650" s="15"/>
      <c r="C650" s="17"/>
      <c r="D650" s="1386"/>
      <c r="E650" s="42" t="str">
        <f>Translations!$B$1563</f>
        <v>Tillämplighet av glidande medelvärde</v>
      </c>
      <c r="F650" s="188"/>
      <c r="G650" s="188"/>
      <c r="H650" s="30"/>
      <c r="I650" s="1157"/>
      <c r="J650" s="1065">
        <f>J$2596</f>
        <v>2021</v>
      </c>
      <c r="K650" s="350">
        <f>K$2596</f>
        <v>2022</v>
      </c>
      <c r="L650" s="350">
        <f>L$2596</f>
        <v>2023</v>
      </c>
      <c r="M650" s="350">
        <f>M$2596</f>
        <v>2024</v>
      </c>
      <c r="N650" s="966">
        <f>N$2596</f>
        <v>2025</v>
      </c>
      <c r="O650" s="19"/>
      <c r="P650" s="343"/>
      <c r="Q650" s="343"/>
      <c r="R650" s="343"/>
      <c r="S650" s="343"/>
      <c r="T650" s="343"/>
      <c r="U650" s="349"/>
      <c r="V650" s="349"/>
    </row>
    <row r="651" spans="1:22" s="534" customFormat="1" ht="12.75" customHeight="1" x14ac:dyDescent="0.3">
      <c r="A651" s="343"/>
      <c r="B651" s="15"/>
      <c r="C651" s="17"/>
      <c r="D651" s="1386"/>
      <c r="E651" s="1477" t="str">
        <f>Translations!$B$1549</f>
        <v>Kriterium 1: Verksam &gt;2 år?</v>
      </c>
      <c r="F651" s="1478"/>
      <c r="G651" s="1478"/>
      <c r="H651" s="1366"/>
      <c r="I651" s="1478"/>
      <c r="J651" s="1469" t="str">
        <f>IF(R647,INDEX(F_ProductBM!V:V,MATCH($P651,F_ProductBM!$Q:$Q,0))&gt;=3,"")</f>
        <v/>
      </c>
      <c r="K651" s="1470" t="str">
        <f>IF(S647,INDEX(F_ProductBM!W:W,MATCH($P651,F_ProductBM!$Q:$Q,0))&gt;=3,"")</f>
        <v/>
      </c>
      <c r="L651" s="1470" t="str">
        <f>IF(T647,INDEX(F_ProductBM!X:X,MATCH($P651,F_ProductBM!$Q:$Q,0))&gt;=3,"")</f>
        <v/>
      </c>
      <c r="M651" s="1470" t="str">
        <f>IF(U647,INDEX(F_ProductBM!Y:Y,MATCH($P651,F_ProductBM!$Q:$Q,0))&gt;=3,"")</f>
        <v/>
      </c>
      <c r="N651" s="1471" t="str">
        <f>IF(V647,INDEX(F_ProductBM!Z:Z,MATCH($P651,F_ProductBM!$Q:$Q,0))&gt;=3,"")</f>
        <v/>
      </c>
      <c r="O651" s="19"/>
      <c r="P651" s="165" t="str">
        <f>EUconst_CNTR_HALinitial&amp;I641</f>
        <v>HALini_</v>
      </c>
      <c r="Q651" s="343"/>
      <c r="R651" s="343"/>
      <c r="S651" s="343"/>
      <c r="T651" s="343"/>
      <c r="U651" s="349"/>
      <c r="V651" s="349"/>
    </row>
    <row r="652" spans="1:22" s="534" customFormat="1" ht="12.75" customHeight="1" x14ac:dyDescent="0.3">
      <c r="A652" s="343"/>
      <c r="B652" s="15"/>
      <c r="C652" s="17"/>
      <c r="D652" s="1386"/>
      <c r="E652" s="1472" t="str">
        <f>Translations!$B$1551</f>
        <v>Kriterium 2: Upphörde inte föregående år?</v>
      </c>
      <c r="F652" s="1479"/>
      <c r="G652" s="1479"/>
      <c r="H652" s="1473"/>
      <c r="I652" s="1479"/>
      <c r="J652" s="1474" t="str">
        <f>IF(R647,IF($K644="",2050,YEAR($K644))&lt;&gt;(J650-1),"")</f>
        <v/>
      </c>
      <c r="K652" s="1475" t="str">
        <f>IF(S647,IF($K644="",2050,YEAR($K644))&lt;&gt;(K650-1),"")</f>
        <v/>
      </c>
      <c r="L652" s="1475" t="str">
        <f>IF(T647,IF($K644="",2050,YEAR($K644))&lt;&gt;(L650-1),"")</f>
        <v/>
      </c>
      <c r="M652" s="1475" t="str">
        <f>IF(U647,IF($K644="",2050,YEAR($K644))&lt;&gt;(M650-1),"")</f>
        <v/>
      </c>
      <c r="N652" s="1476" t="str">
        <f>IF(V647,IF($K644="",2050,YEAR($K644))&lt;&gt;(N650-1),"")</f>
        <v/>
      </c>
      <c r="O652" s="19"/>
      <c r="P652" s="343"/>
      <c r="Q652" s="343"/>
      <c r="R652" s="343"/>
      <c r="S652" s="343"/>
      <c r="T652" s="343"/>
      <c r="U652" s="349"/>
      <c r="V652" s="349"/>
    </row>
    <row r="653" spans="1:22" s="534" customFormat="1" ht="5.15" customHeight="1" x14ac:dyDescent="0.3">
      <c r="A653" s="343"/>
      <c r="B653" s="15"/>
      <c r="C653" s="17"/>
      <c r="D653" s="1386"/>
      <c r="E653" s="17"/>
      <c r="F653" s="17"/>
      <c r="G653" s="17"/>
      <c r="H653" s="17"/>
      <c r="I653" s="17"/>
      <c r="J653" s="17"/>
      <c r="K653" s="17"/>
      <c r="L653" s="17"/>
      <c r="M653" s="17"/>
      <c r="N653" s="1388"/>
      <c r="O653" s="19"/>
      <c r="P653" s="343"/>
      <c r="Q653" s="343"/>
      <c r="R653" s="343"/>
      <c r="S653" s="343"/>
      <c r="T653" s="343"/>
      <c r="U653" s="349"/>
      <c r="V653" s="349"/>
    </row>
    <row r="654" spans="1:22" s="534" customFormat="1" ht="12.75" customHeight="1" x14ac:dyDescent="0.3">
      <c r="A654" s="343"/>
      <c r="B654" s="15"/>
      <c r="C654" s="17"/>
      <c r="D654" s="1386"/>
      <c r="E654" s="39" t="str">
        <f>Translations!$B$1564</f>
        <v>Ändringar: Ingen ändring (bas)</v>
      </c>
      <c r="F654" s="15"/>
      <c r="G654" s="15"/>
      <c r="H654" s="30" t="str">
        <f>EUconst_Unit</f>
        <v>Enhet</v>
      </c>
      <c r="I654" s="1157"/>
      <c r="J654" s="987">
        <f>J$2596</f>
        <v>2021</v>
      </c>
      <c r="K654" s="320">
        <f>K$2596</f>
        <v>2022</v>
      </c>
      <c r="L654" s="320">
        <f>L$2596</f>
        <v>2023</v>
      </c>
      <c r="M654" s="320">
        <f>M$2596</f>
        <v>2024</v>
      </c>
      <c r="N654" s="1387">
        <f>N$2596</f>
        <v>2025</v>
      </c>
      <c r="O654" s="19"/>
      <c r="P654" s="343"/>
      <c r="Q654" s="343"/>
      <c r="R654" s="343"/>
      <c r="S654" s="343"/>
      <c r="T654" s="343"/>
      <c r="U654" s="349"/>
      <c r="V654" s="349"/>
    </row>
    <row r="655" spans="1:22" s="534" customFormat="1" ht="12.75" hidden="1" customHeight="1" x14ac:dyDescent="0.3">
      <c r="A655" s="343" t="str">
        <f t="shared" ref="A655:A660" si="45">IF(P655="","ausblenden","")</f>
        <v>ausblenden</v>
      </c>
      <c r="B655" s="15"/>
      <c r="C655" s="17"/>
      <c r="D655" s="1386"/>
      <c r="E655" s="514" t="s">
        <v>1918</v>
      </c>
      <c r="F655" s="514"/>
      <c r="G655" s="514"/>
      <c r="H655" s="917" t="str">
        <f>F647</f>
        <v>ton</v>
      </c>
      <c r="I655" s="514"/>
      <c r="J655" s="1152" t="str">
        <f>IF(T756&gt;=$H$2595,S750,I750)</f>
        <v/>
      </c>
      <c r="K655" s="943" t="str">
        <f t="shared" ref="K655:K660" si="46">J750</f>
        <v/>
      </c>
      <c r="L655" s="943" t="str">
        <f t="shared" ref="L655:L660" si="47">K750</f>
        <v/>
      </c>
      <c r="M655" s="943" t="str">
        <f t="shared" ref="M655:M660" si="48">L750</f>
        <v/>
      </c>
      <c r="N655" s="1389" t="str">
        <f t="shared" ref="N655:N660" si="49">M750</f>
        <v/>
      </c>
      <c r="O655" s="19"/>
      <c r="P655" s="343"/>
      <c r="Q655" s="343"/>
      <c r="R655" s="343"/>
      <c r="S655" s="343"/>
      <c r="T655" s="343"/>
      <c r="U655" s="349"/>
      <c r="V655" s="349"/>
    </row>
    <row r="656" spans="1:22" s="534" customFormat="1" ht="12.75" hidden="1" customHeight="1" x14ac:dyDescent="0.3">
      <c r="A656" s="343" t="str">
        <f t="shared" si="45"/>
        <v>ausblenden</v>
      </c>
      <c r="B656" s="15"/>
      <c r="C656" s="17"/>
      <c r="D656" s="1386"/>
      <c r="E656" s="944" t="s">
        <v>339</v>
      </c>
      <c r="F656" s="944"/>
      <c r="G656" s="944"/>
      <c r="H656" s="954" t="str">
        <f>EUconst_EUA</f>
        <v>EUA</v>
      </c>
      <c r="I656" s="945"/>
      <c r="J656" s="1209" t="str">
        <f>IF(T756&gt;=$H$2595,S751,I751)</f>
        <v/>
      </c>
      <c r="K656" s="1210" t="str">
        <f t="shared" si="46"/>
        <v/>
      </c>
      <c r="L656" s="1210" t="str">
        <f t="shared" si="47"/>
        <v/>
      </c>
      <c r="M656" s="1210" t="str">
        <f t="shared" si="48"/>
        <v/>
      </c>
      <c r="N656" s="1390" t="str">
        <f t="shared" si="49"/>
        <v/>
      </c>
      <c r="O656" s="19"/>
      <c r="P656" s="343"/>
      <c r="Q656" s="343"/>
      <c r="R656" s="343"/>
      <c r="S656" s="343"/>
      <c r="T656" s="343"/>
      <c r="U656" s="349"/>
      <c r="V656" s="349"/>
    </row>
    <row r="657" spans="1:22" s="534" customFormat="1" ht="12.75" hidden="1" customHeight="1" x14ac:dyDescent="0.3">
      <c r="A657" s="343" t="str">
        <f t="shared" si="45"/>
        <v>ausblenden</v>
      </c>
      <c r="B657" s="15"/>
      <c r="C657" s="17"/>
      <c r="D657" s="1386"/>
      <c r="E657" s="947" t="s">
        <v>1560</v>
      </c>
      <c r="F657" s="947"/>
      <c r="G657" s="947"/>
      <c r="H657" s="955" t="str">
        <f>EUconst_EUA</f>
        <v>EUA</v>
      </c>
      <c r="I657" s="948"/>
      <c r="J657" s="1165" t="str">
        <f>IF(T756&gt;=$H$2595,S752,I752)</f>
        <v/>
      </c>
      <c r="K657" s="975" t="str">
        <f t="shared" si="46"/>
        <v/>
      </c>
      <c r="L657" s="975" t="str">
        <f t="shared" si="47"/>
        <v/>
      </c>
      <c r="M657" s="975" t="str">
        <f t="shared" si="48"/>
        <v/>
      </c>
      <c r="N657" s="1391" t="str">
        <f t="shared" si="49"/>
        <v/>
      </c>
      <c r="O657" s="19"/>
      <c r="P657" s="343"/>
      <c r="Q657" s="343"/>
      <c r="R657" s="343"/>
      <c r="S657" s="343"/>
      <c r="T657" s="343"/>
      <c r="U657" s="349"/>
      <c r="V657" s="349"/>
    </row>
    <row r="658" spans="1:22" s="534" customFormat="1" ht="12.75" hidden="1" customHeight="1" x14ac:dyDescent="0.3">
      <c r="A658" s="343" t="str">
        <f t="shared" si="45"/>
        <v>ausblenden</v>
      </c>
      <c r="B658" s="15"/>
      <c r="C658" s="17"/>
      <c r="D658" s="1386"/>
      <c r="E658" s="947" t="s">
        <v>1527</v>
      </c>
      <c r="F658" s="947"/>
      <c r="G658" s="947"/>
      <c r="H658" s="955" t="str">
        <f>EUconst_EUA</f>
        <v>EUA</v>
      </c>
      <c r="I658" s="948"/>
      <c r="J658" s="1165" t="str">
        <f>IF(T756&gt;=$H$2595,S753,I753)</f>
        <v/>
      </c>
      <c r="K658" s="975" t="str">
        <f t="shared" si="46"/>
        <v/>
      </c>
      <c r="L658" s="975" t="str">
        <f t="shared" si="47"/>
        <v/>
      </c>
      <c r="M658" s="975" t="str">
        <f t="shared" si="48"/>
        <v/>
      </c>
      <c r="N658" s="1391" t="str">
        <f t="shared" si="49"/>
        <v/>
      </c>
      <c r="O658" s="19"/>
      <c r="P658" s="343"/>
      <c r="Q658" s="343"/>
      <c r="R658" s="343"/>
      <c r="S658" s="343"/>
      <c r="T658" s="343"/>
      <c r="U658" s="349"/>
      <c r="V658" s="349"/>
    </row>
    <row r="659" spans="1:22" s="534" customFormat="1" ht="12.75" hidden="1" customHeight="1" x14ac:dyDescent="0.3">
      <c r="A659" s="343" t="str">
        <f t="shared" si="45"/>
        <v>ausblenden</v>
      </c>
      <c r="B659" s="15"/>
      <c r="C659" s="17"/>
      <c r="D659" s="1386"/>
      <c r="E659" s="947" t="s">
        <v>1526</v>
      </c>
      <c r="F659" s="947"/>
      <c r="G659" s="947"/>
      <c r="H659" s="956" t="s">
        <v>1112</v>
      </c>
      <c r="I659" s="948"/>
      <c r="J659" s="1211" t="str">
        <f>IF(T756&gt;=$H$2595,S754,I754)</f>
        <v/>
      </c>
      <c r="K659" s="1212" t="str">
        <f t="shared" si="46"/>
        <v/>
      </c>
      <c r="L659" s="1212" t="str">
        <f t="shared" si="47"/>
        <v/>
      </c>
      <c r="M659" s="1212" t="str">
        <f t="shared" si="48"/>
        <v/>
      </c>
      <c r="N659" s="1392" t="str">
        <f t="shared" si="49"/>
        <v/>
      </c>
      <c r="O659" s="19"/>
      <c r="P659" s="343"/>
      <c r="Q659" s="343"/>
      <c r="R659" s="343"/>
      <c r="S659" s="343"/>
      <c r="T659" s="343"/>
      <c r="U659" s="349"/>
      <c r="V659" s="349"/>
    </row>
    <row r="660" spans="1:22" s="534" customFormat="1" ht="12.75" hidden="1" customHeight="1" x14ac:dyDescent="0.3">
      <c r="A660" s="343" t="str">
        <f t="shared" si="45"/>
        <v>ausblenden</v>
      </c>
      <c r="B660" s="15"/>
      <c r="C660" s="17"/>
      <c r="D660" s="1386"/>
      <c r="E660" s="950" t="s">
        <v>1528</v>
      </c>
      <c r="F660" s="950"/>
      <c r="G660" s="950"/>
      <c r="H660" s="957" t="s">
        <v>1112</v>
      </c>
      <c r="I660" s="951"/>
      <c r="J660" s="1213" t="str">
        <f>IF(T756&gt;=$H$2595,S755,I755)</f>
        <v/>
      </c>
      <c r="K660" s="1214" t="str">
        <f t="shared" si="46"/>
        <v/>
      </c>
      <c r="L660" s="1214" t="str">
        <f t="shared" si="47"/>
        <v/>
      </c>
      <c r="M660" s="1214" t="str">
        <f t="shared" si="48"/>
        <v/>
      </c>
      <c r="N660" s="1393" t="str">
        <f t="shared" si="49"/>
        <v/>
      </c>
      <c r="O660" s="19"/>
      <c r="P660" s="343"/>
      <c r="Q660" s="343"/>
      <c r="R660" s="343"/>
      <c r="S660" s="343"/>
      <c r="T660" s="343"/>
      <c r="U660" s="349"/>
      <c r="V660" s="349"/>
    </row>
    <row r="661" spans="1:22" s="534" customFormat="1" ht="12.75" customHeight="1" x14ac:dyDescent="0.3">
      <c r="A661" s="343"/>
      <c r="B661" s="15"/>
      <c r="C661" s="17"/>
      <c r="D661" s="1386"/>
      <c r="E661" s="514" t="str">
        <f>Translations!$B$1565</f>
        <v>Preliminärt tilldelningsvärde</v>
      </c>
      <c r="F661" s="514"/>
      <c r="G661" s="514"/>
      <c r="H661" s="129" t="str">
        <f>EUconst_EUA</f>
        <v>EUA</v>
      </c>
      <c r="I661" s="1151"/>
      <c r="J661" s="1131" t="str">
        <f>IF($I641="","",MAX(0,ROUND((SUM($M644)*SUM(J655)*SUM(J659)*SUM(J660)-SUM(J656)-SUM(J657)+SUM(J658))*IF($H644=TRUE,1,J$2517),0)))</f>
        <v/>
      </c>
      <c r="K661" s="421" t="str">
        <f>IF($I641="","",MAX(0,ROUND((SUM($M644)*SUM(K655)*SUM(K659)*SUM(K660)-SUM(K656)-SUM(K657)+SUM(K658))*IF($H644=TRUE,1,K$2517),0)))</f>
        <v/>
      </c>
      <c r="L661" s="421" t="str">
        <f>IF($I641="","",MAX(0,ROUND((SUM($M644)*SUM(L655)*SUM(L659)*SUM(L660)-SUM(L656)-SUM(L657)+SUM(L658))*IF($H644=TRUE,1,L$2517),0)))</f>
        <v/>
      </c>
      <c r="M661" s="421" t="str">
        <f>IF($I641="","",MAX(0,ROUND((SUM($M644)*SUM(M655)*SUM(M659)*SUM(M660)-SUM(M656)-SUM(M657)+SUM(M658))*IF($H644=TRUE,1,M$2517),0)))</f>
        <v/>
      </c>
      <c r="N661" s="967" t="str">
        <f>IF($I641="","",MAX(0,ROUND((SUM($M644+IF(L644=52,0.415,0))*SUM(N655)*SUM(N659)*SUM(N660)-SUM(N656)-SUM(N657)+SUM(N658))*IF($H644=TRUE,1,N$2517),0)))</f>
        <v/>
      </c>
      <c r="O661" s="19"/>
      <c r="P661" s="343"/>
      <c r="Q661" s="343"/>
      <c r="R661" s="343"/>
      <c r="S661" s="343"/>
      <c r="T661" s="343"/>
      <c r="U661" s="349"/>
      <c r="V661" s="349"/>
    </row>
    <row r="662" spans="1:22" s="534" customFormat="1" ht="5.15" customHeight="1" x14ac:dyDescent="0.3">
      <c r="A662" s="343"/>
      <c r="B662" s="15"/>
      <c r="C662" s="17"/>
      <c r="D662" s="1386"/>
      <c r="E662" s="17"/>
      <c r="F662" s="17"/>
      <c r="G662" s="17"/>
      <c r="H662" s="17"/>
      <c r="I662" s="17"/>
      <c r="J662" s="17"/>
      <c r="K662" s="17"/>
      <c r="L662" s="17"/>
      <c r="M662" s="17"/>
      <c r="N662" s="1388"/>
      <c r="O662" s="19"/>
      <c r="P662" s="343"/>
      <c r="Q662" s="343"/>
      <c r="R662" s="343"/>
      <c r="S662" s="343"/>
      <c r="T662" s="343"/>
      <c r="U662" s="349"/>
      <c r="V662" s="349"/>
    </row>
    <row r="663" spans="1:22" s="534" customFormat="1" ht="12.75" customHeight="1" x14ac:dyDescent="0.3">
      <c r="A663" s="343"/>
      <c r="B663" s="15"/>
      <c r="C663" s="17"/>
      <c r="D663" s="1386"/>
      <c r="E663" s="42" t="str">
        <f>Translations!$B$1566</f>
        <v>Ändringar: Verksamhetsnivå</v>
      </c>
      <c r="F663" s="188"/>
      <c r="G663" s="188"/>
      <c r="H663" s="30" t="str">
        <f>EUconst_Unit</f>
        <v>Enhet</v>
      </c>
      <c r="I663" s="1157"/>
      <c r="J663" s="1065">
        <f>J$2596</f>
        <v>2021</v>
      </c>
      <c r="K663" s="350">
        <f>K$2596</f>
        <v>2022</v>
      </c>
      <c r="L663" s="350">
        <f>L$2596</f>
        <v>2023</v>
      </c>
      <c r="M663" s="350">
        <f>M$2596</f>
        <v>2024</v>
      </c>
      <c r="N663" s="966">
        <f>N$2596</f>
        <v>2025</v>
      </c>
      <c r="O663" s="19"/>
      <c r="P663" s="343"/>
      <c r="Q663" s="343"/>
      <c r="R663" s="343"/>
      <c r="S663" s="343"/>
      <c r="T663" s="343"/>
      <c r="U663" s="349"/>
      <c r="V663" s="349"/>
    </row>
    <row r="664" spans="1:22" s="534" customFormat="1" ht="12.75" customHeight="1" x14ac:dyDescent="0.3">
      <c r="A664" s="343"/>
      <c r="B664" s="15"/>
      <c r="C664" s="17"/>
      <c r="D664" s="1386"/>
      <c r="E664" s="944" t="str">
        <f>Translations!$B$1482</f>
        <v>Genomsnittligt årligt värde</v>
      </c>
      <c r="F664" s="944"/>
      <c r="G664" s="944"/>
      <c r="H664" s="1443" t="str">
        <f>H655</f>
        <v>ton</v>
      </c>
      <c r="I664" s="1367"/>
      <c r="J664" s="1161" t="str">
        <f>INDEX(F_ProductBM!J:J,MATCH($P664,F_ProductBM!$Q:$Q,0))</f>
        <v/>
      </c>
      <c r="K664" s="946" t="str">
        <f>INDEX(F_ProductBM!K:K,MATCH($P664,F_ProductBM!$Q:$Q,0))</f>
        <v/>
      </c>
      <c r="L664" s="946" t="str">
        <f>INDEX(F_ProductBM!L:L,MATCH($P664,F_ProductBM!$Q:$Q,0))</f>
        <v/>
      </c>
      <c r="M664" s="946" t="str">
        <f>INDEX(F_ProductBM!M:M,MATCH($P664,F_ProductBM!$Q:$Q,0))</f>
        <v/>
      </c>
      <c r="N664" s="1046" t="str">
        <f>INDEX(F_ProductBM!N:N,MATCH($P664,F_ProductBM!$Q:$Q,0))</f>
        <v/>
      </c>
      <c r="O664" s="19"/>
      <c r="P664" s="165" t="str">
        <f>EUconst_CNTR_HALinitial&amp;I641</f>
        <v>HALini_</v>
      </c>
      <c r="Q664" s="343"/>
      <c r="R664" s="343"/>
      <c r="S664" s="343"/>
      <c r="T664" s="343"/>
      <c r="U664" s="349"/>
      <c r="V664" s="349"/>
    </row>
    <row r="665" spans="1:22" s="534" customFormat="1" ht="12.75" customHeight="1" x14ac:dyDescent="0.3">
      <c r="A665" s="343"/>
      <c r="B665" s="15"/>
      <c r="C665" s="17"/>
      <c r="D665" s="1386"/>
      <c r="E665" s="947" t="str">
        <f>Translations!$B$1567</f>
        <v>Ändring jämfört med historik verksamhetsnivå</v>
      </c>
      <c r="F665" s="947"/>
      <c r="G665" s="947"/>
      <c r="H665" s="1442" t="s">
        <v>1112</v>
      </c>
      <c r="I665" s="1371"/>
      <c r="J665" s="1415" t="str">
        <f>INDEX(F_ProductBM!J:J,MATCH($P665,F_ProductBM!$Q:$Q,0))</f>
        <v/>
      </c>
      <c r="K665" s="1416" t="str">
        <f>INDEX(F_ProductBM!K:K,MATCH($P665,F_ProductBM!$Q:$Q,0))</f>
        <v/>
      </c>
      <c r="L665" s="1416" t="str">
        <f>INDEX(F_ProductBM!L:L,MATCH($P665,F_ProductBM!$Q:$Q,0))</f>
        <v/>
      </c>
      <c r="M665" s="1416" t="str">
        <f>INDEX(F_ProductBM!M:M,MATCH($P665,F_ProductBM!$Q:$Q,0))</f>
        <v/>
      </c>
      <c r="N665" s="1417" t="str">
        <f>INDEX(F_ProductBM!N:N,MATCH($P665,F_ProductBM!$Q:$Q,0))</f>
        <v/>
      </c>
      <c r="O665" s="19"/>
      <c r="P665" s="165" t="str">
        <f>EUconst_CNTR_RelThreshold &amp; P667</f>
        <v>RelThresh_HALprelim_</v>
      </c>
      <c r="Q665" s="343"/>
      <c r="R665" s="343"/>
      <c r="S665" s="343"/>
      <c r="T665" s="343"/>
      <c r="U665" s="349"/>
      <c r="V665" s="349"/>
    </row>
    <row r="666" spans="1:22" s="534" customFormat="1" ht="12.75" customHeight="1" x14ac:dyDescent="0.3">
      <c r="A666" s="343"/>
      <c r="B666" s="15"/>
      <c r="C666" s="17"/>
      <c r="D666" s="1386"/>
      <c r="E666" s="1418" t="str">
        <f>Translations!$B$1553</f>
        <v>Kriterium 3a: Har relativa tröskelvärden överskridits?</v>
      </c>
      <c r="F666" s="1418"/>
      <c r="G666" s="1418"/>
      <c r="H666" s="1444" t="s">
        <v>1112</v>
      </c>
      <c r="I666" s="1423"/>
      <c r="J666" s="1420" t="str">
        <f>INDEX(F_ProductBM!V:V,MATCH($P666,F_ProductBM!$Q:$Q,0)+1)</f>
        <v/>
      </c>
      <c r="K666" s="1421" t="str">
        <f>INDEX(F_ProductBM!W:W,MATCH($P666,F_ProductBM!$Q:$Q,0)+1)</f>
        <v/>
      </c>
      <c r="L666" s="1421" t="str">
        <f>INDEX(F_ProductBM!X:X,MATCH($P666,F_ProductBM!$Q:$Q,0)+1)</f>
        <v/>
      </c>
      <c r="M666" s="1421" t="str">
        <f>INDEX(F_ProductBM!Y:Y,MATCH($P666,F_ProductBM!$Q:$Q,0)+1)</f>
        <v/>
      </c>
      <c r="N666" s="1422" t="str">
        <f>INDEX(F_ProductBM!Z:Z,MATCH($P666,F_ProductBM!$Q:$Q,0)+1)</f>
        <v/>
      </c>
      <c r="O666" s="19"/>
      <c r="P666" s="165" t="str">
        <f>P665</f>
        <v>RelThresh_HALprelim_</v>
      </c>
      <c r="Q666" s="343"/>
      <c r="R666" s="343"/>
      <c r="S666" s="343"/>
      <c r="T666" s="343"/>
      <c r="U666" s="349"/>
      <c r="V666" s="349"/>
    </row>
    <row r="667" spans="1:22" s="534" customFormat="1" ht="12.75" customHeight="1" x14ac:dyDescent="0.3">
      <c r="A667" s="343" t="str">
        <f t="shared" ref="A667:A672" si="50">IF(P667="","ausblenden","")</f>
        <v/>
      </c>
      <c r="B667" s="15"/>
      <c r="C667" s="17"/>
      <c r="D667" s="1386"/>
      <c r="E667" s="950" t="str">
        <f>Translations!$B$1568</f>
        <v>Preliminärt värde</v>
      </c>
      <c r="F667" s="950"/>
      <c r="G667" s="950"/>
      <c r="H667" s="1372" t="str">
        <f>F647</f>
        <v>ton</v>
      </c>
      <c r="I667" s="950"/>
      <c r="J667" s="1373" t="str">
        <f>INDEX(F_ProductBM!J:J,MATCH($P667,F_ProductBM!$Q:$Q,0))</f>
        <v/>
      </c>
      <c r="K667" s="1374" t="str">
        <f>INDEX(F_ProductBM!K:K,MATCH($P667,F_ProductBM!$Q:$Q,0))</f>
        <v/>
      </c>
      <c r="L667" s="1374" t="str">
        <f>INDEX(F_ProductBM!L:L,MATCH($P667,F_ProductBM!$Q:$Q,0))</f>
        <v/>
      </c>
      <c r="M667" s="1374" t="str">
        <f>INDEX(F_ProductBM!M:M,MATCH($P667,F_ProductBM!$Q:$Q,0))</f>
        <v/>
      </c>
      <c r="N667" s="1395" t="str">
        <f>INDEX(F_ProductBM!N:N,MATCH($P667,F_ProductBM!$Q:$Q,0))</f>
        <v/>
      </c>
      <c r="O667" s="19"/>
      <c r="P667" s="165" t="str">
        <f>EUconst_CNTR_HALprelim&amp;I641</f>
        <v>HALprelim_</v>
      </c>
      <c r="Q667" s="343"/>
      <c r="R667" s="343"/>
      <c r="S667" s="343"/>
      <c r="T667" s="343"/>
      <c r="U667" s="349"/>
      <c r="V667" s="349"/>
    </row>
    <row r="668" spans="1:22" s="534" customFormat="1" ht="12.75" hidden="1" customHeight="1" x14ac:dyDescent="0.3">
      <c r="A668" s="343" t="str">
        <f t="shared" si="50"/>
        <v>ausblenden</v>
      </c>
      <c r="B668" s="15"/>
      <c r="C668" s="17"/>
      <c r="D668" s="1386"/>
      <c r="E668" s="944" t="s">
        <v>339</v>
      </c>
      <c r="F668" s="944"/>
      <c r="G668" s="944"/>
      <c r="H668" s="954" t="str">
        <f>EUconst_EUA</f>
        <v>EUA</v>
      </c>
      <c r="I668" s="945"/>
      <c r="J668" s="1209" t="str">
        <f>J656</f>
        <v/>
      </c>
      <c r="K668" s="1210" t="str">
        <f t="shared" ref="K668:K672" si="51">J751</f>
        <v/>
      </c>
      <c r="L668" s="1210" t="str">
        <f t="shared" ref="L668:L672" si="52">K751</f>
        <v/>
      </c>
      <c r="M668" s="1210" t="str">
        <f t="shared" ref="M668:M672" si="53">L751</f>
        <v/>
      </c>
      <c r="N668" s="1390" t="str">
        <f t="shared" ref="N668:N672" si="54">M751</f>
        <v/>
      </c>
      <c r="O668" s="19"/>
      <c r="P668" s="343"/>
      <c r="Q668" s="343"/>
      <c r="R668" s="343"/>
      <c r="S668" s="343"/>
      <c r="T668" s="343"/>
      <c r="U668" s="349"/>
      <c r="V668" s="349"/>
    </row>
    <row r="669" spans="1:22" s="534" customFormat="1" ht="12.75" hidden="1" customHeight="1" x14ac:dyDescent="0.3">
      <c r="A669" s="343" t="str">
        <f t="shared" si="50"/>
        <v>ausblenden</v>
      </c>
      <c r="B669" s="15"/>
      <c r="C669" s="17"/>
      <c r="D669" s="1386"/>
      <c r="E669" s="947" t="s">
        <v>1560</v>
      </c>
      <c r="F669" s="947"/>
      <c r="G669" s="947"/>
      <c r="H669" s="955" t="str">
        <f>EUconst_EUA</f>
        <v>EUA</v>
      </c>
      <c r="I669" s="948"/>
      <c r="J669" s="1165" t="str">
        <f>J657</f>
        <v/>
      </c>
      <c r="K669" s="975" t="str">
        <f t="shared" si="51"/>
        <v/>
      </c>
      <c r="L669" s="975" t="str">
        <f t="shared" si="52"/>
        <v/>
      </c>
      <c r="M669" s="975" t="str">
        <f t="shared" si="53"/>
        <v/>
      </c>
      <c r="N669" s="1391" t="str">
        <f t="shared" si="54"/>
        <v/>
      </c>
      <c r="O669" s="19"/>
      <c r="P669" s="343"/>
      <c r="Q669" s="343"/>
      <c r="R669" s="343"/>
      <c r="S669" s="343"/>
      <c r="T669" s="343"/>
      <c r="U669" s="349"/>
      <c r="V669" s="349"/>
    </row>
    <row r="670" spans="1:22" s="534" customFormat="1" ht="12.75" hidden="1" customHeight="1" x14ac:dyDescent="0.3">
      <c r="A670" s="343" t="str">
        <f t="shared" si="50"/>
        <v>ausblenden</v>
      </c>
      <c r="B670" s="15"/>
      <c r="C670" s="17"/>
      <c r="D670" s="1386"/>
      <c r="E670" s="947" t="s">
        <v>1527</v>
      </c>
      <c r="F670" s="947"/>
      <c r="G670" s="947"/>
      <c r="H670" s="955" t="str">
        <f>EUconst_EUA</f>
        <v>EUA</v>
      </c>
      <c r="I670" s="948"/>
      <c r="J670" s="1165" t="str">
        <f>J658</f>
        <v/>
      </c>
      <c r="K670" s="975" t="str">
        <f t="shared" si="51"/>
        <v/>
      </c>
      <c r="L670" s="975" t="str">
        <f t="shared" si="52"/>
        <v/>
      </c>
      <c r="M670" s="975" t="str">
        <f t="shared" si="53"/>
        <v/>
      </c>
      <c r="N670" s="1391" t="str">
        <f t="shared" si="54"/>
        <v/>
      </c>
      <c r="O670" s="19"/>
      <c r="P670" s="343"/>
      <c r="Q670" s="343"/>
      <c r="R670" s="343"/>
      <c r="S670" s="343"/>
      <c r="T670" s="343"/>
      <c r="U670" s="349"/>
      <c r="V670" s="349"/>
    </row>
    <row r="671" spans="1:22" s="534" customFormat="1" ht="12.75" hidden="1" customHeight="1" x14ac:dyDescent="0.3">
      <c r="A671" s="343" t="str">
        <f t="shared" si="50"/>
        <v>ausblenden</v>
      </c>
      <c r="B671" s="15"/>
      <c r="C671" s="17"/>
      <c r="D671" s="1386"/>
      <c r="E671" s="947" t="s">
        <v>1526</v>
      </c>
      <c r="F671" s="947"/>
      <c r="G671" s="947"/>
      <c r="H671" s="956" t="s">
        <v>1112</v>
      </c>
      <c r="I671" s="948"/>
      <c r="J671" s="1211" t="str">
        <f>J659</f>
        <v/>
      </c>
      <c r="K671" s="1212" t="str">
        <f t="shared" si="51"/>
        <v/>
      </c>
      <c r="L671" s="1212" t="str">
        <f t="shared" si="52"/>
        <v/>
      </c>
      <c r="M671" s="1212" t="str">
        <f t="shared" si="53"/>
        <v/>
      </c>
      <c r="N671" s="1392" t="str">
        <f t="shared" si="54"/>
        <v/>
      </c>
      <c r="O671" s="19"/>
      <c r="P671" s="343"/>
      <c r="Q671" s="343"/>
      <c r="R671" s="343"/>
      <c r="S671" s="343"/>
      <c r="T671" s="343"/>
      <c r="U671" s="349"/>
      <c r="V671" s="349"/>
    </row>
    <row r="672" spans="1:22" s="534" customFormat="1" ht="12.75" hidden="1" customHeight="1" x14ac:dyDescent="0.3">
      <c r="A672" s="343" t="str">
        <f t="shared" si="50"/>
        <v>ausblenden</v>
      </c>
      <c r="B672" s="15"/>
      <c r="C672" s="17"/>
      <c r="D672" s="1386"/>
      <c r="E672" s="950" t="s">
        <v>1528</v>
      </c>
      <c r="F672" s="950"/>
      <c r="G672" s="950"/>
      <c r="H672" s="957" t="s">
        <v>1112</v>
      </c>
      <c r="I672" s="951"/>
      <c r="J672" s="1213" t="str">
        <f>J660</f>
        <v/>
      </c>
      <c r="K672" s="1214" t="str">
        <f t="shared" si="51"/>
        <v/>
      </c>
      <c r="L672" s="1214" t="str">
        <f t="shared" si="52"/>
        <v/>
      </c>
      <c r="M672" s="1214" t="str">
        <f t="shared" si="53"/>
        <v/>
      </c>
      <c r="N672" s="1393" t="str">
        <f t="shared" si="54"/>
        <v/>
      </c>
      <c r="O672" s="19"/>
      <c r="P672" s="343"/>
      <c r="Q672" s="343"/>
      <c r="R672" s="343"/>
      <c r="S672" s="343"/>
      <c r="T672" s="343"/>
      <c r="U672" s="349"/>
      <c r="V672" s="349"/>
    </row>
    <row r="673" spans="1:22" s="534" customFormat="1" ht="12.75" customHeight="1" x14ac:dyDescent="0.3">
      <c r="A673" s="343"/>
      <c r="B673" s="15"/>
      <c r="C673" s="17"/>
      <c r="D673" s="1386"/>
      <c r="E673" s="514" t="str">
        <f>Translations!$B$1565</f>
        <v>Preliminärt tilldelningsvärde</v>
      </c>
      <c r="F673" s="514"/>
      <c r="G673" s="514"/>
      <c r="H673" s="129" t="str">
        <f>EUconst_EUA</f>
        <v>EUA</v>
      </c>
      <c r="I673" s="1151"/>
      <c r="J673" s="1131" t="str">
        <f>IF($I641="","",MAX(0,ROUND((SUM($M644)*SUM(J667)*SUM(J671)*SUM(J672)-SUM(J668)-SUM(J669)+SUM(J670))*IF($H644=TRUE,1,J$2517),0)))</f>
        <v/>
      </c>
      <c r="K673" s="421" t="str">
        <f>IF($I641="","",MAX(0,ROUND((SUM($M644)*SUM(K667)*SUM(K671)*SUM(K672)-SUM(K668)-SUM(K669)+SUM(K670))*IF($H644=TRUE,1,K$2517),0)))</f>
        <v/>
      </c>
      <c r="L673" s="421" t="str">
        <f>IF($I641="","",MAX(0,ROUND((SUM($M644)*SUM(L667)*SUM(L671)*SUM(L672)-SUM(L668)-SUM(L669)+SUM(L670))*IF($H644=TRUE,1,L$2517),0)))</f>
        <v/>
      </c>
      <c r="M673" s="421" t="str">
        <f>IF($I641="","",MAX(0,ROUND((SUM($M644)*SUM(M667)*SUM(M671)*SUM(M672)-SUM(M668)-SUM(M669)+SUM(M670))*IF($H644=TRUE,1,M$2517),0)))</f>
        <v/>
      </c>
      <c r="N673" s="967" t="str">
        <f>IF($I641="","",MAX(0,ROUND((SUM($M644+IF(L644=52,0.415,0))*SUM(N667)*SUM(N671)*SUM(N672)-SUM(N668)-SUM(N669)+SUM(N670))*IF($H644=TRUE,1,N$2517),0)))</f>
        <v/>
      </c>
      <c r="O673" s="19"/>
      <c r="P673" s="343"/>
      <c r="Q673" s="343"/>
      <c r="R673" s="343"/>
      <c r="S673" s="343"/>
      <c r="T673" s="343"/>
      <c r="U673" s="349"/>
      <c r="V673" s="349"/>
    </row>
    <row r="674" spans="1:22" s="534" customFormat="1" ht="12.75" customHeight="1" x14ac:dyDescent="0.3">
      <c r="A674" s="343"/>
      <c r="B674" s="15"/>
      <c r="C674" s="17"/>
      <c r="D674" s="1386"/>
      <c r="E674" s="514" t="str">
        <f>Translations!$B$1569</f>
        <v>Skillnad i tilldelning</v>
      </c>
      <c r="F674" s="514"/>
      <c r="G674" s="514"/>
      <c r="H674" s="129" t="str">
        <f>EUconst_EUA</f>
        <v>EUA</v>
      </c>
      <c r="I674" s="1151"/>
      <c r="J674" s="1131" t="str">
        <f>IF($I641="","",ABS(SUM(J673)-SUM(J661)))</f>
        <v/>
      </c>
      <c r="K674" s="421" t="str">
        <f>IF($I641="","",ABS(SUM(K673)-SUM(K661)))</f>
        <v/>
      </c>
      <c r="L674" s="421" t="str">
        <f>IF($I641="","",ABS(SUM(L673)-SUM(L661)))</f>
        <v/>
      </c>
      <c r="M674" s="421" t="str">
        <f>IF($I641="","",ABS(SUM(M673)-SUM(M661)))</f>
        <v/>
      </c>
      <c r="N674" s="967" t="str">
        <f>IF($I641="","",ABS(SUM(N673)-SUM(N661)))</f>
        <v/>
      </c>
      <c r="O674" s="19"/>
      <c r="P674" s="343"/>
      <c r="Q674" s="343"/>
      <c r="R674" s="343"/>
      <c r="S674" s="343"/>
      <c r="T674" s="343"/>
      <c r="U674" s="349"/>
      <c r="V674" s="349"/>
    </row>
    <row r="675" spans="1:22" s="534" customFormat="1" ht="12.75" customHeight="1" x14ac:dyDescent="0.3">
      <c r="A675" s="343"/>
      <c r="B675" s="15"/>
      <c r="C675" s="17"/>
      <c r="D675" s="1386"/>
      <c r="E675" s="1419" t="str">
        <f>Translations!$B$1555</f>
        <v>Kriterium 4a: Är skillnaden minst 100 utsläppsrätter?</v>
      </c>
      <c r="F675" s="1419"/>
      <c r="G675" s="1419"/>
      <c r="H675" s="1424" t="s">
        <v>1112</v>
      </c>
      <c r="I675" s="1425"/>
      <c r="J675" s="1426" t="str">
        <f>IF($I641="","",J674&gt;=100)</f>
        <v/>
      </c>
      <c r="K675" s="1427" t="str">
        <f>IF($I641="","",K674&gt;=100)</f>
        <v/>
      </c>
      <c r="L675" s="1427" t="str">
        <f>IF($I641="","",L674&gt;=100)</f>
        <v/>
      </c>
      <c r="M675" s="1427" t="str">
        <f>IF($I641="","",M674&gt;=100)</f>
        <v/>
      </c>
      <c r="N675" s="1428" t="str">
        <f>IF($I641="","",N674&gt;=100)</f>
        <v/>
      </c>
      <c r="O675" s="19"/>
      <c r="P675" s="165" t="str">
        <f>EUconst_CNTR_100EUA_ActivityLevel&amp;I641</f>
        <v>EUA100AL_</v>
      </c>
      <c r="Q675" s="343"/>
      <c r="R675" s="343"/>
      <c r="S675" s="343"/>
      <c r="T675" s="343"/>
      <c r="U675" s="349"/>
      <c r="V675" s="349"/>
    </row>
    <row r="676" spans="1:22" s="534" customFormat="1" ht="5.15" customHeight="1" x14ac:dyDescent="0.3">
      <c r="A676" s="343"/>
      <c r="B676" s="15"/>
      <c r="C676" s="17"/>
      <c r="D676" s="1386"/>
      <c r="E676" s="15"/>
      <c r="F676" s="15"/>
      <c r="G676" s="15"/>
      <c r="H676" s="15"/>
      <c r="I676" s="941"/>
      <c r="J676" s="15"/>
      <c r="K676" s="15"/>
      <c r="L676" s="15"/>
      <c r="M676" s="15"/>
      <c r="N676" s="968"/>
      <c r="O676" s="19"/>
      <c r="P676" s="343"/>
      <c r="Q676" s="343"/>
      <c r="R676" s="343"/>
      <c r="S676" s="343"/>
      <c r="T676" s="343"/>
      <c r="U676" s="349"/>
      <c r="V676" s="349"/>
    </row>
    <row r="677" spans="1:22" s="534" customFormat="1" ht="12.75" customHeight="1" x14ac:dyDescent="0.3">
      <c r="A677" s="343"/>
      <c r="B677" s="15"/>
      <c r="C677" s="17"/>
      <c r="D677" s="1386"/>
      <c r="E677" s="42" t="str">
        <f>Translations!$B$1570</f>
        <v>Ändringar: Utbytt el</v>
      </c>
      <c r="F677" s="188"/>
      <c r="G677" s="188"/>
      <c r="H677" s="30" t="str">
        <f>EUconst_Unit</f>
        <v>Enhet</v>
      </c>
      <c r="I677" s="1157"/>
      <c r="J677" s="1065">
        <f>J$2596</f>
        <v>2021</v>
      </c>
      <c r="K677" s="350">
        <f>K$2596</f>
        <v>2022</v>
      </c>
      <c r="L677" s="350">
        <f>L$2596</f>
        <v>2023</v>
      </c>
      <c r="M677" s="350">
        <f>M$2596</f>
        <v>2024</v>
      </c>
      <c r="N677" s="966">
        <f>N$2596</f>
        <v>2025</v>
      </c>
      <c r="O677" s="19"/>
      <c r="P677" s="343"/>
      <c r="Q677" s="343"/>
      <c r="R677" s="343"/>
      <c r="S677" s="343"/>
      <c r="T677" s="343"/>
      <c r="U677" s="349"/>
      <c r="V677" s="349"/>
    </row>
    <row r="678" spans="1:22" s="534" customFormat="1" ht="12.75" hidden="1" customHeight="1" x14ac:dyDescent="0.3">
      <c r="A678" s="343" t="str">
        <f t="shared" ref="A678:A686" si="55">IF(P678="","ausblenden","")</f>
        <v>ausblenden</v>
      </c>
      <c r="B678" s="15"/>
      <c r="C678" s="17"/>
      <c r="D678" s="1386"/>
      <c r="E678" s="514" t="s">
        <v>1918</v>
      </c>
      <c r="F678" s="514"/>
      <c r="G678" s="514"/>
      <c r="H678" s="917" t="str">
        <f>H667</f>
        <v>ton</v>
      </c>
      <c r="I678" s="514"/>
      <c r="J678" s="1152" t="str">
        <f>J655</f>
        <v/>
      </c>
      <c r="K678" s="943" t="str">
        <f t="shared" ref="K678:K681" si="56">J750</f>
        <v/>
      </c>
      <c r="L678" s="943" t="str">
        <f t="shared" ref="L678:L681" si="57">K750</f>
        <v/>
      </c>
      <c r="M678" s="943" t="str">
        <f t="shared" ref="M678:M681" si="58">L750</f>
        <v/>
      </c>
      <c r="N678" s="1389" t="str">
        <f t="shared" ref="N678:N681" si="59">M750</f>
        <v/>
      </c>
      <c r="O678" s="19"/>
      <c r="P678" s="343"/>
      <c r="Q678" s="343"/>
      <c r="R678" s="343"/>
      <c r="S678" s="343"/>
      <c r="T678" s="343"/>
      <c r="U678" s="349"/>
      <c r="V678" s="349"/>
    </row>
    <row r="679" spans="1:22" s="534" customFormat="1" ht="12.75" hidden="1" customHeight="1" x14ac:dyDescent="0.3">
      <c r="A679" s="343" t="str">
        <f t="shared" si="55"/>
        <v>ausblenden</v>
      </c>
      <c r="B679" s="15"/>
      <c r="C679" s="17"/>
      <c r="D679" s="1386"/>
      <c r="E679" s="944" t="s">
        <v>339</v>
      </c>
      <c r="F679" s="944"/>
      <c r="G679" s="944"/>
      <c r="H679" s="954" t="str">
        <f>EUconst_EUA</f>
        <v>EUA</v>
      </c>
      <c r="I679" s="945"/>
      <c r="J679" s="1209" t="str">
        <f>J656</f>
        <v/>
      </c>
      <c r="K679" s="1210" t="str">
        <f t="shared" si="56"/>
        <v/>
      </c>
      <c r="L679" s="1210" t="str">
        <f t="shared" si="57"/>
        <v/>
      </c>
      <c r="M679" s="1210" t="str">
        <f t="shared" si="58"/>
        <v/>
      </c>
      <c r="N679" s="1390" t="str">
        <f t="shared" si="59"/>
        <v/>
      </c>
      <c r="O679" s="19"/>
      <c r="P679" s="343"/>
      <c r="Q679" s="343"/>
      <c r="R679" s="343"/>
      <c r="S679" s="343"/>
      <c r="T679" s="343"/>
      <c r="U679" s="349"/>
      <c r="V679" s="349"/>
    </row>
    <row r="680" spans="1:22" s="534" customFormat="1" ht="12.75" hidden="1" customHeight="1" x14ac:dyDescent="0.3">
      <c r="A680" s="343" t="str">
        <f t="shared" si="55"/>
        <v>ausblenden</v>
      </c>
      <c r="B680" s="15"/>
      <c r="C680" s="17"/>
      <c r="D680" s="1386"/>
      <c r="E680" s="947" t="s">
        <v>1560</v>
      </c>
      <c r="F680" s="947"/>
      <c r="G680" s="947"/>
      <c r="H680" s="955" t="str">
        <f>EUconst_EUA</f>
        <v>EUA</v>
      </c>
      <c r="I680" s="948"/>
      <c r="J680" s="1165" t="str">
        <f>J657</f>
        <v/>
      </c>
      <c r="K680" s="975" t="str">
        <f t="shared" si="56"/>
        <v/>
      </c>
      <c r="L680" s="975" t="str">
        <f t="shared" si="57"/>
        <v/>
      </c>
      <c r="M680" s="975" t="str">
        <f t="shared" si="58"/>
        <v/>
      </c>
      <c r="N680" s="1391" t="str">
        <f t="shared" si="59"/>
        <v/>
      </c>
      <c r="O680" s="19"/>
      <c r="P680" s="343"/>
      <c r="Q680" s="343"/>
      <c r="R680" s="343"/>
      <c r="S680" s="343"/>
      <c r="T680" s="343"/>
      <c r="U680" s="349"/>
      <c r="V680" s="349"/>
    </row>
    <row r="681" spans="1:22" s="534" customFormat="1" ht="12.75" hidden="1" customHeight="1" x14ac:dyDescent="0.3">
      <c r="A681" s="343" t="str">
        <f t="shared" si="55"/>
        <v>ausblenden</v>
      </c>
      <c r="B681" s="15"/>
      <c r="C681" s="17"/>
      <c r="D681" s="1386"/>
      <c r="E681" s="1433" t="s">
        <v>1527</v>
      </c>
      <c r="F681" s="1433"/>
      <c r="G681" s="1433"/>
      <c r="H681" s="1434" t="str">
        <f>EUconst_EUA</f>
        <v>EUA</v>
      </c>
      <c r="I681" s="1435"/>
      <c r="J681" s="1436" t="str">
        <f>J658</f>
        <v/>
      </c>
      <c r="K681" s="1437" t="str">
        <f t="shared" si="56"/>
        <v/>
      </c>
      <c r="L681" s="1437" t="str">
        <f t="shared" si="57"/>
        <v/>
      </c>
      <c r="M681" s="1437" t="str">
        <f t="shared" si="58"/>
        <v/>
      </c>
      <c r="N681" s="1438" t="str">
        <f t="shared" si="59"/>
        <v/>
      </c>
      <c r="O681" s="19"/>
      <c r="P681" s="343"/>
      <c r="Q681" s="343"/>
      <c r="R681" s="343"/>
      <c r="S681" s="343"/>
      <c r="T681" s="343"/>
      <c r="U681" s="349"/>
      <c r="V681" s="349"/>
    </row>
    <row r="682" spans="1:22" s="534" customFormat="1" ht="12.75" customHeight="1" x14ac:dyDescent="0.3">
      <c r="A682" s="343"/>
      <c r="B682" s="15"/>
      <c r="C682" s="17"/>
      <c r="D682" s="1386"/>
      <c r="E682" s="944" t="str">
        <f>Translations!$B$1482</f>
        <v>Genomsnittligt årligt värde</v>
      </c>
      <c r="F682" s="944"/>
      <c r="G682" s="944"/>
      <c r="H682" s="627" t="s">
        <v>1112</v>
      </c>
      <c r="I682" s="945"/>
      <c r="J682" s="1439" t="str">
        <f>INDEX(F_ProductBM!J:J,MATCH($P682,F_ProductBM!$Q:$Q,0))</f>
        <v/>
      </c>
      <c r="K682" s="1440" t="str">
        <f>INDEX(F_ProductBM!K:K,MATCH($P682,F_ProductBM!$Q:$Q,0))</f>
        <v/>
      </c>
      <c r="L682" s="1440" t="str">
        <f>INDEX(F_ProductBM!L:L,MATCH($P682,F_ProductBM!$Q:$Q,0))</f>
        <v/>
      </c>
      <c r="M682" s="1440" t="str">
        <f>INDEX(F_ProductBM!M:M,MATCH($P682,F_ProductBM!$Q:$Q,0))</f>
        <v/>
      </c>
      <c r="N682" s="1441" t="str">
        <f>INDEX(F_ProductBM!N:N,MATCH($P682,F_ProductBM!$Q:$Q,0))</f>
        <v/>
      </c>
      <c r="O682" s="19"/>
      <c r="P682" s="165" t="str">
        <f>EUconst_CNTR_HAL &amp; EUconst_CNTR_ELEXCHInitial &amp; I641</f>
        <v>HAL_ELEXCHIni_</v>
      </c>
      <c r="Q682" s="343"/>
      <c r="R682" s="343"/>
      <c r="S682" s="343"/>
      <c r="T682" s="343"/>
      <c r="U682" s="349"/>
      <c r="V682" s="349"/>
    </row>
    <row r="683" spans="1:22" s="534" customFormat="1" ht="12.75" customHeight="1" x14ac:dyDescent="0.3">
      <c r="A683" s="343"/>
      <c r="B683" s="15"/>
      <c r="C683" s="17"/>
      <c r="D683" s="1386"/>
      <c r="E683" s="947" t="str">
        <f>Translations!$B$1571</f>
        <v>Ändring jämfört med värde enligt nationella genomförandeåtgärder</v>
      </c>
      <c r="F683" s="947"/>
      <c r="G683" s="947"/>
      <c r="H683" s="1442" t="s">
        <v>1112</v>
      </c>
      <c r="I683" s="1371"/>
      <c r="J683" s="1415" t="str">
        <f>INDEX(F_ProductBM!J:J,MATCH($P683,F_ProductBM!$Q:$Q,0))</f>
        <v/>
      </c>
      <c r="K683" s="1416" t="str">
        <f>INDEX(F_ProductBM!K:K,MATCH($P683,F_ProductBM!$Q:$Q,0))</f>
        <v/>
      </c>
      <c r="L683" s="1416" t="str">
        <f>INDEX(F_ProductBM!L:L,MATCH($P683,F_ProductBM!$Q:$Q,0))</f>
        <v/>
      </c>
      <c r="M683" s="1416" t="str">
        <f>INDEX(F_ProductBM!M:M,MATCH($P683,F_ProductBM!$Q:$Q,0))</f>
        <v/>
      </c>
      <c r="N683" s="1417" t="str">
        <f>INDEX(F_ProductBM!N:N,MATCH($P683,F_ProductBM!$Q:$Q,0))</f>
        <v/>
      </c>
      <c r="O683" s="19"/>
      <c r="P683" s="165" t="str">
        <f>EUconst_CNTR_RelThreshold &amp; P685</f>
        <v>RelThresh_HALprelim_ELEXCH_</v>
      </c>
      <c r="Q683" s="343"/>
      <c r="R683" s="343"/>
      <c r="S683" s="343"/>
      <c r="T683" s="343"/>
      <c r="U683" s="349"/>
      <c r="V683" s="349"/>
    </row>
    <row r="684" spans="1:22" s="534" customFormat="1" ht="12.75" customHeight="1" x14ac:dyDescent="0.3">
      <c r="A684" s="343"/>
      <c r="B684" s="15"/>
      <c r="C684" s="17"/>
      <c r="D684" s="1386"/>
      <c r="E684" s="1418" t="str">
        <f>Translations!$B$1572</f>
        <v>Kriterium 3b: Har relativa tröskelvärden överskridits?</v>
      </c>
      <c r="F684" s="1418"/>
      <c r="G684" s="1418"/>
      <c r="H684" s="1444" t="s">
        <v>1112</v>
      </c>
      <c r="I684" s="1423"/>
      <c r="J684" s="1420" t="str">
        <f>INDEX(F_ProductBM!V:V,MATCH($P684,F_ProductBM!$Q:$Q,0))</f>
        <v/>
      </c>
      <c r="K684" s="1421" t="str">
        <f>INDEX(F_ProductBM!W:W,MATCH($P684,F_ProductBM!$Q:$Q,0))</f>
        <v/>
      </c>
      <c r="L684" s="1421" t="str">
        <f>INDEX(F_ProductBM!X:X,MATCH($P684,F_ProductBM!$Q:$Q,0))</f>
        <v/>
      </c>
      <c r="M684" s="1421" t="str">
        <f>INDEX(F_ProductBM!Y:Y,MATCH($P684,F_ProductBM!$Q:$Q,0))</f>
        <v/>
      </c>
      <c r="N684" s="1422" t="str">
        <f>INDEX(F_ProductBM!Z:Z,MATCH($P684,F_ProductBM!$Q:$Q,0))</f>
        <v/>
      </c>
      <c r="O684" s="19"/>
      <c r="P684" s="165" t="str">
        <f>P683</f>
        <v>RelThresh_HALprelim_ELEXCH_</v>
      </c>
      <c r="Q684" s="343"/>
      <c r="R684" s="343"/>
      <c r="S684" s="343"/>
      <c r="T684" s="343"/>
      <c r="U684" s="349"/>
      <c r="V684" s="349"/>
    </row>
    <row r="685" spans="1:22" s="534" customFormat="1" ht="12.75" customHeight="1" x14ac:dyDescent="0.3">
      <c r="A685" s="343" t="str">
        <f t="shared" si="55"/>
        <v/>
      </c>
      <c r="B685" s="15"/>
      <c r="C685" s="17"/>
      <c r="D685" s="1386"/>
      <c r="E685" s="950" t="str">
        <f>Translations!$B$1568</f>
        <v>Preliminärt värde</v>
      </c>
      <c r="F685" s="950"/>
      <c r="G685" s="950"/>
      <c r="H685" s="629" t="s">
        <v>1112</v>
      </c>
      <c r="I685" s="950"/>
      <c r="J685" s="1404" t="str">
        <f>IF($I644=TRUE,INDEX(F_ProductBM!J:J,MATCH($P685,F_ProductBM!$Q:$Q,0)),"")</f>
        <v/>
      </c>
      <c r="K685" s="1405" t="str">
        <f>IF($I644=TRUE,INDEX(F_ProductBM!K:K,MATCH($P685,F_ProductBM!$Q:$Q,0)),"")</f>
        <v/>
      </c>
      <c r="L685" s="1405" t="str">
        <f>IF($I644=TRUE,INDEX(F_ProductBM!L:L,MATCH($P685,F_ProductBM!$Q:$Q,0)),"")</f>
        <v/>
      </c>
      <c r="M685" s="1405" t="str">
        <f>IF($I644=TRUE,INDEX(F_ProductBM!M:M,MATCH($P685,F_ProductBM!$Q:$Q,0)),"")</f>
        <v/>
      </c>
      <c r="N685" s="1406" t="str">
        <f>IF($I644=TRUE,INDEX(F_ProductBM!N:N,MATCH($P685,F_ProductBM!$Q:$Q,0)),"")</f>
        <v/>
      </c>
      <c r="O685" s="19"/>
      <c r="P685" s="165" t="str">
        <f>EUconst_CNTR_HALprelim&amp;EUconst_CNTR_ELEXCH&amp;$I641</f>
        <v>HALprelim_ELEXCH_</v>
      </c>
      <c r="Q685" s="343"/>
      <c r="R685" s="343"/>
      <c r="S685" s="343"/>
      <c r="T685" s="343"/>
      <c r="U685" s="349"/>
      <c r="V685" s="349"/>
    </row>
    <row r="686" spans="1:22" s="534" customFormat="1" ht="12.75" hidden="1" customHeight="1" x14ac:dyDescent="0.3">
      <c r="A686" s="343" t="str">
        <f t="shared" si="55"/>
        <v>ausblenden</v>
      </c>
      <c r="B686" s="15"/>
      <c r="C686" s="17"/>
      <c r="D686" s="1386"/>
      <c r="E686" s="950" t="s">
        <v>1528</v>
      </c>
      <c r="F686" s="950"/>
      <c r="G686" s="950"/>
      <c r="H686" s="1375" t="s">
        <v>1112</v>
      </c>
      <c r="I686" s="951"/>
      <c r="J686" s="1213" t="str">
        <f>J660</f>
        <v/>
      </c>
      <c r="K686" s="1214" t="str">
        <f>J755</f>
        <v/>
      </c>
      <c r="L686" s="1214" t="str">
        <f>K755</f>
        <v/>
      </c>
      <c r="M686" s="1214" t="str">
        <f>L755</f>
        <v/>
      </c>
      <c r="N686" s="1393" t="str">
        <f>M755</f>
        <v/>
      </c>
      <c r="O686" s="19"/>
      <c r="P686" s="343"/>
      <c r="Q686" s="343"/>
      <c r="R686" s="343"/>
      <c r="S686" s="343"/>
      <c r="T686" s="343"/>
      <c r="U686" s="349"/>
      <c r="V686" s="349"/>
    </row>
    <row r="687" spans="1:22" s="534" customFormat="1" ht="12.75" customHeight="1" x14ac:dyDescent="0.3">
      <c r="A687" s="343"/>
      <c r="B687" s="15"/>
      <c r="C687" s="17"/>
      <c r="D687" s="1386"/>
      <c r="E687" s="514" t="str">
        <f>Translations!$B$1565</f>
        <v>Preliminärt tilldelningsvärde</v>
      </c>
      <c r="F687" s="514"/>
      <c r="G687" s="514"/>
      <c r="H687" s="129" t="str">
        <f>EUconst_EUA</f>
        <v>EUA</v>
      </c>
      <c r="I687" s="1151"/>
      <c r="J687" s="1131" t="str">
        <f>IF($I644=TRUE,MAX(0,ROUND((SUM($M644)*SUM(J678)*SUM(J685)*SUM(J686)-SUM(J679)-SUM(J680)+SUM(J681))*IF($H644=TRUE,1,J$2517),0)),"")</f>
        <v/>
      </c>
      <c r="K687" s="421" t="str">
        <f>IF($I644=TRUE,MAX(0,ROUND((SUM($M644)*SUM(K678)*SUM(K685)*SUM(K686)-SUM(K679)-SUM(K680)+SUM(K681))*IF($H644=TRUE,1,K$2517),0)),"")</f>
        <v/>
      </c>
      <c r="L687" s="421" t="str">
        <f>IF($I644=TRUE,MAX(0,ROUND((SUM($M644)*SUM(L678)*SUM(L685)*SUM(L686)-SUM(L679)-SUM(L680)+SUM(L681))*IF($H644=TRUE,1,L$2517),0)),"")</f>
        <v/>
      </c>
      <c r="M687" s="421" t="str">
        <f>IF($I644=TRUE,MAX(0,ROUND((SUM($M644)*SUM(M678)*SUM(M685)*SUM(M686)-SUM(M679)-SUM(M680)+SUM(M681))*IF($H644=TRUE,1,M$2517),0)),"")</f>
        <v/>
      </c>
      <c r="N687" s="967" t="str">
        <f>IF($I644=TRUE,MAX(0,ROUND((SUM($M644)*SUM(N678)*SUM(N685)*SUM(N686)-SUM(N679)-SUM(N680)+SUM(N681))*IF($H644=TRUE,1,N$2517),0)),"")</f>
        <v/>
      </c>
      <c r="O687" s="19"/>
      <c r="P687" s="343"/>
      <c r="Q687" s="343"/>
      <c r="R687" s="343"/>
      <c r="S687" s="343"/>
      <c r="T687" s="343"/>
      <c r="U687" s="349"/>
      <c r="V687" s="349"/>
    </row>
    <row r="688" spans="1:22" s="534" customFormat="1" ht="12.75" customHeight="1" x14ac:dyDescent="0.3">
      <c r="A688" s="343"/>
      <c r="B688" s="15"/>
      <c r="C688" s="17"/>
      <c r="D688" s="1386"/>
      <c r="E688" s="514" t="str">
        <f>Translations!$B$1569</f>
        <v>Skillnad i tilldelning</v>
      </c>
      <c r="F688" s="514"/>
      <c r="G688" s="514"/>
      <c r="H688" s="129" t="str">
        <f>EUconst_EUA</f>
        <v>EUA</v>
      </c>
      <c r="I688" s="1151"/>
      <c r="J688" s="1131" t="str">
        <f>IF($I644=TRUE,ABS(SUM(J687)-SUM(J661)),"")</f>
        <v/>
      </c>
      <c r="K688" s="421" t="str">
        <f>IF($I644=TRUE,ABS(SUM(K687)-SUM(K661)),"")</f>
        <v/>
      </c>
      <c r="L688" s="421" t="str">
        <f>IF($I644=TRUE,ABS(SUM(L687)-SUM(L661)),"")</f>
        <v/>
      </c>
      <c r="M688" s="421" t="str">
        <f>IF($I644=TRUE,ABS(SUM(M687)-SUM(M661)),"")</f>
        <v/>
      </c>
      <c r="N688" s="967" t="str">
        <f>IF($I644=TRUE,ABS(SUM(N687)-SUM(N661)),"")</f>
        <v/>
      </c>
      <c r="O688" s="19"/>
      <c r="P688" s="343"/>
      <c r="Q688" s="343"/>
      <c r="R688" s="343"/>
      <c r="S688" s="343"/>
      <c r="T688" s="343"/>
      <c r="U688" s="349"/>
      <c r="V688" s="349"/>
    </row>
    <row r="689" spans="1:22" s="534" customFormat="1" ht="12.75" customHeight="1" x14ac:dyDescent="0.3">
      <c r="A689" s="343"/>
      <c r="B689" s="15"/>
      <c r="C689" s="17"/>
      <c r="D689" s="1386"/>
      <c r="E689" s="1419" t="str">
        <f>Translations!$B$1573</f>
        <v>Kriterium 4b: Är skillnaden minst 100 utsläppsrätter?</v>
      </c>
      <c r="F689" s="1419"/>
      <c r="G689" s="1419"/>
      <c r="H689" s="1424" t="s">
        <v>1112</v>
      </c>
      <c r="I689" s="1425"/>
      <c r="J689" s="1426" t="str">
        <f>IF($I644=TRUE,J688&gt;=100,"")</f>
        <v/>
      </c>
      <c r="K689" s="1427" t="str">
        <f>IF($I644=TRUE,K688&gt;=100,"")</f>
        <v/>
      </c>
      <c r="L689" s="1427" t="str">
        <f>IF($I644=TRUE,L688&gt;=100,"")</f>
        <v/>
      </c>
      <c r="M689" s="1427" t="str">
        <f>IF($I644=TRUE,M688&gt;=100,"")</f>
        <v/>
      </c>
      <c r="N689" s="1428" t="str">
        <f>IF($I644=TRUE,N688&gt;=100,"")</f>
        <v/>
      </c>
      <c r="O689" s="19"/>
      <c r="P689" s="165" t="str">
        <f>EUconst_CNTR_100EUA_ElExch&amp;I641</f>
        <v>EUA100ElExch_</v>
      </c>
      <c r="Q689" s="343"/>
      <c r="R689" s="343"/>
      <c r="S689" s="343"/>
      <c r="T689" s="343"/>
      <c r="U689" s="349"/>
      <c r="V689" s="349"/>
    </row>
    <row r="690" spans="1:22" s="534" customFormat="1" ht="5.15" customHeight="1" x14ac:dyDescent="0.3">
      <c r="A690" s="343"/>
      <c r="B690" s="15"/>
      <c r="C690" s="17"/>
      <c r="D690" s="1386"/>
      <c r="E690" s="15"/>
      <c r="F690" s="15"/>
      <c r="G690" s="15"/>
      <c r="H690" s="15"/>
      <c r="I690" s="941"/>
      <c r="J690" s="15"/>
      <c r="K690" s="15"/>
      <c r="L690" s="15"/>
      <c r="M690" s="15"/>
      <c r="N690" s="968"/>
      <c r="O690" s="19"/>
      <c r="P690" s="343"/>
      <c r="Q690" s="343"/>
      <c r="R690" s="343"/>
      <c r="S690" s="343"/>
      <c r="T690" s="343"/>
      <c r="U690" s="349"/>
      <c r="V690" s="349"/>
    </row>
    <row r="691" spans="1:22" s="534" customFormat="1" ht="12.75" customHeight="1" x14ac:dyDescent="0.3">
      <c r="A691" s="343"/>
      <c r="B691" s="15"/>
      <c r="C691" s="17"/>
      <c r="D691" s="1386"/>
      <c r="E691" s="42" t="str">
        <f>Translations!$B$1574</f>
        <v>Ändringar: Värme från icke-ETS</v>
      </c>
      <c r="F691" s="188"/>
      <c r="G691" s="188"/>
      <c r="H691" s="30" t="str">
        <f>EUconst_Unit</f>
        <v>Enhet</v>
      </c>
      <c r="I691" s="1157"/>
      <c r="J691" s="1065">
        <f>J$2596</f>
        <v>2021</v>
      </c>
      <c r="K691" s="350">
        <f>K$2596</f>
        <v>2022</v>
      </c>
      <c r="L691" s="350">
        <f>L$2596</f>
        <v>2023</v>
      </c>
      <c r="M691" s="350">
        <f>M$2596</f>
        <v>2024</v>
      </c>
      <c r="N691" s="966">
        <f>N$2596</f>
        <v>2025</v>
      </c>
      <c r="O691" s="19"/>
      <c r="P691" s="343"/>
      <c r="Q691" s="343"/>
      <c r="R691" s="343"/>
      <c r="S691" s="343"/>
      <c r="T691" s="343"/>
      <c r="U691" s="349"/>
      <c r="V691" s="349"/>
    </row>
    <row r="692" spans="1:22" s="534" customFormat="1" ht="12.75" hidden="1" customHeight="1" x14ac:dyDescent="0.3">
      <c r="A692" s="343" t="str">
        <f t="shared" ref="A692:A700" si="60">IF(P692="","ausblenden","")</f>
        <v>ausblenden</v>
      </c>
      <c r="B692" s="15"/>
      <c r="C692" s="17"/>
      <c r="D692" s="1386"/>
      <c r="E692" s="514" t="s">
        <v>1918</v>
      </c>
      <c r="F692" s="514"/>
      <c r="G692" s="514"/>
      <c r="H692" s="917" t="str">
        <f>H678</f>
        <v>ton</v>
      </c>
      <c r="I692" s="514"/>
      <c r="J692" s="1152" t="str">
        <f>J655</f>
        <v/>
      </c>
      <c r="K692" s="943" t="str">
        <f>J750</f>
        <v/>
      </c>
      <c r="L692" s="943" t="str">
        <f>K750</f>
        <v/>
      </c>
      <c r="M692" s="943" t="str">
        <f>L750</f>
        <v/>
      </c>
      <c r="N692" s="1389" t="str">
        <f>M750</f>
        <v/>
      </c>
      <c r="O692" s="19"/>
      <c r="P692" s="343"/>
      <c r="Q692" s="343"/>
      <c r="R692" s="343"/>
      <c r="S692" s="343"/>
      <c r="T692" s="343"/>
      <c r="U692" s="349"/>
      <c r="V692" s="349"/>
    </row>
    <row r="693" spans="1:22" s="534" customFormat="1" ht="12.75" customHeight="1" x14ac:dyDescent="0.3">
      <c r="A693" s="343"/>
      <c r="B693" s="15"/>
      <c r="C693" s="17"/>
      <c r="D693" s="1386"/>
      <c r="E693" s="944" t="str">
        <f>Translations!$B$1482</f>
        <v>Genomsnittligt årligt värde</v>
      </c>
      <c r="F693" s="944"/>
      <c r="G693" s="944"/>
      <c r="H693" s="627" t="str">
        <f>EUconst_EUA</f>
        <v>EUA</v>
      </c>
      <c r="I693" s="945"/>
      <c r="J693" s="1161" t="str">
        <f>IF(R647,SUM(INDEX(F_ProductBM!J:J,MATCH($P693,F_ProductBM!$Q:$Q,0))),"")</f>
        <v/>
      </c>
      <c r="K693" s="946" t="str">
        <f>IF(S647,SUM(INDEX(F_ProductBM!K:K,MATCH($P693,F_ProductBM!$Q:$Q,0))),"")</f>
        <v/>
      </c>
      <c r="L693" s="946" t="str">
        <f>IF(T647,SUM(INDEX(F_ProductBM!L:L,MATCH($P693,F_ProductBM!$Q:$Q,0))),"")</f>
        <v/>
      </c>
      <c r="M693" s="946" t="str">
        <f>IF(U647,SUM(INDEX(F_ProductBM!M:M,MATCH($P693,F_ProductBM!$Q:$Q,0))),"")</f>
        <v/>
      </c>
      <c r="N693" s="1046" t="str">
        <f>IF(V647,SUM(INDEX(F_ProductBM!N:N,MATCH($P693,F_ProductBM!$Q:$Q,0))),"")</f>
        <v/>
      </c>
      <c r="O693" s="19"/>
      <c r="P693" s="165" t="str">
        <f>EUconst_CNTR_HEATInitial &amp; I641</f>
        <v>HEATIni_</v>
      </c>
      <c r="Q693" s="343"/>
      <c r="R693" s="343"/>
      <c r="S693" s="343"/>
      <c r="T693" s="343"/>
      <c r="U693" s="349"/>
      <c r="V693" s="349"/>
    </row>
    <row r="694" spans="1:22" s="534" customFormat="1" ht="12.75" customHeight="1" x14ac:dyDescent="0.3">
      <c r="A694" s="343"/>
      <c r="B694" s="15"/>
      <c r="C694" s="17"/>
      <c r="D694" s="1386"/>
      <c r="E694" s="947" t="str">
        <f>Translations!$B$1571</f>
        <v>Ändring jämfört med värde enligt nationella genomförandeåtgärder</v>
      </c>
      <c r="F694" s="947"/>
      <c r="G694" s="947"/>
      <c r="H694" s="1442" t="s">
        <v>1112</v>
      </c>
      <c r="I694" s="1371"/>
      <c r="J694" s="1415" t="str">
        <f>INDEX(F_ProductBM!J:J,MATCH($P694,F_ProductBM!$Q:$Q,0))</f>
        <v/>
      </c>
      <c r="K694" s="1416" t="str">
        <f>INDEX(F_ProductBM!K:K,MATCH($P694,F_ProductBM!$Q:$Q,0))</f>
        <v/>
      </c>
      <c r="L694" s="1416" t="str">
        <f>INDEX(F_ProductBM!L:L,MATCH($P694,F_ProductBM!$Q:$Q,0))</f>
        <v/>
      </c>
      <c r="M694" s="1416" t="str">
        <f>INDEX(F_ProductBM!M:M,MATCH($P694,F_ProductBM!$Q:$Q,0))</f>
        <v/>
      </c>
      <c r="N694" s="1417" t="str">
        <f>INDEX(F_ProductBM!N:N,MATCH($P694,F_ProductBM!$Q:$Q,0))</f>
        <v/>
      </c>
      <c r="O694" s="19"/>
      <c r="P694" s="165" t="str">
        <f>EUconst_CNTR_RelThreshold &amp; P696</f>
        <v>RelThresh_HEATprelim_</v>
      </c>
      <c r="Q694" s="343"/>
      <c r="R694" s="343"/>
      <c r="S694" s="343"/>
      <c r="T694" s="343"/>
      <c r="U694" s="349"/>
      <c r="V694" s="349"/>
    </row>
    <row r="695" spans="1:22" s="534" customFormat="1" ht="12.75" customHeight="1" x14ac:dyDescent="0.3">
      <c r="A695" s="343"/>
      <c r="B695" s="15"/>
      <c r="C695" s="17"/>
      <c r="D695" s="1386"/>
      <c r="E695" s="1418" t="str">
        <f>Translations!$B$1575</f>
        <v>Kriterium 3c: Har relativa tröskelvärden överskridits?</v>
      </c>
      <c r="F695" s="1418"/>
      <c r="G695" s="1418"/>
      <c r="H695" s="1444" t="s">
        <v>1112</v>
      </c>
      <c r="I695" s="1423"/>
      <c r="J695" s="1420" t="str">
        <f>INDEX(F_ProductBM!V:V,MATCH($P695,F_ProductBM!$Q:$Q,0))</f>
        <v/>
      </c>
      <c r="K695" s="1421" t="str">
        <f>INDEX(F_ProductBM!W:W,MATCH($P695,F_ProductBM!$Q:$Q,0))</f>
        <v/>
      </c>
      <c r="L695" s="1421" t="str">
        <f>INDEX(F_ProductBM!X:X,MATCH($P695,F_ProductBM!$Q:$Q,0))</f>
        <v/>
      </c>
      <c r="M695" s="1421" t="str">
        <f>INDEX(F_ProductBM!Y:Y,MATCH($P695,F_ProductBM!$Q:$Q,0))</f>
        <v/>
      </c>
      <c r="N695" s="1422" t="str">
        <f>INDEX(F_ProductBM!Z:Z,MATCH($P695,F_ProductBM!$Q:$Q,0))</f>
        <v/>
      </c>
      <c r="O695" s="19"/>
      <c r="P695" s="165" t="str">
        <f>P694</f>
        <v>RelThresh_HEATprelim_</v>
      </c>
      <c r="Q695" s="343"/>
      <c r="R695" s="343"/>
      <c r="S695" s="343"/>
      <c r="T695" s="343"/>
      <c r="U695" s="349"/>
      <c r="V695" s="349"/>
    </row>
    <row r="696" spans="1:22" s="534" customFormat="1" ht="12.75" customHeight="1" x14ac:dyDescent="0.3">
      <c r="A696" s="343" t="str">
        <f t="shared" si="60"/>
        <v/>
      </c>
      <c r="B696" s="15"/>
      <c r="C696" s="17"/>
      <c r="D696" s="1386"/>
      <c r="E696" s="950" t="str">
        <f>Translations!$B$1568</f>
        <v>Preliminärt värde</v>
      </c>
      <c r="F696" s="950"/>
      <c r="G696" s="950"/>
      <c r="H696" s="629" t="str">
        <f>EUconst_EUA</f>
        <v>EUA</v>
      </c>
      <c r="I696" s="950"/>
      <c r="J696" s="1373" t="str">
        <f>IF($I641="","",INDEX(F_ProductBM!J:J,MATCH($P696,F_ProductBM!$Q:$Q,0)))</f>
        <v/>
      </c>
      <c r="K696" s="1374" t="str">
        <f>IF($I641="","",INDEX(F_ProductBM!K:K,MATCH($P696,F_ProductBM!$Q:$Q,0)))</f>
        <v/>
      </c>
      <c r="L696" s="1374" t="str">
        <f>IF($I641="","",INDEX(F_ProductBM!L:L,MATCH($P696,F_ProductBM!$Q:$Q,0)))</f>
        <v/>
      </c>
      <c r="M696" s="1374" t="str">
        <f>IF($I641="","",INDEX(F_ProductBM!M:M,MATCH($P696,F_ProductBM!$Q:$Q,0)))</f>
        <v/>
      </c>
      <c r="N696" s="1395" t="str">
        <f>IF($I641="","",INDEX(F_ProductBM!N:N,MATCH($P696,F_ProductBM!$Q:$Q,0)))</f>
        <v/>
      </c>
      <c r="O696" s="19"/>
      <c r="P696" s="165" t="str">
        <f>EUconst_CNTR_HEATprelim&amp;I641</f>
        <v>HEATprelim_</v>
      </c>
      <c r="Q696" s="343"/>
      <c r="R696" s="343"/>
      <c r="S696" s="343"/>
      <c r="T696" s="343"/>
      <c r="U696" s="349"/>
      <c r="V696" s="349"/>
    </row>
    <row r="697" spans="1:22" s="534" customFormat="1" ht="12.75" hidden="1" customHeight="1" x14ac:dyDescent="0.3">
      <c r="A697" s="343" t="str">
        <f t="shared" si="60"/>
        <v>ausblenden</v>
      </c>
      <c r="B697" s="15"/>
      <c r="C697" s="17"/>
      <c r="D697" s="1386"/>
      <c r="E697" s="947" t="s">
        <v>1560</v>
      </c>
      <c r="F697" s="947"/>
      <c r="G697" s="947"/>
      <c r="H697" s="955" t="str">
        <f>EUconst_EUA</f>
        <v>EUA</v>
      </c>
      <c r="I697" s="948"/>
      <c r="J697" s="1165" t="str">
        <f>J657</f>
        <v/>
      </c>
      <c r="K697" s="975" t="str">
        <f t="shared" ref="K697:K700" si="61">J752</f>
        <v/>
      </c>
      <c r="L697" s="975" t="str">
        <f t="shared" ref="L697:L700" si="62">K752</f>
        <v/>
      </c>
      <c r="M697" s="975" t="str">
        <f t="shared" ref="M697:M700" si="63">L752</f>
        <v/>
      </c>
      <c r="N697" s="1391" t="str">
        <f t="shared" ref="N697:N700" si="64">M752</f>
        <v/>
      </c>
      <c r="O697" s="19"/>
      <c r="P697" s="343"/>
      <c r="Q697" s="343"/>
      <c r="R697" s="343"/>
      <c r="S697" s="343"/>
      <c r="T697" s="343"/>
      <c r="U697" s="349"/>
      <c r="V697" s="349"/>
    </row>
    <row r="698" spans="1:22" s="534" customFormat="1" ht="12.75" hidden="1" customHeight="1" x14ac:dyDescent="0.3">
      <c r="A698" s="343" t="str">
        <f t="shared" si="60"/>
        <v>ausblenden</v>
      </c>
      <c r="B698" s="15"/>
      <c r="C698" s="17"/>
      <c r="D698" s="1386"/>
      <c r="E698" s="947" t="s">
        <v>1527</v>
      </c>
      <c r="F698" s="947"/>
      <c r="G698" s="947"/>
      <c r="H698" s="955" t="str">
        <f>EUconst_EUA</f>
        <v>EUA</v>
      </c>
      <c r="I698" s="948"/>
      <c r="J698" s="1165" t="str">
        <f>J658</f>
        <v/>
      </c>
      <c r="K698" s="975" t="str">
        <f t="shared" si="61"/>
        <v/>
      </c>
      <c r="L698" s="975" t="str">
        <f t="shared" si="62"/>
        <v/>
      </c>
      <c r="M698" s="975" t="str">
        <f t="shared" si="63"/>
        <v/>
      </c>
      <c r="N698" s="1391" t="str">
        <f t="shared" si="64"/>
        <v/>
      </c>
      <c r="O698" s="19"/>
      <c r="P698" s="343"/>
      <c r="Q698" s="343"/>
      <c r="R698" s="343"/>
      <c r="S698" s="343"/>
      <c r="T698" s="343"/>
      <c r="U698" s="349"/>
      <c r="V698" s="349"/>
    </row>
    <row r="699" spans="1:22" s="534" customFormat="1" ht="12.75" hidden="1" customHeight="1" x14ac:dyDescent="0.3">
      <c r="A699" s="343" t="str">
        <f t="shared" si="60"/>
        <v>ausblenden</v>
      </c>
      <c r="B699" s="15"/>
      <c r="C699" s="17"/>
      <c r="D699" s="1386"/>
      <c r="E699" s="947" t="s">
        <v>1526</v>
      </c>
      <c r="F699" s="947"/>
      <c r="G699" s="947"/>
      <c r="H699" s="956" t="s">
        <v>1112</v>
      </c>
      <c r="I699" s="948"/>
      <c r="J699" s="1211" t="str">
        <f>J659</f>
        <v/>
      </c>
      <c r="K699" s="1212" t="str">
        <f t="shared" si="61"/>
        <v/>
      </c>
      <c r="L699" s="1212" t="str">
        <f t="shared" si="62"/>
        <v/>
      </c>
      <c r="M699" s="1212" t="str">
        <f t="shared" si="63"/>
        <v/>
      </c>
      <c r="N699" s="1392" t="str">
        <f t="shared" si="64"/>
        <v/>
      </c>
      <c r="O699" s="19"/>
      <c r="P699" s="343"/>
      <c r="Q699" s="343"/>
      <c r="R699" s="343"/>
      <c r="S699" s="343"/>
      <c r="T699" s="343"/>
      <c r="U699" s="349"/>
      <c r="V699" s="349"/>
    </row>
    <row r="700" spans="1:22" s="534" customFormat="1" ht="12.75" hidden="1" customHeight="1" x14ac:dyDescent="0.3">
      <c r="A700" s="343" t="str">
        <f t="shared" si="60"/>
        <v>ausblenden</v>
      </c>
      <c r="B700" s="15"/>
      <c r="C700" s="17"/>
      <c r="D700" s="1386"/>
      <c r="E700" s="950" t="s">
        <v>1528</v>
      </c>
      <c r="F700" s="950"/>
      <c r="G700" s="950"/>
      <c r="H700" s="957" t="s">
        <v>1112</v>
      </c>
      <c r="I700" s="951"/>
      <c r="J700" s="1213" t="str">
        <f>J660</f>
        <v/>
      </c>
      <c r="K700" s="1214" t="str">
        <f t="shared" si="61"/>
        <v/>
      </c>
      <c r="L700" s="1214" t="str">
        <f t="shared" si="62"/>
        <v/>
      </c>
      <c r="M700" s="1214" t="str">
        <f t="shared" si="63"/>
        <v/>
      </c>
      <c r="N700" s="1393" t="str">
        <f t="shared" si="64"/>
        <v/>
      </c>
      <c r="O700" s="19"/>
      <c r="P700" s="343"/>
      <c r="Q700" s="343"/>
      <c r="R700" s="343"/>
      <c r="S700" s="343"/>
      <c r="T700" s="343"/>
      <c r="U700" s="349"/>
      <c r="V700" s="349"/>
    </row>
    <row r="701" spans="1:22" s="534" customFormat="1" ht="12.75" customHeight="1" x14ac:dyDescent="0.3">
      <c r="A701" s="343"/>
      <c r="B701" s="15"/>
      <c r="C701" s="17"/>
      <c r="D701" s="1386"/>
      <c r="E701" s="514" t="str">
        <f>Translations!$B$1565</f>
        <v>Preliminärt tilldelningsvärde</v>
      </c>
      <c r="F701" s="514"/>
      <c r="G701" s="514"/>
      <c r="H701" s="129" t="str">
        <f>EUconst_EUA</f>
        <v>EUA</v>
      </c>
      <c r="I701" s="1151"/>
      <c r="J701" s="1131" t="str">
        <f>IF($I641="","",MAX(0,ROUND((SUM($M644)*SUM(J692)*SUM(J699)*SUM(J700)-SUM(J696)-SUM(J697)+SUM(J698))*IF($H644=TRUE,1,J$2517),0)))</f>
        <v/>
      </c>
      <c r="K701" s="421" t="str">
        <f>IF($I641="","",MAX(0,ROUND((SUM($M644)*SUM(K692)*SUM(K699)*SUM(K700)-SUM(K696)-SUM(K697)+SUM(K698))*IF($H644=TRUE,1,K$2517),0)))</f>
        <v/>
      </c>
      <c r="L701" s="421" t="str">
        <f>IF($I641="","",MAX(0,ROUND((SUM($M644)*SUM(L692)*SUM(L699)*SUM(L700)-SUM(L696)-SUM(L697)+SUM(L698))*IF($H644=TRUE,1,L$2517),0)))</f>
        <v/>
      </c>
      <c r="M701" s="421" t="str">
        <f>IF($I641="","",MAX(0,ROUND((SUM($M644)*SUM(M692)*SUM(M699)*SUM(M700)-SUM(M696)-SUM(M697)+SUM(M698))*IF($H644=TRUE,1,M$2517),0)))</f>
        <v/>
      </c>
      <c r="N701" s="967" t="str">
        <f>IF($I641="","",MAX(0,ROUND((SUM($M644+IF(L644=52,0.415,0))*SUM(N692)*SUM(N699)*SUM(N700)-SUM(N696)-SUM(N697)+SUM(N698))*IF($H644=TRUE,1,N$2517),0)))</f>
        <v/>
      </c>
      <c r="O701" s="19"/>
      <c r="P701" s="343"/>
      <c r="Q701" s="343"/>
      <c r="R701" s="343"/>
      <c r="S701" s="343"/>
      <c r="T701" s="343"/>
      <c r="U701" s="349"/>
      <c r="V701" s="349"/>
    </row>
    <row r="702" spans="1:22" s="534" customFormat="1" ht="12.75" customHeight="1" x14ac:dyDescent="0.3">
      <c r="A702" s="343"/>
      <c r="B702" s="15"/>
      <c r="C702" s="17"/>
      <c r="D702" s="1386"/>
      <c r="E702" s="514" t="str">
        <f>Translations!$B$1569</f>
        <v>Skillnad i tilldelning</v>
      </c>
      <c r="F702" s="514"/>
      <c r="G702" s="514"/>
      <c r="H702" s="129" t="str">
        <f>EUconst_EUA</f>
        <v>EUA</v>
      </c>
      <c r="I702" s="1151"/>
      <c r="J702" s="1131" t="str">
        <f>IF($I641="","",ABS(SUM(J701)-SUM(J661)))</f>
        <v/>
      </c>
      <c r="K702" s="421" t="str">
        <f>IF($I641="","",ABS(SUM(K701)-SUM(K661)))</f>
        <v/>
      </c>
      <c r="L702" s="421" t="str">
        <f>IF($I641="","",ABS(SUM(L701)-SUM(L661)))</f>
        <v/>
      </c>
      <c r="M702" s="421" t="str">
        <f>IF($I641="","",ABS(SUM(M701)-SUM(M661)))</f>
        <v/>
      </c>
      <c r="N702" s="967" t="str">
        <f>IF($I641="","",ABS(SUM(N701)-SUM(N661)))</f>
        <v/>
      </c>
      <c r="O702" s="19"/>
      <c r="P702" s="343"/>
      <c r="Q702" s="343"/>
      <c r="R702" s="343"/>
      <c r="S702" s="343"/>
      <c r="T702" s="343"/>
      <c r="U702" s="349"/>
      <c r="V702" s="349"/>
    </row>
    <row r="703" spans="1:22" s="534" customFormat="1" ht="12.75" customHeight="1" x14ac:dyDescent="0.3">
      <c r="A703" s="343"/>
      <c r="B703" s="15"/>
      <c r="C703" s="17"/>
      <c r="D703" s="1386"/>
      <c r="E703" s="1419" t="str">
        <f>Translations!$B$1576</f>
        <v>Kriterium 4c: Är skillnaden minst 100 utsläppsrätter?</v>
      </c>
      <c r="F703" s="1419"/>
      <c r="G703" s="1419"/>
      <c r="H703" s="1424" t="s">
        <v>1112</v>
      </c>
      <c r="I703" s="1425"/>
      <c r="J703" s="1426" t="str">
        <f>IF($I641="","",J702&gt;=100)</f>
        <v/>
      </c>
      <c r="K703" s="1427" t="str">
        <f>IF($I641="","",K702&gt;=100)</f>
        <v/>
      </c>
      <c r="L703" s="1427" t="str">
        <f>IF($I641="","",L702&gt;=100)</f>
        <v/>
      </c>
      <c r="M703" s="1427" t="str">
        <f>IF($I641="","",M702&gt;=100)</f>
        <v/>
      </c>
      <c r="N703" s="1428" t="str">
        <f>IF($I641="","",N702&gt;=100)</f>
        <v/>
      </c>
      <c r="O703" s="19"/>
      <c r="P703" s="165" t="str">
        <f>EUconst_CNTR_100EUA_HEAT&amp;I641</f>
        <v>EUA100HEAT_</v>
      </c>
      <c r="Q703" s="343"/>
      <c r="R703" s="343"/>
      <c r="S703" s="343"/>
      <c r="T703" s="343"/>
      <c r="U703" s="349"/>
      <c r="V703" s="349"/>
    </row>
    <row r="704" spans="1:22" s="534" customFormat="1" ht="5.15" customHeight="1" x14ac:dyDescent="0.3">
      <c r="A704" s="343"/>
      <c r="B704" s="15"/>
      <c r="C704" s="17"/>
      <c r="D704" s="1386"/>
      <c r="E704" s="15"/>
      <c r="F704" s="15"/>
      <c r="G704" s="15"/>
      <c r="H704" s="15"/>
      <c r="I704" s="941"/>
      <c r="J704" s="15"/>
      <c r="K704" s="15"/>
      <c r="L704" s="15"/>
      <c r="M704" s="15"/>
      <c r="N704" s="968"/>
      <c r="O704" s="19"/>
      <c r="P704" s="343"/>
      <c r="Q704" s="343"/>
      <c r="R704" s="343"/>
      <c r="S704" s="343"/>
      <c r="T704" s="343"/>
      <c r="U704" s="349"/>
      <c r="V704" s="349"/>
    </row>
    <row r="705" spans="1:22" s="534" customFormat="1" ht="12.75" customHeight="1" x14ac:dyDescent="0.3">
      <c r="A705" s="343"/>
      <c r="B705" s="15"/>
      <c r="C705" s="17"/>
      <c r="D705" s="1386"/>
      <c r="E705" s="42" t="str">
        <f>Translations!$B$1577</f>
        <v>Ändringar: HVC-korrigering</v>
      </c>
      <c r="F705" s="188"/>
      <c r="G705" s="188"/>
      <c r="H705" s="30" t="str">
        <f>EUconst_Unit</f>
        <v>Enhet</v>
      </c>
      <c r="I705" s="1157"/>
      <c r="J705" s="1065">
        <f>J$2596</f>
        <v>2021</v>
      </c>
      <c r="K705" s="350">
        <f>K$2596</f>
        <v>2022</v>
      </c>
      <c r="L705" s="350">
        <f>L$2596</f>
        <v>2023</v>
      </c>
      <c r="M705" s="350">
        <f>M$2596</f>
        <v>2024</v>
      </c>
      <c r="N705" s="966">
        <f>N$2596</f>
        <v>2025</v>
      </c>
      <c r="O705" s="19"/>
      <c r="P705" s="343"/>
      <c r="Q705" s="343"/>
      <c r="R705" s="343"/>
      <c r="S705" s="343"/>
      <c r="T705" s="343"/>
      <c r="U705" s="349"/>
      <c r="V705" s="349"/>
    </row>
    <row r="706" spans="1:22" s="534" customFormat="1" ht="12.75" hidden="1" customHeight="1" x14ac:dyDescent="0.3">
      <c r="A706" s="343" t="str">
        <f t="shared" ref="A706:A714" si="65">IF(P706="","ausblenden","")</f>
        <v>ausblenden</v>
      </c>
      <c r="B706" s="15"/>
      <c r="C706" s="17"/>
      <c r="D706" s="1386"/>
      <c r="E706" s="514" t="s">
        <v>1918</v>
      </c>
      <c r="F706" s="514"/>
      <c r="G706" s="514"/>
      <c r="H706" s="917" t="str">
        <f>H692</f>
        <v>ton</v>
      </c>
      <c r="I706" s="514"/>
      <c r="J706" s="1152" t="str">
        <f>J655</f>
        <v/>
      </c>
      <c r="K706" s="943" t="str">
        <f t="shared" ref="K706:K708" si="66">J750</f>
        <v/>
      </c>
      <c r="L706" s="943" t="str">
        <f t="shared" ref="L706:L708" si="67">K750</f>
        <v/>
      </c>
      <c r="M706" s="943" t="str">
        <f t="shared" ref="M706:M708" si="68">L750</f>
        <v/>
      </c>
      <c r="N706" s="1389" t="str">
        <f t="shared" ref="N706:N708" si="69">M750</f>
        <v/>
      </c>
      <c r="O706" s="19"/>
      <c r="P706" s="343"/>
      <c r="Q706" s="343"/>
      <c r="R706" s="343"/>
      <c r="S706" s="343"/>
      <c r="T706" s="343"/>
      <c r="U706" s="349"/>
      <c r="V706" s="349"/>
    </row>
    <row r="707" spans="1:22" s="534" customFormat="1" ht="12.75" hidden="1" customHeight="1" x14ac:dyDescent="0.3">
      <c r="A707" s="343" t="str">
        <f t="shared" si="65"/>
        <v>ausblenden</v>
      </c>
      <c r="B707" s="15"/>
      <c r="C707" s="17"/>
      <c r="D707" s="1386"/>
      <c r="E707" s="944" t="s">
        <v>339</v>
      </c>
      <c r="F707" s="944"/>
      <c r="G707" s="944"/>
      <c r="H707" s="954" t="str">
        <f>EUconst_EUA</f>
        <v>EUA</v>
      </c>
      <c r="I707" s="945"/>
      <c r="J707" s="1209" t="str">
        <f>J656</f>
        <v/>
      </c>
      <c r="K707" s="1210" t="str">
        <f t="shared" si="66"/>
        <v/>
      </c>
      <c r="L707" s="1210" t="str">
        <f t="shared" si="67"/>
        <v/>
      </c>
      <c r="M707" s="1210" t="str">
        <f t="shared" si="68"/>
        <v/>
      </c>
      <c r="N707" s="1390" t="str">
        <f t="shared" si="69"/>
        <v/>
      </c>
      <c r="O707" s="19"/>
      <c r="P707" s="343"/>
      <c r="Q707" s="343"/>
      <c r="R707" s="343"/>
      <c r="S707" s="343"/>
      <c r="T707" s="343"/>
      <c r="U707" s="349"/>
      <c r="V707" s="349"/>
    </row>
    <row r="708" spans="1:22" s="534" customFormat="1" ht="12.75" hidden="1" customHeight="1" x14ac:dyDescent="0.3">
      <c r="A708" s="343" t="str">
        <f t="shared" si="65"/>
        <v>ausblenden</v>
      </c>
      <c r="B708" s="15"/>
      <c r="C708" s="17"/>
      <c r="D708" s="1386"/>
      <c r="E708" s="1433" t="s">
        <v>1560</v>
      </c>
      <c r="F708" s="1433"/>
      <c r="G708" s="1433"/>
      <c r="H708" s="1434" t="str">
        <f>EUconst_EUA</f>
        <v>EUA</v>
      </c>
      <c r="I708" s="1435"/>
      <c r="J708" s="1436" t="str">
        <f>J657</f>
        <v/>
      </c>
      <c r="K708" s="1437" t="str">
        <f t="shared" si="66"/>
        <v/>
      </c>
      <c r="L708" s="1437" t="str">
        <f t="shared" si="67"/>
        <v/>
      </c>
      <c r="M708" s="1437" t="str">
        <f t="shared" si="68"/>
        <v/>
      </c>
      <c r="N708" s="1438" t="str">
        <f t="shared" si="69"/>
        <v/>
      </c>
      <c r="O708" s="19"/>
      <c r="P708" s="343"/>
      <c r="Q708" s="343"/>
      <c r="R708" s="343"/>
      <c r="S708" s="343"/>
      <c r="T708" s="343"/>
      <c r="U708" s="349"/>
      <c r="V708" s="349"/>
    </row>
    <row r="709" spans="1:22" s="534" customFormat="1" ht="12.75" customHeight="1" x14ac:dyDescent="0.3">
      <c r="A709" s="343"/>
      <c r="B709" s="15"/>
      <c r="C709" s="17"/>
      <c r="D709" s="1386"/>
      <c r="E709" s="944" t="str">
        <f>Translations!$B$1482</f>
        <v>Genomsnittligt årligt värde</v>
      </c>
      <c r="F709" s="944"/>
      <c r="G709" s="944"/>
      <c r="H709" s="954" t="str">
        <f>EUconst_EUA</f>
        <v>EUA</v>
      </c>
      <c r="I709" s="945"/>
      <c r="J709" s="1445" t="str">
        <f>IF(L644=42,INDEX(H_SpecialBM!J:J,MATCH($P709,H_SpecialBM!$Q:$Q,0)),"")</f>
        <v/>
      </c>
      <c r="K709" s="1446" t="str">
        <f>IF(L644=42,INDEX(H_SpecialBM!K:K,MATCH($P709,H_SpecialBM!$Q:$Q,0)),"")</f>
        <v/>
      </c>
      <c r="L709" s="1446" t="str">
        <f>IF(L644=42,INDEX(H_SpecialBM!L:L,MATCH($P709,H_SpecialBM!$Q:$Q,0)),"")</f>
        <v/>
      </c>
      <c r="M709" s="1446" t="str">
        <f>IF(L644=42,INDEX(H_SpecialBM!M:M,MATCH($P709,H_SpecialBM!$Q:$Q,0)),"")</f>
        <v/>
      </c>
      <c r="N709" s="1447" t="str">
        <f>IF(L644=42,INDEX(H_SpecialBM!N:N,MATCH($P709,H_SpecialBM!$Q:$Q,0)),"")</f>
        <v/>
      </c>
      <c r="O709" s="19"/>
      <c r="P709" s="165" t="str">
        <f>EUconst_CNTR_HVCInitial &amp; INDEX(EUconst_BMlistNames,42)</f>
        <v>HVCIni_Ångkrackning</v>
      </c>
      <c r="Q709" s="343"/>
      <c r="R709" s="343"/>
      <c r="S709" s="343"/>
      <c r="T709" s="343"/>
      <c r="U709" s="349"/>
      <c r="V709" s="349"/>
    </row>
    <row r="710" spans="1:22" s="534" customFormat="1" ht="12.75" customHeight="1" x14ac:dyDescent="0.3">
      <c r="A710" s="343"/>
      <c r="B710" s="15"/>
      <c r="C710" s="17"/>
      <c r="D710" s="1386"/>
      <c r="E710" s="947" t="str">
        <f>Translations!$B$1571</f>
        <v>Ändring jämfört med värde enligt nationella genomförandeåtgärder</v>
      </c>
      <c r="F710" s="947"/>
      <c r="G710" s="947"/>
      <c r="H710" s="1370" t="s">
        <v>1112</v>
      </c>
      <c r="I710" s="1371"/>
      <c r="J710" s="1415" t="str">
        <f>IF(L644=42,INDEX(H_SpecialBM!J:J,MATCH($P710,H_SpecialBM!$Q:$Q,0)),"")</f>
        <v/>
      </c>
      <c r="K710" s="1416" t="str">
        <f>IF(L644=42,INDEX(H_SpecialBM!K:K,MATCH($P710,H_SpecialBM!$Q:$Q,0)),"")</f>
        <v/>
      </c>
      <c r="L710" s="1416" t="str">
        <f>IF(L644=42,INDEX(H_SpecialBM!L:L,MATCH($P710,H_SpecialBM!$Q:$Q,0)),"")</f>
        <v/>
      </c>
      <c r="M710" s="1416" t="str">
        <f>IF(L644=42,INDEX(H_SpecialBM!M:M,MATCH($P710,H_SpecialBM!$Q:$Q,0)),"")</f>
        <v/>
      </c>
      <c r="N710" s="1417" t="str">
        <f>IF(L644=42,INDEX(H_SpecialBM!N:N,MATCH($P710,H_SpecialBM!$Q:$Q,0)),"")</f>
        <v/>
      </c>
      <c r="O710" s="19"/>
      <c r="P710" s="165" t="str">
        <f>EUconst_CNTR_RelThreshold &amp; P712</f>
        <v>RelThresh_HVCprelim_</v>
      </c>
      <c r="Q710" s="343"/>
      <c r="R710" s="343"/>
      <c r="S710" s="343"/>
      <c r="T710" s="343"/>
      <c r="U710" s="349"/>
      <c r="V710" s="349"/>
    </row>
    <row r="711" spans="1:22" s="534" customFormat="1" ht="12.75" customHeight="1" x14ac:dyDescent="0.3">
      <c r="A711" s="343"/>
      <c r="B711" s="15"/>
      <c r="C711" s="17"/>
      <c r="D711" s="1386"/>
      <c r="E711" s="1418" t="str">
        <f>Translations!$B$1578</f>
        <v>Kriterium 3d: Har relativa tröskelvärden överskridits?</v>
      </c>
      <c r="F711" s="1418"/>
      <c r="G711" s="1418"/>
      <c r="H711" s="1423" t="s">
        <v>1112</v>
      </c>
      <c r="I711" s="1423"/>
      <c r="J711" s="1420" t="str">
        <f>IF(L644=42,INDEX(H_SpecialBM!V:V,MATCH($P711,H_SpecialBM!$Q:$Q,0)),"")</f>
        <v/>
      </c>
      <c r="K711" s="1421" t="str">
        <f>IF(L644=42,INDEX(H_SpecialBM!W:W,MATCH($P711,H_SpecialBM!$Q:$Q,0)),"")</f>
        <v/>
      </c>
      <c r="L711" s="1421" t="str">
        <f>IF(L644=42,INDEX(H_SpecialBM!X:X,MATCH($P711,H_SpecialBM!$Q:$Q,0)),"")</f>
        <v/>
      </c>
      <c r="M711" s="1421" t="str">
        <f>IF(L644=42,INDEX(H_SpecialBM!Y:Y,MATCH($P711,H_SpecialBM!$Q:$Q,0)),"")</f>
        <v/>
      </c>
      <c r="N711" s="1422" t="str">
        <f>IF(L644=42,INDEX(H_SpecialBM!Z:Z,MATCH($P711,H_SpecialBM!$Q:$Q,0)),"")</f>
        <v/>
      </c>
      <c r="O711" s="19"/>
      <c r="P711" s="165" t="str">
        <f>P710</f>
        <v>RelThresh_HVCprelim_</v>
      </c>
      <c r="Q711" s="343"/>
      <c r="R711" s="343"/>
      <c r="S711" s="343"/>
      <c r="T711" s="343"/>
      <c r="U711" s="349"/>
      <c r="V711" s="349"/>
    </row>
    <row r="712" spans="1:22" s="534" customFormat="1" ht="12.75" customHeight="1" x14ac:dyDescent="0.3">
      <c r="A712" s="343" t="str">
        <f t="shared" si="65"/>
        <v/>
      </c>
      <c r="B712" s="15"/>
      <c r="C712" s="17"/>
      <c r="D712" s="1386"/>
      <c r="E712" s="950" t="str">
        <f>Translations!$B$1568</f>
        <v>Preliminärt värde</v>
      </c>
      <c r="F712" s="950"/>
      <c r="G712" s="950"/>
      <c r="H712" s="957" t="str">
        <f>EUconst_EUA</f>
        <v>EUA</v>
      </c>
      <c r="I712" s="951"/>
      <c r="J712" s="1381" t="str">
        <f>IF($L644=42,INDEX(H_SpecialBM!J:J,MATCH($P712,H_SpecialBM!$Q:$Q,0)),"")</f>
        <v/>
      </c>
      <c r="K712" s="1382" t="str">
        <f>IF($L644=42,INDEX(H_SpecialBM!K:K,MATCH($P712,H_SpecialBM!$Q:$Q,0)),"")</f>
        <v/>
      </c>
      <c r="L712" s="1382" t="str">
        <f>IF($L644=42,INDEX(H_SpecialBM!L:L,MATCH($P712,H_SpecialBM!$Q:$Q,0)),"")</f>
        <v/>
      </c>
      <c r="M712" s="1382" t="str">
        <f>IF($L644=42,INDEX(H_SpecialBM!M:M,MATCH($P712,H_SpecialBM!$Q:$Q,0)),"")</f>
        <v/>
      </c>
      <c r="N712" s="1396" t="str">
        <f>IF($L644=42,INDEX(H_SpecialBM!N:N,MATCH($P712,H_SpecialBM!$Q:$Q,0)),"")</f>
        <v/>
      </c>
      <c r="O712" s="19"/>
      <c r="P712" s="165" t="str">
        <f>EUconst_CNTR_HVCprelim</f>
        <v>HVCprelim_</v>
      </c>
      <c r="Q712" s="343"/>
      <c r="R712" s="343"/>
      <c r="S712" s="343"/>
      <c r="T712" s="343"/>
      <c r="U712" s="349"/>
      <c r="V712" s="349"/>
    </row>
    <row r="713" spans="1:22" s="534" customFormat="1" ht="12.75" hidden="1" customHeight="1" x14ac:dyDescent="0.3">
      <c r="A713" s="343" t="str">
        <f t="shared" si="65"/>
        <v>ausblenden</v>
      </c>
      <c r="B713" s="15"/>
      <c r="C713" s="17"/>
      <c r="D713" s="1386"/>
      <c r="E713" s="1376" t="s">
        <v>1526</v>
      </c>
      <c r="F713" s="1376"/>
      <c r="G713" s="1376"/>
      <c r="H713" s="1378" t="s">
        <v>1112</v>
      </c>
      <c r="I713" s="1377"/>
      <c r="J713" s="1379" t="str">
        <f>J659</f>
        <v/>
      </c>
      <c r="K713" s="1380" t="str">
        <f t="shared" ref="K713:K714" si="70">J754</f>
        <v/>
      </c>
      <c r="L713" s="1380" t="str">
        <f t="shared" ref="L713:L714" si="71">K754</f>
        <v/>
      </c>
      <c r="M713" s="1380" t="str">
        <f t="shared" ref="M713:M714" si="72">L754</f>
        <v/>
      </c>
      <c r="N713" s="1397" t="str">
        <f t="shared" ref="N713:N714" si="73">M754</f>
        <v/>
      </c>
      <c r="O713" s="19"/>
      <c r="P713" s="343"/>
      <c r="Q713" s="343"/>
      <c r="R713" s="343"/>
      <c r="S713" s="343"/>
      <c r="T713" s="343"/>
      <c r="U713" s="349"/>
      <c r="V713" s="349"/>
    </row>
    <row r="714" spans="1:22" s="534" customFormat="1" ht="12.75" hidden="1" customHeight="1" x14ac:dyDescent="0.3">
      <c r="A714" s="343" t="str">
        <f t="shared" si="65"/>
        <v>ausblenden</v>
      </c>
      <c r="B714" s="15"/>
      <c r="C714" s="17"/>
      <c r="D714" s="1386"/>
      <c r="E714" s="950" t="s">
        <v>1528</v>
      </c>
      <c r="F714" s="950"/>
      <c r="G714" s="950"/>
      <c r="H714" s="957" t="s">
        <v>1112</v>
      </c>
      <c r="I714" s="951"/>
      <c r="J714" s="1213" t="str">
        <f>J660</f>
        <v/>
      </c>
      <c r="K714" s="1214" t="str">
        <f t="shared" si="70"/>
        <v/>
      </c>
      <c r="L714" s="1214" t="str">
        <f t="shared" si="71"/>
        <v/>
      </c>
      <c r="M714" s="1214" t="str">
        <f t="shared" si="72"/>
        <v/>
      </c>
      <c r="N714" s="1393" t="str">
        <f t="shared" si="73"/>
        <v/>
      </c>
      <c r="O714" s="19"/>
      <c r="P714" s="343"/>
      <c r="Q714" s="343"/>
      <c r="R714" s="343"/>
      <c r="S714" s="343"/>
      <c r="T714" s="343"/>
      <c r="U714" s="349"/>
      <c r="V714" s="349"/>
    </row>
    <row r="715" spans="1:22" s="534" customFormat="1" ht="12.75" customHeight="1" x14ac:dyDescent="0.3">
      <c r="A715" s="343"/>
      <c r="B715" s="15"/>
      <c r="C715" s="17"/>
      <c r="D715" s="1386"/>
      <c r="E715" s="514" t="str">
        <f>Translations!$B$1565</f>
        <v>Preliminärt tilldelningsvärde</v>
      </c>
      <c r="F715" s="514"/>
      <c r="G715" s="514"/>
      <c r="H715" s="129" t="str">
        <f>EUconst_EUA</f>
        <v>EUA</v>
      </c>
      <c r="I715" s="1151"/>
      <c r="J715" s="1131" t="str">
        <f>IF(J712="","",MAX(0,ROUND((SUM($M644)*SUM(J706)*SUM(J713)*SUM(J714)-SUM(J707)-SUM(J708)+SUM(J712))*IF($H644=TRUE,1,J$2517),0)))</f>
        <v/>
      </c>
      <c r="K715" s="421" t="str">
        <f>IF(K712="","",MAX(0,ROUND((SUM($M644)*SUM(K706)*SUM(K713)*SUM(K714)-SUM(K707)-SUM(K708)+SUM(K712))*IF($H644=TRUE,1,K$2517),0)))</f>
        <v/>
      </c>
      <c r="L715" s="421" t="str">
        <f>IF(L712="","",MAX(0,ROUND((SUM($M644)*SUM(L706)*SUM(L713)*SUM(L714)-SUM(L707)-SUM(L708)+SUM(L712))*IF($H644=TRUE,1,L$2517),0)))</f>
        <v/>
      </c>
      <c r="M715" s="421" t="str">
        <f>IF(M712="","",MAX(0,ROUND((SUM($M644)*SUM(M706)*SUM(M713)*SUM(M714)-SUM(M707)-SUM(M708)+SUM(M712))*IF($H644=TRUE,1,M$2517),0)))</f>
        <v/>
      </c>
      <c r="N715" s="967" t="str">
        <f>IF(N712="","",MAX(0,ROUND((SUM($M644)*SUM(N706)*SUM(N713)*SUM(N714)-SUM(N707)-SUM(N708)+SUM(N712))*IF($H644=TRUE,1,N$2517),0)))</f>
        <v/>
      </c>
      <c r="O715" s="19"/>
      <c r="P715" s="343"/>
      <c r="Q715" s="343"/>
      <c r="R715" s="343"/>
      <c r="S715" s="343"/>
      <c r="T715" s="343"/>
      <c r="U715" s="349"/>
      <c r="V715" s="349"/>
    </row>
    <row r="716" spans="1:22" s="534" customFormat="1" ht="12.75" customHeight="1" x14ac:dyDescent="0.3">
      <c r="A716" s="343"/>
      <c r="B716" s="15"/>
      <c r="C716" s="17"/>
      <c r="D716" s="1386"/>
      <c r="E716" s="514" t="str">
        <f>Translations!$B$1569</f>
        <v>Skillnad i tilldelning</v>
      </c>
      <c r="F716" s="514"/>
      <c r="G716" s="514"/>
      <c r="H716" s="129" t="str">
        <f>EUconst_EUA</f>
        <v>EUA</v>
      </c>
      <c r="I716" s="1151"/>
      <c r="J716" s="1131" t="str">
        <f>IF(J715="","",ABS(SUM(J715)-SUM(J661)))</f>
        <v/>
      </c>
      <c r="K716" s="421" t="str">
        <f>IF(K715="","",ABS(SUM(K715)-SUM(K661)))</f>
        <v/>
      </c>
      <c r="L716" s="421" t="str">
        <f>IF(L715="","",ABS(SUM(L715)-SUM(L661)))</f>
        <v/>
      </c>
      <c r="M716" s="421" t="str">
        <f>IF(M715="","",ABS(SUM(M715)-SUM(M661)))</f>
        <v/>
      </c>
      <c r="N716" s="967" t="str">
        <f>IF(N715="","",ABS(SUM(N715)-SUM(N661)))</f>
        <v/>
      </c>
      <c r="O716" s="19"/>
      <c r="P716" s="343"/>
      <c r="Q716" s="343"/>
      <c r="R716" s="343"/>
      <c r="S716" s="343"/>
      <c r="T716" s="343"/>
      <c r="U716" s="349"/>
      <c r="V716" s="349"/>
    </row>
    <row r="717" spans="1:22" s="534" customFormat="1" ht="12.75" customHeight="1" x14ac:dyDescent="0.3">
      <c r="A717" s="343"/>
      <c r="B717" s="15"/>
      <c r="C717" s="17"/>
      <c r="D717" s="1386"/>
      <c r="E717" s="1419" t="str">
        <f>Translations!$B$1579</f>
        <v>Kriterium 4d: Är skillnaden minst 100 utsläppsrätter?</v>
      </c>
      <c r="F717" s="514"/>
      <c r="G717" s="514"/>
      <c r="H717" s="1424" t="s">
        <v>1112</v>
      </c>
      <c r="I717" s="1425"/>
      <c r="J717" s="1426" t="str">
        <f>IF(J716="","",J716&gt;=100)</f>
        <v/>
      </c>
      <c r="K717" s="1427" t="str">
        <f>IF(K716="","",K716&gt;=100)</f>
        <v/>
      </c>
      <c r="L717" s="1427" t="str">
        <f>IF(L716="","",L716&gt;=100)</f>
        <v/>
      </c>
      <c r="M717" s="1427" t="str">
        <f>IF(M716="","",M716&gt;=100)</f>
        <v/>
      </c>
      <c r="N717" s="1428" t="str">
        <f>IF(N716="","",N716&gt;=100)</f>
        <v/>
      </c>
      <c r="O717" s="19"/>
      <c r="P717" s="165" t="str">
        <f>EUconst_CNTR_100EUA_HVC&amp;I641</f>
        <v>EUA100HVC_</v>
      </c>
      <c r="Q717" s="343"/>
      <c r="R717" s="343"/>
      <c r="S717" s="343"/>
      <c r="T717" s="343"/>
      <c r="U717" s="349"/>
      <c r="V717" s="349"/>
    </row>
    <row r="718" spans="1:22" s="534" customFormat="1" ht="5.15" customHeight="1" x14ac:dyDescent="0.3">
      <c r="A718" s="343"/>
      <c r="B718" s="15"/>
      <c r="C718" s="17"/>
      <c r="D718" s="1386"/>
      <c r="E718" s="15"/>
      <c r="F718" s="15"/>
      <c r="G718" s="15"/>
      <c r="H718" s="15"/>
      <c r="I718" s="941"/>
      <c r="J718" s="15"/>
      <c r="K718" s="15"/>
      <c r="L718" s="15"/>
      <c r="M718" s="15"/>
      <c r="N718" s="968"/>
      <c r="O718" s="19"/>
      <c r="P718" s="343"/>
      <c r="Q718" s="343"/>
      <c r="R718" s="343"/>
      <c r="S718" s="343"/>
      <c r="T718" s="343"/>
      <c r="U718" s="349"/>
      <c r="V718" s="349"/>
    </row>
    <row r="719" spans="1:22" s="534" customFormat="1" ht="12.75" customHeight="1" x14ac:dyDescent="0.3">
      <c r="A719" s="343"/>
      <c r="B719" s="15"/>
      <c r="C719" s="17"/>
      <c r="D719" s="1386"/>
      <c r="E719" s="42" t="str">
        <f>Translations!$B$1580</f>
        <v>Ändringar: VCM-korrigering</v>
      </c>
      <c r="F719" s="188"/>
      <c r="G719" s="188"/>
      <c r="H719" s="30" t="str">
        <f>EUconst_Unit</f>
        <v>Enhet</v>
      </c>
      <c r="I719" s="1157"/>
      <c r="J719" s="1065">
        <f>J$2596</f>
        <v>2021</v>
      </c>
      <c r="K719" s="350">
        <f>K$2596</f>
        <v>2022</v>
      </c>
      <c r="L719" s="350">
        <f>L$2596</f>
        <v>2023</v>
      </c>
      <c r="M719" s="350">
        <f>M$2596</f>
        <v>2024</v>
      </c>
      <c r="N719" s="966">
        <f>N$2596</f>
        <v>2025</v>
      </c>
      <c r="O719" s="19"/>
      <c r="P719" s="343"/>
      <c r="Q719" s="343"/>
      <c r="R719" s="343"/>
      <c r="S719" s="343"/>
      <c r="T719" s="343"/>
      <c r="U719" s="349"/>
      <c r="V719" s="349"/>
    </row>
    <row r="720" spans="1:22" s="534" customFormat="1" ht="12.75" hidden="1" customHeight="1" x14ac:dyDescent="0.3">
      <c r="A720" s="343" t="str">
        <f t="shared" ref="A720:A728" si="74">IF(P720="","ausblenden","")</f>
        <v>ausblenden</v>
      </c>
      <c r="B720" s="15"/>
      <c r="C720" s="17"/>
      <c r="D720" s="1386"/>
      <c r="E720" s="514" t="s">
        <v>1918</v>
      </c>
      <c r="F720" s="514"/>
      <c r="G720" s="514"/>
      <c r="H720" s="917" t="str">
        <f>H706</f>
        <v>ton</v>
      </c>
      <c r="I720" s="514"/>
      <c r="J720" s="1152" t="str">
        <f>J655</f>
        <v/>
      </c>
      <c r="K720" s="943" t="str">
        <f t="shared" ref="K720:K724" si="75">J750</f>
        <v/>
      </c>
      <c r="L720" s="943" t="str">
        <f t="shared" ref="L720:L724" si="76">K750</f>
        <v/>
      </c>
      <c r="M720" s="943" t="str">
        <f t="shared" ref="M720:M724" si="77">L750</f>
        <v/>
      </c>
      <c r="N720" s="1389" t="str">
        <f t="shared" ref="N720:N724" si="78">M750</f>
        <v/>
      </c>
      <c r="O720" s="19"/>
      <c r="P720" s="343"/>
      <c r="Q720" s="343"/>
      <c r="R720" s="343"/>
      <c r="S720" s="343"/>
      <c r="T720" s="343"/>
      <c r="U720" s="349"/>
      <c r="V720" s="349"/>
    </row>
    <row r="721" spans="1:22" s="534" customFormat="1" ht="12.75" hidden="1" customHeight="1" x14ac:dyDescent="0.3">
      <c r="A721" s="343" t="str">
        <f t="shared" si="74"/>
        <v>ausblenden</v>
      </c>
      <c r="B721" s="15"/>
      <c r="C721" s="17"/>
      <c r="D721" s="1386"/>
      <c r="E721" s="944" t="s">
        <v>339</v>
      </c>
      <c r="F721" s="944"/>
      <c r="G721" s="944"/>
      <c r="H721" s="954" t="str">
        <f>EUconst_EUA</f>
        <v>EUA</v>
      </c>
      <c r="I721" s="945"/>
      <c r="J721" s="1209" t="str">
        <f>J656</f>
        <v/>
      </c>
      <c r="K721" s="1210" t="str">
        <f t="shared" si="75"/>
        <v/>
      </c>
      <c r="L721" s="1210" t="str">
        <f t="shared" si="76"/>
        <v/>
      </c>
      <c r="M721" s="1210" t="str">
        <f t="shared" si="77"/>
        <v/>
      </c>
      <c r="N721" s="1390" t="str">
        <f t="shared" si="78"/>
        <v/>
      </c>
      <c r="O721" s="19"/>
      <c r="P721" s="343"/>
      <c r="Q721" s="343"/>
      <c r="R721" s="343"/>
      <c r="S721" s="343"/>
      <c r="T721" s="343"/>
      <c r="U721" s="349"/>
      <c r="V721" s="349"/>
    </row>
    <row r="722" spans="1:22" s="534" customFormat="1" ht="12.75" hidden="1" customHeight="1" x14ac:dyDescent="0.3">
      <c r="A722" s="343" t="str">
        <f t="shared" si="74"/>
        <v>ausblenden</v>
      </c>
      <c r="B722" s="15"/>
      <c r="C722" s="17"/>
      <c r="D722" s="1386"/>
      <c r="E722" s="947" t="s">
        <v>1560</v>
      </c>
      <c r="F722" s="947"/>
      <c r="G722" s="947"/>
      <c r="H722" s="955" t="str">
        <f>EUconst_EUA</f>
        <v>EUA</v>
      </c>
      <c r="I722" s="948"/>
      <c r="J722" s="1165" t="str">
        <f>J657</f>
        <v/>
      </c>
      <c r="K722" s="975" t="str">
        <f t="shared" si="75"/>
        <v/>
      </c>
      <c r="L722" s="975" t="str">
        <f t="shared" si="76"/>
        <v/>
      </c>
      <c r="M722" s="975" t="str">
        <f t="shared" si="77"/>
        <v/>
      </c>
      <c r="N722" s="1391" t="str">
        <f t="shared" si="78"/>
        <v/>
      </c>
      <c r="O722" s="19"/>
      <c r="P722" s="343"/>
      <c r="Q722" s="343"/>
      <c r="R722" s="343"/>
      <c r="S722" s="343"/>
      <c r="T722" s="343"/>
      <c r="U722" s="349"/>
      <c r="V722" s="349"/>
    </row>
    <row r="723" spans="1:22" s="534" customFormat="1" ht="12.75" hidden="1" customHeight="1" x14ac:dyDescent="0.3">
      <c r="A723" s="343" t="str">
        <f t="shared" si="74"/>
        <v>ausblenden</v>
      </c>
      <c r="B723" s="15"/>
      <c r="C723" s="17"/>
      <c r="D723" s="1386"/>
      <c r="E723" s="947" t="s">
        <v>1527</v>
      </c>
      <c r="F723" s="947"/>
      <c r="G723" s="947"/>
      <c r="H723" s="955" t="str">
        <f>EUconst_EUA</f>
        <v>EUA</v>
      </c>
      <c r="I723" s="948"/>
      <c r="J723" s="1165" t="str">
        <f>J658</f>
        <v/>
      </c>
      <c r="K723" s="975" t="str">
        <f t="shared" si="75"/>
        <v/>
      </c>
      <c r="L723" s="975" t="str">
        <f t="shared" si="76"/>
        <v/>
      </c>
      <c r="M723" s="975" t="str">
        <f t="shared" si="77"/>
        <v/>
      </c>
      <c r="N723" s="1391" t="str">
        <f t="shared" si="78"/>
        <v/>
      </c>
      <c r="O723" s="19"/>
      <c r="P723" s="343"/>
      <c r="Q723" s="343"/>
      <c r="R723" s="343"/>
      <c r="S723" s="343"/>
      <c r="T723" s="343"/>
      <c r="U723" s="349"/>
      <c r="V723" s="349"/>
    </row>
    <row r="724" spans="1:22" s="534" customFormat="1" ht="12.75" hidden="1" customHeight="1" x14ac:dyDescent="0.3">
      <c r="A724" s="343" t="str">
        <f t="shared" si="74"/>
        <v>ausblenden</v>
      </c>
      <c r="B724" s="15"/>
      <c r="C724" s="17"/>
      <c r="D724" s="1386"/>
      <c r="E724" s="1433" t="s">
        <v>1526</v>
      </c>
      <c r="F724" s="1433"/>
      <c r="G724" s="1433"/>
      <c r="H724" s="1448" t="s">
        <v>1112</v>
      </c>
      <c r="I724" s="1435"/>
      <c r="J724" s="1449" t="str">
        <f>J659</f>
        <v/>
      </c>
      <c r="K724" s="1450" t="str">
        <f t="shared" si="75"/>
        <v/>
      </c>
      <c r="L724" s="1450" t="str">
        <f t="shared" si="76"/>
        <v/>
      </c>
      <c r="M724" s="1450" t="str">
        <f t="shared" si="77"/>
        <v/>
      </c>
      <c r="N724" s="1451" t="str">
        <f t="shared" si="78"/>
        <v/>
      </c>
      <c r="O724" s="19"/>
      <c r="P724" s="343"/>
      <c r="Q724" s="343"/>
      <c r="R724" s="343"/>
      <c r="S724" s="343"/>
      <c r="T724" s="343"/>
      <c r="U724" s="349"/>
      <c r="V724" s="349"/>
    </row>
    <row r="725" spans="1:22" s="534" customFormat="1" ht="12.75" customHeight="1" x14ac:dyDescent="0.3">
      <c r="A725" s="343"/>
      <c r="B725" s="15"/>
      <c r="C725" s="17"/>
      <c r="D725" s="1386"/>
      <c r="E725" s="944" t="str">
        <f>Translations!$B$1482</f>
        <v>Genomsnittligt årligt värde</v>
      </c>
      <c r="F725" s="944"/>
      <c r="G725" s="944"/>
      <c r="H725" s="627" t="s">
        <v>1112</v>
      </c>
      <c r="I725" s="945"/>
      <c r="J725" s="1439" t="str">
        <f>IF(L644=47,INDEX(H_SpecialBM!J:J,MATCH($P725,H_SpecialBM!$Q:$Q,0)),"")</f>
        <v/>
      </c>
      <c r="K725" s="1440" t="str">
        <f>IF(L644=47,INDEX(H_SpecialBM!K:K,MATCH($P725,H_SpecialBM!$Q:$Q,0)),"")</f>
        <v/>
      </c>
      <c r="L725" s="1440" t="str">
        <f>IF(L644=47,INDEX(H_SpecialBM!L:L,MATCH($P725,H_SpecialBM!$Q:$Q,0)),"")</f>
        <v/>
      </c>
      <c r="M725" s="1440" t="str">
        <f>IF(L644=47,INDEX(H_SpecialBM!M:M,MATCH($P725,H_SpecialBM!$Q:$Q,0)),"")</f>
        <v/>
      </c>
      <c r="N725" s="1441" t="str">
        <f>IF(L644=47,INDEX(H_SpecialBM!N:N,MATCH($P725,H_SpecialBM!$Q:$Q,0)),"")</f>
        <v/>
      </c>
      <c r="O725" s="19"/>
      <c r="P725" s="165" t="str">
        <f>EUconst_CNTR_VCMInitial &amp; INDEX(EUconst_BMlistNames,47)</f>
        <v>VCMIni_Vinylkloridmonomer</v>
      </c>
      <c r="Q725" s="343"/>
      <c r="R725" s="343"/>
      <c r="S725" s="343"/>
      <c r="T725" s="343"/>
      <c r="U725" s="349"/>
      <c r="V725" s="349"/>
    </row>
    <row r="726" spans="1:22" s="534" customFormat="1" ht="12.75" customHeight="1" x14ac:dyDescent="0.3">
      <c r="A726" s="343"/>
      <c r="B726" s="15"/>
      <c r="C726" s="17"/>
      <c r="D726" s="1386"/>
      <c r="E726" s="947" t="str">
        <f>Translations!$B$1571</f>
        <v>Ändring jämfört med värde enligt nationella genomförandeåtgärder</v>
      </c>
      <c r="F726" s="947"/>
      <c r="G726" s="947"/>
      <c r="H726" s="1370" t="s">
        <v>1112</v>
      </c>
      <c r="I726" s="1371"/>
      <c r="J726" s="1415" t="str">
        <f>IF(L644=47,INDEX(H_SpecialBM!J:J,MATCH($P726,H_SpecialBM!$Q:$Q,0)),"")</f>
        <v/>
      </c>
      <c r="K726" s="1416" t="str">
        <f>IF(L644=47,INDEX(H_SpecialBM!K:K,MATCH($P726,H_SpecialBM!$Q:$Q,0)),"")</f>
        <v/>
      </c>
      <c r="L726" s="1416" t="str">
        <f>IF(L644=47,INDEX(H_SpecialBM!L:L,MATCH($P726,H_SpecialBM!$Q:$Q,0)),"")</f>
        <v/>
      </c>
      <c r="M726" s="1416" t="str">
        <f>IF(L644=47,INDEX(H_SpecialBM!M:M,MATCH($P726,H_SpecialBM!$Q:$Q,0)),"")</f>
        <v/>
      </c>
      <c r="N726" s="1417" t="str">
        <f>IF(L644=47,INDEX(H_SpecialBM!N:N,MATCH($P726,H_SpecialBM!$Q:$Q,0)),"")</f>
        <v/>
      </c>
      <c r="O726" s="19"/>
      <c r="P726" s="165" t="str">
        <f>EUconst_CNTR_RelThreshold &amp; P728</f>
        <v>RelThresh_VCMprelim_</v>
      </c>
      <c r="Q726" s="343"/>
      <c r="R726" s="343"/>
      <c r="S726" s="343"/>
      <c r="T726" s="343"/>
      <c r="U726" s="349"/>
      <c r="V726" s="349"/>
    </row>
    <row r="727" spans="1:22" s="534" customFormat="1" ht="12.75" customHeight="1" x14ac:dyDescent="0.3">
      <c r="A727" s="343"/>
      <c r="B727" s="15"/>
      <c r="C727" s="17"/>
      <c r="D727" s="1386"/>
      <c r="E727" s="1418" t="str">
        <f>Translations!$B$1581</f>
        <v>Kriterium 3e: Har relativa tröskelvärden överskridits?</v>
      </c>
      <c r="F727" s="1418"/>
      <c r="G727" s="1418"/>
      <c r="H727" s="1423" t="s">
        <v>1112</v>
      </c>
      <c r="I727" s="1423"/>
      <c r="J727" s="1420" t="str">
        <f>IF(L644=47,INDEX(H_SpecialBM!V:V,MATCH($P727,H_SpecialBM!$Q:$Q,0)),"")</f>
        <v/>
      </c>
      <c r="K727" s="1421" t="str">
        <f>IF(L644=47,INDEX(H_SpecialBM!W:W,MATCH($P727,H_SpecialBM!$Q:$Q,0)),"")</f>
        <v/>
      </c>
      <c r="L727" s="1421" t="str">
        <f>IF(L644=47,INDEX(H_SpecialBM!X:X,MATCH($P727,H_SpecialBM!$Q:$Q,0)),"")</f>
        <v/>
      </c>
      <c r="M727" s="1421" t="str">
        <f>IF(L644=47,INDEX(H_SpecialBM!Y:Y,MATCH($P727,H_SpecialBM!$Q:$Q,0)),"")</f>
        <v/>
      </c>
      <c r="N727" s="1422" t="str">
        <f>IF(L644=47,INDEX(H_SpecialBM!Z:Z,MATCH($P727,H_SpecialBM!$Q:$Q,0)),"")</f>
        <v/>
      </c>
      <c r="O727" s="19"/>
      <c r="P727" s="165" t="str">
        <f>P726</f>
        <v>RelThresh_VCMprelim_</v>
      </c>
      <c r="Q727" s="343"/>
      <c r="R727" s="343"/>
      <c r="S727" s="343"/>
      <c r="T727" s="343"/>
      <c r="U727" s="349"/>
      <c r="V727" s="349"/>
    </row>
    <row r="728" spans="1:22" s="534" customFormat="1" ht="12.75" customHeight="1" x14ac:dyDescent="0.3">
      <c r="A728" s="343" t="str">
        <f t="shared" si="74"/>
        <v/>
      </c>
      <c r="B728" s="15"/>
      <c r="C728" s="17"/>
      <c r="D728" s="1386"/>
      <c r="E728" s="950" t="str">
        <f>Translations!$B$1568</f>
        <v>Preliminärt värde</v>
      </c>
      <c r="F728" s="950"/>
      <c r="G728" s="950"/>
      <c r="H728" s="957" t="s">
        <v>1112</v>
      </c>
      <c r="I728" s="951"/>
      <c r="J728" s="1404" t="str">
        <f>IF($L644=47,IF(ISNUMBER(INDEX(H_SpecialBM!J:J,MATCH($P728,H_SpecialBM!$Q:$Q,0))),INDEX(H_SpecialBM!J:J,MATCH($P728,H_SpecialBM!$Q:$Q,0)),1),"")</f>
        <v/>
      </c>
      <c r="K728" s="1405" t="str">
        <f>IF($L644=47,IF(ISNUMBER(INDEX(H_SpecialBM!K:K,MATCH($P728,H_SpecialBM!$Q:$Q,0))),INDEX(H_SpecialBM!K:K,MATCH($P728,H_SpecialBM!$Q:$Q,0)),1),"")</f>
        <v/>
      </c>
      <c r="L728" s="1405" t="str">
        <f>IF($L644=47,IF(ISNUMBER(INDEX(H_SpecialBM!L:L,MATCH($P728,H_SpecialBM!$Q:$Q,0))),INDEX(H_SpecialBM!L:L,MATCH($P728,H_SpecialBM!$Q:$Q,0)),1),"")</f>
        <v/>
      </c>
      <c r="M728" s="1405" t="str">
        <f>IF($L644=47,IF(ISNUMBER(INDEX(H_SpecialBM!M:M,MATCH($P728,H_SpecialBM!$Q:$Q,0))),INDEX(H_SpecialBM!M:M,MATCH($P728,H_SpecialBM!$Q:$Q,0)),1),"")</f>
        <v/>
      </c>
      <c r="N728" s="1406" t="str">
        <f>IF($L644=47,IF(ISNUMBER(INDEX(H_SpecialBM!N:N,MATCH($P728,H_SpecialBM!$Q:$Q,0))),INDEX(H_SpecialBM!N:N,MATCH($P728,H_SpecialBM!$Q:$Q,0)),1),"")</f>
        <v/>
      </c>
      <c r="O728" s="19"/>
      <c r="P728" s="165" t="str">
        <f>EUconst_CNTR_VCMprelim</f>
        <v>VCMprelim_</v>
      </c>
      <c r="Q728" s="343"/>
      <c r="R728" s="343"/>
      <c r="S728" s="343"/>
      <c r="T728" s="343"/>
      <c r="U728" s="349"/>
      <c r="V728" s="349"/>
    </row>
    <row r="729" spans="1:22" s="534" customFormat="1" ht="12.75" customHeight="1" x14ac:dyDescent="0.3">
      <c r="A729" s="343"/>
      <c r="B729" s="15"/>
      <c r="C729" s="17"/>
      <c r="D729" s="1386"/>
      <c r="E729" s="514" t="str">
        <f>Translations!$B$1565</f>
        <v>Preliminärt tilldelningsvärde</v>
      </c>
      <c r="F729" s="514"/>
      <c r="G729" s="514"/>
      <c r="H729" s="129" t="str">
        <f>EUconst_EUA</f>
        <v>EUA</v>
      </c>
      <c r="I729" s="1151"/>
      <c r="J729" s="1131" t="str">
        <f>IF(J728="","",MAX(0,ROUND((SUM($M644)*SUM(J720)*SUM(J724)*SUM(J728)-SUM(J721)-SUM(J722)+SUM(J723))*IF($H644=TRUE,1,J$2517),0)))</f>
        <v/>
      </c>
      <c r="K729" s="421" t="str">
        <f>IF(K728="","",MAX(0,ROUND((SUM($M644)*SUM(K720)*SUM(K724)*SUM(K728)-SUM(K721)-SUM(K722)+SUM(K723))*IF($H644=TRUE,1,K$2517),0)))</f>
        <v/>
      </c>
      <c r="L729" s="421" t="str">
        <f>IF(L728="","",MAX(0,ROUND((SUM($M644)*SUM(L720)*SUM(L724)*SUM(L728)-SUM(L721)-SUM(L722)+SUM(L723))*IF($H644=TRUE,1,L$2517),0)))</f>
        <v/>
      </c>
      <c r="M729" s="421" t="str">
        <f>IF(M728="","",MAX(0,ROUND((SUM($M644)*SUM(M720)*SUM(M724)*SUM(M728)-SUM(M721)-SUM(M722)+SUM(M723))*IF($H644=TRUE,1,M$2517),0)))</f>
        <v/>
      </c>
      <c r="N729" s="967" t="str">
        <f>IF(N728="","",MAX(0,ROUND((SUM($M644)*SUM(N720)*SUM(N724)*SUM(N728)-SUM(N721)-SUM(N722)+SUM(N723))*IF($H644=TRUE,1,N$2517),0)))</f>
        <v/>
      </c>
      <c r="O729" s="19"/>
      <c r="P729" s="343"/>
      <c r="Q729" s="343"/>
      <c r="R729" s="343"/>
      <c r="S729" s="343"/>
      <c r="T729" s="343"/>
      <c r="U729" s="349"/>
      <c r="V729" s="349"/>
    </row>
    <row r="730" spans="1:22" s="534" customFormat="1" ht="12.75" customHeight="1" x14ac:dyDescent="0.3">
      <c r="A730" s="343"/>
      <c r="B730" s="15"/>
      <c r="C730" s="17"/>
      <c r="D730" s="1386"/>
      <c r="E730" s="514" t="str">
        <f>Translations!$B$1569</f>
        <v>Skillnad i tilldelning</v>
      </c>
      <c r="F730" s="514"/>
      <c r="G730" s="514"/>
      <c r="H730" s="129" t="str">
        <f>EUconst_EUA</f>
        <v>EUA</v>
      </c>
      <c r="I730" s="1151"/>
      <c r="J730" s="1131" t="str">
        <f>IF(J729="","",ABS(SUM(J729)-SUM(J661)))</f>
        <v/>
      </c>
      <c r="K730" s="421" t="str">
        <f>IF(K729="","",ABS(SUM(K729)-SUM(K661)))</f>
        <v/>
      </c>
      <c r="L730" s="421" t="str">
        <f>IF(L729="","",ABS(SUM(L729)-SUM(L661)))</f>
        <v/>
      </c>
      <c r="M730" s="421" t="str">
        <f>IF(M729="","",ABS(SUM(M729)-SUM(M661)))</f>
        <v/>
      </c>
      <c r="N730" s="967" t="str">
        <f>IF(N729="","",ABS(SUM(N729)-SUM(N661)))</f>
        <v/>
      </c>
      <c r="O730" s="19"/>
      <c r="P730" s="343"/>
      <c r="Q730" s="343"/>
      <c r="R730" s="343"/>
      <c r="S730" s="343"/>
      <c r="T730" s="343"/>
      <c r="U730" s="349"/>
      <c r="V730" s="349"/>
    </row>
    <row r="731" spans="1:22" s="534" customFormat="1" ht="12.75" customHeight="1" x14ac:dyDescent="0.3">
      <c r="A731" s="343"/>
      <c r="B731" s="15"/>
      <c r="C731" s="17"/>
      <c r="D731" s="1386"/>
      <c r="E731" s="1419" t="str">
        <f>Translations!$B$1582</f>
        <v>Kriterium 4e: Är skillnaden minst 100 utsläppsrätter?</v>
      </c>
      <c r="F731" s="514"/>
      <c r="G731" s="514"/>
      <c r="H731" s="1424" t="s">
        <v>1112</v>
      </c>
      <c r="I731" s="1425"/>
      <c r="J731" s="1426" t="str">
        <f>IF(J730="","",J730&gt;=100)</f>
        <v/>
      </c>
      <c r="K731" s="1427" t="str">
        <f>IF(K730="","",K730&gt;=100)</f>
        <v/>
      </c>
      <c r="L731" s="1427" t="str">
        <f>IF(L730="","",L730&gt;=100)</f>
        <v/>
      </c>
      <c r="M731" s="1427" t="str">
        <f>IF(M730="","",M730&gt;=100)</f>
        <v/>
      </c>
      <c r="N731" s="1428" t="str">
        <f>IF(N730="","",N730&gt;=100)</f>
        <v/>
      </c>
      <c r="O731" s="19"/>
      <c r="P731" s="165" t="str">
        <f>EUconst_CNTR_100EUA_VCM&amp;I668</f>
        <v>EUA100VCM_</v>
      </c>
      <c r="Q731" s="343"/>
      <c r="R731" s="343"/>
      <c r="S731" s="343"/>
      <c r="T731" s="343"/>
      <c r="U731" s="349"/>
      <c r="V731" s="349"/>
    </row>
    <row r="732" spans="1:22" s="534" customFormat="1" ht="5.15" customHeight="1" x14ac:dyDescent="0.3">
      <c r="A732" s="343"/>
      <c r="B732" s="15"/>
      <c r="C732" s="17"/>
      <c r="D732" s="1386"/>
      <c r="E732" s="15"/>
      <c r="F732" s="15"/>
      <c r="G732" s="15"/>
      <c r="H732" s="15"/>
      <c r="I732" s="941"/>
      <c r="J732" s="15"/>
      <c r="K732" s="15"/>
      <c r="L732" s="15"/>
      <c r="M732" s="15"/>
      <c r="N732" s="968"/>
      <c r="O732" s="19"/>
      <c r="P732" s="343"/>
      <c r="Q732" s="343"/>
      <c r="R732" s="343"/>
      <c r="S732" s="343"/>
      <c r="T732" s="343"/>
      <c r="U732" s="349"/>
      <c r="V732" s="349"/>
    </row>
    <row r="733" spans="1:22" s="534" customFormat="1" ht="12.75" customHeight="1" x14ac:dyDescent="0.3">
      <c r="A733" s="343"/>
      <c r="B733" s="15"/>
      <c r="C733" s="17"/>
      <c r="D733" s="1386"/>
      <c r="E733" s="42" t="str">
        <f>Translations!$B$1583</f>
        <v>Ändringar: Facklad restgas</v>
      </c>
      <c r="F733" s="188"/>
      <c r="G733" s="188"/>
      <c r="H733" s="30" t="str">
        <f>EUconst_Unit</f>
        <v>Enhet</v>
      </c>
      <c r="I733" s="1157"/>
      <c r="J733" s="1065">
        <f>J$2596</f>
        <v>2021</v>
      </c>
      <c r="K733" s="350">
        <f>K$2596</f>
        <v>2022</v>
      </c>
      <c r="L733" s="350">
        <f>L$2596</f>
        <v>2023</v>
      </c>
      <c r="M733" s="350">
        <f>M$2596</f>
        <v>2024</v>
      </c>
      <c r="N733" s="966">
        <f>N$2596</f>
        <v>2025</v>
      </c>
      <c r="O733" s="19"/>
      <c r="P733" s="343"/>
      <c r="Q733" s="343"/>
      <c r="R733" s="343"/>
      <c r="S733" s="343"/>
      <c r="T733" s="343"/>
      <c r="U733" s="349"/>
      <c r="V733" s="349"/>
    </row>
    <row r="734" spans="1:22" s="534" customFormat="1" ht="12.75" hidden="1" customHeight="1" x14ac:dyDescent="0.3">
      <c r="A734" s="343" t="str">
        <f t="shared" ref="A734:A742" si="79">IF(P734="","ausblenden","")</f>
        <v>ausblenden</v>
      </c>
      <c r="B734" s="15"/>
      <c r="C734" s="17"/>
      <c r="D734" s="1386"/>
      <c r="E734" s="514" t="s">
        <v>1918</v>
      </c>
      <c r="F734" s="514"/>
      <c r="G734" s="514"/>
      <c r="H734" s="917" t="str">
        <f>H720</f>
        <v>ton</v>
      </c>
      <c r="I734" s="514"/>
      <c r="J734" s="1152" t="str">
        <f>J655</f>
        <v/>
      </c>
      <c r="K734" s="943" t="str">
        <f t="shared" ref="K734:K735" si="80">J750</f>
        <v/>
      </c>
      <c r="L734" s="943" t="str">
        <f t="shared" ref="L734:L735" si="81">K750</f>
        <v/>
      </c>
      <c r="M734" s="943" t="str">
        <f t="shared" ref="M734:M735" si="82">L750</f>
        <v/>
      </c>
      <c r="N734" s="1389" t="str">
        <f t="shared" ref="N734:N735" si="83">M750</f>
        <v/>
      </c>
      <c r="O734" s="19"/>
      <c r="P734" s="343"/>
      <c r="Q734" s="343"/>
      <c r="R734" s="343"/>
      <c r="S734" s="343"/>
      <c r="T734" s="343"/>
      <c r="U734" s="349"/>
      <c r="V734" s="349"/>
    </row>
    <row r="735" spans="1:22" s="534" customFormat="1" ht="12.75" hidden="1" customHeight="1" x14ac:dyDescent="0.3">
      <c r="A735" s="343" t="str">
        <f t="shared" si="79"/>
        <v>ausblenden</v>
      </c>
      <c r="B735" s="15"/>
      <c r="C735" s="17"/>
      <c r="D735" s="1386"/>
      <c r="E735" s="944" t="s">
        <v>339</v>
      </c>
      <c r="F735" s="944"/>
      <c r="G735" s="944"/>
      <c r="H735" s="954" t="str">
        <f>EUconst_EUA</f>
        <v>EUA</v>
      </c>
      <c r="I735" s="945"/>
      <c r="J735" s="1209" t="str">
        <f>J656</f>
        <v/>
      </c>
      <c r="K735" s="1210" t="str">
        <f t="shared" si="80"/>
        <v/>
      </c>
      <c r="L735" s="1210" t="str">
        <f t="shared" si="81"/>
        <v/>
      </c>
      <c r="M735" s="1210" t="str">
        <f t="shared" si="82"/>
        <v/>
      </c>
      <c r="N735" s="1390" t="str">
        <f t="shared" si="83"/>
        <v/>
      </c>
      <c r="O735" s="19"/>
      <c r="P735" s="343"/>
      <c r="Q735" s="343"/>
      <c r="R735" s="343"/>
      <c r="S735" s="343"/>
      <c r="T735" s="343"/>
      <c r="U735" s="349"/>
      <c r="V735" s="349"/>
    </row>
    <row r="736" spans="1:22" s="534" customFormat="1" ht="12.75" customHeight="1" x14ac:dyDescent="0.3">
      <c r="A736" s="343"/>
      <c r="B736" s="15"/>
      <c r="C736" s="17"/>
      <c r="D736" s="1386"/>
      <c r="E736" s="944" t="str">
        <f>Translations!$B$1482</f>
        <v>Genomsnittligt årligt värde</v>
      </c>
      <c r="F736" s="944"/>
      <c r="G736" s="944"/>
      <c r="H736" s="627" t="str">
        <f>EUconst_tCO2</f>
        <v>t CO2</v>
      </c>
      <c r="I736" s="945"/>
      <c r="J736" s="1161" t="str">
        <f>INDEX(F_ProductBM!J:J,MATCH($P736,F_ProductBM!$Q:$Q,0))</f>
        <v/>
      </c>
      <c r="K736" s="946" t="str">
        <f>INDEX(F_ProductBM!K:K,MATCH($P736,F_ProductBM!$Q:$Q,0))</f>
        <v/>
      </c>
      <c r="L736" s="946" t="str">
        <f>INDEX(F_ProductBM!L:L,MATCH($P736,F_ProductBM!$Q:$Q,0))</f>
        <v/>
      </c>
      <c r="M736" s="946" t="str">
        <f>INDEX(F_ProductBM!M:M,MATCH($P736,F_ProductBM!$Q:$Q,0))</f>
        <v/>
      </c>
      <c r="N736" s="1046" t="str">
        <f>INDEX(F_ProductBM!N:N,MATCH($P736,F_ProductBM!$Q:$Q,0))</f>
        <v/>
      </c>
      <c r="O736" s="19"/>
      <c r="P736" s="165" t="str">
        <f>EUconst_CNTR_HALinitial &amp; EUconst_CNTR_WGFlared &amp; I641</f>
        <v>HALini_WasteGasFlare_</v>
      </c>
      <c r="Q736" s="343"/>
      <c r="R736" s="343"/>
      <c r="S736" s="343"/>
      <c r="T736" s="343"/>
      <c r="U736" s="349"/>
      <c r="V736" s="349"/>
    </row>
    <row r="737" spans="1:22" s="534" customFormat="1" ht="12.75" customHeight="1" x14ac:dyDescent="0.3">
      <c r="A737" s="343"/>
      <c r="B737" s="15"/>
      <c r="C737" s="17"/>
      <c r="D737" s="1386"/>
      <c r="E737" s="947" t="str">
        <f>Translations!$B$1571</f>
        <v>Ändring jämfört med värde enligt nationella genomförandeåtgärder</v>
      </c>
      <c r="F737" s="947"/>
      <c r="G737" s="947"/>
      <c r="H737" s="1442" t="s">
        <v>1112</v>
      </c>
      <c r="I737" s="1371"/>
      <c r="J737" s="1415" t="str">
        <f>INDEX(F_ProductBM!J:J,MATCH($P737,F_ProductBM!$Q:$Q,0))</f>
        <v/>
      </c>
      <c r="K737" s="1416" t="str">
        <f>INDEX(F_ProductBM!K:K,MATCH($P737,F_ProductBM!$Q:$Q,0))</f>
        <v/>
      </c>
      <c r="L737" s="1416" t="str">
        <f>INDEX(F_ProductBM!L:L,MATCH($P737,F_ProductBM!$Q:$Q,0))</f>
        <v/>
      </c>
      <c r="M737" s="1416" t="str">
        <f>INDEX(F_ProductBM!M:M,MATCH($P737,F_ProductBM!$Q:$Q,0))</f>
        <v/>
      </c>
      <c r="N737" s="1417" t="str">
        <f>INDEX(F_ProductBM!N:N,MATCH($P737,F_ProductBM!$Q:$Q,0))</f>
        <v/>
      </c>
      <c r="O737" s="19"/>
      <c r="P737" s="165" t="str">
        <f>EUconst_CNTR_RelThreshold &amp; P739</f>
        <v>RelThresh_HALprelim_WasteGasFlare_</v>
      </c>
      <c r="Q737" s="343"/>
      <c r="R737" s="343"/>
      <c r="S737" s="343"/>
      <c r="T737" s="343"/>
      <c r="U737" s="349"/>
      <c r="V737" s="349"/>
    </row>
    <row r="738" spans="1:22" s="534" customFormat="1" ht="12.75" customHeight="1" x14ac:dyDescent="0.3">
      <c r="A738" s="343"/>
      <c r="B738" s="15"/>
      <c r="C738" s="17"/>
      <c r="D738" s="1386"/>
      <c r="E738" s="1418" t="str">
        <f>Translations!$B$1584</f>
        <v>Kriterium 3f: Har relativa tröskelvärden överskridits?</v>
      </c>
      <c r="F738" s="1418"/>
      <c r="G738" s="1418"/>
      <c r="H738" s="1444" t="s">
        <v>1112</v>
      </c>
      <c r="I738" s="1423"/>
      <c r="J738" s="1420" t="str">
        <f>INDEX(F_ProductBM!V:V,MATCH($P738,F_ProductBM!$Q:$Q,0))</f>
        <v/>
      </c>
      <c r="K738" s="1421" t="str">
        <f>INDEX(F_ProductBM!W:W,MATCH($P738,F_ProductBM!$Q:$Q,0))</f>
        <v/>
      </c>
      <c r="L738" s="1421" t="str">
        <f>INDEX(F_ProductBM!X:X,MATCH($P738,F_ProductBM!$Q:$Q,0))</f>
        <v/>
      </c>
      <c r="M738" s="1421" t="str">
        <f>INDEX(F_ProductBM!Y:Y,MATCH($P738,F_ProductBM!$Q:$Q,0))</f>
        <v/>
      </c>
      <c r="N738" s="1422" t="str">
        <f>INDEX(F_ProductBM!Z:Z,MATCH($P738,F_ProductBM!$Q:$Q,0))</f>
        <v/>
      </c>
      <c r="O738" s="19"/>
      <c r="P738" s="165" t="str">
        <f>P737</f>
        <v>RelThresh_HALprelim_WasteGasFlare_</v>
      </c>
      <c r="Q738" s="343"/>
      <c r="R738" s="343"/>
      <c r="S738" s="343"/>
      <c r="T738" s="343"/>
      <c r="U738" s="349"/>
      <c r="V738" s="349"/>
    </row>
    <row r="739" spans="1:22" s="534" customFormat="1" ht="12.75" customHeight="1" x14ac:dyDescent="0.3">
      <c r="A739" s="343" t="str">
        <f t="shared" si="79"/>
        <v/>
      </c>
      <c r="B739" s="15"/>
      <c r="C739" s="17"/>
      <c r="D739" s="1386"/>
      <c r="E739" s="950" t="str">
        <f>Translations!$B$1568</f>
        <v>Preliminärt värde</v>
      </c>
      <c r="F739" s="950"/>
      <c r="G739" s="950"/>
      <c r="H739" s="957" t="str">
        <f>EUconst_tCO2</f>
        <v>t CO2</v>
      </c>
      <c r="I739" s="951"/>
      <c r="J739" s="1373" t="str">
        <f>IF(OR($I641="",CNTR_SubPeriod=1),"",INDEX(F_ProductBM!J:J,MATCH($P739,F_ProductBM!$Q:$Q,0)))</f>
        <v/>
      </c>
      <c r="K739" s="1374" t="str">
        <f>IF(OR($I641="",CNTR_SubPeriod=1),"",INDEX(F_ProductBM!K:K,MATCH($P739,F_ProductBM!$Q:$Q,0)))</f>
        <v/>
      </c>
      <c r="L739" s="1374" t="str">
        <f>IF(OR($I641="",CNTR_SubPeriod=1),"",INDEX(F_ProductBM!L:L,MATCH($P739,F_ProductBM!$Q:$Q,0)))</f>
        <v/>
      </c>
      <c r="M739" s="1374" t="str">
        <f>IF(OR($I641="",CNTR_SubPeriod=1),"",INDEX(F_ProductBM!M:M,MATCH($P739,F_ProductBM!$Q:$Q,0)))</f>
        <v/>
      </c>
      <c r="N739" s="1395" t="str">
        <f>IF(OR($I641="",CNTR_SubPeriod=1),"",INDEX(F_ProductBM!N:N,MATCH($P739,F_ProductBM!$Q:$Q,0)))</f>
        <v/>
      </c>
      <c r="O739" s="19"/>
      <c r="P739" s="165" t="str">
        <f>EUconst_CNTR_HALprelim&amp;EUconst_CNTR_WGFlared&amp;$I641</f>
        <v>HALprelim_WasteGasFlare_</v>
      </c>
      <c r="Q739" s="343"/>
      <c r="R739" s="343"/>
      <c r="S739" s="343"/>
      <c r="T739" s="343"/>
      <c r="U739" s="349"/>
      <c r="V739" s="349"/>
    </row>
    <row r="740" spans="1:22" s="534" customFormat="1" ht="12.75" hidden="1" customHeight="1" x14ac:dyDescent="0.3">
      <c r="A740" s="343" t="str">
        <f t="shared" si="79"/>
        <v>ausblenden</v>
      </c>
      <c r="B740" s="15"/>
      <c r="C740" s="17"/>
      <c r="D740" s="1386"/>
      <c r="E740" s="947" t="s">
        <v>1527</v>
      </c>
      <c r="F740" s="947"/>
      <c r="G740" s="947"/>
      <c r="H740" s="955" t="str">
        <f>EUconst_EUA</f>
        <v>EUA</v>
      </c>
      <c r="I740" s="948"/>
      <c r="J740" s="1165" t="str">
        <f>J658</f>
        <v/>
      </c>
      <c r="K740" s="975" t="str">
        <f t="shared" ref="K740:K742" si="84">J753</f>
        <v/>
      </c>
      <c r="L740" s="975" t="str">
        <f t="shared" ref="L740:L742" si="85">K753</f>
        <v/>
      </c>
      <c r="M740" s="975" t="str">
        <f t="shared" ref="M740:M742" si="86">L753</f>
        <v/>
      </c>
      <c r="N740" s="1391" t="str">
        <f t="shared" ref="N740:N742" si="87">M753</f>
        <v/>
      </c>
      <c r="O740" s="19"/>
      <c r="P740" s="343"/>
      <c r="Q740" s="343"/>
      <c r="R740" s="343"/>
      <c r="S740" s="343"/>
      <c r="T740" s="343"/>
      <c r="U740" s="349"/>
      <c r="V740" s="349"/>
    </row>
    <row r="741" spans="1:22" s="534" customFormat="1" ht="12.75" hidden="1" customHeight="1" x14ac:dyDescent="0.3">
      <c r="A741" s="343" t="str">
        <f t="shared" si="79"/>
        <v>ausblenden</v>
      </c>
      <c r="B741" s="15"/>
      <c r="C741" s="17"/>
      <c r="D741" s="1386"/>
      <c r="E741" s="947" t="s">
        <v>1526</v>
      </c>
      <c r="F741" s="947"/>
      <c r="G741" s="947"/>
      <c r="H741" s="956" t="s">
        <v>1112</v>
      </c>
      <c r="I741" s="948"/>
      <c r="J741" s="1211" t="str">
        <f>J659</f>
        <v/>
      </c>
      <c r="K741" s="1212" t="str">
        <f t="shared" si="84"/>
        <v/>
      </c>
      <c r="L741" s="1212" t="str">
        <f t="shared" si="85"/>
        <v/>
      </c>
      <c r="M741" s="1212" t="str">
        <f t="shared" si="86"/>
        <v/>
      </c>
      <c r="N741" s="1392" t="str">
        <f t="shared" si="87"/>
        <v/>
      </c>
      <c r="O741" s="19"/>
      <c r="P741" s="343"/>
      <c r="Q741" s="343"/>
      <c r="R741" s="343"/>
      <c r="S741" s="343"/>
      <c r="T741" s="343"/>
      <c r="U741" s="349"/>
      <c r="V741" s="349"/>
    </row>
    <row r="742" spans="1:22" s="534" customFormat="1" ht="12.75" hidden="1" customHeight="1" x14ac:dyDescent="0.3">
      <c r="A742" s="343" t="str">
        <f t="shared" si="79"/>
        <v>ausblenden</v>
      </c>
      <c r="B742" s="15"/>
      <c r="C742" s="17"/>
      <c r="D742" s="1386"/>
      <c r="E742" s="950" t="s">
        <v>1528</v>
      </c>
      <c r="F742" s="950"/>
      <c r="G742" s="950"/>
      <c r="H742" s="957" t="s">
        <v>1112</v>
      </c>
      <c r="I742" s="951"/>
      <c r="J742" s="1213" t="str">
        <f>J660</f>
        <v/>
      </c>
      <c r="K742" s="1214" t="str">
        <f t="shared" si="84"/>
        <v/>
      </c>
      <c r="L742" s="1214" t="str">
        <f t="shared" si="85"/>
        <v/>
      </c>
      <c r="M742" s="1214" t="str">
        <f t="shared" si="86"/>
        <v/>
      </c>
      <c r="N742" s="1393" t="str">
        <f t="shared" si="87"/>
        <v/>
      </c>
      <c r="O742" s="19"/>
      <c r="P742" s="343"/>
      <c r="Q742" s="343"/>
      <c r="R742" s="343"/>
      <c r="S742" s="343"/>
      <c r="T742" s="343"/>
      <c r="U742" s="349"/>
      <c r="V742" s="349"/>
    </row>
    <row r="743" spans="1:22" s="534" customFormat="1" ht="12.75" customHeight="1" x14ac:dyDescent="0.3">
      <c r="A743" s="343"/>
      <c r="B743" s="15"/>
      <c r="C743" s="17"/>
      <c r="D743" s="1386"/>
      <c r="E743" s="514" t="str">
        <f>Translations!$B$1565</f>
        <v>Preliminärt tilldelningsvärde</v>
      </c>
      <c r="F743" s="514"/>
      <c r="G743" s="514"/>
      <c r="H743" s="129" t="str">
        <f>EUconst_EUA</f>
        <v>EUA</v>
      </c>
      <c r="I743" s="1151"/>
      <c r="J743" s="1131" t="str">
        <f>IF(J739="","",MAX(0,ROUND((SUM($M644)*SUM(J734)*SUM(J741)*SUM(J742)-SUM(J735)-SUM(J739)+SUM(J740))*IF($H644=TRUE,1,J$2517),0)))</f>
        <v/>
      </c>
      <c r="K743" s="421" t="str">
        <f>IF(K739="","",MAX(0,ROUND((SUM($M644)*SUM(K734)*SUM(K741)*SUM(K742)-SUM(K735)-SUM(K739)+SUM(K740))*IF($H644=TRUE,1,K$2517),0)))</f>
        <v/>
      </c>
      <c r="L743" s="421" t="str">
        <f>IF(L739="","",MAX(0,ROUND((SUM($M644)*SUM(L734)*SUM(L741)*SUM(L742)-SUM(L735)-SUM(L739)+SUM(L740))*IF($H644=TRUE,1,L$2517),0)))</f>
        <v/>
      </c>
      <c r="M743" s="421" t="str">
        <f>IF(M739="","",MAX(0,ROUND((SUM($M644)*SUM(M734)*SUM(M741)*SUM(M742)-SUM(M735)-SUM(M739)+SUM(M740))*IF($H644=TRUE,1,M$2517),0)))</f>
        <v/>
      </c>
      <c r="N743" s="967" t="str">
        <f>IF(N739="","",MAX(0,ROUND((SUM($M644)*SUM(N734)*SUM(N741)*SUM(N742)-SUM(N735)-SUM(N739)+SUM(N740))*IF($H644=TRUE,1,N$2517),0)))</f>
        <v/>
      </c>
      <c r="O743" s="19"/>
      <c r="P743" s="343"/>
      <c r="Q743" s="343"/>
      <c r="R743" s="343"/>
      <c r="S743" s="343"/>
      <c r="T743" s="343"/>
      <c r="U743" s="349"/>
      <c r="V743" s="349"/>
    </row>
    <row r="744" spans="1:22" s="534" customFormat="1" ht="12.75" customHeight="1" x14ac:dyDescent="0.3">
      <c r="A744" s="343"/>
      <c r="B744" s="15"/>
      <c r="C744" s="17"/>
      <c r="D744" s="1386"/>
      <c r="E744" s="514" t="str">
        <f>Translations!$B$1569</f>
        <v>Skillnad i tilldelning</v>
      </c>
      <c r="F744" s="514"/>
      <c r="G744" s="514"/>
      <c r="H744" s="129" t="str">
        <f>EUconst_EUA</f>
        <v>EUA</v>
      </c>
      <c r="I744" s="1151"/>
      <c r="J744" s="1131" t="str">
        <f>IF(J743="","",ABS(SUM(J743)-SUM(J661)))</f>
        <v/>
      </c>
      <c r="K744" s="421" t="str">
        <f>IF(K743="","",ABS(SUM(K743)-SUM(K661)))</f>
        <v/>
      </c>
      <c r="L744" s="421" t="str">
        <f>IF(L743="","",ABS(SUM(L743)-SUM(L661)))</f>
        <v/>
      </c>
      <c r="M744" s="421" t="str">
        <f>IF(M743="","",ABS(SUM(M743)-SUM(M661)))</f>
        <v/>
      </c>
      <c r="N744" s="967" t="str">
        <f>IF(N743="","",ABS(SUM(N743)-SUM(N661)))</f>
        <v/>
      </c>
      <c r="O744" s="19"/>
      <c r="P744" s="343"/>
      <c r="Q744" s="343"/>
      <c r="R744" s="343"/>
      <c r="S744" s="343"/>
      <c r="T744" s="343"/>
      <c r="U744" s="349"/>
      <c r="V744" s="349"/>
    </row>
    <row r="745" spans="1:22" s="534" customFormat="1" ht="12.75" customHeight="1" x14ac:dyDescent="0.3">
      <c r="A745" s="343"/>
      <c r="B745" s="15"/>
      <c r="C745" s="17"/>
      <c r="D745" s="1386"/>
      <c r="E745" s="1419" t="str">
        <f>Translations!$B$1585</f>
        <v>Kriterium 4f: Är skillnaden minst 100 utsläppsrätter?</v>
      </c>
      <c r="F745" s="514"/>
      <c r="G745" s="514"/>
      <c r="H745" s="1424" t="s">
        <v>1112</v>
      </c>
      <c r="I745" s="1425"/>
      <c r="J745" s="1426" t="str">
        <f>IF(J744="","",J744&gt;=100)</f>
        <v/>
      </c>
      <c r="K745" s="1427" t="str">
        <f>IF(K744="","",K744&gt;=100)</f>
        <v/>
      </c>
      <c r="L745" s="1427" t="str">
        <f>IF(L744="","",L744&gt;=100)</f>
        <v/>
      </c>
      <c r="M745" s="1427" t="str">
        <f>IF(M744="","",M744&gt;=100)</f>
        <v/>
      </c>
      <c r="N745" s="1428" t="str">
        <f>IF(N744="","",N744&gt;=100)</f>
        <v/>
      </c>
      <c r="O745" s="19"/>
      <c r="P745" s="165" t="str">
        <f>EUconst_CNTR_100EUA_WGFlare&amp;I641</f>
        <v>EUA100WGFlare_</v>
      </c>
      <c r="Q745" s="343"/>
      <c r="R745" s="343"/>
      <c r="S745" s="343"/>
      <c r="T745" s="343"/>
      <c r="U745" s="349"/>
      <c r="V745" s="349"/>
    </row>
    <row r="746" spans="1:22" s="534" customFormat="1" ht="12.75" customHeight="1" thickBot="1" x14ac:dyDescent="0.35">
      <c r="A746" s="343"/>
      <c r="B746" s="15"/>
      <c r="C746" s="17"/>
      <c r="D746" s="1398"/>
      <c r="E746" s="973"/>
      <c r="F746" s="973"/>
      <c r="G746" s="973"/>
      <c r="H746" s="973"/>
      <c r="I746" s="1399"/>
      <c r="J746" s="973"/>
      <c r="K746" s="973"/>
      <c r="L746" s="973"/>
      <c r="M746" s="973"/>
      <c r="N746" s="974"/>
      <c r="O746" s="19"/>
      <c r="P746" s="343"/>
      <c r="Q746" s="343"/>
      <c r="R746" s="343"/>
      <c r="S746" s="343"/>
      <c r="T746" s="343"/>
      <c r="U746" s="349"/>
      <c r="V746" s="349"/>
    </row>
    <row r="747" spans="1:22" s="534" customFormat="1" ht="5.15" customHeight="1" thickBot="1" x14ac:dyDescent="0.35">
      <c r="A747" s="343"/>
      <c r="B747" s="15"/>
      <c r="C747" s="17"/>
      <c r="D747" s="17"/>
      <c r="E747" s="15"/>
      <c r="F747" s="15"/>
      <c r="G747" s="15"/>
      <c r="H747" s="15"/>
      <c r="I747" s="941"/>
      <c r="J747" s="15"/>
      <c r="K747" s="15"/>
      <c r="L747" s="15"/>
      <c r="M747" s="15"/>
      <c r="N747" s="15"/>
      <c r="O747" s="19"/>
      <c r="P747" s="343"/>
      <c r="Q747" s="343"/>
      <c r="R747" s="343"/>
      <c r="S747" s="343"/>
      <c r="T747" s="343"/>
      <c r="U747" s="349"/>
      <c r="V747" s="349"/>
    </row>
    <row r="748" spans="1:22" s="534" customFormat="1" ht="5.15" customHeight="1" x14ac:dyDescent="0.25">
      <c r="A748" s="343"/>
      <c r="B748" s="15"/>
      <c r="C748" s="15"/>
      <c r="D748" s="961"/>
      <c r="E748" s="962"/>
      <c r="F748" s="962"/>
      <c r="G748" s="962"/>
      <c r="H748" s="962"/>
      <c r="I748" s="963"/>
      <c r="J748" s="962"/>
      <c r="K748" s="962"/>
      <c r="L748" s="962"/>
      <c r="M748" s="962"/>
      <c r="N748" s="964"/>
      <c r="O748" s="19"/>
      <c r="P748" s="343"/>
      <c r="Q748" s="343"/>
      <c r="R748" s="343"/>
      <c r="S748" s="343"/>
      <c r="T748" s="7"/>
      <c r="U748" s="349"/>
      <c r="V748" s="349"/>
    </row>
    <row r="749" spans="1:22" s="534" customFormat="1" ht="13" x14ac:dyDescent="0.25">
      <c r="A749" s="343"/>
      <c r="B749" s="15"/>
      <c r="C749" s="15"/>
      <c r="D749" s="965"/>
      <c r="E749" s="39" t="str">
        <f>Translations!$B$1586</f>
        <v>Faktiska använda värden</v>
      </c>
      <c r="F749" s="15"/>
      <c r="G749" s="15"/>
      <c r="H749" s="30" t="str">
        <f>EUconst_Unit</f>
        <v>Enhet</v>
      </c>
      <c r="I749" s="1614" t="str">
        <f>Translations!$B$1510</f>
        <v>Basvärde</v>
      </c>
      <c r="J749" s="1065">
        <f>J$2596</f>
        <v>2021</v>
      </c>
      <c r="K749" s="350">
        <f>K$2596</f>
        <v>2022</v>
      </c>
      <c r="L749" s="350">
        <f>L$2596</f>
        <v>2023</v>
      </c>
      <c r="M749" s="350">
        <f>M$2596</f>
        <v>2024</v>
      </c>
      <c r="N749" s="966">
        <f>N$2596</f>
        <v>2025</v>
      </c>
      <c r="O749" s="19"/>
      <c r="P749" s="343"/>
      <c r="Q749" s="343"/>
      <c r="R749" s="343"/>
      <c r="S749" s="297" t="s">
        <v>1846</v>
      </c>
      <c r="T749" s="7"/>
      <c r="U749" s="349"/>
      <c r="V749" s="349"/>
    </row>
    <row r="750" spans="1:22" s="534" customFormat="1" x14ac:dyDescent="0.25">
      <c r="A750" s="343"/>
      <c r="B750" s="15"/>
      <c r="C750" s="15"/>
      <c r="D750" s="965"/>
      <c r="E750" s="944" t="str">
        <f>Translations!$B$1587</f>
        <v>Verksamhetsnivå</v>
      </c>
      <c r="F750" s="944"/>
      <c r="G750" s="944"/>
      <c r="H750" s="1443" t="str">
        <f>H734</f>
        <v>ton</v>
      </c>
      <c r="I750" s="1615" t="str">
        <f>IF($I641="","",IF(T756&gt;=$H$2595,0,S750))</f>
        <v/>
      </c>
      <c r="J750" s="1161" t="str">
        <f>IF($I641="","",INDEX(F_ProductBM!J:J,MATCH($P750,F_ProductBM!$Q:$Q,0)))</f>
        <v/>
      </c>
      <c r="K750" s="946" t="str">
        <f>IF($I641="","",INDEX(F_ProductBM!K:K,MATCH($P750,F_ProductBM!$Q:$Q,0)))</f>
        <v/>
      </c>
      <c r="L750" s="946" t="str">
        <f>IF($I641="","",INDEX(F_ProductBM!L:L,MATCH($P750,F_ProductBM!$Q:$Q,0)))</f>
        <v/>
      </c>
      <c r="M750" s="946" t="str">
        <f>IF($I641="","",INDEX(F_ProductBM!M:M,MATCH($P750,F_ProductBM!$Q:$Q,0)))</f>
        <v/>
      </c>
      <c r="N750" s="1046" t="str">
        <f>IF($I641="","",INDEX(F_ProductBM!N:N,MATCH($P750,F_ProductBM!$Q:$Q,0)))</f>
        <v/>
      </c>
      <c r="O750" s="19"/>
      <c r="P750" s="165" t="str">
        <f>EUconst_CNTR_HALfinal&amp;I641</f>
        <v>HALfinal_</v>
      </c>
      <c r="Q750" s="343"/>
      <c r="R750" s="343"/>
      <c r="S750" s="1691" t="str">
        <f>IF($I641="","",INDEX(F_ProductBM!I:I,MATCH($P750,F_ProductBM!$Q:$Q,0)))</f>
        <v/>
      </c>
      <c r="T750" s="7"/>
      <c r="U750" s="349"/>
      <c r="V750" s="349"/>
    </row>
    <row r="751" spans="1:22" s="534" customFormat="1" x14ac:dyDescent="0.25">
      <c r="A751" s="343"/>
      <c r="B751" s="15"/>
      <c r="C751" s="15"/>
      <c r="D751" s="965"/>
      <c r="E751" s="1376" t="str">
        <f>Translations!$B$1036</f>
        <v>Värme utanför ETS</v>
      </c>
      <c r="F751" s="1376"/>
      <c r="G751" s="1376"/>
      <c r="H751" s="1429" t="str">
        <f>EUconst_EUA</f>
        <v>EUA</v>
      </c>
      <c r="I751" s="1616" t="str">
        <f>IF($I641="","",IF(YEAR(J644)&gt;=$H$2595-1,0,S751))</f>
        <v/>
      </c>
      <c r="J751" s="1430" t="str">
        <f>IF($I641="","",INDEX(F_ProductBM!J:J,MATCH($P751,F_ProductBM!$Q:$Q,0)))</f>
        <v/>
      </c>
      <c r="K751" s="1431" t="str">
        <f>IF($I641="","",INDEX(F_ProductBM!K:K,MATCH($P751,F_ProductBM!$Q:$Q,0)))</f>
        <v/>
      </c>
      <c r="L751" s="1431" t="str">
        <f>IF($I641="","",INDEX(F_ProductBM!L:L,MATCH($P751,F_ProductBM!$Q:$Q,0)))</f>
        <v/>
      </c>
      <c r="M751" s="1431" t="str">
        <f>IF($I641="","",INDEX(F_ProductBM!M:M,MATCH($P751,F_ProductBM!$Q:$Q,0)))</f>
        <v/>
      </c>
      <c r="N751" s="1432" t="str">
        <f>IF($I641="","",INDEX(F_ProductBM!N:N,MATCH($P751,F_ProductBM!$Q:$Q,0)))</f>
        <v/>
      </c>
      <c r="O751" s="19"/>
      <c r="P751" s="165" t="str">
        <f>EUconst_CNTR_HEATfinal&amp;I641</f>
        <v>HEATfinal_</v>
      </c>
      <c r="Q751" s="343"/>
      <c r="R751" s="343"/>
      <c r="S751" s="1692" t="str">
        <f>IF($I641="","",INDEX(F_ProductBM!I:I,MATCH($P751,F_ProductBM!$Q:$Q,0)))</f>
        <v/>
      </c>
      <c r="T751" s="7"/>
      <c r="U751" s="349"/>
      <c r="V751" s="349"/>
    </row>
    <row r="752" spans="1:22" s="534" customFormat="1" x14ac:dyDescent="0.25">
      <c r="A752" s="343"/>
      <c r="B752" s="15"/>
      <c r="C752" s="15"/>
      <c r="D752" s="965"/>
      <c r="E752" s="947" t="str">
        <f>Translations!$B$1038</f>
        <v>Wgfacklad</v>
      </c>
      <c r="F752" s="947"/>
      <c r="G752" s="947"/>
      <c r="H752" s="955" t="str">
        <f>EUconst_EUA</f>
        <v>EUA</v>
      </c>
      <c r="I752" s="1617" t="str">
        <f>IF($I641="","",IF(T756&gt;=$H$2595,0,S752))</f>
        <v/>
      </c>
      <c r="J752" s="1162" t="str">
        <f>IF($I641="","",INDEX(F_ProductBM!J:J,MATCH($P752,F_ProductBM!$Q:$Q,0)))</f>
        <v/>
      </c>
      <c r="K752" s="949" t="str">
        <f>IF($I641="","",INDEX(F_ProductBM!K:K,MATCH($P752,F_ProductBM!$Q:$Q,0)))</f>
        <v/>
      </c>
      <c r="L752" s="949" t="str">
        <f>IF($I641="","",INDEX(F_ProductBM!L:L,MATCH($P752,F_ProductBM!$Q:$Q,0)))</f>
        <v/>
      </c>
      <c r="M752" s="949" t="str">
        <f>IF($I641="","",INDEX(F_ProductBM!M:M,MATCH($P752,F_ProductBM!$Q:$Q,0)))</f>
        <v/>
      </c>
      <c r="N752" s="969" t="str">
        <f>IF($I641="","",INDEX(F_ProductBM!N:N,MATCH($P752,F_ProductBM!$Q:$Q,0)))</f>
        <v/>
      </c>
      <c r="O752" s="19"/>
      <c r="P752" s="165" t="str">
        <f>EUconst_CNTR_HALfinal&amp;EUconst_CNTR_WGFlared&amp;$I641</f>
        <v>HALfinal_WasteGasFlare_</v>
      </c>
      <c r="Q752" s="343"/>
      <c r="R752" s="343"/>
      <c r="S752" s="1693" t="str">
        <f>IF($I641="","",INDEX(F_ProductBM!I:I,MATCH($P752,F_ProductBM!$Q:$Q,0)))</f>
        <v/>
      </c>
      <c r="T752" s="7"/>
      <c r="U752" s="349"/>
      <c r="V752" s="349"/>
    </row>
    <row r="753" spans="1:22" s="534" customFormat="1" x14ac:dyDescent="0.25">
      <c r="A753" s="343"/>
      <c r="B753" s="15"/>
      <c r="C753" s="15"/>
      <c r="D753" s="965"/>
      <c r="E753" s="947" t="s">
        <v>1527</v>
      </c>
      <c r="F753" s="947"/>
      <c r="G753" s="947"/>
      <c r="H753" s="955" t="str">
        <f>EUconst_EUA</f>
        <v>EUA</v>
      </c>
      <c r="I753" s="1617" t="str">
        <f>IF($I641="","",IF(T756&gt;=$H$2595,0,IF(L644=42,S753,0)))</f>
        <v/>
      </c>
      <c r="J753" s="1162" t="str">
        <f>IF($I641="","",IF($L644=42,INDEX(H_SpecialBM!J:J,MATCH($P753,H_SpecialBM!$Q:$Q,0)),0))</f>
        <v/>
      </c>
      <c r="K753" s="949" t="str">
        <f>IF($I641="","",IF($L644=42,INDEX(H_SpecialBM!K:K,MATCH($P753,H_SpecialBM!$Q:$Q,0)),0))</f>
        <v/>
      </c>
      <c r="L753" s="949" t="str">
        <f>IF($I641="","",IF($L644=42,INDEX(H_SpecialBM!L:L,MATCH($P753,H_SpecialBM!$Q:$Q,0)),0))</f>
        <v/>
      </c>
      <c r="M753" s="949" t="str">
        <f>IF($I641="","",IF($L644=42,INDEX(H_SpecialBM!M:M,MATCH($P753,H_SpecialBM!$Q:$Q,0)),0))</f>
        <v/>
      </c>
      <c r="N753" s="969" t="str">
        <f>IF($I641="","",IF($L644=42,INDEX(H_SpecialBM!N:N,MATCH($P753,H_SpecialBM!$Q:$Q,0)),0))</f>
        <v/>
      </c>
      <c r="O753" s="19"/>
      <c r="P753" s="165" t="str">
        <f>EUconst_CNTR_HVCfinal</f>
        <v>HVCfinal_</v>
      </c>
      <c r="Q753" s="343"/>
      <c r="R753" s="343"/>
      <c r="S753" s="1693" t="str">
        <f>IF($I641="","",IF(L644=42,INDEX(H_SpecialBM!I:I,MATCH($P753,H_SpecialBM!$Q:$Q,0)),0))</f>
        <v/>
      </c>
      <c r="T753" s="7"/>
      <c r="U753" s="349"/>
      <c r="V753" s="349"/>
    </row>
    <row r="754" spans="1:22" s="534" customFormat="1" x14ac:dyDescent="0.25">
      <c r="A754" s="343"/>
      <c r="B754" s="15"/>
      <c r="C754" s="15"/>
      <c r="D754" s="965"/>
      <c r="E754" s="947" t="s">
        <v>1526</v>
      </c>
      <c r="F754" s="947"/>
      <c r="G754" s="947"/>
      <c r="H754" s="956" t="s">
        <v>1112</v>
      </c>
      <c r="I754" s="1618" t="str">
        <f>IF(AND($I641&lt;&gt;"",$I644=TRUE),IF(T756&gt;=$H$2595,1,S754),IF($I641="","",1))</f>
        <v/>
      </c>
      <c r="J754" s="1163" t="str">
        <f>IF(AND($I641&lt;&gt;"",$I644=TRUE),INDEX(F_ProductBM!J:J,MATCH($P754,F_ProductBM!$Q:$Q,0)),IF($I641="","",1))</f>
        <v/>
      </c>
      <c r="K754" s="959" t="str">
        <f>IF(AND($I641&lt;&gt;"",$I644=TRUE),INDEX(F_ProductBM!K:K,MATCH($P754,F_ProductBM!$Q:$Q,0)),IF($I641="","",1))</f>
        <v/>
      </c>
      <c r="L754" s="959" t="str">
        <f>IF(AND($I641&lt;&gt;"",$I644=TRUE),INDEX(F_ProductBM!L:L,MATCH($P754,F_ProductBM!$Q:$Q,0)),IF($I641="","",1))</f>
        <v/>
      </c>
      <c r="M754" s="959" t="str">
        <f>IF(AND($I641&lt;&gt;"",$I644=TRUE),INDEX(F_ProductBM!M:M,MATCH($P754,F_ProductBM!$Q:$Q,0)),IF($I641="","",1))</f>
        <v/>
      </c>
      <c r="N754" s="970" t="str">
        <f>IF(AND($I641&lt;&gt;"",$I644=TRUE),INDEX(F_ProductBM!N:N,MATCH($P754,F_ProductBM!$Q:$Q,0)),IF($I641="","",1))</f>
        <v/>
      </c>
      <c r="O754" s="19"/>
      <c r="P754" s="165" t="str">
        <f>EUconst_CNTR_HALfinal&amp;EUconst_CNTR_ELEXCH&amp;$I641</f>
        <v>HALfinal_ELEXCH_</v>
      </c>
      <c r="Q754" s="343"/>
      <c r="R754" s="343"/>
      <c r="S754" s="1694" t="str">
        <f>IF(AND($I641&lt;&gt;"",$I644=TRUE),INDEX(F_ProductBM!I:I,MATCH($P754,F_ProductBM!$Q:$Q,0)),IF($I641="","",1))</f>
        <v/>
      </c>
      <c r="T754" s="343"/>
      <c r="U754" s="349"/>
      <c r="V754" s="349"/>
    </row>
    <row r="755" spans="1:22" s="534" customFormat="1" x14ac:dyDescent="0.25">
      <c r="A755" s="343"/>
      <c r="B755" s="15"/>
      <c r="C755" s="15"/>
      <c r="D755" s="965"/>
      <c r="E755" s="950" t="s">
        <v>1528</v>
      </c>
      <c r="F755" s="950"/>
      <c r="G755" s="950"/>
      <c r="H755" s="957" t="s">
        <v>1112</v>
      </c>
      <c r="I755" s="1619" t="str">
        <f>IF($I641="","",IF($L644=47,IF(AND(ISNUMBER(S755),YEAR(J644)&lt;2021),S755,1),1))</f>
        <v/>
      </c>
      <c r="J755" s="1164" t="str">
        <f>IF($I641="","",IF($L644=47,IF(ISNUMBER(INDEX(H_SpecialBM!J:J,MATCH($P755,H_SpecialBM!$Q:$Q,0))),INDEX(H_SpecialBM!J:J,MATCH($P755,H_SpecialBM!$Q:$Q,0)),1),1))</f>
        <v/>
      </c>
      <c r="K755" s="958" t="str">
        <f>IF($I641="","",IF($L644=47,IF(ISNUMBER(INDEX(H_SpecialBM!K:K,MATCH($P755,H_SpecialBM!$Q:$Q,0))),INDEX(H_SpecialBM!K:K,MATCH($P755,H_SpecialBM!$Q:$Q,0)),1),1))</f>
        <v/>
      </c>
      <c r="L755" s="958" t="str">
        <f>IF($I641="","",IF($L644=47,IF(ISNUMBER(INDEX(H_SpecialBM!L:L,MATCH($P755,H_SpecialBM!$Q:$Q,0))),INDEX(H_SpecialBM!L:L,MATCH($P755,H_SpecialBM!$Q:$Q,0)),1),1))</f>
        <v/>
      </c>
      <c r="M755" s="958" t="str">
        <f>IF($I641="","",IF($L644=47,IF(ISNUMBER(INDEX(H_SpecialBM!M:M,MATCH($P755,H_SpecialBM!$Q:$Q,0))),INDEX(H_SpecialBM!M:M,MATCH($P755,H_SpecialBM!$Q:$Q,0)),1),1))</f>
        <v/>
      </c>
      <c r="N755" s="971" t="str">
        <f>IF($I641="","",IF($L644=47,IF(ISNUMBER(INDEX(H_SpecialBM!N:N,MATCH($P755,H_SpecialBM!$Q:$Q,0))),INDEX(H_SpecialBM!N:N,MATCH($P755,H_SpecialBM!$Q:$Q,0)),1),1))</f>
        <v/>
      </c>
      <c r="O755" s="19"/>
      <c r="P755" s="165" t="str">
        <f>EUconst_CNTR_VCMfinal</f>
        <v>VCMfinal_</v>
      </c>
      <c r="Q755" s="343"/>
      <c r="R755" s="343"/>
      <c r="S755" s="1695" t="str">
        <f>IF($I641="","",IF($L644=47,IF(ISNUMBER(INDEX(H_SpecialBM!I:I,MATCH($P755,H_SpecialBM!$Q:$Q,0))),INDEX(H_SpecialBM!I:I,MATCH($P755,H_SpecialBM!$Q:$Q,0)),1),1))</f>
        <v/>
      </c>
      <c r="T755" s="343"/>
      <c r="U755" s="349"/>
      <c r="V755" s="349"/>
    </row>
    <row r="756" spans="1:22" s="534" customFormat="1" x14ac:dyDescent="0.25">
      <c r="A756" s="343"/>
      <c r="B756" s="15"/>
      <c r="C756" s="15"/>
      <c r="D756" s="965"/>
      <c r="E756" s="514" t="str">
        <f>Translations!$B$956</f>
        <v>Preliminär tilldelning</v>
      </c>
      <c r="F756" s="514"/>
      <c r="G756" s="514"/>
      <c r="H756" s="129" t="str">
        <f>EUconst_EUA</f>
        <v>EUA</v>
      </c>
      <c r="I756" s="1620" t="str">
        <f>IF($I641="","",MAX(0,ROUND((SUM($M644)*SUM(I750)*SUM(I754)*SUM(I755)-SUM(I751)-SUM(I752)+SUM(I753))*IF($H644=TRUE,1,J$2517),0)))</f>
        <v/>
      </c>
      <c r="J756" s="1131" t="str">
        <f>IF($I641="","",MAX(0,ROUND((SUM($M644)*SUM(J750)*SUM(J754)*SUM(J755)-SUM(J751)-SUM(J752)+SUM(J753))*IF($H644=TRUE,1,J$2517),0)))</f>
        <v/>
      </c>
      <c r="K756" s="421" t="str">
        <f>IF($I641="","",MAX(0,ROUND((SUM($M644)*SUM(K750)*SUM(K754)*SUM(K755)-SUM(K751)-SUM(K752)+SUM(K753))*IF($H644=TRUE,1,K$2517),0)))</f>
        <v/>
      </c>
      <c r="L756" s="421" t="str">
        <f>IF($I641="","",MAX(0,ROUND((SUM($M644)*SUM(L750)*SUM(L754)*SUM(L755)-SUM(L751)-SUM(L752)+SUM(L753))*IF($H644=TRUE,1,L$2517),0)))</f>
        <v/>
      </c>
      <c r="M756" s="421" t="str">
        <f>IF($I641="","",MAX(0,ROUND((SUM($M644)*SUM(M750)*SUM(M754)*SUM(M755)-SUM(M751)-SUM(M752)+SUM(M753))*IF($H644=TRUE,1,M$2517),0)))</f>
        <v/>
      </c>
      <c r="N756" s="967" t="str">
        <f>IF($I641="","",MAX(0,ROUND((SUM($M644+IF(L644=52,0.415,0))*SUM(N750)*SUM(N754)*SUM(N755)-SUM(N751)-SUM(N752)+SUM(N753))*IF($H644=TRUE,1,N$2517),0)))</f>
        <v/>
      </c>
      <c r="O756" s="19"/>
      <c r="P756" s="165" t="str">
        <f>EUconst_AllocPrelim&amp;I641</f>
        <v>AllocPrelim_</v>
      </c>
      <c r="Q756" s="343"/>
      <c r="R756" s="343"/>
      <c r="S756" s="1696" t="str">
        <f>IF($I641="","",MAX(0,ROUND((SUM($M644)*SUM(S750)*SUM(S754)*SUM(S755)-SUM(S751)-SUM(S752)+SUM(S753))*IF($H644=TRUE,1,J$2517),0)))</f>
        <v/>
      </c>
      <c r="T756" s="663">
        <f>INDEX(F_ProductBM!V:V,MATCH(C641,F_ProductBM!C:C,0))</f>
        <v>2005</v>
      </c>
      <c r="U756" s="603" t="e">
        <f>OR(INDEX(I756:N756,CNTR_ReportingYear-$I$2596)&lt;&gt;INDEX(I756:N756,CNTR_ReportingYear-$H$2596),
(CNTR_ReportingYear-T756)&lt;=1)</f>
        <v>#REF!</v>
      </c>
      <c r="V756" s="355" t="b">
        <f ca="1">IF(I756="",FALSE,COUNTIF(OFFSET(I756,,,,MAX(1,CNTR_ReportingYear-$I$2596)),"&lt;&gt;" &amp; INDEX(I756:N756,CNTR_ReportingYear-$H$2596))&gt;0)</f>
        <v>0</v>
      </c>
    </row>
    <row r="757" spans="1:22" s="534" customFormat="1" ht="5.15" customHeight="1" thickBot="1" x14ac:dyDescent="0.3">
      <c r="A757" s="343"/>
      <c r="B757" s="15"/>
      <c r="C757" s="15"/>
      <c r="D757" s="972"/>
      <c r="E757" s="973"/>
      <c r="F757" s="973"/>
      <c r="G757" s="973"/>
      <c r="H757" s="973"/>
      <c r="I757" s="973"/>
      <c r="J757" s="973"/>
      <c r="K757" s="973"/>
      <c r="L757" s="973"/>
      <c r="M757" s="973"/>
      <c r="N757" s="974"/>
      <c r="O757" s="19"/>
      <c r="P757" s="343"/>
      <c r="Q757" s="343"/>
      <c r="R757" s="343"/>
      <c r="S757" s="343"/>
      <c r="T757" s="343"/>
      <c r="U757" s="349"/>
      <c r="V757" s="349"/>
    </row>
    <row r="758" spans="1:22" s="534" customFormat="1" ht="5.15" customHeight="1" thickBot="1" x14ac:dyDescent="0.3">
      <c r="A758" s="343"/>
      <c r="B758" s="15"/>
      <c r="C758" s="15"/>
      <c r="E758" s="289"/>
      <c r="F758" s="15"/>
      <c r="G758" s="15"/>
      <c r="H758" s="15"/>
      <c r="I758" s="15"/>
      <c r="J758" s="15"/>
      <c r="K758" s="15"/>
      <c r="L758" s="15"/>
      <c r="M758" s="15"/>
      <c r="N758" s="15"/>
      <c r="O758" s="19"/>
      <c r="P758" s="343"/>
      <c r="Q758" s="343"/>
      <c r="R758" s="343"/>
      <c r="S758" s="343"/>
      <c r="T758" s="343"/>
      <c r="U758" s="349"/>
      <c r="V758" s="349"/>
    </row>
    <row r="759" spans="1:22" s="534" customFormat="1" ht="12.75" customHeight="1" x14ac:dyDescent="0.25">
      <c r="A759" s="343"/>
      <c r="B759" s="15"/>
      <c r="C759" s="15"/>
      <c r="D759" s="1452"/>
      <c r="E759" s="1453"/>
      <c r="F759" s="1453"/>
      <c r="G759" s="777"/>
      <c r="H759" s="777"/>
      <c r="I759" s="777"/>
      <c r="J759" s="777"/>
      <c r="K759" s="777"/>
      <c r="L759" s="777"/>
      <c r="M759" s="777"/>
      <c r="N759" s="778"/>
      <c r="O759" s="19"/>
      <c r="P759" s="343"/>
      <c r="Q759" s="343"/>
      <c r="R759" s="343"/>
      <c r="S759" s="343"/>
      <c r="T759" s="343"/>
      <c r="U759" s="349"/>
      <c r="V759" s="349"/>
    </row>
    <row r="760" spans="1:22" s="534" customFormat="1" ht="13.5" thickBot="1" x14ac:dyDescent="0.3">
      <c r="A760" s="343"/>
      <c r="B760" s="15"/>
      <c r="C760" s="15"/>
      <c r="D760" s="1454"/>
      <c r="E760" s="416"/>
      <c r="F760" s="416"/>
      <c r="G760" s="415" t="str">
        <f>EUconst_Unit</f>
        <v>Enhet</v>
      </c>
      <c r="H760" s="744">
        <f t="shared" ref="H760:M760" si="88">H$2596</f>
        <v>2019</v>
      </c>
      <c r="I760" s="1155">
        <f t="shared" si="88"/>
        <v>2020</v>
      </c>
      <c r="J760" s="1104">
        <f t="shared" si="88"/>
        <v>2021</v>
      </c>
      <c r="K760" s="362">
        <f t="shared" si="88"/>
        <v>2022</v>
      </c>
      <c r="L760" s="362">
        <f t="shared" si="88"/>
        <v>2023</v>
      </c>
      <c r="M760" s="362">
        <f t="shared" si="88"/>
        <v>2024</v>
      </c>
      <c r="N760" s="1141">
        <f>N$2596</f>
        <v>2025</v>
      </c>
      <c r="O760" s="19"/>
      <c r="P760" s="343"/>
      <c r="Q760" s="343"/>
      <c r="R760" s="343"/>
      <c r="S760" s="343"/>
      <c r="T760" s="7"/>
      <c r="U760" s="349"/>
      <c r="V760" s="349"/>
    </row>
    <row r="761" spans="1:22" s="534" customFormat="1" ht="13.5" customHeight="1" thickBot="1" x14ac:dyDescent="0.3">
      <c r="A761" s="343"/>
      <c r="B761" s="15"/>
      <c r="C761" s="15"/>
      <c r="D761" s="1454"/>
      <c r="E761" s="2747" t="str">
        <f>Translations!$B$1056</f>
        <v>Totala tillskrivna utsläpp</v>
      </c>
      <c r="F761" s="2747"/>
      <c r="G761" s="710" t="str">
        <f>EUconst_tCO2epa</f>
        <v>t CO2e/år</v>
      </c>
      <c r="H761" s="735" t="str">
        <f t="shared" ref="H761:N761" si="89">INDEX(H$92:H$108,MATCH($I641,$E$92:$E$108,0))</f>
        <v/>
      </c>
      <c r="I761" s="1156" t="str">
        <f t="shared" si="89"/>
        <v/>
      </c>
      <c r="J761" s="735" t="str">
        <f t="shared" si="89"/>
        <v/>
      </c>
      <c r="K761" s="736" t="str">
        <f t="shared" si="89"/>
        <v/>
      </c>
      <c r="L761" s="736" t="str">
        <f t="shared" si="89"/>
        <v/>
      </c>
      <c r="M761" s="736" t="str">
        <f t="shared" si="89"/>
        <v/>
      </c>
      <c r="N761" s="737" t="str">
        <f t="shared" si="89"/>
        <v/>
      </c>
      <c r="O761" s="19"/>
      <c r="P761" s="343"/>
      <c r="Q761" s="343"/>
      <c r="R761" s="343"/>
      <c r="S761" s="343"/>
      <c r="T761" s="7"/>
      <c r="U761" s="349"/>
      <c r="V761" s="349"/>
    </row>
    <row r="762" spans="1:22" s="534" customFormat="1" ht="5.15" customHeight="1" x14ac:dyDescent="0.25">
      <c r="A762" s="343"/>
      <c r="B762" s="15"/>
      <c r="C762" s="15"/>
      <c r="D762" s="1454"/>
      <c r="E762" s="899"/>
      <c r="F762" s="899"/>
      <c r="G762" s="416"/>
      <c r="H762" s="738"/>
      <c r="I762" s="738"/>
      <c r="J762" s="738"/>
      <c r="K762" s="738"/>
      <c r="L762" s="738"/>
      <c r="M762" s="738"/>
      <c r="N762" s="1455"/>
      <c r="O762" s="19"/>
      <c r="P762" s="343"/>
      <c r="Q762" s="343"/>
      <c r="R762" s="343"/>
      <c r="S762" s="343"/>
      <c r="T762" s="7"/>
      <c r="U762" s="349"/>
      <c r="V762" s="349"/>
    </row>
    <row r="763" spans="1:22" s="534" customFormat="1" ht="12.75" customHeight="1" x14ac:dyDescent="0.25">
      <c r="A763" s="343"/>
      <c r="B763" s="15"/>
      <c r="C763" s="15"/>
      <c r="D763" s="1454"/>
      <c r="E763" s="2611" t="str">
        <f>Translations!$B$571</f>
        <v>Insatsbränsle</v>
      </c>
      <c r="F763" s="2484"/>
      <c r="G763" s="365" t="str">
        <f>EUconst_TJpa</f>
        <v>TJ / år</v>
      </c>
      <c r="H763" s="739" t="str">
        <f>IF($I641="","",IF(INDEX(F_ProductBM!H:H,MATCH($P763,F_ProductBM!$Q:$Q,0))="","",INDEX(F_ProductBM!H:H,MATCH($P763,F_ProductBM!$Q:$Q,0))))</f>
        <v/>
      </c>
      <c r="I763" s="1153" t="str">
        <f>IF($I641="","",IF(INDEX(F_ProductBM!I:I,MATCH($P763,F_ProductBM!$Q:$Q,0))="","",INDEX(F_ProductBM!I:I,MATCH($P763,F_ProductBM!$Q:$Q,0))))</f>
        <v/>
      </c>
      <c r="J763" s="1159" t="str">
        <f>IF($I641="","",IF(INDEX(F_ProductBM!J:J,MATCH($P763,F_ProductBM!$Q:$Q,0))="","",INDEX(F_ProductBM!J:J,MATCH($P763,F_ProductBM!$Q:$Q,0))))</f>
        <v/>
      </c>
      <c r="K763" s="739" t="str">
        <f>IF($I641="","",IF(INDEX(F_ProductBM!K:K,MATCH($P763,F_ProductBM!$Q:$Q,0))="","",INDEX(F_ProductBM!K:K,MATCH($P763,F_ProductBM!$Q:$Q,0))))</f>
        <v/>
      </c>
      <c r="L763" s="739" t="str">
        <f>IF($I641="","",IF(INDEX(F_ProductBM!L:L,MATCH($P763,F_ProductBM!$Q:$Q,0))="","",INDEX(F_ProductBM!L:L,MATCH($P763,F_ProductBM!$Q:$Q,0))))</f>
        <v/>
      </c>
      <c r="M763" s="739" t="str">
        <f>IF($I641="","",IF(INDEX(F_ProductBM!M:M,MATCH($P763,F_ProductBM!$Q:$Q,0))="","",INDEX(F_ProductBM!M:M,MATCH($P763,F_ProductBM!$Q:$Q,0))))</f>
        <v/>
      </c>
      <c r="N763" s="1456" t="str">
        <f>IF($I641="","",IF(INDEX(F_ProductBM!N:N,MATCH($P763,F_ProductBM!$Q:$Q,0))="","",INDEX(F_ProductBM!N:N,MATCH($P763,F_ProductBM!$Q:$Q,0))))</f>
        <v/>
      </c>
      <c r="O763" s="19"/>
      <c r="P763" s="622" t="str">
        <f>EUconst_CNTR_FuelInput &amp; I641</f>
        <v>FuelInput_</v>
      </c>
      <c r="Q763" s="343"/>
      <c r="R763" s="343"/>
      <c r="S763" s="343"/>
      <c r="T763" s="7"/>
      <c r="U763" s="349"/>
      <c r="V763" s="349"/>
    </row>
    <row r="764" spans="1:22" s="534" customFormat="1" ht="12.75" customHeight="1" x14ac:dyDescent="0.25">
      <c r="A764" s="343"/>
      <c r="B764" s="15"/>
      <c r="C764" s="15"/>
      <c r="D764" s="1454"/>
      <c r="E764" s="2612" t="str">
        <f>Translations!$B$572</f>
        <v>Viktad emissionsfaktor</v>
      </c>
      <c r="F764" s="2487"/>
      <c r="G764" s="384" t="str">
        <f>EUconst_tCO2pTJ</f>
        <v>t CO2 / TJ</v>
      </c>
      <c r="H764" s="740" t="str">
        <f>IF($I641="","",IF(INDEX(F_ProductBM!H:H,MATCH($P764,F_ProductBM!$Q:$Q,0))="","",INDEX(F_ProductBM!H:H,MATCH($P764,F_ProductBM!$Q:$Q,0))))</f>
        <v/>
      </c>
      <c r="I764" s="1154" t="str">
        <f>IF($I641="","",IF(INDEX(F_ProductBM!I:I,MATCH($P764,F_ProductBM!$Q:$Q,0))="","",INDEX(F_ProductBM!I:I,MATCH($P764,F_ProductBM!$Q:$Q,0))))</f>
        <v/>
      </c>
      <c r="J764" s="1160" t="str">
        <f>IF($I641="","",IF(INDEX(F_ProductBM!J:J,MATCH($P764,F_ProductBM!$Q:$Q,0))="","",INDEX(F_ProductBM!J:J,MATCH($P764,F_ProductBM!$Q:$Q,0))))</f>
        <v/>
      </c>
      <c r="K764" s="740" t="str">
        <f>IF($I641="","",IF(INDEX(F_ProductBM!K:K,MATCH($P764,F_ProductBM!$Q:$Q,0))="","",INDEX(F_ProductBM!K:K,MATCH($P764,F_ProductBM!$Q:$Q,0))))</f>
        <v/>
      </c>
      <c r="L764" s="740" t="str">
        <f>IF($I641="","",IF(INDEX(F_ProductBM!L:L,MATCH($P764,F_ProductBM!$Q:$Q,0))="","",INDEX(F_ProductBM!L:L,MATCH($P764,F_ProductBM!$Q:$Q,0))))</f>
        <v/>
      </c>
      <c r="M764" s="740" t="str">
        <f>IF($I641="","",IF(INDEX(F_ProductBM!M:M,MATCH($P764,F_ProductBM!$Q:$Q,0))="","",INDEX(F_ProductBM!M:M,MATCH($P764,F_ProductBM!$Q:$Q,0))))</f>
        <v/>
      </c>
      <c r="N764" s="1457" t="str">
        <f>IF($I641="","",IF(INDEX(F_ProductBM!N:N,MATCH($P764,F_ProductBM!$Q:$Q,0))="","",INDEX(F_ProductBM!N:N,MATCH($P764,F_ProductBM!$Q:$Q,0))))</f>
        <v/>
      </c>
      <c r="O764" s="19"/>
      <c r="P764" s="298" t="str">
        <f>EUconst_CNTR_FuelEF &amp; I641</f>
        <v>FuelEF_</v>
      </c>
      <c r="Q764" s="343"/>
      <c r="R764" s="343"/>
      <c r="S764" s="343"/>
      <c r="T764" s="7"/>
      <c r="U764" s="349"/>
      <c r="V764" s="349"/>
    </row>
    <row r="765" spans="1:22" s="534" customFormat="1" ht="5.15" customHeight="1" x14ac:dyDescent="0.25">
      <c r="A765" s="343"/>
      <c r="B765" s="15"/>
      <c r="C765" s="15"/>
      <c r="D765" s="1454"/>
      <c r="E765" s="899"/>
      <c r="F765" s="899"/>
      <c r="G765" s="623"/>
      <c r="H765" s="741"/>
      <c r="I765" s="741"/>
      <c r="J765" s="741"/>
      <c r="K765" s="741"/>
      <c r="L765" s="741"/>
      <c r="M765" s="741"/>
      <c r="N765" s="1458"/>
      <c r="O765" s="19"/>
      <c r="P765" s="343"/>
      <c r="Q765" s="343"/>
      <c r="R765" s="343"/>
      <c r="S765" s="343"/>
      <c r="T765" s="7"/>
      <c r="U765" s="349"/>
      <c r="V765" s="349"/>
    </row>
    <row r="766" spans="1:22" s="534" customFormat="1" ht="12.75" customHeight="1" x14ac:dyDescent="0.25">
      <c r="A766" s="343"/>
      <c r="B766" s="15"/>
      <c r="C766" s="15"/>
      <c r="D766" s="1454"/>
      <c r="E766" s="2613" t="str">
        <f>Translations!$B$528</f>
        <v>Direkta utsläpp</v>
      </c>
      <c r="F766" s="1997"/>
      <c r="G766" s="364" t="str">
        <f>EUconst_tCO2pa</f>
        <v>t CO2 / år</v>
      </c>
      <c r="H766" s="742" t="str">
        <f>IF($I641="","",IF(INDEX(F_ProductBM!H:H,MATCH($P766,F_ProductBM!$Q:$Q,0))="","",INDEX(F_ProductBM!H:H,MATCH($P766,F_ProductBM!$Q:$Q,0))))</f>
        <v/>
      </c>
      <c r="I766" s="1021" t="str">
        <f>IF($I641="","",IF(INDEX(F_ProductBM!I:I,MATCH($P766,F_ProductBM!$Q:$Q,0))="","",INDEX(F_ProductBM!I:I,MATCH($P766,F_ProductBM!$Q:$Q,0))))</f>
        <v/>
      </c>
      <c r="J766" s="1158" t="str">
        <f>IF($I641="","",IF(INDEX(F_ProductBM!J:J,MATCH($P766,F_ProductBM!$Q:$Q,0))="","",INDEX(F_ProductBM!J:J,MATCH($P766,F_ProductBM!$Q:$Q,0))))</f>
        <v/>
      </c>
      <c r="K766" s="742" t="str">
        <f>IF($I641="","",IF(INDEX(F_ProductBM!K:K,MATCH($P766,F_ProductBM!$Q:$Q,0))="","",INDEX(F_ProductBM!K:K,MATCH($P766,F_ProductBM!$Q:$Q,0))))</f>
        <v/>
      </c>
      <c r="L766" s="742" t="str">
        <f>IF($I641="","",IF(INDEX(F_ProductBM!L:L,MATCH($P766,F_ProductBM!$Q:$Q,0))="","",INDEX(F_ProductBM!L:L,MATCH($P766,F_ProductBM!$Q:$Q,0))))</f>
        <v/>
      </c>
      <c r="M766" s="742" t="str">
        <f>IF($I641="","",IF(INDEX(F_ProductBM!M:M,MATCH($P766,F_ProductBM!$Q:$Q,0))="","",INDEX(F_ProductBM!M:M,MATCH($P766,F_ProductBM!$Q:$Q,0))))</f>
        <v/>
      </c>
      <c r="N766" s="1459" t="str">
        <f>IF($I641="","",IF(INDEX(F_ProductBM!N:N,MATCH($P766,F_ProductBM!$Q:$Q,0))="","",INDEX(F_ProductBM!N:N,MATCH($P766,F_ProductBM!$Q:$Q,0))))</f>
        <v/>
      </c>
      <c r="O766" s="19"/>
      <c r="P766" s="298" t="str">
        <f>EUconst_CNTR_Emissions &amp; I641</f>
        <v>DirEmissions_</v>
      </c>
      <c r="Q766" s="343"/>
      <c r="R766" s="343"/>
      <c r="S766" s="343"/>
      <c r="T766" s="7"/>
      <c r="U766" s="349"/>
      <c r="V766" s="349"/>
    </row>
    <row r="767" spans="1:22" s="534" customFormat="1" ht="12.75" customHeight="1" x14ac:dyDescent="0.25">
      <c r="A767" s="343"/>
      <c r="B767" s="15"/>
      <c r="C767" s="15"/>
      <c r="D767" s="1454"/>
      <c r="E767" s="2613" t="str">
        <f>Translations!$B$582</f>
        <v>Andra bränsle-/materialmängder – 1</v>
      </c>
      <c r="F767" s="1997"/>
      <c r="G767" s="364" t="str">
        <f>EUconst_tCO2pa</f>
        <v>t CO2 / år</v>
      </c>
      <c r="H767" s="742" t="str">
        <f>IF($I641="","",IF(INDEX(F_ProductBM!H:H,MATCH($P767,F_ProductBM!$Q:$Q,0))="","",INDEX(F_ProductBM!H:H,MATCH($P767,F_ProductBM!$Q:$Q,0))))</f>
        <v/>
      </c>
      <c r="I767" s="1021" t="str">
        <f>IF($I641="","",IF(INDEX(F_ProductBM!I:I,MATCH($P767,F_ProductBM!$Q:$Q,0))="","",INDEX(F_ProductBM!I:I,MATCH($P767,F_ProductBM!$Q:$Q,0))))</f>
        <v/>
      </c>
      <c r="J767" s="1158" t="str">
        <f>IF($I641="","",IF(INDEX(F_ProductBM!J:J,MATCH($P767,F_ProductBM!$Q:$Q,0))="","",INDEX(F_ProductBM!J:J,MATCH($P767,F_ProductBM!$Q:$Q,0))))</f>
        <v/>
      </c>
      <c r="K767" s="742" t="str">
        <f>IF($I641="","",IF(INDEX(F_ProductBM!K:K,MATCH($P767,F_ProductBM!$Q:$Q,0))="","",INDEX(F_ProductBM!K:K,MATCH($P767,F_ProductBM!$Q:$Q,0))))</f>
        <v/>
      </c>
      <c r="L767" s="742" t="str">
        <f>IF($I641="","",IF(INDEX(F_ProductBM!L:L,MATCH($P767,F_ProductBM!$Q:$Q,0))="","",INDEX(F_ProductBM!L:L,MATCH($P767,F_ProductBM!$Q:$Q,0))))</f>
        <v/>
      </c>
      <c r="M767" s="742" t="str">
        <f>IF($I641="","",IF(INDEX(F_ProductBM!M:M,MATCH($P767,F_ProductBM!$Q:$Q,0))="","",INDEX(F_ProductBM!M:M,MATCH($P767,F_ProductBM!$Q:$Q,0))))</f>
        <v/>
      </c>
      <c r="N767" s="1459" t="str">
        <f>IF($I641="","",IF(INDEX(F_ProductBM!N:N,MATCH($P767,F_ProductBM!$Q:$Q,0))="","",INDEX(F_ProductBM!N:N,MATCH($P767,F_ProductBM!$Q:$Q,0))))</f>
        <v/>
      </c>
      <c r="O767" s="19"/>
      <c r="P767" s="298" t="str">
        <f>EUconst_CNTR_EmissionsIntSource1 &amp; I641</f>
        <v>EmInternalSource1_</v>
      </c>
      <c r="Q767" s="343"/>
      <c r="R767" s="343"/>
      <c r="S767" s="343"/>
      <c r="T767" s="7"/>
      <c r="U767" s="349"/>
      <c r="V767" s="349"/>
    </row>
    <row r="768" spans="1:22" s="534" customFormat="1" ht="12.75" customHeight="1" x14ac:dyDescent="0.25">
      <c r="A768" s="343"/>
      <c r="B768" s="15"/>
      <c r="C768" s="15"/>
      <c r="D768" s="1454"/>
      <c r="E768" s="2613" t="str">
        <f>Translations!$B$592</f>
        <v>Andra bränsle-/materialmängder – 2</v>
      </c>
      <c r="F768" s="1997"/>
      <c r="G768" s="364" t="str">
        <f>EUconst_tCO2pa</f>
        <v>t CO2 / år</v>
      </c>
      <c r="H768" s="742" t="str">
        <f>IF($I641="","",IF(INDEX(F_ProductBM!H:H,MATCH($P768,F_ProductBM!$Q:$Q,0))="","",INDEX(F_ProductBM!H:H,MATCH($P768,F_ProductBM!$Q:$Q,0))))</f>
        <v/>
      </c>
      <c r="I768" s="1021" t="str">
        <f>IF($I641="","",IF(INDEX(F_ProductBM!I:I,MATCH($P768,F_ProductBM!$Q:$Q,0))="","",INDEX(F_ProductBM!I:I,MATCH($P768,F_ProductBM!$Q:$Q,0))))</f>
        <v/>
      </c>
      <c r="J768" s="1158" t="str">
        <f>IF($I641="","",IF(INDEX(F_ProductBM!J:J,MATCH($P768,F_ProductBM!$Q:$Q,0))="","",INDEX(F_ProductBM!J:J,MATCH($P768,F_ProductBM!$Q:$Q,0))))</f>
        <v/>
      </c>
      <c r="K768" s="742" t="str">
        <f>IF($I641="","",IF(INDEX(F_ProductBM!K:K,MATCH($P768,F_ProductBM!$Q:$Q,0))="","",INDEX(F_ProductBM!K:K,MATCH($P768,F_ProductBM!$Q:$Q,0))))</f>
        <v/>
      </c>
      <c r="L768" s="742" t="str">
        <f>IF($I641="","",IF(INDEX(F_ProductBM!L:L,MATCH($P768,F_ProductBM!$Q:$Q,0))="","",INDEX(F_ProductBM!L:L,MATCH($P768,F_ProductBM!$Q:$Q,0))))</f>
        <v/>
      </c>
      <c r="M768" s="742" t="str">
        <f>IF($I641="","",IF(INDEX(F_ProductBM!M:M,MATCH($P768,F_ProductBM!$Q:$Q,0))="","",INDEX(F_ProductBM!M:M,MATCH($P768,F_ProductBM!$Q:$Q,0))))</f>
        <v/>
      </c>
      <c r="N768" s="1459" t="str">
        <f>IF($I641="","",IF(INDEX(F_ProductBM!N:N,MATCH($P768,F_ProductBM!$Q:$Q,0))="","",INDEX(F_ProductBM!N:N,MATCH($P768,F_ProductBM!$Q:$Q,0))))</f>
        <v/>
      </c>
      <c r="O768" s="19"/>
      <c r="P768" s="298" t="str">
        <f>EUconst_CNTR_EmissionsIntSource2 &amp; I641</f>
        <v>EmInternalSource2_</v>
      </c>
      <c r="Q768" s="343"/>
      <c r="R768" s="343"/>
      <c r="S768" s="343"/>
      <c r="T768" s="7"/>
      <c r="U768" s="349"/>
      <c r="V768" s="349"/>
    </row>
    <row r="769" spans="1:22" s="534" customFormat="1" ht="12.75" customHeight="1" x14ac:dyDescent="0.25">
      <c r="A769" s="343"/>
      <c r="B769" s="15"/>
      <c r="C769" s="15"/>
      <c r="D769" s="1454"/>
      <c r="E769" s="2613" t="str">
        <f>Translations!$B$596</f>
        <v>Importerade eller exporterade växthusgaser</v>
      </c>
      <c r="F769" s="1997"/>
      <c r="G769" s="364" t="str">
        <f>EUconst_tCO2epa</f>
        <v>t CO2e/år</v>
      </c>
      <c r="H769" s="742" t="str">
        <f>IF($I641="","",IF(INDEX(F_ProductBM!H:H,MATCH($P769,F_ProductBM!$Q:$Q,0))="","",INDEX(F_ProductBM!H:H,MATCH($P769,F_ProductBM!$Q:$Q,0))))</f>
        <v/>
      </c>
      <c r="I769" s="1021" t="str">
        <f>IF($I641="","",IF(INDEX(F_ProductBM!I:I,MATCH($P769,F_ProductBM!$Q:$Q,0))="","",INDEX(F_ProductBM!I:I,MATCH($P769,F_ProductBM!$Q:$Q,0))))</f>
        <v/>
      </c>
      <c r="J769" s="1158" t="str">
        <f>IF($I641="","",IF(INDEX(F_ProductBM!J:J,MATCH($P769,F_ProductBM!$Q:$Q,0))="","",INDEX(F_ProductBM!J:J,MATCH($P769,F_ProductBM!$Q:$Q,0))))</f>
        <v/>
      </c>
      <c r="K769" s="742" t="str">
        <f>IF($I641="","",IF(INDEX(F_ProductBM!K:K,MATCH($P769,F_ProductBM!$Q:$Q,0))="","",INDEX(F_ProductBM!K:K,MATCH($P769,F_ProductBM!$Q:$Q,0))))</f>
        <v/>
      </c>
      <c r="L769" s="742" t="str">
        <f>IF($I641="","",IF(INDEX(F_ProductBM!L:L,MATCH($P769,F_ProductBM!$Q:$Q,0))="","",INDEX(F_ProductBM!L:L,MATCH($P769,F_ProductBM!$Q:$Q,0))))</f>
        <v/>
      </c>
      <c r="M769" s="742" t="str">
        <f>IF($I641="","",IF(INDEX(F_ProductBM!M:M,MATCH($P769,F_ProductBM!$Q:$Q,0))="","",INDEX(F_ProductBM!M:M,MATCH($P769,F_ProductBM!$Q:$Q,0))))</f>
        <v/>
      </c>
      <c r="N769" s="1459" t="str">
        <f>IF($I641="","",IF(INDEX(F_ProductBM!N:N,MATCH($P769,F_ProductBM!$Q:$Q,0))="","",INDEX(F_ProductBM!N:N,MATCH($P769,F_ProductBM!$Q:$Q,0))))</f>
        <v/>
      </c>
      <c r="O769" s="19"/>
      <c r="P769" s="298" t="str">
        <f>EUconst_CNTR_CO2Feedstock &amp; I641</f>
        <v>EmCO2Feedstock_</v>
      </c>
      <c r="Q769" s="343"/>
      <c r="R769" s="343"/>
      <c r="S769" s="343"/>
      <c r="T769" s="7"/>
      <c r="U769" s="349"/>
      <c r="V769" s="349"/>
    </row>
    <row r="770" spans="1:22" s="534" customFormat="1" ht="5.15" customHeight="1" x14ac:dyDescent="0.25">
      <c r="A770" s="343"/>
      <c r="B770" s="15"/>
      <c r="C770" s="15"/>
      <c r="D770" s="1454"/>
      <c r="E770" s="899"/>
      <c r="F770" s="899"/>
      <c r="G770" s="623"/>
      <c r="H770" s="741"/>
      <c r="I770" s="741"/>
      <c r="J770" s="741"/>
      <c r="K770" s="741"/>
      <c r="L770" s="741"/>
      <c r="M770" s="741"/>
      <c r="N770" s="1458"/>
      <c r="O770" s="19"/>
      <c r="P770" s="343"/>
      <c r="Q770" s="343"/>
      <c r="R770" s="343"/>
      <c r="S770" s="343"/>
      <c r="T770" s="7"/>
      <c r="U770" s="349"/>
      <c r="V770" s="349"/>
    </row>
    <row r="771" spans="1:22" s="534" customFormat="1" ht="12.75" customHeight="1" x14ac:dyDescent="0.25">
      <c r="A771" s="343"/>
      <c r="B771" s="15"/>
      <c r="C771" s="15"/>
      <c r="D771" s="1454"/>
      <c r="E771" s="2611" t="str">
        <f>Translations!$B$604</f>
        <v>Nettomängd importerad värme</v>
      </c>
      <c r="F771" s="2484"/>
      <c r="G771" s="365" t="str">
        <f>EUconst_TJpa</f>
        <v>TJ / år</v>
      </c>
      <c r="H771" s="739" t="str">
        <f>IF($I641="","",IF(INDEX(F_ProductBM!H:H,MATCH($P771,F_ProductBM!$Q:$Q,0))="","",INDEX(F_ProductBM!H:H,MATCH($P771,F_ProductBM!$Q:$Q,0))))</f>
        <v/>
      </c>
      <c r="I771" s="1153" t="str">
        <f>IF($I641="","",IF(INDEX(F_ProductBM!I:I,MATCH($P771,F_ProductBM!$Q:$Q,0))="","",INDEX(F_ProductBM!I:I,MATCH($P771,F_ProductBM!$Q:$Q,0))))</f>
        <v/>
      </c>
      <c r="J771" s="1159" t="str">
        <f>IF($I641="","",IF(INDEX(F_ProductBM!J:J,MATCH($P771,F_ProductBM!$Q:$Q,0))="","",INDEX(F_ProductBM!J:J,MATCH($P771,F_ProductBM!$Q:$Q,0))))</f>
        <v/>
      </c>
      <c r="K771" s="739" t="str">
        <f>IF($I641="","",IF(INDEX(F_ProductBM!K:K,MATCH($P771,F_ProductBM!$Q:$Q,0))="","",INDEX(F_ProductBM!K:K,MATCH($P771,F_ProductBM!$Q:$Q,0))))</f>
        <v/>
      </c>
      <c r="L771" s="739" t="str">
        <f>IF($I641="","",IF(INDEX(F_ProductBM!L:L,MATCH($P771,F_ProductBM!$Q:$Q,0))="","",INDEX(F_ProductBM!L:L,MATCH($P771,F_ProductBM!$Q:$Q,0))))</f>
        <v/>
      </c>
      <c r="M771" s="739" t="str">
        <f>IF($I641="","",IF(INDEX(F_ProductBM!M:M,MATCH($P771,F_ProductBM!$Q:$Q,0))="","",INDEX(F_ProductBM!M:M,MATCH($P771,F_ProductBM!$Q:$Q,0))))</f>
        <v/>
      </c>
      <c r="N771" s="1456" t="str">
        <f>IF($I641="","",IF(INDEX(F_ProductBM!N:N,MATCH($P771,F_ProductBM!$Q:$Q,0))="","",INDEX(F_ProductBM!N:N,MATCH($P771,F_ProductBM!$Q:$Q,0))))</f>
        <v/>
      </c>
      <c r="O771" s="19"/>
      <c r="P771" s="298" t="str">
        <f>EUconst_CNTR_HeatImport &amp; I641</f>
        <v>HeatIm_</v>
      </c>
      <c r="Q771" s="343"/>
      <c r="R771" s="343"/>
      <c r="S771" s="343"/>
      <c r="T771" s="7"/>
      <c r="U771" s="349"/>
      <c r="V771" s="349"/>
    </row>
    <row r="772" spans="1:22" s="534" customFormat="1" ht="12.75" customHeight="1" x14ac:dyDescent="0.25">
      <c r="A772" s="343"/>
      <c r="B772" s="15"/>
      <c r="C772" s="15"/>
      <c r="D772" s="1454"/>
      <c r="E772" s="2612" t="str">
        <f>Translations!$B$605</f>
        <v>Särskild emissionsfaktor (importerad värme)</v>
      </c>
      <c r="F772" s="2487"/>
      <c r="G772" s="384" t="str">
        <f>EUconst_tCO2pTJ</f>
        <v>t CO2 / TJ</v>
      </c>
      <c r="H772" s="740" t="str">
        <f>IF($I641="","",IF(INDEX(F_ProductBM!H:H,MATCH($P772,F_ProductBM!$Q:$Q,0))="","",INDEX(F_ProductBM!H:H,MATCH($P772,F_ProductBM!$Q:$Q,0))))</f>
        <v/>
      </c>
      <c r="I772" s="1154" t="str">
        <f>IF($I641="","",IF(INDEX(F_ProductBM!I:I,MATCH($P772,F_ProductBM!$Q:$Q,0))="","",INDEX(F_ProductBM!I:I,MATCH($P772,F_ProductBM!$Q:$Q,0))))</f>
        <v/>
      </c>
      <c r="J772" s="1160" t="str">
        <f>IF($I641="","",IF(INDEX(F_ProductBM!J:J,MATCH($P772,F_ProductBM!$Q:$Q,0))="","",INDEX(F_ProductBM!J:J,MATCH($P772,F_ProductBM!$Q:$Q,0))))</f>
        <v/>
      </c>
      <c r="K772" s="740" t="str">
        <f>IF($I641="","",IF(INDEX(F_ProductBM!K:K,MATCH($P772,F_ProductBM!$Q:$Q,0))="","",INDEX(F_ProductBM!K:K,MATCH($P772,F_ProductBM!$Q:$Q,0))))</f>
        <v/>
      </c>
      <c r="L772" s="740" t="str">
        <f>IF($I641="","",IF(INDEX(F_ProductBM!L:L,MATCH($P772,F_ProductBM!$Q:$Q,0))="","",INDEX(F_ProductBM!L:L,MATCH($P772,F_ProductBM!$Q:$Q,0))))</f>
        <v/>
      </c>
      <c r="M772" s="740" t="str">
        <f>IF($I641="","",IF(INDEX(F_ProductBM!M:M,MATCH($P772,F_ProductBM!$Q:$Q,0))="","",INDEX(F_ProductBM!M:M,MATCH($P772,F_ProductBM!$Q:$Q,0))))</f>
        <v/>
      </c>
      <c r="N772" s="1457" t="str">
        <f>IF($I641="","",IF(INDEX(F_ProductBM!N:N,MATCH($P772,F_ProductBM!$Q:$Q,0))="","",INDEX(F_ProductBM!N:N,MATCH($P772,F_ProductBM!$Q:$Q,0))))</f>
        <v/>
      </c>
      <c r="O772" s="19"/>
      <c r="P772" s="298" t="str">
        <f>EUconst_CNTR_HeatImportEF &amp; I641</f>
        <v>HeatImEF_</v>
      </c>
      <c r="Q772" s="343"/>
      <c r="R772" s="343"/>
      <c r="S772" s="343"/>
      <c r="T772" s="7"/>
      <c r="U772" s="349"/>
      <c r="V772" s="349"/>
    </row>
    <row r="773" spans="1:22" s="534" customFormat="1" ht="5.15" customHeight="1" x14ac:dyDescent="0.25">
      <c r="A773" s="343"/>
      <c r="B773" s="15"/>
      <c r="C773" s="15"/>
      <c r="D773" s="1454"/>
      <c r="E773" s="899"/>
      <c r="F773" s="899"/>
      <c r="G773" s="623"/>
      <c r="H773" s="741"/>
      <c r="I773" s="741"/>
      <c r="J773" s="741"/>
      <c r="K773" s="741"/>
      <c r="L773" s="741"/>
      <c r="M773" s="741"/>
      <c r="N773" s="1458"/>
      <c r="O773" s="19"/>
      <c r="P773" s="7"/>
      <c r="Q773" s="343"/>
      <c r="R773" s="343"/>
      <c r="S773" s="343"/>
      <c r="T773" s="7"/>
      <c r="U773" s="349"/>
      <c r="V773" s="349"/>
    </row>
    <row r="774" spans="1:22" s="534" customFormat="1" ht="12.75" customHeight="1" x14ac:dyDescent="0.25">
      <c r="A774" s="343"/>
      <c r="B774" s="15"/>
      <c r="C774" s="15"/>
      <c r="D774" s="1454"/>
      <c r="E774" s="2613" t="str">
        <f>Translations!$B$659</f>
        <v>Importerad nettovärme från massa</v>
      </c>
      <c r="F774" s="1997"/>
      <c r="G774" s="364" t="str">
        <f>EUconst_TJpa</f>
        <v>TJ / år</v>
      </c>
      <c r="H774" s="742" t="str">
        <f>IF($I641="","",IF(INDEX(F_ProductBM!H:H,MATCH($P774,F_ProductBM!$Q:$Q,0))="","",INDEX(F_ProductBM!H:H,MATCH($P774,F_ProductBM!$Q:$Q,0))))</f>
        <v/>
      </c>
      <c r="I774" s="1021" t="str">
        <f>IF($I641="","",IF(INDEX(F_ProductBM!I:I,MATCH($P774,F_ProductBM!$Q:$Q,0))="","",INDEX(F_ProductBM!I:I,MATCH($P774,F_ProductBM!$Q:$Q,0))))</f>
        <v/>
      </c>
      <c r="J774" s="1158" t="str">
        <f>IF($I641="","",IF(INDEX(F_ProductBM!J:J,MATCH($P774,F_ProductBM!$Q:$Q,0))="","",INDEX(F_ProductBM!J:J,MATCH($P774,F_ProductBM!$Q:$Q,0))))</f>
        <v/>
      </c>
      <c r="K774" s="742" t="str">
        <f>IF($I641="","",IF(INDEX(F_ProductBM!K:K,MATCH($P774,F_ProductBM!$Q:$Q,0))="","",INDEX(F_ProductBM!K:K,MATCH($P774,F_ProductBM!$Q:$Q,0))))</f>
        <v/>
      </c>
      <c r="L774" s="742" t="str">
        <f>IF($I641="","",IF(INDEX(F_ProductBM!L:L,MATCH($P774,F_ProductBM!$Q:$Q,0))="","",INDEX(F_ProductBM!L:L,MATCH($P774,F_ProductBM!$Q:$Q,0))))</f>
        <v/>
      </c>
      <c r="M774" s="742" t="str">
        <f>IF($I641="","",IF(INDEX(F_ProductBM!M:M,MATCH($P774,F_ProductBM!$Q:$Q,0))="","",INDEX(F_ProductBM!M:M,MATCH($P774,F_ProductBM!$Q:$Q,0))))</f>
        <v/>
      </c>
      <c r="N774" s="1459" t="str">
        <f>IF($I641="","",IF(INDEX(F_ProductBM!N:N,MATCH($P774,F_ProductBM!$Q:$Q,0))="","",INDEX(F_ProductBM!N:N,MATCH($P774,F_ProductBM!$Q:$Q,0))))</f>
        <v/>
      </c>
      <c r="O774" s="19"/>
      <c r="P774" s="298" t="str">
        <f>EUconst_CNTR_HeatImportPulp &amp; I641</f>
        <v>HeatImPulp_</v>
      </c>
      <c r="Q774" s="343"/>
      <c r="R774" s="343"/>
      <c r="S774" s="343"/>
      <c r="T774" s="7"/>
      <c r="U774" s="349"/>
      <c r="V774" s="349"/>
    </row>
    <row r="775" spans="1:22" s="534" customFormat="1" ht="12.75" customHeight="1" x14ac:dyDescent="0.25">
      <c r="A775" s="343"/>
      <c r="B775" s="15"/>
      <c r="C775" s="15"/>
      <c r="D775" s="1454"/>
      <c r="E775" s="2613" t="str">
        <f>Translations!$B$608</f>
        <v>Nettomängd importerad värme från delanläggningar för salpetersyra</v>
      </c>
      <c r="F775" s="1997"/>
      <c r="G775" s="364" t="str">
        <f>EUconst_TJpa</f>
        <v>TJ / år</v>
      </c>
      <c r="H775" s="742" t="str">
        <f>IF($I641="","",IF(INDEX(F_ProductBM!H:H,MATCH($P775,F_ProductBM!$Q:$Q,0))="","",INDEX(F_ProductBM!H:H,MATCH($P775,F_ProductBM!$Q:$Q,0))))</f>
        <v/>
      </c>
      <c r="I775" s="1021" t="str">
        <f>IF($I641="","",IF(INDEX(F_ProductBM!I:I,MATCH($P775,F_ProductBM!$Q:$Q,0))="","",INDEX(F_ProductBM!I:I,MATCH($P775,F_ProductBM!$Q:$Q,0))))</f>
        <v/>
      </c>
      <c r="J775" s="1158" t="str">
        <f>IF($I641="","",IF(INDEX(F_ProductBM!J:J,MATCH($P775,F_ProductBM!$Q:$Q,0))="","",INDEX(F_ProductBM!J:J,MATCH($P775,F_ProductBM!$Q:$Q,0))))</f>
        <v/>
      </c>
      <c r="K775" s="742" t="str">
        <f>IF($I641="","",IF(INDEX(F_ProductBM!K:K,MATCH($P775,F_ProductBM!$Q:$Q,0))="","",INDEX(F_ProductBM!K:K,MATCH($P775,F_ProductBM!$Q:$Q,0))))</f>
        <v/>
      </c>
      <c r="L775" s="742" t="str">
        <f>IF($I641="","",IF(INDEX(F_ProductBM!L:L,MATCH($P775,F_ProductBM!$Q:$Q,0))="","",INDEX(F_ProductBM!L:L,MATCH($P775,F_ProductBM!$Q:$Q,0))))</f>
        <v/>
      </c>
      <c r="M775" s="742" t="str">
        <f>IF($I641="","",IF(INDEX(F_ProductBM!M:M,MATCH($P775,F_ProductBM!$Q:$Q,0))="","",INDEX(F_ProductBM!M:M,MATCH($P775,F_ProductBM!$Q:$Q,0))))</f>
        <v/>
      </c>
      <c r="N775" s="1459" t="str">
        <f>IF($I641="","",IF(INDEX(F_ProductBM!N:N,MATCH($P775,F_ProductBM!$Q:$Q,0))="","",INDEX(F_ProductBM!N:N,MATCH($P775,F_ProductBM!$Q:$Q,0))))</f>
        <v/>
      </c>
      <c r="O775" s="19"/>
      <c r="P775" s="298" t="str">
        <f>EUconst_CNTR_HeatImportNitric &amp; I641</f>
        <v>HeatImNitric_</v>
      </c>
      <c r="Q775" s="343"/>
      <c r="R775" s="343"/>
      <c r="S775" s="343"/>
      <c r="T775" s="7"/>
      <c r="U775" s="349"/>
      <c r="V775" s="349"/>
    </row>
    <row r="776" spans="1:22" s="534" customFormat="1" ht="5.15" customHeight="1" x14ac:dyDescent="0.25">
      <c r="A776" s="343"/>
      <c r="B776" s="15"/>
      <c r="C776" s="15"/>
      <c r="D776" s="1454"/>
      <c r="E776" s="899"/>
      <c r="F776" s="899"/>
      <c r="G776" s="416"/>
      <c r="H776" s="741"/>
      <c r="I776" s="741"/>
      <c r="J776" s="741"/>
      <c r="K776" s="741"/>
      <c r="L776" s="741"/>
      <c r="M776" s="741"/>
      <c r="N776" s="1458"/>
      <c r="O776" s="19"/>
      <c r="P776" s="7"/>
      <c r="Q776" s="343"/>
      <c r="R776" s="343"/>
      <c r="S776" s="343"/>
      <c r="T776" s="7"/>
      <c r="U776" s="349"/>
      <c r="V776" s="349"/>
    </row>
    <row r="777" spans="1:22" s="534" customFormat="1" ht="12.75" customHeight="1" x14ac:dyDescent="0.25">
      <c r="A777" s="343"/>
      <c r="B777" s="15"/>
      <c r="C777" s="15"/>
      <c r="D777" s="1454"/>
      <c r="E777" s="2611" t="str">
        <f>Translations!$B$610</f>
        <v>Nettomängd exporterad värme</v>
      </c>
      <c r="F777" s="2484"/>
      <c r="G777" s="365" t="str">
        <f>EUconst_TJpa</f>
        <v>TJ / år</v>
      </c>
      <c r="H777" s="739" t="str">
        <f>IF($I641="","",IF(INDEX(F_ProductBM!H:H,MATCH($P777,F_ProductBM!$Q:$Q,0))="","",INDEX(F_ProductBM!H:H,MATCH($P777,F_ProductBM!$Q:$Q,0))))</f>
        <v/>
      </c>
      <c r="I777" s="1153" t="str">
        <f>IF($I641="","",IF(INDEX(F_ProductBM!I:I,MATCH($P777,F_ProductBM!$Q:$Q,0))="","",INDEX(F_ProductBM!I:I,MATCH($P777,F_ProductBM!$Q:$Q,0))))</f>
        <v/>
      </c>
      <c r="J777" s="1159" t="str">
        <f>IF($I641="","",IF(INDEX(F_ProductBM!J:J,MATCH($P777,F_ProductBM!$Q:$Q,0))="","",INDEX(F_ProductBM!J:J,MATCH($P777,F_ProductBM!$Q:$Q,0))))</f>
        <v/>
      </c>
      <c r="K777" s="739" t="str">
        <f>IF($I641="","",IF(INDEX(F_ProductBM!K:K,MATCH($P777,F_ProductBM!$Q:$Q,0))="","",INDEX(F_ProductBM!K:K,MATCH($P777,F_ProductBM!$Q:$Q,0))))</f>
        <v/>
      </c>
      <c r="L777" s="739" t="str">
        <f>IF($I641="","",IF(INDEX(F_ProductBM!L:L,MATCH($P777,F_ProductBM!$Q:$Q,0))="","",INDEX(F_ProductBM!L:L,MATCH($P777,F_ProductBM!$Q:$Q,0))))</f>
        <v/>
      </c>
      <c r="M777" s="739" t="str">
        <f>IF($I641="","",IF(INDEX(F_ProductBM!M:M,MATCH($P777,F_ProductBM!$Q:$Q,0))="","",INDEX(F_ProductBM!M:M,MATCH($P777,F_ProductBM!$Q:$Q,0))))</f>
        <v/>
      </c>
      <c r="N777" s="1456" t="str">
        <f>IF($I641="","",IF(INDEX(F_ProductBM!N:N,MATCH($P777,F_ProductBM!$Q:$Q,0))="","",INDEX(F_ProductBM!N:N,MATCH($P777,F_ProductBM!$Q:$Q,0))))</f>
        <v/>
      </c>
      <c r="O777" s="19"/>
      <c r="P777" s="298" t="str">
        <f>EUconst_CNTR_HeatExport &amp; I641</f>
        <v>HeatEx_</v>
      </c>
      <c r="Q777" s="343"/>
      <c r="R777" s="343"/>
      <c r="S777" s="343"/>
      <c r="T777" s="7"/>
      <c r="U777" s="349"/>
      <c r="V777" s="349"/>
    </row>
    <row r="778" spans="1:22" s="534" customFormat="1" ht="12.75" customHeight="1" x14ac:dyDescent="0.25">
      <c r="A778" s="343"/>
      <c r="B778" s="15"/>
      <c r="C778" s="15"/>
      <c r="D778" s="1454"/>
      <c r="E778" s="2612" t="str">
        <f>Translations!$B$611</f>
        <v>Särskild emissionsfaktor (exporterad värme)</v>
      </c>
      <c r="F778" s="2487"/>
      <c r="G778" s="384" t="str">
        <f>EUconst_tCO2pTJ</f>
        <v>t CO2 / TJ</v>
      </c>
      <c r="H778" s="740" t="str">
        <f>IF($I641="","",IF(INDEX(F_ProductBM!H:H,MATCH($P778,F_ProductBM!$Q:$Q,0))="","",INDEX(F_ProductBM!H:H,MATCH($P778,F_ProductBM!$Q:$Q,0))))</f>
        <v/>
      </c>
      <c r="I778" s="1154" t="str">
        <f>IF($I641="","",IF(INDEX(F_ProductBM!I:I,MATCH($P778,F_ProductBM!$Q:$Q,0))="","",INDEX(F_ProductBM!I:I,MATCH($P778,F_ProductBM!$Q:$Q,0))))</f>
        <v/>
      </c>
      <c r="J778" s="1160" t="str">
        <f>IF($I641="","",IF(INDEX(F_ProductBM!J:J,MATCH($P778,F_ProductBM!$Q:$Q,0))="","",INDEX(F_ProductBM!J:J,MATCH($P778,F_ProductBM!$Q:$Q,0))))</f>
        <v/>
      </c>
      <c r="K778" s="740" t="str">
        <f>IF($I641="","",IF(INDEX(F_ProductBM!K:K,MATCH($P778,F_ProductBM!$Q:$Q,0))="","",INDEX(F_ProductBM!K:K,MATCH($P778,F_ProductBM!$Q:$Q,0))))</f>
        <v/>
      </c>
      <c r="L778" s="740" t="str">
        <f>IF($I641="","",IF(INDEX(F_ProductBM!L:L,MATCH($P778,F_ProductBM!$Q:$Q,0))="","",INDEX(F_ProductBM!L:L,MATCH($P778,F_ProductBM!$Q:$Q,0))))</f>
        <v/>
      </c>
      <c r="M778" s="740" t="str">
        <f>IF($I641="","",IF(INDEX(F_ProductBM!M:M,MATCH($P778,F_ProductBM!$Q:$Q,0))="","",INDEX(F_ProductBM!M:M,MATCH($P778,F_ProductBM!$Q:$Q,0))))</f>
        <v/>
      </c>
      <c r="N778" s="1457" t="str">
        <f>IF($I641="","",IF(INDEX(F_ProductBM!N:N,MATCH($P778,F_ProductBM!$Q:$Q,0))="","",INDEX(F_ProductBM!N:N,MATCH($P778,F_ProductBM!$Q:$Q,0))))</f>
        <v/>
      </c>
      <c r="O778" s="19"/>
      <c r="P778" s="298" t="str">
        <f>EUconst_CNTR_HeatExportEF &amp; I641</f>
        <v>HeatExEF_</v>
      </c>
      <c r="Q778" s="343"/>
      <c r="R778" s="343"/>
      <c r="S778" s="343"/>
      <c r="T778" s="7"/>
      <c r="U778" s="349"/>
      <c r="V778" s="349"/>
    </row>
    <row r="779" spans="1:22" s="534" customFormat="1" ht="5.15" customHeight="1" x14ac:dyDescent="0.25">
      <c r="A779" s="343"/>
      <c r="B779" s="15"/>
      <c r="C779" s="15"/>
      <c r="D779" s="1454"/>
      <c r="E779" s="899"/>
      <c r="F779" s="899"/>
      <c r="G779" s="416"/>
      <c r="H779" s="741"/>
      <c r="I779" s="741"/>
      <c r="J779" s="741"/>
      <c r="K779" s="741"/>
      <c r="L779" s="741"/>
      <c r="M779" s="741"/>
      <c r="N779" s="1458"/>
      <c r="O779" s="19"/>
      <c r="P779" s="7"/>
      <c r="Q779" s="343"/>
      <c r="R779" s="343"/>
      <c r="S779" s="343"/>
      <c r="T779" s="7"/>
      <c r="U779" s="349"/>
      <c r="V779" s="349"/>
    </row>
    <row r="780" spans="1:22" s="534" customFormat="1" ht="12.75" customHeight="1" x14ac:dyDescent="0.25">
      <c r="A780" s="343"/>
      <c r="B780" s="15"/>
      <c r="C780" s="15"/>
      <c r="D780" s="1454"/>
      <c r="E780" s="2611" t="str">
        <f>Translations!$B$618</f>
        <v>Producerad restgas</v>
      </c>
      <c r="F780" s="2484"/>
      <c r="G780" s="365" t="str">
        <f>EUconst_TJpa</f>
        <v>TJ / år</v>
      </c>
      <c r="H780" s="739" t="str">
        <f>IF($I641="","",IF(INDEX(F_ProductBM!H:H,MATCH($P780,F_ProductBM!$Q:$Q,0))="","",INDEX(F_ProductBM!H:H,MATCH($P780,F_ProductBM!$Q:$Q,0))))</f>
        <v/>
      </c>
      <c r="I780" s="1153" t="str">
        <f>IF($I641="","",IF(INDEX(F_ProductBM!I:I,MATCH($P780,F_ProductBM!$Q:$Q,0))="","",INDEX(F_ProductBM!I:I,MATCH($P780,F_ProductBM!$Q:$Q,0))))</f>
        <v/>
      </c>
      <c r="J780" s="1159" t="str">
        <f>IF($I641="","",IF(INDEX(F_ProductBM!J:J,MATCH($P780,F_ProductBM!$Q:$Q,0))="","",INDEX(F_ProductBM!J:J,MATCH($P780,F_ProductBM!$Q:$Q,0))))</f>
        <v/>
      </c>
      <c r="K780" s="739" t="str">
        <f>IF($I641="","",IF(INDEX(F_ProductBM!K:K,MATCH($P780,F_ProductBM!$Q:$Q,0))="","",INDEX(F_ProductBM!K:K,MATCH($P780,F_ProductBM!$Q:$Q,0))))</f>
        <v/>
      </c>
      <c r="L780" s="739" t="str">
        <f>IF($I641="","",IF(INDEX(F_ProductBM!L:L,MATCH($P780,F_ProductBM!$Q:$Q,0))="","",INDEX(F_ProductBM!L:L,MATCH($P780,F_ProductBM!$Q:$Q,0))))</f>
        <v/>
      </c>
      <c r="M780" s="739" t="str">
        <f>IF($I641="","",IF(INDEX(F_ProductBM!M:M,MATCH($P780,F_ProductBM!$Q:$Q,0))="","",INDEX(F_ProductBM!M:M,MATCH($P780,F_ProductBM!$Q:$Q,0))))</f>
        <v/>
      </c>
      <c r="N780" s="1456" t="str">
        <f>IF($I641="","",IF(INDEX(F_ProductBM!N:N,MATCH($P780,F_ProductBM!$Q:$Q,0))="","",INDEX(F_ProductBM!N:N,MATCH($P780,F_ProductBM!$Q:$Q,0))))</f>
        <v/>
      </c>
      <c r="O780" s="19"/>
      <c r="P780" s="622" t="str">
        <f>EUconst_CNTR_WGProduced &amp; I641</f>
        <v>WasteGasProd_</v>
      </c>
      <c r="Q780" s="343"/>
      <c r="R780" s="343"/>
      <c r="S780" s="343"/>
      <c r="T780" s="7"/>
      <c r="U780" s="349"/>
      <c r="V780" s="349"/>
    </row>
    <row r="781" spans="1:22" s="534" customFormat="1" ht="12.75" customHeight="1" x14ac:dyDescent="0.25">
      <c r="A781" s="343"/>
      <c r="B781" s="15"/>
      <c r="C781" s="15"/>
      <c r="D781" s="1454"/>
      <c r="E781" s="2612" t="str">
        <f>Translations!$B$619</f>
        <v>Särskild emissionsfaktor (producerad restgas)</v>
      </c>
      <c r="F781" s="2487"/>
      <c r="G781" s="384" t="str">
        <f>EUconst_tCO2pTJ</f>
        <v>t CO2 / TJ</v>
      </c>
      <c r="H781" s="740" t="str">
        <f>IF($I641="","",IF(INDEX(F_ProductBM!H:H,MATCH($P781,F_ProductBM!$Q:$Q,0))="","",INDEX(F_ProductBM!H:H,MATCH($P781,F_ProductBM!$Q:$Q,0))))</f>
        <v/>
      </c>
      <c r="I781" s="1154" t="str">
        <f>IF($I641="","",IF(INDEX(F_ProductBM!I:I,MATCH($P781,F_ProductBM!$Q:$Q,0))="","",INDEX(F_ProductBM!I:I,MATCH($P781,F_ProductBM!$Q:$Q,0))))</f>
        <v/>
      </c>
      <c r="J781" s="1160" t="str">
        <f>IF($I641="","",IF(INDEX(F_ProductBM!J:J,MATCH($P781,F_ProductBM!$Q:$Q,0))="","",INDEX(F_ProductBM!J:J,MATCH($P781,F_ProductBM!$Q:$Q,0))))</f>
        <v/>
      </c>
      <c r="K781" s="740" t="str">
        <f>IF($I641="","",IF(INDEX(F_ProductBM!K:K,MATCH($P781,F_ProductBM!$Q:$Q,0))="","",INDEX(F_ProductBM!K:K,MATCH($P781,F_ProductBM!$Q:$Q,0))))</f>
        <v/>
      </c>
      <c r="L781" s="740" t="str">
        <f>IF($I641="","",IF(INDEX(F_ProductBM!L:L,MATCH($P781,F_ProductBM!$Q:$Q,0))="","",INDEX(F_ProductBM!L:L,MATCH($P781,F_ProductBM!$Q:$Q,0))))</f>
        <v/>
      </c>
      <c r="M781" s="740" t="str">
        <f>IF($I641="","",IF(INDEX(F_ProductBM!M:M,MATCH($P781,F_ProductBM!$Q:$Q,0))="","",INDEX(F_ProductBM!M:M,MATCH($P781,F_ProductBM!$Q:$Q,0))))</f>
        <v/>
      </c>
      <c r="N781" s="1457" t="str">
        <f>IF($I641="","",IF(INDEX(F_ProductBM!N:N,MATCH($P781,F_ProductBM!$Q:$Q,0))="","",INDEX(F_ProductBM!N:N,MATCH($P781,F_ProductBM!$Q:$Q,0))))</f>
        <v/>
      </c>
      <c r="O781" s="19"/>
      <c r="P781" s="298" t="str">
        <f>EUconst_CNTR_WGProducedEF &amp; I641</f>
        <v>WasteGasProdEF_</v>
      </c>
      <c r="Q781" s="343"/>
      <c r="R781" s="343"/>
      <c r="S781" s="343"/>
      <c r="T781" s="7"/>
      <c r="U781" s="349"/>
      <c r="V781" s="349"/>
    </row>
    <row r="782" spans="1:22" s="534" customFormat="1" ht="12.75" customHeight="1" x14ac:dyDescent="0.25">
      <c r="A782" s="343"/>
      <c r="B782" s="15"/>
      <c r="C782" s="15"/>
      <c r="D782" s="1454"/>
      <c r="E782" s="2611" t="str">
        <f>Translations!$B$623</f>
        <v>Förbrukad restgas</v>
      </c>
      <c r="F782" s="2484"/>
      <c r="G782" s="365" t="str">
        <f>EUconst_TJpa</f>
        <v>TJ / år</v>
      </c>
      <c r="H782" s="739" t="str">
        <f>IF($I641="","",IF(INDEX(F_ProductBM!H:H,MATCH($P782,F_ProductBM!$Q:$Q,0))="","",INDEX(F_ProductBM!H:H,MATCH($P782,F_ProductBM!$Q:$Q,0))))</f>
        <v/>
      </c>
      <c r="I782" s="1153" t="str">
        <f>IF($I641="","",IF(INDEX(F_ProductBM!I:I,MATCH($P782,F_ProductBM!$Q:$Q,0))="","",INDEX(F_ProductBM!I:I,MATCH($P782,F_ProductBM!$Q:$Q,0))))</f>
        <v/>
      </c>
      <c r="J782" s="1159" t="str">
        <f>IF($I641="","",IF(INDEX(F_ProductBM!J:J,MATCH($P782,F_ProductBM!$Q:$Q,0))="","",INDEX(F_ProductBM!J:J,MATCH($P782,F_ProductBM!$Q:$Q,0))))</f>
        <v/>
      </c>
      <c r="K782" s="739" t="str">
        <f>IF($I641="","",IF(INDEX(F_ProductBM!K:K,MATCH($P782,F_ProductBM!$Q:$Q,0))="","",INDEX(F_ProductBM!K:K,MATCH($P782,F_ProductBM!$Q:$Q,0))))</f>
        <v/>
      </c>
      <c r="L782" s="739" t="str">
        <f>IF($I641="","",IF(INDEX(F_ProductBM!L:L,MATCH($P782,F_ProductBM!$Q:$Q,0))="","",INDEX(F_ProductBM!L:L,MATCH($P782,F_ProductBM!$Q:$Q,0))))</f>
        <v/>
      </c>
      <c r="M782" s="739" t="str">
        <f>IF($I641="","",IF(INDEX(F_ProductBM!M:M,MATCH($P782,F_ProductBM!$Q:$Q,0))="","",INDEX(F_ProductBM!M:M,MATCH($P782,F_ProductBM!$Q:$Q,0))))</f>
        <v/>
      </c>
      <c r="N782" s="1456" t="str">
        <f>IF($I641="","",IF(INDEX(F_ProductBM!N:N,MATCH($P782,F_ProductBM!$Q:$Q,0))="","",INDEX(F_ProductBM!N:N,MATCH($P782,F_ProductBM!$Q:$Q,0))))</f>
        <v/>
      </c>
      <c r="O782" s="19"/>
      <c r="P782" s="298" t="str">
        <f>EUconst_CNTR_WGConsumed &amp; I641</f>
        <v>WasteGasCons_</v>
      </c>
      <c r="Q782" s="343"/>
      <c r="R782" s="343"/>
      <c r="S782" s="343"/>
      <c r="T782" s="7"/>
      <c r="U782" s="349"/>
      <c r="V782" s="349"/>
    </row>
    <row r="783" spans="1:22" s="534" customFormat="1" ht="12.75" customHeight="1" x14ac:dyDescent="0.25">
      <c r="A783" s="343"/>
      <c r="B783" s="15"/>
      <c r="C783" s="15"/>
      <c r="D783" s="1454"/>
      <c r="E783" s="2612" t="str">
        <f>Translations!$B$624</f>
        <v>Särskild emissionsfaktor (förbrukad restgas)</v>
      </c>
      <c r="F783" s="2487"/>
      <c r="G783" s="384" t="str">
        <f>EUconst_tCO2pTJ</f>
        <v>t CO2 / TJ</v>
      </c>
      <c r="H783" s="740" t="str">
        <f>IF($I641="","",IF(INDEX(F_ProductBM!H:H,MATCH($P783,F_ProductBM!$Q:$Q,0))="","",INDEX(F_ProductBM!H:H,MATCH($P783,F_ProductBM!$Q:$Q,0))))</f>
        <v/>
      </c>
      <c r="I783" s="1154" t="str">
        <f>IF($I641="","",IF(INDEX(F_ProductBM!I:I,MATCH($P783,F_ProductBM!$Q:$Q,0))="","",INDEX(F_ProductBM!I:I,MATCH($P783,F_ProductBM!$Q:$Q,0))))</f>
        <v/>
      </c>
      <c r="J783" s="1160" t="str">
        <f>IF($I641="","",IF(INDEX(F_ProductBM!J:J,MATCH($P783,F_ProductBM!$Q:$Q,0))="","",INDEX(F_ProductBM!J:J,MATCH($P783,F_ProductBM!$Q:$Q,0))))</f>
        <v/>
      </c>
      <c r="K783" s="740" t="str">
        <f>IF($I641="","",IF(INDEX(F_ProductBM!K:K,MATCH($P783,F_ProductBM!$Q:$Q,0))="","",INDEX(F_ProductBM!K:K,MATCH($P783,F_ProductBM!$Q:$Q,0))))</f>
        <v/>
      </c>
      <c r="L783" s="740" t="str">
        <f>IF($I641="","",IF(INDEX(F_ProductBM!L:L,MATCH($P783,F_ProductBM!$Q:$Q,0))="","",INDEX(F_ProductBM!L:L,MATCH($P783,F_ProductBM!$Q:$Q,0))))</f>
        <v/>
      </c>
      <c r="M783" s="740" t="str">
        <f>IF($I641="","",IF(INDEX(F_ProductBM!M:M,MATCH($P783,F_ProductBM!$Q:$Q,0))="","",INDEX(F_ProductBM!M:M,MATCH($P783,F_ProductBM!$Q:$Q,0))))</f>
        <v/>
      </c>
      <c r="N783" s="1457" t="str">
        <f>IF($I641="","",IF(INDEX(F_ProductBM!N:N,MATCH($P783,F_ProductBM!$Q:$Q,0))="","",INDEX(F_ProductBM!N:N,MATCH($P783,F_ProductBM!$Q:$Q,0))))</f>
        <v/>
      </c>
      <c r="O783" s="19"/>
      <c r="P783" s="298" t="str">
        <f>EUconst_CNTR_WGConsumedEF &amp; I641</f>
        <v>WasteGasConsEF_</v>
      </c>
      <c r="Q783" s="343"/>
      <c r="R783" s="343"/>
      <c r="S783" s="343"/>
      <c r="T783" s="7"/>
      <c r="U783" s="349"/>
      <c r="V783" s="349"/>
    </row>
    <row r="784" spans="1:22" s="534" customFormat="1" ht="12.75" customHeight="1" x14ac:dyDescent="0.25">
      <c r="A784" s="343"/>
      <c r="B784" s="15"/>
      <c r="C784" s="15"/>
      <c r="D784" s="1454"/>
      <c r="E784" s="2611" t="str">
        <f>Translations!$B$630</f>
        <v>Facklad restgas</v>
      </c>
      <c r="F784" s="2484"/>
      <c r="G784" s="365" t="str">
        <f>EUconst_TJpa</f>
        <v>TJ / år</v>
      </c>
      <c r="H784" s="739" t="str">
        <f>IF($I641="","",IF(INDEX(F_ProductBM!H:H,MATCH($P784,F_ProductBM!$Q:$Q,0))="","",INDEX(F_ProductBM!H:H,MATCH($P784,F_ProductBM!$Q:$Q,0))))</f>
        <v/>
      </c>
      <c r="I784" s="1153" t="str">
        <f>IF($I641="","",IF(INDEX(F_ProductBM!I:I,MATCH($P784,F_ProductBM!$Q:$Q,0))="","",INDEX(F_ProductBM!I:I,MATCH($P784,F_ProductBM!$Q:$Q,0))))</f>
        <v/>
      </c>
      <c r="J784" s="1159" t="str">
        <f>IF($I641="","",IF(INDEX(F_ProductBM!J:J,MATCH($P784,F_ProductBM!$Q:$Q,0))="","",INDEX(F_ProductBM!J:J,MATCH($P784,F_ProductBM!$Q:$Q,0))))</f>
        <v/>
      </c>
      <c r="K784" s="739" t="str">
        <f>IF($I641="","",IF(INDEX(F_ProductBM!K:K,MATCH($P784,F_ProductBM!$Q:$Q,0))="","",INDEX(F_ProductBM!K:K,MATCH($P784,F_ProductBM!$Q:$Q,0))))</f>
        <v/>
      </c>
      <c r="L784" s="739" t="str">
        <f>IF($I641="","",IF(INDEX(F_ProductBM!L:L,MATCH($P784,F_ProductBM!$Q:$Q,0))="","",INDEX(F_ProductBM!L:L,MATCH($P784,F_ProductBM!$Q:$Q,0))))</f>
        <v/>
      </c>
      <c r="M784" s="739" t="str">
        <f>IF($I641="","",IF(INDEX(F_ProductBM!M:M,MATCH($P784,F_ProductBM!$Q:$Q,0))="","",INDEX(F_ProductBM!M:M,MATCH($P784,F_ProductBM!$Q:$Q,0))))</f>
        <v/>
      </c>
      <c r="N784" s="1456" t="str">
        <f>IF($I641="","",IF(INDEX(F_ProductBM!N:N,MATCH($P784,F_ProductBM!$Q:$Q,0))="","",INDEX(F_ProductBM!N:N,MATCH($P784,F_ProductBM!$Q:$Q,0))))</f>
        <v/>
      </c>
      <c r="O784" s="19"/>
      <c r="P784" s="298" t="str">
        <f>EUconst_CNTR_WGFlared &amp; I641</f>
        <v>WasteGasFlare_</v>
      </c>
      <c r="Q784" s="343"/>
      <c r="R784" s="343"/>
      <c r="S784" s="343"/>
      <c r="T784" s="7"/>
      <c r="U784" s="349"/>
      <c r="V784" s="349"/>
    </row>
    <row r="785" spans="1:22" s="534" customFormat="1" ht="12.75" customHeight="1" x14ac:dyDescent="0.25">
      <c r="A785" s="343"/>
      <c r="B785" s="15"/>
      <c r="C785" s="15"/>
      <c r="D785" s="1454"/>
      <c r="E785" s="2612" t="str">
        <f>Translations!$B$631</f>
        <v>Särskild emissionsfaktor (facklad restgas)</v>
      </c>
      <c r="F785" s="2487"/>
      <c r="G785" s="384" t="str">
        <f>EUconst_tCO2pTJ</f>
        <v>t CO2 / TJ</v>
      </c>
      <c r="H785" s="740" t="str">
        <f>IF($I641="","",IF(INDEX(F_ProductBM!H:H,MATCH($P785,F_ProductBM!$Q:$Q,0))="","",INDEX(F_ProductBM!H:H,MATCH($P785,F_ProductBM!$Q:$Q,0))))</f>
        <v/>
      </c>
      <c r="I785" s="1154" t="str">
        <f>IF($I641="","",IF(INDEX(F_ProductBM!I:I,MATCH($P785,F_ProductBM!$Q:$Q,0))="","",INDEX(F_ProductBM!I:I,MATCH($P785,F_ProductBM!$Q:$Q,0))))</f>
        <v/>
      </c>
      <c r="J785" s="1160" t="str">
        <f>IF($I641="","",IF(INDEX(F_ProductBM!J:J,MATCH($P785,F_ProductBM!$Q:$Q,0))="","",INDEX(F_ProductBM!J:J,MATCH($P785,F_ProductBM!$Q:$Q,0))))</f>
        <v/>
      </c>
      <c r="K785" s="740" t="str">
        <f>IF($I641="","",IF(INDEX(F_ProductBM!K:K,MATCH($P785,F_ProductBM!$Q:$Q,0))="","",INDEX(F_ProductBM!K:K,MATCH($P785,F_ProductBM!$Q:$Q,0))))</f>
        <v/>
      </c>
      <c r="L785" s="740" t="str">
        <f>IF($I641="","",IF(INDEX(F_ProductBM!L:L,MATCH($P785,F_ProductBM!$Q:$Q,0))="","",INDEX(F_ProductBM!L:L,MATCH($P785,F_ProductBM!$Q:$Q,0))))</f>
        <v/>
      </c>
      <c r="M785" s="740" t="str">
        <f>IF($I641="","",IF(INDEX(F_ProductBM!M:M,MATCH($P785,F_ProductBM!$Q:$Q,0))="","",INDEX(F_ProductBM!M:M,MATCH($P785,F_ProductBM!$Q:$Q,0))))</f>
        <v/>
      </c>
      <c r="N785" s="1457" t="str">
        <f>IF($I641="","",IF(INDEX(F_ProductBM!N:N,MATCH($P785,F_ProductBM!$Q:$Q,0))="","",INDEX(F_ProductBM!N:N,MATCH($P785,F_ProductBM!$Q:$Q,0))))</f>
        <v/>
      </c>
      <c r="O785" s="19"/>
      <c r="P785" s="298" t="str">
        <f>EUconst_CNTR_WGFlaredEF &amp; I641</f>
        <v>WasteGasFlareEF_</v>
      </c>
      <c r="Q785" s="343"/>
      <c r="R785" s="343"/>
      <c r="S785" s="343"/>
      <c r="T785" s="7"/>
      <c r="U785" s="349"/>
      <c r="V785" s="349"/>
    </row>
    <row r="786" spans="1:22" s="534" customFormat="1" ht="12.75" customHeight="1" x14ac:dyDescent="0.25">
      <c r="A786" s="343"/>
      <c r="B786" s="15"/>
      <c r="C786" s="15"/>
      <c r="D786" s="1454"/>
      <c r="E786" s="2611" t="str">
        <f>Translations!$B$636</f>
        <v>Importerad restgas</v>
      </c>
      <c r="F786" s="2484"/>
      <c r="G786" s="365" t="str">
        <f>EUconst_TJpa</f>
        <v>TJ / år</v>
      </c>
      <c r="H786" s="739" t="str">
        <f>IF($I641="","",IF(INDEX(F_ProductBM!H:H,MATCH($P786,F_ProductBM!$Q:$Q,0))="","",INDEX(F_ProductBM!H:H,MATCH($P786,F_ProductBM!$Q:$Q,0))))</f>
        <v/>
      </c>
      <c r="I786" s="1153" t="str">
        <f>IF($I641="","",IF(INDEX(F_ProductBM!I:I,MATCH($P786,F_ProductBM!$Q:$Q,0))="","",INDEX(F_ProductBM!I:I,MATCH($P786,F_ProductBM!$Q:$Q,0))))</f>
        <v/>
      </c>
      <c r="J786" s="1159" t="str">
        <f>IF($I641="","",IF(INDEX(F_ProductBM!J:J,MATCH($P786,F_ProductBM!$Q:$Q,0))="","",INDEX(F_ProductBM!J:J,MATCH($P786,F_ProductBM!$Q:$Q,0))))</f>
        <v/>
      </c>
      <c r="K786" s="739" t="str">
        <f>IF($I641="","",IF(INDEX(F_ProductBM!K:K,MATCH($P786,F_ProductBM!$Q:$Q,0))="","",INDEX(F_ProductBM!K:K,MATCH($P786,F_ProductBM!$Q:$Q,0))))</f>
        <v/>
      </c>
      <c r="L786" s="739" t="str">
        <f>IF($I641="","",IF(INDEX(F_ProductBM!L:L,MATCH($P786,F_ProductBM!$Q:$Q,0))="","",INDEX(F_ProductBM!L:L,MATCH($P786,F_ProductBM!$Q:$Q,0))))</f>
        <v/>
      </c>
      <c r="M786" s="739" t="str">
        <f>IF($I641="","",IF(INDEX(F_ProductBM!M:M,MATCH($P786,F_ProductBM!$Q:$Q,0))="","",INDEX(F_ProductBM!M:M,MATCH($P786,F_ProductBM!$Q:$Q,0))))</f>
        <v/>
      </c>
      <c r="N786" s="1456" t="str">
        <f>IF($I641="","",IF(INDEX(F_ProductBM!N:N,MATCH($P786,F_ProductBM!$Q:$Q,0))="","",INDEX(F_ProductBM!N:N,MATCH($P786,F_ProductBM!$Q:$Q,0))))</f>
        <v/>
      </c>
      <c r="O786" s="19"/>
      <c r="P786" s="298" t="str">
        <f>EUconst_CNTR_WGImport &amp; I641</f>
        <v>WasteGasIm_</v>
      </c>
      <c r="Q786" s="343"/>
      <c r="R786" s="343"/>
      <c r="S786" s="343"/>
      <c r="T786" s="7"/>
      <c r="U786" s="349"/>
      <c r="V786" s="349"/>
    </row>
    <row r="787" spans="1:22" s="534" customFormat="1" ht="12.75" customHeight="1" x14ac:dyDescent="0.25">
      <c r="A787" s="343"/>
      <c r="B787" s="15"/>
      <c r="C787" s="15"/>
      <c r="D787" s="1454"/>
      <c r="E787" s="1776" t="str">
        <f>Translations!$B$637</f>
        <v>Särskild emissionsfaktor (importerad restgas)</v>
      </c>
      <c r="F787" s="1776"/>
      <c r="G787" s="624" t="str">
        <f>EUconst_tCO2pTJ</f>
        <v>t CO2 / TJ</v>
      </c>
      <c r="H787" s="740" t="str">
        <f>IF($I641="","",IF(INDEX(F_ProductBM!H:H,MATCH($P787,F_ProductBM!$Q:$Q,0))="","",INDEX(F_ProductBM!H:H,MATCH($P787,F_ProductBM!$Q:$Q,0))))</f>
        <v/>
      </c>
      <c r="I787" s="1154" t="str">
        <f>IF($I641="","",IF(INDEX(F_ProductBM!I:I,MATCH($P787,F_ProductBM!$Q:$Q,0))="","",INDEX(F_ProductBM!I:I,MATCH($P787,F_ProductBM!$Q:$Q,0))))</f>
        <v/>
      </c>
      <c r="J787" s="1160" t="str">
        <f>IF($I641="","",IF(INDEX(F_ProductBM!J:J,MATCH($P787,F_ProductBM!$Q:$Q,0))="","",INDEX(F_ProductBM!J:J,MATCH($P787,F_ProductBM!$Q:$Q,0))))</f>
        <v/>
      </c>
      <c r="K787" s="740" t="str">
        <f>IF($I641="","",IF(INDEX(F_ProductBM!K:K,MATCH($P787,F_ProductBM!$Q:$Q,0))="","",INDEX(F_ProductBM!K:K,MATCH($P787,F_ProductBM!$Q:$Q,0))))</f>
        <v/>
      </c>
      <c r="L787" s="740" t="str">
        <f>IF($I641="","",IF(INDEX(F_ProductBM!L:L,MATCH($P787,F_ProductBM!$Q:$Q,0))="","",INDEX(F_ProductBM!L:L,MATCH($P787,F_ProductBM!$Q:$Q,0))))</f>
        <v/>
      </c>
      <c r="M787" s="740" t="str">
        <f>IF($I641="","",IF(INDEX(F_ProductBM!M:M,MATCH($P787,F_ProductBM!$Q:$Q,0))="","",INDEX(F_ProductBM!M:M,MATCH($P787,F_ProductBM!$Q:$Q,0))))</f>
        <v/>
      </c>
      <c r="N787" s="1457" t="str">
        <f>IF($I641="","",IF(INDEX(F_ProductBM!N:N,MATCH($P787,F_ProductBM!$Q:$Q,0))="","",INDEX(F_ProductBM!N:N,MATCH($P787,F_ProductBM!$Q:$Q,0))))</f>
        <v/>
      </c>
      <c r="O787" s="19"/>
      <c r="P787" s="298" t="str">
        <f>EUconst_CNTR_WGImportEF &amp; I641</f>
        <v>WasteGasImEF_</v>
      </c>
      <c r="Q787" s="343"/>
      <c r="R787" s="343"/>
      <c r="S787" s="343"/>
      <c r="T787" s="7"/>
      <c r="U787" s="349"/>
      <c r="V787" s="349"/>
    </row>
    <row r="788" spans="1:22" s="534" customFormat="1" ht="12.75" customHeight="1" x14ac:dyDescent="0.25">
      <c r="A788" s="343"/>
      <c r="B788" s="15"/>
      <c r="C788" s="15"/>
      <c r="D788" s="1454"/>
      <c r="E788" s="2611" t="str">
        <f>Translations!$B$641</f>
        <v>Exporterad restgas</v>
      </c>
      <c r="F788" s="2484"/>
      <c r="G788" s="365" t="str">
        <f>EUconst_TJpa</f>
        <v>TJ / år</v>
      </c>
      <c r="H788" s="739" t="str">
        <f>IF($I641="","",IF(INDEX(F_ProductBM!H:H,MATCH($P788,F_ProductBM!$Q:$Q,0))="","",INDEX(F_ProductBM!H:H,MATCH($P788,F_ProductBM!$Q:$Q,0))))</f>
        <v/>
      </c>
      <c r="I788" s="1153" t="str">
        <f>IF($I641="","",IF(INDEX(F_ProductBM!I:I,MATCH($P788,F_ProductBM!$Q:$Q,0))="","",INDEX(F_ProductBM!I:I,MATCH($P788,F_ProductBM!$Q:$Q,0))))</f>
        <v/>
      </c>
      <c r="J788" s="1159" t="str">
        <f>IF($I641="","",IF(INDEX(F_ProductBM!J:J,MATCH($P788,F_ProductBM!$Q:$Q,0))="","",INDEX(F_ProductBM!J:J,MATCH($P788,F_ProductBM!$Q:$Q,0))))</f>
        <v/>
      </c>
      <c r="K788" s="739" t="str">
        <f>IF($I641="","",IF(INDEX(F_ProductBM!K:K,MATCH($P788,F_ProductBM!$Q:$Q,0))="","",INDEX(F_ProductBM!K:K,MATCH($P788,F_ProductBM!$Q:$Q,0))))</f>
        <v/>
      </c>
      <c r="L788" s="739" t="str">
        <f>IF($I641="","",IF(INDEX(F_ProductBM!L:L,MATCH($P788,F_ProductBM!$Q:$Q,0))="","",INDEX(F_ProductBM!L:L,MATCH($P788,F_ProductBM!$Q:$Q,0))))</f>
        <v/>
      </c>
      <c r="M788" s="739" t="str">
        <f>IF($I641="","",IF(INDEX(F_ProductBM!M:M,MATCH($P788,F_ProductBM!$Q:$Q,0))="","",INDEX(F_ProductBM!M:M,MATCH($P788,F_ProductBM!$Q:$Q,0))))</f>
        <v/>
      </c>
      <c r="N788" s="1456" t="str">
        <f>IF($I641="","",IF(INDEX(F_ProductBM!N:N,MATCH($P788,F_ProductBM!$Q:$Q,0))="","",INDEX(F_ProductBM!N:N,MATCH($P788,F_ProductBM!$Q:$Q,0))))</f>
        <v/>
      </c>
      <c r="O788" s="19"/>
      <c r="P788" s="298" t="str">
        <f>EUconst_CNTR_WGExport &amp; I641</f>
        <v>WasteGasEx_</v>
      </c>
      <c r="Q788" s="343"/>
      <c r="R788" s="343"/>
      <c r="S788" s="343"/>
      <c r="T788" s="7"/>
      <c r="U788" s="349"/>
      <c r="V788" s="349"/>
    </row>
    <row r="789" spans="1:22" s="534" customFormat="1" ht="12.75" customHeight="1" x14ac:dyDescent="0.25">
      <c r="A789" s="343"/>
      <c r="B789" s="15"/>
      <c r="C789" s="15"/>
      <c r="D789" s="1454"/>
      <c r="E789" s="2612" t="str">
        <f>Translations!$B$642</f>
        <v>Särskild emissionsfaktor (exporterad restgas)</v>
      </c>
      <c r="F789" s="2487"/>
      <c r="G789" s="624" t="str">
        <f>EUconst_tCO2pTJ</f>
        <v>t CO2 / TJ</v>
      </c>
      <c r="H789" s="740" t="str">
        <f>IF($I641="","",IF(INDEX(F_ProductBM!H:H,MATCH($P789,F_ProductBM!$Q:$Q,0))="","",INDEX(F_ProductBM!H:H,MATCH($P789,F_ProductBM!$Q:$Q,0))))</f>
        <v/>
      </c>
      <c r="I789" s="1154" t="str">
        <f>IF($I641="","",IF(INDEX(F_ProductBM!I:I,MATCH($P789,F_ProductBM!$Q:$Q,0))="","",INDEX(F_ProductBM!I:I,MATCH($P789,F_ProductBM!$Q:$Q,0))))</f>
        <v/>
      </c>
      <c r="J789" s="1160" t="str">
        <f>IF($I641="","",IF(INDEX(F_ProductBM!J:J,MATCH($P789,F_ProductBM!$Q:$Q,0))="","",INDEX(F_ProductBM!J:J,MATCH($P789,F_ProductBM!$Q:$Q,0))))</f>
        <v/>
      </c>
      <c r="K789" s="740" t="str">
        <f>IF($I641="","",IF(INDEX(F_ProductBM!K:K,MATCH($P789,F_ProductBM!$Q:$Q,0))="","",INDEX(F_ProductBM!K:K,MATCH($P789,F_ProductBM!$Q:$Q,0))))</f>
        <v/>
      </c>
      <c r="L789" s="740" t="str">
        <f>IF($I641="","",IF(INDEX(F_ProductBM!L:L,MATCH($P789,F_ProductBM!$Q:$Q,0))="","",INDEX(F_ProductBM!L:L,MATCH($P789,F_ProductBM!$Q:$Q,0))))</f>
        <v/>
      </c>
      <c r="M789" s="740" t="str">
        <f>IF($I641="","",IF(INDEX(F_ProductBM!M:M,MATCH($P789,F_ProductBM!$Q:$Q,0))="","",INDEX(F_ProductBM!M:M,MATCH($P789,F_ProductBM!$Q:$Q,0))))</f>
        <v/>
      </c>
      <c r="N789" s="1457" t="str">
        <f>IF($I641="","",IF(INDEX(F_ProductBM!N:N,MATCH($P789,F_ProductBM!$Q:$Q,0))="","",INDEX(F_ProductBM!N:N,MATCH($P789,F_ProductBM!$Q:$Q,0))))</f>
        <v/>
      </c>
      <c r="O789" s="19"/>
      <c r="P789" s="298" t="str">
        <f>EUconst_CNTR_WGExportEF &amp; I641</f>
        <v>WasteGasExEF_</v>
      </c>
      <c r="Q789" s="343"/>
      <c r="R789" s="343"/>
      <c r="S789" s="343"/>
      <c r="T789" s="7"/>
      <c r="U789" s="349"/>
      <c r="V789" s="349"/>
    </row>
    <row r="790" spans="1:22" s="534" customFormat="1" ht="5.15" customHeight="1" x14ac:dyDescent="0.25">
      <c r="A790" s="343"/>
      <c r="B790" s="15"/>
      <c r="C790" s="15"/>
      <c r="D790" s="1454"/>
      <c r="E790" s="899"/>
      <c r="F790" s="899"/>
      <c r="G790" s="416"/>
      <c r="H790" s="741"/>
      <c r="I790" s="741"/>
      <c r="J790" s="741"/>
      <c r="K790" s="741"/>
      <c r="L790" s="741"/>
      <c r="M790" s="741"/>
      <c r="N790" s="1458"/>
      <c r="O790" s="19"/>
      <c r="P790" s="7"/>
      <c r="Q790" s="343"/>
      <c r="R790" s="343"/>
      <c r="S790" s="343"/>
      <c r="T790" s="7"/>
      <c r="U790" s="349"/>
      <c r="V790" s="349"/>
    </row>
    <row r="791" spans="1:22" s="534" customFormat="1" ht="12.75" customHeight="1" x14ac:dyDescent="0.25">
      <c r="A791" s="343"/>
      <c r="B791" s="15"/>
      <c r="C791" s="15"/>
      <c r="D791" s="1454"/>
      <c r="E791" s="2613" t="str">
        <f>Translations!$B$530</f>
        <v>Relevant elförbrukning</v>
      </c>
      <c r="F791" s="1997"/>
      <c r="G791" s="364" t="str">
        <f>EUconst_MWhpa</f>
        <v>MWh / år</v>
      </c>
      <c r="H791" s="742" t="str">
        <f>IF($I641="","",IF(INDEX(F_ProductBM!H:H,MATCH($P791,F_ProductBM!$R:$R,0))="","",INDEX(F_ProductBM!H:H,MATCH($P791,F_ProductBM!$R:$R,0))))</f>
        <v/>
      </c>
      <c r="I791" s="1021" t="str">
        <f>IF($I641="","",IF(INDEX(F_ProductBM!I:I,MATCH($P791,F_ProductBM!$R:$R,0))="","",INDEX(F_ProductBM!I:I,MATCH($P791,F_ProductBM!$R:$R,0))))</f>
        <v/>
      </c>
      <c r="J791" s="1158" t="str">
        <f>IF($I641="","",IF(INDEX(F_ProductBM!J:J,MATCH($P791,F_ProductBM!$R:$R,0))="","",INDEX(F_ProductBM!J:J,MATCH($P791,F_ProductBM!$R:$R,0))))</f>
        <v/>
      </c>
      <c r="K791" s="742" t="str">
        <f>IF($I641="","",IF(INDEX(F_ProductBM!K:K,MATCH($P791,F_ProductBM!$R:$R,0))="","",INDEX(F_ProductBM!K:K,MATCH($P791,F_ProductBM!$R:$R,0))))</f>
        <v/>
      </c>
      <c r="L791" s="742" t="str">
        <f>IF($I641="","",IF(INDEX(F_ProductBM!L:L,MATCH($P791,F_ProductBM!$R:$R,0))="","",INDEX(F_ProductBM!L:L,MATCH($P791,F_ProductBM!$R:$R,0))))</f>
        <v/>
      </c>
      <c r="M791" s="742" t="str">
        <f>IF($I641="","",IF(INDEX(F_ProductBM!M:M,MATCH($P791,F_ProductBM!$R:$R,0))="","",INDEX(F_ProductBM!M:M,MATCH($P791,F_ProductBM!$R:$R,0))))</f>
        <v/>
      </c>
      <c r="N791" s="1459" t="str">
        <f>IF($I641="","",IF(INDEX(F_ProductBM!N:N,MATCH($P791,F_ProductBM!$R:$R,0))="","",INDEX(F_ProductBM!N:N,MATCH($P791,F_ProductBM!$R:$R,0))))</f>
        <v/>
      </c>
      <c r="O791" s="19"/>
      <c r="P791" s="165" t="str">
        <f>EUconst_CNTR_HAL&amp;EUconst_CNTR_ELEXCH &amp; I641</f>
        <v>HAL_ELEXCH_</v>
      </c>
      <c r="Q791" s="343"/>
      <c r="R791" s="343"/>
      <c r="S791" s="343"/>
      <c r="T791" s="7"/>
      <c r="U791" s="349"/>
      <c r="V791" s="349"/>
    </row>
    <row r="792" spans="1:22" s="534" customFormat="1" ht="12.75" customHeight="1" x14ac:dyDescent="0.25">
      <c r="A792" s="343"/>
      <c r="B792" s="15"/>
      <c r="C792" s="15"/>
      <c r="D792" s="1454"/>
      <c r="E792" s="2613" t="str">
        <f>Translations!$B$645</f>
        <v>Producerad el</v>
      </c>
      <c r="F792" s="1997"/>
      <c r="G792" s="364" t="str">
        <f>EUconst_MWhpa</f>
        <v>MWh / år</v>
      </c>
      <c r="H792" s="742" t="str">
        <f>IF($I641="","",IF(INDEX(F_ProductBM!H:H,MATCH($P792,F_ProductBM!$Q:$Q,0))="","",INDEX(F_ProductBM!H:H,MATCH($P792,F_ProductBM!$Q:$Q,0))))</f>
        <v/>
      </c>
      <c r="I792" s="1021" t="str">
        <f>IF($I641="","",IF(INDEX(F_ProductBM!I:I,MATCH($P792,F_ProductBM!$Q:$Q,0))="","",INDEX(F_ProductBM!I:I,MATCH($P792,F_ProductBM!$Q:$Q,0))))</f>
        <v/>
      </c>
      <c r="J792" s="1158" t="str">
        <f>IF($I641="","",IF(INDEX(F_ProductBM!J:J,MATCH($P792,F_ProductBM!$Q:$Q,0))="","",INDEX(F_ProductBM!J:J,MATCH($P792,F_ProductBM!$Q:$Q,0))))</f>
        <v/>
      </c>
      <c r="K792" s="742" t="str">
        <f>IF($I641="","",IF(INDEX(F_ProductBM!K:K,MATCH($P792,F_ProductBM!$Q:$Q,0))="","",INDEX(F_ProductBM!K:K,MATCH($P792,F_ProductBM!$Q:$Q,0))))</f>
        <v/>
      </c>
      <c r="L792" s="742" t="str">
        <f>IF($I641="","",IF(INDEX(F_ProductBM!L:L,MATCH($P792,F_ProductBM!$Q:$Q,0))="","",INDEX(F_ProductBM!L:L,MATCH($P792,F_ProductBM!$Q:$Q,0))))</f>
        <v/>
      </c>
      <c r="M792" s="742" t="str">
        <f>IF($I641="","",IF(INDEX(F_ProductBM!M:M,MATCH($P792,F_ProductBM!$Q:$Q,0))="","",INDEX(F_ProductBM!M:M,MATCH($P792,F_ProductBM!$Q:$Q,0))))</f>
        <v/>
      </c>
      <c r="N792" s="1459" t="str">
        <f>IF($I641="","",IF(INDEX(F_ProductBM!N:N,MATCH($P792,F_ProductBM!$Q:$Q,0))="","",INDEX(F_ProductBM!N:N,MATCH($P792,F_ProductBM!$Q:$Q,0))))</f>
        <v/>
      </c>
      <c r="O792" s="19"/>
      <c r="P792" s="298" t="str">
        <f>EUconst_CNTR_ElectricityExported &amp; I641</f>
        <v>ElecEx_</v>
      </c>
      <c r="Q792" s="343"/>
      <c r="R792" s="343"/>
      <c r="S792" s="343"/>
      <c r="T792" s="7"/>
      <c r="U792" s="349"/>
      <c r="V792" s="349"/>
    </row>
    <row r="793" spans="1:22" s="534" customFormat="1" ht="5.15" customHeight="1" x14ac:dyDescent="0.25">
      <c r="A793" s="343"/>
      <c r="B793" s="15"/>
      <c r="C793" s="15"/>
      <c r="D793" s="1454"/>
      <c r="E793" s="899"/>
      <c r="F793" s="899"/>
      <c r="G793" s="416"/>
      <c r="H793" s="741"/>
      <c r="I793" s="741"/>
      <c r="J793" s="741"/>
      <c r="K793" s="741"/>
      <c r="L793" s="741"/>
      <c r="M793" s="741"/>
      <c r="N793" s="1458"/>
      <c r="O793" s="19"/>
      <c r="P793" s="7"/>
      <c r="Q793" s="343"/>
      <c r="R793" s="343"/>
      <c r="S793" s="343"/>
      <c r="T793" s="7"/>
      <c r="U793" s="349"/>
      <c r="V793" s="349"/>
    </row>
    <row r="794" spans="1:22" s="534" customFormat="1" ht="12.75" customHeight="1" x14ac:dyDescent="0.25">
      <c r="A794" s="343"/>
      <c r="B794" s="15"/>
      <c r="C794" s="15"/>
      <c r="D794" s="1454"/>
      <c r="E794" s="2613" t="str">
        <f>Translations!$B$646</f>
        <v>Total producerad massamängd</v>
      </c>
      <c r="F794" s="1997"/>
      <c r="G794" s="364" t="str">
        <f>EUconst_Tons</f>
        <v>ton</v>
      </c>
      <c r="H794" s="742" t="str">
        <f>IF($I641="","",IF(INDEX(F_ProductBM!H:H,MATCH($P794,F_ProductBM!$Q:$Q,0))="","",INDEX(F_ProductBM!H:H,MATCH($P794,F_ProductBM!$Q:$Q,0))))</f>
        <v/>
      </c>
      <c r="I794" s="1021" t="str">
        <f>IF($I641="","",IF(INDEX(F_ProductBM!I:I,MATCH($P794,F_ProductBM!$Q:$Q,0))="","",INDEX(F_ProductBM!I:I,MATCH($P794,F_ProductBM!$Q:$Q,0))))</f>
        <v/>
      </c>
      <c r="J794" s="1158" t="str">
        <f>IF($I641="","",IF(INDEX(F_ProductBM!J:J,MATCH($P794,F_ProductBM!$Q:$Q,0))="","",INDEX(F_ProductBM!J:J,MATCH($P794,F_ProductBM!$Q:$Q,0))))</f>
        <v/>
      </c>
      <c r="K794" s="742" t="str">
        <f>IF($I641="","",IF(INDEX(F_ProductBM!K:K,MATCH($P794,F_ProductBM!$Q:$Q,0))="","",INDEX(F_ProductBM!K:K,MATCH($P794,F_ProductBM!$Q:$Q,0))))</f>
        <v/>
      </c>
      <c r="L794" s="742" t="str">
        <f>IF($I641="","",IF(INDEX(F_ProductBM!L:L,MATCH($P794,F_ProductBM!$Q:$Q,0))="","",INDEX(F_ProductBM!L:L,MATCH($P794,F_ProductBM!$Q:$Q,0))))</f>
        <v/>
      </c>
      <c r="M794" s="742" t="str">
        <f>IF($I641="","",IF(INDEX(F_ProductBM!M:M,MATCH($P794,F_ProductBM!$Q:$Q,0))="","",INDEX(F_ProductBM!M:M,MATCH($P794,F_ProductBM!$Q:$Q,0))))</f>
        <v/>
      </c>
      <c r="N794" s="1459" t="str">
        <f>IF($I641="","",IF(INDEX(F_ProductBM!N:N,MATCH($P794,F_ProductBM!$Q:$Q,0))="","",INDEX(F_ProductBM!N:N,MATCH($P794,F_ProductBM!$Q:$Q,0))))</f>
        <v/>
      </c>
      <c r="O794" s="19"/>
      <c r="P794" s="298" t="str">
        <f>EUconst_CNTR_HALPulpTotal &amp; I641</f>
        <v>HALPulpTotal_</v>
      </c>
      <c r="Q794" s="343"/>
      <c r="R794" s="343"/>
      <c r="S794" s="343"/>
      <c r="T794" s="7"/>
      <c r="U794" s="349"/>
      <c r="V794" s="349"/>
    </row>
    <row r="795" spans="1:22" s="534" customFormat="1" ht="5.15" customHeight="1" x14ac:dyDescent="0.25">
      <c r="A795" s="343"/>
      <c r="B795" s="15"/>
      <c r="C795" s="15"/>
      <c r="D795" s="1454"/>
      <c r="E795" s="899"/>
      <c r="F795" s="899"/>
      <c r="G795" s="416"/>
      <c r="H795" s="741"/>
      <c r="I795" s="741"/>
      <c r="J795" s="741"/>
      <c r="K795" s="741"/>
      <c r="L795" s="741"/>
      <c r="M795" s="741"/>
      <c r="N795" s="1458"/>
      <c r="O795" s="19"/>
      <c r="P795" s="7"/>
      <c r="Q795" s="343"/>
      <c r="R795" s="343"/>
      <c r="S795" s="343"/>
      <c r="T795" s="7"/>
      <c r="U795" s="349"/>
      <c r="V795" s="349"/>
    </row>
    <row r="796" spans="1:22" s="534" customFormat="1" x14ac:dyDescent="0.25">
      <c r="A796" s="343"/>
      <c r="B796" s="15"/>
      <c r="C796" s="15"/>
      <c r="D796" s="1454"/>
      <c r="E796" s="2785" t="str">
        <f>Translations!$B$1057</f>
        <v>Mellanimport:</v>
      </c>
      <c r="F796" s="2497"/>
      <c r="G796" s="416"/>
      <c r="H796" s="741"/>
      <c r="I796" s="741"/>
      <c r="J796" s="741"/>
      <c r="K796" s="741"/>
      <c r="L796" s="741"/>
      <c r="M796" s="741"/>
      <c r="N796" s="1458"/>
      <c r="O796" s="19"/>
      <c r="P796" s="7"/>
      <c r="Q796" s="343"/>
      <c r="R796" s="343"/>
      <c r="S796" s="343"/>
      <c r="T796" s="7"/>
      <c r="U796" s="349"/>
      <c r="V796" s="349"/>
    </row>
    <row r="797" spans="1:22" s="534" customFormat="1" x14ac:dyDescent="0.25">
      <c r="A797" s="343"/>
      <c r="B797" s="15"/>
      <c r="C797" s="15"/>
      <c r="D797" s="1454"/>
      <c r="E797" s="2617" t="str">
        <f>IF(I641="","",IF(INDEX(F_ProductBM!E:E,MATCH($P797,F_ProductBM!$Q:$Q,0))="","",INDEX(F_ProductBM!E:E,MATCH($P797,F_ProductBM!$Q:$Q,0))))</f>
        <v/>
      </c>
      <c r="F797" s="1997"/>
      <c r="G797" s="364" t="str">
        <f>EUconst_Tons</f>
        <v>ton</v>
      </c>
      <c r="H797" s="742" t="str">
        <f>IF($I641="","",IF(INDEX(F_ProductBM!H:H,MATCH($P797,F_ProductBM!$Q:$Q,0))="","",INDEX(F_ProductBM!H:H,MATCH($P797,F_ProductBM!$Q:$Q,0))))</f>
        <v/>
      </c>
      <c r="I797" s="1021" t="str">
        <f>IF($I641="","",IF(INDEX(F_ProductBM!I:I,MATCH($P797,F_ProductBM!$Q:$Q,0))="","",INDEX(F_ProductBM!I:I,MATCH($P797,F_ProductBM!$Q:$Q,0))))</f>
        <v/>
      </c>
      <c r="J797" s="1158" t="str">
        <f>IF($I641="","",IF(INDEX(F_ProductBM!J:J,MATCH($P797,F_ProductBM!$Q:$Q,0))="","",INDEX(F_ProductBM!J:J,MATCH($P797,F_ProductBM!$Q:$Q,0))))</f>
        <v/>
      </c>
      <c r="K797" s="742" t="str">
        <f>IF($I641="","",IF(INDEX(F_ProductBM!K:K,MATCH($P797,F_ProductBM!$Q:$Q,0))="","",INDEX(F_ProductBM!K:K,MATCH($P797,F_ProductBM!$Q:$Q,0))))</f>
        <v/>
      </c>
      <c r="L797" s="742" t="str">
        <f>IF($I641="","",IF(INDEX(F_ProductBM!L:L,MATCH($P797,F_ProductBM!$Q:$Q,0))="","",INDEX(F_ProductBM!L:L,MATCH($P797,F_ProductBM!$Q:$Q,0))))</f>
        <v/>
      </c>
      <c r="M797" s="742" t="str">
        <f>IF($I641="","",IF(INDEX(F_ProductBM!M:M,MATCH($P797,F_ProductBM!$Q:$Q,0))="","",INDEX(F_ProductBM!M:M,MATCH($P797,F_ProductBM!$Q:$Q,0))))</f>
        <v/>
      </c>
      <c r="N797" s="1459" t="str">
        <f>IF($I641="","",IF(INDEX(F_ProductBM!N:N,MATCH($P797,F_ProductBM!$Q:$Q,0))="","",INDEX(F_ProductBM!N:N,MATCH($P797,F_ProductBM!$Q:$Q,0))))</f>
        <v/>
      </c>
      <c r="O797" s="19"/>
      <c r="P797" s="298" t="str">
        <f>EUconst_CNTR_IntermediateImport &amp; R797 &amp; "_" &amp; I641</f>
        <v>IntImp_1_</v>
      </c>
      <c r="Q797" s="343"/>
      <c r="R797" s="663">
        <v>1</v>
      </c>
      <c r="S797" s="343"/>
      <c r="T797" s="7"/>
      <c r="U797" s="349"/>
      <c r="V797" s="349"/>
    </row>
    <row r="798" spans="1:22" s="534" customFormat="1" x14ac:dyDescent="0.25">
      <c r="A798" s="343"/>
      <c r="B798" s="15"/>
      <c r="C798" s="15"/>
      <c r="D798" s="1454"/>
      <c r="E798" s="2617" t="str">
        <f>IF(I641="","",IF(INDEX(F_ProductBM!E:E,MATCH($P798,F_ProductBM!$Q:$Q,0))="","",INDEX(F_ProductBM!E:E,MATCH($P798,F_ProductBM!$Q:$Q,0))))</f>
        <v/>
      </c>
      <c r="F798" s="1997"/>
      <c r="G798" s="364" t="str">
        <f>EUconst_Tons</f>
        <v>ton</v>
      </c>
      <c r="H798" s="742" t="str">
        <f>IF($I641="","",IF(INDEX(F_ProductBM!H:H,MATCH($P798,F_ProductBM!$Q:$Q,0))="","",INDEX(F_ProductBM!H:H,MATCH($P798,F_ProductBM!$Q:$Q,0))))</f>
        <v/>
      </c>
      <c r="I798" s="1021" t="str">
        <f>IF($I641="","",IF(INDEX(F_ProductBM!I:I,MATCH($P798,F_ProductBM!$Q:$Q,0))="","",INDEX(F_ProductBM!I:I,MATCH($P798,F_ProductBM!$Q:$Q,0))))</f>
        <v/>
      </c>
      <c r="J798" s="1158" t="str">
        <f>IF($I641="","",IF(INDEX(F_ProductBM!J:J,MATCH($P798,F_ProductBM!$Q:$Q,0))="","",INDEX(F_ProductBM!J:J,MATCH($P798,F_ProductBM!$Q:$Q,0))))</f>
        <v/>
      </c>
      <c r="K798" s="742" t="str">
        <f>IF($I641="","",IF(INDEX(F_ProductBM!K:K,MATCH($P798,F_ProductBM!$Q:$Q,0))="","",INDEX(F_ProductBM!K:K,MATCH($P798,F_ProductBM!$Q:$Q,0))))</f>
        <v/>
      </c>
      <c r="L798" s="742" t="str">
        <f>IF($I641="","",IF(INDEX(F_ProductBM!L:L,MATCH($P798,F_ProductBM!$Q:$Q,0))="","",INDEX(F_ProductBM!L:L,MATCH($P798,F_ProductBM!$Q:$Q,0))))</f>
        <v/>
      </c>
      <c r="M798" s="742" t="str">
        <f>IF($I641="","",IF(INDEX(F_ProductBM!M:M,MATCH($P798,F_ProductBM!$Q:$Q,0))="","",INDEX(F_ProductBM!M:M,MATCH($P798,F_ProductBM!$Q:$Q,0))))</f>
        <v/>
      </c>
      <c r="N798" s="1459" t="str">
        <f>IF($I641="","",IF(INDEX(F_ProductBM!N:N,MATCH($P798,F_ProductBM!$Q:$Q,0))="","",INDEX(F_ProductBM!N:N,MATCH($P798,F_ProductBM!$Q:$Q,0))))</f>
        <v/>
      </c>
      <c r="O798" s="19"/>
      <c r="P798" s="298" t="str">
        <f>EUconst_CNTR_IntermediateImport &amp; R798 &amp; "_" &amp; I641</f>
        <v>IntImp_2_</v>
      </c>
      <c r="Q798" s="343"/>
      <c r="R798" s="663">
        <v>2</v>
      </c>
      <c r="S798" s="343"/>
      <c r="T798" s="7"/>
      <c r="U798" s="349"/>
      <c r="V798" s="349"/>
    </row>
    <row r="799" spans="1:22" s="534" customFormat="1" x14ac:dyDescent="0.25">
      <c r="A799" s="343"/>
      <c r="B799" s="15"/>
      <c r="C799" s="15"/>
      <c r="D799" s="1454"/>
      <c r="E799" s="2613" t="str">
        <f>Translations!$B$1058</f>
        <v>Mellanexport:</v>
      </c>
      <c r="F799" s="1997"/>
      <c r="G799" s="416"/>
      <c r="H799" s="741"/>
      <c r="I799" s="741"/>
      <c r="J799" s="741"/>
      <c r="K799" s="741"/>
      <c r="L799" s="741"/>
      <c r="M799" s="741"/>
      <c r="N799" s="1458"/>
      <c r="O799" s="19"/>
      <c r="P799" s="7"/>
      <c r="Q799" s="343"/>
      <c r="R799" s="343"/>
      <c r="S799" s="343"/>
      <c r="T799" s="7"/>
      <c r="U799" s="349"/>
      <c r="V799" s="349"/>
    </row>
    <row r="800" spans="1:22" s="534" customFormat="1" x14ac:dyDescent="0.25">
      <c r="A800" s="343"/>
      <c r="B800" s="15"/>
      <c r="C800" s="15"/>
      <c r="D800" s="1454"/>
      <c r="E800" s="2617" t="str">
        <f>IF(I641="","",IF(INDEX(F_ProductBM!E:E,MATCH($P800,F_ProductBM!$Q:$Q,0))="","",INDEX(F_ProductBM!E:E,MATCH($P800,F_ProductBM!$Q:$Q,0))))</f>
        <v/>
      </c>
      <c r="F800" s="1997"/>
      <c r="G800" s="364" t="str">
        <f>EUconst_Tons</f>
        <v>ton</v>
      </c>
      <c r="H800" s="742" t="str">
        <f>IF($I641="","",IF(INDEX(F_ProductBM!H:H,MATCH($P800,F_ProductBM!$Q:$Q,0))="","",INDEX(F_ProductBM!H:H,MATCH($P800,F_ProductBM!$Q:$Q,0))))</f>
        <v/>
      </c>
      <c r="I800" s="1021" t="str">
        <f>IF($I641="","",IF(INDEX(F_ProductBM!I:I,MATCH($P800,F_ProductBM!$Q:$Q,0))="","",INDEX(F_ProductBM!I:I,MATCH($P800,F_ProductBM!$Q:$Q,0))))</f>
        <v/>
      </c>
      <c r="J800" s="1158" t="str">
        <f>IF($I641="","",IF(INDEX(F_ProductBM!J:J,MATCH($P800,F_ProductBM!$Q:$Q,0))="","",INDEX(F_ProductBM!J:J,MATCH($P800,F_ProductBM!$Q:$Q,0))))</f>
        <v/>
      </c>
      <c r="K800" s="742" t="str">
        <f>IF($I641="","",IF(INDEX(F_ProductBM!K:K,MATCH($P800,F_ProductBM!$Q:$Q,0))="","",INDEX(F_ProductBM!K:K,MATCH($P800,F_ProductBM!$Q:$Q,0))))</f>
        <v/>
      </c>
      <c r="L800" s="742" t="str">
        <f>IF($I641="","",IF(INDEX(F_ProductBM!L:L,MATCH($P800,F_ProductBM!$Q:$Q,0))="","",INDEX(F_ProductBM!L:L,MATCH($P800,F_ProductBM!$Q:$Q,0))))</f>
        <v/>
      </c>
      <c r="M800" s="742" t="str">
        <f>IF($I641="","",IF(INDEX(F_ProductBM!M:M,MATCH($P800,F_ProductBM!$Q:$Q,0))="","",INDEX(F_ProductBM!M:M,MATCH($P800,F_ProductBM!$Q:$Q,0))))</f>
        <v/>
      </c>
      <c r="N800" s="1459" t="str">
        <f>IF($I641="","",IF(INDEX(F_ProductBM!N:N,MATCH($P800,F_ProductBM!$Q:$Q,0))="","",INDEX(F_ProductBM!N:N,MATCH($P800,F_ProductBM!$Q:$Q,0))))</f>
        <v/>
      </c>
      <c r="O800" s="19"/>
      <c r="P800" s="298" t="str">
        <f>EUconst_CNTR_IntermediateExport &amp; R797 &amp; "_" &amp; I641</f>
        <v>IntExp_1_</v>
      </c>
      <c r="Q800" s="343"/>
      <c r="R800" s="663">
        <v>1</v>
      </c>
      <c r="S800" s="343"/>
      <c r="T800" s="7"/>
      <c r="U800" s="349"/>
      <c r="V800" s="349"/>
    </row>
    <row r="801" spans="1:22" s="534" customFormat="1" x14ac:dyDescent="0.25">
      <c r="A801" s="343"/>
      <c r="B801" s="15"/>
      <c r="C801" s="15"/>
      <c r="D801" s="1454"/>
      <c r="E801" s="2617" t="str">
        <f>IF(I641="","",IF(INDEX(F_ProductBM!E:E,MATCH($P801,F_ProductBM!$Q:$Q,0))="","",INDEX(F_ProductBM!E:E,MATCH($P801,F_ProductBM!$Q:$Q,0))))</f>
        <v/>
      </c>
      <c r="F801" s="1997"/>
      <c r="G801" s="364" t="str">
        <f>EUconst_Tons</f>
        <v>ton</v>
      </c>
      <c r="H801" s="742" t="str">
        <f>IF($I641="","",IF(INDEX(F_ProductBM!H:H,MATCH($P801,F_ProductBM!$Q:$Q,0))="","",INDEX(F_ProductBM!H:H,MATCH($P801,F_ProductBM!$Q:$Q,0))))</f>
        <v/>
      </c>
      <c r="I801" s="1021" t="str">
        <f>IF($I641="","",IF(INDEX(F_ProductBM!I:I,MATCH($P801,F_ProductBM!$Q:$Q,0))="","",INDEX(F_ProductBM!I:I,MATCH($P801,F_ProductBM!$Q:$Q,0))))</f>
        <v/>
      </c>
      <c r="J801" s="1158" t="str">
        <f>IF($I641="","",IF(INDEX(F_ProductBM!J:J,MATCH($P801,F_ProductBM!$Q:$Q,0))="","",INDEX(F_ProductBM!J:J,MATCH($P801,F_ProductBM!$Q:$Q,0))))</f>
        <v/>
      </c>
      <c r="K801" s="742" t="str">
        <f>IF($I641="","",IF(INDEX(F_ProductBM!K:K,MATCH($P801,F_ProductBM!$Q:$Q,0))="","",INDEX(F_ProductBM!K:K,MATCH($P801,F_ProductBM!$Q:$Q,0))))</f>
        <v/>
      </c>
      <c r="L801" s="742" t="str">
        <f>IF($I641="","",IF(INDEX(F_ProductBM!L:L,MATCH($P801,F_ProductBM!$Q:$Q,0))="","",INDEX(F_ProductBM!L:L,MATCH($P801,F_ProductBM!$Q:$Q,0))))</f>
        <v/>
      </c>
      <c r="M801" s="742" t="str">
        <f>IF($I641="","",IF(INDEX(F_ProductBM!M:M,MATCH($P801,F_ProductBM!$Q:$Q,0))="","",INDEX(F_ProductBM!M:M,MATCH($P801,F_ProductBM!$Q:$Q,0))))</f>
        <v/>
      </c>
      <c r="N801" s="1459" t="str">
        <f>IF($I641="","",IF(INDEX(F_ProductBM!N:N,MATCH($P801,F_ProductBM!$Q:$Q,0))="","",INDEX(F_ProductBM!N:N,MATCH($P801,F_ProductBM!$Q:$Q,0))))</f>
        <v/>
      </c>
      <c r="O801" s="19"/>
      <c r="P801" s="298" t="str">
        <f>EUconst_CNTR_IntermediateExport &amp; R801 &amp; "_" &amp; I641</f>
        <v>IntExp_2_</v>
      </c>
      <c r="Q801" s="343"/>
      <c r="R801" s="663">
        <v>2</v>
      </c>
      <c r="S801" s="343"/>
      <c r="T801" s="7"/>
      <c r="U801" s="349"/>
      <c r="V801" s="349"/>
    </row>
    <row r="802" spans="1:22" s="534" customFormat="1" ht="12.75" customHeight="1" thickBot="1" x14ac:dyDescent="0.3">
      <c r="A802" s="343"/>
      <c r="B802" s="15"/>
      <c r="C802" s="15"/>
      <c r="D802" s="1460"/>
      <c r="E802" s="1461"/>
      <c r="F802" s="1461"/>
      <c r="G802" s="1462"/>
      <c r="H802" s="1462"/>
      <c r="I802" s="783"/>
      <c r="J802" s="783"/>
      <c r="K802" s="783"/>
      <c r="L802" s="783"/>
      <c r="M802" s="783"/>
      <c r="N802" s="784"/>
      <c r="O802" s="19"/>
      <c r="P802" s="7"/>
      <c r="Q802" s="343"/>
      <c r="R802" s="343"/>
      <c r="S802" s="343"/>
      <c r="T802" s="7"/>
      <c r="U802" s="349"/>
      <c r="V802" s="349"/>
    </row>
    <row r="803" spans="1:22" s="534" customFormat="1" ht="5.15" customHeight="1" thickBot="1" x14ac:dyDescent="0.3">
      <c r="A803" s="343"/>
      <c r="B803" s="15"/>
      <c r="C803" s="15"/>
      <c r="D803" s="15"/>
      <c r="E803" s="748"/>
      <c r="O803" s="19"/>
      <c r="P803" s="343"/>
      <c r="Q803" s="343"/>
      <c r="R803" s="343"/>
      <c r="S803" s="343"/>
      <c r="T803" s="343"/>
      <c r="U803" s="349"/>
      <c r="V803" s="349"/>
    </row>
    <row r="804" spans="1:22" s="534" customFormat="1" ht="5.15" customHeight="1" thickBot="1" x14ac:dyDescent="0.3">
      <c r="A804" s="343"/>
      <c r="B804" s="3"/>
      <c r="C804" s="230"/>
      <c r="D804" s="230"/>
      <c r="E804" s="230"/>
      <c r="F804" s="230"/>
      <c r="G804" s="230"/>
      <c r="H804" s="230"/>
      <c r="I804" s="230"/>
      <c r="J804" s="230"/>
      <c r="K804" s="230"/>
      <c r="L804" s="230"/>
      <c r="M804" s="230"/>
      <c r="N804" s="230"/>
      <c r="O804" s="19"/>
      <c r="P804" s="343"/>
      <c r="Q804" s="343"/>
      <c r="R804" s="343"/>
      <c r="S804" s="343"/>
      <c r="T804" s="343"/>
      <c r="U804" s="349"/>
      <c r="V804" s="349"/>
    </row>
    <row r="805" spans="1:22" s="534" customFormat="1" ht="15" customHeight="1" thickBot="1" x14ac:dyDescent="0.35">
      <c r="A805" s="343"/>
      <c r="B805" s="15"/>
      <c r="C805" s="17">
        <f>C641+1</f>
        <v>3</v>
      </c>
      <c r="D805" s="2053" t="str">
        <f>CONCATENATE(EUconst_BMSubinst," ",C805, ":")</f>
        <v>Delanläggning med produktriktmärke 3:</v>
      </c>
      <c r="E805" s="2053"/>
      <c r="F805" s="2053"/>
      <c r="G805" s="2053"/>
      <c r="H805" s="2081"/>
      <c r="I805" s="2090" t="str">
        <f>IF(INDEX(CNTR_SubInstListIsProdBM,$C805),INDEX(CNTR_SubInstListNames,$C805),"")</f>
        <v/>
      </c>
      <c r="J805" s="2091"/>
      <c r="K805" s="2091"/>
      <c r="L805" s="2091"/>
      <c r="M805" s="2091"/>
      <c r="N805" s="2092"/>
      <c r="O805" s="19"/>
      <c r="P805" s="343"/>
      <c r="Q805" s="723">
        <f>C805</f>
        <v>3</v>
      </c>
      <c r="R805" s="722" t="str">
        <f>I805</f>
        <v/>
      </c>
      <c r="S805" s="343"/>
      <c r="T805" s="343"/>
      <c r="U805" s="349"/>
      <c r="V805" s="349"/>
    </row>
    <row r="806" spans="1:22" s="534" customFormat="1" ht="5.15" customHeight="1" x14ac:dyDescent="0.3">
      <c r="A806" s="343"/>
      <c r="B806" s="15"/>
      <c r="C806" s="17"/>
      <c r="D806" s="17"/>
      <c r="E806" s="17"/>
      <c r="F806" s="17"/>
      <c r="G806" s="17"/>
      <c r="H806" s="17"/>
      <c r="I806" s="17"/>
      <c r="J806" s="17"/>
      <c r="K806" s="17"/>
      <c r="L806" s="17"/>
      <c r="M806" s="17"/>
      <c r="N806" s="17"/>
      <c r="O806" s="19"/>
      <c r="P806" s="343"/>
      <c r="Q806" s="343"/>
      <c r="R806" s="343"/>
      <c r="S806" s="343"/>
      <c r="T806" s="343"/>
      <c r="U806" s="349"/>
      <c r="V806" s="349"/>
    </row>
    <row r="807" spans="1:22" s="534" customFormat="1" ht="12.75" customHeight="1" x14ac:dyDescent="0.3">
      <c r="A807" s="343"/>
      <c r="B807" s="15"/>
      <c r="C807" s="17"/>
      <c r="D807" s="17"/>
      <c r="E807" s="17"/>
      <c r="F807" s="17"/>
      <c r="H807" s="506" t="str">
        <f>Translations!$B$1022</f>
        <v>KL-risk</v>
      </c>
      <c r="I807" s="506" t="s">
        <v>1380</v>
      </c>
      <c r="J807" s="506" t="str">
        <f>Translations!$B$1026</f>
        <v>I drift</v>
      </c>
      <c r="K807" s="506" t="str">
        <f>Translations!$B$1545</f>
        <v>Upphört</v>
      </c>
      <c r="L807" s="952" t="str">
        <f>Translations!$B$1024</f>
        <v>RM-nummer</v>
      </c>
      <c r="M807" s="2786" t="str">
        <f>Translations!$B$1028</f>
        <v>RM-värde</v>
      </c>
      <c r="N807" s="2786"/>
      <c r="O807" s="19"/>
      <c r="P807" s="343"/>
      <c r="Q807" s="343"/>
      <c r="R807" s="343"/>
      <c r="S807" s="343"/>
      <c r="T807" s="940"/>
      <c r="U807" s="349"/>
      <c r="V807" s="349"/>
    </row>
    <row r="808" spans="1:22" s="534" customFormat="1" ht="12.75" customHeight="1" x14ac:dyDescent="0.3">
      <c r="A808" s="343"/>
      <c r="B808" s="15"/>
      <c r="C808" s="17"/>
      <c r="D808" s="17"/>
      <c r="E808" s="508" t="str">
        <f>I805</f>
        <v/>
      </c>
      <c r="F808" s="509"/>
      <c r="G808" s="509"/>
      <c r="H808" s="510" t="str">
        <f>IF(L808=EUconst_NA,EUconst_NA,INDEX(EUconst_BMlistCLstatus,L808))</f>
        <v>Ej tillämpligt</v>
      </c>
      <c r="I808" s="510" t="str">
        <f>IF(I805="","",INDEX(EUconst_BMlistElExchangability,L808))</f>
        <v/>
      </c>
      <c r="J808" s="1045" t="str">
        <f>IF($I805="",EUconst_NA,INDEX(CNTR_SubInstStartDate,MATCH(I805,CNTR_SubInstListNames,0)))</f>
        <v>Ej tillämpligt</v>
      </c>
      <c r="K808" s="1045" t="str">
        <f>IF($I805="",EUconst_NA,IF(INDEX(CNTR_SubInstCessationDate,MATCH(I805,CNTR_SubInstListNames,0))=0,"",INDEX(CNTR_SubInstCessationDate,MATCH(I805,CNTR_SubInstListNames,0))))</f>
        <v>Ej tillämpligt</v>
      </c>
      <c r="L808" s="953" t="str">
        <f>IF($I805="",EUconst_NA,MATCH(I805,EUconst_BMlistNames,0))</f>
        <v>Ej tillämpligt</v>
      </c>
      <c r="M808" s="1744" t="str">
        <f>IF(I805="",EUconst_NA,INDEX(EUconst_BMlistBMvaluesMatrix,L808,3))</f>
        <v>Ej tillämpligt</v>
      </c>
      <c r="N808" s="1041" t="str">
        <f>EUconst_EUA &amp; "/" &amp; F811</f>
        <v>EUA/ton</v>
      </c>
      <c r="O808" s="19"/>
      <c r="P808" s="343"/>
      <c r="Q808" s="343"/>
      <c r="R808" s="343"/>
      <c r="S808" s="343"/>
      <c r="T808" s="940"/>
      <c r="U808" s="349"/>
      <c r="V808" s="349"/>
    </row>
    <row r="809" spans="1:22" s="534" customFormat="1" ht="5.15" customHeight="1" thickBot="1" x14ac:dyDescent="0.35">
      <c r="A809" s="343"/>
      <c r="B809" s="15"/>
      <c r="C809" s="15"/>
      <c r="D809" s="15"/>
      <c r="E809" s="17"/>
      <c r="J809" s="15"/>
      <c r="K809" s="15"/>
      <c r="L809" s="15"/>
      <c r="M809" s="15"/>
      <c r="N809" s="15"/>
      <c r="O809" s="19"/>
      <c r="P809" s="343"/>
      <c r="Q809" s="343"/>
      <c r="R809" s="343"/>
      <c r="S809" s="343"/>
      <c r="T809" s="7"/>
      <c r="U809" s="349"/>
      <c r="V809" s="349"/>
    </row>
    <row r="810" spans="1:22" s="534" customFormat="1" ht="12.75" customHeight="1" x14ac:dyDescent="0.25">
      <c r="A810" s="343"/>
      <c r="B810" s="15"/>
      <c r="C810" s="15"/>
      <c r="D810" s="15"/>
      <c r="E810" s="39"/>
      <c r="F810" s="13" t="str">
        <f>EUconst_Unit</f>
        <v>Enhet</v>
      </c>
      <c r="G810" s="1202" t="str">
        <f>Translations!$B$1432</f>
        <v>HAL</v>
      </c>
      <c r="H810" s="987">
        <f t="shared" ref="H810:N810" si="90">H$2596</f>
        <v>2019</v>
      </c>
      <c r="I810" s="342">
        <f t="shared" si="90"/>
        <v>2020</v>
      </c>
      <c r="J810" s="987">
        <f t="shared" si="90"/>
        <v>2021</v>
      </c>
      <c r="K810" s="320">
        <f t="shared" si="90"/>
        <v>2022</v>
      </c>
      <c r="L810" s="320">
        <f t="shared" si="90"/>
        <v>2023</v>
      </c>
      <c r="M810" s="320">
        <f t="shared" si="90"/>
        <v>2024</v>
      </c>
      <c r="N810" s="320">
        <f t="shared" si="90"/>
        <v>2025</v>
      </c>
      <c r="O810" s="19"/>
      <c r="P810" s="343"/>
      <c r="Q810" s="343" t="s">
        <v>2010</v>
      </c>
      <c r="R810" s="1635">
        <f>J$2596</f>
        <v>2021</v>
      </c>
      <c r="S810" s="1636">
        <f>K$2596</f>
        <v>2022</v>
      </c>
      <c r="T810" s="1636">
        <f>L$2596</f>
        <v>2023</v>
      </c>
      <c r="U810" s="1636">
        <f>M$2596</f>
        <v>2024</v>
      </c>
      <c r="V810" s="1637">
        <f>N$2596</f>
        <v>2025</v>
      </c>
    </row>
    <row r="811" spans="1:22" s="534" customFormat="1" ht="12.75" customHeight="1" thickBot="1" x14ac:dyDescent="0.3">
      <c r="A811" s="343"/>
      <c r="B811" s="15"/>
      <c r="C811" s="15"/>
      <c r="D811" s="15"/>
      <c r="E811" s="514" t="str">
        <f>Translations!$B$1562</f>
        <v>Rapporterad verksamhetsnivå</v>
      </c>
      <c r="F811" s="563" t="str">
        <f>IF(ISNUMBER(L808),INDEX(EUconst_BMlistUnits,L808),EUconst_Tons)</f>
        <v>ton</v>
      </c>
      <c r="G811" s="943" t="str">
        <f>I914</f>
        <v/>
      </c>
      <c r="H811" s="1131" t="str">
        <f>IF($I805="","",IF(H810&gt;=CNTR_ReportingYear,"",INDEX(F_ProductBM!H:H,MATCH($P811,F_ProductBM!$Q:$Q,0))))</f>
        <v/>
      </c>
      <c r="I811" s="641" t="str">
        <f>IF($I805="","",IF(I810&gt;=CNTR_ReportingYear,"",INDEX(F_ProductBM!I:I,MATCH($P811,F_ProductBM!$Q:$Q,0))))</f>
        <v/>
      </c>
      <c r="J811" s="1131" t="str">
        <f>IF($I805="","",IF(J810&gt;=CNTR_ReportingYear,"",INDEX(F_ProductBM!J:J,MATCH($P811,F_ProductBM!$Q:$Q,0))))</f>
        <v/>
      </c>
      <c r="K811" s="421" t="str">
        <f>IF($I805="","",IF(K810&gt;=CNTR_ReportingYear,"",INDEX(F_ProductBM!K:K,MATCH($P811,F_ProductBM!$Q:$Q,0))))</f>
        <v/>
      </c>
      <c r="L811" s="421" t="str">
        <f>IF($I805="","",IF(L810&gt;=CNTR_ReportingYear,"",INDEX(F_ProductBM!L:L,MATCH($P811,F_ProductBM!$Q:$Q,0))))</f>
        <v/>
      </c>
      <c r="M811" s="421" t="str">
        <f>IF($I805="","",IF(M810&gt;=CNTR_ReportingYear,"",INDEX(F_ProductBM!M:M,MATCH($P811,F_ProductBM!$Q:$Q,0))))</f>
        <v/>
      </c>
      <c r="N811" s="421" t="str">
        <f>IF($I805="","",IF(N810&gt;=CNTR_ReportingYear,"",INDEX(F_ProductBM!N:N,MATCH($P811,F_ProductBM!$Q:$Q,0))))</f>
        <v/>
      </c>
      <c r="O811" s="19"/>
      <c r="P811" s="165" t="str">
        <f>EUconst_CNTR_HAL&amp;I805</f>
        <v>HAL_</v>
      </c>
      <c r="Q811" s="343"/>
      <c r="R811" s="1329" t="b">
        <f>AND($I805&lt;&gt;"",R810&lt;=CNTR_ReportingYear,IF($J808&lt;&gt;EUconst_NA,R810&gt;=YEAR($J808),TRUE))</f>
        <v>0</v>
      </c>
      <c r="S811" s="1330" t="b">
        <f>AND($I805&lt;&gt;"",S810&lt;=CNTR_ReportingYear,IF($J808&lt;&gt;EUconst_NA,S810&gt;=YEAR($J808),TRUE))</f>
        <v>0</v>
      </c>
      <c r="T811" s="1330" t="b">
        <f>AND($I805&lt;&gt;"",T810&lt;=CNTR_ReportingYear,IF($J808&lt;&gt;EUconst_NA,T810&gt;=YEAR($J808),TRUE))</f>
        <v>0</v>
      </c>
      <c r="U811" s="1330" t="b">
        <f>AND($I805&lt;&gt;"",U810&lt;=CNTR_ReportingYear,IF($J808&lt;&gt;EUconst_NA,U810&gt;=YEAR($J808),TRUE))</f>
        <v>0</v>
      </c>
      <c r="V811" s="1331" t="b">
        <f>AND($I805&lt;&gt;"",V810&lt;=CNTR_ReportingYear,IF($J808&lt;&gt;EUconst_NA,V810&gt;=YEAR($J808),TRUE))</f>
        <v>0</v>
      </c>
    </row>
    <row r="812" spans="1:22" s="534" customFormat="1" ht="5.15" customHeight="1" thickBot="1" x14ac:dyDescent="0.35">
      <c r="A812" s="343"/>
      <c r="B812" s="15"/>
      <c r="C812" s="17"/>
      <c r="D812" s="17"/>
      <c r="E812" s="17"/>
      <c r="F812" s="17"/>
      <c r="G812" s="17"/>
      <c r="H812" s="17"/>
      <c r="I812" s="17"/>
      <c r="J812" s="17"/>
      <c r="K812" s="17"/>
      <c r="L812" s="17"/>
      <c r="M812" s="17"/>
      <c r="N812" s="17"/>
      <c r="O812" s="19"/>
      <c r="P812" s="343"/>
      <c r="Q812" s="343"/>
      <c r="R812" s="343"/>
      <c r="S812" s="343"/>
      <c r="T812" s="343"/>
      <c r="U812" s="349"/>
      <c r="V812" s="349"/>
    </row>
    <row r="813" spans="1:22" s="534" customFormat="1" ht="5.15" customHeight="1" x14ac:dyDescent="0.3">
      <c r="A813" s="343"/>
      <c r="B813" s="15"/>
      <c r="C813" s="17"/>
      <c r="D813" s="1383"/>
      <c r="E813" s="1384"/>
      <c r="F813" s="1384"/>
      <c r="G813" s="1384"/>
      <c r="H813" s="1384"/>
      <c r="I813" s="1384"/>
      <c r="J813" s="1384"/>
      <c r="K813" s="1384"/>
      <c r="L813" s="1384"/>
      <c r="M813" s="1384"/>
      <c r="N813" s="1385"/>
      <c r="O813" s="19"/>
      <c r="P813" s="343"/>
      <c r="Q813" s="343"/>
      <c r="R813" s="343"/>
      <c r="S813" s="343"/>
      <c r="T813" s="343"/>
      <c r="U813" s="349"/>
      <c r="V813" s="349"/>
    </row>
    <row r="814" spans="1:22" s="534" customFormat="1" ht="12.75" customHeight="1" x14ac:dyDescent="0.3">
      <c r="A814" s="343"/>
      <c r="B814" s="15"/>
      <c r="C814" s="17"/>
      <c r="D814" s="1386"/>
      <c r="E814" s="42" t="str">
        <f>Translations!$B$1563</f>
        <v>Tillämplighet av glidande medelvärde</v>
      </c>
      <c r="F814" s="188"/>
      <c r="G814" s="188"/>
      <c r="H814" s="30"/>
      <c r="I814" s="1157"/>
      <c r="J814" s="1065">
        <f>J$2596</f>
        <v>2021</v>
      </c>
      <c r="K814" s="350">
        <f>K$2596</f>
        <v>2022</v>
      </c>
      <c r="L814" s="350">
        <f>L$2596</f>
        <v>2023</v>
      </c>
      <c r="M814" s="350">
        <f>M$2596</f>
        <v>2024</v>
      </c>
      <c r="N814" s="966">
        <f>N$2596</f>
        <v>2025</v>
      </c>
      <c r="O814" s="19"/>
      <c r="P814" s="343"/>
      <c r="Q814" s="343"/>
      <c r="R814" s="343"/>
      <c r="S814" s="343"/>
      <c r="T814" s="343"/>
      <c r="U814" s="349"/>
      <c r="V814" s="349"/>
    </row>
    <row r="815" spans="1:22" s="534" customFormat="1" ht="12.75" customHeight="1" x14ac:dyDescent="0.3">
      <c r="A815" s="343"/>
      <c r="B815" s="15"/>
      <c r="C815" s="17"/>
      <c r="D815" s="1386"/>
      <c r="E815" s="1477" t="str">
        <f>Translations!$B$1549</f>
        <v>Kriterium 1: Verksam &gt;2 år?</v>
      </c>
      <c r="F815" s="1478"/>
      <c r="G815" s="1478"/>
      <c r="H815" s="1366"/>
      <c r="I815" s="1478"/>
      <c r="J815" s="1469" t="str">
        <f>IF(R811,INDEX(F_ProductBM!V:V,MATCH($P815,F_ProductBM!$Q:$Q,0))&gt;=3,"")</f>
        <v/>
      </c>
      <c r="K815" s="1470" t="str">
        <f>IF(S811,INDEX(F_ProductBM!W:W,MATCH($P815,F_ProductBM!$Q:$Q,0))&gt;=3,"")</f>
        <v/>
      </c>
      <c r="L815" s="1470" t="str">
        <f>IF(T811,INDEX(F_ProductBM!X:X,MATCH($P815,F_ProductBM!$Q:$Q,0))&gt;=3,"")</f>
        <v/>
      </c>
      <c r="M815" s="1470" t="str">
        <f>IF(U811,INDEX(F_ProductBM!Y:Y,MATCH($P815,F_ProductBM!$Q:$Q,0))&gt;=3,"")</f>
        <v/>
      </c>
      <c r="N815" s="1471" t="str">
        <f>IF(V811,INDEX(F_ProductBM!Z:Z,MATCH($P815,F_ProductBM!$Q:$Q,0))&gt;=3,"")</f>
        <v/>
      </c>
      <c r="O815" s="19"/>
      <c r="P815" s="165" t="str">
        <f>EUconst_CNTR_HALinitial&amp;I805</f>
        <v>HALini_</v>
      </c>
      <c r="Q815" s="343"/>
      <c r="R815" s="343"/>
      <c r="S815" s="343"/>
      <c r="T815" s="343"/>
      <c r="U815" s="349"/>
      <c r="V815" s="349"/>
    </row>
    <row r="816" spans="1:22" s="534" customFormat="1" ht="12.75" customHeight="1" x14ac:dyDescent="0.3">
      <c r="A816" s="343"/>
      <c r="B816" s="15"/>
      <c r="C816" s="17"/>
      <c r="D816" s="1386"/>
      <c r="E816" s="1472" t="str">
        <f>Translations!$B$1551</f>
        <v>Kriterium 2: Upphörde inte föregående år?</v>
      </c>
      <c r="F816" s="1479"/>
      <c r="G816" s="1479"/>
      <c r="H816" s="1473"/>
      <c r="I816" s="1479"/>
      <c r="J816" s="1474" t="str">
        <f>IF(R811,IF($K808="",2050,YEAR($K808))&lt;&gt;(J814-1),"")</f>
        <v/>
      </c>
      <c r="K816" s="1475" t="str">
        <f>IF(S811,IF($K808="",2050,YEAR($K808))&lt;&gt;(K814-1),"")</f>
        <v/>
      </c>
      <c r="L816" s="1475" t="str">
        <f>IF(T811,IF($K808="",2050,YEAR($K808))&lt;&gt;(L814-1),"")</f>
        <v/>
      </c>
      <c r="M816" s="1475" t="str">
        <f>IF(U811,IF($K808="",2050,YEAR($K808))&lt;&gt;(M814-1),"")</f>
        <v/>
      </c>
      <c r="N816" s="1476" t="str">
        <f>IF(V811,IF($K808="",2050,YEAR($K808))&lt;&gt;(N814-1),"")</f>
        <v/>
      </c>
      <c r="O816" s="19"/>
      <c r="P816" s="343"/>
      <c r="Q816" s="343"/>
      <c r="R816" s="343"/>
      <c r="S816" s="343"/>
      <c r="T816" s="343"/>
      <c r="U816" s="349"/>
      <c r="V816" s="349"/>
    </row>
    <row r="817" spans="1:22" s="534" customFormat="1" ht="5.15" customHeight="1" x14ac:dyDescent="0.3">
      <c r="A817" s="343"/>
      <c r="B817" s="15"/>
      <c r="C817" s="17"/>
      <c r="D817" s="1386"/>
      <c r="E817" s="17"/>
      <c r="F817" s="17"/>
      <c r="G817" s="17"/>
      <c r="H817" s="17"/>
      <c r="I817" s="17"/>
      <c r="J817" s="17"/>
      <c r="K817" s="17"/>
      <c r="L817" s="17"/>
      <c r="M817" s="17"/>
      <c r="N817" s="1388"/>
      <c r="O817" s="19"/>
      <c r="P817" s="343"/>
      <c r="Q817" s="343"/>
      <c r="R817" s="343"/>
      <c r="S817" s="343"/>
      <c r="T817" s="343"/>
      <c r="U817" s="349"/>
      <c r="V817" s="349"/>
    </row>
    <row r="818" spans="1:22" s="534" customFormat="1" ht="12.75" customHeight="1" x14ac:dyDescent="0.3">
      <c r="A818" s="343"/>
      <c r="B818" s="15"/>
      <c r="C818" s="17"/>
      <c r="D818" s="1386"/>
      <c r="E818" s="39" t="str">
        <f>Translations!$B$1564</f>
        <v>Ändringar: Ingen ändring (bas)</v>
      </c>
      <c r="F818" s="15"/>
      <c r="G818" s="15"/>
      <c r="H818" s="30" t="str">
        <f>EUconst_Unit</f>
        <v>Enhet</v>
      </c>
      <c r="I818" s="1157"/>
      <c r="J818" s="987">
        <f>J$2596</f>
        <v>2021</v>
      </c>
      <c r="K818" s="320">
        <f>K$2596</f>
        <v>2022</v>
      </c>
      <c r="L818" s="320">
        <f>L$2596</f>
        <v>2023</v>
      </c>
      <c r="M818" s="320">
        <f>M$2596</f>
        <v>2024</v>
      </c>
      <c r="N818" s="1387">
        <f>N$2596</f>
        <v>2025</v>
      </c>
      <c r="O818" s="19"/>
      <c r="P818" s="343"/>
      <c r="Q818" s="343"/>
      <c r="R818" s="343"/>
      <c r="S818" s="343"/>
      <c r="T818" s="343"/>
      <c r="U818" s="349"/>
      <c r="V818" s="349"/>
    </row>
    <row r="819" spans="1:22" s="534" customFormat="1" ht="12.75" hidden="1" customHeight="1" x14ac:dyDescent="0.3">
      <c r="A819" s="343" t="str">
        <f t="shared" ref="A819:A824" si="91">IF(P819="","ausblenden","")</f>
        <v>ausblenden</v>
      </c>
      <c r="B819" s="15"/>
      <c r="C819" s="17"/>
      <c r="D819" s="1386"/>
      <c r="E819" s="514" t="s">
        <v>1918</v>
      </c>
      <c r="F819" s="514"/>
      <c r="G819" s="514"/>
      <c r="H819" s="917" t="str">
        <f>F811</f>
        <v>ton</v>
      </c>
      <c r="I819" s="514"/>
      <c r="J819" s="1152" t="str">
        <f>IF(T920&gt;=$H$2595,S914,I914)</f>
        <v/>
      </c>
      <c r="K819" s="943" t="str">
        <f t="shared" ref="K819:K824" si="92">J914</f>
        <v/>
      </c>
      <c r="L819" s="943" t="str">
        <f t="shared" ref="L819:L824" si="93">K914</f>
        <v/>
      </c>
      <c r="M819" s="943" t="str">
        <f t="shared" ref="M819:M824" si="94">L914</f>
        <v/>
      </c>
      <c r="N819" s="1389" t="str">
        <f t="shared" ref="N819:N824" si="95">M914</f>
        <v/>
      </c>
      <c r="O819" s="19"/>
      <c r="P819" s="343"/>
      <c r="Q819" s="343"/>
      <c r="R819" s="343"/>
      <c r="S819" s="343"/>
      <c r="T819" s="343"/>
      <c r="U819" s="349"/>
      <c r="V819" s="349"/>
    </row>
    <row r="820" spans="1:22" s="534" customFormat="1" ht="12.75" hidden="1" customHeight="1" x14ac:dyDescent="0.3">
      <c r="A820" s="343" t="str">
        <f t="shared" si="91"/>
        <v>ausblenden</v>
      </c>
      <c r="B820" s="15"/>
      <c r="C820" s="17"/>
      <c r="D820" s="1386"/>
      <c r="E820" s="944" t="s">
        <v>339</v>
      </c>
      <c r="F820" s="944"/>
      <c r="G820" s="944"/>
      <c r="H820" s="954" t="str">
        <f>EUconst_EUA</f>
        <v>EUA</v>
      </c>
      <c r="I820" s="945"/>
      <c r="J820" s="1209" t="str">
        <f>IF(T920&gt;=$H$2595,S915,I915)</f>
        <v/>
      </c>
      <c r="K820" s="1210" t="str">
        <f t="shared" si="92"/>
        <v/>
      </c>
      <c r="L820" s="1210" t="str">
        <f t="shared" si="93"/>
        <v/>
      </c>
      <c r="M820" s="1210" t="str">
        <f t="shared" si="94"/>
        <v/>
      </c>
      <c r="N820" s="1390" t="str">
        <f t="shared" si="95"/>
        <v/>
      </c>
      <c r="O820" s="19"/>
      <c r="P820" s="343"/>
      <c r="Q820" s="343"/>
      <c r="R820" s="343"/>
      <c r="S820" s="343"/>
      <c r="T820" s="343"/>
      <c r="U820" s="349"/>
      <c r="V820" s="349"/>
    </row>
    <row r="821" spans="1:22" s="534" customFormat="1" ht="12.75" hidden="1" customHeight="1" x14ac:dyDescent="0.3">
      <c r="A821" s="343" t="str">
        <f t="shared" si="91"/>
        <v>ausblenden</v>
      </c>
      <c r="B821" s="15"/>
      <c r="C821" s="17"/>
      <c r="D821" s="1386"/>
      <c r="E821" s="947" t="s">
        <v>1560</v>
      </c>
      <c r="F821" s="947"/>
      <c r="G821" s="947"/>
      <c r="H821" s="955" t="str">
        <f>EUconst_EUA</f>
        <v>EUA</v>
      </c>
      <c r="I821" s="948"/>
      <c r="J821" s="1165" t="str">
        <f>IF(T920&gt;=$H$2595,S916,I916)</f>
        <v/>
      </c>
      <c r="K821" s="975" t="str">
        <f t="shared" si="92"/>
        <v/>
      </c>
      <c r="L821" s="975" t="str">
        <f t="shared" si="93"/>
        <v/>
      </c>
      <c r="M821" s="975" t="str">
        <f t="shared" si="94"/>
        <v/>
      </c>
      <c r="N821" s="1391" t="str">
        <f t="shared" si="95"/>
        <v/>
      </c>
      <c r="O821" s="19"/>
      <c r="P821" s="343"/>
      <c r="Q821" s="343"/>
      <c r="R821" s="343"/>
      <c r="S821" s="343"/>
      <c r="T821" s="343"/>
      <c r="U821" s="349"/>
      <c r="V821" s="349"/>
    </row>
    <row r="822" spans="1:22" s="534" customFormat="1" ht="12.75" hidden="1" customHeight="1" x14ac:dyDescent="0.3">
      <c r="A822" s="343" t="str">
        <f t="shared" si="91"/>
        <v>ausblenden</v>
      </c>
      <c r="B822" s="15"/>
      <c r="C822" s="17"/>
      <c r="D822" s="1386"/>
      <c r="E822" s="947" t="s">
        <v>1527</v>
      </c>
      <c r="F822" s="947"/>
      <c r="G822" s="947"/>
      <c r="H822" s="955" t="str">
        <f>EUconst_EUA</f>
        <v>EUA</v>
      </c>
      <c r="I822" s="948"/>
      <c r="J822" s="1165" t="str">
        <f>IF(T920&gt;=$H$2595,S917,I917)</f>
        <v/>
      </c>
      <c r="K822" s="975" t="str">
        <f t="shared" si="92"/>
        <v/>
      </c>
      <c r="L822" s="975" t="str">
        <f t="shared" si="93"/>
        <v/>
      </c>
      <c r="M822" s="975" t="str">
        <f t="shared" si="94"/>
        <v/>
      </c>
      <c r="N822" s="1391" t="str">
        <f t="shared" si="95"/>
        <v/>
      </c>
      <c r="O822" s="19"/>
      <c r="P822" s="343"/>
      <c r="Q822" s="343"/>
      <c r="R822" s="343"/>
      <c r="S822" s="343"/>
      <c r="T822" s="343"/>
      <c r="U822" s="349"/>
      <c r="V822" s="349"/>
    </row>
    <row r="823" spans="1:22" s="534" customFormat="1" ht="12.75" hidden="1" customHeight="1" x14ac:dyDescent="0.3">
      <c r="A823" s="343" t="str">
        <f t="shared" si="91"/>
        <v>ausblenden</v>
      </c>
      <c r="B823" s="15"/>
      <c r="C823" s="17"/>
      <c r="D823" s="1386"/>
      <c r="E823" s="947" t="s">
        <v>1526</v>
      </c>
      <c r="F823" s="947"/>
      <c r="G823" s="947"/>
      <c r="H823" s="956" t="s">
        <v>1112</v>
      </c>
      <c r="I823" s="948"/>
      <c r="J823" s="1211" t="str">
        <f>IF(T920&gt;=$H$2595,S918,I918)</f>
        <v/>
      </c>
      <c r="K823" s="1212" t="str">
        <f t="shared" si="92"/>
        <v/>
      </c>
      <c r="L823" s="1212" t="str">
        <f t="shared" si="93"/>
        <v/>
      </c>
      <c r="M823" s="1212" t="str">
        <f t="shared" si="94"/>
        <v/>
      </c>
      <c r="N823" s="1392" t="str">
        <f t="shared" si="95"/>
        <v/>
      </c>
      <c r="O823" s="19"/>
      <c r="P823" s="343"/>
      <c r="Q823" s="343"/>
      <c r="R823" s="343"/>
      <c r="S823" s="343"/>
      <c r="T823" s="343"/>
      <c r="U823" s="349"/>
      <c r="V823" s="349"/>
    </row>
    <row r="824" spans="1:22" s="534" customFormat="1" ht="12.75" hidden="1" customHeight="1" x14ac:dyDescent="0.3">
      <c r="A824" s="343" t="str">
        <f t="shared" si="91"/>
        <v>ausblenden</v>
      </c>
      <c r="B824" s="15"/>
      <c r="C824" s="17"/>
      <c r="D824" s="1386"/>
      <c r="E824" s="950" t="s">
        <v>1528</v>
      </c>
      <c r="F824" s="950"/>
      <c r="G824" s="950"/>
      <c r="H824" s="957" t="s">
        <v>1112</v>
      </c>
      <c r="I824" s="951"/>
      <c r="J824" s="1213" t="str">
        <f>IF(T920&gt;=$H$2595,S919,I919)</f>
        <v/>
      </c>
      <c r="K824" s="1214" t="str">
        <f t="shared" si="92"/>
        <v/>
      </c>
      <c r="L824" s="1214" t="str">
        <f t="shared" si="93"/>
        <v/>
      </c>
      <c r="M824" s="1214" t="str">
        <f t="shared" si="94"/>
        <v/>
      </c>
      <c r="N824" s="1393" t="str">
        <f t="shared" si="95"/>
        <v/>
      </c>
      <c r="O824" s="19"/>
      <c r="P824" s="343"/>
      <c r="Q824" s="343"/>
      <c r="R824" s="343"/>
      <c r="S824" s="343"/>
      <c r="T824" s="343"/>
      <c r="U824" s="349"/>
      <c r="V824" s="349"/>
    </row>
    <row r="825" spans="1:22" s="534" customFormat="1" ht="12.75" customHeight="1" x14ac:dyDescent="0.3">
      <c r="A825" s="343"/>
      <c r="B825" s="15"/>
      <c r="C825" s="17"/>
      <c r="D825" s="1386"/>
      <c r="E825" s="514" t="str">
        <f>Translations!$B$1565</f>
        <v>Preliminärt tilldelningsvärde</v>
      </c>
      <c r="F825" s="514"/>
      <c r="G825" s="514"/>
      <c r="H825" s="129" t="str">
        <f>EUconst_EUA</f>
        <v>EUA</v>
      </c>
      <c r="I825" s="1151"/>
      <c r="J825" s="1131" t="str">
        <f>IF($I805="","",MAX(0,ROUND((SUM($M808)*SUM(J819)*SUM(J823)*SUM(J824)-SUM(J820)-SUM(J821)+SUM(J822))*IF($H808=TRUE,1,J$2517),0)))</f>
        <v/>
      </c>
      <c r="K825" s="421" t="str">
        <f>IF($I805="","",MAX(0,ROUND((SUM($M808)*SUM(K819)*SUM(K823)*SUM(K824)-SUM(K820)-SUM(K821)+SUM(K822))*IF($H808=TRUE,1,K$2517),0)))</f>
        <v/>
      </c>
      <c r="L825" s="421" t="str">
        <f>IF($I805="","",MAX(0,ROUND((SUM($M808)*SUM(L819)*SUM(L823)*SUM(L824)-SUM(L820)-SUM(L821)+SUM(L822))*IF($H808=TRUE,1,L$2517),0)))</f>
        <v/>
      </c>
      <c r="M825" s="421" t="str">
        <f>IF($I805="","",MAX(0,ROUND((SUM($M808)*SUM(M819)*SUM(M823)*SUM(M824)-SUM(M820)-SUM(M821)+SUM(M822))*IF($H808=TRUE,1,M$2517),0)))</f>
        <v/>
      </c>
      <c r="N825" s="967" t="str">
        <f>IF($I805="","",MAX(0,ROUND((SUM($M808+IF(L808=52,0.415,0))*SUM(N819)*SUM(N823)*SUM(N824)-SUM(N820)-SUM(N821)+SUM(N822))*IF($H808=TRUE,1,N$2517),0)))</f>
        <v/>
      </c>
      <c r="O825" s="19"/>
      <c r="P825" s="343"/>
      <c r="Q825" s="343"/>
      <c r="R825" s="343"/>
      <c r="S825" s="343"/>
      <c r="T825" s="343"/>
      <c r="U825" s="349"/>
      <c r="V825" s="349"/>
    </row>
    <row r="826" spans="1:22" s="534" customFormat="1" ht="5.15" customHeight="1" x14ac:dyDescent="0.3">
      <c r="A826" s="343"/>
      <c r="B826" s="15"/>
      <c r="C826" s="17"/>
      <c r="D826" s="1386"/>
      <c r="E826" s="17"/>
      <c r="F826" s="17"/>
      <c r="G826" s="17"/>
      <c r="H826" s="17"/>
      <c r="I826" s="17"/>
      <c r="J826" s="17"/>
      <c r="K826" s="17"/>
      <c r="L826" s="17"/>
      <c r="M826" s="17"/>
      <c r="N826" s="1388"/>
      <c r="O826" s="19"/>
      <c r="P826" s="343"/>
      <c r="Q826" s="343"/>
      <c r="R826" s="343"/>
      <c r="S826" s="343"/>
      <c r="T826" s="343"/>
      <c r="U826" s="349"/>
      <c r="V826" s="349"/>
    </row>
    <row r="827" spans="1:22" s="534" customFormat="1" ht="12.75" customHeight="1" x14ac:dyDescent="0.3">
      <c r="A827" s="343"/>
      <c r="B827" s="15"/>
      <c r="C827" s="17"/>
      <c r="D827" s="1386"/>
      <c r="E827" s="42" t="str">
        <f>Translations!$B$1566</f>
        <v>Ändringar: Verksamhetsnivå</v>
      </c>
      <c r="F827" s="188"/>
      <c r="G827" s="188"/>
      <c r="H827" s="30" t="str">
        <f>EUconst_Unit</f>
        <v>Enhet</v>
      </c>
      <c r="I827" s="1157"/>
      <c r="J827" s="1065">
        <f>J$2596</f>
        <v>2021</v>
      </c>
      <c r="K827" s="350">
        <f>K$2596</f>
        <v>2022</v>
      </c>
      <c r="L827" s="350">
        <f>L$2596</f>
        <v>2023</v>
      </c>
      <c r="M827" s="350">
        <f>M$2596</f>
        <v>2024</v>
      </c>
      <c r="N827" s="966">
        <f>N$2596</f>
        <v>2025</v>
      </c>
      <c r="O827" s="19"/>
      <c r="P827" s="343"/>
      <c r="Q827" s="343"/>
      <c r="R827" s="343"/>
      <c r="S827" s="343"/>
      <c r="T827" s="343"/>
      <c r="U827" s="349"/>
      <c r="V827" s="349"/>
    </row>
    <row r="828" spans="1:22" s="534" customFormat="1" ht="12.75" customHeight="1" x14ac:dyDescent="0.3">
      <c r="A828" s="343"/>
      <c r="B828" s="15"/>
      <c r="C828" s="17"/>
      <c r="D828" s="1386"/>
      <c r="E828" s="944" t="str">
        <f>Translations!$B$1482</f>
        <v>Genomsnittligt årligt värde</v>
      </c>
      <c r="F828" s="944"/>
      <c r="G828" s="944"/>
      <c r="H828" s="1443" t="str">
        <f>H819</f>
        <v>ton</v>
      </c>
      <c r="I828" s="1367"/>
      <c r="J828" s="1161" t="str">
        <f>INDEX(F_ProductBM!J:J,MATCH($P828,F_ProductBM!$Q:$Q,0))</f>
        <v/>
      </c>
      <c r="K828" s="946" t="str">
        <f>INDEX(F_ProductBM!K:K,MATCH($P828,F_ProductBM!$Q:$Q,0))</f>
        <v/>
      </c>
      <c r="L828" s="946" t="str">
        <f>INDEX(F_ProductBM!L:L,MATCH($P828,F_ProductBM!$Q:$Q,0))</f>
        <v/>
      </c>
      <c r="M828" s="946" t="str">
        <f>INDEX(F_ProductBM!M:M,MATCH($P828,F_ProductBM!$Q:$Q,0))</f>
        <v/>
      </c>
      <c r="N828" s="1046" t="str">
        <f>INDEX(F_ProductBM!N:N,MATCH($P828,F_ProductBM!$Q:$Q,0))</f>
        <v/>
      </c>
      <c r="O828" s="19"/>
      <c r="P828" s="165" t="str">
        <f>EUconst_CNTR_HALinitial&amp;I805</f>
        <v>HALini_</v>
      </c>
      <c r="Q828" s="343"/>
      <c r="R828" s="343"/>
      <c r="S828" s="343"/>
      <c r="T828" s="343"/>
      <c r="U828" s="349"/>
      <c r="V828" s="349"/>
    </row>
    <row r="829" spans="1:22" s="534" customFormat="1" ht="12.75" customHeight="1" x14ac:dyDescent="0.3">
      <c r="A829" s="343"/>
      <c r="B829" s="15"/>
      <c r="C829" s="17"/>
      <c r="D829" s="1386"/>
      <c r="E829" s="947" t="str">
        <f>Translations!$B$1567</f>
        <v>Ändring jämfört med historik verksamhetsnivå</v>
      </c>
      <c r="F829" s="947"/>
      <c r="G829" s="947"/>
      <c r="H829" s="1442" t="s">
        <v>1112</v>
      </c>
      <c r="I829" s="1371"/>
      <c r="J829" s="1415" t="str">
        <f>INDEX(F_ProductBM!J:J,MATCH($P829,F_ProductBM!$Q:$Q,0))</f>
        <v/>
      </c>
      <c r="K829" s="1416" t="str">
        <f>INDEX(F_ProductBM!K:K,MATCH($P829,F_ProductBM!$Q:$Q,0))</f>
        <v/>
      </c>
      <c r="L829" s="1416" t="str">
        <f>INDEX(F_ProductBM!L:L,MATCH($P829,F_ProductBM!$Q:$Q,0))</f>
        <v/>
      </c>
      <c r="M829" s="1416" t="str">
        <f>INDEX(F_ProductBM!M:M,MATCH($P829,F_ProductBM!$Q:$Q,0))</f>
        <v/>
      </c>
      <c r="N829" s="1417" t="str">
        <f>INDEX(F_ProductBM!N:N,MATCH($P829,F_ProductBM!$Q:$Q,0))</f>
        <v/>
      </c>
      <c r="O829" s="19"/>
      <c r="P829" s="165" t="str">
        <f>EUconst_CNTR_RelThreshold &amp; P831</f>
        <v>RelThresh_HALprelim_</v>
      </c>
      <c r="Q829" s="343"/>
      <c r="R829" s="343"/>
      <c r="S829" s="343"/>
      <c r="T829" s="343"/>
      <c r="U829" s="349"/>
      <c r="V829" s="349"/>
    </row>
    <row r="830" spans="1:22" s="534" customFormat="1" ht="12.75" customHeight="1" x14ac:dyDescent="0.3">
      <c r="A830" s="343"/>
      <c r="B830" s="15"/>
      <c r="C830" s="17"/>
      <c r="D830" s="1386"/>
      <c r="E830" s="1418" t="str">
        <f>Translations!$B$1553</f>
        <v>Kriterium 3a: Har relativa tröskelvärden överskridits?</v>
      </c>
      <c r="F830" s="1418"/>
      <c r="G830" s="1418"/>
      <c r="H830" s="1444" t="s">
        <v>1112</v>
      </c>
      <c r="I830" s="1423"/>
      <c r="J830" s="1420" t="str">
        <f>INDEX(F_ProductBM!V:V,MATCH($P830,F_ProductBM!$Q:$Q,0)+1)</f>
        <v/>
      </c>
      <c r="K830" s="1421" t="str">
        <f>INDEX(F_ProductBM!W:W,MATCH($P830,F_ProductBM!$Q:$Q,0)+1)</f>
        <v/>
      </c>
      <c r="L830" s="1421" t="str">
        <f>INDEX(F_ProductBM!X:X,MATCH($P830,F_ProductBM!$Q:$Q,0)+1)</f>
        <v/>
      </c>
      <c r="M830" s="1421" t="str">
        <f>INDEX(F_ProductBM!Y:Y,MATCH($P830,F_ProductBM!$Q:$Q,0)+1)</f>
        <v/>
      </c>
      <c r="N830" s="1422" t="str">
        <f>INDEX(F_ProductBM!Z:Z,MATCH($P830,F_ProductBM!$Q:$Q,0)+1)</f>
        <v/>
      </c>
      <c r="O830" s="19"/>
      <c r="P830" s="165" t="str">
        <f>P829</f>
        <v>RelThresh_HALprelim_</v>
      </c>
      <c r="Q830" s="343"/>
      <c r="R830" s="343"/>
      <c r="S830" s="343"/>
      <c r="T830" s="343"/>
      <c r="U830" s="349"/>
      <c r="V830" s="349"/>
    </row>
    <row r="831" spans="1:22" s="534" customFormat="1" ht="12.75" customHeight="1" x14ac:dyDescent="0.3">
      <c r="A831" s="343" t="str">
        <f t="shared" ref="A831:A836" si="96">IF(P831="","ausblenden","")</f>
        <v/>
      </c>
      <c r="B831" s="15"/>
      <c r="C831" s="17"/>
      <c r="D831" s="1386"/>
      <c r="E831" s="950" t="str">
        <f>Translations!$B$1568</f>
        <v>Preliminärt värde</v>
      </c>
      <c r="F831" s="950"/>
      <c r="G831" s="950"/>
      <c r="H831" s="1372" t="str">
        <f>F811</f>
        <v>ton</v>
      </c>
      <c r="I831" s="950"/>
      <c r="J831" s="1373" t="str">
        <f>INDEX(F_ProductBM!J:J,MATCH($P831,F_ProductBM!$Q:$Q,0))</f>
        <v/>
      </c>
      <c r="K831" s="1374" t="str">
        <f>INDEX(F_ProductBM!K:K,MATCH($P831,F_ProductBM!$Q:$Q,0))</f>
        <v/>
      </c>
      <c r="L831" s="1374" t="str">
        <f>INDEX(F_ProductBM!L:L,MATCH($P831,F_ProductBM!$Q:$Q,0))</f>
        <v/>
      </c>
      <c r="M831" s="1374" t="str">
        <f>INDEX(F_ProductBM!M:M,MATCH($P831,F_ProductBM!$Q:$Q,0))</f>
        <v/>
      </c>
      <c r="N831" s="1395" t="str">
        <f>INDEX(F_ProductBM!N:N,MATCH($P831,F_ProductBM!$Q:$Q,0))</f>
        <v/>
      </c>
      <c r="O831" s="19"/>
      <c r="P831" s="165" t="str">
        <f>EUconst_CNTR_HALprelim&amp;I805</f>
        <v>HALprelim_</v>
      </c>
      <c r="Q831" s="343"/>
      <c r="R831" s="343"/>
      <c r="S831" s="343"/>
      <c r="T831" s="343"/>
      <c r="U831" s="349"/>
      <c r="V831" s="349"/>
    </row>
    <row r="832" spans="1:22" s="534" customFormat="1" ht="12.75" hidden="1" customHeight="1" x14ac:dyDescent="0.3">
      <c r="A832" s="343" t="str">
        <f t="shared" si="96"/>
        <v>ausblenden</v>
      </c>
      <c r="B832" s="15"/>
      <c r="C832" s="17"/>
      <c r="D832" s="1386"/>
      <c r="E832" s="944" t="s">
        <v>339</v>
      </c>
      <c r="F832" s="944"/>
      <c r="G832" s="944"/>
      <c r="H832" s="954" t="str">
        <f>EUconst_EUA</f>
        <v>EUA</v>
      </c>
      <c r="I832" s="945"/>
      <c r="J832" s="1209" t="str">
        <f>J820</f>
        <v/>
      </c>
      <c r="K832" s="1210" t="str">
        <f t="shared" ref="K832:K836" si="97">J915</f>
        <v/>
      </c>
      <c r="L832" s="1210" t="str">
        <f t="shared" ref="L832:L836" si="98">K915</f>
        <v/>
      </c>
      <c r="M832" s="1210" t="str">
        <f t="shared" ref="M832:M836" si="99">L915</f>
        <v/>
      </c>
      <c r="N832" s="1390" t="str">
        <f t="shared" ref="N832:N836" si="100">M915</f>
        <v/>
      </c>
      <c r="O832" s="19"/>
      <c r="P832" s="343"/>
      <c r="Q832" s="343"/>
      <c r="R832" s="343"/>
      <c r="S832" s="343"/>
      <c r="T832" s="343"/>
      <c r="U832" s="349"/>
      <c r="V832" s="349"/>
    </row>
    <row r="833" spans="1:22" s="534" customFormat="1" ht="12.75" hidden="1" customHeight="1" x14ac:dyDescent="0.3">
      <c r="A833" s="343" t="str">
        <f t="shared" si="96"/>
        <v>ausblenden</v>
      </c>
      <c r="B833" s="15"/>
      <c r="C833" s="17"/>
      <c r="D833" s="1386"/>
      <c r="E833" s="947" t="s">
        <v>1560</v>
      </c>
      <c r="F833" s="947"/>
      <c r="G833" s="947"/>
      <c r="H833" s="955" t="str">
        <f>EUconst_EUA</f>
        <v>EUA</v>
      </c>
      <c r="I833" s="948"/>
      <c r="J833" s="1165" t="str">
        <f>J821</f>
        <v/>
      </c>
      <c r="K833" s="975" t="str">
        <f t="shared" si="97"/>
        <v/>
      </c>
      <c r="L833" s="975" t="str">
        <f t="shared" si="98"/>
        <v/>
      </c>
      <c r="M833" s="975" t="str">
        <f t="shared" si="99"/>
        <v/>
      </c>
      <c r="N833" s="1391" t="str">
        <f t="shared" si="100"/>
        <v/>
      </c>
      <c r="O833" s="19"/>
      <c r="P833" s="343"/>
      <c r="Q833" s="343"/>
      <c r="R833" s="343"/>
      <c r="S833" s="343"/>
      <c r="T833" s="343"/>
      <c r="U833" s="349"/>
      <c r="V833" s="349"/>
    </row>
    <row r="834" spans="1:22" s="534" customFormat="1" ht="12.75" hidden="1" customHeight="1" x14ac:dyDescent="0.3">
      <c r="A834" s="343" t="str">
        <f t="shared" si="96"/>
        <v>ausblenden</v>
      </c>
      <c r="B834" s="15"/>
      <c r="C834" s="17"/>
      <c r="D834" s="1386"/>
      <c r="E834" s="947" t="s">
        <v>1527</v>
      </c>
      <c r="F834" s="947"/>
      <c r="G834" s="947"/>
      <c r="H834" s="955" t="str">
        <f>EUconst_EUA</f>
        <v>EUA</v>
      </c>
      <c r="I834" s="948"/>
      <c r="J834" s="1165" t="str">
        <f>J822</f>
        <v/>
      </c>
      <c r="K834" s="975" t="str">
        <f t="shared" si="97"/>
        <v/>
      </c>
      <c r="L834" s="975" t="str">
        <f t="shared" si="98"/>
        <v/>
      </c>
      <c r="M834" s="975" t="str">
        <f t="shared" si="99"/>
        <v/>
      </c>
      <c r="N834" s="1391" t="str">
        <f t="shared" si="100"/>
        <v/>
      </c>
      <c r="O834" s="19"/>
      <c r="P834" s="343"/>
      <c r="Q834" s="343"/>
      <c r="R834" s="343"/>
      <c r="S834" s="343"/>
      <c r="T834" s="343"/>
      <c r="U834" s="349"/>
      <c r="V834" s="349"/>
    </row>
    <row r="835" spans="1:22" s="534" customFormat="1" ht="12.75" hidden="1" customHeight="1" x14ac:dyDescent="0.3">
      <c r="A835" s="343" t="str">
        <f t="shared" si="96"/>
        <v>ausblenden</v>
      </c>
      <c r="B835" s="15"/>
      <c r="C835" s="17"/>
      <c r="D835" s="1386"/>
      <c r="E835" s="947" t="s">
        <v>1526</v>
      </c>
      <c r="F835" s="947"/>
      <c r="G835" s="947"/>
      <c r="H835" s="956" t="s">
        <v>1112</v>
      </c>
      <c r="I835" s="948"/>
      <c r="J835" s="1211" t="str">
        <f>J823</f>
        <v/>
      </c>
      <c r="K835" s="1212" t="str">
        <f t="shared" si="97"/>
        <v/>
      </c>
      <c r="L835" s="1212" t="str">
        <f t="shared" si="98"/>
        <v/>
      </c>
      <c r="M835" s="1212" t="str">
        <f t="shared" si="99"/>
        <v/>
      </c>
      <c r="N835" s="1392" t="str">
        <f t="shared" si="100"/>
        <v/>
      </c>
      <c r="O835" s="19"/>
      <c r="P835" s="343"/>
      <c r="Q835" s="343"/>
      <c r="R835" s="343"/>
      <c r="S835" s="343"/>
      <c r="T835" s="343"/>
      <c r="U835" s="349"/>
      <c r="V835" s="349"/>
    </row>
    <row r="836" spans="1:22" s="534" customFormat="1" ht="12.75" hidden="1" customHeight="1" x14ac:dyDescent="0.3">
      <c r="A836" s="343" t="str">
        <f t="shared" si="96"/>
        <v>ausblenden</v>
      </c>
      <c r="B836" s="15"/>
      <c r="C836" s="17"/>
      <c r="D836" s="1386"/>
      <c r="E836" s="950" t="s">
        <v>1528</v>
      </c>
      <c r="F836" s="950"/>
      <c r="G836" s="950"/>
      <c r="H836" s="957" t="s">
        <v>1112</v>
      </c>
      <c r="I836" s="951"/>
      <c r="J836" s="1213" t="str">
        <f>J824</f>
        <v/>
      </c>
      <c r="K836" s="1214" t="str">
        <f t="shared" si="97"/>
        <v/>
      </c>
      <c r="L836" s="1214" t="str">
        <f t="shared" si="98"/>
        <v/>
      </c>
      <c r="M836" s="1214" t="str">
        <f t="shared" si="99"/>
        <v/>
      </c>
      <c r="N836" s="1393" t="str">
        <f t="shared" si="100"/>
        <v/>
      </c>
      <c r="O836" s="19"/>
      <c r="P836" s="343"/>
      <c r="Q836" s="343"/>
      <c r="R836" s="343"/>
      <c r="S836" s="343"/>
      <c r="T836" s="343"/>
      <c r="U836" s="349"/>
      <c r="V836" s="349"/>
    </row>
    <row r="837" spans="1:22" s="534" customFormat="1" ht="12.75" customHeight="1" x14ac:dyDescent="0.3">
      <c r="A837" s="343"/>
      <c r="B837" s="15"/>
      <c r="C837" s="17"/>
      <c r="D837" s="1386"/>
      <c r="E837" s="514" t="str">
        <f>Translations!$B$1565</f>
        <v>Preliminärt tilldelningsvärde</v>
      </c>
      <c r="F837" s="514"/>
      <c r="G837" s="514"/>
      <c r="H837" s="129" t="str">
        <f>EUconst_EUA</f>
        <v>EUA</v>
      </c>
      <c r="I837" s="1151"/>
      <c r="J837" s="1131" t="str">
        <f>IF($I805="","",MAX(0,ROUND((SUM($M808)*SUM(J831)*SUM(J835)*SUM(J836)-SUM(J832)-SUM(J833)+SUM(J834))*IF($H808=TRUE,1,J$2517),0)))</f>
        <v/>
      </c>
      <c r="K837" s="421" t="str">
        <f>IF($I805="","",MAX(0,ROUND((SUM($M808)*SUM(K831)*SUM(K835)*SUM(K836)-SUM(K832)-SUM(K833)+SUM(K834))*IF($H808=TRUE,1,K$2517),0)))</f>
        <v/>
      </c>
      <c r="L837" s="421" t="str">
        <f>IF($I805="","",MAX(0,ROUND((SUM($M808)*SUM(L831)*SUM(L835)*SUM(L836)-SUM(L832)-SUM(L833)+SUM(L834))*IF($H808=TRUE,1,L$2517),0)))</f>
        <v/>
      </c>
      <c r="M837" s="421" t="str">
        <f>IF($I805="","",MAX(0,ROUND((SUM($M808)*SUM(M831)*SUM(M835)*SUM(M836)-SUM(M832)-SUM(M833)+SUM(M834))*IF($H808=TRUE,1,M$2517),0)))</f>
        <v/>
      </c>
      <c r="N837" s="967" t="str">
        <f>IF($I805="","",MAX(0,ROUND((SUM($M808+IF(L808=52,0.415,0))*SUM(N831)*SUM(N835)*SUM(N836)-SUM(N832)-SUM(N833)+SUM(N834))*IF($H808=TRUE,1,N$2517),0)))</f>
        <v/>
      </c>
      <c r="O837" s="19"/>
      <c r="P837" s="343"/>
      <c r="Q837" s="343"/>
      <c r="R837" s="343"/>
      <c r="S837" s="343"/>
      <c r="T837" s="343"/>
      <c r="U837" s="349"/>
      <c r="V837" s="349"/>
    </row>
    <row r="838" spans="1:22" s="534" customFormat="1" ht="12.75" customHeight="1" x14ac:dyDescent="0.3">
      <c r="A838" s="343"/>
      <c r="B838" s="15"/>
      <c r="C838" s="17"/>
      <c r="D838" s="1386"/>
      <c r="E838" s="514" t="str">
        <f>Translations!$B$1569</f>
        <v>Skillnad i tilldelning</v>
      </c>
      <c r="F838" s="514"/>
      <c r="G838" s="514"/>
      <c r="H838" s="129" t="str">
        <f>EUconst_EUA</f>
        <v>EUA</v>
      </c>
      <c r="I838" s="1151"/>
      <c r="J838" s="1131" t="str">
        <f>IF($I805="","",ABS(SUM(J837)-SUM(J825)))</f>
        <v/>
      </c>
      <c r="K838" s="421" t="str">
        <f>IF($I805="","",ABS(SUM(K837)-SUM(K825)))</f>
        <v/>
      </c>
      <c r="L838" s="421" t="str">
        <f>IF($I805="","",ABS(SUM(L837)-SUM(L825)))</f>
        <v/>
      </c>
      <c r="M838" s="421" t="str">
        <f>IF($I805="","",ABS(SUM(M837)-SUM(M825)))</f>
        <v/>
      </c>
      <c r="N838" s="967" t="str">
        <f>IF($I805="","",ABS(SUM(N837)-SUM(N825)))</f>
        <v/>
      </c>
      <c r="O838" s="19"/>
      <c r="P838" s="343"/>
      <c r="Q838" s="343"/>
      <c r="R838" s="343"/>
      <c r="S838" s="343"/>
      <c r="T838" s="343"/>
      <c r="U838" s="349"/>
      <c r="V838" s="349"/>
    </row>
    <row r="839" spans="1:22" s="534" customFormat="1" ht="12.75" customHeight="1" x14ac:dyDescent="0.3">
      <c r="A839" s="343"/>
      <c r="B839" s="15"/>
      <c r="C839" s="17"/>
      <c r="D839" s="1386"/>
      <c r="E839" s="1419" t="str">
        <f>Translations!$B$1555</f>
        <v>Kriterium 4a: Är skillnaden minst 100 utsläppsrätter?</v>
      </c>
      <c r="F839" s="1419"/>
      <c r="G839" s="1419"/>
      <c r="H839" s="1424" t="s">
        <v>1112</v>
      </c>
      <c r="I839" s="1425"/>
      <c r="J839" s="1426" t="str">
        <f>IF($I805="","",J838&gt;=100)</f>
        <v/>
      </c>
      <c r="K839" s="1427" t="str">
        <f>IF($I805="","",K838&gt;=100)</f>
        <v/>
      </c>
      <c r="L839" s="1427" t="str">
        <f>IF($I805="","",L838&gt;=100)</f>
        <v/>
      </c>
      <c r="M839" s="1427" t="str">
        <f>IF($I805="","",M838&gt;=100)</f>
        <v/>
      </c>
      <c r="N839" s="1428" t="str">
        <f>IF($I805="","",N838&gt;=100)</f>
        <v/>
      </c>
      <c r="O839" s="19"/>
      <c r="P839" s="165" t="str">
        <f>EUconst_CNTR_100EUA_ActivityLevel&amp;I805</f>
        <v>EUA100AL_</v>
      </c>
      <c r="Q839" s="343"/>
      <c r="R839" s="343"/>
      <c r="S839" s="343"/>
      <c r="T839" s="343"/>
      <c r="U839" s="349"/>
      <c r="V839" s="349"/>
    </row>
    <row r="840" spans="1:22" s="534" customFormat="1" ht="5.15" customHeight="1" x14ac:dyDescent="0.3">
      <c r="A840" s="343"/>
      <c r="B840" s="15"/>
      <c r="C840" s="17"/>
      <c r="D840" s="1386"/>
      <c r="E840" s="15"/>
      <c r="F840" s="15"/>
      <c r="G840" s="15"/>
      <c r="H840" s="15"/>
      <c r="I840" s="941"/>
      <c r="J840" s="15"/>
      <c r="K840" s="15"/>
      <c r="L840" s="15"/>
      <c r="M840" s="15"/>
      <c r="N840" s="968"/>
      <c r="O840" s="19"/>
      <c r="P840" s="343"/>
      <c r="Q840" s="343"/>
      <c r="R840" s="343"/>
      <c r="S840" s="343"/>
      <c r="T840" s="343"/>
      <c r="U840" s="349"/>
      <c r="V840" s="349"/>
    </row>
    <row r="841" spans="1:22" s="534" customFormat="1" ht="12.75" customHeight="1" x14ac:dyDescent="0.3">
      <c r="A841" s="343"/>
      <c r="B841" s="15"/>
      <c r="C841" s="17"/>
      <c r="D841" s="1386"/>
      <c r="E841" s="42" t="str">
        <f>Translations!$B$1570</f>
        <v>Ändringar: Utbytt el</v>
      </c>
      <c r="F841" s="188"/>
      <c r="G841" s="188"/>
      <c r="H841" s="30" t="str">
        <f>EUconst_Unit</f>
        <v>Enhet</v>
      </c>
      <c r="I841" s="1157"/>
      <c r="J841" s="1065">
        <f>J$2596</f>
        <v>2021</v>
      </c>
      <c r="K841" s="350">
        <f>K$2596</f>
        <v>2022</v>
      </c>
      <c r="L841" s="350">
        <f>L$2596</f>
        <v>2023</v>
      </c>
      <c r="M841" s="350">
        <f>M$2596</f>
        <v>2024</v>
      </c>
      <c r="N841" s="966">
        <f>N$2596</f>
        <v>2025</v>
      </c>
      <c r="O841" s="19"/>
      <c r="P841" s="343"/>
      <c r="Q841" s="343"/>
      <c r="R841" s="343"/>
      <c r="S841" s="343"/>
      <c r="T841" s="343"/>
      <c r="U841" s="349"/>
      <c r="V841" s="349"/>
    </row>
    <row r="842" spans="1:22" s="534" customFormat="1" ht="12.75" hidden="1" customHeight="1" x14ac:dyDescent="0.3">
      <c r="A842" s="343" t="str">
        <f>IF(P842="","ausblenden","")</f>
        <v>ausblenden</v>
      </c>
      <c r="B842" s="15"/>
      <c r="C842" s="17"/>
      <c r="D842" s="1386"/>
      <c r="E842" s="514" t="s">
        <v>1918</v>
      </c>
      <c r="F842" s="514"/>
      <c r="G842" s="514"/>
      <c r="H842" s="917" t="str">
        <f>H831</f>
        <v>ton</v>
      </c>
      <c r="I842" s="514"/>
      <c r="J842" s="1152" t="str">
        <f>J819</f>
        <v/>
      </c>
      <c r="K842" s="943" t="str">
        <f t="shared" ref="K842:K845" si="101">J914</f>
        <v/>
      </c>
      <c r="L842" s="943" t="str">
        <f t="shared" ref="L842:L845" si="102">K914</f>
        <v/>
      </c>
      <c r="M842" s="943" t="str">
        <f t="shared" ref="M842:M845" si="103">L914</f>
        <v/>
      </c>
      <c r="N842" s="1389" t="str">
        <f t="shared" ref="N842:N845" si="104">M914</f>
        <v/>
      </c>
      <c r="O842" s="19"/>
      <c r="P842" s="343"/>
      <c r="Q842" s="343"/>
      <c r="R842" s="343"/>
      <c r="S842" s="343"/>
      <c r="T842" s="343"/>
      <c r="U842" s="349"/>
      <c r="V842" s="349"/>
    </row>
    <row r="843" spans="1:22" s="534" customFormat="1" ht="12.75" hidden="1" customHeight="1" x14ac:dyDescent="0.3">
      <c r="A843" s="343" t="str">
        <f>IF(P843="","ausblenden","")</f>
        <v>ausblenden</v>
      </c>
      <c r="B843" s="15"/>
      <c r="C843" s="17"/>
      <c r="D843" s="1386"/>
      <c r="E843" s="944" t="s">
        <v>339</v>
      </c>
      <c r="F843" s="944"/>
      <c r="G843" s="944"/>
      <c r="H843" s="954" t="str">
        <f>EUconst_EUA</f>
        <v>EUA</v>
      </c>
      <c r="I843" s="945"/>
      <c r="J843" s="1209" t="str">
        <f>J820</f>
        <v/>
      </c>
      <c r="K843" s="1210" t="str">
        <f t="shared" si="101"/>
        <v/>
      </c>
      <c r="L843" s="1210" t="str">
        <f t="shared" si="102"/>
        <v/>
      </c>
      <c r="M843" s="1210" t="str">
        <f t="shared" si="103"/>
        <v/>
      </c>
      <c r="N843" s="1390" t="str">
        <f t="shared" si="104"/>
        <v/>
      </c>
      <c r="O843" s="19"/>
      <c r="P843" s="343"/>
      <c r="Q843" s="343"/>
      <c r="R843" s="343"/>
      <c r="S843" s="343"/>
      <c r="T843" s="343"/>
      <c r="U843" s="349"/>
      <c r="V843" s="349"/>
    </row>
    <row r="844" spans="1:22" s="534" customFormat="1" ht="12.75" hidden="1" customHeight="1" x14ac:dyDescent="0.3">
      <c r="A844" s="343" t="str">
        <f>IF(P844="","ausblenden","")</f>
        <v>ausblenden</v>
      </c>
      <c r="B844" s="15"/>
      <c r="C844" s="17"/>
      <c r="D844" s="1386"/>
      <c r="E844" s="947" t="s">
        <v>1560</v>
      </c>
      <c r="F844" s="947"/>
      <c r="G844" s="947"/>
      <c r="H844" s="955" t="str">
        <f>EUconst_EUA</f>
        <v>EUA</v>
      </c>
      <c r="I844" s="948"/>
      <c r="J844" s="1165" t="str">
        <f>J821</f>
        <v/>
      </c>
      <c r="K844" s="975" t="str">
        <f t="shared" si="101"/>
        <v/>
      </c>
      <c r="L844" s="975" t="str">
        <f t="shared" si="102"/>
        <v/>
      </c>
      <c r="M844" s="975" t="str">
        <f t="shared" si="103"/>
        <v/>
      </c>
      <c r="N844" s="1391" t="str">
        <f t="shared" si="104"/>
        <v/>
      </c>
      <c r="O844" s="19"/>
      <c r="P844" s="343"/>
      <c r="Q844" s="343"/>
      <c r="R844" s="343"/>
      <c r="S844" s="343"/>
      <c r="T844" s="343"/>
      <c r="U844" s="349"/>
      <c r="V844" s="349"/>
    </row>
    <row r="845" spans="1:22" s="534" customFormat="1" ht="12.75" hidden="1" customHeight="1" x14ac:dyDescent="0.3">
      <c r="A845" s="343" t="str">
        <f>IF(P845="","ausblenden","")</f>
        <v>ausblenden</v>
      </c>
      <c r="B845" s="15"/>
      <c r="C845" s="17"/>
      <c r="D845" s="1386"/>
      <c r="E845" s="1433" t="s">
        <v>1527</v>
      </c>
      <c r="F845" s="1433"/>
      <c r="G845" s="1433"/>
      <c r="H845" s="1434" t="str">
        <f>EUconst_EUA</f>
        <v>EUA</v>
      </c>
      <c r="I845" s="1435"/>
      <c r="J845" s="1436" t="str">
        <f>J822</f>
        <v/>
      </c>
      <c r="K845" s="1437" t="str">
        <f t="shared" si="101"/>
        <v/>
      </c>
      <c r="L845" s="1437" t="str">
        <f t="shared" si="102"/>
        <v/>
      </c>
      <c r="M845" s="1437" t="str">
        <f t="shared" si="103"/>
        <v/>
      </c>
      <c r="N845" s="1438" t="str">
        <f t="shared" si="104"/>
        <v/>
      </c>
      <c r="O845" s="19"/>
      <c r="P845" s="343"/>
      <c r="Q845" s="343"/>
      <c r="R845" s="343"/>
      <c r="S845" s="343"/>
      <c r="T845" s="343"/>
      <c r="U845" s="349"/>
      <c r="V845" s="349"/>
    </row>
    <row r="846" spans="1:22" s="534" customFormat="1" ht="12.75" customHeight="1" x14ac:dyDescent="0.3">
      <c r="A846" s="343"/>
      <c r="B846" s="15"/>
      <c r="C846" s="17"/>
      <c r="D846" s="1386"/>
      <c r="E846" s="944" t="str">
        <f>Translations!$B$1482</f>
        <v>Genomsnittligt årligt värde</v>
      </c>
      <c r="F846" s="944"/>
      <c r="G846" s="944"/>
      <c r="H846" s="627" t="s">
        <v>1112</v>
      </c>
      <c r="I846" s="945"/>
      <c r="J846" s="1439" t="str">
        <f>INDEX(F_ProductBM!J:J,MATCH($P846,F_ProductBM!$Q:$Q,0))</f>
        <v/>
      </c>
      <c r="K846" s="1440" t="str">
        <f>INDEX(F_ProductBM!K:K,MATCH($P846,F_ProductBM!$Q:$Q,0))</f>
        <v/>
      </c>
      <c r="L846" s="1440" t="str">
        <f>INDEX(F_ProductBM!L:L,MATCH($P846,F_ProductBM!$Q:$Q,0))</f>
        <v/>
      </c>
      <c r="M846" s="1440" t="str">
        <f>INDEX(F_ProductBM!M:M,MATCH($P846,F_ProductBM!$Q:$Q,0))</f>
        <v/>
      </c>
      <c r="N846" s="1441" t="str">
        <f>INDEX(F_ProductBM!N:N,MATCH($P846,F_ProductBM!$Q:$Q,0))</f>
        <v/>
      </c>
      <c r="O846" s="19"/>
      <c r="P846" s="165" t="str">
        <f>EUconst_CNTR_HAL &amp; EUconst_CNTR_ELEXCHInitial &amp; I805</f>
        <v>HAL_ELEXCHIni_</v>
      </c>
      <c r="Q846" s="343"/>
      <c r="R846" s="343"/>
      <c r="S846" s="343"/>
      <c r="T846" s="343"/>
      <c r="U846" s="349"/>
      <c r="V846" s="349"/>
    </row>
    <row r="847" spans="1:22" s="534" customFormat="1" ht="12.75" customHeight="1" x14ac:dyDescent="0.3">
      <c r="A847" s="343"/>
      <c r="B847" s="15"/>
      <c r="C847" s="17"/>
      <c r="D847" s="1386"/>
      <c r="E847" s="947" t="str">
        <f>Translations!$B$1571</f>
        <v>Ändring jämfört med värde enligt nationella genomförandeåtgärder</v>
      </c>
      <c r="F847" s="947"/>
      <c r="G847" s="947"/>
      <c r="H847" s="1442" t="s">
        <v>1112</v>
      </c>
      <c r="I847" s="1371"/>
      <c r="J847" s="1415" t="str">
        <f>INDEX(F_ProductBM!J:J,MATCH($P847,F_ProductBM!$Q:$Q,0))</f>
        <v/>
      </c>
      <c r="K847" s="1416" t="str">
        <f>INDEX(F_ProductBM!K:K,MATCH($P847,F_ProductBM!$Q:$Q,0))</f>
        <v/>
      </c>
      <c r="L847" s="1416" t="str">
        <f>INDEX(F_ProductBM!L:L,MATCH($P847,F_ProductBM!$Q:$Q,0))</f>
        <v/>
      </c>
      <c r="M847" s="1416" t="str">
        <f>INDEX(F_ProductBM!M:M,MATCH($P847,F_ProductBM!$Q:$Q,0))</f>
        <v/>
      </c>
      <c r="N847" s="1417" t="str">
        <f>INDEX(F_ProductBM!N:N,MATCH($P847,F_ProductBM!$Q:$Q,0))</f>
        <v/>
      </c>
      <c r="O847" s="19"/>
      <c r="P847" s="165" t="str">
        <f>EUconst_CNTR_RelThreshold &amp; P849</f>
        <v>RelThresh_HALprelim_ELEXCH_</v>
      </c>
      <c r="Q847" s="343"/>
      <c r="R847" s="343"/>
      <c r="S847" s="343"/>
      <c r="T847" s="343"/>
      <c r="U847" s="349"/>
      <c r="V847" s="349"/>
    </row>
    <row r="848" spans="1:22" s="534" customFormat="1" ht="12.75" customHeight="1" x14ac:dyDescent="0.3">
      <c r="A848" s="343"/>
      <c r="B848" s="15"/>
      <c r="C848" s="17"/>
      <c r="D848" s="1386"/>
      <c r="E848" s="1418" t="str">
        <f>Translations!$B$1572</f>
        <v>Kriterium 3b: Har relativa tröskelvärden överskridits?</v>
      </c>
      <c r="F848" s="1418"/>
      <c r="G848" s="1418"/>
      <c r="H848" s="1444" t="s">
        <v>1112</v>
      </c>
      <c r="I848" s="1423"/>
      <c r="J848" s="1420" t="str">
        <f>INDEX(F_ProductBM!V:V,MATCH($P848,F_ProductBM!$Q:$Q,0))</f>
        <v/>
      </c>
      <c r="K848" s="1421" t="str">
        <f>INDEX(F_ProductBM!W:W,MATCH($P848,F_ProductBM!$Q:$Q,0))</f>
        <v/>
      </c>
      <c r="L848" s="1421" t="str">
        <f>INDEX(F_ProductBM!X:X,MATCH($P848,F_ProductBM!$Q:$Q,0))</f>
        <v/>
      </c>
      <c r="M848" s="1421" t="str">
        <f>INDEX(F_ProductBM!Y:Y,MATCH($P848,F_ProductBM!$Q:$Q,0))</f>
        <v/>
      </c>
      <c r="N848" s="1422" t="str">
        <f>INDEX(F_ProductBM!Z:Z,MATCH($P848,F_ProductBM!$Q:$Q,0))</f>
        <v/>
      </c>
      <c r="O848" s="19"/>
      <c r="P848" s="165" t="str">
        <f>P847</f>
        <v>RelThresh_HALprelim_ELEXCH_</v>
      </c>
      <c r="Q848" s="343"/>
      <c r="R848" s="343"/>
      <c r="S848" s="343"/>
      <c r="T848" s="343"/>
      <c r="U848" s="349"/>
      <c r="V848" s="349"/>
    </row>
    <row r="849" spans="1:22" s="534" customFormat="1" ht="12.75" customHeight="1" x14ac:dyDescent="0.3">
      <c r="A849" s="343" t="str">
        <f>IF(P849="","ausblenden","")</f>
        <v/>
      </c>
      <c r="B849" s="15"/>
      <c r="C849" s="17"/>
      <c r="D849" s="1386"/>
      <c r="E849" s="950" t="str">
        <f>Translations!$B$1568</f>
        <v>Preliminärt värde</v>
      </c>
      <c r="F849" s="950"/>
      <c r="G849" s="950"/>
      <c r="H849" s="629" t="s">
        <v>1112</v>
      </c>
      <c r="I849" s="950"/>
      <c r="J849" s="1404" t="str">
        <f>IF($I808=TRUE,INDEX(F_ProductBM!J:J,MATCH($P849,F_ProductBM!$Q:$Q,0)),"")</f>
        <v/>
      </c>
      <c r="K849" s="1405" t="str">
        <f>IF($I808=TRUE,INDEX(F_ProductBM!K:K,MATCH($P849,F_ProductBM!$Q:$Q,0)),"")</f>
        <v/>
      </c>
      <c r="L849" s="1405" t="str">
        <f>IF($I808=TRUE,INDEX(F_ProductBM!L:L,MATCH($P849,F_ProductBM!$Q:$Q,0)),"")</f>
        <v/>
      </c>
      <c r="M849" s="1405" t="str">
        <f>IF($I808=TRUE,INDEX(F_ProductBM!M:M,MATCH($P849,F_ProductBM!$Q:$Q,0)),"")</f>
        <v/>
      </c>
      <c r="N849" s="1406" t="str">
        <f>IF($I808=TRUE,INDEX(F_ProductBM!N:N,MATCH($P849,F_ProductBM!$Q:$Q,0)),"")</f>
        <v/>
      </c>
      <c r="O849" s="19"/>
      <c r="P849" s="165" t="str">
        <f>EUconst_CNTR_HALprelim&amp;EUconst_CNTR_ELEXCH&amp;$I805</f>
        <v>HALprelim_ELEXCH_</v>
      </c>
      <c r="Q849" s="343"/>
      <c r="R849" s="343"/>
      <c r="S849" s="343"/>
      <c r="T849" s="343"/>
      <c r="U849" s="349"/>
      <c r="V849" s="349"/>
    </row>
    <row r="850" spans="1:22" s="534" customFormat="1" ht="12.75" hidden="1" customHeight="1" x14ac:dyDescent="0.3">
      <c r="A850" s="343" t="str">
        <f>IF(P850="","ausblenden","")</f>
        <v>ausblenden</v>
      </c>
      <c r="B850" s="15"/>
      <c r="C850" s="17"/>
      <c r="D850" s="1386"/>
      <c r="E850" s="950" t="s">
        <v>1528</v>
      </c>
      <c r="F850" s="950"/>
      <c r="G850" s="950"/>
      <c r="H850" s="1375" t="s">
        <v>1112</v>
      </c>
      <c r="I850" s="951"/>
      <c r="J850" s="1213" t="str">
        <f>J824</f>
        <v/>
      </c>
      <c r="K850" s="1214" t="str">
        <f>J919</f>
        <v/>
      </c>
      <c r="L850" s="1214" t="str">
        <f>K919</f>
        <v/>
      </c>
      <c r="M850" s="1214" t="str">
        <f>L919</f>
        <v/>
      </c>
      <c r="N850" s="1393" t="str">
        <f>M919</f>
        <v/>
      </c>
      <c r="O850" s="19"/>
      <c r="P850" s="343"/>
      <c r="Q850" s="343"/>
      <c r="R850" s="343"/>
      <c r="S850" s="343"/>
      <c r="T850" s="343"/>
      <c r="U850" s="349"/>
      <c r="V850" s="349"/>
    </row>
    <row r="851" spans="1:22" s="534" customFormat="1" ht="12.75" customHeight="1" x14ac:dyDescent="0.3">
      <c r="A851" s="343"/>
      <c r="B851" s="15"/>
      <c r="C851" s="17"/>
      <c r="D851" s="1386"/>
      <c r="E851" s="514" t="str">
        <f>Translations!$B$1565</f>
        <v>Preliminärt tilldelningsvärde</v>
      </c>
      <c r="F851" s="514"/>
      <c r="G851" s="514"/>
      <c r="H851" s="129" t="str">
        <f>EUconst_EUA</f>
        <v>EUA</v>
      </c>
      <c r="I851" s="1151"/>
      <c r="J851" s="1131" t="str">
        <f>IF($I808=TRUE,MAX(0,ROUND((SUM($M808)*SUM(J842)*SUM(J849)*SUM(J850)-SUM(J843)-SUM(J844)+SUM(J845))*IF($H808=TRUE,1,J$2517),0)),"")</f>
        <v/>
      </c>
      <c r="K851" s="421" t="str">
        <f>IF($I808=TRUE,MAX(0,ROUND((SUM($M808)*SUM(K842)*SUM(K849)*SUM(K850)-SUM(K843)-SUM(K844)+SUM(K845))*IF($H808=TRUE,1,K$2517),0)),"")</f>
        <v/>
      </c>
      <c r="L851" s="421" t="str">
        <f>IF($I808=TRUE,MAX(0,ROUND((SUM($M808)*SUM(L842)*SUM(L849)*SUM(L850)-SUM(L843)-SUM(L844)+SUM(L845))*IF($H808=TRUE,1,L$2517),0)),"")</f>
        <v/>
      </c>
      <c r="M851" s="421" t="str">
        <f>IF($I808=TRUE,MAX(0,ROUND((SUM($M808)*SUM(M842)*SUM(M849)*SUM(M850)-SUM(M843)-SUM(M844)+SUM(M845))*IF($H808=TRUE,1,M$2517),0)),"")</f>
        <v/>
      </c>
      <c r="N851" s="967" t="str">
        <f>IF($I808=TRUE,MAX(0,ROUND((SUM($M808)*SUM(N842)*SUM(N849)*SUM(N850)-SUM(N843)-SUM(N844)+SUM(N845))*IF($H808=TRUE,1,N$2517),0)),"")</f>
        <v/>
      </c>
      <c r="O851" s="19"/>
      <c r="P851" s="343"/>
      <c r="Q851" s="343"/>
      <c r="R851" s="343"/>
      <c r="S851" s="343"/>
      <c r="T851" s="343"/>
      <c r="U851" s="349"/>
      <c r="V851" s="349"/>
    </row>
    <row r="852" spans="1:22" s="534" customFormat="1" ht="12.75" customHeight="1" x14ac:dyDescent="0.3">
      <c r="A852" s="343"/>
      <c r="B852" s="15"/>
      <c r="C852" s="17"/>
      <c r="D852" s="1386"/>
      <c r="E852" s="514" t="str">
        <f>Translations!$B$1569</f>
        <v>Skillnad i tilldelning</v>
      </c>
      <c r="F852" s="514"/>
      <c r="G852" s="514"/>
      <c r="H852" s="129" t="str">
        <f>EUconst_EUA</f>
        <v>EUA</v>
      </c>
      <c r="I852" s="1151"/>
      <c r="J852" s="1131" t="str">
        <f>IF($I808=TRUE,ABS(SUM(J851)-SUM(J825)),"")</f>
        <v/>
      </c>
      <c r="K852" s="421" t="str">
        <f>IF($I808=TRUE,ABS(SUM(K851)-SUM(K825)),"")</f>
        <v/>
      </c>
      <c r="L852" s="421" t="str">
        <f>IF($I808=TRUE,ABS(SUM(L851)-SUM(L825)),"")</f>
        <v/>
      </c>
      <c r="M852" s="421" t="str">
        <f>IF($I808=TRUE,ABS(SUM(M851)-SUM(M825)),"")</f>
        <v/>
      </c>
      <c r="N852" s="967" t="str">
        <f>IF($I808=TRUE,ABS(SUM(N851)-SUM(N825)),"")</f>
        <v/>
      </c>
      <c r="O852" s="19"/>
      <c r="P852" s="343"/>
      <c r="Q852" s="343"/>
      <c r="R852" s="343"/>
      <c r="S852" s="343"/>
      <c r="T852" s="343"/>
      <c r="U852" s="349"/>
      <c r="V852" s="349"/>
    </row>
    <row r="853" spans="1:22" s="534" customFormat="1" ht="12.75" customHeight="1" x14ac:dyDescent="0.3">
      <c r="A853" s="343"/>
      <c r="B853" s="15"/>
      <c r="C853" s="17"/>
      <c r="D853" s="1386"/>
      <c r="E853" s="1419" t="str">
        <f>Translations!$B$1573</f>
        <v>Kriterium 4b: Är skillnaden minst 100 utsläppsrätter?</v>
      </c>
      <c r="F853" s="1419"/>
      <c r="G853" s="1419"/>
      <c r="H853" s="1424" t="s">
        <v>1112</v>
      </c>
      <c r="I853" s="1425"/>
      <c r="J853" s="1426" t="str">
        <f>IF($I808=TRUE,J852&gt;=100,"")</f>
        <v/>
      </c>
      <c r="K853" s="1427" t="str">
        <f>IF($I808=TRUE,K852&gt;=100,"")</f>
        <v/>
      </c>
      <c r="L853" s="1427" t="str">
        <f>IF($I808=TRUE,L852&gt;=100,"")</f>
        <v/>
      </c>
      <c r="M853" s="1427" t="str">
        <f>IF($I808=TRUE,M852&gt;=100,"")</f>
        <v/>
      </c>
      <c r="N853" s="1428" t="str">
        <f>IF($I808=TRUE,N852&gt;=100,"")</f>
        <v/>
      </c>
      <c r="O853" s="19"/>
      <c r="P853" s="165" t="str">
        <f>EUconst_CNTR_100EUA_ElExch&amp;I805</f>
        <v>EUA100ElExch_</v>
      </c>
      <c r="Q853" s="343"/>
      <c r="R853" s="343"/>
      <c r="S853" s="343"/>
      <c r="T853" s="343"/>
      <c r="U853" s="349"/>
      <c r="V853" s="349"/>
    </row>
    <row r="854" spans="1:22" s="534" customFormat="1" ht="5.15" customHeight="1" x14ac:dyDescent="0.3">
      <c r="A854" s="343"/>
      <c r="B854" s="15"/>
      <c r="C854" s="17"/>
      <c r="D854" s="1386"/>
      <c r="E854" s="15"/>
      <c r="F854" s="15"/>
      <c r="G854" s="15"/>
      <c r="H854" s="15"/>
      <c r="I854" s="941"/>
      <c r="J854" s="15"/>
      <c r="K854" s="15"/>
      <c r="L854" s="15"/>
      <c r="M854" s="15"/>
      <c r="N854" s="968"/>
      <c r="O854" s="19"/>
      <c r="P854" s="343"/>
      <c r="Q854" s="343"/>
      <c r="R854" s="343"/>
      <c r="S854" s="343"/>
      <c r="T854" s="343"/>
      <c r="U854" s="349"/>
      <c r="V854" s="349"/>
    </row>
    <row r="855" spans="1:22" s="534" customFormat="1" ht="12.75" customHeight="1" x14ac:dyDescent="0.3">
      <c r="A855" s="343"/>
      <c r="B855" s="15"/>
      <c r="C855" s="17"/>
      <c r="D855" s="1386"/>
      <c r="E855" s="42" t="str">
        <f>Translations!$B$1574</f>
        <v>Ändringar: Värme från icke-ETS</v>
      </c>
      <c r="F855" s="188"/>
      <c r="G855" s="188"/>
      <c r="H855" s="30" t="str">
        <f>EUconst_Unit</f>
        <v>Enhet</v>
      </c>
      <c r="I855" s="1157"/>
      <c r="J855" s="1065">
        <f>J$2596</f>
        <v>2021</v>
      </c>
      <c r="K855" s="350">
        <f>K$2596</f>
        <v>2022</v>
      </c>
      <c r="L855" s="350">
        <f>L$2596</f>
        <v>2023</v>
      </c>
      <c r="M855" s="350">
        <f>M$2596</f>
        <v>2024</v>
      </c>
      <c r="N855" s="966">
        <f>N$2596</f>
        <v>2025</v>
      </c>
      <c r="O855" s="19"/>
      <c r="P855" s="343"/>
      <c r="Q855" s="343"/>
      <c r="R855" s="343"/>
      <c r="S855" s="343"/>
      <c r="T855" s="343"/>
      <c r="U855" s="349"/>
      <c r="V855" s="349"/>
    </row>
    <row r="856" spans="1:22" s="534" customFormat="1" ht="12.75" hidden="1" customHeight="1" x14ac:dyDescent="0.3">
      <c r="A856" s="343" t="str">
        <f>IF(P856="","ausblenden","")</f>
        <v>ausblenden</v>
      </c>
      <c r="B856" s="15"/>
      <c r="C856" s="17"/>
      <c r="D856" s="1386"/>
      <c r="E856" s="514" t="s">
        <v>1918</v>
      </c>
      <c r="F856" s="514"/>
      <c r="G856" s="514"/>
      <c r="H856" s="917" t="str">
        <f>H842</f>
        <v>ton</v>
      </c>
      <c r="I856" s="514"/>
      <c r="J856" s="1152" t="str">
        <f>J819</f>
        <v/>
      </c>
      <c r="K856" s="943" t="str">
        <f>J914</f>
        <v/>
      </c>
      <c r="L856" s="943" t="str">
        <f>K914</f>
        <v/>
      </c>
      <c r="M856" s="943" t="str">
        <f>L914</f>
        <v/>
      </c>
      <c r="N856" s="1389" t="str">
        <f>M914</f>
        <v/>
      </c>
      <c r="O856" s="19"/>
      <c r="P856" s="343"/>
      <c r="Q856" s="343"/>
      <c r="R856" s="343"/>
      <c r="S856" s="343"/>
      <c r="T856" s="343"/>
      <c r="U856" s="349"/>
      <c r="V856" s="349"/>
    </row>
    <row r="857" spans="1:22" s="534" customFormat="1" ht="12.75" customHeight="1" x14ac:dyDescent="0.3">
      <c r="A857" s="343"/>
      <c r="B857" s="15"/>
      <c r="C857" s="17"/>
      <c r="D857" s="1386"/>
      <c r="E857" s="944" t="str">
        <f>Translations!$B$1482</f>
        <v>Genomsnittligt årligt värde</v>
      </c>
      <c r="F857" s="944"/>
      <c r="G857" s="944"/>
      <c r="H857" s="627" t="str">
        <f>EUconst_EUA</f>
        <v>EUA</v>
      </c>
      <c r="I857" s="945"/>
      <c r="J857" s="1161" t="str">
        <f>IF(R811,SUM(INDEX(F_ProductBM!J:J,MATCH($P857,F_ProductBM!$Q:$Q,0))),"")</f>
        <v/>
      </c>
      <c r="K857" s="946" t="str">
        <f>IF(S811,SUM(INDEX(F_ProductBM!K:K,MATCH($P857,F_ProductBM!$Q:$Q,0))),"")</f>
        <v/>
      </c>
      <c r="L857" s="946" t="str">
        <f>IF(T811,SUM(INDEX(F_ProductBM!L:L,MATCH($P857,F_ProductBM!$Q:$Q,0))),"")</f>
        <v/>
      </c>
      <c r="M857" s="946" t="str">
        <f>IF(U811,SUM(INDEX(F_ProductBM!M:M,MATCH($P857,F_ProductBM!$Q:$Q,0))),"")</f>
        <v/>
      </c>
      <c r="N857" s="1046" t="str">
        <f>IF(V811,SUM(INDEX(F_ProductBM!N:N,MATCH($P857,F_ProductBM!$Q:$Q,0))),"")</f>
        <v/>
      </c>
      <c r="O857" s="19"/>
      <c r="P857" s="165" t="str">
        <f>EUconst_CNTR_HEATInitial &amp; I805</f>
        <v>HEATIni_</v>
      </c>
      <c r="Q857" s="343"/>
      <c r="R857" s="343"/>
      <c r="S857" s="343"/>
      <c r="T857" s="343"/>
      <c r="U857" s="349"/>
      <c r="V857" s="349"/>
    </row>
    <row r="858" spans="1:22" s="534" customFormat="1" ht="12.75" customHeight="1" x14ac:dyDescent="0.3">
      <c r="A858" s="343"/>
      <c r="B858" s="15"/>
      <c r="C858" s="17"/>
      <c r="D858" s="1386"/>
      <c r="E858" s="947" t="str">
        <f>Translations!$B$1571</f>
        <v>Ändring jämfört med värde enligt nationella genomförandeåtgärder</v>
      </c>
      <c r="F858" s="947"/>
      <c r="G858" s="947"/>
      <c r="H858" s="1442" t="s">
        <v>1112</v>
      </c>
      <c r="I858" s="1371"/>
      <c r="J858" s="1415" t="str">
        <f>INDEX(F_ProductBM!J:J,MATCH($P858,F_ProductBM!$Q:$Q,0))</f>
        <v/>
      </c>
      <c r="K858" s="1416" t="str">
        <f>INDEX(F_ProductBM!K:K,MATCH($P858,F_ProductBM!$Q:$Q,0))</f>
        <v/>
      </c>
      <c r="L858" s="1416" t="str">
        <f>INDEX(F_ProductBM!L:L,MATCH($P858,F_ProductBM!$Q:$Q,0))</f>
        <v/>
      </c>
      <c r="M858" s="1416" t="str">
        <f>INDEX(F_ProductBM!M:M,MATCH($P858,F_ProductBM!$Q:$Q,0))</f>
        <v/>
      </c>
      <c r="N858" s="1417" t="str">
        <f>INDEX(F_ProductBM!N:N,MATCH($P858,F_ProductBM!$Q:$Q,0))</f>
        <v/>
      </c>
      <c r="O858" s="19"/>
      <c r="P858" s="165" t="str">
        <f>EUconst_CNTR_RelThreshold &amp; P860</f>
        <v>RelThresh_HEATprelim_</v>
      </c>
      <c r="Q858" s="343"/>
      <c r="R858" s="343"/>
      <c r="S858" s="343"/>
      <c r="T858" s="343"/>
      <c r="U858" s="349"/>
      <c r="V858" s="349"/>
    </row>
    <row r="859" spans="1:22" s="534" customFormat="1" ht="12.75" customHeight="1" x14ac:dyDescent="0.3">
      <c r="A859" s="343"/>
      <c r="B859" s="15"/>
      <c r="C859" s="17"/>
      <c r="D859" s="1386"/>
      <c r="E859" s="1418" t="str">
        <f>Translations!$B$1575</f>
        <v>Kriterium 3c: Har relativa tröskelvärden överskridits?</v>
      </c>
      <c r="F859" s="1418"/>
      <c r="G859" s="1418"/>
      <c r="H859" s="1444" t="s">
        <v>1112</v>
      </c>
      <c r="I859" s="1423"/>
      <c r="J859" s="1420" t="str">
        <f>INDEX(F_ProductBM!V:V,MATCH($P859,F_ProductBM!$Q:$Q,0))</f>
        <v/>
      </c>
      <c r="K859" s="1421" t="str">
        <f>INDEX(F_ProductBM!W:W,MATCH($P859,F_ProductBM!$Q:$Q,0))</f>
        <v/>
      </c>
      <c r="L859" s="1421" t="str">
        <f>INDEX(F_ProductBM!X:X,MATCH($P859,F_ProductBM!$Q:$Q,0))</f>
        <v/>
      </c>
      <c r="M859" s="1421" t="str">
        <f>INDEX(F_ProductBM!Y:Y,MATCH($P859,F_ProductBM!$Q:$Q,0))</f>
        <v/>
      </c>
      <c r="N859" s="1422" t="str">
        <f>INDEX(F_ProductBM!Z:Z,MATCH($P859,F_ProductBM!$Q:$Q,0))</f>
        <v/>
      </c>
      <c r="O859" s="19"/>
      <c r="P859" s="165" t="str">
        <f>P858</f>
        <v>RelThresh_HEATprelim_</v>
      </c>
      <c r="Q859" s="343"/>
      <c r="R859" s="343"/>
      <c r="S859" s="343"/>
      <c r="T859" s="343"/>
      <c r="U859" s="349"/>
      <c r="V859" s="349"/>
    </row>
    <row r="860" spans="1:22" s="534" customFormat="1" ht="12.75" customHeight="1" x14ac:dyDescent="0.3">
      <c r="A860" s="343" t="str">
        <f>IF(P860="","ausblenden","")</f>
        <v/>
      </c>
      <c r="B860" s="15"/>
      <c r="C860" s="17"/>
      <c r="D860" s="1386"/>
      <c r="E860" s="950" t="str">
        <f>Translations!$B$1568</f>
        <v>Preliminärt värde</v>
      </c>
      <c r="F860" s="950"/>
      <c r="G860" s="950"/>
      <c r="H860" s="629" t="str">
        <f>EUconst_EUA</f>
        <v>EUA</v>
      </c>
      <c r="I860" s="950"/>
      <c r="J860" s="1373" t="str">
        <f>IF($I805="","",INDEX(F_ProductBM!J:J,MATCH($P860,F_ProductBM!$Q:$Q,0)))</f>
        <v/>
      </c>
      <c r="K860" s="1374" t="str">
        <f>IF($I805="","",INDEX(F_ProductBM!K:K,MATCH($P860,F_ProductBM!$Q:$Q,0)))</f>
        <v/>
      </c>
      <c r="L860" s="1374" t="str">
        <f>IF($I805="","",INDEX(F_ProductBM!L:L,MATCH($P860,F_ProductBM!$Q:$Q,0)))</f>
        <v/>
      </c>
      <c r="M860" s="1374" t="str">
        <f>IF($I805="","",INDEX(F_ProductBM!M:M,MATCH($P860,F_ProductBM!$Q:$Q,0)))</f>
        <v/>
      </c>
      <c r="N860" s="1395" t="str">
        <f>IF($I805="","",INDEX(F_ProductBM!N:N,MATCH($P860,F_ProductBM!$Q:$Q,0)))</f>
        <v/>
      </c>
      <c r="O860" s="19"/>
      <c r="P860" s="165" t="str">
        <f>EUconst_CNTR_HEATprelim&amp;I805</f>
        <v>HEATprelim_</v>
      </c>
      <c r="Q860" s="343"/>
      <c r="R860" s="343"/>
      <c r="S860" s="343"/>
      <c r="T860" s="343"/>
      <c r="U860" s="349"/>
      <c r="V860" s="349"/>
    </row>
    <row r="861" spans="1:22" s="534" customFormat="1" ht="12.75" hidden="1" customHeight="1" x14ac:dyDescent="0.3">
      <c r="A861" s="343" t="str">
        <f>IF(P861="","ausblenden","")</f>
        <v>ausblenden</v>
      </c>
      <c r="B861" s="15"/>
      <c r="C861" s="17"/>
      <c r="D861" s="1386"/>
      <c r="E861" s="947" t="s">
        <v>1560</v>
      </c>
      <c r="F861" s="947"/>
      <c r="G861" s="947"/>
      <c r="H861" s="955" t="str">
        <f>EUconst_EUA</f>
        <v>EUA</v>
      </c>
      <c r="I861" s="948"/>
      <c r="J861" s="1165" t="str">
        <f>J821</f>
        <v/>
      </c>
      <c r="K861" s="975" t="str">
        <f t="shared" ref="K861:K864" si="105">J916</f>
        <v/>
      </c>
      <c r="L861" s="975" t="str">
        <f t="shared" ref="L861:L864" si="106">K916</f>
        <v/>
      </c>
      <c r="M861" s="975" t="str">
        <f t="shared" ref="M861:M864" si="107">L916</f>
        <v/>
      </c>
      <c r="N861" s="1391" t="str">
        <f t="shared" ref="N861:N864" si="108">M916</f>
        <v/>
      </c>
      <c r="O861" s="19"/>
      <c r="P861" s="343"/>
      <c r="Q861" s="343"/>
      <c r="R861" s="343"/>
      <c r="S861" s="343"/>
      <c r="T861" s="343"/>
      <c r="U861" s="349"/>
      <c r="V861" s="349"/>
    </row>
    <row r="862" spans="1:22" s="534" customFormat="1" ht="12.75" hidden="1" customHeight="1" x14ac:dyDescent="0.3">
      <c r="A862" s="343" t="str">
        <f>IF(P862="","ausblenden","")</f>
        <v>ausblenden</v>
      </c>
      <c r="B862" s="15"/>
      <c r="C862" s="17"/>
      <c r="D862" s="1386"/>
      <c r="E862" s="947" t="s">
        <v>1527</v>
      </c>
      <c r="F862" s="947"/>
      <c r="G862" s="947"/>
      <c r="H862" s="955" t="str">
        <f>EUconst_EUA</f>
        <v>EUA</v>
      </c>
      <c r="I862" s="948"/>
      <c r="J862" s="1165" t="str">
        <f>J822</f>
        <v/>
      </c>
      <c r="K862" s="975" t="str">
        <f t="shared" si="105"/>
        <v/>
      </c>
      <c r="L862" s="975" t="str">
        <f t="shared" si="106"/>
        <v/>
      </c>
      <c r="M862" s="975" t="str">
        <f t="shared" si="107"/>
        <v/>
      </c>
      <c r="N862" s="1391" t="str">
        <f t="shared" si="108"/>
        <v/>
      </c>
      <c r="O862" s="19"/>
      <c r="P862" s="343"/>
      <c r="Q862" s="343"/>
      <c r="R862" s="343"/>
      <c r="S862" s="343"/>
      <c r="T862" s="343"/>
      <c r="U862" s="349"/>
      <c r="V862" s="349"/>
    </row>
    <row r="863" spans="1:22" s="534" customFormat="1" ht="12.75" hidden="1" customHeight="1" x14ac:dyDescent="0.3">
      <c r="A863" s="343" t="str">
        <f>IF(P863="","ausblenden","")</f>
        <v>ausblenden</v>
      </c>
      <c r="B863" s="15"/>
      <c r="C863" s="17"/>
      <c r="D863" s="1386"/>
      <c r="E863" s="947" t="s">
        <v>1526</v>
      </c>
      <c r="F863" s="947"/>
      <c r="G863" s="947"/>
      <c r="H863" s="956" t="s">
        <v>1112</v>
      </c>
      <c r="I863" s="948"/>
      <c r="J863" s="1211" t="str">
        <f>J823</f>
        <v/>
      </c>
      <c r="K863" s="1212" t="str">
        <f t="shared" si="105"/>
        <v/>
      </c>
      <c r="L863" s="1212" t="str">
        <f t="shared" si="106"/>
        <v/>
      </c>
      <c r="M863" s="1212" t="str">
        <f t="shared" si="107"/>
        <v/>
      </c>
      <c r="N863" s="1392" t="str">
        <f t="shared" si="108"/>
        <v/>
      </c>
      <c r="O863" s="19"/>
      <c r="P863" s="343"/>
      <c r="Q863" s="343"/>
      <c r="R863" s="343"/>
      <c r="S863" s="343"/>
      <c r="T863" s="343"/>
      <c r="U863" s="349"/>
      <c r="V863" s="349"/>
    </row>
    <row r="864" spans="1:22" s="534" customFormat="1" ht="12.75" hidden="1" customHeight="1" x14ac:dyDescent="0.3">
      <c r="A864" s="343" t="str">
        <f>IF(P864="","ausblenden","")</f>
        <v>ausblenden</v>
      </c>
      <c r="B864" s="15"/>
      <c r="C864" s="17"/>
      <c r="D864" s="1386"/>
      <c r="E864" s="950" t="s">
        <v>1528</v>
      </c>
      <c r="F864" s="950"/>
      <c r="G864" s="950"/>
      <c r="H864" s="957" t="s">
        <v>1112</v>
      </c>
      <c r="I864" s="951"/>
      <c r="J864" s="1213" t="str">
        <f>J824</f>
        <v/>
      </c>
      <c r="K864" s="1214" t="str">
        <f t="shared" si="105"/>
        <v/>
      </c>
      <c r="L864" s="1214" t="str">
        <f t="shared" si="106"/>
        <v/>
      </c>
      <c r="M864" s="1214" t="str">
        <f t="shared" si="107"/>
        <v/>
      </c>
      <c r="N864" s="1393" t="str">
        <f t="shared" si="108"/>
        <v/>
      </c>
      <c r="O864" s="19"/>
      <c r="P864" s="343"/>
      <c r="Q864" s="343"/>
      <c r="R864" s="343"/>
      <c r="S864" s="343"/>
      <c r="T864" s="343"/>
      <c r="U864" s="349"/>
      <c r="V864" s="349"/>
    </row>
    <row r="865" spans="1:22" s="534" customFormat="1" ht="12.75" customHeight="1" x14ac:dyDescent="0.3">
      <c r="A865" s="343"/>
      <c r="B865" s="15"/>
      <c r="C865" s="17"/>
      <c r="D865" s="1386"/>
      <c r="E865" s="514" t="str">
        <f>Translations!$B$1565</f>
        <v>Preliminärt tilldelningsvärde</v>
      </c>
      <c r="F865" s="514"/>
      <c r="G865" s="514"/>
      <c r="H865" s="129" t="str">
        <f>EUconst_EUA</f>
        <v>EUA</v>
      </c>
      <c r="I865" s="1151"/>
      <c r="J865" s="1131" t="str">
        <f>IF($I805="","",MAX(0,ROUND((SUM($M808)*SUM(J856)*SUM(J863)*SUM(J864)-SUM(J860)-SUM(J861)+SUM(J862))*IF($H808=TRUE,1,J$2517),0)))</f>
        <v/>
      </c>
      <c r="K865" s="421" t="str">
        <f>IF($I805="","",MAX(0,ROUND((SUM($M808)*SUM(K856)*SUM(K863)*SUM(K864)-SUM(K860)-SUM(K861)+SUM(K862))*IF($H808=TRUE,1,K$2517),0)))</f>
        <v/>
      </c>
      <c r="L865" s="421" t="str">
        <f>IF($I805="","",MAX(0,ROUND((SUM($M808)*SUM(L856)*SUM(L863)*SUM(L864)-SUM(L860)-SUM(L861)+SUM(L862))*IF($H808=TRUE,1,L$2517),0)))</f>
        <v/>
      </c>
      <c r="M865" s="421" t="str">
        <f>IF($I805="","",MAX(0,ROUND((SUM($M808)*SUM(M856)*SUM(M863)*SUM(M864)-SUM(M860)-SUM(M861)+SUM(M862))*IF($H808=TRUE,1,M$2517),0)))</f>
        <v/>
      </c>
      <c r="N865" s="967" t="str">
        <f>IF($I805="","",MAX(0,ROUND((SUM($M808+IF(L808=52,0.415,0))*SUM(N856)*SUM(N863)*SUM(N864)-SUM(N860)-SUM(N861)+SUM(N862))*IF($H808=TRUE,1,N$2517),0)))</f>
        <v/>
      </c>
      <c r="O865" s="19"/>
      <c r="P865" s="343"/>
      <c r="Q865" s="343"/>
      <c r="R865" s="343"/>
      <c r="S865" s="343"/>
      <c r="T865" s="343"/>
      <c r="U865" s="349"/>
      <c r="V865" s="349"/>
    </row>
    <row r="866" spans="1:22" s="534" customFormat="1" ht="12.75" customHeight="1" x14ac:dyDescent="0.3">
      <c r="A866" s="343"/>
      <c r="B866" s="15"/>
      <c r="C866" s="17"/>
      <c r="D866" s="1386"/>
      <c r="E866" s="514" t="str">
        <f>Translations!$B$1569</f>
        <v>Skillnad i tilldelning</v>
      </c>
      <c r="F866" s="514"/>
      <c r="G866" s="514"/>
      <c r="H866" s="129" t="str">
        <f>EUconst_EUA</f>
        <v>EUA</v>
      </c>
      <c r="I866" s="1151"/>
      <c r="J866" s="1131" t="str">
        <f>IF($I805="","",ABS(SUM(J865)-SUM(J825)))</f>
        <v/>
      </c>
      <c r="K866" s="421" t="str">
        <f>IF($I805="","",ABS(SUM(K865)-SUM(K825)))</f>
        <v/>
      </c>
      <c r="L866" s="421" t="str">
        <f>IF($I805="","",ABS(SUM(L865)-SUM(L825)))</f>
        <v/>
      </c>
      <c r="M866" s="421" t="str">
        <f>IF($I805="","",ABS(SUM(M865)-SUM(M825)))</f>
        <v/>
      </c>
      <c r="N866" s="967" t="str">
        <f>IF($I805="","",ABS(SUM(N865)-SUM(N825)))</f>
        <v/>
      </c>
      <c r="O866" s="19"/>
      <c r="P866" s="343"/>
      <c r="Q866" s="343"/>
      <c r="R866" s="343"/>
      <c r="S866" s="343"/>
      <c r="T866" s="343"/>
      <c r="U866" s="349"/>
      <c r="V866" s="349"/>
    </row>
    <row r="867" spans="1:22" s="534" customFormat="1" ht="12.75" customHeight="1" x14ac:dyDescent="0.3">
      <c r="A867" s="343"/>
      <c r="B867" s="15"/>
      <c r="C867" s="17"/>
      <c r="D867" s="1386"/>
      <c r="E867" s="1419" t="str">
        <f>Translations!$B$1576</f>
        <v>Kriterium 4c: Är skillnaden minst 100 utsläppsrätter?</v>
      </c>
      <c r="F867" s="1419"/>
      <c r="G867" s="1419"/>
      <c r="H867" s="1424" t="s">
        <v>1112</v>
      </c>
      <c r="I867" s="1425"/>
      <c r="J867" s="1426" t="str">
        <f>IF($I805="","",J866&gt;=100)</f>
        <v/>
      </c>
      <c r="K867" s="1427" t="str">
        <f>IF($I805="","",K866&gt;=100)</f>
        <v/>
      </c>
      <c r="L867" s="1427" t="str">
        <f>IF($I805="","",L866&gt;=100)</f>
        <v/>
      </c>
      <c r="M867" s="1427" t="str">
        <f>IF($I805="","",M866&gt;=100)</f>
        <v/>
      </c>
      <c r="N867" s="1428" t="str">
        <f>IF($I805="","",N866&gt;=100)</f>
        <v/>
      </c>
      <c r="O867" s="19"/>
      <c r="P867" s="165" t="str">
        <f>EUconst_CNTR_100EUA_HEAT&amp;I805</f>
        <v>EUA100HEAT_</v>
      </c>
      <c r="Q867" s="343"/>
      <c r="R867" s="343"/>
      <c r="S867" s="343"/>
      <c r="T867" s="343"/>
      <c r="U867" s="349"/>
      <c r="V867" s="349"/>
    </row>
    <row r="868" spans="1:22" s="534" customFormat="1" ht="5.15" customHeight="1" x14ac:dyDescent="0.3">
      <c r="A868" s="343"/>
      <c r="B868" s="15"/>
      <c r="C868" s="17"/>
      <c r="D868" s="1386"/>
      <c r="E868" s="15"/>
      <c r="F868" s="15"/>
      <c r="G868" s="15"/>
      <c r="H868" s="15"/>
      <c r="I868" s="941"/>
      <c r="J868" s="15"/>
      <c r="K868" s="15"/>
      <c r="L868" s="15"/>
      <c r="M868" s="15"/>
      <c r="N868" s="968"/>
      <c r="O868" s="19"/>
      <c r="P868" s="343"/>
      <c r="Q868" s="343"/>
      <c r="R868" s="343"/>
      <c r="S868" s="343"/>
      <c r="T868" s="343"/>
      <c r="U868" s="349"/>
      <c r="V868" s="349"/>
    </row>
    <row r="869" spans="1:22" s="534" customFormat="1" ht="12.75" customHeight="1" x14ac:dyDescent="0.3">
      <c r="A869" s="343"/>
      <c r="B869" s="15"/>
      <c r="C869" s="17"/>
      <c r="D869" s="1386"/>
      <c r="E869" s="42" t="str">
        <f>Translations!$B$1577</f>
        <v>Ändringar: HVC-korrigering</v>
      </c>
      <c r="F869" s="188"/>
      <c r="G869" s="188"/>
      <c r="H869" s="30" t="str">
        <f>EUconst_Unit</f>
        <v>Enhet</v>
      </c>
      <c r="I869" s="1157"/>
      <c r="J869" s="1065">
        <f>J$2596</f>
        <v>2021</v>
      </c>
      <c r="K869" s="350">
        <f>K$2596</f>
        <v>2022</v>
      </c>
      <c r="L869" s="350">
        <f>L$2596</f>
        <v>2023</v>
      </c>
      <c r="M869" s="350">
        <f>M$2596</f>
        <v>2024</v>
      </c>
      <c r="N869" s="966">
        <f>N$2596</f>
        <v>2025</v>
      </c>
      <c r="O869" s="19"/>
      <c r="P869" s="343"/>
      <c r="Q869" s="343"/>
      <c r="R869" s="343"/>
      <c r="S869" s="343"/>
      <c r="T869" s="343"/>
      <c r="U869" s="349"/>
      <c r="V869" s="349"/>
    </row>
    <row r="870" spans="1:22" s="534" customFormat="1" ht="12.75" hidden="1" customHeight="1" x14ac:dyDescent="0.3">
      <c r="A870" s="343" t="str">
        <f>IF(P870="","ausblenden","")</f>
        <v>ausblenden</v>
      </c>
      <c r="B870" s="15"/>
      <c r="C870" s="17"/>
      <c r="D870" s="1386"/>
      <c r="E870" s="514" t="s">
        <v>1918</v>
      </c>
      <c r="F870" s="514"/>
      <c r="G870" s="514"/>
      <c r="H870" s="917" t="str">
        <f>H856</f>
        <v>ton</v>
      </c>
      <c r="I870" s="514"/>
      <c r="J870" s="1152" t="str">
        <f>J819</f>
        <v/>
      </c>
      <c r="K870" s="943" t="str">
        <f t="shared" ref="K870:K872" si="109">J914</f>
        <v/>
      </c>
      <c r="L870" s="943" t="str">
        <f t="shared" ref="L870:L872" si="110">K914</f>
        <v/>
      </c>
      <c r="M870" s="943" t="str">
        <f t="shared" ref="M870:M872" si="111">L914</f>
        <v/>
      </c>
      <c r="N870" s="1389" t="str">
        <f t="shared" ref="N870:N872" si="112">M914</f>
        <v/>
      </c>
      <c r="O870" s="19"/>
      <c r="P870" s="343"/>
      <c r="Q870" s="343"/>
      <c r="R870" s="343"/>
      <c r="S870" s="343"/>
      <c r="T870" s="343"/>
      <c r="U870" s="349"/>
      <c r="V870" s="349"/>
    </row>
    <row r="871" spans="1:22" s="534" customFormat="1" ht="12.75" hidden="1" customHeight="1" x14ac:dyDescent="0.3">
      <c r="A871" s="343" t="str">
        <f>IF(P871="","ausblenden","")</f>
        <v>ausblenden</v>
      </c>
      <c r="B871" s="15"/>
      <c r="C871" s="17"/>
      <c r="D871" s="1386"/>
      <c r="E871" s="944" t="s">
        <v>339</v>
      </c>
      <c r="F871" s="944"/>
      <c r="G871" s="944"/>
      <c r="H871" s="954" t="str">
        <f>EUconst_EUA</f>
        <v>EUA</v>
      </c>
      <c r="I871" s="945"/>
      <c r="J871" s="1209" t="str">
        <f>J820</f>
        <v/>
      </c>
      <c r="K871" s="1210" t="str">
        <f t="shared" si="109"/>
        <v/>
      </c>
      <c r="L871" s="1210" t="str">
        <f t="shared" si="110"/>
        <v/>
      </c>
      <c r="M871" s="1210" t="str">
        <f t="shared" si="111"/>
        <v/>
      </c>
      <c r="N871" s="1390" t="str">
        <f t="shared" si="112"/>
        <v/>
      </c>
      <c r="O871" s="19"/>
      <c r="P871" s="343"/>
      <c r="Q871" s="343"/>
      <c r="R871" s="343"/>
      <c r="S871" s="343"/>
      <c r="T871" s="343"/>
      <c r="U871" s="349"/>
      <c r="V871" s="349"/>
    </row>
    <row r="872" spans="1:22" s="534" customFormat="1" ht="12.75" hidden="1" customHeight="1" x14ac:dyDescent="0.3">
      <c r="A872" s="343" t="str">
        <f>IF(P872="","ausblenden","")</f>
        <v>ausblenden</v>
      </c>
      <c r="B872" s="15"/>
      <c r="C872" s="17"/>
      <c r="D872" s="1386"/>
      <c r="E872" s="1433" t="s">
        <v>1560</v>
      </c>
      <c r="F872" s="1433"/>
      <c r="G872" s="1433"/>
      <c r="H872" s="1434" t="str">
        <f>EUconst_EUA</f>
        <v>EUA</v>
      </c>
      <c r="I872" s="1435"/>
      <c r="J872" s="1436" t="str">
        <f>J821</f>
        <v/>
      </c>
      <c r="K872" s="1437" t="str">
        <f t="shared" si="109"/>
        <v/>
      </c>
      <c r="L872" s="1437" t="str">
        <f t="shared" si="110"/>
        <v/>
      </c>
      <c r="M872" s="1437" t="str">
        <f t="shared" si="111"/>
        <v/>
      </c>
      <c r="N872" s="1438" t="str">
        <f t="shared" si="112"/>
        <v/>
      </c>
      <c r="O872" s="19"/>
      <c r="P872" s="343"/>
      <c r="Q872" s="343"/>
      <c r="R872" s="343"/>
      <c r="S872" s="343"/>
      <c r="T872" s="343"/>
      <c r="U872" s="349"/>
      <c r="V872" s="349"/>
    </row>
    <row r="873" spans="1:22" s="534" customFormat="1" ht="12.75" customHeight="1" x14ac:dyDescent="0.3">
      <c r="A873" s="343"/>
      <c r="B873" s="15"/>
      <c r="C873" s="17"/>
      <c r="D873" s="1386"/>
      <c r="E873" s="944" t="str">
        <f>Translations!$B$1482</f>
        <v>Genomsnittligt årligt värde</v>
      </c>
      <c r="F873" s="944"/>
      <c r="G873" s="944"/>
      <c r="H873" s="954" t="str">
        <f>EUconst_EUA</f>
        <v>EUA</v>
      </c>
      <c r="I873" s="945"/>
      <c r="J873" s="1445" t="str">
        <f>IF(L808=42,INDEX(H_SpecialBM!J:J,MATCH($P873,H_SpecialBM!$Q:$Q,0)),"")</f>
        <v/>
      </c>
      <c r="K873" s="1446" t="str">
        <f>IF(L808=42,INDEX(H_SpecialBM!K:K,MATCH($P873,H_SpecialBM!$Q:$Q,0)),"")</f>
        <v/>
      </c>
      <c r="L873" s="1446" t="str">
        <f>IF(L808=42,INDEX(H_SpecialBM!L:L,MATCH($P873,H_SpecialBM!$Q:$Q,0)),"")</f>
        <v/>
      </c>
      <c r="M873" s="1446" t="str">
        <f>IF(L808=42,INDEX(H_SpecialBM!M:M,MATCH($P873,H_SpecialBM!$Q:$Q,0)),"")</f>
        <v/>
      </c>
      <c r="N873" s="1447" t="str">
        <f>IF(L808=42,INDEX(H_SpecialBM!N:N,MATCH($P873,H_SpecialBM!$Q:$Q,0)),"")</f>
        <v/>
      </c>
      <c r="O873" s="19"/>
      <c r="P873" s="165" t="str">
        <f>EUconst_CNTR_HVCInitial &amp; INDEX(EUconst_BMlistNames,42)</f>
        <v>HVCIni_Ångkrackning</v>
      </c>
      <c r="Q873" s="343"/>
      <c r="R873" s="343"/>
      <c r="S873" s="343"/>
      <c r="T873" s="343"/>
      <c r="U873" s="349"/>
      <c r="V873" s="349"/>
    </row>
    <row r="874" spans="1:22" s="534" customFormat="1" ht="12.75" customHeight="1" x14ac:dyDescent="0.3">
      <c r="A874" s="343"/>
      <c r="B874" s="15"/>
      <c r="C874" s="17"/>
      <c r="D874" s="1386"/>
      <c r="E874" s="947" t="str">
        <f>Translations!$B$1571</f>
        <v>Ändring jämfört med värde enligt nationella genomförandeåtgärder</v>
      </c>
      <c r="F874" s="947"/>
      <c r="G874" s="947"/>
      <c r="H874" s="1370" t="s">
        <v>1112</v>
      </c>
      <c r="I874" s="1371"/>
      <c r="J874" s="1415" t="str">
        <f>IF(L808=42,INDEX(H_SpecialBM!J:J,MATCH($P874,H_SpecialBM!$Q:$Q,0)),"")</f>
        <v/>
      </c>
      <c r="K874" s="1416" t="str">
        <f>IF(L808=42,INDEX(H_SpecialBM!K:K,MATCH($P874,H_SpecialBM!$Q:$Q,0)),"")</f>
        <v/>
      </c>
      <c r="L874" s="1416" t="str">
        <f>IF(L808=42,INDEX(H_SpecialBM!L:L,MATCH($P874,H_SpecialBM!$Q:$Q,0)),"")</f>
        <v/>
      </c>
      <c r="M874" s="1416" t="str">
        <f>IF(L808=42,INDEX(H_SpecialBM!M:M,MATCH($P874,H_SpecialBM!$Q:$Q,0)),"")</f>
        <v/>
      </c>
      <c r="N874" s="1417" t="str">
        <f>IF(L808=42,INDEX(H_SpecialBM!N:N,MATCH($P874,H_SpecialBM!$Q:$Q,0)),"")</f>
        <v/>
      </c>
      <c r="O874" s="19"/>
      <c r="P874" s="165" t="str">
        <f>EUconst_CNTR_RelThreshold &amp; P876</f>
        <v>RelThresh_HVCprelim_</v>
      </c>
      <c r="Q874" s="343"/>
      <c r="R874" s="343"/>
      <c r="S874" s="343"/>
      <c r="T874" s="343"/>
      <c r="U874" s="349"/>
      <c r="V874" s="349"/>
    </row>
    <row r="875" spans="1:22" s="534" customFormat="1" ht="12.75" customHeight="1" x14ac:dyDescent="0.3">
      <c r="A875" s="343"/>
      <c r="B875" s="15"/>
      <c r="C875" s="17"/>
      <c r="D875" s="1386"/>
      <c r="E875" s="1418" t="str">
        <f>Translations!$B$1578</f>
        <v>Kriterium 3d: Har relativa tröskelvärden överskridits?</v>
      </c>
      <c r="F875" s="1418"/>
      <c r="G875" s="1418"/>
      <c r="H875" s="1423" t="s">
        <v>1112</v>
      </c>
      <c r="I875" s="1423"/>
      <c r="J875" s="1420" t="str">
        <f>IF(L808=42,INDEX(H_SpecialBM!V:V,MATCH($P875,H_SpecialBM!$Q:$Q,0)),"")</f>
        <v/>
      </c>
      <c r="K875" s="1421" t="str">
        <f>IF(L808=42,INDEX(H_SpecialBM!W:W,MATCH($P875,H_SpecialBM!$Q:$Q,0)),"")</f>
        <v/>
      </c>
      <c r="L875" s="1421" t="str">
        <f>IF(L808=42,INDEX(H_SpecialBM!X:X,MATCH($P875,H_SpecialBM!$Q:$Q,0)),"")</f>
        <v/>
      </c>
      <c r="M875" s="1421" t="str">
        <f>IF(L808=42,INDEX(H_SpecialBM!Y:Y,MATCH($P875,H_SpecialBM!$Q:$Q,0)),"")</f>
        <v/>
      </c>
      <c r="N875" s="1422" t="str">
        <f>IF(L808=42,INDEX(H_SpecialBM!Z:Z,MATCH($P875,H_SpecialBM!$Q:$Q,0)),"")</f>
        <v/>
      </c>
      <c r="O875" s="19"/>
      <c r="P875" s="165" t="str">
        <f>P874</f>
        <v>RelThresh_HVCprelim_</v>
      </c>
      <c r="Q875" s="343"/>
      <c r="R875" s="343"/>
      <c r="S875" s="343"/>
      <c r="T875" s="343"/>
      <c r="U875" s="349"/>
      <c r="V875" s="349"/>
    </row>
    <row r="876" spans="1:22" s="534" customFormat="1" ht="12.75" customHeight="1" x14ac:dyDescent="0.3">
      <c r="A876" s="343" t="str">
        <f>IF(P876="","ausblenden","")</f>
        <v/>
      </c>
      <c r="B876" s="15"/>
      <c r="C876" s="17"/>
      <c r="D876" s="1386"/>
      <c r="E876" s="950" t="str">
        <f>Translations!$B$1568</f>
        <v>Preliminärt värde</v>
      </c>
      <c r="F876" s="950"/>
      <c r="G876" s="950"/>
      <c r="H876" s="957" t="str">
        <f>EUconst_EUA</f>
        <v>EUA</v>
      </c>
      <c r="I876" s="951"/>
      <c r="J876" s="1381" t="str">
        <f>IF($L808=42,INDEX(H_SpecialBM!J:J,MATCH($P876,H_SpecialBM!$Q:$Q,0)),"")</f>
        <v/>
      </c>
      <c r="K876" s="1382" t="str">
        <f>IF($L808=42,INDEX(H_SpecialBM!K:K,MATCH($P876,H_SpecialBM!$Q:$Q,0)),"")</f>
        <v/>
      </c>
      <c r="L876" s="1382" t="str">
        <f>IF($L808=42,INDEX(H_SpecialBM!L:L,MATCH($P876,H_SpecialBM!$Q:$Q,0)),"")</f>
        <v/>
      </c>
      <c r="M876" s="1382" t="str">
        <f>IF($L808=42,INDEX(H_SpecialBM!M:M,MATCH($P876,H_SpecialBM!$Q:$Q,0)),"")</f>
        <v/>
      </c>
      <c r="N876" s="1396" t="str">
        <f>IF($L808=42,INDEX(H_SpecialBM!N:N,MATCH($P876,H_SpecialBM!$Q:$Q,0)),"")</f>
        <v/>
      </c>
      <c r="O876" s="19"/>
      <c r="P876" s="165" t="str">
        <f>EUconst_CNTR_HVCprelim</f>
        <v>HVCprelim_</v>
      </c>
      <c r="Q876" s="343"/>
      <c r="R876" s="343"/>
      <c r="S876" s="343"/>
      <c r="T876" s="343"/>
      <c r="U876" s="349"/>
      <c r="V876" s="349"/>
    </row>
    <row r="877" spans="1:22" s="534" customFormat="1" ht="12.75" hidden="1" customHeight="1" x14ac:dyDescent="0.3">
      <c r="A877" s="343" t="str">
        <f>IF(P877="","ausblenden","")</f>
        <v>ausblenden</v>
      </c>
      <c r="B877" s="15"/>
      <c r="C877" s="17"/>
      <c r="D877" s="1386"/>
      <c r="E877" s="1376" t="s">
        <v>1526</v>
      </c>
      <c r="F877" s="1376"/>
      <c r="G877" s="1376"/>
      <c r="H877" s="1378" t="s">
        <v>1112</v>
      </c>
      <c r="I877" s="1377"/>
      <c r="J877" s="1379" t="str">
        <f>J823</f>
        <v/>
      </c>
      <c r="K877" s="1380" t="str">
        <f t="shared" ref="K877:K878" si="113">J918</f>
        <v/>
      </c>
      <c r="L877" s="1380" t="str">
        <f t="shared" ref="L877:L878" si="114">K918</f>
        <v/>
      </c>
      <c r="M877" s="1380" t="str">
        <f t="shared" ref="M877:M878" si="115">L918</f>
        <v/>
      </c>
      <c r="N877" s="1397" t="str">
        <f t="shared" ref="N877:N878" si="116">M918</f>
        <v/>
      </c>
      <c r="O877" s="19"/>
      <c r="P877" s="343"/>
      <c r="Q877" s="343"/>
      <c r="R877" s="343"/>
      <c r="S877" s="343"/>
      <c r="T877" s="343"/>
      <c r="U877" s="349"/>
      <c r="V877" s="349"/>
    </row>
    <row r="878" spans="1:22" s="534" customFormat="1" ht="12.75" hidden="1" customHeight="1" x14ac:dyDescent="0.3">
      <c r="A878" s="343" t="str">
        <f>IF(P878="","ausblenden","")</f>
        <v>ausblenden</v>
      </c>
      <c r="B878" s="15"/>
      <c r="C878" s="17"/>
      <c r="D878" s="1386"/>
      <c r="E878" s="950" t="s">
        <v>1528</v>
      </c>
      <c r="F878" s="950"/>
      <c r="G878" s="950"/>
      <c r="H878" s="957" t="s">
        <v>1112</v>
      </c>
      <c r="I878" s="951"/>
      <c r="J878" s="1213" t="str">
        <f>J824</f>
        <v/>
      </c>
      <c r="K878" s="1214" t="str">
        <f t="shared" si="113"/>
        <v/>
      </c>
      <c r="L878" s="1214" t="str">
        <f t="shared" si="114"/>
        <v/>
      </c>
      <c r="M878" s="1214" t="str">
        <f t="shared" si="115"/>
        <v/>
      </c>
      <c r="N878" s="1393" t="str">
        <f t="shared" si="116"/>
        <v/>
      </c>
      <c r="O878" s="19"/>
      <c r="P878" s="343"/>
      <c r="Q878" s="343"/>
      <c r="R878" s="343"/>
      <c r="S878" s="343"/>
      <c r="T878" s="343"/>
      <c r="U878" s="349"/>
      <c r="V878" s="349"/>
    </row>
    <row r="879" spans="1:22" s="534" customFormat="1" ht="12.75" customHeight="1" x14ac:dyDescent="0.3">
      <c r="A879" s="343"/>
      <c r="B879" s="15"/>
      <c r="C879" s="17"/>
      <c r="D879" s="1386"/>
      <c r="E879" s="514" t="str">
        <f>Translations!$B$1565</f>
        <v>Preliminärt tilldelningsvärde</v>
      </c>
      <c r="F879" s="514"/>
      <c r="G879" s="514"/>
      <c r="H879" s="129" t="str">
        <f>EUconst_EUA</f>
        <v>EUA</v>
      </c>
      <c r="I879" s="1151"/>
      <c r="J879" s="1131" t="str">
        <f>IF(J876="","",MAX(0,ROUND((SUM($M808)*SUM(J870)*SUM(J877)*SUM(J878)-SUM(J871)-SUM(J872)+SUM(J876))*IF($H808=TRUE,1,J$2517),0)))</f>
        <v/>
      </c>
      <c r="K879" s="421" t="str">
        <f>IF(K876="","",MAX(0,ROUND((SUM($M808)*SUM(K870)*SUM(K877)*SUM(K878)-SUM(K871)-SUM(K872)+SUM(K876))*IF($H808=TRUE,1,K$2517),0)))</f>
        <v/>
      </c>
      <c r="L879" s="421" t="str">
        <f>IF(L876="","",MAX(0,ROUND((SUM($M808)*SUM(L870)*SUM(L877)*SUM(L878)-SUM(L871)-SUM(L872)+SUM(L876))*IF($H808=TRUE,1,L$2517),0)))</f>
        <v/>
      </c>
      <c r="M879" s="421" t="str">
        <f>IF(M876="","",MAX(0,ROUND((SUM($M808)*SUM(M870)*SUM(M877)*SUM(M878)-SUM(M871)-SUM(M872)+SUM(M876))*IF($H808=TRUE,1,M$2517),0)))</f>
        <v/>
      </c>
      <c r="N879" s="967" t="str">
        <f>IF(N876="","",MAX(0,ROUND((SUM($M808)*SUM(N870)*SUM(N877)*SUM(N878)-SUM(N871)-SUM(N872)+SUM(N876))*IF($H808=TRUE,1,N$2517),0)))</f>
        <v/>
      </c>
      <c r="O879" s="19"/>
      <c r="P879" s="343"/>
      <c r="Q879" s="343"/>
      <c r="R879" s="343"/>
      <c r="S879" s="343"/>
      <c r="T879" s="343"/>
      <c r="U879" s="349"/>
      <c r="V879" s="349"/>
    </row>
    <row r="880" spans="1:22" s="534" customFormat="1" ht="12.75" customHeight="1" x14ac:dyDescent="0.3">
      <c r="A880" s="343"/>
      <c r="B880" s="15"/>
      <c r="C880" s="17"/>
      <c r="D880" s="1386"/>
      <c r="E880" s="514" t="str">
        <f>Translations!$B$1569</f>
        <v>Skillnad i tilldelning</v>
      </c>
      <c r="F880" s="514"/>
      <c r="G880" s="514"/>
      <c r="H880" s="129" t="str">
        <f>EUconst_EUA</f>
        <v>EUA</v>
      </c>
      <c r="I880" s="1151"/>
      <c r="J880" s="1131" t="str">
        <f>IF(J879="","",ABS(SUM(J879)-SUM(J825)))</f>
        <v/>
      </c>
      <c r="K880" s="421" t="str">
        <f>IF(K879="","",ABS(SUM(K879)-SUM(K825)))</f>
        <v/>
      </c>
      <c r="L880" s="421" t="str">
        <f>IF(L879="","",ABS(SUM(L879)-SUM(L825)))</f>
        <v/>
      </c>
      <c r="M880" s="421" t="str">
        <f>IF(M879="","",ABS(SUM(M879)-SUM(M825)))</f>
        <v/>
      </c>
      <c r="N880" s="967" t="str">
        <f>IF(N879="","",ABS(SUM(N879)-SUM(N825)))</f>
        <v/>
      </c>
      <c r="O880" s="19"/>
      <c r="P880" s="343"/>
      <c r="Q880" s="343"/>
      <c r="R880" s="343"/>
      <c r="S880" s="343"/>
      <c r="T880" s="343"/>
      <c r="U880" s="349"/>
      <c r="V880" s="349"/>
    </row>
    <row r="881" spans="1:22" s="534" customFormat="1" ht="12.75" customHeight="1" x14ac:dyDescent="0.3">
      <c r="A881" s="343"/>
      <c r="B881" s="15"/>
      <c r="C881" s="17"/>
      <c r="D881" s="1386"/>
      <c r="E881" s="1419" t="str">
        <f>Translations!$B$1579</f>
        <v>Kriterium 4d: Är skillnaden minst 100 utsläppsrätter?</v>
      </c>
      <c r="F881" s="514"/>
      <c r="G881" s="514"/>
      <c r="H881" s="1424" t="s">
        <v>1112</v>
      </c>
      <c r="I881" s="1425"/>
      <c r="J881" s="1426" t="str">
        <f>IF(J880="","",J880&gt;=100)</f>
        <v/>
      </c>
      <c r="K881" s="1427" t="str">
        <f>IF(K880="","",K880&gt;=100)</f>
        <v/>
      </c>
      <c r="L881" s="1427" t="str">
        <f>IF(L880="","",L880&gt;=100)</f>
        <v/>
      </c>
      <c r="M881" s="1427" t="str">
        <f>IF(M880="","",M880&gt;=100)</f>
        <v/>
      </c>
      <c r="N881" s="1428" t="str">
        <f>IF(N880="","",N880&gt;=100)</f>
        <v/>
      </c>
      <c r="O881" s="19"/>
      <c r="P881" s="165" t="str">
        <f>EUconst_CNTR_100EUA_HVC&amp;I805</f>
        <v>EUA100HVC_</v>
      </c>
      <c r="Q881" s="343"/>
      <c r="R881" s="343"/>
      <c r="S881" s="343"/>
      <c r="T881" s="343"/>
      <c r="U881" s="349"/>
      <c r="V881" s="349"/>
    </row>
    <row r="882" spans="1:22" s="534" customFormat="1" ht="5.15" customHeight="1" x14ac:dyDescent="0.3">
      <c r="A882" s="343"/>
      <c r="B882" s="15"/>
      <c r="C882" s="17"/>
      <c r="D882" s="1386"/>
      <c r="E882" s="15"/>
      <c r="F882" s="15"/>
      <c r="G882" s="15"/>
      <c r="H882" s="15"/>
      <c r="I882" s="941"/>
      <c r="J882" s="15"/>
      <c r="K882" s="15"/>
      <c r="L882" s="15"/>
      <c r="M882" s="15"/>
      <c r="N882" s="968"/>
      <c r="O882" s="19"/>
      <c r="P882" s="343"/>
      <c r="Q882" s="343"/>
      <c r="R882" s="343"/>
      <c r="S882" s="343"/>
      <c r="T882" s="343"/>
      <c r="U882" s="349"/>
      <c r="V882" s="349"/>
    </row>
    <row r="883" spans="1:22" s="534" customFormat="1" ht="12.75" customHeight="1" x14ac:dyDescent="0.3">
      <c r="A883" s="343"/>
      <c r="B883" s="15"/>
      <c r="C883" s="17"/>
      <c r="D883" s="1386"/>
      <c r="E883" s="42" t="str">
        <f>Translations!$B$1580</f>
        <v>Ändringar: VCM-korrigering</v>
      </c>
      <c r="F883" s="188"/>
      <c r="G883" s="188"/>
      <c r="H883" s="30" t="str">
        <f>EUconst_Unit</f>
        <v>Enhet</v>
      </c>
      <c r="I883" s="1157"/>
      <c r="J883" s="1065">
        <f>J$2596</f>
        <v>2021</v>
      </c>
      <c r="K883" s="350">
        <f>K$2596</f>
        <v>2022</v>
      </c>
      <c r="L883" s="350">
        <f>L$2596</f>
        <v>2023</v>
      </c>
      <c r="M883" s="350">
        <f>M$2596</f>
        <v>2024</v>
      </c>
      <c r="N883" s="966">
        <f>N$2596</f>
        <v>2025</v>
      </c>
      <c r="O883" s="19"/>
      <c r="P883" s="343"/>
      <c r="Q883" s="343"/>
      <c r="R883" s="343"/>
      <c r="S883" s="343"/>
      <c r="T883" s="343"/>
      <c r="U883" s="349"/>
      <c r="V883" s="349"/>
    </row>
    <row r="884" spans="1:22" s="534" customFormat="1" ht="12.75" hidden="1" customHeight="1" x14ac:dyDescent="0.3">
      <c r="A884" s="343" t="str">
        <f>IF(P884="","ausblenden","")</f>
        <v>ausblenden</v>
      </c>
      <c r="B884" s="15"/>
      <c r="C884" s="17"/>
      <c r="D884" s="1386"/>
      <c r="E884" s="514" t="s">
        <v>1918</v>
      </c>
      <c r="F884" s="514"/>
      <c r="G884" s="514"/>
      <c r="H884" s="917" t="str">
        <f>H870</f>
        <v>ton</v>
      </c>
      <c r="I884" s="514"/>
      <c r="J884" s="1152" t="str">
        <f>J819</f>
        <v/>
      </c>
      <c r="K884" s="943" t="str">
        <f t="shared" ref="K884:K888" si="117">J914</f>
        <v/>
      </c>
      <c r="L884" s="943" t="str">
        <f t="shared" ref="L884:L888" si="118">K914</f>
        <v/>
      </c>
      <c r="M884" s="943" t="str">
        <f t="shared" ref="M884:M888" si="119">L914</f>
        <v/>
      </c>
      <c r="N884" s="1389" t="str">
        <f t="shared" ref="N884:N888" si="120">M914</f>
        <v/>
      </c>
      <c r="O884" s="19"/>
      <c r="P884" s="343"/>
      <c r="Q884" s="343"/>
      <c r="R884" s="343"/>
      <c r="S884" s="343"/>
      <c r="T884" s="343"/>
      <c r="U884" s="349"/>
      <c r="V884" s="349"/>
    </row>
    <row r="885" spans="1:22" s="534" customFormat="1" ht="12.75" hidden="1" customHeight="1" x14ac:dyDescent="0.3">
      <c r="A885" s="343" t="str">
        <f>IF(P885="","ausblenden","")</f>
        <v>ausblenden</v>
      </c>
      <c r="B885" s="15"/>
      <c r="C885" s="17"/>
      <c r="D885" s="1386"/>
      <c r="E885" s="944" t="s">
        <v>339</v>
      </c>
      <c r="F885" s="944"/>
      <c r="G885" s="944"/>
      <c r="H885" s="954" t="str">
        <f>EUconst_EUA</f>
        <v>EUA</v>
      </c>
      <c r="I885" s="945"/>
      <c r="J885" s="1209" t="str">
        <f>J820</f>
        <v/>
      </c>
      <c r="K885" s="1210" t="str">
        <f t="shared" si="117"/>
        <v/>
      </c>
      <c r="L885" s="1210" t="str">
        <f t="shared" si="118"/>
        <v/>
      </c>
      <c r="M885" s="1210" t="str">
        <f t="shared" si="119"/>
        <v/>
      </c>
      <c r="N885" s="1390" t="str">
        <f t="shared" si="120"/>
        <v/>
      </c>
      <c r="O885" s="19"/>
      <c r="P885" s="343"/>
      <c r="Q885" s="343"/>
      <c r="R885" s="343"/>
      <c r="S885" s="343"/>
      <c r="T885" s="343"/>
      <c r="U885" s="349"/>
      <c r="V885" s="349"/>
    </row>
    <row r="886" spans="1:22" s="534" customFormat="1" ht="12.75" hidden="1" customHeight="1" x14ac:dyDescent="0.3">
      <c r="A886" s="343" t="str">
        <f>IF(P886="","ausblenden","")</f>
        <v>ausblenden</v>
      </c>
      <c r="B886" s="15"/>
      <c r="C886" s="17"/>
      <c r="D886" s="1386"/>
      <c r="E886" s="947" t="s">
        <v>1560</v>
      </c>
      <c r="F886" s="947"/>
      <c r="G886" s="947"/>
      <c r="H886" s="955" t="str">
        <f>EUconst_EUA</f>
        <v>EUA</v>
      </c>
      <c r="I886" s="948"/>
      <c r="J886" s="1165" t="str">
        <f>J821</f>
        <v/>
      </c>
      <c r="K886" s="975" t="str">
        <f t="shared" si="117"/>
        <v/>
      </c>
      <c r="L886" s="975" t="str">
        <f t="shared" si="118"/>
        <v/>
      </c>
      <c r="M886" s="975" t="str">
        <f t="shared" si="119"/>
        <v/>
      </c>
      <c r="N886" s="1391" t="str">
        <f t="shared" si="120"/>
        <v/>
      </c>
      <c r="O886" s="19"/>
      <c r="P886" s="343"/>
      <c r="Q886" s="343"/>
      <c r="R886" s="343"/>
      <c r="S886" s="343"/>
      <c r="T886" s="343"/>
      <c r="U886" s="349"/>
      <c r="V886" s="349"/>
    </row>
    <row r="887" spans="1:22" s="534" customFormat="1" ht="12.75" hidden="1" customHeight="1" x14ac:dyDescent="0.3">
      <c r="A887" s="343" t="str">
        <f>IF(P887="","ausblenden","")</f>
        <v>ausblenden</v>
      </c>
      <c r="B887" s="15"/>
      <c r="C887" s="17"/>
      <c r="D887" s="1386"/>
      <c r="E887" s="947" t="s">
        <v>1527</v>
      </c>
      <c r="F887" s="947"/>
      <c r="G887" s="947"/>
      <c r="H887" s="955" t="str">
        <f>EUconst_EUA</f>
        <v>EUA</v>
      </c>
      <c r="I887" s="948"/>
      <c r="J887" s="1165" t="str">
        <f>J822</f>
        <v/>
      </c>
      <c r="K887" s="975" t="str">
        <f t="shared" si="117"/>
        <v/>
      </c>
      <c r="L887" s="975" t="str">
        <f t="shared" si="118"/>
        <v/>
      </c>
      <c r="M887" s="975" t="str">
        <f t="shared" si="119"/>
        <v/>
      </c>
      <c r="N887" s="1391" t="str">
        <f t="shared" si="120"/>
        <v/>
      </c>
      <c r="O887" s="19"/>
      <c r="P887" s="343"/>
      <c r="Q887" s="343"/>
      <c r="R887" s="343"/>
      <c r="S887" s="343"/>
      <c r="T887" s="343"/>
      <c r="U887" s="349"/>
      <c r="V887" s="349"/>
    </row>
    <row r="888" spans="1:22" s="534" customFormat="1" ht="12.75" hidden="1" customHeight="1" x14ac:dyDescent="0.3">
      <c r="A888" s="343" t="str">
        <f>IF(P888="","ausblenden","")</f>
        <v>ausblenden</v>
      </c>
      <c r="B888" s="15"/>
      <c r="C888" s="17"/>
      <c r="D888" s="1386"/>
      <c r="E888" s="1433" t="s">
        <v>1526</v>
      </c>
      <c r="F888" s="1433"/>
      <c r="G888" s="1433"/>
      <c r="H888" s="1448" t="s">
        <v>1112</v>
      </c>
      <c r="I888" s="1435"/>
      <c r="J888" s="1449" t="str">
        <f>J823</f>
        <v/>
      </c>
      <c r="K888" s="1450" t="str">
        <f t="shared" si="117"/>
        <v/>
      </c>
      <c r="L888" s="1450" t="str">
        <f t="shared" si="118"/>
        <v/>
      </c>
      <c r="M888" s="1450" t="str">
        <f t="shared" si="119"/>
        <v/>
      </c>
      <c r="N888" s="1451" t="str">
        <f t="shared" si="120"/>
        <v/>
      </c>
      <c r="O888" s="19"/>
      <c r="P888" s="343"/>
      <c r="Q888" s="343"/>
      <c r="R888" s="343"/>
      <c r="S888" s="343"/>
      <c r="T888" s="343"/>
      <c r="U888" s="349"/>
      <c r="V888" s="349"/>
    </row>
    <row r="889" spans="1:22" s="534" customFormat="1" ht="12.75" customHeight="1" x14ac:dyDescent="0.3">
      <c r="A889" s="343"/>
      <c r="B889" s="15"/>
      <c r="C889" s="17"/>
      <c r="D889" s="1386"/>
      <c r="E889" s="944" t="str">
        <f>Translations!$B$1482</f>
        <v>Genomsnittligt årligt värde</v>
      </c>
      <c r="F889" s="944"/>
      <c r="G889" s="944"/>
      <c r="H889" s="627" t="s">
        <v>1112</v>
      </c>
      <c r="I889" s="945"/>
      <c r="J889" s="1439" t="str">
        <f>IF(L808=47,INDEX(H_SpecialBM!J:J,MATCH($P889,H_SpecialBM!$Q:$Q,0)),"")</f>
        <v/>
      </c>
      <c r="K889" s="1440" t="str">
        <f>IF(L808=47,INDEX(H_SpecialBM!K:K,MATCH($P889,H_SpecialBM!$Q:$Q,0)),"")</f>
        <v/>
      </c>
      <c r="L889" s="1440" t="str">
        <f>IF(L808=47,INDEX(H_SpecialBM!L:L,MATCH($P889,H_SpecialBM!$Q:$Q,0)),"")</f>
        <v/>
      </c>
      <c r="M889" s="1440" t="str">
        <f>IF(L808=47,INDEX(H_SpecialBM!M:M,MATCH($P889,H_SpecialBM!$Q:$Q,0)),"")</f>
        <v/>
      </c>
      <c r="N889" s="1441" t="str">
        <f>IF(L808=47,INDEX(H_SpecialBM!N:N,MATCH($P889,H_SpecialBM!$Q:$Q,0)),"")</f>
        <v/>
      </c>
      <c r="O889" s="19"/>
      <c r="P889" s="165" t="str">
        <f>EUconst_CNTR_VCMInitial &amp; INDEX(EUconst_BMlistNames,47)</f>
        <v>VCMIni_Vinylkloridmonomer</v>
      </c>
      <c r="Q889" s="343"/>
      <c r="R889" s="343"/>
      <c r="S889" s="343"/>
      <c r="T889" s="343"/>
      <c r="U889" s="349"/>
      <c r="V889" s="349"/>
    </row>
    <row r="890" spans="1:22" s="534" customFormat="1" ht="12.75" customHeight="1" x14ac:dyDescent="0.3">
      <c r="A890" s="343"/>
      <c r="B890" s="15"/>
      <c r="C890" s="17"/>
      <c r="D890" s="1386"/>
      <c r="E890" s="947" t="str">
        <f>Translations!$B$1571</f>
        <v>Ändring jämfört med värde enligt nationella genomförandeåtgärder</v>
      </c>
      <c r="F890" s="947"/>
      <c r="G890" s="947"/>
      <c r="H890" s="1370" t="s">
        <v>1112</v>
      </c>
      <c r="I890" s="1371"/>
      <c r="J890" s="1415" t="str">
        <f>IF(L808=47,INDEX(H_SpecialBM!J:J,MATCH($P890,H_SpecialBM!$Q:$Q,0)),"")</f>
        <v/>
      </c>
      <c r="K890" s="1416" t="str">
        <f>IF(L808=47,INDEX(H_SpecialBM!K:K,MATCH($P890,H_SpecialBM!$Q:$Q,0)),"")</f>
        <v/>
      </c>
      <c r="L890" s="1416" t="str">
        <f>IF(L808=47,INDEX(H_SpecialBM!L:L,MATCH($P890,H_SpecialBM!$Q:$Q,0)),"")</f>
        <v/>
      </c>
      <c r="M890" s="1416" t="str">
        <f>IF(L808=47,INDEX(H_SpecialBM!M:M,MATCH($P890,H_SpecialBM!$Q:$Q,0)),"")</f>
        <v/>
      </c>
      <c r="N890" s="1417" t="str">
        <f>IF(L808=47,INDEX(H_SpecialBM!N:N,MATCH($P890,H_SpecialBM!$Q:$Q,0)),"")</f>
        <v/>
      </c>
      <c r="O890" s="19"/>
      <c r="P890" s="165" t="str">
        <f>EUconst_CNTR_RelThreshold &amp; P892</f>
        <v>RelThresh_VCMprelim_</v>
      </c>
      <c r="Q890" s="343"/>
      <c r="R890" s="343"/>
      <c r="S890" s="343"/>
      <c r="T890" s="343"/>
      <c r="U890" s="349"/>
      <c r="V890" s="349"/>
    </row>
    <row r="891" spans="1:22" s="534" customFormat="1" ht="12.75" customHeight="1" x14ac:dyDescent="0.3">
      <c r="A891" s="343"/>
      <c r="B891" s="15"/>
      <c r="C891" s="17"/>
      <c r="D891" s="1386"/>
      <c r="E891" s="1418" t="str">
        <f>Translations!$B$1581</f>
        <v>Kriterium 3e: Har relativa tröskelvärden överskridits?</v>
      </c>
      <c r="F891" s="1418"/>
      <c r="G891" s="1418"/>
      <c r="H891" s="1423" t="s">
        <v>1112</v>
      </c>
      <c r="I891" s="1423"/>
      <c r="J891" s="1420" t="str">
        <f>IF(L808=47,INDEX(H_SpecialBM!V:V,MATCH($P891,H_SpecialBM!$Q:$Q,0)),"")</f>
        <v/>
      </c>
      <c r="K891" s="1421" t="str">
        <f>IF(L808=47,INDEX(H_SpecialBM!W:W,MATCH($P891,H_SpecialBM!$Q:$Q,0)),"")</f>
        <v/>
      </c>
      <c r="L891" s="1421" t="str">
        <f>IF(L808=47,INDEX(H_SpecialBM!X:X,MATCH($P891,H_SpecialBM!$Q:$Q,0)),"")</f>
        <v/>
      </c>
      <c r="M891" s="1421" t="str">
        <f>IF(L808=47,INDEX(H_SpecialBM!Y:Y,MATCH($P891,H_SpecialBM!$Q:$Q,0)),"")</f>
        <v/>
      </c>
      <c r="N891" s="1422" t="str">
        <f>IF(L808=47,INDEX(H_SpecialBM!Z:Z,MATCH($P891,H_SpecialBM!$Q:$Q,0)),"")</f>
        <v/>
      </c>
      <c r="O891" s="19"/>
      <c r="P891" s="165" t="str">
        <f>P890</f>
        <v>RelThresh_VCMprelim_</v>
      </c>
      <c r="Q891" s="343"/>
      <c r="R891" s="343"/>
      <c r="S891" s="343"/>
      <c r="T891" s="343"/>
      <c r="U891" s="349"/>
      <c r="V891" s="349"/>
    </row>
    <row r="892" spans="1:22" s="534" customFormat="1" ht="12.75" customHeight="1" x14ac:dyDescent="0.3">
      <c r="A892" s="343" t="str">
        <f>IF(P892="","ausblenden","")</f>
        <v/>
      </c>
      <c r="B892" s="15"/>
      <c r="C892" s="17"/>
      <c r="D892" s="1386"/>
      <c r="E892" s="950" t="str">
        <f>Translations!$B$1568</f>
        <v>Preliminärt värde</v>
      </c>
      <c r="F892" s="950"/>
      <c r="G892" s="950"/>
      <c r="H892" s="957" t="s">
        <v>1112</v>
      </c>
      <c r="I892" s="951"/>
      <c r="J892" s="1404" t="str">
        <f>IF($L808=47,IF(ISNUMBER(INDEX(H_SpecialBM!J:J,MATCH($P892,H_SpecialBM!$Q:$Q,0))),INDEX(H_SpecialBM!J:J,MATCH($P892,H_SpecialBM!$Q:$Q,0)),1),"")</f>
        <v/>
      </c>
      <c r="K892" s="1405" t="str">
        <f>IF($L808=47,IF(ISNUMBER(INDEX(H_SpecialBM!K:K,MATCH($P892,H_SpecialBM!$Q:$Q,0))),INDEX(H_SpecialBM!K:K,MATCH($P892,H_SpecialBM!$Q:$Q,0)),1),"")</f>
        <v/>
      </c>
      <c r="L892" s="1405" t="str">
        <f>IF($L808=47,IF(ISNUMBER(INDEX(H_SpecialBM!L:L,MATCH($P892,H_SpecialBM!$Q:$Q,0))),INDEX(H_SpecialBM!L:L,MATCH($P892,H_SpecialBM!$Q:$Q,0)),1),"")</f>
        <v/>
      </c>
      <c r="M892" s="1405" t="str">
        <f>IF($L808=47,IF(ISNUMBER(INDEX(H_SpecialBM!M:M,MATCH($P892,H_SpecialBM!$Q:$Q,0))),INDEX(H_SpecialBM!M:M,MATCH($P892,H_SpecialBM!$Q:$Q,0)),1),"")</f>
        <v/>
      </c>
      <c r="N892" s="1406" t="str">
        <f>IF($L808=47,IF(ISNUMBER(INDEX(H_SpecialBM!N:N,MATCH($P892,H_SpecialBM!$Q:$Q,0))),INDEX(H_SpecialBM!N:N,MATCH($P892,H_SpecialBM!$Q:$Q,0)),1),"")</f>
        <v/>
      </c>
      <c r="O892" s="19"/>
      <c r="P892" s="165" t="str">
        <f>EUconst_CNTR_VCMprelim</f>
        <v>VCMprelim_</v>
      </c>
      <c r="Q892" s="343"/>
      <c r="R892" s="343"/>
      <c r="S892" s="343"/>
      <c r="T892" s="343"/>
      <c r="U892" s="349"/>
      <c r="V892" s="349"/>
    </row>
    <row r="893" spans="1:22" s="534" customFormat="1" ht="12.75" customHeight="1" x14ac:dyDescent="0.3">
      <c r="A893" s="343"/>
      <c r="B893" s="15"/>
      <c r="C893" s="17"/>
      <c r="D893" s="1386"/>
      <c r="E893" s="514" t="str">
        <f>Translations!$B$1565</f>
        <v>Preliminärt tilldelningsvärde</v>
      </c>
      <c r="F893" s="514"/>
      <c r="G893" s="514"/>
      <c r="H893" s="129" t="str">
        <f>EUconst_EUA</f>
        <v>EUA</v>
      </c>
      <c r="I893" s="1151"/>
      <c r="J893" s="1131" t="str">
        <f>IF(J892="","",MAX(0,ROUND((SUM($M808)*SUM(J884)*SUM(J888)*SUM(J892)-SUM(J885)-SUM(J886)+SUM(J887))*IF($H808=TRUE,1,J$2517),0)))</f>
        <v/>
      </c>
      <c r="K893" s="421" t="str">
        <f>IF(K892="","",MAX(0,ROUND((SUM($M808)*SUM(K884)*SUM(K888)*SUM(K892)-SUM(K885)-SUM(K886)+SUM(K887))*IF($H808=TRUE,1,K$2517),0)))</f>
        <v/>
      </c>
      <c r="L893" s="421" t="str">
        <f>IF(L892="","",MAX(0,ROUND((SUM($M808)*SUM(L884)*SUM(L888)*SUM(L892)-SUM(L885)-SUM(L886)+SUM(L887))*IF($H808=TRUE,1,L$2517),0)))</f>
        <v/>
      </c>
      <c r="M893" s="421" t="str">
        <f>IF(M892="","",MAX(0,ROUND((SUM($M808)*SUM(M884)*SUM(M888)*SUM(M892)-SUM(M885)-SUM(M886)+SUM(M887))*IF($H808=TRUE,1,M$2517),0)))</f>
        <v/>
      </c>
      <c r="N893" s="967" t="str">
        <f>IF(N892="","",MAX(0,ROUND((SUM($M808)*SUM(N884)*SUM(N888)*SUM(N892)-SUM(N885)-SUM(N886)+SUM(N887))*IF($H808=TRUE,1,N$2517),0)))</f>
        <v/>
      </c>
      <c r="O893" s="19"/>
      <c r="P893" s="343"/>
      <c r="Q893" s="343"/>
      <c r="R893" s="343"/>
      <c r="S893" s="343"/>
      <c r="T893" s="343"/>
      <c r="U893" s="349"/>
      <c r="V893" s="349"/>
    </row>
    <row r="894" spans="1:22" s="534" customFormat="1" ht="12.75" customHeight="1" x14ac:dyDescent="0.3">
      <c r="A894" s="343"/>
      <c r="B894" s="15"/>
      <c r="C894" s="17"/>
      <c r="D894" s="1386"/>
      <c r="E894" s="514" t="str">
        <f>Translations!$B$1569</f>
        <v>Skillnad i tilldelning</v>
      </c>
      <c r="F894" s="514"/>
      <c r="G894" s="514"/>
      <c r="H894" s="129" t="str">
        <f>EUconst_EUA</f>
        <v>EUA</v>
      </c>
      <c r="I894" s="1151"/>
      <c r="J894" s="1131" t="str">
        <f>IF(J893="","",ABS(SUM(J893)-SUM(J825)))</f>
        <v/>
      </c>
      <c r="K894" s="421" t="str">
        <f>IF(K893="","",ABS(SUM(K893)-SUM(K825)))</f>
        <v/>
      </c>
      <c r="L894" s="421" t="str">
        <f>IF(L893="","",ABS(SUM(L893)-SUM(L825)))</f>
        <v/>
      </c>
      <c r="M894" s="421" t="str">
        <f>IF(M893="","",ABS(SUM(M893)-SUM(M825)))</f>
        <v/>
      </c>
      <c r="N894" s="967" t="str">
        <f>IF(N893="","",ABS(SUM(N893)-SUM(N825)))</f>
        <v/>
      </c>
      <c r="O894" s="19"/>
      <c r="P894" s="343"/>
      <c r="Q894" s="343"/>
      <c r="R894" s="343"/>
      <c r="S894" s="343"/>
      <c r="T894" s="343"/>
      <c r="U894" s="349"/>
      <c r="V894" s="349"/>
    </row>
    <row r="895" spans="1:22" s="534" customFormat="1" ht="12.75" customHeight="1" x14ac:dyDescent="0.3">
      <c r="A895" s="343"/>
      <c r="B895" s="15"/>
      <c r="C895" s="17"/>
      <c r="D895" s="1386"/>
      <c r="E895" s="1419" t="str">
        <f>Translations!$B$1582</f>
        <v>Kriterium 4e: Är skillnaden minst 100 utsläppsrätter?</v>
      </c>
      <c r="F895" s="514"/>
      <c r="G895" s="514"/>
      <c r="H895" s="1424" t="s">
        <v>1112</v>
      </c>
      <c r="I895" s="1425"/>
      <c r="J895" s="1426" t="str">
        <f>IF(J894="","",J894&gt;=100)</f>
        <v/>
      </c>
      <c r="K895" s="1427" t="str">
        <f>IF(K894="","",K894&gt;=100)</f>
        <v/>
      </c>
      <c r="L895" s="1427" t="str">
        <f>IF(L894="","",L894&gt;=100)</f>
        <v/>
      </c>
      <c r="M895" s="1427" t="str">
        <f>IF(M894="","",M894&gt;=100)</f>
        <v/>
      </c>
      <c r="N895" s="1428" t="str">
        <f>IF(N894="","",N894&gt;=100)</f>
        <v/>
      </c>
      <c r="O895" s="19"/>
      <c r="P895" s="165" t="str">
        <f>EUconst_CNTR_100EUA_VCM&amp;I832</f>
        <v>EUA100VCM_</v>
      </c>
      <c r="Q895" s="343"/>
      <c r="R895" s="343"/>
      <c r="S895" s="343"/>
      <c r="T895" s="343"/>
      <c r="U895" s="349"/>
      <c r="V895" s="349"/>
    </row>
    <row r="896" spans="1:22" s="534" customFormat="1" ht="5.15" customHeight="1" x14ac:dyDescent="0.3">
      <c r="A896" s="343"/>
      <c r="B896" s="15"/>
      <c r="C896" s="17"/>
      <c r="D896" s="1386"/>
      <c r="E896" s="15"/>
      <c r="F896" s="15"/>
      <c r="G896" s="15"/>
      <c r="H896" s="15"/>
      <c r="I896" s="941"/>
      <c r="J896" s="15"/>
      <c r="K896" s="15"/>
      <c r="L896" s="15"/>
      <c r="M896" s="15"/>
      <c r="N896" s="968"/>
      <c r="O896" s="19"/>
      <c r="P896" s="343"/>
      <c r="Q896" s="343"/>
      <c r="R896" s="343"/>
      <c r="S896" s="343"/>
      <c r="T896" s="343"/>
      <c r="U896" s="349"/>
      <c r="V896" s="349"/>
    </row>
    <row r="897" spans="1:22" s="534" customFormat="1" ht="12.75" customHeight="1" x14ac:dyDescent="0.3">
      <c r="A897" s="343"/>
      <c r="B897" s="15"/>
      <c r="C897" s="17"/>
      <c r="D897" s="1386"/>
      <c r="E897" s="42" t="str">
        <f>Translations!$B$1583</f>
        <v>Ändringar: Facklad restgas</v>
      </c>
      <c r="F897" s="188"/>
      <c r="G897" s="188"/>
      <c r="H897" s="30" t="str">
        <f>EUconst_Unit</f>
        <v>Enhet</v>
      </c>
      <c r="I897" s="1157"/>
      <c r="J897" s="1065">
        <f>J$2596</f>
        <v>2021</v>
      </c>
      <c r="K897" s="350">
        <f>K$2596</f>
        <v>2022</v>
      </c>
      <c r="L897" s="350">
        <f>L$2596</f>
        <v>2023</v>
      </c>
      <c r="M897" s="350">
        <f>M$2596</f>
        <v>2024</v>
      </c>
      <c r="N897" s="966">
        <f>N$2596</f>
        <v>2025</v>
      </c>
      <c r="O897" s="19"/>
      <c r="P897" s="343"/>
      <c r="Q897" s="343"/>
      <c r="R897" s="343"/>
      <c r="S897" s="343"/>
      <c r="T897" s="343"/>
      <c r="U897" s="349"/>
      <c r="V897" s="349"/>
    </row>
    <row r="898" spans="1:22" s="534" customFormat="1" ht="12.75" hidden="1" customHeight="1" x14ac:dyDescent="0.3">
      <c r="A898" s="343" t="str">
        <f>IF(P898="","ausblenden","")</f>
        <v>ausblenden</v>
      </c>
      <c r="B898" s="15"/>
      <c r="C898" s="17"/>
      <c r="D898" s="1386"/>
      <c r="E898" s="514" t="s">
        <v>1918</v>
      </c>
      <c r="F898" s="514"/>
      <c r="G898" s="514"/>
      <c r="H898" s="917" t="str">
        <f>H884</f>
        <v>ton</v>
      </c>
      <c r="I898" s="514"/>
      <c r="J898" s="1152" t="str">
        <f>J819</f>
        <v/>
      </c>
      <c r="K898" s="943" t="str">
        <f t="shared" ref="K898:K899" si="121">J914</f>
        <v/>
      </c>
      <c r="L898" s="943" t="str">
        <f t="shared" ref="L898:L899" si="122">K914</f>
        <v/>
      </c>
      <c r="M898" s="943" t="str">
        <f t="shared" ref="M898:M899" si="123">L914</f>
        <v/>
      </c>
      <c r="N898" s="1389" t="str">
        <f t="shared" ref="N898:N899" si="124">M914</f>
        <v/>
      </c>
      <c r="O898" s="19"/>
      <c r="P898" s="343"/>
      <c r="Q898" s="343"/>
      <c r="R898" s="343"/>
      <c r="S898" s="343"/>
      <c r="T898" s="343"/>
      <c r="U898" s="349"/>
      <c r="V898" s="349"/>
    </row>
    <row r="899" spans="1:22" s="534" customFormat="1" ht="12.75" hidden="1" customHeight="1" x14ac:dyDescent="0.3">
      <c r="A899" s="343" t="str">
        <f>IF(P899="","ausblenden","")</f>
        <v>ausblenden</v>
      </c>
      <c r="B899" s="15"/>
      <c r="C899" s="17"/>
      <c r="D899" s="1386"/>
      <c r="E899" s="944" t="s">
        <v>339</v>
      </c>
      <c r="F899" s="944"/>
      <c r="G899" s="944"/>
      <c r="H899" s="954" t="str">
        <f>EUconst_EUA</f>
        <v>EUA</v>
      </c>
      <c r="I899" s="945"/>
      <c r="J899" s="1209" t="str">
        <f>J820</f>
        <v/>
      </c>
      <c r="K899" s="1210" t="str">
        <f t="shared" si="121"/>
        <v/>
      </c>
      <c r="L899" s="1210" t="str">
        <f t="shared" si="122"/>
        <v/>
      </c>
      <c r="M899" s="1210" t="str">
        <f t="shared" si="123"/>
        <v/>
      </c>
      <c r="N899" s="1390" t="str">
        <f t="shared" si="124"/>
        <v/>
      </c>
      <c r="O899" s="19"/>
      <c r="P899" s="343"/>
      <c r="Q899" s="343"/>
      <c r="R899" s="343"/>
      <c r="S899" s="343"/>
      <c r="T899" s="343"/>
      <c r="U899" s="349"/>
      <c r="V899" s="349"/>
    </row>
    <row r="900" spans="1:22" s="534" customFormat="1" ht="12.75" customHeight="1" x14ac:dyDescent="0.3">
      <c r="A900" s="343"/>
      <c r="B900" s="15"/>
      <c r="C900" s="17"/>
      <c r="D900" s="1386"/>
      <c r="E900" s="944" t="str">
        <f>Translations!$B$1482</f>
        <v>Genomsnittligt årligt värde</v>
      </c>
      <c r="F900" s="944"/>
      <c r="G900" s="944"/>
      <c r="H900" s="627" t="str">
        <f>EUconst_tCO2</f>
        <v>t CO2</v>
      </c>
      <c r="I900" s="945"/>
      <c r="J900" s="1161" t="str">
        <f>INDEX(F_ProductBM!J:J,MATCH($P900,F_ProductBM!$Q:$Q,0))</f>
        <v/>
      </c>
      <c r="K900" s="946" t="str">
        <f>INDEX(F_ProductBM!K:K,MATCH($P900,F_ProductBM!$Q:$Q,0))</f>
        <v/>
      </c>
      <c r="L900" s="946" t="str">
        <f>INDEX(F_ProductBM!L:L,MATCH($P900,F_ProductBM!$Q:$Q,0))</f>
        <v/>
      </c>
      <c r="M900" s="946" t="str">
        <f>INDEX(F_ProductBM!M:M,MATCH($P900,F_ProductBM!$Q:$Q,0))</f>
        <v/>
      </c>
      <c r="N900" s="1046" t="str">
        <f>INDEX(F_ProductBM!N:N,MATCH($P900,F_ProductBM!$Q:$Q,0))</f>
        <v/>
      </c>
      <c r="O900" s="19"/>
      <c r="P900" s="165" t="str">
        <f>EUconst_CNTR_HALinitial &amp; EUconst_CNTR_WGFlared &amp; I805</f>
        <v>HALini_WasteGasFlare_</v>
      </c>
      <c r="Q900" s="343"/>
      <c r="R900" s="343"/>
      <c r="S900" s="343"/>
      <c r="T900" s="343"/>
      <c r="U900" s="349"/>
      <c r="V900" s="349"/>
    </row>
    <row r="901" spans="1:22" s="534" customFormat="1" ht="12.75" customHeight="1" x14ac:dyDescent="0.3">
      <c r="A901" s="343"/>
      <c r="B901" s="15"/>
      <c r="C901" s="17"/>
      <c r="D901" s="1386"/>
      <c r="E901" s="947" t="str">
        <f>Translations!$B$1571</f>
        <v>Ändring jämfört med värde enligt nationella genomförandeåtgärder</v>
      </c>
      <c r="F901" s="947"/>
      <c r="G901" s="947"/>
      <c r="H901" s="1442" t="s">
        <v>1112</v>
      </c>
      <c r="I901" s="1371"/>
      <c r="J901" s="1415" t="str">
        <f>INDEX(F_ProductBM!J:J,MATCH($P901,F_ProductBM!$Q:$Q,0))</f>
        <v/>
      </c>
      <c r="K901" s="1416" t="str">
        <f>INDEX(F_ProductBM!K:K,MATCH($P901,F_ProductBM!$Q:$Q,0))</f>
        <v/>
      </c>
      <c r="L901" s="1416" t="str">
        <f>INDEX(F_ProductBM!L:L,MATCH($P901,F_ProductBM!$Q:$Q,0))</f>
        <v/>
      </c>
      <c r="M901" s="1416" t="str">
        <f>INDEX(F_ProductBM!M:M,MATCH($P901,F_ProductBM!$Q:$Q,0))</f>
        <v/>
      </c>
      <c r="N901" s="1417" t="str">
        <f>INDEX(F_ProductBM!N:N,MATCH($P901,F_ProductBM!$Q:$Q,0))</f>
        <v/>
      </c>
      <c r="O901" s="19"/>
      <c r="P901" s="165" t="str">
        <f>EUconst_CNTR_RelThreshold &amp; P903</f>
        <v>RelThresh_HALprelim_WasteGasFlare_</v>
      </c>
      <c r="Q901" s="343"/>
      <c r="R901" s="343"/>
      <c r="S901" s="343"/>
      <c r="T901" s="343"/>
      <c r="U901" s="349"/>
      <c r="V901" s="349"/>
    </row>
    <row r="902" spans="1:22" s="534" customFormat="1" ht="12.75" customHeight="1" x14ac:dyDescent="0.3">
      <c r="A902" s="343"/>
      <c r="B902" s="15"/>
      <c r="C902" s="17"/>
      <c r="D902" s="1386"/>
      <c r="E902" s="1418" t="str">
        <f>Translations!$B$1584</f>
        <v>Kriterium 3f: Har relativa tröskelvärden överskridits?</v>
      </c>
      <c r="F902" s="1418"/>
      <c r="G902" s="1418"/>
      <c r="H902" s="1444" t="s">
        <v>1112</v>
      </c>
      <c r="I902" s="1423"/>
      <c r="J902" s="1420" t="str">
        <f>INDEX(F_ProductBM!V:V,MATCH($P902,F_ProductBM!$Q:$Q,0))</f>
        <v/>
      </c>
      <c r="K902" s="1421" t="str">
        <f>INDEX(F_ProductBM!W:W,MATCH($P902,F_ProductBM!$Q:$Q,0))</f>
        <v/>
      </c>
      <c r="L902" s="1421" t="str">
        <f>INDEX(F_ProductBM!X:X,MATCH($P902,F_ProductBM!$Q:$Q,0))</f>
        <v/>
      </c>
      <c r="M902" s="1421" t="str">
        <f>INDEX(F_ProductBM!Y:Y,MATCH($P902,F_ProductBM!$Q:$Q,0))</f>
        <v/>
      </c>
      <c r="N902" s="1422" t="str">
        <f>INDEX(F_ProductBM!Z:Z,MATCH($P902,F_ProductBM!$Q:$Q,0))</f>
        <v/>
      </c>
      <c r="O902" s="19"/>
      <c r="P902" s="165" t="str">
        <f>P901</f>
        <v>RelThresh_HALprelim_WasteGasFlare_</v>
      </c>
      <c r="Q902" s="343"/>
      <c r="R902" s="343"/>
      <c r="S902" s="343"/>
      <c r="T902" s="343"/>
      <c r="U902" s="349"/>
      <c r="V902" s="349"/>
    </row>
    <row r="903" spans="1:22" s="534" customFormat="1" ht="12.75" customHeight="1" x14ac:dyDescent="0.3">
      <c r="A903" s="343" t="str">
        <f>IF(P903="","ausblenden","")</f>
        <v/>
      </c>
      <c r="B903" s="15"/>
      <c r="C903" s="17"/>
      <c r="D903" s="1386"/>
      <c r="E903" s="950" t="str">
        <f>Translations!$B$1568</f>
        <v>Preliminärt värde</v>
      </c>
      <c r="F903" s="950"/>
      <c r="G903" s="950"/>
      <c r="H903" s="957" t="str">
        <f>EUconst_tCO2</f>
        <v>t CO2</v>
      </c>
      <c r="I903" s="951"/>
      <c r="J903" s="1373" t="str">
        <f>IF(OR($I805="",CNTR_SubPeriod=1),"",INDEX(F_ProductBM!J:J,MATCH($P903,F_ProductBM!$Q:$Q,0)))</f>
        <v/>
      </c>
      <c r="K903" s="1374" t="str">
        <f>IF(OR($I805="",CNTR_SubPeriod=1),"",INDEX(F_ProductBM!K:K,MATCH($P903,F_ProductBM!$Q:$Q,0)))</f>
        <v/>
      </c>
      <c r="L903" s="1374" t="str">
        <f>IF(OR($I805="",CNTR_SubPeriod=1),"",INDEX(F_ProductBM!L:L,MATCH($P903,F_ProductBM!$Q:$Q,0)))</f>
        <v/>
      </c>
      <c r="M903" s="1374" t="str">
        <f>IF(OR($I805="",CNTR_SubPeriod=1),"",INDEX(F_ProductBM!M:M,MATCH($P903,F_ProductBM!$Q:$Q,0)))</f>
        <v/>
      </c>
      <c r="N903" s="1395" t="str">
        <f>IF(OR($I805="",CNTR_SubPeriod=1),"",INDEX(F_ProductBM!N:N,MATCH($P903,F_ProductBM!$Q:$Q,0)))</f>
        <v/>
      </c>
      <c r="O903" s="19"/>
      <c r="P903" s="165" t="str">
        <f>EUconst_CNTR_HALprelim&amp;EUconst_CNTR_WGFlared&amp;$I805</f>
        <v>HALprelim_WasteGasFlare_</v>
      </c>
      <c r="Q903" s="343"/>
      <c r="R903" s="343"/>
      <c r="S903" s="343"/>
      <c r="T903" s="343"/>
      <c r="U903" s="349"/>
      <c r="V903" s="349"/>
    </row>
    <row r="904" spans="1:22" s="534" customFormat="1" ht="12.75" hidden="1" customHeight="1" x14ac:dyDescent="0.3">
      <c r="A904" s="343" t="str">
        <f>IF(P904="","ausblenden","")</f>
        <v>ausblenden</v>
      </c>
      <c r="B904" s="15"/>
      <c r="C904" s="17"/>
      <c r="D904" s="1386"/>
      <c r="E904" s="947" t="s">
        <v>1527</v>
      </c>
      <c r="F904" s="947"/>
      <c r="G904" s="947"/>
      <c r="H904" s="955" t="str">
        <f>EUconst_EUA</f>
        <v>EUA</v>
      </c>
      <c r="I904" s="948"/>
      <c r="J904" s="1165" t="str">
        <f>J822</f>
        <v/>
      </c>
      <c r="K904" s="975" t="str">
        <f t="shared" ref="K904:K906" si="125">J917</f>
        <v/>
      </c>
      <c r="L904" s="975" t="str">
        <f t="shared" ref="L904:L906" si="126">K917</f>
        <v/>
      </c>
      <c r="M904" s="975" t="str">
        <f t="shared" ref="M904:M906" si="127">L917</f>
        <v/>
      </c>
      <c r="N904" s="1391" t="str">
        <f t="shared" ref="N904:N906" si="128">M917</f>
        <v/>
      </c>
      <c r="O904" s="19"/>
      <c r="P904" s="343"/>
      <c r="Q904" s="343"/>
      <c r="R904" s="343"/>
      <c r="S904" s="343"/>
      <c r="T904" s="343"/>
      <c r="U904" s="349"/>
      <c r="V904" s="349"/>
    </row>
    <row r="905" spans="1:22" s="534" customFormat="1" ht="12.75" hidden="1" customHeight="1" x14ac:dyDescent="0.3">
      <c r="A905" s="343" t="str">
        <f>IF(P905="","ausblenden","")</f>
        <v>ausblenden</v>
      </c>
      <c r="B905" s="15"/>
      <c r="C905" s="17"/>
      <c r="D905" s="1386"/>
      <c r="E905" s="947" t="s">
        <v>1526</v>
      </c>
      <c r="F905" s="947"/>
      <c r="G905" s="947"/>
      <c r="H905" s="956" t="s">
        <v>1112</v>
      </c>
      <c r="I905" s="948"/>
      <c r="J905" s="1211" t="str">
        <f>J823</f>
        <v/>
      </c>
      <c r="K905" s="1212" t="str">
        <f t="shared" si="125"/>
        <v/>
      </c>
      <c r="L905" s="1212" t="str">
        <f t="shared" si="126"/>
        <v/>
      </c>
      <c r="M905" s="1212" t="str">
        <f t="shared" si="127"/>
        <v/>
      </c>
      <c r="N905" s="1392" t="str">
        <f t="shared" si="128"/>
        <v/>
      </c>
      <c r="O905" s="19"/>
      <c r="P905" s="343"/>
      <c r="Q905" s="343"/>
      <c r="R905" s="343"/>
      <c r="S905" s="343"/>
      <c r="T905" s="343"/>
      <c r="U905" s="349"/>
      <c r="V905" s="349"/>
    </row>
    <row r="906" spans="1:22" s="534" customFormat="1" ht="12.75" hidden="1" customHeight="1" x14ac:dyDescent="0.3">
      <c r="A906" s="343" t="str">
        <f>IF(P906="","ausblenden","")</f>
        <v>ausblenden</v>
      </c>
      <c r="B906" s="15"/>
      <c r="C906" s="17"/>
      <c r="D906" s="1386"/>
      <c r="E906" s="950" t="s">
        <v>1528</v>
      </c>
      <c r="F906" s="950"/>
      <c r="G906" s="950"/>
      <c r="H906" s="957" t="s">
        <v>1112</v>
      </c>
      <c r="I906" s="951"/>
      <c r="J906" s="1213" t="str">
        <f>J824</f>
        <v/>
      </c>
      <c r="K906" s="1214" t="str">
        <f t="shared" si="125"/>
        <v/>
      </c>
      <c r="L906" s="1214" t="str">
        <f t="shared" si="126"/>
        <v/>
      </c>
      <c r="M906" s="1214" t="str">
        <f t="shared" si="127"/>
        <v/>
      </c>
      <c r="N906" s="1393" t="str">
        <f t="shared" si="128"/>
        <v/>
      </c>
      <c r="O906" s="19"/>
      <c r="P906" s="343"/>
      <c r="Q906" s="343"/>
      <c r="R906" s="343"/>
      <c r="S906" s="343"/>
      <c r="T906" s="343"/>
      <c r="U906" s="349"/>
      <c r="V906" s="349"/>
    </row>
    <row r="907" spans="1:22" s="534" customFormat="1" ht="12.75" customHeight="1" x14ac:dyDescent="0.3">
      <c r="A907" s="343"/>
      <c r="B907" s="15"/>
      <c r="C907" s="17"/>
      <c r="D907" s="1386"/>
      <c r="E907" s="514" t="str">
        <f>Translations!$B$1565</f>
        <v>Preliminärt tilldelningsvärde</v>
      </c>
      <c r="F907" s="514"/>
      <c r="G907" s="514"/>
      <c r="H907" s="129" t="str">
        <f>EUconst_EUA</f>
        <v>EUA</v>
      </c>
      <c r="I907" s="1151"/>
      <c r="J907" s="1131" t="str">
        <f>IF(J903="","",MAX(0,ROUND((SUM($M808)*SUM(J898)*SUM(J905)*SUM(J906)-SUM(J899)-SUM(J903)+SUM(J904))*IF($H808=TRUE,1,J$2517),0)))</f>
        <v/>
      </c>
      <c r="K907" s="421" t="str">
        <f>IF(K903="","",MAX(0,ROUND((SUM($M808)*SUM(K898)*SUM(K905)*SUM(K906)-SUM(K899)-SUM(K903)+SUM(K904))*IF($H808=TRUE,1,K$2517),0)))</f>
        <v/>
      </c>
      <c r="L907" s="421" t="str">
        <f>IF(L903="","",MAX(0,ROUND((SUM($M808)*SUM(L898)*SUM(L905)*SUM(L906)-SUM(L899)-SUM(L903)+SUM(L904))*IF($H808=TRUE,1,L$2517),0)))</f>
        <v/>
      </c>
      <c r="M907" s="421" t="str">
        <f>IF(M903="","",MAX(0,ROUND((SUM($M808)*SUM(M898)*SUM(M905)*SUM(M906)-SUM(M899)-SUM(M903)+SUM(M904))*IF($H808=TRUE,1,M$2517),0)))</f>
        <v/>
      </c>
      <c r="N907" s="967" t="str">
        <f>IF(N903="","",MAX(0,ROUND((SUM($M808)*SUM(N898)*SUM(N905)*SUM(N906)-SUM(N899)-SUM(N903)+SUM(N904))*IF($H808=TRUE,1,N$2517),0)))</f>
        <v/>
      </c>
      <c r="O907" s="19"/>
      <c r="P907" s="343"/>
      <c r="Q907" s="343"/>
      <c r="R907" s="343"/>
      <c r="S907" s="343"/>
      <c r="T907" s="343"/>
      <c r="U907" s="349"/>
      <c r="V907" s="349"/>
    </row>
    <row r="908" spans="1:22" s="534" customFormat="1" ht="12.75" customHeight="1" x14ac:dyDescent="0.3">
      <c r="A908" s="343"/>
      <c r="B908" s="15"/>
      <c r="C908" s="17"/>
      <c r="D908" s="1386"/>
      <c r="E908" s="514" t="str">
        <f>Translations!$B$1569</f>
        <v>Skillnad i tilldelning</v>
      </c>
      <c r="F908" s="514"/>
      <c r="G908" s="514"/>
      <c r="H908" s="129" t="str">
        <f>EUconst_EUA</f>
        <v>EUA</v>
      </c>
      <c r="I908" s="1151"/>
      <c r="J908" s="1131" t="str">
        <f>IF(J907="","",ABS(SUM(J907)-SUM(J825)))</f>
        <v/>
      </c>
      <c r="K908" s="421" t="str">
        <f>IF(K907="","",ABS(SUM(K907)-SUM(K825)))</f>
        <v/>
      </c>
      <c r="L908" s="421" t="str">
        <f>IF(L907="","",ABS(SUM(L907)-SUM(L825)))</f>
        <v/>
      </c>
      <c r="M908" s="421" t="str">
        <f>IF(M907="","",ABS(SUM(M907)-SUM(M825)))</f>
        <v/>
      </c>
      <c r="N908" s="967" t="str">
        <f>IF(N907="","",ABS(SUM(N907)-SUM(N825)))</f>
        <v/>
      </c>
      <c r="O908" s="19"/>
      <c r="P908" s="343"/>
      <c r="Q908" s="343"/>
      <c r="R908" s="343"/>
      <c r="S908" s="343"/>
      <c r="T908" s="343"/>
      <c r="U908" s="349"/>
      <c r="V908" s="349"/>
    </row>
    <row r="909" spans="1:22" s="534" customFormat="1" ht="12.75" customHeight="1" x14ac:dyDescent="0.3">
      <c r="A909" s="343"/>
      <c r="B909" s="15"/>
      <c r="C909" s="17"/>
      <c r="D909" s="1386"/>
      <c r="E909" s="1419" t="str">
        <f>Translations!$B$1585</f>
        <v>Kriterium 4f: Är skillnaden minst 100 utsläppsrätter?</v>
      </c>
      <c r="F909" s="514"/>
      <c r="G909" s="514"/>
      <c r="H909" s="1424" t="s">
        <v>1112</v>
      </c>
      <c r="I909" s="1425"/>
      <c r="J909" s="1426" t="str">
        <f>IF(J908="","",J908&gt;=100)</f>
        <v/>
      </c>
      <c r="K909" s="1427" t="str">
        <f>IF(K908="","",K908&gt;=100)</f>
        <v/>
      </c>
      <c r="L909" s="1427" t="str">
        <f>IF(L908="","",L908&gt;=100)</f>
        <v/>
      </c>
      <c r="M909" s="1427" t="str">
        <f>IF(M908="","",M908&gt;=100)</f>
        <v/>
      </c>
      <c r="N909" s="1428" t="str">
        <f>IF(N908="","",N908&gt;=100)</f>
        <v/>
      </c>
      <c r="O909" s="19"/>
      <c r="P909" s="165" t="str">
        <f>EUconst_CNTR_100EUA_WGFlare&amp;I805</f>
        <v>EUA100WGFlare_</v>
      </c>
      <c r="Q909" s="343"/>
      <c r="R909" s="343"/>
      <c r="S909" s="343"/>
      <c r="T909" s="343"/>
      <c r="U909" s="349"/>
      <c r="V909" s="349"/>
    </row>
    <row r="910" spans="1:22" s="534" customFormat="1" ht="12.75" customHeight="1" thickBot="1" x14ac:dyDescent="0.35">
      <c r="A910" s="343"/>
      <c r="B910" s="15"/>
      <c r="C910" s="17"/>
      <c r="D910" s="1398"/>
      <c r="E910" s="973"/>
      <c r="F910" s="973"/>
      <c r="G910" s="973"/>
      <c r="H910" s="973"/>
      <c r="I910" s="1399"/>
      <c r="J910" s="973"/>
      <c r="K910" s="973"/>
      <c r="L910" s="973"/>
      <c r="M910" s="973"/>
      <c r="N910" s="974"/>
      <c r="O910" s="19"/>
      <c r="P910" s="343"/>
      <c r="Q910" s="343"/>
      <c r="R910" s="343"/>
      <c r="S910" s="343"/>
      <c r="T910" s="343"/>
      <c r="U910" s="349"/>
      <c r="V910" s="349"/>
    </row>
    <row r="911" spans="1:22" s="534" customFormat="1" ht="5.15" customHeight="1" thickBot="1" x14ac:dyDescent="0.35">
      <c r="A911" s="343"/>
      <c r="B911" s="15"/>
      <c r="C911" s="17"/>
      <c r="D911" s="17"/>
      <c r="E911" s="15"/>
      <c r="F911" s="15"/>
      <c r="G911" s="15"/>
      <c r="H911" s="15"/>
      <c r="I911" s="941"/>
      <c r="J911" s="15"/>
      <c r="K911" s="15"/>
      <c r="L911" s="15"/>
      <c r="M911" s="15"/>
      <c r="N911" s="15"/>
      <c r="O911" s="19"/>
      <c r="P911" s="343"/>
      <c r="Q911" s="343"/>
      <c r="R911" s="343"/>
      <c r="S911" s="343"/>
      <c r="T911" s="343"/>
      <c r="U911" s="349"/>
      <c r="V911" s="349"/>
    </row>
    <row r="912" spans="1:22" s="534" customFormat="1" ht="5.15" customHeight="1" x14ac:dyDescent="0.25">
      <c r="A912" s="343"/>
      <c r="B912" s="15"/>
      <c r="C912" s="15"/>
      <c r="D912" s="961"/>
      <c r="E912" s="962"/>
      <c r="F912" s="962"/>
      <c r="G912" s="962"/>
      <c r="H912" s="962"/>
      <c r="I912" s="963"/>
      <c r="J912" s="962"/>
      <c r="K912" s="962"/>
      <c r="L912" s="962"/>
      <c r="M912" s="962"/>
      <c r="N912" s="964"/>
      <c r="O912" s="19"/>
      <c r="P912" s="343"/>
      <c r="Q912" s="343"/>
      <c r="R912" s="343"/>
      <c r="S912" s="343"/>
      <c r="T912" s="7"/>
      <c r="U912" s="349"/>
      <c r="V912" s="349"/>
    </row>
    <row r="913" spans="1:22" s="534" customFormat="1" ht="13" x14ac:dyDescent="0.25">
      <c r="A913" s="343"/>
      <c r="B913" s="15"/>
      <c r="C913" s="15"/>
      <c r="D913" s="965"/>
      <c r="E913" s="39" t="str">
        <f>Translations!$B$1586</f>
        <v>Faktiska använda värden</v>
      </c>
      <c r="F913" s="15"/>
      <c r="G913" s="15"/>
      <c r="H913" s="30" t="str">
        <f>EUconst_Unit</f>
        <v>Enhet</v>
      </c>
      <c r="I913" s="1614" t="str">
        <f>Translations!$B$1510</f>
        <v>Basvärde</v>
      </c>
      <c r="J913" s="1065">
        <f>J$2596</f>
        <v>2021</v>
      </c>
      <c r="K913" s="350">
        <f>K$2596</f>
        <v>2022</v>
      </c>
      <c r="L913" s="350">
        <f>L$2596</f>
        <v>2023</v>
      </c>
      <c r="M913" s="350">
        <f>M$2596</f>
        <v>2024</v>
      </c>
      <c r="N913" s="966">
        <f>N$2596</f>
        <v>2025</v>
      </c>
      <c r="O913" s="19"/>
      <c r="P913" s="343"/>
      <c r="Q913" s="343"/>
      <c r="R913" s="343"/>
      <c r="S913" s="297" t="s">
        <v>1846</v>
      </c>
      <c r="T913" s="7"/>
      <c r="U913" s="349"/>
      <c r="V913" s="349"/>
    </row>
    <row r="914" spans="1:22" s="534" customFormat="1" x14ac:dyDescent="0.25">
      <c r="A914" s="343"/>
      <c r="B914" s="15"/>
      <c r="C914" s="15"/>
      <c r="D914" s="965"/>
      <c r="E914" s="944" t="str">
        <f>Translations!$B$1587</f>
        <v>Verksamhetsnivå</v>
      </c>
      <c r="F914" s="944"/>
      <c r="G914" s="944"/>
      <c r="H914" s="1443" t="str">
        <f>H898</f>
        <v>ton</v>
      </c>
      <c r="I914" s="1615" t="str">
        <f>IF($I805="","",IF(T920&gt;=$H$2595,0,S914))</f>
        <v/>
      </c>
      <c r="J914" s="1161" t="str">
        <f>IF($I805="","",INDEX(F_ProductBM!J:J,MATCH($P914,F_ProductBM!$Q:$Q,0)))</f>
        <v/>
      </c>
      <c r="K914" s="946" t="str">
        <f>IF($I805="","",INDEX(F_ProductBM!K:K,MATCH($P914,F_ProductBM!$Q:$Q,0)))</f>
        <v/>
      </c>
      <c r="L914" s="946" t="str">
        <f>IF($I805="","",INDEX(F_ProductBM!L:L,MATCH($P914,F_ProductBM!$Q:$Q,0)))</f>
        <v/>
      </c>
      <c r="M914" s="946" t="str">
        <f>IF($I805="","",INDEX(F_ProductBM!M:M,MATCH($P914,F_ProductBM!$Q:$Q,0)))</f>
        <v/>
      </c>
      <c r="N914" s="1046" t="str">
        <f>IF($I805="","",INDEX(F_ProductBM!N:N,MATCH($P914,F_ProductBM!$Q:$Q,0)))</f>
        <v/>
      </c>
      <c r="O914" s="19"/>
      <c r="P914" s="165" t="str">
        <f>EUconst_CNTR_HALfinal&amp;I805</f>
        <v>HALfinal_</v>
      </c>
      <c r="Q914" s="343"/>
      <c r="R914" s="343"/>
      <c r="S914" s="1691" t="str">
        <f>IF($I805="","",INDEX(F_ProductBM!I:I,MATCH($P914,F_ProductBM!$Q:$Q,0)))</f>
        <v/>
      </c>
      <c r="T914" s="7"/>
      <c r="U914" s="349"/>
      <c r="V914" s="349"/>
    </row>
    <row r="915" spans="1:22" s="534" customFormat="1" x14ac:dyDescent="0.25">
      <c r="A915" s="343"/>
      <c r="B915" s="15"/>
      <c r="C915" s="15"/>
      <c r="D915" s="965"/>
      <c r="E915" s="1376" t="str">
        <f>Translations!$B$1036</f>
        <v>Värme utanför ETS</v>
      </c>
      <c r="F915" s="1376"/>
      <c r="G915" s="1376"/>
      <c r="H915" s="1429" t="str">
        <f>EUconst_EUA</f>
        <v>EUA</v>
      </c>
      <c r="I915" s="1616" t="str">
        <f>IF($I805="","",IF(YEAR(J808)&gt;=$H$2595-1,0,S915))</f>
        <v/>
      </c>
      <c r="J915" s="1430" t="str">
        <f>IF($I805="","",INDEX(F_ProductBM!J:J,MATCH($P915,F_ProductBM!$Q:$Q,0)))</f>
        <v/>
      </c>
      <c r="K915" s="1431" t="str">
        <f>IF($I805="","",INDEX(F_ProductBM!K:K,MATCH($P915,F_ProductBM!$Q:$Q,0)))</f>
        <v/>
      </c>
      <c r="L915" s="1431" t="str">
        <f>IF($I805="","",INDEX(F_ProductBM!L:L,MATCH($P915,F_ProductBM!$Q:$Q,0)))</f>
        <v/>
      </c>
      <c r="M915" s="1431" t="str">
        <f>IF($I805="","",INDEX(F_ProductBM!M:M,MATCH($P915,F_ProductBM!$Q:$Q,0)))</f>
        <v/>
      </c>
      <c r="N915" s="1432" t="str">
        <f>IF($I805="","",INDEX(F_ProductBM!N:N,MATCH($P915,F_ProductBM!$Q:$Q,0)))</f>
        <v/>
      </c>
      <c r="O915" s="19"/>
      <c r="P915" s="165" t="str">
        <f>EUconst_CNTR_HEATfinal&amp;I805</f>
        <v>HEATfinal_</v>
      </c>
      <c r="Q915" s="343"/>
      <c r="R915" s="343"/>
      <c r="S915" s="1692" t="str">
        <f>IF($I805="","",INDEX(F_ProductBM!I:I,MATCH($P915,F_ProductBM!$Q:$Q,0)))</f>
        <v/>
      </c>
      <c r="T915" s="7"/>
      <c r="U915" s="349"/>
      <c r="V915" s="349"/>
    </row>
    <row r="916" spans="1:22" s="534" customFormat="1" x14ac:dyDescent="0.25">
      <c r="A916" s="343"/>
      <c r="B916" s="15"/>
      <c r="C916" s="15"/>
      <c r="D916" s="965"/>
      <c r="E916" s="947" t="str">
        <f>Translations!$B$1038</f>
        <v>Wgfacklad</v>
      </c>
      <c r="F916" s="947"/>
      <c r="G916" s="947"/>
      <c r="H916" s="955" t="str">
        <f>EUconst_EUA</f>
        <v>EUA</v>
      </c>
      <c r="I916" s="1617" t="str">
        <f>IF($I805="","",IF(T920&gt;=$H$2595,0,S916))</f>
        <v/>
      </c>
      <c r="J916" s="1162" t="str">
        <f>IF($I805="","",INDEX(F_ProductBM!J:J,MATCH($P916,F_ProductBM!$Q:$Q,0)))</f>
        <v/>
      </c>
      <c r="K916" s="949" t="str">
        <f>IF($I805="","",INDEX(F_ProductBM!K:K,MATCH($P916,F_ProductBM!$Q:$Q,0)))</f>
        <v/>
      </c>
      <c r="L916" s="949" t="str">
        <f>IF($I805="","",INDEX(F_ProductBM!L:L,MATCH($P916,F_ProductBM!$Q:$Q,0)))</f>
        <v/>
      </c>
      <c r="M916" s="949" t="str">
        <f>IF($I805="","",INDEX(F_ProductBM!M:M,MATCH($P916,F_ProductBM!$Q:$Q,0)))</f>
        <v/>
      </c>
      <c r="N916" s="969" t="str">
        <f>IF($I805="","",INDEX(F_ProductBM!N:N,MATCH($P916,F_ProductBM!$Q:$Q,0)))</f>
        <v/>
      </c>
      <c r="O916" s="19"/>
      <c r="P916" s="165" t="str">
        <f>EUconst_CNTR_HALfinal&amp;EUconst_CNTR_WGFlared&amp;$I805</f>
        <v>HALfinal_WasteGasFlare_</v>
      </c>
      <c r="Q916" s="343"/>
      <c r="R916" s="343"/>
      <c r="S916" s="1693" t="str">
        <f>IF($I805="","",INDEX(F_ProductBM!I:I,MATCH($P916,F_ProductBM!$Q:$Q,0)))</f>
        <v/>
      </c>
      <c r="T916" s="7"/>
      <c r="U916" s="349"/>
      <c r="V916" s="349"/>
    </row>
    <row r="917" spans="1:22" s="534" customFormat="1" x14ac:dyDescent="0.25">
      <c r="A917" s="343"/>
      <c r="B917" s="15"/>
      <c r="C917" s="15"/>
      <c r="D917" s="965"/>
      <c r="E917" s="947" t="s">
        <v>1527</v>
      </c>
      <c r="F917" s="947"/>
      <c r="G917" s="947"/>
      <c r="H917" s="955" t="str">
        <f>EUconst_EUA</f>
        <v>EUA</v>
      </c>
      <c r="I917" s="1617" t="str">
        <f>IF($I805="","",IF(T920&gt;=$H$2595,0,IF(L808=42,S917,0)))</f>
        <v/>
      </c>
      <c r="J917" s="1162" t="str">
        <f>IF($I805="","",IF($L808=42,INDEX(H_SpecialBM!J:J,MATCH($P917,H_SpecialBM!$Q:$Q,0)),0))</f>
        <v/>
      </c>
      <c r="K917" s="949" t="str">
        <f>IF($I805="","",IF($L808=42,INDEX(H_SpecialBM!K:K,MATCH($P917,H_SpecialBM!$Q:$Q,0)),0))</f>
        <v/>
      </c>
      <c r="L917" s="949" t="str">
        <f>IF($I805="","",IF($L808=42,INDEX(H_SpecialBM!L:L,MATCH($P917,H_SpecialBM!$Q:$Q,0)),0))</f>
        <v/>
      </c>
      <c r="M917" s="949" t="str">
        <f>IF($I805="","",IF($L808=42,INDEX(H_SpecialBM!M:M,MATCH($P917,H_SpecialBM!$Q:$Q,0)),0))</f>
        <v/>
      </c>
      <c r="N917" s="969" t="str">
        <f>IF($I805="","",IF($L808=42,INDEX(H_SpecialBM!N:N,MATCH($P917,H_SpecialBM!$Q:$Q,0)),0))</f>
        <v/>
      </c>
      <c r="O917" s="19"/>
      <c r="P917" s="165" t="str">
        <f>EUconst_CNTR_HVCfinal</f>
        <v>HVCfinal_</v>
      </c>
      <c r="Q917" s="343"/>
      <c r="R917" s="343"/>
      <c r="S917" s="1693" t="str">
        <f>IF($I805="","",IF(L808=42,INDEX(H_SpecialBM!I:I,MATCH($P917,H_SpecialBM!$Q:$Q,0)),0))</f>
        <v/>
      </c>
      <c r="T917" s="7"/>
      <c r="U917" s="349"/>
      <c r="V917" s="349"/>
    </row>
    <row r="918" spans="1:22" s="534" customFormat="1" x14ac:dyDescent="0.25">
      <c r="A918" s="343"/>
      <c r="B918" s="15"/>
      <c r="C918" s="15"/>
      <c r="D918" s="965"/>
      <c r="E918" s="947" t="s">
        <v>1526</v>
      </c>
      <c r="F918" s="947"/>
      <c r="G918" s="947"/>
      <c r="H918" s="956" t="s">
        <v>1112</v>
      </c>
      <c r="I918" s="1618" t="str">
        <f>IF(AND($I805&lt;&gt;"",$I808=TRUE),IF(T920&gt;=$H$2595,1,S918),IF($I805="","",1))</f>
        <v/>
      </c>
      <c r="J918" s="1163" t="str">
        <f>IF(AND($I805&lt;&gt;"",$I808=TRUE),INDEX(F_ProductBM!J:J,MATCH($P918,F_ProductBM!$Q:$Q,0)),IF($I805="","",1))</f>
        <v/>
      </c>
      <c r="K918" s="959" t="str">
        <f>IF(AND($I805&lt;&gt;"",$I808=TRUE),INDEX(F_ProductBM!K:K,MATCH($P918,F_ProductBM!$Q:$Q,0)),IF($I805="","",1))</f>
        <v/>
      </c>
      <c r="L918" s="959" t="str">
        <f>IF(AND($I805&lt;&gt;"",$I808=TRUE),INDEX(F_ProductBM!L:L,MATCH($P918,F_ProductBM!$Q:$Q,0)),IF($I805="","",1))</f>
        <v/>
      </c>
      <c r="M918" s="959" t="str">
        <f>IF(AND($I805&lt;&gt;"",$I808=TRUE),INDEX(F_ProductBM!M:M,MATCH($P918,F_ProductBM!$Q:$Q,0)),IF($I805="","",1))</f>
        <v/>
      </c>
      <c r="N918" s="970" t="str">
        <f>IF(AND($I805&lt;&gt;"",$I808=TRUE),INDEX(F_ProductBM!N:N,MATCH($P918,F_ProductBM!$Q:$Q,0)),IF($I805="","",1))</f>
        <v/>
      </c>
      <c r="O918" s="19"/>
      <c r="P918" s="165" t="str">
        <f>EUconst_CNTR_HALfinal&amp;EUconst_CNTR_ELEXCH&amp;$I805</f>
        <v>HALfinal_ELEXCH_</v>
      </c>
      <c r="Q918" s="343"/>
      <c r="R918" s="343"/>
      <c r="S918" s="1694" t="str">
        <f>IF(AND($I805&lt;&gt;"",$I808=TRUE),INDEX(F_ProductBM!I:I,MATCH($P918,F_ProductBM!$Q:$Q,0)),IF($I805="","",1))</f>
        <v/>
      </c>
      <c r="T918" s="343"/>
      <c r="U918" s="349"/>
      <c r="V918" s="349"/>
    </row>
    <row r="919" spans="1:22" s="534" customFormat="1" x14ac:dyDescent="0.25">
      <c r="A919" s="343"/>
      <c r="B919" s="15"/>
      <c r="C919" s="15"/>
      <c r="D919" s="965"/>
      <c r="E919" s="950" t="s">
        <v>1528</v>
      </c>
      <c r="F919" s="950"/>
      <c r="G919" s="950"/>
      <c r="H919" s="957" t="s">
        <v>1112</v>
      </c>
      <c r="I919" s="1619" t="str">
        <f>IF($I805="","",IF($L808=47,IF(AND(ISNUMBER(S919),YEAR(J808)&lt;2021),S919,1),1))</f>
        <v/>
      </c>
      <c r="J919" s="1164" t="str">
        <f>IF($I805="","",IF($L808=47,IF(ISNUMBER(INDEX(H_SpecialBM!J:J,MATCH($P919,H_SpecialBM!$Q:$Q,0))),INDEX(H_SpecialBM!J:J,MATCH($P919,H_SpecialBM!$Q:$Q,0)),1),1))</f>
        <v/>
      </c>
      <c r="K919" s="958" t="str">
        <f>IF($I805="","",IF($L808=47,IF(ISNUMBER(INDEX(H_SpecialBM!K:K,MATCH($P919,H_SpecialBM!$Q:$Q,0))),INDEX(H_SpecialBM!K:K,MATCH($P919,H_SpecialBM!$Q:$Q,0)),1),1))</f>
        <v/>
      </c>
      <c r="L919" s="958" t="str">
        <f>IF($I805="","",IF($L808=47,IF(ISNUMBER(INDEX(H_SpecialBM!L:L,MATCH($P919,H_SpecialBM!$Q:$Q,0))),INDEX(H_SpecialBM!L:L,MATCH($P919,H_SpecialBM!$Q:$Q,0)),1),1))</f>
        <v/>
      </c>
      <c r="M919" s="958" t="str">
        <f>IF($I805="","",IF($L808=47,IF(ISNUMBER(INDEX(H_SpecialBM!M:M,MATCH($P919,H_SpecialBM!$Q:$Q,0))),INDEX(H_SpecialBM!M:M,MATCH($P919,H_SpecialBM!$Q:$Q,0)),1),1))</f>
        <v/>
      </c>
      <c r="N919" s="971" t="str">
        <f>IF($I805="","",IF($L808=47,IF(ISNUMBER(INDEX(H_SpecialBM!N:N,MATCH($P919,H_SpecialBM!$Q:$Q,0))),INDEX(H_SpecialBM!N:N,MATCH($P919,H_SpecialBM!$Q:$Q,0)),1),1))</f>
        <v/>
      </c>
      <c r="O919" s="19"/>
      <c r="P919" s="165" t="str">
        <f>EUconst_CNTR_VCMfinal</f>
        <v>VCMfinal_</v>
      </c>
      <c r="Q919" s="343"/>
      <c r="R919" s="343"/>
      <c r="S919" s="1695" t="str">
        <f>IF($I805="","",IF($L808=47,IF(ISNUMBER(INDEX(H_SpecialBM!I:I,MATCH($P919,H_SpecialBM!$Q:$Q,0))),INDEX(H_SpecialBM!I:I,MATCH($P919,H_SpecialBM!$Q:$Q,0)),1),1))</f>
        <v/>
      </c>
      <c r="T919" s="343"/>
      <c r="U919" s="349"/>
      <c r="V919" s="349"/>
    </row>
    <row r="920" spans="1:22" s="534" customFormat="1" x14ac:dyDescent="0.25">
      <c r="A920" s="343"/>
      <c r="B920" s="15"/>
      <c r="C920" s="15"/>
      <c r="D920" s="965"/>
      <c r="E920" s="514" t="str">
        <f>Translations!$B$956</f>
        <v>Preliminär tilldelning</v>
      </c>
      <c r="F920" s="514"/>
      <c r="G920" s="514"/>
      <c r="H920" s="129" t="str">
        <f>EUconst_EUA</f>
        <v>EUA</v>
      </c>
      <c r="I920" s="1620" t="str">
        <f>IF($I805="","",MAX(0,ROUND((SUM($M808)*SUM(I914)*SUM(I918)*SUM(I919)-SUM(I915)-SUM(I916)+SUM(I917))*IF($H808=TRUE,1,J$2517),0)))</f>
        <v/>
      </c>
      <c r="J920" s="1131" t="str">
        <f>IF($I805="","",MAX(0,ROUND((SUM($M808)*SUM(J914)*SUM(J918)*SUM(J919)-SUM(J915)-SUM(J916)+SUM(J917))*IF($H808=TRUE,1,J$2517),0)))</f>
        <v/>
      </c>
      <c r="K920" s="421" t="str">
        <f>IF($I805="","",MAX(0,ROUND((SUM($M808)*SUM(K914)*SUM(K918)*SUM(K919)-SUM(K915)-SUM(K916)+SUM(K917))*IF($H808=TRUE,1,K$2517),0)))</f>
        <v/>
      </c>
      <c r="L920" s="421" t="str">
        <f>IF($I805="","",MAX(0,ROUND((SUM($M808)*SUM(L914)*SUM(L918)*SUM(L919)-SUM(L915)-SUM(L916)+SUM(L917))*IF($H808=TRUE,1,L$2517),0)))</f>
        <v/>
      </c>
      <c r="M920" s="421" t="str">
        <f>IF($I805="","",MAX(0,ROUND((SUM($M808)*SUM(M914)*SUM(M918)*SUM(M919)-SUM(M915)-SUM(M916)+SUM(M917))*IF($H808=TRUE,1,M$2517),0)))</f>
        <v/>
      </c>
      <c r="N920" s="967" t="str">
        <f>IF($I805="","",MAX(0,ROUND((SUM($M808+IF(L808=52,0.415,0))*SUM(N914)*SUM(N918)*SUM(N919)-SUM(N915)-SUM(N916)+SUM(N917))*IF($H808=TRUE,1,N$2517),0)))</f>
        <v/>
      </c>
      <c r="O920" s="19"/>
      <c r="P920" s="165" t="str">
        <f>EUconst_AllocPrelim&amp;I805</f>
        <v>AllocPrelim_</v>
      </c>
      <c r="Q920" s="343"/>
      <c r="R920" s="343"/>
      <c r="S920" s="1696" t="str">
        <f>IF($I805="","",MAX(0,ROUND((SUM($M808)*SUM(S914)*SUM(S918)*SUM(S919)-SUM(S915)-SUM(S916)+SUM(S917))*IF($H808=TRUE,1,J$2517),0)))</f>
        <v/>
      </c>
      <c r="T920" s="663">
        <f>INDEX(F_ProductBM!V:V,MATCH(C805,F_ProductBM!C:C,0))</f>
        <v>2005</v>
      </c>
      <c r="U920" s="603" t="e">
        <f>OR(INDEX(I920:N920,CNTR_ReportingYear-$I$2596)&lt;&gt;INDEX(I920:N920,CNTR_ReportingYear-$H$2596),
(CNTR_ReportingYear-T920)&lt;=1)</f>
        <v>#REF!</v>
      </c>
      <c r="V920" s="355" t="b">
        <f ca="1">IF(I920="",FALSE,COUNTIF(OFFSET(I920,,,,MAX(1,CNTR_ReportingYear-$I$2596)),"&lt;&gt;" &amp; INDEX(I920:N920,CNTR_ReportingYear-$H$2596))&gt;0)</f>
        <v>0</v>
      </c>
    </row>
    <row r="921" spans="1:22" s="534" customFormat="1" ht="5.15" customHeight="1" thickBot="1" x14ac:dyDescent="0.3">
      <c r="A921" s="343"/>
      <c r="B921" s="15"/>
      <c r="C921" s="15"/>
      <c r="D921" s="972"/>
      <c r="E921" s="973"/>
      <c r="F921" s="973"/>
      <c r="G921" s="973"/>
      <c r="H921" s="973"/>
      <c r="I921" s="973"/>
      <c r="J921" s="973"/>
      <c r="K921" s="973"/>
      <c r="L921" s="973"/>
      <c r="M921" s="973"/>
      <c r="N921" s="974"/>
      <c r="O921" s="19"/>
      <c r="P921" s="343"/>
      <c r="Q921" s="343"/>
      <c r="R921" s="343"/>
      <c r="S921" s="343"/>
      <c r="T921" s="343"/>
      <c r="U921" s="349"/>
      <c r="V921" s="349"/>
    </row>
    <row r="922" spans="1:22" s="534" customFormat="1" ht="5.15" customHeight="1" thickBot="1" x14ac:dyDescent="0.3">
      <c r="A922" s="343"/>
      <c r="B922" s="15"/>
      <c r="C922" s="15"/>
      <c r="E922" s="289"/>
      <c r="F922" s="15"/>
      <c r="G922" s="15"/>
      <c r="H922" s="15"/>
      <c r="I922" s="15"/>
      <c r="J922" s="15"/>
      <c r="K922" s="15"/>
      <c r="L922" s="15"/>
      <c r="M922" s="15"/>
      <c r="N922" s="15"/>
      <c r="O922" s="19"/>
      <c r="P922" s="343"/>
      <c r="Q922" s="343"/>
      <c r="R922" s="343"/>
      <c r="S922" s="343"/>
      <c r="T922" s="343"/>
      <c r="U922" s="349"/>
      <c r="V922" s="349"/>
    </row>
    <row r="923" spans="1:22" s="534" customFormat="1" ht="12.75" customHeight="1" x14ac:dyDescent="0.25">
      <c r="A923" s="343"/>
      <c r="B923" s="15"/>
      <c r="C923" s="15"/>
      <c r="D923" s="1452"/>
      <c r="E923" s="1453"/>
      <c r="F923" s="1453"/>
      <c r="G923" s="777"/>
      <c r="H923" s="777"/>
      <c r="I923" s="777"/>
      <c r="J923" s="777"/>
      <c r="K923" s="777"/>
      <c r="L923" s="777"/>
      <c r="M923" s="777"/>
      <c r="N923" s="778"/>
      <c r="O923" s="19"/>
      <c r="P923" s="343"/>
      <c r="Q923" s="343"/>
      <c r="R923" s="343"/>
      <c r="S923" s="343"/>
      <c r="T923" s="343"/>
      <c r="U923" s="349"/>
      <c r="V923" s="349"/>
    </row>
    <row r="924" spans="1:22" s="534" customFormat="1" ht="13.5" thickBot="1" x14ac:dyDescent="0.3">
      <c r="A924" s="343"/>
      <c r="B924" s="15"/>
      <c r="C924" s="15"/>
      <c r="D924" s="1454"/>
      <c r="E924" s="416"/>
      <c r="F924" s="416"/>
      <c r="G924" s="415" t="str">
        <f>EUconst_Unit</f>
        <v>Enhet</v>
      </c>
      <c r="H924" s="744">
        <f t="shared" ref="H924:M924" si="129">H$2596</f>
        <v>2019</v>
      </c>
      <c r="I924" s="1155">
        <f t="shared" si="129"/>
        <v>2020</v>
      </c>
      <c r="J924" s="1104">
        <f t="shared" si="129"/>
        <v>2021</v>
      </c>
      <c r="K924" s="362">
        <f t="shared" si="129"/>
        <v>2022</v>
      </c>
      <c r="L924" s="362">
        <f t="shared" si="129"/>
        <v>2023</v>
      </c>
      <c r="M924" s="362">
        <f t="shared" si="129"/>
        <v>2024</v>
      </c>
      <c r="N924" s="1141">
        <f>N$2596</f>
        <v>2025</v>
      </c>
      <c r="O924" s="19"/>
      <c r="P924" s="343"/>
      <c r="Q924" s="343"/>
      <c r="R924" s="343"/>
      <c r="S924" s="343"/>
      <c r="T924" s="7"/>
      <c r="U924" s="349"/>
      <c r="V924" s="349"/>
    </row>
    <row r="925" spans="1:22" s="534" customFormat="1" ht="13.5" customHeight="1" thickBot="1" x14ac:dyDescent="0.3">
      <c r="A925" s="343"/>
      <c r="B925" s="15"/>
      <c r="C925" s="15"/>
      <c r="D925" s="1454"/>
      <c r="E925" s="2747" t="str">
        <f>Translations!$B$1056</f>
        <v>Totala tillskrivna utsläpp</v>
      </c>
      <c r="F925" s="2747"/>
      <c r="G925" s="710" t="str">
        <f>EUconst_tCO2epa</f>
        <v>t CO2e/år</v>
      </c>
      <c r="H925" s="735" t="str">
        <f t="shared" ref="H925:N925" si="130">INDEX(H$92:H$108,MATCH($I805,$E$92:$E$108,0))</f>
        <v/>
      </c>
      <c r="I925" s="1156" t="str">
        <f t="shared" si="130"/>
        <v/>
      </c>
      <c r="J925" s="735" t="str">
        <f t="shared" si="130"/>
        <v/>
      </c>
      <c r="K925" s="736" t="str">
        <f t="shared" si="130"/>
        <v/>
      </c>
      <c r="L925" s="736" t="str">
        <f t="shared" si="130"/>
        <v/>
      </c>
      <c r="M925" s="736" t="str">
        <f t="shared" si="130"/>
        <v/>
      </c>
      <c r="N925" s="737" t="str">
        <f t="shared" si="130"/>
        <v/>
      </c>
      <c r="O925" s="19"/>
      <c r="P925" s="343"/>
      <c r="Q925" s="343"/>
      <c r="R925" s="343"/>
      <c r="S925" s="343"/>
      <c r="T925" s="7"/>
      <c r="U925" s="349"/>
      <c r="V925" s="349"/>
    </row>
    <row r="926" spans="1:22" s="534" customFormat="1" ht="5.15" customHeight="1" x14ac:dyDescent="0.25">
      <c r="A926" s="343"/>
      <c r="B926" s="15"/>
      <c r="C926" s="15"/>
      <c r="D926" s="1454"/>
      <c r="E926" s="899"/>
      <c r="F926" s="899"/>
      <c r="G926" s="416"/>
      <c r="H926" s="738"/>
      <c r="I926" s="738"/>
      <c r="J926" s="738"/>
      <c r="K926" s="738"/>
      <c r="L926" s="738"/>
      <c r="M926" s="738"/>
      <c r="N926" s="1455"/>
      <c r="O926" s="19"/>
      <c r="P926" s="343"/>
      <c r="Q926" s="343"/>
      <c r="R926" s="343"/>
      <c r="S926" s="343"/>
      <c r="T926" s="7"/>
      <c r="U926" s="349"/>
      <c r="V926" s="349"/>
    </row>
    <row r="927" spans="1:22" s="534" customFormat="1" ht="12.75" customHeight="1" x14ac:dyDescent="0.25">
      <c r="A927" s="343"/>
      <c r="B927" s="15"/>
      <c r="C927" s="15"/>
      <c r="D927" s="1454"/>
      <c r="E927" s="2611" t="str">
        <f>Translations!$B$571</f>
        <v>Insatsbränsle</v>
      </c>
      <c r="F927" s="2484"/>
      <c r="G927" s="365" t="str">
        <f>EUconst_TJpa</f>
        <v>TJ / år</v>
      </c>
      <c r="H927" s="739" t="str">
        <f>IF($I805="","",IF(INDEX(F_ProductBM!H:H,MATCH($P927,F_ProductBM!$Q:$Q,0))="","",INDEX(F_ProductBM!H:H,MATCH($P927,F_ProductBM!$Q:$Q,0))))</f>
        <v/>
      </c>
      <c r="I927" s="1153" t="str">
        <f>IF($I805="","",IF(INDEX(F_ProductBM!I:I,MATCH($P927,F_ProductBM!$Q:$Q,0))="","",INDEX(F_ProductBM!I:I,MATCH($P927,F_ProductBM!$Q:$Q,0))))</f>
        <v/>
      </c>
      <c r="J927" s="1159" t="str">
        <f>IF($I805="","",IF(INDEX(F_ProductBM!J:J,MATCH($P927,F_ProductBM!$Q:$Q,0))="","",INDEX(F_ProductBM!J:J,MATCH($P927,F_ProductBM!$Q:$Q,0))))</f>
        <v/>
      </c>
      <c r="K927" s="739" t="str">
        <f>IF($I805="","",IF(INDEX(F_ProductBM!K:K,MATCH($P927,F_ProductBM!$Q:$Q,0))="","",INDEX(F_ProductBM!K:K,MATCH($P927,F_ProductBM!$Q:$Q,0))))</f>
        <v/>
      </c>
      <c r="L927" s="739" t="str">
        <f>IF($I805="","",IF(INDEX(F_ProductBM!L:L,MATCH($P927,F_ProductBM!$Q:$Q,0))="","",INDEX(F_ProductBM!L:L,MATCH($P927,F_ProductBM!$Q:$Q,0))))</f>
        <v/>
      </c>
      <c r="M927" s="739" t="str">
        <f>IF($I805="","",IF(INDEX(F_ProductBM!M:M,MATCH($P927,F_ProductBM!$Q:$Q,0))="","",INDEX(F_ProductBM!M:M,MATCH($P927,F_ProductBM!$Q:$Q,0))))</f>
        <v/>
      </c>
      <c r="N927" s="1456" t="str">
        <f>IF($I805="","",IF(INDEX(F_ProductBM!N:N,MATCH($P927,F_ProductBM!$Q:$Q,0))="","",INDEX(F_ProductBM!N:N,MATCH($P927,F_ProductBM!$Q:$Q,0))))</f>
        <v/>
      </c>
      <c r="O927" s="19"/>
      <c r="P927" s="622" t="str">
        <f>EUconst_CNTR_FuelInput &amp; I805</f>
        <v>FuelInput_</v>
      </c>
      <c r="Q927" s="343"/>
      <c r="R927" s="343"/>
      <c r="S927" s="343"/>
      <c r="T927" s="7"/>
      <c r="U927" s="349"/>
      <c r="V927" s="349"/>
    </row>
    <row r="928" spans="1:22" s="534" customFormat="1" ht="12.75" customHeight="1" x14ac:dyDescent="0.25">
      <c r="A928" s="343"/>
      <c r="B928" s="15"/>
      <c r="C928" s="15"/>
      <c r="D928" s="1454"/>
      <c r="E928" s="2612" t="str">
        <f>Translations!$B$572</f>
        <v>Viktad emissionsfaktor</v>
      </c>
      <c r="F928" s="2487"/>
      <c r="G928" s="384" t="str">
        <f>EUconst_tCO2pTJ</f>
        <v>t CO2 / TJ</v>
      </c>
      <c r="H928" s="740" t="str">
        <f>IF($I805="","",IF(INDEX(F_ProductBM!H:H,MATCH($P928,F_ProductBM!$Q:$Q,0))="","",INDEX(F_ProductBM!H:H,MATCH($P928,F_ProductBM!$Q:$Q,0))))</f>
        <v/>
      </c>
      <c r="I928" s="1154" t="str">
        <f>IF($I805="","",IF(INDEX(F_ProductBM!I:I,MATCH($P928,F_ProductBM!$Q:$Q,0))="","",INDEX(F_ProductBM!I:I,MATCH($P928,F_ProductBM!$Q:$Q,0))))</f>
        <v/>
      </c>
      <c r="J928" s="1160" t="str">
        <f>IF($I805="","",IF(INDEX(F_ProductBM!J:J,MATCH($P928,F_ProductBM!$Q:$Q,0))="","",INDEX(F_ProductBM!J:J,MATCH($P928,F_ProductBM!$Q:$Q,0))))</f>
        <v/>
      </c>
      <c r="K928" s="740" t="str">
        <f>IF($I805="","",IF(INDEX(F_ProductBM!K:K,MATCH($P928,F_ProductBM!$Q:$Q,0))="","",INDEX(F_ProductBM!K:K,MATCH($P928,F_ProductBM!$Q:$Q,0))))</f>
        <v/>
      </c>
      <c r="L928" s="740" t="str">
        <f>IF($I805="","",IF(INDEX(F_ProductBM!L:L,MATCH($P928,F_ProductBM!$Q:$Q,0))="","",INDEX(F_ProductBM!L:L,MATCH($P928,F_ProductBM!$Q:$Q,0))))</f>
        <v/>
      </c>
      <c r="M928" s="740" t="str">
        <f>IF($I805="","",IF(INDEX(F_ProductBM!M:M,MATCH($P928,F_ProductBM!$Q:$Q,0))="","",INDEX(F_ProductBM!M:M,MATCH($P928,F_ProductBM!$Q:$Q,0))))</f>
        <v/>
      </c>
      <c r="N928" s="1457" t="str">
        <f>IF($I805="","",IF(INDEX(F_ProductBM!N:N,MATCH($P928,F_ProductBM!$Q:$Q,0))="","",INDEX(F_ProductBM!N:N,MATCH($P928,F_ProductBM!$Q:$Q,0))))</f>
        <v/>
      </c>
      <c r="O928" s="19"/>
      <c r="P928" s="298" t="str">
        <f>EUconst_CNTR_FuelEF &amp; I805</f>
        <v>FuelEF_</v>
      </c>
      <c r="Q928" s="343"/>
      <c r="R928" s="343"/>
      <c r="S928" s="343"/>
      <c r="T928" s="7"/>
      <c r="U928" s="349"/>
      <c r="V928" s="349"/>
    </row>
    <row r="929" spans="1:22" s="534" customFormat="1" ht="5.15" customHeight="1" x14ac:dyDescent="0.25">
      <c r="A929" s="343"/>
      <c r="B929" s="15"/>
      <c r="C929" s="15"/>
      <c r="D929" s="1454"/>
      <c r="E929" s="899"/>
      <c r="F929" s="899"/>
      <c r="G929" s="623"/>
      <c r="H929" s="741"/>
      <c r="I929" s="741"/>
      <c r="J929" s="741"/>
      <c r="K929" s="741"/>
      <c r="L929" s="741"/>
      <c r="M929" s="741"/>
      <c r="N929" s="1458"/>
      <c r="O929" s="19"/>
      <c r="P929" s="343"/>
      <c r="Q929" s="343"/>
      <c r="R929" s="343"/>
      <c r="S929" s="343"/>
      <c r="T929" s="7"/>
      <c r="U929" s="349"/>
      <c r="V929" s="349"/>
    </row>
    <row r="930" spans="1:22" s="534" customFormat="1" ht="12.75" customHeight="1" x14ac:dyDescent="0.25">
      <c r="A930" s="343"/>
      <c r="B930" s="15"/>
      <c r="C930" s="15"/>
      <c r="D930" s="1454"/>
      <c r="E930" s="2613" t="str">
        <f>Translations!$B$528</f>
        <v>Direkta utsläpp</v>
      </c>
      <c r="F930" s="1997"/>
      <c r="G930" s="364" t="str">
        <f>EUconst_tCO2pa</f>
        <v>t CO2 / år</v>
      </c>
      <c r="H930" s="742" t="str">
        <f>IF($I805="","",IF(INDEX(F_ProductBM!H:H,MATCH($P930,F_ProductBM!$Q:$Q,0))="","",INDEX(F_ProductBM!H:H,MATCH($P930,F_ProductBM!$Q:$Q,0))))</f>
        <v/>
      </c>
      <c r="I930" s="1021" t="str">
        <f>IF($I805="","",IF(INDEX(F_ProductBM!I:I,MATCH($P930,F_ProductBM!$Q:$Q,0))="","",INDEX(F_ProductBM!I:I,MATCH($P930,F_ProductBM!$Q:$Q,0))))</f>
        <v/>
      </c>
      <c r="J930" s="1158" t="str">
        <f>IF($I805="","",IF(INDEX(F_ProductBM!J:J,MATCH($P930,F_ProductBM!$Q:$Q,0))="","",INDEX(F_ProductBM!J:J,MATCH($P930,F_ProductBM!$Q:$Q,0))))</f>
        <v/>
      </c>
      <c r="K930" s="742" t="str">
        <f>IF($I805="","",IF(INDEX(F_ProductBM!K:K,MATCH($P930,F_ProductBM!$Q:$Q,0))="","",INDEX(F_ProductBM!K:K,MATCH($P930,F_ProductBM!$Q:$Q,0))))</f>
        <v/>
      </c>
      <c r="L930" s="742" t="str">
        <f>IF($I805="","",IF(INDEX(F_ProductBM!L:L,MATCH($P930,F_ProductBM!$Q:$Q,0))="","",INDEX(F_ProductBM!L:L,MATCH($P930,F_ProductBM!$Q:$Q,0))))</f>
        <v/>
      </c>
      <c r="M930" s="742" t="str">
        <f>IF($I805="","",IF(INDEX(F_ProductBM!M:M,MATCH($P930,F_ProductBM!$Q:$Q,0))="","",INDEX(F_ProductBM!M:M,MATCH($P930,F_ProductBM!$Q:$Q,0))))</f>
        <v/>
      </c>
      <c r="N930" s="1459" t="str">
        <f>IF($I805="","",IF(INDEX(F_ProductBM!N:N,MATCH($P930,F_ProductBM!$Q:$Q,0))="","",INDEX(F_ProductBM!N:N,MATCH($P930,F_ProductBM!$Q:$Q,0))))</f>
        <v/>
      </c>
      <c r="O930" s="19"/>
      <c r="P930" s="298" t="str">
        <f>EUconst_CNTR_Emissions &amp; I805</f>
        <v>DirEmissions_</v>
      </c>
      <c r="Q930" s="343"/>
      <c r="R930" s="343"/>
      <c r="S930" s="343"/>
      <c r="T930" s="7"/>
      <c r="U930" s="349"/>
      <c r="V930" s="349"/>
    </row>
    <row r="931" spans="1:22" s="534" customFormat="1" ht="12.75" customHeight="1" x14ac:dyDescent="0.25">
      <c r="A931" s="343"/>
      <c r="B931" s="15"/>
      <c r="C931" s="15"/>
      <c r="D931" s="1454"/>
      <c r="E931" s="2613" t="str">
        <f>Translations!$B$582</f>
        <v>Andra bränsle-/materialmängder – 1</v>
      </c>
      <c r="F931" s="1997"/>
      <c r="G931" s="364" t="str">
        <f>EUconst_tCO2pa</f>
        <v>t CO2 / år</v>
      </c>
      <c r="H931" s="742" t="str">
        <f>IF($I805="","",IF(INDEX(F_ProductBM!H:H,MATCH($P931,F_ProductBM!$Q:$Q,0))="","",INDEX(F_ProductBM!H:H,MATCH($P931,F_ProductBM!$Q:$Q,0))))</f>
        <v/>
      </c>
      <c r="I931" s="1021" t="str">
        <f>IF($I805="","",IF(INDEX(F_ProductBM!I:I,MATCH($P931,F_ProductBM!$Q:$Q,0))="","",INDEX(F_ProductBM!I:I,MATCH($P931,F_ProductBM!$Q:$Q,0))))</f>
        <v/>
      </c>
      <c r="J931" s="1158" t="str">
        <f>IF($I805="","",IF(INDEX(F_ProductBM!J:J,MATCH($P931,F_ProductBM!$Q:$Q,0))="","",INDEX(F_ProductBM!J:J,MATCH($P931,F_ProductBM!$Q:$Q,0))))</f>
        <v/>
      </c>
      <c r="K931" s="742" t="str">
        <f>IF($I805="","",IF(INDEX(F_ProductBM!K:K,MATCH($P931,F_ProductBM!$Q:$Q,0))="","",INDEX(F_ProductBM!K:K,MATCH($P931,F_ProductBM!$Q:$Q,0))))</f>
        <v/>
      </c>
      <c r="L931" s="742" t="str">
        <f>IF($I805="","",IF(INDEX(F_ProductBM!L:L,MATCH($P931,F_ProductBM!$Q:$Q,0))="","",INDEX(F_ProductBM!L:L,MATCH($P931,F_ProductBM!$Q:$Q,0))))</f>
        <v/>
      </c>
      <c r="M931" s="742" t="str">
        <f>IF($I805="","",IF(INDEX(F_ProductBM!M:M,MATCH($P931,F_ProductBM!$Q:$Q,0))="","",INDEX(F_ProductBM!M:M,MATCH($P931,F_ProductBM!$Q:$Q,0))))</f>
        <v/>
      </c>
      <c r="N931" s="1459" t="str">
        <f>IF($I805="","",IF(INDEX(F_ProductBM!N:N,MATCH($P931,F_ProductBM!$Q:$Q,0))="","",INDEX(F_ProductBM!N:N,MATCH($P931,F_ProductBM!$Q:$Q,0))))</f>
        <v/>
      </c>
      <c r="O931" s="19"/>
      <c r="P931" s="298" t="str">
        <f>EUconst_CNTR_EmissionsIntSource1 &amp; I805</f>
        <v>EmInternalSource1_</v>
      </c>
      <c r="Q931" s="343"/>
      <c r="R931" s="343"/>
      <c r="S931" s="343"/>
      <c r="T931" s="7"/>
      <c r="U931" s="349"/>
      <c r="V931" s="349"/>
    </row>
    <row r="932" spans="1:22" s="534" customFormat="1" ht="12.75" customHeight="1" x14ac:dyDescent="0.25">
      <c r="A932" s="343"/>
      <c r="B932" s="15"/>
      <c r="C932" s="15"/>
      <c r="D932" s="1454"/>
      <c r="E932" s="2613" t="str">
        <f>Translations!$B$592</f>
        <v>Andra bränsle-/materialmängder – 2</v>
      </c>
      <c r="F932" s="1997"/>
      <c r="G932" s="364" t="str">
        <f>EUconst_tCO2pa</f>
        <v>t CO2 / år</v>
      </c>
      <c r="H932" s="742" t="str">
        <f>IF($I805="","",IF(INDEX(F_ProductBM!H:H,MATCH($P932,F_ProductBM!$Q:$Q,0))="","",INDEX(F_ProductBM!H:H,MATCH($P932,F_ProductBM!$Q:$Q,0))))</f>
        <v/>
      </c>
      <c r="I932" s="1021" t="str">
        <f>IF($I805="","",IF(INDEX(F_ProductBM!I:I,MATCH($P932,F_ProductBM!$Q:$Q,0))="","",INDEX(F_ProductBM!I:I,MATCH($P932,F_ProductBM!$Q:$Q,0))))</f>
        <v/>
      </c>
      <c r="J932" s="1158" t="str">
        <f>IF($I805="","",IF(INDEX(F_ProductBM!J:J,MATCH($P932,F_ProductBM!$Q:$Q,0))="","",INDEX(F_ProductBM!J:J,MATCH($P932,F_ProductBM!$Q:$Q,0))))</f>
        <v/>
      </c>
      <c r="K932" s="742" t="str">
        <f>IF($I805="","",IF(INDEX(F_ProductBM!K:K,MATCH($P932,F_ProductBM!$Q:$Q,0))="","",INDEX(F_ProductBM!K:K,MATCH($P932,F_ProductBM!$Q:$Q,0))))</f>
        <v/>
      </c>
      <c r="L932" s="742" t="str">
        <f>IF($I805="","",IF(INDEX(F_ProductBM!L:L,MATCH($P932,F_ProductBM!$Q:$Q,0))="","",INDEX(F_ProductBM!L:L,MATCH($P932,F_ProductBM!$Q:$Q,0))))</f>
        <v/>
      </c>
      <c r="M932" s="742" t="str">
        <f>IF($I805="","",IF(INDEX(F_ProductBM!M:M,MATCH($P932,F_ProductBM!$Q:$Q,0))="","",INDEX(F_ProductBM!M:M,MATCH($P932,F_ProductBM!$Q:$Q,0))))</f>
        <v/>
      </c>
      <c r="N932" s="1459" t="str">
        <f>IF($I805="","",IF(INDEX(F_ProductBM!N:N,MATCH($P932,F_ProductBM!$Q:$Q,0))="","",INDEX(F_ProductBM!N:N,MATCH($P932,F_ProductBM!$Q:$Q,0))))</f>
        <v/>
      </c>
      <c r="O932" s="19"/>
      <c r="P932" s="298" t="str">
        <f>EUconst_CNTR_EmissionsIntSource2 &amp; I805</f>
        <v>EmInternalSource2_</v>
      </c>
      <c r="Q932" s="343"/>
      <c r="R932" s="343"/>
      <c r="S932" s="343"/>
      <c r="T932" s="7"/>
      <c r="U932" s="349"/>
      <c r="V932" s="349"/>
    </row>
    <row r="933" spans="1:22" s="534" customFormat="1" ht="12.75" customHeight="1" x14ac:dyDescent="0.25">
      <c r="A933" s="343"/>
      <c r="B933" s="15"/>
      <c r="C933" s="15"/>
      <c r="D933" s="1454"/>
      <c r="E933" s="2613" t="str">
        <f>Translations!$B$596</f>
        <v>Importerade eller exporterade växthusgaser</v>
      </c>
      <c r="F933" s="1997"/>
      <c r="G933" s="364" t="str">
        <f>EUconst_tCO2epa</f>
        <v>t CO2e/år</v>
      </c>
      <c r="H933" s="742" t="str">
        <f>IF($I805="","",IF(INDEX(F_ProductBM!H:H,MATCH($P933,F_ProductBM!$Q:$Q,0))="","",INDEX(F_ProductBM!H:H,MATCH($P933,F_ProductBM!$Q:$Q,0))))</f>
        <v/>
      </c>
      <c r="I933" s="1021" t="str">
        <f>IF($I805="","",IF(INDEX(F_ProductBM!I:I,MATCH($P933,F_ProductBM!$Q:$Q,0))="","",INDEX(F_ProductBM!I:I,MATCH($P933,F_ProductBM!$Q:$Q,0))))</f>
        <v/>
      </c>
      <c r="J933" s="1158" t="str">
        <f>IF($I805="","",IF(INDEX(F_ProductBM!J:J,MATCH($P933,F_ProductBM!$Q:$Q,0))="","",INDEX(F_ProductBM!J:J,MATCH($P933,F_ProductBM!$Q:$Q,0))))</f>
        <v/>
      </c>
      <c r="K933" s="742" t="str">
        <f>IF($I805="","",IF(INDEX(F_ProductBM!K:K,MATCH($P933,F_ProductBM!$Q:$Q,0))="","",INDEX(F_ProductBM!K:K,MATCH($P933,F_ProductBM!$Q:$Q,0))))</f>
        <v/>
      </c>
      <c r="L933" s="742" t="str">
        <f>IF($I805="","",IF(INDEX(F_ProductBM!L:L,MATCH($P933,F_ProductBM!$Q:$Q,0))="","",INDEX(F_ProductBM!L:L,MATCH($P933,F_ProductBM!$Q:$Q,0))))</f>
        <v/>
      </c>
      <c r="M933" s="742" t="str">
        <f>IF($I805="","",IF(INDEX(F_ProductBM!M:M,MATCH($P933,F_ProductBM!$Q:$Q,0))="","",INDEX(F_ProductBM!M:M,MATCH($P933,F_ProductBM!$Q:$Q,0))))</f>
        <v/>
      </c>
      <c r="N933" s="1459" t="str">
        <f>IF($I805="","",IF(INDEX(F_ProductBM!N:N,MATCH($P933,F_ProductBM!$Q:$Q,0))="","",INDEX(F_ProductBM!N:N,MATCH($P933,F_ProductBM!$Q:$Q,0))))</f>
        <v/>
      </c>
      <c r="O933" s="19"/>
      <c r="P933" s="298" t="str">
        <f>EUconst_CNTR_CO2Feedstock &amp; I805</f>
        <v>EmCO2Feedstock_</v>
      </c>
      <c r="Q933" s="343"/>
      <c r="R933" s="343"/>
      <c r="S933" s="343"/>
      <c r="T933" s="7"/>
      <c r="U933" s="349"/>
      <c r="V933" s="349"/>
    </row>
    <row r="934" spans="1:22" s="534" customFormat="1" ht="5.15" customHeight="1" x14ac:dyDescent="0.25">
      <c r="A934" s="343"/>
      <c r="B934" s="15"/>
      <c r="C934" s="15"/>
      <c r="D934" s="1454"/>
      <c r="E934" s="899"/>
      <c r="F934" s="899"/>
      <c r="G934" s="623"/>
      <c r="H934" s="741"/>
      <c r="I934" s="741"/>
      <c r="J934" s="741"/>
      <c r="K934" s="741"/>
      <c r="L934" s="741"/>
      <c r="M934" s="741"/>
      <c r="N934" s="1458"/>
      <c r="O934" s="19"/>
      <c r="P934" s="343"/>
      <c r="Q934" s="343"/>
      <c r="R934" s="343"/>
      <c r="S934" s="343"/>
      <c r="T934" s="7"/>
      <c r="U934" s="349"/>
      <c r="V934" s="349"/>
    </row>
    <row r="935" spans="1:22" s="534" customFormat="1" ht="12.75" customHeight="1" x14ac:dyDescent="0.25">
      <c r="A935" s="343"/>
      <c r="B935" s="15"/>
      <c r="C935" s="15"/>
      <c r="D935" s="1454"/>
      <c r="E935" s="2611" t="str">
        <f>Translations!$B$604</f>
        <v>Nettomängd importerad värme</v>
      </c>
      <c r="F935" s="2484"/>
      <c r="G935" s="365" t="str">
        <f>EUconst_TJpa</f>
        <v>TJ / år</v>
      </c>
      <c r="H935" s="739" t="str">
        <f>IF($I805="","",IF(INDEX(F_ProductBM!H:H,MATCH($P935,F_ProductBM!$Q:$Q,0))="","",INDEX(F_ProductBM!H:H,MATCH($P935,F_ProductBM!$Q:$Q,0))))</f>
        <v/>
      </c>
      <c r="I935" s="1153" t="str">
        <f>IF($I805="","",IF(INDEX(F_ProductBM!I:I,MATCH($P935,F_ProductBM!$Q:$Q,0))="","",INDEX(F_ProductBM!I:I,MATCH($P935,F_ProductBM!$Q:$Q,0))))</f>
        <v/>
      </c>
      <c r="J935" s="1159" t="str">
        <f>IF($I805="","",IF(INDEX(F_ProductBM!J:J,MATCH($P935,F_ProductBM!$Q:$Q,0))="","",INDEX(F_ProductBM!J:J,MATCH($P935,F_ProductBM!$Q:$Q,0))))</f>
        <v/>
      </c>
      <c r="K935" s="739" t="str">
        <f>IF($I805="","",IF(INDEX(F_ProductBM!K:K,MATCH($P935,F_ProductBM!$Q:$Q,0))="","",INDEX(F_ProductBM!K:K,MATCH($P935,F_ProductBM!$Q:$Q,0))))</f>
        <v/>
      </c>
      <c r="L935" s="739" t="str">
        <f>IF($I805="","",IF(INDEX(F_ProductBM!L:L,MATCH($P935,F_ProductBM!$Q:$Q,0))="","",INDEX(F_ProductBM!L:L,MATCH($P935,F_ProductBM!$Q:$Q,0))))</f>
        <v/>
      </c>
      <c r="M935" s="739" t="str">
        <f>IF($I805="","",IF(INDEX(F_ProductBM!M:M,MATCH($P935,F_ProductBM!$Q:$Q,0))="","",INDEX(F_ProductBM!M:M,MATCH($P935,F_ProductBM!$Q:$Q,0))))</f>
        <v/>
      </c>
      <c r="N935" s="1456" t="str">
        <f>IF($I805="","",IF(INDEX(F_ProductBM!N:N,MATCH($P935,F_ProductBM!$Q:$Q,0))="","",INDEX(F_ProductBM!N:N,MATCH($P935,F_ProductBM!$Q:$Q,0))))</f>
        <v/>
      </c>
      <c r="O935" s="19"/>
      <c r="P935" s="298" t="str">
        <f>EUconst_CNTR_HeatImport &amp; I805</f>
        <v>HeatIm_</v>
      </c>
      <c r="Q935" s="343"/>
      <c r="R935" s="343"/>
      <c r="S935" s="343"/>
      <c r="T935" s="7"/>
      <c r="U935" s="349"/>
      <c r="V935" s="349"/>
    </row>
    <row r="936" spans="1:22" s="534" customFormat="1" ht="12.75" customHeight="1" x14ac:dyDescent="0.25">
      <c r="A936" s="343"/>
      <c r="B936" s="15"/>
      <c r="C936" s="15"/>
      <c r="D936" s="1454"/>
      <c r="E936" s="2612" t="str">
        <f>Translations!$B$605</f>
        <v>Särskild emissionsfaktor (importerad värme)</v>
      </c>
      <c r="F936" s="2487"/>
      <c r="G936" s="384" t="str">
        <f>EUconst_tCO2pTJ</f>
        <v>t CO2 / TJ</v>
      </c>
      <c r="H936" s="740" t="str">
        <f>IF($I805="","",IF(INDEX(F_ProductBM!H:H,MATCH($P936,F_ProductBM!$Q:$Q,0))="","",INDEX(F_ProductBM!H:H,MATCH($P936,F_ProductBM!$Q:$Q,0))))</f>
        <v/>
      </c>
      <c r="I936" s="1154" t="str">
        <f>IF($I805="","",IF(INDEX(F_ProductBM!I:I,MATCH($P936,F_ProductBM!$Q:$Q,0))="","",INDEX(F_ProductBM!I:I,MATCH($P936,F_ProductBM!$Q:$Q,0))))</f>
        <v/>
      </c>
      <c r="J936" s="1160" t="str">
        <f>IF($I805="","",IF(INDEX(F_ProductBM!J:J,MATCH($P936,F_ProductBM!$Q:$Q,0))="","",INDEX(F_ProductBM!J:J,MATCH($P936,F_ProductBM!$Q:$Q,0))))</f>
        <v/>
      </c>
      <c r="K936" s="740" t="str">
        <f>IF($I805="","",IF(INDEX(F_ProductBM!K:K,MATCH($P936,F_ProductBM!$Q:$Q,0))="","",INDEX(F_ProductBM!K:K,MATCH($P936,F_ProductBM!$Q:$Q,0))))</f>
        <v/>
      </c>
      <c r="L936" s="740" t="str">
        <f>IF($I805="","",IF(INDEX(F_ProductBM!L:L,MATCH($P936,F_ProductBM!$Q:$Q,0))="","",INDEX(F_ProductBM!L:L,MATCH($P936,F_ProductBM!$Q:$Q,0))))</f>
        <v/>
      </c>
      <c r="M936" s="740" t="str">
        <f>IF($I805="","",IF(INDEX(F_ProductBM!M:M,MATCH($P936,F_ProductBM!$Q:$Q,0))="","",INDEX(F_ProductBM!M:M,MATCH($P936,F_ProductBM!$Q:$Q,0))))</f>
        <v/>
      </c>
      <c r="N936" s="1457" t="str">
        <f>IF($I805="","",IF(INDEX(F_ProductBM!N:N,MATCH($P936,F_ProductBM!$Q:$Q,0))="","",INDEX(F_ProductBM!N:N,MATCH($P936,F_ProductBM!$Q:$Q,0))))</f>
        <v/>
      </c>
      <c r="O936" s="19"/>
      <c r="P936" s="298" t="str">
        <f>EUconst_CNTR_HeatImportEF &amp; I805</f>
        <v>HeatImEF_</v>
      </c>
      <c r="Q936" s="343"/>
      <c r="R936" s="343"/>
      <c r="S936" s="343"/>
      <c r="T936" s="7"/>
      <c r="U936" s="349"/>
      <c r="V936" s="349"/>
    </row>
    <row r="937" spans="1:22" s="534" customFormat="1" ht="5.15" customHeight="1" x14ac:dyDescent="0.25">
      <c r="A937" s="343"/>
      <c r="B937" s="15"/>
      <c r="C937" s="15"/>
      <c r="D937" s="1454"/>
      <c r="E937" s="899"/>
      <c r="F937" s="899"/>
      <c r="G937" s="623"/>
      <c r="H937" s="741"/>
      <c r="I937" s="741"/>
      <c r="J937" s="741"/>
      <c r="K937" s="741"/>
      <c r="L937" s="741"/>
      <c r="M937" s="741"/>
      <c r="N937" s="1458"/>
      <c r="O937" s="19"/>
      <c r="P937" s="7"/>
      <c r="Q937" s="343"/>
      <c r="R937" s="343"/>
      <c r="S937" s="343"/>
      <c r="T937" s="7"/>
      <c r="U937" s="349"/>
      <c r="V937" s="349"/>
    </row>
    <row r="938" spans="1:22" s="534" customFormat="1" ht="12.75" customHeight="1" x14ac:dyDescent="0.25">
      <c r="A938" s="343"/>
      <c r="B938" s="15"/>
      <c r="C938" s="15"/>
      <c r="D938" s="1454"/>
      <c r="E938" s="2613" t="str">
        <f>Translations!$B$659</f>
        <v>Importerad nettovärme från massa</v>
      </c>
      <c r="F938" s="1997"/>
      <c r="G938" s="364" t="str">
        <f>EUconst_TJpa</f>
        <v>TJ / år</v>
      </c>
      <c r="H938" s="742" t="str">
        <f>IF($I805="","",IF(INDEX(F_ProductBM!H:H,MATCH($P938,F_ProductBM!$Q:$Q,0))="","",INDEX(F_ProductBM!H:H,MATCH($P938,F_ProductBM!$Q:$Q,0))))</f>
        <v/>
      </c>
      <c r="I938" s="1021" t="str">
        <f>IF($I805="","",IF(INDEX(F_ProductBM!I:I,MATCH($P938,F_ProductBM!$Q:$Q,0))="","",INDEX(F_ProductBM!I:I,MATCH($P938,F_ProductBM!$Q:$Q,0))))</f>
        <v/>
      </c>
      <c r="J938" s="1158" t="str">
        <f>IF($I805="","",IF(INDEX(F_ProductBM!J:J,MATCH($P938,F_ProductBM!$Q:$Q,0))="","",INDEX(F_ProductBM!J:J,MATCH($P938,F_ProductBM!$Q:$Q,0))))</f>
        <v/>
      </c>
      <c r="K938" s="742" t="str">
        <f>IF($I805="","",IF(INDEX(F_ProductBM!K:K,MATCH($P938,F_ProductBM!$Q:$Q,0))="","",INDEX(F_ProductBM!K:K,MATCH($P938,F_ProductBM!$Q:$Q,0))))</f>
        <v/>
      </c>
      <c r="L938" s="742" t="str">
        <f>IF($I805="","",IF(INDEX(F_ProductBM!L:L,MATCH($P938,F_ProductBM!$Q:$Q,0))="","",INDEX(F_ProductBM!L:L,MATCH($P938,F_ProductBM!$Q:$Q,0))))</f>
        <v/>
      </c>
      <c r="M938" s="742" t="str">
        <f>IF($I805="","",IF(INDEX(F_ProductBM!M:M,MATCH($P938,F_ProductBM!$Q:$Q,0))="","",INDEX(F_ProductBM!M:M,MATCH($P938,F_ProductBM!$Q:$Q,0))))</f>
        <v/>
      </c>
      <c r="N938" s="1459" t="str">
        <f>IF($I805="","",IF(INDEX(F_ProductBM!N:N,MATCH($P938,F_ProductBM!$Q:$Q,0))="","",INDEX(F_ProductBM!N:N,MATCH($P938,F_ProductBM!$Q:$Q,0))))</f>
        <v/>
      </c>
      <c r="O938" s="19"/>
      <c r="P938" s="298" t="str">
        <f>EUconst_CNTR_HeatImportPulp &amp; I805</f>
        <v>HeatImPulp_</v>
      </c>
      <c r="Q938" s="343"/>
      <c r="R938" s="343"/>
      <c r="S938" s="343"/>
      <c r="T938" s="7"/>
      <c r="U938" s="349"/>
      <c r="V938" s="349"/>
    </row>
    <row r="939" spans="1:22" s="534" customFormat="1" ht="12.75" customHeight="1" x14ac:dyDescent="0.25">
      <c r="A939" s="343"/>
      <c r="B939" s="15"/>
      <c r="C939" s="15"/>
      <c r="D939" s="1454"/>
      <c r="E939" s="2613" t="str">
        <f>Translations!$B$608</f>
        <v>Nettomängd importerad värme från delanläggningar för salpetersyra</v>
      </c>
      <c r="F939" s="1997"/>
      <c r="G939" s="364" t="str">
        <f>EUconst_TJpa</f>
        <v>TJ / år</v>
      </c>
      <c r="H939" s="742" t="str">
        <f>IF($I805="","",IF(INDEX(F_ProductBM!H:H,MATCH($P939,F_ProductBM!$Q:$Q,0))="","",INDEX(F_ProductBM!H:H,MATCH($P939,F_ProductBM!$Q:$Q,0))))</f>
        <v/>
      </c>
      <c r="I939" s="1021" t="str">
        <f>IF($I805="","",IF(INDEX(F_ProductBM!I:I,MATCH($P939,F_ProductBM!$Q:$Q,0))="","",INDEX(F_ProductBM!I:I,MATCH($P939,F_ProductBM!$Q:$Q,0))))</f>
        <v/>
      </c>
      <c r="J939" s="1158" t="str">
        <f>IF($I805="","",IF(INDEX(F_ProductBM!J:J,MATCH($P939,F_ProductBM!$Q:$Q,0))="","",INDEX(F_ProductBM!J:J,MATCH($P939,F_ProductBM!$Q:$Q,0))))</f>
        <v/>
      </c>
      <c r="K939" s="742" t="str">
        <f>IF($I805="","",IF(INDEX(F_ProductBM!K:K,MATCH($P939,F_ProductBM!$Q:$Q,0))="","",INDEX(F_ProductBM!K:K,MATCH($P939,F_ProductBM!$Q:$Q,0))))</f>
        <v/>
      </c>
      <c r="L939" s="742" t="str">
        <f>IF($I805="","",IF(INDEX(F_ProductBM!L:L,MATCH($P939,F_ProductBM!$Q:$Q,0))="","",INDEX(F_ProductBM!L:L,MATCH($P939,F_ProductBM!$Q:$Q,0))))</f>
        <v/>
      </c>
      <c r="M939" s="742" t="str">
        <f>IF($I805="","",IF(INDEX(F_ProductBM!M:M,MATCH($P939,F_ProductBM!$Q:$Q,0))="","",INDEX(F_ProductBM!M:M,MATCH($P939,F_ProductBM!$Q:$Q,0))))</f>
        <v/>
      </c>
      <c r="N939" s="1459" t="str">
        <f>IF($I805="","",IF(INDEX(F_ProductBM!N:N,MATCH($P939,F_ProductBM!$Q:$Q,0))="","",INDEX(F_ProductBM!N:N,MATCH($P939,F_ProductBM!$Q:$Q,0))))</f>
        <v/>
      </c>
      <c r="O939" s="19"/>
      <c r="P939" s="298" t="str">
        <f>EUconst_CNTR_HeatImportNitric &amp; I805</f>
        <v>HeatImNitric_</v>
      </c>
      <c r="Q939" s="343"/>
      <c r="R939" s="343"/>
      <c r="S939" s="343"/>
      <c r="T939" s="7"/>
      <c r="U939" s="349"/>
      <c r="V939" s="349"/>
    </row>
    <row r="940" spans="1:22" s="534" customFormat="1" ht="5.15" customHeight="1" x14ac:dyDescent="0.25">
      <c r="A940" s="343"/>
      <c r="B940" s="15"/>
      <c r="C940" s="15"/>
      <c r="D940" s="1454"/>
      <c r="E940" s="899"/>
      <c r="F940" s="899"/>
      <c r="G940" s="416"/>
      <c r="H940" s="741"/>
      <c r="I940" s="741"/>
      <c r="J940" s="741"/>
      <c r="K940" s="741"/>
      <c r="L940" s="741"/>
      <c r="M940" s="741"/>
      <c r="N940" s="1458"/>
      <c r="O940" s="19"/>
      <c r="P940" s="7"/>
      <c r="Q940" s="343"/>
      <c r="R940" s="343"/>
      <c r="S940" s="343"/>
      <c r="T940" s="7"/>
      <c r="U940" s="349"/>
      <c r="V940" s="349"/>
    </row>
    <row r="941" spans="1:22" s="534" customFormat="1" ht="12.75" customHeight="1" x14ac:dyDescent="0.25">
      <c r="A941" s="343"/>
      <c r="B941" s="15"/>
      <c r="C941" s="15"/>
      <c r="D941" s="1454"/>
      <c r="E941" s="2611" t="str">
        <f>Translations!$B$610</f>
        <v>Nettomängd exporterad värme</v>
      </c>
      <c r="F941" s="2484"/>
      <c r="G941" s="365" t="str">
        <f>EUconst_TJpa</f>
        <v>TJ / år</v>
      </c>
      <c r="H941" s="739" t="str">
        <f>IF($I805="","",IF(INDEX(F_ProductBM!H:H,MATCH($P941,F_ProductBM!$Q:$Q,0))="","",INDEX(F_ProductBM!H:H,MATCH($P941,F_ProductBM!$Q:$Q,0))))</f>
        <v/>
      </c>
      <c r="I941" s="1153" t="str">
        <f>IF($I805="","",IF(INDEX(F_ProductBM!I:I,MATCH($P941,F_ProductBM!$Q:$Q,0))="","",INDEX(F_ProductBM!I:I,MATCH($P941,F_ProductBM!$Q:$Q,0))))</f>
        <v/>
      </c>
      <c r="J941" s="1159" t="str">
        <f>IF($I805="","",IF(INDEX(F_ProductBM!J:J,MATCH($P941,F_ProductBM!$Q:$Q,0))="","",INDEX(F_ProductBM!J:J,MATCH($P941,F_ProductBM!$Q:$Q,0))))</f>
        <v/>
      </c>
      <c r="K941" s="739" t="str">
        <f>IF($I805="","",IF(INDEX(F_ProductBM!K:K,MATCH($P941,F_ProductBM!$Q:$Q,0))="","",INDEX(F_ProductBM!K:K,MATCH($P941,F_ProductBM!$Q:$Q,0))))</f>
        <v/>
      </c>
      <c r="L941" s="739" t="str">
        <f>IF($I805="","",IF(INDEX(F_ProductBM!L:L,MATCH($P941,F_ProductBM!$Q:$Q,0))="","",INDEX(F_ProductBM!L:L,MATCH($P941,F_ProductBM!$Q:$Q,0))))</f>
        <v/>
      </c>
      <c r="M941" s="739" t="str">
        <f>IF($I805="","",IF(INDEX(F_ProductBM!M:M,MATCH($P941,F_ProductBM!$Q:$Q,0))="","",INDEX(F_ProductBM!M:M,MATCH($P941,F_ProductBM!$Q:$Q,0))))</f>
        <v/>
      </c>
      <c r="N941" s="1456" t="str">
        <f>IF($I805="","",IF(INDEX(F_ProductBM!N:N,MATCH($P941,F_ProductBM!$Q:$Q,0))="","",INDEX(F_ProductBM!N:N,MATCH($P941,F_ProductBM!$Q:$Q,0))))</f>
        <v/>
      </c>
      <c r="O941" s="19"/>
      <c r="P941" s="298" t="str">
        <f>EUconst_CNTR_HeatExport &amp; I805</f>
        <v>HeatEx_</v>
      </c>
      <c r="Q941" s="343"/>
      <c r="R941" s="343"/>
      <c r="S941" s="343"/>
      <c r="T941" s="7"/>
      <c r="U941" s="349"/>
      <c r="V941" s="349"/>
    </row>
    <row r="942" spans="1:22" s="534" customFormat="1" ht="12.75" customHeight="1" x14ac:dyDescent="0.25">
      <c r="A942" s="343"/>
      <c r="B942" s="15"/>
      <c r="C942" s="15"/>
      <c r="D942" s="1454"/>
      <c r="E942" s="2612" t="str">
        <f>Translations!$B$611</f>
        <v>Särskild emissionsfaktor (exporterad värme)</v>
      </c>
      <c r="F942" s="2487"/>
      <c r="G942" s="384" t="str">
        <f>EUconst_tCO2pTJ</f>
        <v>t CO2 / TJ</v>
      </c>
      <c r="H942" s="740" t="str">
        <f>IF($I805="","",IF(INDEX(F_ProductBM!H:H,MATCH($P942,F_ProductBM!$Q:$Q,0))="","",INDEX(F_ProductBM!H:H,MATCH($P942,F_ProductBM!$Q:$Q,0))))</f>
        <v/>
      </c>
      <c r="I942" s="1154" t="str">
        <f>IF($I805="","",IF(INDEX(F_ProductBM!I:I,MATCH($P942,F_ProductBM!$Q:$Q,0))="","",INDEX(F_ProductBM!I:I,MATCH($P942,F_ProductBM!$Q:$Q,0))))</f>
        <v/>
      </c>
      <c r="J942" s="1160" t="str">
        <f>IF($I805="","",IF(INDEX(F_ProductBM!J:J,MATCH($P942,F_ProductBM!$Q:$Q,0))="","",INDEX(F_ProductBM!J:J,MATCH($P942,F_ProductBM!$Q:$Q,0))))</f>
        <v/>
      </c>
      <c r="K942" s="740" t="str">
        <f>IF($I805="","",IF(INDEX(F_ProductBM!K:K,MATCH($P942,F_ProductBM!$Q:$Q,0))="","",INDEX(F_ProductBM!K:K,MATCH($P942,F_ProductBM!$Q:$Q,0))))</f>
        <v/>
      </c>
      <c r="L942" s="740" t="str">
        <f>IF($I805="","",IF(INDEX(F_ProductBM!L:L,MATCH($P942,F_ProductBM!$Q:$Q,0))="","",INDEX(F_ProductBM!L:L,MATCH($P942,F_ProductBM!$Q:$Q,0))))</f>
        <v/>
      </c>
      <c r="M942" s="740" t="str">
        <f>IF($I805="","",IF(INDEX(F_ProductBM!M:M,MATCH($P942,F_ProductBM!$Q:$Q,0))="","",INDEX(F_ProductBM!M:M,MATCH($P942,F_ProductBM!$Q:$Q,0))))</f>
        <v/>
      </c>
      <c r="N942" s="1457" t="str">
        <f>IF($I805="","",IF(INDEX(F_ProductBM!N:N,MATCH($P942,F_ProductBM!$Q:$Q,0))="","",INDEX(F_ProductBM!N:N,MATCH($P942,F_ProductBM!$Q:$Q,0))))</f>
        <v/>
      </c>
      <c r="O942" s="19"/>
      <c r="P942" s="298" t="str">
        <f>EUconst_CNTR_HeatExportEF &amp; I805</f>
        <v>HeatExEF_</v>
      </c>
      <c r="Q942" s="343"/>
      <c r="R942" s="343"/>
      <c r="S942" s="343"/>
      <c r="T942" s="7"/>
      <c r="U942" s="349"/>
      <c r="V942" s="349"/>
    </row>
    <row r="943" spans="1:22" s="534" customFormat="1" ht="5.15" customHeight="1" x14ac:dyDescent="0.25">
      <c r="A943" s="343"/>
      <c r="B943" s="15"/>
      <c r="C943" s="15"/>
      <c r="D943" s="1454"/>
      <c r="E943" s="899"/>
      <c r="F943" s="899"/>
      <c r="G943" s="416"/>
      <c r="H943" s="741"/>
      <c r="I943" s="741"/>
      <c r="J943" s="741"/>
      <c r="K943" s="741"/>
      <c r="L943" s="741"/>
      <c r="M943" s="741"/>
      <c r="N943" s="1458"/>
      <c r="O943" s="19"/>
      <c r="P943" s="7"/>
      <c r="Q943" s="343"/>
      <c r="R943" s="343"/>
      <c r="S943" s="343"/>
      <c r="T943" s="7"/>
      <c r="U943" s="349"/>
      <c r="V943" s="349"/>
    </row>
    <row r="944" spans="1:22" s="534" customFormat="1" ht="12.75" customHeight="1" x14ac:dyDescent="0.25">
      <c r="A944" s="343"/>
      <c r="B944" s="15"/>
      <c r="C944" s="15"/>
      <c r="D944" s="1454"/>
      <c r="E944" s="2611" t="str">
        <f>Translations!$B$618</f>
        <v>Producerad restgas</v>
      </c>
      <c r="F944" s="2484"/>
      <c r="G944" s="365" t="str">
        <f>EUconst_TJpa</f>
        <v>TJ / år</v>
      </c>
      <c r="H944" s="739" t="str">
        <f>IF($I805="","",IF(INDEX(F_ProductBM!H:H,MATCH($P944,F_ProductBM!$Q:$Q,0))="","",INDEX(F_ProductBM!H:H,MATCH($P944,F_ProductBM!$Q:$Q,0))))</f>
        <v/>
      </c>
      <c r="I944" s="1153" t="str">
        <f>IF($I805="","",IF(INDEX(F_ProductBM!I:I,MATCH($P944,F_ProductBM!$Q:$Q,0))="","",INDEX(F_ProductBM!I:I,MATCH($P944,F_ProductBM!$Q:$Q,0))))</f>
        <v/>
      </c>
      <c r="J944" s="1159" t="str">
        <f>IF($I805="","",IF(INDEX(F_ProductBM!J:J,MATCH($P944,F_ProductBM!$Q:$Q,0))="","",INDEX(F_ProductBM!J:J,MATCH($P944,F_ProductBM!$Q:$Q,0))))</f>
        <v/>
      </c>
      <c r="K944" s="739" t="str">
        <f>IF($I805="","",IF(INDEX(F_ProductBM!K:K,MATCH($P944,F_ProductBM!$Q:$Q,0))="","",INDEX(F_ProductBM!K:K,MATCH($P944,F_ProductBM!$Q:$Q,0))))</f>
        <v/>
      </c>
      <c r="L944" s="739" t="str">
        <f>IF($I805="","",IF(INDEX(F_ProductBM!L:L,MATCH($P944,F_ProductBM!$Q:$Q,0))="","",INDEX(F_ProductBM!L:L,MATCH($P944,F_ProductBM!$Q:$Q,0))))</f>
        <v/>
      </c>
      <c r="M944" s="739" t="str">
        <f>IF($I805="","",IF(INDEX(F_ProductBM!M:M,MATCH($P944,F_ProductBM!$Q:$Q,0))="","",INDEX(F_ProductBM!M:M,MATCH($P944,F_ProductBM!$Q:$Q,0))))</f>
        <v/>
      </c>
      <c r="N944" s="1456" t="str">
        <f>IF($I805="","",IF(INDEX(F_ProductBM!N:N,MATCH($P944,F_ProductBM!$Q:$Q,0))="","",INDEX(F_ProductBM!N:N,MATCH($P944,F_ProductBM!$Q:$Q,0))))</f>
        <v/>
      </c>
      <c r="O944" s="19"/>
      <c r="P944" s="622" t="str">
        <f>EUconst_CNTR_WGProduced &amp; I805</f>
        <v>WasteGasProd_</v>
      </c>
      <c r="Q944" s="343"/>
      <c r="R944" s="343"/>
      <c r="S944" s="343"/>
      <c r="T944" s="7"/>
      <c r="U944" s="349"/>
      <c r="V944" s="349"/>
    </row>
    <row r="945" spans="1:22" s="534" customFormat="1" ht="12.75" customHeight="1" x14ac:dyDescent="0.25">
      <c r="A945" s="343"/>
      <c r="B945" s="15"/>
      <c r="C945" s="15"/>
      <c r="D945" s="1454"/>
      <c r="E945" s="2612" t="str">
        <f>Translations!$B$619</f>
        <v>Särskild emissionsfaktor (producerad restgas)</v>
      </c>
      <c r="F945" s="2487"/>
      <c r="G945" s="384" t="str">
        <f>EUconst_tCO2pTJ</f>
        <v>t CO2 / TJ</v>
      </c>
      <c r="H945" s="740" t="str">
        <f>IF($I805="","",IF(INDEX(F_ProductBM!H:H,MATCH($P945,F_ProductBM!$Q:$Q,0))="","",INDEX(F_ProductBM!H:H,MATCH($P945,F_ProductBM!$Q:$Q,0))))</f>
        <v/>
      </c>
      <c r="I945" s="1154" t="str">
        <f>IF($I805="","",IF(INDEX(F_ProductBM!I:I,MATCH($P945,F_ProductBM!$Q:$Q,0))="","",INDEX(F_ProductBM!I:I,MATCH($P945,F_ProductBM!$Q:$Q,0))))</f>
        <v/>
      </c>
      <c r="J945" s="1160" t="str">
        <f>IF($I805="","",IF(INDEX(F_ProductBM!J:J,MATCH($P945,F_ProductBM!$Q:$Q,0))="","",INDEX(F_ProductBM!J:J,MATCH($P945,F_ProductBM!$Q:$Q,0))))</f>
        <v/>
      </c>
      <c r="K945" s="740" t="str">
        <f>IF($I805="","",IF(INDEX(F_ProductBM!K:K,MATCH($P945,F_ProductBM!$Q:$Q,0))="","",INDEX(F_ProductBM!K:K,MATCH($P945,F_ProductBM!$Q:$Q,0))))</f>
        <v/>
      </c>
      <c r="L945" s="740" t="str">
        <f>IF($I805="","",IF(INDEX(F_ProductBM!L:L,MATCH($P945,F_ProductBM!$Q:$Q,0))="","",INDEX(F_ProductBM!L:L,MATCH($P945,F_ProductBM!$Q:$Q,0))))</f>
        <v/>
      </c>
      <c r="M945" s="740" t="str">
        <f>IF($I805="","",IF(INDEX(F_ProductBM!M:M,MATCH($P945,F_ProductBM!$Q:$Q,0))="","",INDEX(F_ProductBM!M:M,MATCH($P945,F_ProductBM!$Q:$Q,0))))</f>
        <v/>
      </c>
      <c r="N945" s="1457" t="str">
        <f>IF($I805="","",IF(INDEX(F_ProductBM!N:N,MATCH($P945,F_ProductBM!$Q:$Q,0))="","",INDEX(F_ProductBM!N:N,MATCH($P945,F_ProductBM!$Q:$Q,0))))</f>
        <v/>
      </c>
      <c r="O945" s="19"/>
      <c r="P945" s="298" t="str">
        <f>EUconst_CNTR_WGProducedEF &amp; I805</f>
        <v>WasteGasProdEF_</v>
      </c>
      <c r="Q945" s="343"/>
      <c r="R945" s="343"/>
      <c r="S945" s="343"/>
      <c r="T945" s="7"/>
      <c r="U945" s="349"/>
      <c r="V945" s="349"/>
    </row>
    <row r="946" spans="1:22" s="534" customFormat="1" ht="12.75" customHeight="1" x14ac:dyDescent="0.25">
      <c r="A946" s="343"/>
      <c r="B946" s="15"/>
      <c r="C946" s="15"/>
      <c r="D946" s="1454"/>
      <c r="E946" s="2611" t="str">
        <f>Translations!$B$623</f>
        <v>Förbrukad restgas</v>
      </c>
      <c r="F946" s="2484"/>
      <c r="G946" s="365" t="str">
        <f>EUconst_TJpa</f>
        <v>TJ / år</v>
      </c>
      <c r="H946" s="739" t="str">
        <f>IF($I805="","",IF(INDEX(F_ProductBM!H:H,MATCH($P946,F_ProductBM!$Q:$Q,0))="","",INDEX(F_ProductBM!H:H,MATCH($P946,F_ProductBM!$Q:$Q,0))))</f>
        <v/>
      </c>
      <c r="I946" s="1153" t="str">
        <f>IF($I805="","",IF(INDEX(F_ProductBM!I:I,MATCH($P946,F_ProductBM!$Q:$Q,0))="","",INDEX(F_ProductBM!I:I,MATCH($P946,F_ProductBM!$Q:$Q,0))))</f>
        <v/>
      </c>
      <c r="J946" s="1159" t="str">
        <f>IF($I805="","",IF(INDEX(F_ProductBM!J:J,MATCH($P946,F_ProductBM!$Q:$Q,0))="","",INDEX(F_ProductBM!J:J,MATCH($P946,F_ProductBM!$Q:$Q,0))))</f>
        <v/>
      </c>
      <c r="K946" s="739" t="str">
        <f>IF($I805="","",IF(INDEX(F_ProductBM!K:K,MATCH($P946,F_ProductBM!$Q:$Q,0))="","",INDEX(F_ProductBM!K:K,MATCH($P946,F_ProductBM!$Q:$Q,0))))</f>
        <v/>
      </c>
      <c r="L946" s="739" t="str">
        <f>IF($I805="","",IF(INDEX(F_ProductBM!L:L,MATCH($P946,F_ProductBM!$Q:$Q,0))="","",INDEX(F_ProductBM!L:L,MATCH($P946,F_ProductBM!$Q:$Q,0))))</f>
        <v/>
      </c>
      <c r="M946" s="739" t="str">
        <f>IF($I805="","",IF(INDEX(F_ProductBM!M:M,MATCH($P946,F_ProductBM!$Q:$Q,0))="","",INDEX(F_ProductBM!M:M,MATCH($P946,F_ProductBM!$Q:$Q,0))))</f>
        <v/>
      </c>
      <c r="N946" s="1456" t="str">
        <f>IF($I805="","",IF(INDEX(F_ProductBM!N:N,MATCH($P946,F_ProductBM!$Q:$Q,0))="","",INDEX(F_ProductBM!N:N,MATCH($P946,F_ProductBM!$Q:$Q,0))))</f>
        <v/>
      </c>
      <c r="O946" s="19"/>
      <c r="P946" s="298" t="str">
        <f>EUconst_CNTR_WGConsumed &amp; I805</f>
        <v>WasteGasCons_</v>
      </c>
      <c r="Q946" s="343"/>
      <c r="R946" s="343"/>
      <c r="S946" s="343"/>
      <c r="T946" s="7"/>
      <c r="U946" s="349"/>
      <c r="V946" s="349"/>
    </row>
    <row r="947" spans="1:22" s="534" customFormat="1" ht="12.75" customHeight="1" x14ac:dyDescent="0.25">
      <c r="A947" s="343"/>
      <c r="B947" s="15"/>
      <c r="C947" s="15"/>
      <c r="D947" s="1454"/>
      <c r="E947" s="2612" t="str">
        <f>Translations!$B$624</f>
        <v>Särskild emissionsfaktor (förbrukad restgas)</v>
      </c>
      <c r="F947" s="2487"/>
      <c r="G947" s="384" t="str">
        <f>EUconst_tCO2pTJ</f>
        <v>t CO2 / TJ</v>
      </c>
      <c r="H947" s="740" t="str">
        <f>IF($I805="","",IF(INDEX(F_ProductBM!H:H,MATCH($P947,F_ProductBM!$Q:$Q,0))="","",INDEX(F_ProductBM!H:H,MATCH($P947,F_ProductBM!$Q:$Q,0))))</f>
        <v/>
      </c>
      <c r="I947" s="1154" t="str">
        <f>IF($I805="","",IF(INDEX(F_ProductBM!I:I,MATCH($P947,F_ProductBM!$Q:$Q,0))="","",INDEX(F_ProductBM!I:I,MATCH($P947,F_ProductBM!$Q:$Q,0))))</f>
        <v/>
      </c>
      <c r="J947" s="1160" t="str">
        <f>IF($I805="","",IF(INDEX(F_ProductBM!J:J,MATCH($P947,F_ProductBM!$Q:$Q,0))="","",INDEX(F_ProductBM!J:J,MATCH($P947,F_ProductBM!$Q:$Q,0))))</f>
        <v/>
      </c>
      <c r="K947" s="740" t="str">
        <f>IF($I805="","",IF(INDEX(F_ProductBM!K:K,MATCH($P947,F_ProductBM!$Q:$Q,0))="","",INDEX(F_ProductBM!K:K,MATCH($P947,F_ProductBM!$Q:$Q,0))))</f>
        <v/>
      </c>
      <c r="L947" s="740" t="str">
        <f>IF($I805="","",IF(INDEX(F_ProductBM!L:L,MATCH($P947,F_ProductBM!$Q:$Q,0))="","",INDEX(F_ProductBM!L:L,MATCH($P947,F_ProductBM!$Q:$Q,0))))</f>
        <v/>
      </c>
      <c r="M947" s="740" t="str">
        <f>IF($I805="","",IF(INDEX(F_ProductBM!M:M,MATCH($P947,F_ProductBM!$Q:$Q,0))="","",INDEX(F_ProductBM!M:M,MATCH($P947,F_ProductBM!$Q:$Q,0))))</f>
        <v/>
      </c>
      <c r="N947" s="1457" t="str">
        <f>IF($I805="","",IF(INDEX(F_ProductBM!N:N,MATCH($P947,F_ProductBM!$Q:$Q,0))="","",INDEX(F_ProductBM!N:N,MATCH($P947,F_ProductBM!$Q:$Q,0))))</f>
        <v/>
      </c>
      <c r="O947" s="19"/>
      <c r="P947" s="298" t="str">
        <f>EUconst_CNTR_WGConsumedEF &amp; I805</f>
        <v>WasteGasConsEF_</v>
      </c>
      <c r="Q947" s="343"/>
      <c r="R947" s="343"/>
      <c r="S947" s="343"/>
      <c r="T947" s="7"/>
      <c r="U947" s="349"/>
      <c r="V947" s="349"/>
    </row>
    <row r="948" spans="1:22" s="534" customFormat="1" ht="12.75" customHeight="1" x14ac:dyDescent="0.25">
      <c r="A948" s="343"/>
      <c r="B948" s="15"/>
      <c r="C948" s="15"/>
      <c r="D948" s="1454"/>
      <c r="E948" s="2611" t="str">
        <f>Translations!$B$630</f>
        <v>Facklad restgas</v>
      </c>
      <c r="F948" s="2484"/>
      <c r="G948" s="365" t="str">
        <f>EUconst_TJpa</f>
        <v>TJ / år</v>
      </c>
      <c r="H948" s="739" t="str">
        <f>IF($I805="","",IF(INDEX(F_ProductBM!H:H,MATCH($P948,F_ProductBM!$Q:$Q,0))="","",INDEX(F_ProductBM!H:H,MATCH($P948,F_ProductBM!$Q:$Q,0))))</f>
        <v/>
      </c>
      <c r="I948" s="1153" t="str">
        <f>IF($I805="","",IF(INDEX(F_ProductBM!I:I,MATCH($P948,F_ProductBM!$Q:$Q,0))="","",INDEX(F_ProductBM!I:I,MATCH($P948,F_ProductBM!$Q:$Q,0))))</f>
        <v/>
      </c>
      <c r="J948" s="1159" t="str">
        <f>IF($I805="","",IF(INDEX(F_ProductBM!J:J,MATCH($P948,F_ProductBM!$Q:$Q,0))="","",INDEX(F_ProductBM!J:J,MATCH($P948,F_ProductBM!$Q:$Q,0))))</f>
        <v/>
      </c>
      <c r="K948" s="739" t="str">
        <f>IF($I805="","",IF(INDEX(F_ProductBM!K:K,MATCH($P948,F_ProductBM!$Q:$Q,0))="","",INDEX(F_ProductBM!K:K,MATCH($P948,F_ProductBM!$Q:$Q,0))))</f>
        <v/>
      </c>
      <c r="L948" s="739" t="str">
        <f>IF($I805="","",IF(INDEX(F_ProductBM!L:L,MATCH($P948,F_ProductBM!$Q:$Q,0))="","",INDEX(F_ProductBM!L:L,MATCH($P948,F_ProductBM!$Q:$Q,0))))</f>
        <v/>
      </c>
      <c r="M948" s="739" t="str">
        <f>IF($I805="","",IF(INDEX(F_ProductBM!M:M,MATCH($P948,F_ProductBM!$Q:$Q,0))="","",INDEX(F_ProductBM!M:M,MATCH($P948,F_ProductBM!$Q:$Q,0))))</f>
        <v/>
      </c>
      <c r="N948" s="1456" t="str">
        <f>IF($I805="","",IF(INDEX(F_ProductBM!N:N,MATCH($P948,F_ProductBM!$Q:$Q,0))="","",INDEX(F_ProductBM!N:N,MATCH($P948,F_ProductBM!$Q:$Q,0))))</f>
        <v/>
      </c>
      <c r="O948" s="19"/>
      <c r="P948" s="298" t="str">
        <f>EUconst_CNTR_WGFlared &amp; I805</f>
        <v>WasteGasFlare_</v>
      </c>
      <c r="Q948" s="343"/>
      <c r="R948" s="343"/>
      <c r="S948" s="343"/>
      <c r="T948" s="7"/>
      <c r="U948" s="349"/>
      <c r="V948" s="349"/>
    </row>
    <row r="949" spans="1:22" s="534" customFormat="1" ht="12.75" customHeight="1" x14ac:dyDescent="0.25">
      <c r="A949" s="343"/>
      <c r="B949" s="15"/>
      <c r="C949" s="15"/>
      <c r="D949" s="1454"/>
      <c r="E949" s="2612" t="str">
        <f>Translations!$B$631</f>
        <v>Särskild emissionsfaktor (facklad restgas)</v>
      </c>
      <c r="F949" s="2487"/>
      <c r="G949" s="384" t="str">
        <f>EUconst_tCO2pTJ</f>
        <v>t CO2 / TJ</v>
      </c>
      <c r="H949" s="740" t="str">
        <f>IF($I805="","",IF(INDEX(F_ProductBM!H:H,MATCH($P949,F_ProductBM!$Q:$Q,0))="","",INDEX(F_ProductBM!H:H,MATCH($P949,F_ProductBM!$Q:$Q,0))))</f>
        <v/>
      </c>
      <c r="I949" s="1154" t="str">
        <f>IF($I805="","",IF(INDEX(F_ProductBM!I:I,MATCH($P949,F_ProductBM!$Q:$Q,0))="","",INDEX(F_ProductBM!I:I,MATCH($P949,F_ProductBM!$Q:$Q,0))))</f>
        <v/>
      </c>
      <c r="J949" s="1160" t="str">
        <f>IF($I805="","",IF(INDEX(F_ProductBM!J:J,MATCH($P949,F_ProductBM!$Q:$Q,0))="","",INDEX(F_ProductBM!J:J,MATCH($P949,F_ProductBM!$Q:$Q,0))))</f>
        <v/>
      </c>
      <c r="K949" s="740" t="str">
        <f>IF($I805="","",IF(INDEX(F_ProductBM!K:K,MATCH($P949,F_ProductBM!$Q:$Q,0))="","",INDEX(F_ProductBM!K:K,MATCH($P949,F_ProductBM!$Q:$Q,0))))</f>
        <v/>
      </c>
      <c r="L949" s="740" t="str">
        <f>IF($I805="","",IF(INDEX(F_ProductBM!L:L,MATCH($P949,F_ProductBM!$Q:$Q,0))="","",INDEX(F_ProductBM!L:L,MATCH($P949,F_ProductBM!$Q:$Q,0))))</f>
        <v/>
      </c>
      <c r="M949" s="740" t="str">
        <f>IF($I805="","",IF(INDEX(F_ProductBM!M:M,MATCH($P949,F_ProductBM!$Q:$Q,0))="","",INDEX(F_ProductBM!M:M,MATCH($P949,F_ProductBM!$Q:$Q,0))))</f>
        <v/>
      </c>
      <c r="N949" s="1457" t="str">
        <f>IF($I805="","",IF(INDEX(F_ProductBM!N:N,MATCH($P949,F_ProductBM!$Q:$Q,0))="","",INDEX(F_ProductBM!N:N,MATCH($P949,F_ProductBM!$Q:$Q,0))))</f>
        <v/>
      </c>
      <c r="O949" s="19"/>
      <c r="P949" s="298" t="str">
        <f>EUconst_CNTR_WGFlaredEF &amp; I805</f>
        <v>WasteGasFlareEF_</v>
      </c>
      <c r="Q949" s="343"/>
      <c r="R949" s="343"/>
      <c r="S949" s="343"/>
      <c r="T949" s="7"/>
      <c r="U949" s="349"/>
      <c r="V949" s="349"/>
    </row>
    <row r="950" spans="1:22" s="534" customFormat="1" ht="12.75" customHeight="1" x14ac:dyDescent="0.25">
      <c r="A950" s="343"/>
      <c r="B950" s="15"/>
      <c r="C950" s="15"/>
      <c r="D950" s="1454"/>
      <c r="E950" s="2611" t="str">
        <f>Translations!$B$636</f>
        <v>Importerad restgas</v>
      </c>
      <c r="F950" s="2484"/>
      <c r="G950" s="365" t="str">
        <f>EUconst_TJpa</f>
        <v>TJ / år</v>
      </c>
      <c r="H950" s="739" t="str">
        <f>IF($I805="","",IF(INDEX(F_ProductBM!H:H,MATCH($P950,F_ProductBM!$Q:$Q,0))="","",INDEX(F_ProductBM!H:H,MATCH($P950,F_ProductBM!$Q:$Q,0))))</f>
        <v/>
      </c>
      <c r="I950" s="1153" t="str">
        <f>IF($I805="","",IF(INDEX(F_ProductBM!I:I,MATCH($P950,F_ProductBM!$Q:$Q,0))="","",INDEX(F_ProductBM!I:I,MATCH($P950,F_ProductBM!$Q:$Q,0))))</f>
        <v/>
      </c>
      <c r="J950" s="1159" t="str">
        <f>IF($I805="","",IF(INDEX(F_ProductBM!J:J,MATCH($P950,F_ProductBM!$Q:$Q,0))="","",INDEX(F_ProductBM!J:J,MATCH($P950,F_ProductBM!$Q:$Q,0))))</f>
        <v/>
      </c>
      <c r="K950" s="739" t="str">
        <f>IF($I805="","",IF(INDEX(F_ProductBM!K:K,MATCH($P950,F_ProductBM!$Q:$Q,0))="","",INDEX(F_ProductBM!K:K,MATCH($P950,F_ProductBM!$Q:$Q,0))))</f>
        <v/>
      </c>
      <c r="L950" s="739" t="str">
        <f>IF($I805="","",IF(INDEX(F_ProductBM!L:L,MATCH($P950,F_ProductBM!$Q:$Q,0))="","",INDEX(F_ProductBM!L:L,MATCH($P950,F_ProductBM!$Q:$Q,0))))</f>
        <v/>
      </c>
      <c r="M950" s="739" t="str">
        <f>IF($I805="","",IF(INDEX(F_ProductBM!M:M,MATCH($P950,F_ProductBM!$Q:$Q,0))="","",INDEX(F_ProductBM!M:M,MATCH($P950,F_ProductBM!$Q:$Q,0))))</f>
        <v/>
      </c>
      <c r="N950" s="1456" t="str">
        <f>IF($I805="","",IF(INDEX(F_ProductBM!N:N,MATCH($P950,F_ProductBM!$Q:$Q,0))="","",INDEX(F_ProductBM!N:N,MATCH($P950,F_ProductBM!$Q:$Q,0))))</f>
        <v/>
      </c>
      <c r="O950" s="19"/>
      <c r="P950" s="298" t="str">
        <f>EUconst_CNTR_WGImport &amp; I805</f>
        <v>WasteGasIm_</v>
      </c>
      <c r="Q950" s="343"/>
      <c r="R950" s="343"/>
      <c r="S950" s="343"/>
      <c r="T950" s="7"/>
      <c r="U950" s="349"/>
      <c r="V950" s="349"/>
    </row>
    <row r="951" spans="1:22" s="534" customFormat="1" ht="12.75" customHeight="1" x14ac:dyDescent="0.25">
      <c r="A951" s="343"/>
      <c r="B951" s="15"/>
      <c r="C951" s="15"/>
      <c r="D951" s="1454"/>
      <c r="E951" s="1776" t="str">
        <f>Translations!$B$637</f>
        <v>Särskild emissionsfaktor (importerad restgas)</v>
      </c>
      <c r="F951" s="1776"/>
      <c r="G951" s="624" t="str">
        <f>EUconst_tCO2pTJ</f>
        <v>t CO2 / TJ</v>
      </c>
      <c r="H951" s="740" t="str">
        <f>IF($I805="","",IF(INDEX(F_ProductBM!H:H,MATCH($P951,F_ProductBM!$Q:$Q,0))="","",INDEX(F_ProductBM!H:H,MATCH($P951,F_ProductBM!$Q:$Q,0))))</f>
        <v/>
      </c>
      <c r="I951" s="1154" t="str">
        <f>IF($I805="","",IF(INDEX(F_ProductBM!I:I,MATCH($P951,F_ProductBM!$Q:$Q,0))="","",INDEX(F_ProductBM!I:I,MATCH($P951,F_ProductBM!$Q:$Q,0))))</f>
        <v/>
      </c>
      <c r="J951" s="1160" t="str">
        <f>IF($I805="","",IF(INDEX(F_ProductBM!J:J,MATCH($P951,F_ProductBM!$Q:$Q,0))="","",INDEX(F_ProductBM!J:J,MATCH($P951,F_ProductBM!$Q:$Q,0))))</f>
        <v/>
      </c>
      <c r="K951" s="740" t="str">
        <f>IF($I805="","",IF(INDEX(F_ProductBM!K:K,MATCH($P951,F_ProductBM!$Q:$Q,0))="","",INDEX(F_ProductBM!K:K,MATCH($P951,F_ProductBM!$Q:$Q,0))))</f>
        <v/>
      </c>
      <c r="L951" s="740" t="str">
        <f>IF($I805="","",IF(INDEX(F_ProductBM!L:L,MATCH($P951,F_ProductBM!$Q:$Q,0))="","",INDEX(F_ProductBM!L:L,MATCH($P951,F_ProductBM!$Q:$Q,0))))</f>
        <v/>
      </c>
      <c r="M951" s="740" t="str">
        <f>IF($I805="","",IF(INDEX(F_ProductBM!M:M,MATCH($P951,F_ProductBM!$Q:$Q,0))="","",INDEX(F_ProductBM!M:M,MATCH($P951,F_ProductBM!$Q:$Q,0))))</f>
        <v/>
      </c>
      <c r="N951" s="1457" t="str">
        <f>IF($I805="","",IF(INDEX(F_ProductBM!N:N,MATCH($P951,F_ProductBM!$Q:$Q,0))="","",INDEX(F_ProductBM!N:N,MATCH($P951,F_ProductBM!$Q:$Q,0))))</f>
        <v/>
      </c>
      <c r="O951" s="19"/>
      <c r="P951" s="298" t="str">
        <f>EUconst_CNTR_WGImportEF &amp; I805</f>
        <v>WasteGasImEF_</v>
      </c>
      <c r="Q951" s="343"/>
      <c r="R951" s="343"/>
      <c r="S951" s="343"/>
      <c r="T951" s="7"/>
      <c r="U951" s="349"/>
      <c r="V951" s="349"/>
    </row>
    <row r="952" spans="1:22" s="534" customFormat="1" ht="12.75" customHeight="1" x14ac:dyDescent="0.25">
      <c r="A952" s="343"/>
      <c r="B952" s="15"/>
      <c r="C952" s="15"/>
      <c r="D952" s="1454"/>
      <c r="E952" s="2611" t="str">
        <f>Translations!$B$641</f>
        <v>Exporterad restgas</v>
      </c>
      <c r="F952" s="2484"/>
      <c r="G952" s="365" t="str">
        <f>EUconst_TJpa</f>
        <v>TJ / år</v>
      </c>
      <c r="H952" s="739" t="str">
        <f>IF($I805="","",IF(INDEX(F_ProductBM!H:H,MATCH($P952,F_ProductBM!$Q:$Q,0))="","",INDEX(F_ProductBM!H:H,MATCH($P952,F_ProductBM!$Q:$Q,0))))</f>
        <v/>
      </c>
      <c r="I952" s="1153" t="str">
        <f>IF($I805="","",IF(INDEX(F_ProductBM!I:I,MATCH($P952,F_ProductBM!$Q:$Q,0))="","",INDEX(F_ProductBM!I:I,MATCH($P952,F_ProductBM!$Q:$Q,0))))</f>
        <v/>
      </c>
      <c r="J952" s="1159" t="str">
        <f>IF($I805="","",IF(INDEX(F_ProductBM!J:J,MATCH($P952,F_ProductBM!$Q:$Q,0))="","",INDEX(F_ProductBM!J:J,MATCH($P952,F_ProductBM!$Q:$Q,0))))</f>
        <v/>
      </c>
      <c r="K952" s="739" t="str">
        <f>IF($I805="","",IF(INDEX(F_ProductBM!K:K,MATCH($P952,F_ProductBM!$Q:$Q,0))="","",INDEX(F_ProductBM!K:K,MATCH($P952,F_ProductBM!$Q:$Q,0))))</f>
        <v/>
      </c>
      <c r="L952" s="739" t="str">
        <f>IF($I805="","",IF(INDEX(F_ProductBM!L:L,MATCH($P952,F_ProductBM!$Q:$Q,0))="","",INDEX(F_ProductBM!L:L,MATCH($P952,F_ProductBM!$Q:$Q,0))))</f>
        <v/>
      </c>
      <c r="M952" s="739" t="str">
        <f>IF($I805="","",IF(INDEX(F_ProductBM!M:M,MATCH($P952,F_ProductBM!$Q:$Q,0))="","",INDEX(F_ProductBM!M:M,MATCH($P952,F_ProductBM!$Q:$Q,0))))</f>
        <v/>
      </c>
      <c r="N952" s="1456" t="str">
        <f>IF($I805="","",IF(INDEX(F_ProductBM!N:N,MATCH($P952,F_ProductBM!$Q:$Q,0))="","",INDEX(F_ProductBM!N:N,MATCH($P952,F_ProductBM!$Q:$Q,0))))</f>
        <v/>
      </c>
      <c r="O952" s="19"/>
      <c r="P952" s="298" t="str">
        <f>EUconst_CNTR_WGExport &amp; I805</f>
        <v>WasteGasEx_</v>
      </c>
      <c r="Q952" s="343"/>
      <c r="R952" s="343"/>
      <c r="S952" s="343"/>
      <c r="T952" s="7"/>
      <c r="U952" s="349"/>
      <c r="V952" s="349"/>
    </row>
    <row r="953" spans="1:22" s="534" customFormat="1" ht="12.75" customHeight="1" x14ac:dyDescent="0.25">
      <c r="A953" s="343"/>
      <c r="B953" s="15"/>
      <c r="C953" s="15"/>
      <c r="D953" s="1454"/>
      <c r="E953" s="2612" t="str">
        <f>Translations!$B$642</f>
        <v>Särskild emissionsfaktor (exporterad restgas)</v>
      </c>
      <c r="F953" s="2487"/>
      <c r="G953" s="624" t="str">
        <f>EUconst_tCO2pTJ</f>
        <v>t CO2 / TJ</v>
      </c>
      <c r="H953" s="740" t="str">
        <f>IF($I805="","",IF(INDEX(F_ProductBM!H:H,MATCH($P953,F_ProductBM!$Q:$Q,0))="","",INDEX(F_ProductBM!H:H,MATCH($P953,F_ProductBM!$Q:$Q,0))))</f>
        <v/>
      </c>
      <c r="I953" s="1154" t="str">
        <f>IF($I805="","",IF(INDEX(F_ProductBM!I:I,MATCH($P953,F_ProductBM!$Q:$Q,0))="","",INDEX(F_ProductBM!I:I,MATCH($P953,F_ProductBM!$Q:$Q,0))))</f>
        <v/>
      </c>
      <c r="J953" s="1160" t="str">
        <f>IF($I805="","",IF(INDEX(F_ProductBM!J:J,MATCH($P953,F_ProductBM!$Q:$Q,0))="","",INDEX(F_ProductBM!J:J,MATCH($P953,F_ProductBM!$Q:$Q,0))))</f>
        <v/>
      </c>
      <c r="K953" s="740" t="str">
        <f>IF($I805="","",IF(INDEX(F_ProductBM!K:K,MATCH($P953,F_ProductBM!$Q:$Q,0))="","",INDEX(F_ProductBM!K:K,MATCH($P953,F_ProductBM!$Q:$Q,0))))</f>
        <v/>
      </c>
      <c r="L953" s="740" t="str">
        <f>IF($I805="","",IF(INDEX(F_ProductBM!L:L,MATCH($P953,F_ProductBM!$Q:$Q,0))="","",INDEX(F_ProductBM!L:L,MATCH($P953,F_ProductBM!$Q:$Q,0))))</f>
        <v/>
      </c>
      <c r="M953" s="740" t="str">
        <f>IF($I805="","",IF(INDEX(F_ProductBM!M:M,MATCH($P953,F_ProductBM!$Q:$Q,0))="","",INDEX(F_ProductBM!M:M,MATCH($P953,F_ProductBM!$Q:$Q,0))))</f>
        <v/>
      </c>
      <c r="N953" s="1457" t="str">
        <f>IF($I805="","",IF(INDEX(F_ProductBM!N:N,MATCH($P953,F_ProductBM!$Q:$Q,0))="","",INDEX(F_ProductBM!N:N,MATCH($P953,F_ProductBM!$Q:$Q,0))))</f>
        <v/>
      </c>
      <c r="O953" s="19"/>
      <c r="P953" s="298" t="str">
        <f>EUconst_CNTR_WGExportEF &amp; I805</f>
        <v>WasteGasExEF_</v>
      </c>
      <c r="Q953" s="343"/>
      <c r="R953" s="343"/>
      <c r="S953" s="343"/>
      <c r="T953" s="7"/>
      <c r="U953" s="349"/>
      <c r="V953" s="349"/>
    </row>
    <row r="954" spans="1:22" s="534" customFormat="1" ht="5.15" customHeight="1" x14ac:dyDescent="0.25">
      <c r="A954" s="343"/>
      <c r="B954" s="15"/>
      <c r="C954" s="15"/>
      <c r="D954" s="1454"/>
      <c r="E954" s="899"/>
      <c r="F954" s="899"/>
      <c r="G954" s="416"/>
      <c r="H954" s="741"/>
      <c r="I954" s="741"/>
      <c r="J954" s="741"/>
      <c r="K954" s="741"/>
      <c r="L954" s="741"/>
      <c r="M954" s="741"/>
      <c r="N954" s="1458"/>
      <c r="O954" s="19"/>
      <c r="P954" s="7"/>
      <c r="Q954" s="343"/>
      <c r="R954" s="343"/>
      <c r="S954" s="343"/>
      <c r="T954" s="7"/>
      <c r="U954" s="349"/>
      <c r="V954" s="349"/>
    </row>
    <row r="955" spans="1:22" s="534" customFormat="1" ht="12.75" customHeight="1" x14ac:dyDescent="0.25">
      <c r="A955" s="343"/>
      <c r="B955" s="15"/>
      <c r="C955" s="15"/>
      <c r="D955" s="1454"/>
      <c r="E955" s="2613" t="str">
        <f>Translations!$B$530</f>
        <v>Relevant elförbrukning</v>
      </c>
      <c r="F955" s="1997"/>
      <c r="G955" s="364" t="str">
        <f>EUconst_MWhpa</f>
        <v>MWh / år</v>
      </c>
      <c r="H955" s="742" t="str">
        <f>IF($I805="","",IF(INDEX(F_ProductBM!H:H,MATCH($P955,F_ProductBM!$R:$R,0))="","",INDEX(F_ProductBM!H:H,MATCH($P955,F_ProductBM!$R:$R,0))))</f>
        <v/>
      </c>
      <c r="I955" s="1021" t="str">
        <f>IF($I805="","",IF(INDEX(F_ProductBM!I:I,MATCH($P955,F_ProductBM!$R:$R,0))="","",INDEX(F_ProductBM!I:I,MATCH($P955,F_ProductBM!$R:$R,0))))</f>
        <v/>
      </c>
      <c r="J955" s="1158" t="str">
        <f>IF($I805="","",IF(INDEX(F_ProductBM!J:J,MATCH($P955,F_ProductBM!$R:$R,0))="","",INDEX(F_ProductBM!J:J,MATCH($P955,F_ProductBM!$R:$R,0))))</f>
        <v/>
      </c>
      <c r="K955" s="742" t="str">
        <f>IF($I805="","",IF(INDEX(F_ProductBM!K:K,MATCH($P955,F_ProductBM!$R:$R,0))="","",INDEX(F_ProductBM!K:K,MATCH($P955,F_ProductBM!$R:$R,0))))</f>
        <v/>
      </c>
      <c r="L955" s="742" t="str">
        <f>IF($I805="","",IF(INDEX(F_ProductBM!L:L,MATCH($P955,F_ProductBM!$R:$R,0))="","",INDEX(F_ProductBM!L:L,MATCH($P955,F_ProductBM!$R:$R,0))))</f>
        <v/>
      </c>
      <c r="M955" s="742" t="str">
        <f>IF($I805="","",IF(INDEX(F_ProductBM!M:M,MATCH($P955,F_ProductBM!$R:$R,0))="","",INDEX(F_ProductBM!M:M,MATCH($P955,F_ProductBM!$R:$R,0))))</f>
        <v/>
      </c>
      <c r="N955" s="1459" t="str">
        <f>IF($I805="","",IF(INDEX(F_ProductBM!N:N,MATCH($P955,F_ProductBM!$R:$R,0))="","",INDEX(F_ProductBM!N:N,MATCH($P955,F_ProductBM!$R:$R,0))))</f>
        <v/>
      </c>
      <c r="O955" s="19"/>
      <c r="P955" s="165" t="str">
        <f>EUconst_CNTR_HAL&amp;EUconst_CNTR_ELEXCH &amp; I805</f>
        <v>HAL_ELEXCH_</v>
      </c>
      <c r="Q955" s="343"/>
      <c r="R955" s="343"/>
      <c r="S955" s="343"/>
      <c r="T955" s="7"/>
      <c r="U955" s="349"/>
      <c r="V955" s="349"/>
    </row>
    <row r="956" spans="1:22" s="534" customFormat="1" ht="12.75" customHeight="1" x14ac:dyDescent="0.25">
      <c r="A956" s="343"/>
      <c r="B956" s="15"/>
      <c r="C956" s="15"/>
      <c r="D956" s="1454"/>
      <c r="E956" s="2613" t="str">
        <f>Translations!$B$645</f>
        <v>Producerad el</v>
      </c>
      <c r="F956" s="1997"/>
      <c r="G956" s="364" t="str">
        <f>EUconst_MWhpa</f>
        <v>MWh / år</v>
      </c>
      <c r="H956" s="742" t="str">
        <f>IF($I805="","",IF(INDEX(F_ProductBM!H:H,MATCH($P956,F_ProductBM!$Q:$Q,0))="","",INDEX(F_ProductBM!H:H,MATCH($P956,F_ProductBM!$Q:$Q,0))))</f>
        <v/>
      </c>
      <c r="I956" s="1021" t="str">
        <f>IF($I805="","",IF(INDEX(F_ProductBM!I:I,MATCH($P956,F_ProductBM!$Q:$Q,0))="","",INDEX(F_ProductBM!I:I,MATCH($P956,F_ProductBM!$Q:$Q,0))))</f>
        <v/>
      </c>
      <c r="J956" s="1158" t="str">
        <f>IF($I805="","",IF(INDEX(F_ProductBM!J:J,MATCH($P956,F_ProductBM!$Q:$Q,0))="","",INDEX(F_ProductBM!J:J,MATCH($P956,F_ProductBM!$Q:$Q,0))))</f>
        <v/>
      </c>
      <c r="K956" s="742" t="str">
        <f>IF($I805="","",IF(INDEX(F_ProductBM!K:K,MATCH($P956,F_ProductBM!$Q:$Q,0))="","",INDEX(F_ProductBM!K:K,MATCH($P956,F_ProductBM!$Q:$Q,0))))</f>
        <v/>
      </c>
      <c r="L956" s="742" t="str">
        <f>IF($I805="","",IF(INDEX(F_ProductBM!L:L,MATCH($P956,F_ProductBM!$Q:$Q,0))="","",INDEX(F_ProductBM!L:L,MATCH($P956,F_ProductBM!$Q:$Q,0))))</f>
        <v/>
      </c>
      <c r="M956" s="742" t="str">
        <f>IF($I805="","",IF(INDEX(F_ProductBM!M:M,MATCH($P956,F_ProductBM!$Q:$Q,0))="","",INDEX(F_ProductBM!M:M,MATCH($P956,F_ProductBM!$Q:$Q,0))))</f>
        <v/>
      </c>
      <c r="N956" s="1459" t="str">
        <f>IF($I805="","",IF(INDEX(F_ProductBM!N:N,MATCH($P956,F_ProductBM!$Q:$Q,0))="","",INDEX(F_ProductBM!N:N,MATCH($P956,F_ProductBM!$Q:$Q,0))))</f>
        <v/>
      </c>
      <c r="O956" s="19"/>
      <c r="P956" s="298" t="str">
        <f>EUconst_CNTR_ElectricityExported &amp; I805</f>
        <v>ElecEx_</v>
      </c>
      <c r="Q956" s="343"/>
      <c r="R956" s="343"/>
      <c r="S956" s="343"/>
      <c r="T956" s="7"/>
      <c r="U956" s="349"/>
      <c r="V956" s="349"/>
    </row>
    <row r="957" spans="1:22" s="534" customFormat="1" ht="5.15" customHeight="1" x14ac:dyDescent="0.25">
      <c r="A957" s="343"/>
      <c r="B957" s="15"/>
      <c r="C957" s="15"/>
      <c r="D957" s="1454"/>
      <c r="E957" s="899"/>
      <c r="F957" s="899"/>
      <c r="G957" s="416"/>
      <c r="H957" s="741"/>
      <c r="I957" s="741"/>
      <c r="J957" s="741"/>
      <c r="K957" s="741"/>
      <c r="L957" s="741"/>
      <c r="M957" s="741"/>
      <c r="N957" s="1458"/>
      <c r="O957" s="19"/>
      <c r="P957" s="7"/>
      <c r="Q957" s="343"/>
      <c r="R957" s="343"/>
      <c r="S957" s="343"/>
      <c r="T957" s="7"/>
      <c r="U957" s="349"/>
      <c r="V957" s="349"/>
    </row>
    <row r="958" spans="1:22" s="534" customFormat="1" ht="12.75" customHeight="1" x14ac:dyDescent="0.25">
      <c r="A958" s="343"/>
      <c r="B958" s="15"/>
      <c r="C958" s="15"/>
      <c r="D958" s="1454"/>
      <c r="E958" s="2613" t="str">
        <f>Translations!$B$646</f>
        <v>Total producerad massamängd</v>
      </c>
      <c r="F958" s="1997"/>
      <c r="G958" s="364" t="str">
        <f>EUconst_Tons</f>
        <v>ton</v>
      </c>
      <c r="H958" s="742" t="str">
        <f>IF($I805="","",IF(INDEX(F_ProductBM!H:H,MATCH($P958,F_ProductBM!$Q:$Q,0))="","",INDEX(F_ProductBM!H:H,MATCH($P958,F_ProductBM!$Q:$Q,0))))</f>
        <v/>
      </c>
      <c r="I958" s="1021" t="str">
        <f>IF($I805="","",IF(INDEX(F_ProductBM!I:I,MATCH($P958,F_ProductBM!$Q:$Q,0))="","",INDEX(F_ProductBM!I:I,MATCH($P958,F_ProductBM!$Q:$Q,0))))</f>
        <v/>
      </c>
      <c r="J958" s="1158" t="str">
        <f>IF($I805="","",IF(INDEX(F_ProductBM!J:J,MATCH($P958,F_ProductBM!$Q:$Q,0))="","",INDEX(F_ProductBM!J:J,MATCH($P958,F_ProductBM!$Q:$Q,0))))</f>
        <v/>
      </c>
      <c r="K958" s="742" t="str">
        <f>IF($I805="","",IF(INDEX(F_ProductBM!K:K,MATCH($P958,F_ProductBM!$Q:$Q,0))="","",INDEX(F_ProductBM!K:K,MATCH($P958,F_ProductBM!$Q:$Q,0))))</f>
        <v/>
      </c>
      <c r="L958" s="742" t="str">
        <f>IF($I805="","",IF(INDEX(F_ProductBM!L:L,MATCH($P958,F_ProductBM!$Q:$Q,0))="","",INDEX(F_ProductBM!L:L,MATCH($P958,F_ProductBM!$Q:$Q,0))))</f>
        <v/>
      </c>
      <c r="M958" s="742" t="str">
        <f>IF($I805="","",IF(INDEX(F_ProductBM!M:M,MATCH($P958,F_ProductBM!$Q:$Q,0))="","",INDEX(F_ProductBM!M:M,MATCH($P958,F_ProductBM!$Q:$Q,0))))</f>
        <v/>
      </c>
      <c r="N958" s="1459" t="str">
        <f>IF($I805="","",IF(INDEX(F_ProductBM!N:N,MATCH($P958,F_ProductBM!$Q:$Q,0))="","",INDEX(F_ProductBM!N:N,MATCH($P958,F_ProductBM!$Q:$Q,0))))</f>
        <v/>
      </c>
      <c r="O958" s="19"/>
      <c r="P958" s="298" t="str">
        <f>EUconst_CNTR_HALPulpTotal &amp; I805</f>
        <v>HALPulpTotal_</v>
      </c>
      <c r="Q958" s="343"/>
      <c r="R958" s="343"/>
      <c r="S958" s="343"/>
      <c r="T958" s="7"/>
      <c r="U958" s="349"/>
      <c r="V958" s="349"/>
    </row>
    <row r="959" spans="1:22" s="534" customFormat="1" ht="5.15" customHeight="1" x14ac:dyDescent="0.25">
      <c r="A959" s="343"/>
      <c r="B959" s="15"/>
      <c r="C959" s="15"/>
      <c r="D959" s="1454"/>
      <c r="E959" s="899"/>
      <c r="F959" s="899"/>
      <c r="G959" s="416"/>
      <c r="H959" s="741"/>
      <c r="I959" s="741"/>
      <c r="J959" s="741"/>
      <c r="K959" s="741"/>
      <c r="L959" s="741"/>
      <c r="M959" s="741"/>
      <c r="N959" s="1458"/>
      <c r="O959" s="19"/>
      <c r="P959" s="7"/>
      <c r="Q959" s="343"/>
      <c r="R959" s="343"/>
      <c r="S959" s="343"/>
      <c r="T959" s="7"/>
      <c r="U959" s="349"/>
      <c r="V959" s="349"/>
    </row>
    <row r="960" spans="1:22" s="534" customFormat="1" x14ac:dyDescent="0.25">
      <c r="A960" s="343"/>
      <c r="B960" s="15"/>
      <c r="C960" s="15"/>
      <c r="D960" s="1454"/>
      <c r="E960" s="2785" t="str">
        <f>Translations!$B$1057</f>
        <v>Mellanimport:</v>
      </c>
      <c r="F960" s="2497"/>
      <c r="G960" s="416"/>
      <c r="H960" s="741"/>
      <c r="I960" s="741"/>
      <c r="J960" s="741"/>
      <c r="K960" s="741"/>
      <c r="L960" s="741"/>
      <c r="M960" s="741"/>
      <c r="N960" s="1458"/>
      <c r="O960" s="19"/>
      <c r="P960" s="7"/>
      <c r="Q960" s="343"/>
      <c r="R960" s="343"/>
      <c r="S960" s="343"/>
      <c r="T960" s="7"/>
      <c r="U960" s="349"/>
      <c r="V960" s="349"/>
    </row>
    <row r="961" spans="1:22" s="534" customFormat="1" x14ac:dyDescent="0.25">
      <c r="A961" s="343"/>
      <c r="B961" s="15"/>
      <c r="C961" s="15"/>
      <c r="D961" s="1454"/>
      <c r="E961" s="2617" t="str">
        <f>IF(I805="","",IF(INDEX(F_ProductBM!E:E,MATCH($P961,F_ProductBM!$Q:$Q,0))="","",INDEX(F_ProductBM!E:E,MATCH($P961,F_ProductBM!$Q:$Q,0))))</f>
        <v/>
      </c>
      <c r="F961" s="1997"/>
      <c r="G961" s="364" t="str">
        <f>EUconst_Tons</f>
        <v>ton</v>
      </c>
      <c r="H961" s="742" t="str">
        <f>IF($I805="","",IF(INDEX(F_ProductBM!H:H,MATCH($P961,F_ProductBM!$Q:$Q,0))="","",INDEX(F_ProductBM!H:H,MATCH($P961,F_ProductBM!$Q:$Q,0))))</f>
        <v/>
      </c>
      <c r="I961" s="1021" t="str">
        <f>IF($I805="","",IF(INDEX(F_ProductBM!I:I,MATCH($P961,F_ProductBM!$Q:$Q,0))="","",INDEX(F_ProductBM!I:I,MATCH($P961,F_ProductBM!$Q:$Q,0))))</f>
        <v/>
      </c>
      <c r="J961" s="1158" t="str">
        <f>IF($I805="","",IF(INDEX(F_ProductBM!J:J,MATCH($P961,F_ProductBM!$Q:$Q,0))="","",INDEX(F_ProductBM!J:J,MATCH($P961,F_ProductBM!$Q:$Q,0))))</f>
        <v/>
      </c>
      <c r="K961" s="742" t="str">
        <f>IF($I805="","",IF(INDEX(F_ProductBM!K:K,MATCH($P961,F_ProductBM!$Q:$Q,0))="","",INDEX(F_ProductBM!K:K,MATCH($P961,F_ProductBM!$Q:$Q,0))))</f>
        <v/>
      </c>
      <c r="L961" s="742" t="str">
        <f>IF($I805="","",IF(INDEX(F_ProductBM!L:L,MATCH($P961,F_ProductBM!$Q:$Q,0))="","",INDEX(F_ProductBM!L:L,MATCH($P961,F_ProductBM!$Q:$Q,0))))</f>
        <v/>
      </c>
      <c r="M961" s="742" t="str">
        <f>IF($I805="","",IF(INDEX(F_ProductBM!M:M,MATCH($P961,F_ProductBM!$Q:$Q,0))="","",INDEX(F_ProductBM!M:M,MATCH($P961,F_ProductBM!$Q:$Q,0))))</f>
        <v/>
      </c>
      <c r="N961" s="1459" t="str">
        <f>IF($I805="","",IF(INDEX(F_ProductBM!N:N,MATCH($P961,F_ProductBM!$Q:$Q,0))="","",INDEX(F_ProductBM!N:N,MATCH($P961,F_ProductBM!$Q:$Q,0))))</f>
        <v/>
      </c>
      <c r="O961" s="19"/>
      <c r="P961" s="298" t="str">
        <f>EUconst_CNTR_IntermediateImport &amp; R961 &amp; "_" &amp; I805</f>
        <v>IntImp_1_</v>
      </c>
      <c r="Q961" s="343"/>
      <c r="R961" s="663">
        <v>1</v>
      </c>
      <c r="S961" s="343"/>
      <c r="T961" s="7"/>
      <c r="U961" s="349"/>
      <c r="V961" s="349"/>
    </row>
    <row r="962" spans="1:22" s="534" customFormat="1" x14ac:dyDescent="0.25">
      <c r="A962" s="343"/>
      <c r="B962" s="15"/>
      <c r="C962" s="15"/>
      <c r="D962" s="1454"/>
      <c r="E962" s="2617" t="str">
        <f>IF(I805="","",IF(INDEX(F_ProductBM!E:E,MATCH($P962,F_ProductBM!$Q:$Q,0))="","",INDEX(F_ProductBM!E:E,MATCH($P962,F_ProductBM!$Q:$Q,0))))</f>
        <v/>
      </c>
      <c r="F962" s="1997"/>
      <c r="G962" s="364" t="str">
        <f>EUconst_Tons</f>
        <v>ton</v>
      </c>
      <c r="H962" s="742" t="str">
        <f>IF($I805="","",IF(INDEX(F_ProductBM!H:H,MATCH($P962,F_ProductBM!$Q:$Q,0))="","",INDEX(F_ProductBM!H:H,MATCH($P962,F_ProductBM!$Q:$Q,0))))</f>
        <v/>
      </c>
      <c r="I962" s="1021" t="str">
        <f>IF($I805="","",IF(INDEX(F_ProductBM!I:I,MATCH($P962,F_ProductBM!$Q:$Q,0))="","",INDEX(F_ProductBM!I:I,MATCH($P962,F_ProductBM!$Q:$Q,0))))</f>
        <v/>
      </c>
      <c r="J962" s="1158" t="str">
        <f>IF($I805="","",IF(INDEX(F_ProductBM!J:J,MATCH($P962,F_ProductBM!$Q:$Q,0))="","",INDEX(F_ProductBM!J:J,MATCH($P962,F_ProductBM!$Q:$Q,0))))</f>
        <v/>
      </c>
      <c r="K962" s="742" t="str">
        <f>IF($I805="","",IF(INDEX(F_ProductBM!K:K,MATCH($P962,F_ProductBM!$Q:$Q,0))="","",INDEX(F_ProductBM!K:K,MATCH($P962,F_ProductBM!$Q:$Q,0))))</f>
        <v/>
      </c>
      <c r="L962" s="742" t="str">
        <f>IF($I805="","",IF(INDEX(F_ProductBM!L:L,MATCH($P962,F_ProductBM!$Q:$Q,0))="","",INDEX(F_ProductBM!L:L,MATCH($P962,F_ProductBM!$Q:$Q,0))))</f>
        <v/>
      </c>
      <c r="M962" s="742" t="str">
        <f>IF($I805="","",IF(INDEX(F_ProductBM!M:M,MATCH($P962,F_ProductBM!$Q:$Q,0))="","",INDEX(F_ProductBM!M:M,MATCH($P962,F_ProductBM!$Q:$Q,0))))</f>
        <v/>
      </c>
      <c r="N962" s="1459" t="str">
        <f>IF($I805="","",IF(INDEX(F_ProductBM!N:N,MATCH($P962,F_ProductBM!$Q:$Q,0))="","",INDEX(F_ProductBM!N:N,MATCH($P962,F_ProductBM!$Q:$Q,0))))</f>
        <v/>
      </c>
      <c r="O962" s="19"/>
      <c r="P962" s="298" t="str">
        <f>EUconst_CNTR_IntermediateImport &amp; R962 &amp; "_" &amp; I805</f>
        <v>IntImp_2_</v>
      </c>
      <c r="Q962" s="343"/>
      <c r="R962" s="663">
        <v>2</v>
      </c>
      <c r="S962" s="343"/>
      <c r="T962" s="7"/>
      <c r="U962" s="349"/>
      <c r="V962" s="349"/>
    </row>
    <row r="963" spans="1:22" s="534" customFormat="1" x14ac:dyDescent="0.25">
      <c r="A963" s="343"/>
      <c r="B963" s="15"/>
      <c r="C963" s="15"/>
      <c r="D963" s="1454"/>
      <c r="E963" s="2613" t="str">
        <f>Translations!$B$1058</f>
        <v>Mellanexport:</v>
      </c>
      <c r="F963" s="1997"/>
      <c r="G963" s="416"/>
      <c r="H963" s="741"/>
      <c r="I963" s="741"/>
      <c r="J963" s="741"/>
      <c r="K963" s="741"/>
      <c r="L963" s="741"/>
      <c r="M963" s="741"/>
      <c r="N963" s="1458"/>
      <c r="O963" s="19"/>
      <c r="P963" s="7"/>
      <c r="Q963" s="343"/>
      <c r="R963" s="343"/>
      <c r="S963" s="343"/>
      <c r="T963" s="7"/>
      <c r="U963" s="349"/>
      <c r="V963" s="349"/>
    </row>
    <row r="964" spans="1:22" s="534" customFormat="1" x14ac:dyDescent="0.25">
      <c r="A964" s="343"/>
      <c r="B964" s="15"/>
      <c r="C964" s="15"/>
      <c r="D964" s="1454"/>
      <c r="E964" s="2617" t="str">
        <f>IF(I805="","",IF(INDEX(F_ProductBM!E:E,MATCH($P964,F_ProductBM!$Q:$Q,0))="","",INDEX(F_ProductBM!E:E,MATCH($P964,F_ProductBM!$Q:$Q,0))))</f>
        <v/>
      </c>
      <c r="F964" s="1997"/>
      <c r="G964" s="364" t="str">
        <f>EUconst_Tons</f>
        <v>ton</v>
      </c>
      <c r="H964" s="742" t="str">
        <f>IF($I805="","",IF(INDEX(F_ProductBM!H:H,MATCH($P964,F_ProductBM!$Q:$Q,0))="","",INDEX(F_ProductBM!H:H,MATCH($P964,F_ProductBM!$Q:$Q,0))))</f>
        <v/>
      </c>
      <c r="I964" s="1021" t="str">
        <f>IF($I805="","",IF(INDEX(F_ProductBM!I:I,MATCH($P964,F_ProductBM!$Q:$Q,0))="","",INDEX(F_ProductBM!I:I,MATCH($P964,F_ProductBM!$Q:$Q,0))))</f>
        <v/>
      </c>
      <c r="J964" s="1158" t="str">
        <f>IF($I805="","",IF(INDEX(F_ProductBM!J:J,MATCH($P964,F_ProductBM!$Q:$Q,0))="","",INDEX(F_ProductBM!J:J,MATCH($P964,F_ProductBM!$Q:$Q,0))))</f>
        <v/>
      </c>
      <c r="K964" s="742" t="str">
        <f>IF($I805="","",IF(INDEX(F_ProductBM!K:K,MATCH($P964,F_ProductBM!$Q:$Q,0))="","",INDEX(F_ProductBM!K:K,MATCH($P964,F_ProductBM!$Q:$Q,0))))</f>
        <v/>
      </c>
      <c r="L964" s="742" t="str">
        <f>IF($I805="","",IF(INDEX(F_ProductBM!L:L,MATCH($P964,F_ProductBM!$Q:$Q,0))="","",INDEX(F_ProductBM!L:L,MATCH($P964,F_ProductBM!$Q:$Q,0))))</f>
        <v/>
      </c>
      <c r="M964" s="742" t="str">
        <f>IF($I805="","",IF(INDEX(F_ProductBM!M:M,MATCH($P964,F_ProductBM!$Q:$Q,0))="","",INDEX(F_ProductBM!M:M,MATCH($P964,F_ProductBM!$Q:$Q,0))))</f>
        <v/>
      </c>
      <c r="N964" s="1459" t="str">
        <f>IF($I805="","",IF(INDEX(F_ProductBM!N:N,MATCH($P964,F_ProductBM!$Q:$Q,0))="","",INDEX(F_ProductBM!N:N,MATCH($P964,F_ProductBM!$Q:$Q,0))))</f>
        <v/>
      </c>
      <c r="O964" s="19"/>
      <c r="P964" s="298" t="str">
        <f>EUconst_CNTR_IntermediateExport &amp; R961 &amp; "_" &amp; I805</f>
        <v>IntExp_1_</v>
      </c>
      <c r="Q964" s="343"/>
      <c r="R964" s="663">
        <v>1</v>
      </c>
      <c r="S964" s="343"/>
      <c r="T964" s="7"/>
      <c r="U964" s="349"/>
      <c r="V964" s="349"/>
    </row>
    <row r="965" spans="1:22" s="534" customFormat="1" x14ac:dyDescent="0.25">
      <c r="A965" s="343"/>
      <c r="B965" s="15"/>
      <c r="C965" s="15"/>
      <c r="D965" s="1454"/>
      <c r="E965" s="2617" t="str">
        <f>IF(I805="","",IF(INDEX(F_ProductBM!E:E,MATCH($P965,F_ProductBM!$Q:$Q,0))="","",INDEX(F_ProductBM!E:E,MATCH($P965,F_ProductBM!$Q:$Q,0))))</f>
        <v/>
      </c>
      <c r="F965" s="1997"/>
      <c r="G965" s="364" t="str">
        <f>EUconst_Tons</f>
        <v>ton</v>
      </c>
      <c r="H965" s="742" t="str">
        <f>IF($I805="","",IF(INDEX(F_ProductBM!H:H,MATCH($P965,F_ProductBM!$Q:$Q,0))="","",INDEX(F_ProductBM!H:H,MATCH($P965,F_ProductBM!$Q:$Q,0))))</f>
        <v/>
      </c>
      <c r="I965" s="1021" t="str">
        <f>IF($I805="","",IF(INDEX(F_ProductBM!I:I,MATCH($P965,F_ProductBM!$Q:$Q,0))="","",INDEX(F_ProductBM!I:I,MATCH($P965,F_ProductBM!$Q:$Q,0))))</f>
        <v/>
      </c>
      <c r="J965" s="1158" t="str">
        <f>IF($I805="","",IF(INDEX(F_ProductBM!J:J,MATCH($P965,F_ProductBM!$Q:$Q,0))="","",INDEX(F_ProductBM!J:J,MATCH($P965,F_ProductBM!$Q:$Q,0))))</f>
        <v/>
      </c>
      <c r="K965" s="742" t="str">
        <f>IF($I805="","",IF(INDEX(F_ProductBM!K:K,MATCH($P965,F_ProductBM!$Q:$Q,0))="","",INDEX(F_ProductBM!K:K,MATCH($P965,F_ProductBM!$Q:$Q,0))))</f>
        <v/>
      </c>
      <c r="L965" s="742" t="str">
        <f>IF($I805="","",IF(INDEX(F_ProductBM!L:L,MATCH($P965,F_ProductBM!$Q:$Q,0))="","",INDEX(F_ProductBM!L:L,MATCH($P965,F_ProductBM!$Q:$Q,0))))</f>
        <v/>
      </c>
      <c r="M965" s="742" t="str">
        <f>IF($I805="","",IF(INDEX(F_ProductBM!M:M,MATCH($P965,F_ProductBM!$Q:$Q,0))="","",INDEX(F_ProductBM!M:M,MATCH($P965,F_ProductBM!$Q:$Q,0))))</f>
        <v/>
      </c>
      <c r="N965" s="1459" t="str">
        <f>IF($I805="","",IF(INDEX(F_ProductBM!N:N,MATCH($P965,F_ProductBM!$Q:$Q,0))="","",INDEX(F_ProductBM!N:N,MATCH($P965,F_ProductBM!$Q:$Q,0))))</f>
        <v/>
      </c>
      <c r="O965" s="19"/>
      <c r="P965" s="298" t="str">
        <f>EUconst_CNTR_IntermediateExport &amp; R965 &amp; "_" &amp; I805</f>
        <v>IntExp_2_</v>
      </c>
      <c r="Q965" s="343"/>
      <c r="R965" s="663">
        <v>2</v>
      </c>
      <c r="S965" s="343"/>
      <c r="T965" s="7"/>
      <c r="U965" s="349"/>
      <c r="V965" s="349"/>
    </row>
    <row r="966" spans="1:22" s="534" customFormat="1" ht="12.75" customHeight="1" thickBot="1" x14ac:dyDescent="0.3">
      <c r="A966" s="343"/>
      <c r="B966" s="15"/>
      <c r="C966" s="15"/>
      <c r="D966" s="1460"/>
      <c r="E966" s="1461"/>
      <c r="F966" s="1461"/>
      <c r="G966" s="1462"/>
      <c r="H966" s="1462"/>
      <c r="I966" s="783"/>
      <c r="J966" s="783"/>
      <c r="K966" s="783"/>
      <c r="L966" s="783"/>
      <c r="M966" s="783"/>
      <c r="N966" s="784"/>
      <c r="O966" s="19"/>
      <c r="P966" s="7"/>
      <c r="Q966" s="343"/>
      <c r="R966" s="343"/>
      <c r="S966" s="343"/>
      <c r="T966" s="7"/>
      <c r="U966" s="349"/>
      <c r="V966" s="349"/>
    </row>
    <row r="967" spans="1:22" s="534" customFormat="1" ht="5.15" customHeight="1" thickBot="1" x14ac:dyDescent="0.3">
      <c r="A967" s="343"/>
      <c r="B967" s="15"/>
      <c r="C967" s="15"/>
      <c r="D967" s="15"/>
      <c r="E967" s="748"/>
      <c r="O967" s="19"/>
      <c r="P967" s="343"/>
      <c r="Q967" s="343"/>
      <c r="R967" s="343"/>
      <c r="S967" s="343"/>
      <c r="T967" s="343"/>
      <c r="U967" s="349"/>
      <c r="V967" s="349"/>
    </row>
    <row r="968" spans="1:22" s="534" customFormat="1" ht="5.15" customHeight="1" thickBot="1" x14ac:dyDescent="0.3">
      <c r="A968" s="343"/>
      <c r="B968" s="3"/>
      <c r="C968" s="230"/>
      <c r="D968" s="230"/>
      <c r="E968" s="230"/>
      <c r="F968" s="230"/>
      <c r="G968" s="230"/>
      <c r="H968" s="230"/>
      <c r="I968" s="230"/>
      <c r="J968" s="230"/>
      <c r="K968" s="230"/>
      <c r="L968" s="230"/>
      <c r="M968" s="230"/>
      <c r="N968" s="230"/>
      <c r="O968" s="19"/>
      <c r="P968" s="343"/>
      <c r="Q968" s="343"/>
      <c r="R968" s="343"/>
      <c r="S968" s="343"/>
      <c r="T968" s="343"/>
      <c r="U968" s="349"/>
      <c r="V968" s="349"/>
    </row>
    <row r="969" spans="1:22" s="534" customFormat="1" ht="15" customHeight="1" thickBot="1" x14ac:dyDescent="0.35">
      <c r="A969" s="343"/>
      <c r="B969" s="15"/>
      <c r="C969" s="17">
        <f>C805+1</f>
        <v>4</v>
      </c>
      <c r="D969" s="2053" t="str">
        <f>CONCATENATE(EUconst_BMSubinst," ",C969, ":")</f>
        <v>Delanläggning med produktriktmärke 4:</v>
      </c>
      <c r="E969" s="2053"/>
      <c r="F969" s="2053"/>
      <c r="G969" s="2053"/>
      <c r="H969" s="2081"/>
      <c r="I969" s="2090" t="str">
        <f>IF(INDEX(CNTR_SubInstListIsProdBM,$C969),INDEX(CNTR_SubInstListNames,$C969),"")</f>
        <v/>
      </c>
      <c r="J969" s="2091"/>
      <c r="K969" s="2091"/>
      <c r="L969" s="2091"/>
      <c r="M969" s="2091"/>
      <c r="N969" s="2092"/>
      <c r="O969" s="19"/>
      <c r="P969" s="343"/>
      <c r="Q969" s="723">
        <f>C969</f>
        <v>4</v>
      </c>
      <c r="R969" s="722" t="str">
        <f>I969</f>
        <v/>
      </c>
      <c r="S969" s="343"/>
      <c r="T969" s="343"/>
      <c r="U969" s="349"/>
      <c r="V969" s="349"/>
    </row>
    <row r="970" spans="1:22" s="534" customFormat="1" ht="5.15" customHeight="1" x14ac:dyDescent="0.3">
      <c r="A970" s="343"/>
      <c r="B970" s="15"/>
      <c r="C970" s="17"/>
      <c r="D970" s="17"/>
      <c r="E970" s="17"/>
      <c r="F970" s="17"/>
      <c r="G970" s="17"/>
      <c r="H970" s="17"/>
      <c r="I970" s="17"/>
      <c r="J970" s="17"/>
      <c r="K970" s="17"/>
      <c r="L970" s="17"/>
      <c r="M970" s="17"/>
      <c r="N970" s="17"/>
      <c r="O970" s="19"/>
      <c r="P970" s="343"/>
      <c r="Q970" s="343"/>
      <c r="R970" s="343"/>
      <c r="S970" s="343"/>
      <c r="T970" s="343"/>
      <c r="U970" s="349"/>
      <c r="V970" s="349"/>
    </row>
    <row r="971" spans="1:22" s="534" customFormat="1" ht="12.75" customHeight="1" x14ac:dyDescent="0.3">
      <c r="A971" s="343"/>
      <c r="B971" s="15"/>
      <c r="C971" s="17"/>
      <c r="D971" s="17"/>
      <c r="E971" s="17"/>
      <c r="F971" s="17"/>
      <c r="H971" s="506" t="str">
        <f>Translations!$B$1022</f>
        <v>KL-risk</v>
      </c>
      <c r="I971" s="506" t="s">
        <v>1380</v>
      </c>
      <c r="J971" s="506" t="str">
        <f>Translations!$B$1026</f>
        <v>I drift</v>
      </c>
      <c r="K971" s="506" t="str">
        <f>Translations!$B$1545</f>
        <v>Upphört</v>
      </c>
      <c r="L971" s="952" t="str">
        <f>Translations!$B$1024</f>
        <v>RM-nummer</v>
      </c>
      <c r="M971" s="2786" t="str">
        <f>Translations!$B$1028</f>
        <v>RM-värde</v>
      </c>
      <c r="N971" s="2786"/>
      <c r="O971" s="19"/>
      <c r="P971" s="343"/>
      <c r="Q971" s="343"/>
      <c r="R971" s="343"/>
      <c r="S971" s="343"/>
      <c r="T971" s="940"/>
      <c r="U971" s="349"/>
      <c r="V971" s="349"/>
    </row>
    <row r="972" spans="1:22" s="534" customFormat="1" ht="12.75" customHeight="1" x14ac:dyDescent="0.3">
      <c r="A972" s="343"/>
      <c r="B972" s="15"/>
      <c r="C972" s="17"/>
      <c r="D972" s="17"/>
      <c r="E972" s="508" t="str">
        <f>I969</f>
        <v/>
      </c>
      <c r="F972" s="509"/>
      <c r="G972" s="509"/>
      <c r="H972" s="510" t="str">
        <f>IF(L972=EUconst_NA,EUconst_NA,INDEX(EUconst_BMlistCLstatus,L972))</f>
        <v>Ej tillämpligt</v>
      </c>
      <c r="I972" s="510" t="str">
        <f>IF(I969="","",INDEX(EUconst_BMlistElExchangability,L972))</f>
        <v/>
      </c>
      <c r="J972" s="1045" t="str">
        <f>IF($I969="",EUconst_NA,INDEX(CNTR_SubInstStartDate,MATCH(I969,CNTR_SubInstListNames,0)))</f>
        <v>Ej tillämpligt</v>
      </c>
      <c r="K972" s="1045" t="str">
        <f>IF($I969="",EUconst_NA,IF(INDEX(CNTR_SubInstCessationDate,MATCH(I969,CNTR_SubInstListNames,0))=0,"",INDEX(CNTR_SubInstCessationDate,MATCH(I969,CNTR_SubInstListNames,0))))</f>
        <v>Ej tillämpligt</v>
      </c>
      <c r="L972" s="953" t="str">
        <f>IF($I969="",EUconst_NA,MATCH(I969,EUconst_BMlistNames,0))</f>
        <v>Ej tillämpligt</v>
      </c>
      <c r="M972" s="1744" t="str">
        <f>IF(I969="",EUconst_NA,INDEX(EUconst_BMlistBMvaluesMatrix,L972,3))</f>
        <v>Ej tillämpligt</v>
      </c>
      <c r="N972" s="1041" t="str">
        <f>EUconst_EUA &amp; "/" &amp; F975</f>
        <v>EUA/ton</v>
      </c>
      <c r="O972" s="19"/>
      <c r="P972" s="343"/>
      <c r="Q972" s="343"/>
      <c r="R972" s="343"/>
      <c r="S972" s="343"/>
      <c r="T972" s="940"/>
      <c r="U972" s="349"/>
      <c r="V972" s="349"/>
    </row>
    <row r="973" spans="1:22" s="534" customFormat="1" ht="5.15" customHeight="1" thickBot="1" x14ac:dyDescent="0.35">
      <c r="A973" s="343"/>
      <c r="B973" s="15"/>
      <c r="C973" s="15"/>
      <c r="D973" s="15"/>
      <c r="E973" s="17"/>
      <c r="J973" s="15"/>
      <c r="K973" s="15"/>
      <c r="L973" s="15"/>
      <c r="M973" s="15"/>
      <c r="N973" s="15"/>
      <c r="O973" s="19"/>
      <c r="P973" s="343"/>
      <c r="Q973" s="343"/>
      <c r="R973" s="343"/>
      <c r="S973" s="343"/>
      <c r="T973" s="7"/>
      <c r="U973" s="349"/>
      <c r="V973" s="349"/>
    </row>
    <row r="974" spans="1:22" s="534" customFormat="1" ht="12.75" customHeight="1" x14ac:dyDescent="0.25">
      <c r="A974" s="343"/>
      <c r="B974" s="15"/>
      <c r="C974" s="15"/>
      <c r="D974" s="15"/>
      <c r="E974" s="39"/>
      <c r="F974" s="13" t="str">
        <f>EUconst_Unit</f>
        <v>Enhet</v>
      </c>
      <c r="G974" s="1202" t="str">
        <f>Translations!$B$1432</f>
        <v>HAL</v>
      </c>
      <c r="H974" s="987">
        <f t="shared" ref="H974:N974" si="131">H$2596</f>
        <v>2019</v>
      </c>
      <c r="I974" s="342">
        <f t="shared" si="131"/>
        <v>2020</v>
      </c>
      <c r="J974" s="987">
        <f t="shared" si="131"/>
        <v>2021</v>
      </c>
      <c r="K974" s="320">
        <f t="shared" si="131"/>
        <v>2022</v>
      </c>
      <c r="L974" s="320">
        <f t="shared" si="131"/>
        <v>2023</v>
      </c>
      <c r="M974" s="320">
        <f t="shared" si="131"/>
        <v>2024</v>
      </c>
      <c r="N974" s="320">
        <f t="shared" si="131"/>
        <v>2025</v>
      </c>
      <c r="O974" s="19"/>
      <c r="P974" s="343"/>
      <c r="Q974" s="343" t="s">
        <v>2010</v>
      </c>
      <c r="R974" s="1635">
        <f>J$2596</f>
        <v>2021</v>
      </c>
      <c r="S974" s="1636">
        <f>K$2596</f>
        <v>2022</v>
      </c>
      <c r="T974" s="1636">
        <f>L$2596</f>
        <v>2023</v>
      </c>
      <c r="U974" s="1636">
        <f>M$2596</f>
        <v>2024</v>
      </c>
      <c r="V974" s="1637">
        <f>N$2596</f>
        <v>2025</v>
      </c>
    </row>
    <row r="975" spans="1:22" s="534" customFormat="1" ht="12.75" customHeight="1" thickBot="1" x14ac:dyDescent="0.3">
      <c r="A975" s="343"/>
      <c r="B975" s="15"/>
      <c r="C975" s="15"/>
      <c r="D975" s="15"/>
      <c r="E975" s="514" t="str">
        <f>Translations!$B$1562</f>
        <v>Rapporterad verksamhetsnivå</v>
      </c>
      <c r="F975" s="563" t="str">
        <f>IF(ISNUMBER(L972),INDEX(EUconst_BMlistUnits,L972),EUconst_Tons)</f>
        <v>ton</v>
      </c>
      <c r="G975" s="943" t="str">
        <f>I1078</f>
        <v/>
      </c>
      <c r="H975" s="1131" t="str">
        <f>IF($I969="","",IF(H974&gt;=CNTR_ReportingYear,"",INDEX(F_ProductBM!H:H,MATCH($P975,F_ProductBM!$Q:$Q,0))))</f>
        <v/>
      </c>
      <c r="I975" s="641" t="str">
        <f>IF($I969="","",IF(I974&gt;=CNTR_ReportingYear,"",INDEX(F_ProductBM!I:I,MATCH($P975,F_ProductBM!$Q:$Q,0))))</f>
        <v/>
      </c>
      <c r="J975" s="1131" t="str">
        <f>IF($I969="","",IF(J974&gt;=CNTR_ReportingYear,"",INDEX(F_ProductBM!J:J,MATCH($P975,F_ProductBM!$Q:$Q,0))))</f>
        <v/>
      </c>
      <c r="K975" s="421" t="str">
        <f>IF($I969="","",IF(K974&gt;=CNTR_ReportingYear,"",INDEX(F_ProductBM!K:K,MATCH($P975,F_ProductBM!$Q:$Q,0))))</f>
        <v/>
      </c>
      <c r="L975" s="421" t="str">
        <f>IF($I969="","",IF(L974&gt;=CNTR_ReportingYear,"",INDEX(F_ProductBM!L:L,MATCH($P975,F_ProductBM!$Q:$Q,0))))</f>
        <v/>
      </c>
      <c r="M975" s="421" t="str">
        <f>IF($I969="","",IF(M974&gt;=CNTR_ReportingYear,"",INDEX(F_ProductBM!M:M,MATCH($P975,F_ProductBM!$Q:$Q,0))))</f>
        <v/>
      </c>
      <c r="N975" s="421" t="str">
        <f>IF($I969="","",IF(N974&gt;=CNTR_ReportingYear,"",INDEX(F_ProductBM!N:N,MATCH($P975,F_ProductBM!$Q:$Q,0))))</f>
        <v/>
      </c>
      <c r="O975" s="19"/>
      <c r="P975" s="165" t="str">
        <f>EUconst_CNTR_HAL&amp;I969</f>
        <v>HAL_</v>
      </c>
      <c r="Q975" s="343"/>
      <c r="R975" s="1329" t="b">
        <f>AND($I969&lt;&gt;"",R974&lt;=CNTR_ReportingYear,IF($J972&lt;&gt;EUconst_NA,R974&gt;=YEAR($J972),TRUE))</f>
        <v>0</v>
      </c>
      <c r="S975" s="1330" t="b">
        <f>AND($I969&lt;&gt;"",S974&lt;=CNTR_ReportingYear,IF($J972&lt;&gt;EUconst_NA,S974&gt;=YEAR($J972),TRUE))</f>
        <v>0</v>
      </c>
      <c r="T975" s="1330" t="b">
        <f>AND($I969&lt;&gt;"",T974&lt;=CNTR_ReportingYear,IF($J972&lt;&gt;EUconst_NA,T974&gt;=YEAR($J972),TRUE))</f>
        <v>0</v>
      </c>
      <c r="U975" s="1330" t="b">
        <f>AND($I969&lt;&gt;"",U974&lt;=CNTR_ReportingYear,IF($J972&lt;&gt;EUconst_NA,U974&gt;=YEAR($J972),TRUE))</f>
        <v>0</v>
      </c>
      <c r="V975" s="1331" t="b">
        <f>AND($I969&lt;&gt;"",V974&lt;=CNTR_ReportingYear,IF($J972&lt;&gt;EUconst_NA,V974&gt;=YEAR($J972),TRUE))</f>
        <v>0</v>
      </c>
    </row>
    <row r="976" spans="1:22" s="534" customFormat="1" ht="5.15" customHeight="1" thickBot="1" x14ac:dyDescent="0.35">
      <c r="A976" s="343"/>
      <c r="B976" s="15"/>
      <c r="C976" s="17"/>
      <c r="D976" s="17"/>
      <c r="E976" s="17"/>
      <c r="F976" s="17"/>
      <c r="G976" s="17"/>
      <c r="H976" s="17"/>
      <c r="I976" s="17"/>
      <c r="J976" s="17"/>
      <c r="K976" s="17"/>
      <c r="L976" s="17"/>
      <c r="M976" s="17"/>
      <c r="N976" s="17"/>
      <c r="O976" s="19"/>
      <c r="P976" s="343"/>
      <c r="Q976" s="343"/>
      <c r="R976" s="343"/>
      <c r="S976" s="343"/>
      <c r="T976" s="343"/>
      <c r="U976" s="349"/>
      <c r="V976" s="349"/>
    </row>
    <row r="977" spans="1:22" s="534" customFormat="1" ht="5.15" customHeight="1" x14ac:dyDescent="0.3">
      <c r="A977" s="343"/>
      <c r="B977" s="15"/>
      <c r="C977" s="17"/>
      <c r="D977" s="1383"/>
      <c r="E977" s="1384"/>
      <c r="F977" s="1384"/>
      <c r="G977" s="1384"/>
      <c r="H977" s="1384"/>
      <c r="I977" s="1384"/>
      <c r="J977" s="1384"/>
      <c r="K977" s="1384"/>
      <c r="L977" s="1384"/>
      <c r="M977" s="1384"/>
      <c r="N977" s="1385"/>
      <c r="O977" s="19"/>
      <c r="P977" s="343"/>
      <c r="Q977" s="343"/>
      <c r="R977" s="343"/>
      <c r="S977" s="343"/>
      <c r="T977" s="343"/>
      <c r="U977" s="349"/>
      <c r="V977" s="349"/>
    </row>
    <row r="978" spans="1:22" s="534" customFormat="1" ht="12.75" customHeight="1" x14ac:dyDescent="0.3">
      <c r="A978" s="343"/>
      <c r="B978" s="15"/>
      <c r="C978" s="17"/>
      <c r="D978" s="1386"/>
      <c r="E978" s="42" t="str">
        <f>Translations!$B$1563</f>
        <v>Tillämplighet av glidande medelvärde</v>
      </c>
      <c r="F978" s="188"/>
      <c r="G978" s="188"/>
      <c r="H978" s="30"/>
      <c r="I978" s="1157"/>
      <c r="J978" s="1065">
        <f>J$2596</f>
        <v>2021</v>
      </c>
      <c r="K978" s="350">
        <f>K$2596</f>
        <v>2022</v>
      </c>
      <c r="L978" s="350">
        <f>L$2596</f>
        <v>2023</v>
      </c>
      <c r="M978" s="350">
        <f>M$2596</f>
        <v>2024</v>
      </c>
      <c r="N978" s="966">
        <f>N$2596</f>
        <v>2025</v>
      </c>
      <c r="O978" s="19"/>
      <c r="P978" s="343"/>
      <c r="Q978" s="343"/>
      <c r="R978" s="343"/>
      <c r="S978" s="343"/>
      <c r="T978" s="343"/>
      <c r="U978" s="349"/>
      <c r="V978" s="349"/>
    </row>
    <row r="979" spans="1:22" s="534" customFormat="1" ht="12.75" customHeight="1" x14ac:dyDescent="0.3">
      <c r="A979" s="343"/>
      <c r="B979" s="15"/>
      <c r="C979" s="17"/>
      <c r="D979" s="1386"/>
      <c r="E979" s="1477" t="str">
        <f>Translations!$B$1549</f>
        <v>Kriterium 1: Verksam &gt;2 år?</v>
      </c>
      <c r="F979" s="1478"/>
      <c r="G979" s="1478"/>
      <c r="H979" s="1366"/>
      <c r="I979" s="1478"/>
      <c r="J979" s="1469" t="str">
        <f>IF(R975,INDEX(F_ProductBM!V:V,MATCH($P979,F_ProductBM!$Q:$Q,0))&gt;=3,"")</f>
        <v/>
      </c>
      <c r="K979" s="1470" t="str">
        <f>IF(S975,INDEX(F_ProductBM!W:W,MATCH($P979,F_ProductBM!$Q:$Q,0))&gt;=3,"")</f>
        <v/>
      </c>
      <c r="L979" s="1470" t="str">
        <f>IF(T975,INDEX(F_ProductBM!X:X,MATCH($P979,F_ProductBM!$Q:$Q,0))&gt;=3,"")</f>
        <v/>
      </c>
      <c r="M979" s="1470" t="str">
        <f>IF(U975,INDEX(F_ProductBM!Y:Y,MATCH($P979,F_ProductBM!$Q:$Q,0))&gt;=3,"")</f>
        <v/>
      </c>
      <c r="N979" s="1471" t="str">
        <f>IF(V975,INDEX(F_ProductBM!Z:Z,MATCH($P979,F_ProductBM!$Q:$Q,0))&gt;=3,"")</f>
        <v/>
      </c>
      <c r="O979" s="19"/>
      <c r="P979" s="165" t="str">
        <f>EUconst_CNTR_HALinitial&amp;I969</f>
        <v>HALini_</v>
      </c>
      <c r="Q979" s="343"/>
      <c r="R979" s="343"/>
      <c r="S979" s="343"/>
      <c r="T979" s="343"/>
      <c r="U979" s="349"/>
      <c r="V979" s="349"/>
    </row>
    <row r="980" spans="1:22" s="534" customFormat="1" ht="12.75" customHeight="1" x14ac:dyDescent="0.3">
      <c r="A980" s="343"/>
      <c r="B980" s="15"/>
      <c r="C980" s="17"/>
      <c r="D980" s="1386"/>
      <c r="E980" s="1472" t="str">
        <f>Translations!$B$1551</f>
        <v>Kriterium 2: Upphörde inte föregående år?</v>
      </c>
      <c r="F980" s="1479"/>
      <c r="G980" s="1479"/>
      <c r="H980" s="1473"/>
      <c r="I980" s="1479"/>
      <c r="J980" s="1474" t="str">
        <f>IF(R975,IF($K972="",2050,YEAR($K972))&lt;&gt;(J978-1),"")</f>
        <v/>
      </c>
      <c r="K980" s="1475" t="str">
        <f>IF(S975,IF($K972="",2050,YEAR($K972))&lt;&gt;(K978-1),"")</f>
        <v/>
      </c>
      <c r="L980" s="1475" t="str">
        <f>IF(T975,IF($K972="",2050,YEAR($K972))&lt;&gt;(L978-1),"")</f>
        <v/>
      </c>
      <c r="M980" s="1475" t="str">
        <f>IF(U975,IF($K972="",2050,YEAR($K972))&lt;&gt;(M978-1),"")</f>
        <v/>
      </c>
      <c r="N980" s="1476" t="str">
        <f>IF(V975,IF($K972="",2050,YEAR($K972))&lt;&gt;(N978-1),"")</f>
        <v/>
      </c>
      <c r="O980" s="19"/>
      <c r="P980" s="343"/>
      <c r="Q980" s="343"/>
      <c r="R980" s="343"/>
      <c r="S980" s="343"/>
      <c r="T980" s="343"/>
      <c r="U980" s="349"/>
      <c r="V980" s="349"/>
    </row>
    <row r="981" spans="1:22" s="534" customFormat="1" ht="5.15" customHeight="1" x14ac:dyDescent="0.3">
      <c r="A981" s="343"/>
      <c r="B981" s="15"/>
      <c r="C981" s="17"/>
      <c r="D981" s="1386"/>
      <c r="E981" s="17"/>
      <c r="F981" s="17"/>
      <c r="G981" s="17"/>
      <c r="H981" s="17"/>
      <c r="I981" s="17"/>
      <c r="J981" s="17"/>
      <c r="K981" s="17"/>
      <c r="L981" s="17"/>
      <c r="M981" s="17"/>
      <c r="N981" s="1388"/>
      <c r="O981" s="19"/>
      <c r="P981" s="343"/>
      <c r="Q981" s="343"/>
      <c r="R981" s="343"/>
      <c r="S981" s="343"/>
      <c r="T981" s="343"/>
      <c r="U981" s="349"/>
      <c r="V981" s="349"/>
    </row>
    <row r="982" spans="1:22" s="534" customFormat="1" ht="12.75" customHeight="1" x14ac:dyDescent="0.3">
      <c r="A982" s="343"/>
      <c r="B982" s="15"/>
      <c r="C982" s="17"/>
      <c r="D982" s="1386"/>
      <c r="E982" s="39" t="str">
        <f>Translations!$B$1564</f>
        <v>Ändringar: Ingen ändring (bas)</v>
      </c>
      <c r="F982" s="15"/>
      <c r="G982" s="15"/>
      <c r="H982" s="30" t="str">
        <f>EUconst_Unit</f>
        <v>Enhet</v>
      </c>
      <c r="I982" s="1157"/>
      <c r="J982" s="987">
        <f>J$2596</f>
        <v>2021</v>
      </c>
      <c r="K982" s="320">
        <f>K$2596</f>
        <v>2022</v>
      </c>
      <c r="L982" s="320">
        <f>L$2596</f>
        <v>2023</v>
      </c>
      <c r="M982" s="320">
        <f>M$2596</f>
        <v>2024</v>
      </c>
      <c r="N982" s="1387">
        <f>N$2596</f>
        <v>2025</v>
      </c>
      <c r="O982" s="19"/>
      <c r="P982" s="343"/>
      <c r="Q982" s="343"/>
      <c r="R982" s="343"/>
      <c r="S982" s="343"/>
      <c r="T982" s="343"/>
      <c r="U982" s="349"/>
      <c r="V982" s="349"/>
    </row>
    <row r="983" spans="1:22" s="534" customFormat="1" ht="12.75" hidden="1" customHeight="1" x14ac:dyDescent="0.3">
      <c r="A983" s="343" t="str">
        <f t="shared" ref="A983:A988" si="132">IF(P983="","ausblenden","")</f>
        <v>ausblenden</v>
      </c>
      <c r="B983" s="15"/>
      <c r="C983" s="17"/>
      <c r="D983" s="1386"/>
      <c r="E983" s="514" t="s">
        <v>1918</v>
      </c>
      <c r="F983" s="514"/>
      <c r="G983" s="514"/>
      <c r="H983" s="917" t="str">
        <f>F975</f>
        <v>ton</v>
      </c>
      <c r="I983" s="514"/>
      <c r="J983" s="1152" t="str">
        <f>IF(T1084&gt;=$H$2595,S1078,I1078)</f>
        <v/>
      </c>
      <c r="K983" s="943" t="str">
        <f t="shared" ref="K983:K988" si="133">J1078</f>
        <v/>
      </c>
      <c r="L983" s="943" t="str">
        <f t="shared" ref="L983:L988" si="134">K1078</f>
        <v/>
      </c>
      <c r="M983" s="943" t="str">
        <f t="shared" ref="M983:M988" si="135">L1078</f>
        <v/>
      </c>
      <c r="N983" s="1389" t="str">
        <f t="shared" ref="N983:N988" si="136">M1078</f>
        <v/>
      </c>
      <c r="O983" s="19"/>
      <c r="P983" s="343"/>
      <c r="Q983" s="343"/>
      <c r="R983" s="343"/>
      <c r="S983" s="343"/>
      <c r="T983" s="343"/>
      <c r="U983" s="349"/>
      <c r="V983" s="349"/>
    </row>
    <row r="984" spans="1:22" s="534" customFormat="1" ht="12.75" hidden="1" customHeight="1" x14ac:dyDescent="0.3">
      <c r="A984" s="343" t="str">
        <f t="shared" si="132"/>
        <v>ausblenden</v>
      </c>
      <c r="B984" s="15"/>
      <c r="C984" s="17"/>
      <c r="D984" s="1386"/>
      <c r="E984" s="944" t="s">
        <v>339</v>
      </c>
      <c r="F984" s="944"/>
      <c r="G984" s="944"/>
      <c r="H984" s="954" t="str">
        <f>EUconst_EUA</f>
        <v>EUA</v>
      </c>
      <c r="I984" s="945"/>
      <c r="J984" s="1209" t="str">
        <f>IF(T1084&gt;=$H$2595,S1079,I1079)</f>
        <v/>
      </c>
      <c r="K984" s="1210" t="str">
        <f t="shared" si="133"/>
        <v/>
      </c>
      <c r="L984" s="1210" t="str">
        <f t="shared" si="134"/>
        <v/>
      </c>
      <c r="M984" s="1210" t="str">
        <f t="shared" si="135"/>
        <v/>
      </c>
      <c r="N984" s="1390" t="str">
        <f t="shared" si="136"/>
        <v/>
      </c>
      <c r="O984" s="19"/>
      <c r="P984" s="343"/>
      <c r="Q984" s="343"/>
      <c r="R984" s="343"/>
      <c r="S984" s="343"/>
      <c r="T984" s="343"/>
      <c r="U984" s="349"/>
      <c r="V984" s="349"/>
    </row>
    <row r="985" spans="1:22" s="534" customFormat="1" ht="12.75" hidden="1" customHeight="1" x14ac:dyDescent="0.3">
      <c r="A985" s="343" t="str">
        <f t="shared" si="132"/>
        <v>ausblenden</v>
      </c>
      <c r="B985" s="15"/>
      <c r="C985" s="17"/>
      <c r="D985" s="1386"/>
      <c r="E985" s="947" t="s">
        <v>1560</v>
      </c>
      <c r="F985" s="947"/>
      <c r="G985" s="947"/>
      <c r="H985" s="955" t="str">
        <f>EUconst_EUA</f>
        <v>EUA</v>
      </c>
      <c r="I985" s="948"/>
      <c r="J985" s="1165" t="str">
        <f>IF(T1084&gt;=$H$2595,S1080,I1080)</f>
        <v/>
      </c>
      <c r="K985" s="975" t="str">
        <f t="shared" si="133"/>
        <v/>
      </c>
      <c r="L985" s="975" t="str">
        <f t="shared" si="134"/>
        <v/>
      </c>
      <c r="M985" s="975" t="str">
        <f t="shared" si="135"/>
        <v/>
      </c>
      <c r="N985" s="1391" t="str">
        <f t="shared" si="136"/>
        <v/>
      </c>
      <c r="O985" s="19"/>
      <c r="P985" s="343"/>
      <c r="Q985" s="343"/>
      <c r="R985" s="343"/>
      <c r="S985" s="343"/>
      <c r="T985" s="343"/>
      <c r="U985" s="349"/>
      <c r="V985" s="349"/>
    </row>
    <row r="986" spans="1:22" s="534" customFormat="1" ht="12.75" hidden="1" customHeight="1" x14ac:dyDescent="0.3">
      <c r="A986" s="343" t="str">
        <f t="shared" si="132"/>
        <v>ausblenden</v>
      </c>
      <c r="B986" s="15"/>
      <c r="C986" s="17"/>
      <c r="D986" s="1386"/>
      <c r="E986" s="947" t="s">
        <v>1527</v>
      </c>
      <c r="F986" s="947"/>
      <c r="G986" s="947"/>
      <c r="H986" s="955" t="str">
        <f>EUconst_EUA</f>
        <v>EUA</v>
      </c>
      <c r="I986" s="948"/>
      <c r="J986" s="1165" t="str">
        <f>IF(T1084&gt;=$H$2595,S1081,I1081)</f>
        <v/>
      </c>
      <c r="K986" s="975" t="str">
        <f t="shared" si="133"/>
        <v/>
      </c>
      <c r="L986" s="975" t="str">
        <f t="shared" si="134"/>
        <v/>
      </c>
      <c r="M986" s="975" t="str">
        <f t="shared" si="135"/>
        <v/>
      </c>
      <c r="N986" s="1391" t="str">
        <f t="shared" si="136"/>
        <v/>
      </c>
      <c r="O986" s="19"/>
      <c r="P986" s="343"/>
      <c r="Q986" s="343"/>
      <c r="R986" s="343"/>
      <c r="S986" s="343"/>
      <c r="T986" s="343"/>
      <c r="U986" s="349"/>
      <c r="V986" s="349"/>
    </row>
    <row r="987" spans="1:22" s="534" customFormat="1" ht="12.75" hidden="1" customHeight="1" x14ac:dyDescent="0.3">
      <c r="A987" s="343" t="str">
        <f t="shared" si="132"/>
        <v>ausblenden</v>
      </c>
      <c r="B987" s="15"/>
      <c r="C987" s="17"/>
      <c r="D987" s="1386"/>
      <c r="E987" s="947" t="s">
        <v>1526</v>
      </c>
      <c r="F987" s="947"/>
      <c r="G987" s="947"/>
      <c r="H987" s="956" t="s">
        <v>1112</v>
      </c>
      <c r="I987" s="948"/>
      <c r="J987" s="1211" t="str">
        <f>IF(T1084&gt;=$H$2595,S1082,I1082)</f>
        <v/>
      </c>
      <c r="K987" s="1212" t="str">
        <f t="shared" si="133"/>
        <v/>
      </c>
      <c r="L987" s="1212" t="str">
        <f t="shared" si="134"/>
        <v/>
      </c>
      <c r="M987" s="1212" t="str">
        <f t="shared" si="135"/>
        <v/>
      </c>
      <c r="N987" s="1392" t="str">
        <f t="shared" si="136"/>
        <v/>
      </c>
      <c r="O987" s="19"/>
      <c r="P987" s="343"/>
      <c r="Q987" s="343"/>
      <c r="R987" s="343"/>
      <c r="S987" s="343"/>
      <c r="T987" s="343"/>
      <c r="U987" s="349"/>
      <c r="V987" s="349"/>
    </row>
    <row r="988" spans="1:22" s="534" customFormat="1" ht="12.75" hidden="1" customHeight="1" x14ac:dyDescent="0.3">
      <c r="A988" s="343" t="str">
        <f t="shared" si="132"/>
        <v>ausblenden</v>
      </c>
      <c r="B988" s="15"/>
      <c r="C988" s="17"/>
      <c r="D988" s="1386"/>
      <c r="E988" s="950" t="s">
        <v>1528</v>
      </c>
      <c r="F988" s="950"/>
      <c r="G988" s="950"/>
      <c r="H988" s="957" t="s">
        <v>1112</v>
      </c>
      <c r="I988" s="951"/>
      <c r="J988" s="1213" t="str">
        <f>IF(T1084&gt;=$H$2595,S1083,I1083)</f>
        <v/>
      </c>
      <c r="K988" s="1214" t="str">
        <f t="shared" si="133"/>
        <v/>
      </c>
      <c r="L988" s="1214" t="str">
        <f t="shared" si="134"/>
        <v/>
      </c>
      <c r="M988" s="1214" t="str">
        <f t="shared" si="135"/>
        <v/>
      </c>
      <c r="N988" s="1393" t="str">
        <f t="shared" si="136"/>
        <v/>
      </c>
      <c r="O988" s="19"/>
      <c r="P988" s="343"/>
      <c r="Q988" s="343"/>
      <c r="R988" s="343"/>
      <c r="S988" s="343"/>
      <c r="T988" s="343"/>
      <c r="U988" s="349"/>
      <c r="V988" s="349"/>
    </row>
    <row r="989" spans="1:22" s="534" customFormat="1" ht="12.75" customHeight="1" x14ac:dyDescent="0.3">
      <c r="A989" s="343"/>
      <c r="B989" s="15"/>
      <c r="C989" s="17"/>
      <c r="D989" s="1386"/>
      <c r="E989" s="514" t="str">
        <f>Translations!$B$1565</f>
        <v>Preliminärt tilldelningsvärde</v>
      </c>
      <c r="F989" s="514"/>
      <c r="G989" s="514"/>
      <c r="H989" s="129" t="str">
        <f>EUconst_EUA</f>
        <v>EUA</v>
      </c>
      <c r="I989" s="1151"/>
      <c r="J989" s="1131" t="str">
        <f>IF($I969="","",MAX(0,ROUND((SUM($M972)*SUM(J983)*SUM(J987)*SUM(J988)-SUM(J984)-SUM(J985)+SUM(J986))*IF($H972=TRUE,1,J$2517),0)))</f>
        <v/>
      </c>
      <c r="K989" s="421" t="str">
        <f>IF($I969="","",MAX(0,ROUND((SUM($M972)*SUM(K983)*SUM(K987)*SUM(K988)-SUM(K984)-SUM(K985)+SUM(K986))*IF($H972=TRUE,1,K$2517),0)))</f>
        <v/>
      </c>
      <c r="L989" s="421" t="str">
        <f>IF($I969="","",MAX(0,ROUND((SUM($M972)*SUM(L983)*SUM(L987)*SUM(L988)-SUM(L984)-SUM(L985)+SUM(L986))*IF($H972=TRUE,1,L$2517),0)))</f>
        <v/>
      </c>
      <c r="M989" s="421" t="str">
        <f>IF($I969="","",MAX(0,ROUND((SUM($M972)*SUM(M983)*SUM(M987)*SUM(M988)-SUM(M984)-SUM(M985)+SUM(M986))*IF($H972=TRUE,1,M$2517),0)))</f>
        <v/>
      </c>
      <c r="N989" s="967" t="str">
        <f>IF($I969="","",MAX(0,ROUND((SUM($M972+IF(L972=52,0.415,0))*SUM(N983)*SUM(N987)*SUM(N988)-SUM(N984)-SUM(N985)+SUM(N986))*IF($H972=TRUE,1,N$2517),0)))</f>
        <v/>
      </c>
      <c r="O989" s="19"/>
      <c r="P989" s="343"/>
      <c r="Q989" s="343"/>
      <c r="R989" s="343"/>
      <c r="S989" s="343"/>
      <c r="T989" s="343"/>
      <c r="U989" s="349"/>
      <c r="V989" s="349"/>
    </row>
    <row r="990" spans="1:22" s="534" customFormat="1" ht="5.15" customHeight="1" x14ac:dyDescent="0.3">
      <c r="A990" s="343"/>
      <c r="B990" s="15"/>
      <c r="C990" s="17"/>
      <c r="D990" s="1386"/>
      <c r="E990" s="17"/>
      <c r="F990" s="17"/>
      <c r="G990" s="17"/>
      <c r="H990" s="17"/>
      <c r="I990" s="17"/>
      <c r="J990" s="17"/>
      <c r="K990" s="17"/>
      <c r="L990" s="17"/>
      <c r="M990" s="17"/>
      <c r="N990" s="1388"/>
      <c r="O990" s="19"/>
      <c r="P990" s="343"/>
      <c r="Q990" s="343"/>
      <c r="R990" s="343"/>
      <c r="S990" s="343"/>
      <c r="T990" s="343"/>
      <c r="U990" s="349"/>
      <c r="V990" s="349"/>
    </row>
    <row r="991" spans="1:22" s="534" customFormat="1" ht="12.75" customHeight="1" x14ac:dyDescent="0.3">
      <c r="A991" s="343"/>
      <c r="B991" s="15"/>
      <c r="C991" s="17"/>
      <c r="D991" s="1386"/>
      <c r="E991" s="42" t="str">
        <f>Translations!$B$1566</f>
        <v>Ändringar: Verksamhetsnivå</v>
      </c>
      <c r="F991" s="188"/>
      <c r="G991" s="188"/>
      <c r="H991" s="30" t="str">
        <f>EUconst_Unit</f>
        <v>Enhet</v>
      </c>
      <c r="I991" s="1157"/>
      <c r="J991" s="1065">
        <f>J$2596</f>
        <v>2021</v>
      </c>
      <c r="K991" s="350">
        <f>K$2596</f>
        <v>2022</v>
      </c>
      <c r="L991" s="350">
        <f>L$2596</f>
        <v>2023</v>
      </c>
      <c r="M991" s="350">
        <f>M$2596</f>
        <v>2024</v>
      </c>
      <c r="N991" s="966">
        <f>N$2596</f>
        <v>2025</v>
      </c>
      <c r="O991" s="19"/>
      <c r="P991" s="343"/>
      <c r="Q991" s="343"/>
      <c r="R991" s="343"/>
      <c r="S991" s="343"/>
      <c r="T991" s="343"/>
      <c r="U991" s="349"/>
      <c r="V991" s="349"/>
    </row>
    <row r="992" spans="1:22" s="534" customFormat="1" ht="12.75" customHeight="1" x14ac:dyDescent="0.3">
      <c r="A992" s="343"/>
      <c r="B992" s="15"/>
      <c r="C992" s="17"/>
      <c r="D992" s="1386"/>
      <c r="E992" s="944" t="str">
        <f>Translations!$B$1482</f>
        <v>Genomsnittligt årligt värde</v>
      </c>
      <c r="F992" s="944"/>
      <c r="G992" s="944"/>
      <c r="H992" s="1443" t="str">
        <f>H983</f>
        <v>ton</v>
      </c>
      <c r="I992" s="1367"/>
      <c r="J992" s="1161" t="str">
        <f>INDEX(F_ProductBM!J:J,MATCH($P992,F_ProductBM!$Q:$Q,0))</f>
        <v/>
      </c>
      <c r="K992" s="946" t="str">
        <f>INDEX(F_ProductBM!K:K,MATCH($P992,F_ProductBM!$Q:$Q,0))</f>
        <v/>
      </c>
      <c r="L992" s="946" t="str">
        <f>INDEX(F_ProductBM!L:L,MATCH($P992,F_ProductBM!$Q:$Q,0))</f>
        <v/>
      </c>
      <c r="M992" s="946" t="str">
        <f>INDEX(F_ProductBM!M:M,MATCH($P992,F_ProductBM!$Q:$Q,0))</f>
        <v/>
      </c>
      <c r="N992" s="1046" t="str">
        <f>INDEX(F_ProductBM!N:N,MATCH($P992,F_ProductBM!$Q:$Q,0))</f>
        <v/>
      </c>
      <c r="O992" s="19"/>
      <c r="P992" s="165" t="str">
        <f>EUconst_CNTR_HALinitial&amp;I969</f>
        <v>HALini_</v>
      </c>
      <c r="Q992" s="343"/>
      <c r="R992" s="343"/>
      <c r="S992" s="343"/>
      <c r="T992" s="343"/>
      <c r="U992" s="349"/>
      <c r="V992" s="349"/>
    </row>
    <row r="993" spans="1:22" s="534" customFormat="1" ht="12.75" customHeight="1" x14ac:dyDescent="0.3">
      <c r="A993" s="343"/>
      <c r="B993" s="15"/>
      <c r="C993" s="17"/>
      <c r="D993" s="1386"/>
      <c r="E993" s="947" t="str">
        <f>Translations!$B$1567</f>
        <v>Ändring jämfört med historik verksamhetsnivå</v>
      </c>
      <c r="F993" s="947"/>
      <c r="G993" s="947"/>
      <c r="H993" s="1442" t="s">
        <v>1112</v>
      </c>
      <c r="I993" s="1371"/>
      <c r="J993" s="1415" t="str">
        <f>INDEX(F_ProductBM!J:J,MATCH($P993,F_ProductBM!$Q:$Q,0))</f>
        <v/>
      </c>
      <c r="K993" s="1416" t="str">
        <f>INDEX(F_ProductBM!K:K,MATCH($P993,F_ProductBM!$Q:$Q,0))</f>
        <v/>
      </c>
      <c r="L993" s="1416" t="str">
        <f>INDEX(F_ProductBM!L:L,MATCH($P993,F_ProductBM!$Q:$Q,0))</f>
        <v/>
      </c>
      <c r="M993" s="1416" t="str">
        <f>INDEX(F_ProductBM!M:M,MATCH($P993,F_ProductBM!$Q:$Q,0))</f>
        <v/>
      </c>
      <c r="N993" s="1417" t="str">
        <f>INDEX(F_ProductBM!N:N,MATCH($P993,F_ProductBM!$Q:$Q,0))</f>
        <v/>
      </c>
      <c r="O993" s="19"/>
      <c r="P993" s="165" t="str">
        <f>EUconst_CNTR_RelThreshold &amp; P995</f>
        <v>RelThresh_HALprelim_</v>
      </c>
      <c r="Q993" s="343"/>
      <c r="R993" s="343"/>
      <c r="S993" s="343"/>
      <c r="T993" s="343"/>
      <c r="U993" s="349"/>
      <c r="V993" s="349"/>
    </row>
    <row r="994" spans="1:22" s="534" customFormat="1" ht="12.75" customHeight="1" x14ac:dyDescent="0.3">
      <c r="A994" s="343"/>
      <c r="B994" s="15"/>
      <c r="C994" s="17"/>
      <c r="D994" s="1386"/>
      <c r="E994" s="1418" t="str">
        <f>Translations!$B$1553</f>
        <v>Kriterium 3a: Har relativa tröskelvärden överskridits?</v>
      </c>
      <c r="F994" s="1418"/>
      <c r="G994" s="1418"/>
      <c r="H994" s="1444" t="s">
        <v>1112</v>
      </c>
      <c r="I994" s="1423"/>
      <c r="J994" s="1420" t="str">
        <f>INDEX(F_ProductBM!V:V,MATCH($P994,F_ProductBM!$Q:$Q,0)+1)</f>
        <v/>
      </c>
      <c r="K994" s="1421" t="str">
        <f>INDEX(F_ProductBM!W:W,MATCH($P994,F_ProductBM!$Q:$Q,0)+1)</f>
        <v/>
      </c>
      <c r="L994" s="1421" t="str">
        <f>INDEX(F_ProductBM!X:X,MATCH($P994,F_ProductBM!$Q:$Q,0)+1)</f>
        <v/>
      </c>
      <c r="M994" s="1421" t="str">
        <f>INDEX(F_ProductBM!Y:Y,MATCH($P994,F_ProductBM!$Q:$Q,0)+1)</f>
        <v/>
      </c>
      <c r="N994" s="1422" t="str">
        <f>INDEX(F_ProductBM!Z:Z,MATCH($P994,F_ProductBM!$Q:$Q,0)+1)</f>
        <v/>
      </c>
      <c r="O994" s="19"/>
      <c r="P994" s="165" t="str">
        <f>P993</f>
        <v>RelThresh_HALprelim_</v>
      </c>
      <c r="Q994" s="343"/>
      <c r="R994" s="343"/>
      <c r="S994" s="343"/>
      <c r="T994" s="343"/>
      <c r="U994" s="349"/>
      <c r="V994" s="349"/>
    </row>
    <row r="995" spans="1:22" s="534" customFormat="1" ht="12.75" customHeight="1" x14ac:dyDescent="0.3">
      <c r="A995" s="343" t="str">
        <f t="shared" ref="A995:A1000" si="137">IF(P995="","ausblenden","")</f>
        <v/>
      </c>
      <c r="B995" s="15"/>
      <c r="C995" s="17"/>
      <c r="D995" s="1386"/>
      <c r="E995" s="950" t="str">
        <f>Translations!$B$1568</f>
        <v>Preliminärt värde</v>
      </c>
      <c r="F995" s="950"/>
      <c r="G995" s="950"/>
      <c r="H995" s="1372" t="str">
        <f>F975</f>
        <v>ton</v>
      </c>
      <c r="I995" s="950"/>
      <c r="J995" s="1373" t="str">
        <f>INDEX(F_ProductBM!J:J,MATCH($P995,F_ProductBM!$Q:$Q,0))</f>
        <v/>
      </c>
      <c r="K995" s="1374" t="str">
        <f>INDEX(F_ProductBM!K:K,MATCH($P995,F_ProductBM!$Q:$Q,0))</f>
        <v/>
      </c>
      <c r="L995" s="1374" t="str">
        <f>INDEX(F_ProductBM!L:L,MATCH($P995,F_ProductBM!$Q:$Q,0))</f>
        <v/>
      </c>
      <c r="M995" s="1374" t="str">
        <f>INDEX(F_ProductBM!M:M,MATCH($P995,F_ProductBM!$Q:$Q,0))</f>
        <v/>
      </c>
      <c r="N995" s="1395" t="str">
        <f>INDEX(F_ProductBM!N:N,MATCH($P995,F_ProductBM!$Q:$Q,0))</f>
        <v/>
      </c>
      <c r="O995" s="19"/>
      <c r="P995" s="165" t="str">
        <f>EUconst_CNTR_HALprelim&amp;I969</f>
        <v>HALprelim_</v>
      </c>
      <c r="Q995" s="343"/>
      <c r="R995" s="343"/>
      <c r="S995" s="343"/>
      <c r="T995" s="343"/>
      <c r="U995" s="349"/>
      <c r="V995" s="349"/>
    </row>
    <row r="996" spans="1:22" s="534" customFormat="1" ht="12.75" hidden="1" customHeight="1" x14ac:dyDescent="0.3">
      <c r="A996" s="343" t="str">
        <f t="shared" si="137"/>
        <v>ausblenden</v>
      </c>
      <c r="B996" s="15"/>
      <c r="C996" s="17"/>
      <c r="D996" s="1386"/>
      <c r="E996" s="944" t="s">
        <v>339</v>
      </c>
      <c r="F996" s="944"/>
      <c r="G996" s="944"/>
      <c r="H996" s="954" t="str">
        <f>EUconst_EUA</f>
        <v>EUA</v>
      </c>
      <c r="I996" s="945"/>
      <c r="J996" s="1209" t="str">
        <f>J984</f>
        <v/>
      </c>
      <c r="K996" s="1210" t="str">
        <f t="shared" ref="K996:K1000" si="138">J1079</f>
        <v/>
      </c>
      <c r="L996" s="1210" t="str">
        <f t="shared" ref="L996:L1000" si="139">K1079</f>
        <v/>
      </c>
      <c r="M996" s="1210" t="str">
        <f t="shared" ref="M996:M1000" si="140">L1079</f>
        <v/>
      </c>
      <c r="N996" s="1390" t="str">
        <f t="shared" ref="N996:N1000" si="141">M1079</f>
        <v/>
      </c>
      <c r="O996" s="19"/>
      <c r="P996" s="343"/>
      <c r="Q996" s="343"/>
      <c r="R996" s="343"/>
      <c r="S996" s="343"/>
      <c r="T996" s="343"/>
      <c r="U996" s="349"/>
      <c r="V996" s="349"/>
    </row>
    <row r="997" spans="1:22" s="534" customFormat="1" ht="12.75" hidden="1" customHeight="1" x14ac:dyDescent="0.3">
      <c r="A997" s="343" t="str">
        <f t="shared" si="137"/>
        <v>ausblenden</v>
      </c>
      <c r="B997" s="15"/>
      <c r="C997" s="17"/>
      <c r="D997" s="1386"/>
      <c r="E997" s="947" t="s">
        <v>1560</v>
      </c>
      <c r="F997" s="947"/>
      <c r="G997" s="947"/>
      <c r="H997" s="955" t="str">
        <f>EUconst_EUA</f>
        <v>EUA</v>
      </c>
      <c r="I997" s="948"/>
      <c r="J997" s="1165" t="str">
        <f>J985</f>
        <v/>
      </c>
      <c r="K997" s="975" t="str">
        <f t="shared" si="138"/>
        <v/>
      </c>
      <c r="L997" s="975" t="str">
        <f t="shared" si="139"/>
        <v/>
      </c>
      <c r="M997" s="975" t="str">
        <f t="shared" si="140"/>
        <v/>
      </c>
      <c r="N997" s="1391" t="str">
        <f t="shared" si="141"/>
        <v/>
      </c>
      <c r="O997" s="19"/>
      <c r="P997" s="343"/>
      <c r="Q997" s="343"/>
      <c r="R997" s="343"/>
      <c r="S997" s="343"/>
      <c r="T997" s="343"/>
      <c r="U997" s="349"/>
      <c r="V997" s="349"/>
    </row>
    <row r="998" spans="1:22" s="534" customFormat="1" ht="12.75" hidden="1" customHeight="1" x14ac:dyDescent="0.3">
      <c r="A998" s="343" t="str">
        <f t="shared" si="137"/>
        <v>ausblenden</v>
      </c>
      <c r="B998" s="15"/>
      <c r="C998" s="17"/>
      <c r="D998" s="1386"/>
      <c r="E998" s="947" t="s">
        <v>1527</v>
      </c>
      <c r="F998" s="947"/>
      <c r="G998" s="947"/>
      <c r="H998" s="955" t="str">
        <f>EUconst_EUA</f>
        <v>EUA</v>
      </c>
      <c r="I998" s="948"/>
      <c r="J998" s="1165" t="str">
        <f>J986</f>
        <v/>
      </c>
      <c r="K998" s="975" t="str">
        <f t="shared" si="138"/>
        <v/>
      </c>
      <c r="L998" s="975" t="str">
        <f t="shared" si="139"/>
        <v/>
      </c>
      <c r="M998" s="975" t="str">
        <f t="shared" si="140"/>
        <v/>
      </c>
      <c r="N998" s="1391" t="str">
        <f t="shared" si="141"/>
        <v/>
      </c>
      <c r="O998" s="19"/>
      <c r="P998" s="343"/>
      <c r="Q998" s="343"/>
      <c r="R998" s="343"/>
      <c r="S998" s="343"/>
      <c r="T998" s="343"/>
      <c r="U998" s="349"/>
      <c r="V998" s="349"/>
    </row>
    <row r="999" spans="1:22" s="534" customFormat="1" ht="12.75" hidden="1" customHeight="1" x14ac:dyDescent="0.3">
      <c r="A999" s="343" t="str">
        <f t="shared" si="137"/>
        <v>ausblenden</v>
      </c>
      <c r="B999" s="15"/>
      <c r="C999" s="17"/>
      <c r="D999" s="1386"/>
      <c r="E999" s="947" t="s">
        <v>1526</v>
      </c>
      <c r="F999" s="947"/>
      <c r="G999" s="947"/>
      <c r="H999" s="956" t="s">
        <v>1112</v>
      </c>
      <c r="I999" s="948"/>
      <c r="J999" s="1211" t="str">
        <f>J987</f>
        <v/>
      </c>
      <c r="K999" s="1212" t="str">
        <f t="shared" si="138"/>
        <v/>
      </c>
      <c r="L999" s="1212" t="str">
        <f t="shared" si="139"/>
        <v/>
      </c>
      <c r="M999" s="1212" t="str">
        <f t="shared" si="140"/>
        <v/>
      </c>
      <c r="N999" s="1392" t="str">
        <f t="shared" si="141"/>
        <v/>
      </c>
      <c r="O999" s="19"/>
      <c r="P999" s="343"/>
      <c r="Q999" s="343"/>
      <c r="R999" s="343"/>
      <c r="S999" s="343"/>
      <c r="T999" s="343"/>
      <c r="U999" s="349"/>
      <c r="V999" s="349"/>
    </row>
    <row r="1000" spans="1:22" s="534" customFormat="1" ht="12.75" hidden="1" customHeight="1" x14ac:dyDescent="0.3">
      <c r="A1000" s="343" t="str">
        <f t="shared" si="137"/>
        <v>ausblenden</v>
      </c>
      <c r="B1000" s="15"/>
      <c r="C1000" s="17"/>
      <c r="D1000" s="1386"/>
      <c r="E1000" s="950" t="s">
        <v>1528</v>
      </c>
      <c r="F1000" s="950"/>
      <c r="G1000" s="950"/>
      <c r="H1000" s="957" t="s">
        <v>1112</v>
      </c>
      <c r="I1000" s="951"/>
      <c r="J1000" s="1213" t="str">
        <f>J988</f>
        <v/>
      </c>
      <c r="K1000" s="1214" t="str">
        <f t="shared" si="138"/>
        <v/>
      </c>
      <c r="L1000" s="1214" t="str">
        <f t="shared" si="139"/>
        <v/>
      </c>
      <c r="M1000" s="1214" t="str">
        <f t="shared" si="140"/>
        <v/>
      </c>
      <c r="N1000" s="1393" t="str">
        <f t="shared" si="141"/>
        <v/>
      </c>
      <c r="O1000" s="19"/>
      <c r="P1000" s="343"/>
      <c r="Q1000" s="343"/>
      <c r="R1000" s="343"/>
      <c r="S1000" s="343"/>
      <c r="T1000" s="343"/>
      <c r="U1000" s="349"/>
      <c r="V1000" s="349"/>
    </row>
    <row r="1001" spans="1:22" s="534" customFormat="1" ht="12.75" customHeight="1" x14ac:dyDescent="0.3">
      <c r="A1001" s="343"/>
      <c r="B1001" s="15"/>
      <c r="C1001" s="17"/>
      <c r="D1001" s="1386"/>
      <c r="E1001" s="514" t="str">
        <f>Translations!$B$1565</f>
        <v>Preliminärt tilldelningsvärde</v>
      </c>
      <c r="F1001" s="514"/>
      <c r="G1001" s="514"/>
      <c r="H1001" s="129" t="str">
        <f>EUconst_EUA</f>
        <v>EUA</v>
      </c>
      <c r="I1001" s="1151"/>
      <c r="J1001" s="1131" t="str">
        <f>IF($I969="","",MAX(0,ROUND((SUM($M972)*SUM(J995)*SUM(J999)*SUM(J1000)-SUM(J996)-SUM(J997)+SUM(J998))*IF($H972=TRUE,1,J$2517),0)))</f>
        <v/>
      </c>
      <c r="K1001" s="421" t="str">
        <f>IF($I969="","",MAX(0,ROUND((SUM($M972)*SUM(K995)*SUM(K999)*SUM(K1000)-SUM(K996)-SUM(K997)+SUM(K998))*IF($H972=TRUE,1,K$2517),0)))</f>
        <v/>
      </c>
      <c r="L1001" s="421" t="str">
        <f>IF($I969="","",MAX(0,ROUND((SUM($M972)*SUM(L995)*SUM(L999)*SUM(L1000)-SUM(L996)-SUM(L997)+SUM(L998))*IF($H972=TRUE,1,L$2517),0)))</f>
        <v/>
      </c>
      <c r="M1001" s="421" t="str">
        <f>IF($I969="","",MAX(0,ROUND((SUM($M972)*SUM(M995)*SUM(M999)*SUM(M1000)-SUM(M996)-SUM(M997)+SUM(M998))*IF($H972=TRUE,1,M$2517),0)))</f>
        <v/>
      </c>
      <c r="N1001" s="967" t="str">
        <f>IF($I969="","",MAX(0,ROUND((SUM($M972+IF(L972=52,0.415,0))*SUM(N995)*SUM(N999)*SUM(N1000)-SUM(N996)-SUM(N997)+SUM(N998))*IF($H972=TRUE,1,N$2517),0)))</f>
        <v/>
      </c>
      <c r="O1001" s="19"/>
      <c r="P1001" s="343"/>
      <c r="Q1001" s="343"/>
      <c r="R1001" s="343"/>
      <c r="S1001" s="343"/>
      <c r="T1001" s="343"/>
      <c r="U1001" s="349"/>
      <c r="V1001" s="349"/>
    </row>
    <row r="1002" spans="1:22" s="534" customFormat="1" ht="12.75" customHeight="1" x14ac:dyDescent="0.3">
      <c r="A1002" s="343"/>
      <c r="B1002" s="15"/>
      <c r="C1002" s="17"/>
      <c r="D1002" s="1386"/>
      <c r="E1002" s="514" t="str">
        <f>Translations!$B$1569</f>
        <v>Skillnad i tilldelning</v>
      </c>
      <c r="F1002" s="514"/>
      <c r="G1002" s="514"/>
      <c r="H1002" s="129" t="str">
        <f>EUconst_EUA</f>
        <v>EUA</v>
      </c>
      <c r="I1002" s="1151"/>
      <c r="J1002" s="1131" t="str">
        <f>IF($I969="","",ABS(SUM(J1001)-SUM(J989)))</f>
        <v/>
      </c>
      <c r="K1002" s="421" t="str">
        <f>IF($I969="","",ABS(SUM(K1001)-SUM(K989)))</f>
        <v/>
      </c>
      <c r="L1002" s="421" t="str">
        <f>IF($I969="","",ABS(SUM(L1001)-SUM(L989)))</f>
        <v/>
      </c>
      <c r="M1002" s="421" t="str">
        <f>IF($I969="","",ABS(SUM(M1001)-SUM(M989)))</f>
        <v/>
      </c>
      <c r="N1002" s="967" t="str">
        <f>IF($I969="","",ABS(SUM(N1001)-SUM(N989)))</f>
        <v/>
      </c>
      <c r="O1002" s="19"/>
      <c r="P1002" s="343"/>
      <c r="Q1002" s="343"/>
      <c r="R1002" s="343"/>
      <c r="S1002" s="343"/>
      <c r="T1002" s="343"/>
      <c r="U1002" s="349"/>
      <c r="V1002" s="349"/>
    </row>
    <row r="1003" spans="1:22" s="534" customFormat="1" ht="12.75" customHeight="1" x14ac:dyDescent="0.3">
      <c r="A1003" s="343"/>
      <c r="B1003" s="15"/>
      <c r="C1003" s="17"/>
      <c r="D1003" s="1386"/>
      <c r="E1003" s="1419" t="str">
        <f>Translations!$B$1555</f>
        <v>Kriterium 4a: Är skillnaden minst 100 utsläppsrätter?</v>
      </c>
      <c r="F1003" s="1419"/>
      <c r="G1003" s="1419"/>
      <c r="H1003" s="1424" t="s">
        <v>1112</v>
      </c>
      <c r="I1003" s="1425"/>
      <c r="J1003" s="1426" t="str">
        <f>IF($I969="","",J1002&gt;=100)</f>
        <v/>
      </c>
      <c r="K1003" s="1427" t="str">
        <f>IF($I969="","",K1002&gt;=100)</f>
        <v/>
      </c>
      <c r="L1003" s="1427" t="str">
        <f>IF($I969="","",L1002&gt;=100)</f>
        <v/>
      </c>
      <c r="M1003" s="1427" t="str">
        <f>IF($I969="","",M1002&gt;=100)</f>
        <v/>
      </c>
      <c r="N1003" s="1428" t="str">
        <f>IF($I969="","",N1002&gt;=100)</f>
        <v/>
      </c>
      <c r="O1003" s="19"/>
      <c r="P1003" s="165" t="str">
        <f>EUconst_CNTR_100EUA_ActivityLevel&amp;I969</f>
        <v>EUA100AL_</v>
      </c>
      <c r="Q1003" s="343"/>
      <c r="R1003" s="343"/>
      <c r="S1003" s="343"/>
      <c r="T1003" s="343"/>
      <c r="U1003" s="349"/>
      <c r="V1003" s="349"/>
    </row>
    <row r="1004" spans="1:22" s="534" customFormat="1" ht="5.15" customHeight="1" x14ac:dyDescent="0.3">
      <c r="A1004" s="343"/>
      <c r="B1004" s="15"/>
      <c r="C1004" s="17"/>
      <c r="D1004" s="1386"/>
      <c r="E1004" s="15"/>
      <c r="F1004" s="15"/>
      <c r="G1004" s="15"/>
      <c r="H1004" s="15"/>
      <c r="I1004" s="941"/>
      <c r="J1004" s="15"/>
      <c r="K1004" s="15"/>
      <c r="L1004" s="15"/>
      <c r="M1004" s="15"/>
      <c r="N1004" s="968"/>
      <c r="O1004" s="19"/>
      <c r="P1004" s="343"/>
      <c r="Q1004" s="343"/>
      <c r="R1004" s="343"/>
      <c r="S1004" s="343"/>
      <c r="T1004" s="343"/>
      <c r="U1004" s="349"/>
      <c r="V1004" s="349"/>
    </row>
    <row r="1005" spans="1:22" s="534" customFormat="1" ht="12.75" customHeight="1" x14ac:dyDescent="0.3">
      <c r="A1005" s="343"/>
      <c r="B1005" s="15"/>
      <c r="C1005" s="17"/>
      <c r="D1005" s="1386"/>
      <c r="E1005" s="42" t="str">
        <f>Translations!$B$1570</f>
        <v>Ändringar: Utbytt el</v>
      </c>
      <c r="F1005" s="188"/>
      <c r="G1005" s="188"/>
      <c r="H1005" s="30" t="str">
        <f>EUconst_Unit</f>
        <v>Enhet</v>
      </c>
      <c r="I1005" s="1157"/>
      <c r="J1005" s="1065">
        <f>J$2596</f>
        <v>2021</v>
      </c>
      <c r="K1005" s="350">
        <f>K$2596</f>
        <v>2022</v>
      </c>
      <c r="L1005" s="350">
        <f>L$2596</f>
        <v>2023</v>
      </c>
      <c r="M1005" s="350">
        <f>M$2596</f>
        <v>2024</v>
      </c>
      <c r="N1005" s="966">
        <f>N$2596</f>
        <v>2025</v>
      </c>
      <c r="O1005" s="19"/>
      <c r="P1005" s="343"/>
      <c r="Q1005" s="343"/>
      <c r="R1005" s="343"/>
      <c r="S1005" s="343"/>
      <c r="T1005" s="343"/>
      <c r="U1005" s="349"/>
      <c r="V1005" s="349"/>
    </row>
    <row r="1006" spans="1:22" s="534" customFormat="1" ht="12.75" hidden="1" customHeight="1" x14ac:dyDescent="0.3">
      <c r="A1006" s="343" t="str">
        <f>IF(P1006="","ausblenden","")</f>
        <v>ausblenden</v>
      </c>
      <c r="B1006" s="15"/>
      <c r="C1006" s="17"/>
      <c r="D1006" s="1386"/>
      <c r="E1006" s="514" t="s">
        <v>1918</v>
      </c>
      <c r="F1006" s="514"/>
      <c r="G1006" s="514"/>
      <c r="H1006" s="917" t="str">
        <f>H995</f>
        <v>ton</v>
      </c>
      <c r="I1006" s="514"/>
      <c r="J1006" s="1152" t="str">
        <f>J983</f>
        <v/>
      </c>
      <c r="K1006" s="943" t="str">
        <f t="shared" ref="K1006:K1009" si="142">J1078</f>
        <v/>
      </c>
      <c r="L1006" s="943" t="str">
        <f t="shared" ref="L1006:L1009" si="143">K1078</f>
        <v/>
      </c>
      <c r="M1006" s="943" t="str">
        <f t="shared" ref="M1006:M1009" si="144">L1078</f>
        <v/>
      </c>
      <c r="N1006" s="1389" t="str">
        <f t="shared" ref="N1006:N1009" si="145">M1078</f>
        <v/>
      </c>
      <c r="O1006" s="19"/>
      <c r="P1006" s="343"/>
      <c r="Q1006" s="343"/>
      <c r="R1006" s="343"/>
      <c r="S1006" s="343"/>
      <c r="T1006" s="343"/>
      <c r="U1006" s="349"/>
      <c r="V1006" s="349"/>
    </row>
    <row r="1007" spans="1:22" s="534" customFormat="1" ht="12.75" hidden="1" customHeight="1" x14ac:dyDescent="0.3">
      <c r="A1007" s="343" t="str">
        <f>IF(P1007="","ausblenden","")</f>
        <v>ausblenden</v>
      </c>
      <c r="B1007" s="15"/>
      <c r="C1007" s="17"/>
      <c r="D1007" s="1386"/>
      <c r="E1007" s="944" t="s">
        <v>339</v>
      </c>
      <c r="F1007" s="944"/>
      <c r="G1007" s="944"/>
      <c r="H1007" s="954" t="str">
        <f>EUconst_EUA</f>
        <v>EUA</v>
      </c>
      <c r="I1007" s="945"/>
      <c r="J1007" s="1209" t="str">
        <f>J984</f>
        <v/>
      </c>
      <c r="K1007" s="1210" t="str">
        <f t="shared" si="142"/>
        <v/>
      </c>
      <c r="L1007" s="1210" t="str">
        <f t="shared" si="143"/>
        <v/>
      </c>
      <c r="M1007" s="1210" t="str">
        <f t="shared" si="144"/>
        <v/>
      </c>
      <c r="N1007" s="1390" t="str">
        <f t="shared" si="145"/>
        <v/>
      </c>
      <c r="O1007" s="19"/>
      <c r="P1007" s="343"/>
      <c r="Q1007" s="343"/>
      <c r="R1007" s="343"/>
      <c r="S1007" s="343"/>
      <c r="T1007" s="343"/>
      <c r="U1007" s="349"/>
      <c r="V1007" s="349"/>
    </row>
    <row r="1008" spans="1:22" s="534" customFormat="1" ht="12.75" hidden="1" customHeight="1" x14ac:dyDescent="0.3">
      <c r="A1008" s="343" t="str">
        <f>IF(P1008="","ausblenden","")</f>
        <v>ausblenden</v>
      </c>
      <c r="B1008" s="15"/>
      <c r="C1008" s="17"/>
      <c r="D1008" s="1386"/>
      <c r="E1008" s="947" t="s">
        <v>1560</v>
      </c>
      <c r="F1008" s="947"/>
      <c r="G1008" s="947"/>
      <c r="H1008" s="955" t="str">
        <f>EUconst_EUA</f>
        <v>EUA</v>
      </c>
      <c r="I1008" s="948"/>
      <c r="J1008" s="1165" t="str">
        <f>J985</f>
        <v/>
      </c>
      <c r="K1008" s="975" t="str">
        <f t="shared" si="142"/>
        <v/>
      </c>
      <c r="L1008" s="975" t="str">
        <f t="shared" si="143"/>
        <v/>
      </c>
      <c r="M1008" s="975" t="str">
        <f t="shared" si="144"/>
        <v/>
      </c>
      <c r="N1008" s="1391" t="str">
        <f t="shared" si="145"/>
        <v/>
      </c>
      <c r="O1008" s="19"/>
      <c r="P1008" s="343"/>
      <c r="Q1008" s="343"/>
      <c r="R1008" s="343"/>
      <c r="S1008" s="343"/>
      <c r="T1008" s="343"/>
      <c r="U1008" s="349"/>
      <c r="V1008" s="349"/>
    </row>
    <row r="1009" spans="1:22" s="534" customFormat="1" ht="12.75" hidden="1" customHeight="1" x14ac:dyDescent="0.3">
      <c r="A1009" s="343" t="str">
        <f>IF(P1009="","ausblenden","")</f>
        <v>ausblenden</v>
      </c>
      <c r="B1009" s="15"/>
      <c r="C1009" s="17"/>
      <c r="D1009" s="1386"/>
      <c r="E1009" s="1433" t="s">
        <v>1527</v>
      </c>
      <c r="F1009" s="1433"/>
      <c r="G1009" s="1433"/>
      <c r="H1009" s="1434" t="str">
        <f>EUconst_EUA</f>
        <v>EUA</v>
      </c>
      <c r="I1009" s="1435"/>
      <c r="J1009" s="1436" t="str">
        <f>J986</f>
        <v/>
      </c>
      <c r="K1009" s="1437" t="str">
        <f t="shared" si="142"/>
        <v/>
      </c>
      <c r="L1009" s="1437" t="str">
        <f t="shared" si="143"/>
        <v/>
      </c>
      <c r="M1009" s="1437" t="str">
        <f t="shared" si="144"/>
        <v/>
      </c>
      <c r="N1009" s="1438" t="str">
        <f t="shared" si="145"/>
        <v/>
      </c>
      <c r="O1009" s="19"/>
      <c r="P1009" s="343"/>
      <c r="Q1009" s="343"/>
      <c r="R1009" s="343"/>
      <c r="S1009" s="343"/>
      <c r="T1009" s="343"/>
      <c r="U1009" s="349"/>
      <c r="V1009" s="349"/>
    </row>
    <row r="1010" spans="1:22" s="534" customFormat="1" ht="12.75" customHeight="1" x14ac:dyDescent="0.3">
      <c r="A1010" s="343"/>
      <c r="B1010" s="15"/>
      <c r="C1010" s="17"/>
      <c r="D1010" s="1386"/>
      <c r="E1010" s="944" t="str">
        <f>Translations!$B$1482</f>
        <v>Genomsnittligt årligt värde</v>
      </c>
      <c r="F1010" s="944"/>
      <c r="G1010" s="944"/>
      <c r="H1010" s="627" t="s">
        <v>1112</v>
      </c>
      <c r="I1010" s="945"/>
      <c r="J1010" s="1439" t="str">
        <f>INDEX(F_ProductBM!J:J,MATCH($P1010,F_ProductBM!$Q:$Q,0))</f>
        <v/>
      </c>
      <c r="K1010" s="1440" t="str">
        <f>INDEX(F_ProductBM!K:K,MATCH($P1010,F_ProductBM!$Q:$Q,0))</f>
        <v/>
      </c>
      <c r="L1010" s="1440" t="str">
        <f>INDEX(F_ProductBM!L:L,MATCH($P1010,F_ProductBM!$Q:$Q,0))</f>
        <v/>
      </c>
      <c r="M1010" s="1440" t="str">
        <f>INDEX(F_ProductBM!M:M,MATCH($P1010,F_ProductBM!$Q:$Q,0))</f>
        <v/>
      </c>
      <c r="N1010" s="1441" t="str">
        <f>INDEX(F_ProductBM!N:N,MATCH($P1010,F_ProductBM!$Q:$Q,0))</f>
        <v/>
      </c>
      <c r="O1010" s="19"/>
      <c r="P1010" s="165" t="str">
        <f>EUconst_CNTR_HAL &amp; EUconst_CNTR_ELEXCHInitial &amp; I969</f>
        <v>HAL_ELEXCHIni_</v>
      </c>
      <c r="Q1010" s="343"/>
      <c r="R1010" s="343"/>
      <c r="S1010" s="343"/>
      <c r="T1010" s="343"/>
      <c r="U1010" s="349"/>
      <c r="V1010" s="349"/>
    </row>
    <row r="1011" spans="1:22" s="534" customFormat="1" ht="12.75" customHeight="1" x14ac:dyDescent="0.3">
      <c r="A1011" s="343"/>
      <c r="B1011" s="15"/>
      <c r="C1011" s="17"/>
      <c r="D1011" s="1386"/>
      <c r="E1011" s="947" t="str">
        <f>Translations!$B$1571</f>
        <v>Ändring jämfört med värde enligt nationella genomförandeåtgärder</v>
      </c>
      <c r="F1011" s="947"/>
      <c r="G1011" s="947"/>
      <c r="H1011" s="1442" t="s">
        <v>1112</v>
      </c>
      <c r="I1011" s="1371"/>
      <c r="J1011" s="1415" t="str">
        <f>INDEX(F_ProductBM!J:J,MATCH($P1011,F_ProductBM!$Q:$Q,0))</f>
        <v/>
      </c>
      <c r="K1011" s="1416" t="str">
        <f>INDEX(F_ProductBM!K:K,MATCH($P1011,F_ProductBM!$Q:$Q,0))</f>
        <v/>
      </c>
      <c r="L1011" s="1416" t="str">
        <f>INDEX(F_ProductBM!L:L,MATCH($P1011,F_ProductBM!$Q:$Q,0))</f>
        <v/>
      </c>
      <c r="M1011" s="1416" t="str">
        <f>INDEX(F_ProductBM!M:M,MATCH($P1011,F_ProductBM!$Q:$Q,0))</f>
        <v/>
      </c>
      <c r="N1011" s="1417" t="str">
        <f>INDEX(F_ProductBM!N:N,MATCH($P1011,F_ProductBM!$Q:$Q,0))</f>
        <v/>
      </c>
      <c r="O1011" s="19"/>
      <c r="P1011" s="165" t="str">
        <f>EUconst_CNTR_RelThreshold &amp; P1013</f>
        <v>RelThresh_HALprelim_ELEXCH_</v>
      </c>
      <c r="Q1011" s="343"/>
      <c r="R1011" s="343"/>
      <c r="S1011" s="343"/>
      <c r="T1011" s="343"/>
      <c r="U1011" s="349"/>
      <c r="V1011" s="349"/>
    </row>
    <row r="1012" spans="1:22" s="534" customFormat="1" ht="12.75" customHeight="1" x14ac:dyDescent="0.3">
      <c r="A1012" s="343"/>
      <c r="B1012" s="15"/>
      <c r="C1012" s="17"/>
      <c r="D1012" s="1386"/>
      <c r="E1012" s="1418" t="str">
        <f>Translations!$B$1572</f>
        <v>Kriterium 3b: Har relativa tröskelvärden överskridits?</v>
      </c>
      <c r="F1012" s="1418"/>
      <c r="G1012" s="1418"/>
      <c r="H1012" s="1444" t="s">
        <v>1112</v>
      </c>
      <c r="I1012" s="1423"/>
      <c r="J1012" s="1420" t="str">
        <f>INDEX(F_ProductBM!V:V,MATCH($P1012,F_ProductBM!$Q:$Q,0))</f>
        <v/>
      </c>
      <c r="K1012" s="1421" t="str">
        <f>INDEX(F_ProductBM!W:W,MATCH($P1012,F_ProductBM!$Q:$Q,0))</f>
        <v/>
      </c>
      <c r="L1012" s="1421" t="str">
        <f>INDEX(F_ProductBM!X:X,MATCH($P1012,F_ProductBM!$Q:$Q,0))</f>
        <v/>
      </c>
      <c r="M1012" s="1421" t="str">
        <f>INDEX(F_ProductBM!Y:Y,MATCH($P1012,F_ProductBM!$Q:$Q,0))</f>
        <v/>
      </c>
      <c r="N1012" s="1422" t="str">
        <f>INDEX(F_ProductBM!Z:Z,MATCH($P1012,F_ProductBM!$Q:$Q,0))</f>
        <v/>
      </c>
      <c r="O1012" s="19"/>
      <c r="P1012" s="165" t="str">
        <f>P1011</f>
        <v>RelThresh_HALprelim_ELEXCH_</v>
      </c>
      <c r="Q1012" s="343"/>
      <c r="R1012" s="343"/>
      <c r="S1012" s="343"/>
      <c r="T1012" s="343"/>
      <c r="U1012" s="349"/>
      <c r="V1012" s="349"/>
    </row>
    <row r="1013" spans="1:22" s="534" customFormat="1" ht="12.75" customHeight="1" x14ac:dyDescent="0.3">
      <c r="A1013" s="343" t="str">
        <f>IF(P1013="","ausblenden","")</f>
        <v/>
      </c>
      <c r="B1013" s="15"/>
      <c r="C1013" s="17"/>
      <c r="D1013" s="1386"/>
      <c r="E1013" s="950" t="str">
        <f>Translations!$B$1568</f>
        <v>Preliminärt värde</v>
      </c>
      <c r="F1013" s="950"/>
      <c r="G1013" s="950"/>
      <c r="H1013" s="629" t="s">
        <v>1112</v>
      </c>
      <c r="I1013" s="950"/>
      <c r="J1013" s="1404" t="str">
        <f>IF($I972=TRUE,INDEX(F_ProductBM!J:J,MATCH($P1013,F_ProductBM!$Q:$Q,0)),"")</f>
        <v/>
      </c>
      <c r="K1013" s="1405" t="str">
        <f>IF($I972=TRUE,INDEX(F_ProductBM!K:K,MATCH($P1013,F_ProductBM!$Q:$Q,0)),"")</f>
        <v/>
      </c>
      <c r="L1013" s="1405" t="str">
        <f>IF($I972=TRUE,INDEX(F_ProductBM!L:L,MATCH($P1013,F_ProductBM!$Q:$Q,0)),"")</f>
        <v/>
      </c>
      <c r="M1013" s="1405" t="str">
        <f>IF($I972=TRUE,INDEX(F_ProductBM!M:M,MATCH($P1013,F_ProductBM!$Q:$Q,0)),"")</f>
        <v/>
      </c>
      <c r="N1013" s="1406" t="str">
        <f>IF($I972=TRUE,INDEX(F_ProductBM!N:N,MATCH($P1013,F_ProductBM!$Q:$Q,0)),"")</f>
        <v/>
      </c>
      <c r="O1013" s="19"/>
      <c r="P1013" s="165" t="str">
        <f>EUconst_CNTR_HALprelim&amp;EUconst_CNTR_ELEXCH&amp;$I969</f>
        <v>HALprelim_ELEXCH_</v>
      </c>
      <c r="Q1013" s="343"/>
      <c r="R1013" s="343"/>
      <c r="S1013" s="343"/>
      <c r="T1013" s="343"/>
      <c r="U1013" s="349"/>
      <c r="V1013" s="349"/>
    </row>
    <row r="1014" spans="1:22" s="534" customFormat="1" ht="12.75" hidden="1" customHeight="1" x14ac:dyDescent="0.3">
      <c r="A1014" s="343" t="str">
        <f>IF(P1014="","ausblenden","")</f>
        <v>ausblenden</v>
      </c>
      <c r="B1014" s="15"/>
      <c r="C1014" s="17"/>
      <c r="D1014" s="1386"/>
      <c r="E1014" s="950" t="s">
        <v>1528</v>
      </c>
      <c r="F1014" s="950"/>
      <c r="G1014" s="950"/>
      <c r="H1014" s="1375" t="s">
        <v>1112</v>
      </c>
      <c r="I1014" s="951"/>
      <c r="J1014" s="1213" t="str">
        <f>J988</f>
        <v/>
      </c>
      <c r="K1014" s="1214" t="str">
        <f>J1083</f>
        <v/>
      </c>
      <c r="L1014" s="1214" t="str">
        <f>K1083</f>
        <v/>
      </c>
      <c r="M1014" s="1214" t="str">
        <f>L1083</f>
        <v/>
      </c>
      <c r="N1014" s="1393" t="str">
        <f>M1083</f>
        <v/>
      </c>
      <c r="O1014" s="19"/>
      <c r="P1014" s="343"/>
      <c r="Q1014" s="343"/>
      <c r="R1014" s="343"/>
      <c r="S1014" s="343"/>
      <c r="T1014" s="343"/>
      <c r="U1014" s="349"/>
      <c r="V1014" s="349"/>
    </row>
    <row r="1015" spans="1:22" s="534" customFormat="1" ht="12.75" customHeight="1" x14ac:dyDescent="0.3">
      <c r="A1015" s="343"/>
      <c r="B1015" s="15"/>
      <c r="C1015" s="17"/>
      <c r="D1015" s="1386"/>
      <c r="E1015" s="514" t="str">
        <f>Translations!$B$1565</f>
        <v>Preliminärt tilldelningsvärde</v>
      </c>
      <c r="F1015" s="514"/>
      <c r="G1015" s="514"/>
      <c r="H1015" s="129" t="str">
        <f>EUconst_EUA</f>
        <v>EUA</v>
      </c>
      <c r="I1015" s="1151"/>
      <c r="J1015" s="1131" t="str">
        <f>IF($I972=TRUE,MAX(0,ROUND((SUM($M972)*SUM(J1006)*SUM(J1013)*SUM(J1014)-SUM(J1007)-SUM(J1008)+SUM(J1009))*IF($H972=TRUE,1,J$2517),0)),"")</f>
        <v/>
      </c>
      <c r="K1015" s="421" t="str">
        <f>IF($I972=TRUE,MAX(0,ROUND((SUM($M972)*SUM(K1006)*SUM(K1013)*SUM(K1014)-SUM(K1007)-SUM(K1008)+SUM(K1009))*IF($H972=TRUE,1,K$2517),0)),"")</f>
        <v/>
      </c>
      <c r="L1015" s="421" t="str">
        <f>IF($I972=TRUE,MAX(0,ROUND((SUM($M972)*SUM(L1006)*SUM(L1013)*SUM(L1014)-SUM(L1007)-SUM(L1008)+SUM(L1009))*IF($H972=TRUE,1,L$2517),0)),"")</f>
        <v/>
      </c>
      <c r="M1015" s="421" t="str">
        <f>IF($I972=TRUE,MAX(0,ROUND((SUM($M972)*SUM(M1006)*SUM(M1013)*SUM(M1014)-SUM(M1007)-SUM(M1008)+SUM(M1009))*IF($H972=TRUE,1,M$2517),0)),"")</f>
        <v/>
      </c>
      <c r="N1015" s="967" t="str">
        <f>IF($I972=TRUE,MAX(0,ROUND((SUM($M972)*SUM(N1006)*SUM(N1013)*SUM(N1014)-SUM(N1007)-SUM(N1008)+SUM(N1009))*IF($H972=TRUE,1,N$2517),0)),"")</f>
        <v/>
      </c>
      <c r="O1015" s="19"/>
      <c r="P1015" s="343"/>
      <c r="Q1015" s="343"/>
      <c r="R1015" s="343"/>
      <c r="S1015" s="343"/>
      <c r="T1015" s="343"/>
      <c r="U1015" s="349"/>
      <c r="V1015" s="349"/>
    </row>
    <row r="1016" spans="1:22" s="534" customFormat="1" ht="12.75" customHeight="1" x14ac:dyDescent="0.3">
      <c r="A1016" s="343"/>
      <c r="B1016" s="15"/>
      <c r="C1016" s="17"/>
      <c r="D1016" s="1386"/>
      <c r="E1016" s="514" t="str">
        <f>Translations!$B$1569</f>
        <v>Skillnad i tilldelning</v>
      </c>
      <c r="F1016" s="514"/>
      <c r="G1016" s="514"/>
      <c r="H1016" s="129" t="str">
        <f>EUconst_EUA</f>
        <v>EUA</v>
      </c>
      <c r="I1016" s="1151"/>
      <c r="J1016" s="1131" t="str">
        <f>IF($I972=TRUE,ABS(SUM(J1015)-SUM(J989)),"")</f>
        <v/>
      </c>
      <c r="K1016" s="421" t="str">
        <f>IF($I972=TRUE,ABS(SUM(K1015)-SUM(K989)),"")</f>
        <v/>
      </c>
      <c r="L1016" s="421" t="str">
        <f>IF($I972=TRUE,ABS(SUM(L1015)-SUM(L989)),"")</f>
        <v/>
      </c>
      <c r="M1016" s="421" t="str">
        <f>IF($I972=TRUE,ABS(SUM(M1015)-SUM(M989)),"")</f>
        <v/>
      </c>
      <c r="N1016" s="967" t="str">
        <f>IF($I972=TRUE,ABS(SUM(N1015)-SUM(N989)),"")</f>
        <v/>
      </c>
      <c r="O1016" s="19"/>
      <c r="P1016" s="343"/>
      <c r="Q1016" s="343"/>
      <c r="R1016" s="343"/>
      <c r="S1016" s="343"/>
      <c r="T1016" s="343"/>
      <c r="U1016" s="349"/>
      <c r="V1016" s="349"/>
    </row>
    <row r="1017" spans="1:22" s="534" customFormat="1" ht="12.75" customHeight="1" x14ac:dyDescent="0.3">
      <c r="A1017" s="343"/>
      <c r="B1017" s="15"/>
      <c r="C1017" s="17"/>
      <c r="D1017" s="1386"/>
      <c r="E1017" s="1419" t="str">
        <f>Translations!$B$1573</f>
        <v>Kriterium 4b: Är skillnaden minst 100 utsläppsrätter?</v>
      </c>
      <c r="F1017" s="1419"/>
      <c r="G1017" s="1419"/>
      <c r="H1017" s="1424" t="s">
        <v>1112</v>
      </c>
      <c r="I1017" s="1425"/>
      <c r="J1017" s="1426" t="str">
        <f>IF($I972=TRUE,J1016&gt;=100,"")</f>
        <v/>
      </c>
      <c r="K1017" s="1427" t="str">
        <f>IF($I972=TRUE,K1016&gt;=100,"")</f>
        <v/>
      </c>
      <c r="L1017" s="1427" t="str">
        <f>IF($I972=TRUE,L1016&gt;=100,"")</f>
        <v/>
      </c>
      <c r="M1017" s="1427" t="str">
        <f>IF($I972=TRUE,M1016&gt;=100,"")</f>
        <v/>
      </c>
      <c r="N1017" s="1428" t="str">
        <f>IF($I972=TRUE,N1016&gt;=100,"")</f>
        <v/>
      </c>
      <c r="O1017" s="19"/>
      <c r="P1017" s="165" t="str">
        <f>EUconst_CNTR_100EUA_ElExch&amp;I969</f>
        <v>EUA100ElExch_</v>
      </c>
      <c r="Q1017" s="343"/>
      <c r="R1017" s="343"/>
      <c r="S1017" s="343"/>
      <c r="T1017" s="343"/>
      <c r="U1017" s="349"/>
      <c r="V1017" s="349"/>
    </row>
    <row r="1018" spans="1:22" s="534" customFormat="1" ht="5.15" customHeight="1" x14ac:dyDescent="0.3">
      <c r="A1018" s="343"/>
      <c r="B1018" s="15"/>
      <c r="C1018" s="17"/>
      <c r="D1018" s="1386"/>
      <c r="E1018" s="15"/>
      <c r="F1018" s="15"/>
      <c r="G1018" s="15"/>
      <c r="H1018" s="15"/>
      <c r="I1018" s="941"/>
      <c r="J1018" s="15"/>
      <c r="K1018" s="15"/>
      <c r="L1018" s="15"/>
      <c r="M1018" s="15"/>
      <c r="N1018" s="968"/>
      <c r="O1018" s="19"/>
      <c r="P1018" s="343"/>
      <c r="Q1018" s="343"/>
      <c r="R1018" s="343"/>
      <c r="S1018" s="343"/>
      <c r="T1018" s="343"/>
      <c r="U1018" s="349"/>
      <c r="V1018" s="349"/>
    </row>
    <row r="1019" spans="1:22" s="534" customFormat="1" ht="12.75" customHeight="1" x14ac:dyDescent="0.3">
      <c r="A1019" s="343"/>
      <c r="B1019" s="15"/>
      <c r="C1019" s="17"/>
      <c r="D1019" s="1386"/>
      <c r="E1019" s="42" t="str">
        <f>Translations!$B$1574</f>
        <v>Ändringar: Värme från icke-ETS</v>
      </c>
      <c r="F1019" s="188"/>
      <c r="G1019" s="188"/>
      <c r="H1019" s="30" t="str">
        <f>EUconst_Unit</f>
        <v>Enhet</v>
      </c>
      <c r="I1019" s="1157"/>
      <c r="J1019" s="1065">
        <f>J$2596</f>
        <v>2021</v>
      </c>
      <c r="K1019" s="350">
        <f>K$2596</f>
        <v>2022</v>
      </c>
      <c r="L1019" s="350">
        <f>L$2596</f>
        <v>2023</v>
      </c>
      <c r="M1019" s="350">
        <f>M$2596</f>
        <v>2024</v>
      </c>
      <c r="N1019" s="966">
        <f>N$2596</f>
        <v>2025</v>
      </c>
      <c r="O1019" s="19"/>
      <c r="P1019" s="343"/>
      <c r="Q1019" s="343"/>
      <c r="R1019" s="343"/>
      <c r="S1019" s="343"/>
      <c r="T1019" s="343"/>
      <c r="U1019" s="349"/>
      <c r="V1019" s="349"/>
    </row>
    <row r="1020" spans="1:22" s="534" customFormat="1" ht="12.75" hidden="1" customHeight="1" x14ac:dyDescent="0.3">
      <c r="A1020" s="343" t="str">
        <f>IF(P1020="","ausblenden","")</f>
        <v>ausblenden</v>
      </c>
      <c r="B1020" s="15"/>
      <c r="C1020" s="17"/>
      <c r="D1020" s="1386"/>
      <c r="E1020" s="514" t="s">
        <v>1918</v>
      </c>
      <c r="F1020" s="514"/>
      <c r="G1020" s="514"/>
      <c r="H1020" s="917" t="str">
        <f>H1006</f>
        <v>ton</v>
      </c>
      <c r="I1020" s="514"/>
      <c r="J1020" s="1152" t="str">
        <f>J983</f>
        <v/>
      </c>
      <c r="K1020" s="943" t="str">
        <f>J1078</f>
        <v/>
      </c>
      <c r="L1020" s="943" t="str">
        <f>K1078</f>
        <v/>
      </c>
      <c r="M1020" s="943" t="str">
        <f>L1078</f>
        <v/>
      </c>
      <c r="N1020" s="1389" t="str">
        <f>M1078</f>
        <v/>
      </c>
      <c r="O1020" s="19"/>
      <c r="P1020" s="343"/>
      <c r="Q1020" s="343"/>
      <c r="R1020" s="343"/>
      <c r="S1020" s="343"/>
      <c r="T1020" s="343"/>
      <c r="U1020" s="349"/>
      <c r="V1020" s="349"/>
    </row>
    <row r="1021" spans="1:22" s="534" customFormat="1" ht="12.75" customHeight="1" x14ac:dyDescent="0.3">
      <c r="A1021" s="343"/>
      <c r="B1021" s="15"/>
      <c r="C1021" s="17"/>
      <c r="D1021" s="1386"/>
      <c r="E1021" s="944" t="str">
        <f>Translations!$B$1482</f>
        <v>Genomsnittligt årligt värde</v>
      </c>
      <c r="F1021" s="944"/>
      <c r="G1021" s="944"/>
      <c r="H1021" s="627" t="str">
        <f>EUconst_EUA</f>
        <v>EUA</v>
      </c>
      <c r="I1021" s="945"/>
      <c r="J1021" s="1161" t="str">
        <f>IF(R975,SUM(INDEX(F_ProductBM!J:J,MATCH($P1021,F_ProductBM!$Q:$Q,0))),"")</f>
        <v/>
      </c>
      <c r="K1021" s="946" t="str">
        <f>IF(S975,SUM(INDEX(F_ProductBM!K:K,MATCH($P1021,F_ProductBM!$Q:$Q,0))),"")</f>
        <v/>
      </c>
      <c r="L1021" s="946" t="str">
        <f>IF(T975,SUM(INDEX(F_ProductBM!L:L,MATCH($P1021,F_ProductBM!$Q:$Q,0))),"")</f>
        <v/>
      </c>
      <c r="M1021" s="946" t="str">
        <f>IF(U975,SUM(INDEX(F_ProductBM!M:M,MATCH($P1021,F_ProductBM!$Q:$Q,0))),"")</f>
        <v/>
      </c>
      <c r="N1021" s="1046" t="str">
        <f>IF(V975,SUM(INDEX(F_ProductBM!N:N,MATCH($P1021,F_ProductBM!$Q:$Q,0))),"")</f>
        <v/>
      </c>
      <c r="O1021" s="19"/>
      <c r="P1021" s="165" t="str">
        <f>EUconst_CNTR_HEATInitial &amp; I969</f>
        <v>HEATIni_</v>
      </c>
      <c r="Q1021" s="343"/>
      <c r="R1021" s="343"/>
      <c r="S1021" s="343"/>
      <c r="T1021" s="343"/>
      <c r="U1021" s="349"/>
      <c r="V1021" s="349"/>
    </row>
    <row r="1022" spans="1:22" s="534" customFormat="1" ht="12.75" customHeight="1" x14ac:dyDescent="0.3">
      <c r="A1022" s="343"/>
      <c r="B1022" s="15"/>
      <c r="C1022" s="17"/>
      <c r="D1022" s="1386"/>
      <c r="E1022" s="947" t="str">
        <f>Translations!$B$1571</f>
        <v>Ändring jämfört med värde enligt nationella genomförandeåtgärder</v>
      </c>
      <c r="F1022" s="947"/>
      <c r="G1022" s="947"/>
      <c r="H1022" s="1442" t="s">
        <v>1112</v>
      </c>
      <c r="I1022" s="1371"/>
      <c r="J1022" s="1415" t="str">
        <f>INDEX(F_ProductBM!J:J,MATCH($P1022,F_ProductBM!$Q:$Q,0))</f>
        <v/>
      </c>
      <c r="K1022" s="1416" t="str">
        <f>INDEX(F_ProductBM!K:K,MATCH($P1022,F_ProductBM!$Q:$Q,0))</f>
        <v/>
      </c>
      <c r="L1022" s="1416" t="str">
        <f>INDEX(F_ProductBM!L:L,MATCH($P1022,F_ProductBM!$Q:$Q,0))</f>
        <v/>
      </c>
      <c r="M1022" s="1416" t="str">
        <f>INDEX(F_ProductBM!M:M,MATCH($P1022,F_ProductBM!$Q:$Q,0))</f>
        <v/>
      </c>
      <c r="N1022" s="1417" t="str">
        <f>INDEX(F_ProductBM!N:N,MATCH($P1022,F_ProductBM!$Q:$Q,0))</f>
        <v/>
      </c>
      <c r="O1022" s="19"/>
      <c r="P1022" s="165" t="str">
        <f>EUconst_CNTR_RelThreshold &amp; P1024</f>
        <v>RelThresh_HEATprelim_</v>
      </c>
      <c r="Q1022" s="343"/>
      <c r="R1022" s="343"/>
      <c r="S1022" s="343"/>
      <c r="T1022" s="343"/>
      <c r="U1022" s="349"/>
      <c r="V1022" s="349"/>
    </row>
    <row r="1023" spans="1:22" s="534" customFormat="1" ht="12.75" customHeight="1" x14ac:dyDescent="0.3">
      <c r="A1023" s="343"/>
      <c r="B1023" s="15"/>
      <c r="C1023" s="17"/>
      <c r="D1023" s="1386"/>
      <c r="E1023" s="1418" t="str">
        <f>Translations!$B$1575</f>
        <v>Kriterium 3c: Har relativa tröskelvärden överskridits?</v>
      </c>
      <c r="F1023" s="1418"/>
      <c r="G1023" s="1418"/>
      <c r="H1023" s="1444" t="s">
        <v>1112</v>
      </c>
      <c r="I1023" s="1423"/>
      <c r="J1023" s="1420" t="str">
        <f>INDEX(F_ProductBM!V:V,MATCH($P1023,F_ProductBM!$Q:$Q,0))</f>
        <v/>
      </c>
      <c r="K1023" s="1421" t="str">
        <f>INDEX(F_ProductBM!W:W,MATCH($P1023,F_ProductBM!$Q:$Q,0))</f>
        <v/>
      </c>
      <c r="L1023" s="1421" t="str">
        <f>INDEX(F_ProductBM!X:X,MATCH($P1023,F_ProductBM!$Q:$Q,0))</f>
        <v/>
      </c>
      <c r="M1023" s="1421" t="str">
        <f>INDEX(F_ProductBM!Y:Y,MATCH($P1023,F_ProductBM!$Q:$Q,0))</f>
        <v/>
      </c>
      <c r="N1023" s="1422" t="str">
        <f>INDEX(F_ProductBM!Z:Z,MATCH($P1023,F_ProductBM!$Q:$Q,0))</f>
        <v/>
      </c>
      <c r="O1023" s="19"/>
      <c r="P1023" s="165" t="str">
        <f>P1022</f>
        <v>RelThresh_HEATprelim_</v>
      </c>
      <c r="Q1023" s="343"/>
      <c r="R1023" s="343"/>
      <c r="S1023" s="343"/>
      <c r="T1023" s="343"/>
      <c r="U1023" s="349"/>
      <c r="V1023" s="349"/>
    </row>
    <row r="1024" spans="1:22" s="534" customFormat="1" ht="12.75" customHeight="1" x14ac:dyDescent="0.3">
      <c r="A1024" s="343" t="str">
        <f>IF(P1024="","ausblenden","")</f>
        <v/>
      </c>
      <c r="B1024" s="15"/>
      <c r="C1024" s="17"/>
      <c r="D1024" s="1386"/>
      <c r="E1024" s="950" t="str">
        <f>Translations!$B$1568</f>
        <v>Preliminärt värde</v>
      </c>
      <c r="F1024" s="950"/>
      <c r="G1024" s="950"/>
      <c r="H1024" s="629" t="str">
        <f>EUconst_EUA</f>
        <v>EUA</v>
      </c>
      <c r="I1024" s="950"/>
      <c r="J1024" s="1373" t="str">
        <f>IF($I969="","",INDEX(F_ProductBM!J:J,MATCH($P1024,F_ProductBM!$Q:$Q,0)))</f>
        <v/>
      </c>
      <c r="K1024" s="1374" t="str">
        <f>IF($I969="","",INDEX(F_ProductBM!K:K,MATCH($P1024,F_ProductBM!$Q:$Q,0)))</f>
        <v/>
      </c>
      <c r="L1024" s="1374" t="str">
        <f>IF($I969="","",INDEX(F_ProductBM!L:L,MATCH($P1024,F_ProductBM!$Q:$Q,0)))</f>
        <v/>
      </c>
      <c r="M1024" s="1374" t="str">
        <f>IF($I969="","",INDEX(F_ProductBM!M:M,MATCH($P1024,F_ProductBM!$Q:$Q,0)))</f>
        <v/>
      </c>
      <c r="N1024" s="1395" t="str">
        <f>IF($I969="","",INDEX(F_ProductBM!N:N,MATCH($P1024,F_ProductBM!$Q:$Q,0)))</f>
        <v/>
      </c>
      <c r="O1024" s="19"/>
      <c r="P1024" s="165" t="str">
        <f>EUconst_CNTR_HEATprelim&amp;I969</f>
        <v>HEATprelim_</v>
      </c>
      <c r="Q1024" s="343"/>
      <c r="R1024" s="343"/>
      <c r="S1024" s="343"/>
      <c r="T1024" s="343"/>
      <c r="U1024" s="349"/>
      <c r="V1024" s="349"/>
    </row>
    <row r="1025" spans="1:22" s="534" customFormat="1" ht="12.75" hidden="1" customHeight="1" x14ac:dyDescent="0.3">
      <c r="A1025" s="343" t="str">
        <f>IF(P1025="","ausblenden","")</f>
        <v>ausblenden</v>
      </c>
      <c r="B1025" s="15"/>
      <c r="C1025" s="17"/>
      <c r="D1025" s="1386"/>
      <c r="E1025" s="947" t="s">
        <v>1560</v>
      </c>
      <c r="F1025" s="947"/>
      <c r="G1025" s="947"/>
      <c r="H1025" s="955" t="str">
        <f>EUconst_EUA</f>
        <v>EUA</v>
      </c>
      <c r="I1025" s="948"/>
      <c r="J1025" s="1165" t="str">
        <f>J985</f>
        <v/>
      </c>
      <c r="K1025" s="975" t="str">
        <f t="shared" ref="K1025:K1028" si="146">J1080</f>
        <v/>
      </c>
      <c r="L1025" s="975" t="str">
        <f t="shared" ref="L1025:L1028" si="147">K1080</f>
        <v/>
      </c>
      <c r="M1025" s="975" t="str">
        <f t="shared" ref="M1025:M1028" si="148">L1080</f>
        <v/>
      </c>
      <c r="N1025" s="1391" t="str">
        <f t="shared" ref="N1025:N1028" si="149">M1080</f>
        <v/>
      </c>
      <c r="O1025" s="19"/>
      <c r="P1025" s="343"/>
      <c r="Q1025" s="343"/>
      <c r="R1025" s="343"/>
      <c r="S1025" s="343"/>
      <c r="T1025" s="343"/>
      <c r="U1025" s="349"/>
      <c r="V1025" s="349"/>
    </row>
    <row r="1026" spans="1:22" s="534" customFormat="1" ht="12.75" hidden="1" customHeight="1" x14ac:dyDescent="0.3">
      <c r="A1026" s="343" t="str">
        <f>IF(P1026="","ausblenden","")</f>
        <v>ausblenden</v>
      </c>
      <c r="B1026" s="15"/>
      <c r="C1026" s="17"/>
      <c r="D1026" s="1386"/>
      <c r="E1026" s="947" t="s">
        <v>1527</v>
      </c>
      <c r="F1026" s="947"/>
      <c r="G1026" s="947"/>
      <c r="H1026" s="955" t="str">
        <f>EUconst_EUA</f>
        <v>EUA</v>
      </c>
      <c r="I1026" s="948"/>
      <c r="J1026" s="1165" t="str">
        <f>J986</f>
        <v/>
      </c>
      <c r="K1026" s="975" t="str">
        <f t="shared" si="146"/>
        <v/>
      </c>
      <c r="L1026" s="975" t="str">
        <f t="shared" si="147"/>
        <v/>
      </c>
      <c r="M1026" s="975" t="str">
        <f t="shared" si="148"/>
        <v/>
      </c>
      <c r="N1026" s="1391" t="str">
        <f t="shared" si="149"/>
        <v/>
      </c>
      <c r="O1026" s="19"/>
      <c r="P1026" s="343"/>
      <c r="Q1026" s="343"/>
      <c r="R1026" s="343"/>
      <c r="S1026" s="343"/>
      <c r="T1026" s="343"/>
      <c r="U1026" s="349"/>
      <c r="V1026" s="349"/>
    </row>
    <row r="1027" spans="1:22" s="534" customFormat="1" ht="12.75" hidden="1" customHeight="1" x14ac:dyDescent="0.3">
      <c r="A1027" s="343" t="str">
        <f>IF(P1027="","ausblenden","")</f>
        <v>ausblenden</v>
      </c>
      <c r="B1027" s="15"/>
      <c r="C1027" s="17"/>
      <c r="D1027" s="1386"/>
      <c r="E1027" s="947" t="s">
        <v>1526</v>
      </c>
      <c r="F1027" s="947"/>
      <c r="G1027" s="947"/>
      <c r="H1027" s="956" t="s">
        <v>1112</v>
      </c>
      <c r="I1027" s="948"/>
      <c r="J1027" s="1211" t="str">
        <f>J987</f>
        <v/>
      </c>
      <c r="K1027" s="1212" t="str">
        <f t="shared" si="146"/>
        <v/>
      </c>
      <c r="L1027" s="1212" t="str">
        <f t="shared" si="147"/>
        <v/>
      </c>
      <c r="M1027" s="1212" t="str">
        <f t="shared" si="148"/>
        <v/>
      </c>
      <c r="N1027" s="1392" t="str">
        <f t="shared" si="149"/>
        <v/>
      </c>
      <c r="O1027" s="19"/>
      <c r="P1027" s="343"/>
      <c r="Q1027" s="343"/>
      <c r="R1027" s="343"/>
      <c r="S1027" s="343"/>
      <c r="T1027" s="343"/>
      <c r="U1027" s="349"/>
      <c r="V1027" s="349"/>
    </row>
    <row r="1028" spans="1:22" s="534" customFormat="1" ht="12.75" hidden="1" customHeight="1" x14ac:dyDescent="0.3">
      <c r="A1028" s="343" t="str">
        <f>IF(P1028="","ausblenden","")</f>
        <v>ausblenden</v>
      </c>
      <c r="B1028" s="15"/>
      <c r="C1028" s="17"/>
      <c r="D1028" s="1386"/>
      <c r="E1028" s="950" t="s">
        <v>1528</v>
      </c>
      <c r="F1028" s="950"/>
      <c r="G1028" s="950"/>
      <c r="H1028" s="957" t="s">
        <v>1112</v>
      </c>
      <c r="I1028" s="951"/>
      <c r="J1028" s="1213" t="str">
        <f>J988</f>
        <v/>
      </c>
      <c r="K1028" s="1214" t="str">
        <f t="shared" si="146"/>
        <v/>
      </c>
      <c r="L1028" s="1214" t="str">
        <f t="shared" si="147"/>
        <v/>
      </c>
      <c r="M1028" s="1214" t="str">
        <f t="shared" si="148"/>
        <v/>
      </c>
      <c r="N1028" s="1393" t="str">
        <f t="shared" si="149"/>
        <v/>
      </c>
      <c r="O1028" s="19"/>
      <c r="P1028" s="343"/>
      <c r="Q1028" s="343"/>
      <c r="R1028" s="343"/>
      <c r="S1028" s="343"/>
      <c r="T1028" s="343"/>
      <c r="U1028" s="349"/>
      <c r="V1028" s="349"/>
    </row>
    <row r="1029" spans="1:22" s="534" customFormat="1" ht="12.75" customHeight="1" x14ac:dyDescent="0.3">
      <c r="A1029" s="343"/>
      <c r="B1029" s="15"/>
      <c r="C1029" s="17"/>
      <c r="D1029" s="1386"/>
      <c r="E1029" s="514" t="str">
        <f>Translations!$B$1565</f>
        <v>Preliminärt tilldelningsvärde</v>
      </c>
      <c r="F1029" s="514"/>
      <c r="G1029" s="514"/>
      <c r="H1029" s="129" t="str">
        <f>EUconst_EUA</f>
        <v>EUA</v>
      </c>
      <c r="I1029" s="1151"/>
      <c r="J1029" s="1131" t="str">
        <f>IF($I969="","",MAX(0,ROUND((SUM($M972)*SUM(J1020)*SUM(J1027)*SUM(J1028)-SUM(J1024)-SUM(J1025)+SUM(J1026))*IF($H972=TRUE,1,J$2517),0)))</f>
        <v/>
      </c>
      <c r="K1029" s="421" t="str">
        <f>IF($I969="","",MAX(0,ROUND((SUM($M972)*SUM(K1020)*SUM(K1027)*SUM(K1028)-SUM(K1024)-SUM(K1025)+SUM(K1026))*IF($H972=TRUE,1,K$2517),0)))</f>
        <v/>
      </c>
      <c r="L1029" s="421" t="str">
        <f>IF($I969="","",MAX(0,ROUND((SUM($M972)*SUM(L1020)*SUM(L1027)*SUM(L1028)-SUM(L1024)-SUM(L1025)+SUM(L1026))*IF($H972=TRUE,1,L$2517),0)))</f>
        <v/>
      </c>
      <c r="M1029" s="421" t="str">
        <f>IF($I969="","",MAX(0,ROUND((SUM($M972)*SUM(M1020)*SUM(M1027)*SUM(M1028)-SUM(M1024)-SUM(M1025)+SUM(M1026))*IF($H972=TRUE,1,M$2517),0)))</f>
        <v/>
      </c>
      <c r="N1029" s="967" t="str">
        <f>IF($I969="","",MAX(0,ROUND((SUM($M972+IF(L972=52,0.415,0))*SUM(N1020)*SUM(N1027)*SUM(N1028)-SUM(N1024)-SUM(N1025)+SUM(N1026))*IF($H972=TRUE,1,N$2517),0)))</f>
        <v/>
      </c>
      <c r="O1029" s="19"/>
      <c r="P1029" s="343"/>
      <c r="Q1029" s="343"/>
      <c r="R1029" s="343"/>
      <c r="S1029" s="343"/>
      <c r="T1029" s="343"/>
      <c r="U1029" s="349"/>
      <c r="V1029" s="349"/>
    </row>
    <row r="1030" spans="1:22" s="534" customFormat="1" ht="12.75" customHeight="1" x14ac:dyDescent="0.3">
      <c r="A1030" s="343"/>
      <c r="B1030" s="15"/>
      <c r="C1030" s="17"/>
      <c r="D1030" s="1386"/>
      <c r="E1030" s="514" t="str">
        <f>Translations!$B$1569</f>
        <v>Skillnad i tilldelning</v>
      </c>
      <c r="F1030" s="514"/>
      <c r="G1030" s="514"/>
      <c r="H1030" s="129" t="str">
        <f>EUconst_EUA</f>
        <v>EUA</v>
      </c>
      <c r="I1030" s="1151"/>
      <c r="J1030" s="1131" t="str">
        <f>IF($I969="","",ABS(SUM(J1029)-SUM(J989)))</f>
        <v/>
      </c>
      <c r="K1030" s="421" t="str">
        <f>IF($I969="","",ABS(SUM(K1029)-SUM(K989)))</f>
        <v/>
      </c>
      <c r="L1030" s="421" t="str">
        <f>IF($I969="","",ABS(SUM(L1029)-SUM(L989)))</f>
        <v/>
      </c>
      <c r="M1030" s="421" t="str">
        <f>IF($I969="","",ABS(SUM(M1029)-SUM(M989)))</f>
        <v/>
      </c>
      <c r="N1030" s="967" t="str">
        <f>IF($I969="","",ABS(SUM(N1029)-SUM(N989)))</f>
        <v/>
      </c>
      <c r="O1030" s="19"/>
      <c r="P1030" s="343"/>
      <c r="Q1030" s="343"/>
      <c r="R1030" s="343"/>
      <c r="S1030" s="343"/>
      <c r="T1030" s="343"/>
      <c r="U1030" s="349"/>
      <c r="V1030" s="349"/>
    </row>
    <row r="1031" spans="1:22" s="534" customFormat="1" ht="12.75" customHeight="1" x14ac:dyDescent="0.3">
      <c r="A1031" s="343"/>
      <c r="B1031" s="15"/>
      <c r="C1031" s="17"/>
      <c r="D1031" s="1386"/>
      <c r="E1031" s="1419" t="str">
        <f>Translations!$B$1576</f>
        <v>Kriterium 4c: Är skillnaden minst 100 utsläppsrätter?</v>
      </c>
      <c r="F1031" s="1419"/>
      <c r="G1031" s="1419"/>
      <c r="H1031" s="1424" t="s">
        <v>1112</v>
      </c>
      <c r="I1031" s="1425"/>
      <c r="J1031" s="1426" t="str">
        <f>IF($I969="","",J1030&gt;=100)</f>
        <v/>
      </c>
      <c r="K1031" s="1427" t="str">
        <f>IF($I969="","",K1030&gt;=100)</f>
        <v/>
      </c>
      <c r="L1031" s="1427" t="str">
        <f>IF($I969="","",L1030&gt;=100)</f>
        <v/>
      </c>
      <c r="M1031" s="1427" t="str">
        <f>IF($I969="","",M1030&gt;=100)</f>
        <v/>
      </c>
      <c r="N1031" s="1428" t="str">
        <f>IF($I969="","",N1030&gt;=100)</f>
        <v/>
      </c>
      <c r="O1031" s="19"/>
      <c r="P1031" s="165" t="str">
        <f>EUconst_CNTR_100EUA_HEAT&amp;I969</f>
        <v>EUA100HEAT_</v>
      </c>
      <c r="Q1031" s="343"/>
      <c r="R1031" s="343"/>
      <c r="S1031" s="343"/>
      <c r="T1031" s="343"/>
      <c r="U1031" s="349"/>
      <c r="V1031" s="349"/>
    </row>
    <row r="1032" spans="1:22" s="534" customFormat="1" ht="5.15" customHeight="1" x14ac:dyDescent="0.3">
      <c r="A1032" s="343"/>
      <c r="B1032" s="15"/>
      <c r="C1032" s="17"/>
      <c r="D1032" s="1386"/>
      <c r="E1032" s="15"/>
      <c r="F1032" s="15"/>
      <c r="G1032" s="15"/>
      <c r="H1032" s="15"/>
      <c r="I1032" s="941"/>
      <c r="J1032" s="15"/>
      <c r="K1032" s="15"/>
      <c r="L1032" s="15"/>
      <c r="M1032" s="15"/>
      <c r="N1032" s="968"/>
      <c r="O1032" s="19"/>
      <c r="P1032" s="343"/>
      <c r="Q1032" s="343"/>
      <c r="R1032" s="343"/>
      <c r="S1032" s="343"/>
      <c r="T1032" s="343"/>
      <c r="U1032" s="349"/>
      <c r="V1032" s="349"/>
    </row>
    <row r="1033" spans="1:22" s="534" customFormat="1" ht="12.75" customHeight="1" x14ac:dyDescent="0.3">
      <c r="A1033" s="343"/>
      <c r="B1033" s="15"/>
      <c r="C1033" s="17"/>
      <c r="D1033" s="1386"/>
      <c r="E1033" s="42" t="str">
        <f>Translations!$B$1577</f>
        <v>Ändringar: HVC-korrigering</v>
      </c>
      <c r="F1033" s="188"/>
      <c r="G1033" s="188"/>
      <c r="H1033" s="30" t="str">
        <f>EUconst_Unit</f>
        <v>Enhet</v>
      </c>
      <c r="I1033" s="1157"/>
      <c r="J1033" s="1065">
        <f>J$2596</f>
        <v>2021</v>
      </c>
      <c r="K1033" s="350">
        <f>K$2596</f>
        <v>2022</v>
      </c>
      <c r="L1033" s="350">
        <f>L$2596</f>
        <v>2023</v>
      </c>
      <c r="M1033" s="350">
        <f>M$2596</f>
        <v>2024</v>
      </c>
      <c r="N1033" s="966">
        <f>N$2596</f>
        <v>2025</v>
      </c>
      <c r="O1033" s="19"/>
      <c r="P1033" s="343"/>
      <c r="Q1033" s="343"/>
      <c r="R1033" s="343"/>
      <c r="S1033" s="343"/>
      <c r="T1033" s="343"/>
      <c r="U1033" s="349"/>
      <c r="V1033" s="349"/>
    </row>
    <row r="1034" spans="1:22" s="534" customFormat="1" ht="12.75" hidden="1" customHeight="1" x14ac:dyDescent="0.3">
      <c r="A1034" s="343" t="str">
        <f>IF(P1034="","ausblenden","")</f>
        <v>ausblenden</v>
      </c>
      <c r="B1034" s="15"/>
      <c r="C1034" s="17"/>
      <c r="D1034" s="1386"/>
      <c r="E1034" s="514" t="s">
        <v>1918</v>
      </c>
      <c r="F1034" s="514"/>
      <c r="G1034" s="514"/>
      <c r="H1034" s="917" t="str">
        <f>H1020</f>
        <v>ton</v>
      </c>
      <c r="I1034" s="514"/>
      <c r="J1034" s="1152" t="str">
        <f>J983</f>
        <v/>
      </c>
      <c r="K1034" s="943" t="str">
        <f t="shared" ref="K1034:K1036" si="150">J1078</f>
        <v/>
      </c>
      <c r="L1034" s="943" t="str">
        <f t="shared" ref="L1034:L1036" si="151">K1078</f>
        <v/>
      </c>
      <c r="M1034" s="943" t="str">
        <f t="shared" ref="M1034:M1036" si="152">L1078</f>
        <v/>
      </c>
      <c r="N1034" s="1389" t="str">
        <f t="shared" ref="N1034:N1036" si="153">M1078</f>
        <v/>
      </c>
      <c r="O1034" s="19"/>
      <c r="P1034" s="343"/>
      <c r="Q1034" s="343"/>
      <c r="R1034" s="343"/>
      <c r="S1034" s="343"/>
      <c r="T1034" s="343"/>
      <c r="U1034" s="349"/>
      <c r="V1034" s="349"/>
    </row>
    <row r="1035" spans="1:22" s="534" customFormat="1" ht="12.75" hidden="1" customHeight="1" x14ac:dyDescent="0.3">
      <c r="A1035" s="343" t="str">
        <f>IF(P1035="","ausblenden","")</f>
        <v>ausblenden</v>
      </c>
      <c r="B1035" s="15"/>
      <c r="C1035" s="17"/>
      <c r="D1035" s="1386"/>
      <c r="E1035" s="944" t="s">
        <v>339</v>
      </c>
      <c r="F1035" s="944"/>
      <c r="G1035" s="944"/>
      <c r="H1035" s="954" t="str">
        <f>EUconst_EUA</f>
        <v>EUA</v>
      </c>
      <c r="I1035" s="945"/>
      <c r="J1035" s="1209" t="str">
        <f>J984</f>
        <v/>
      </c>
      <c r="K1035" s="1210" t="str">
        <f t="shared" si="150"/>
        <v/>
      </c>
      <c r="L1035" s="1210" t="str">
        <f t="shared" si="151"/>
        <v/>
      </c>
      <c r="M1035" s="1210" t="str">
        <f t="shared" si="152"/>
        <v/>
      </c>
      <c r="N1035" s="1390" t="str">
        <f t="shared" si="153"/>
        <v/>
      </c>
      <c r="O1035" s="19"/>
      <c r="P1035" s="343"/>
      <c r="Q1035" s="343"/>
      <c r="R1035" s="343"/>
      <c r="S1035" s="343"/>
      <c r="T1035" s="343"/>
      <c r="U1035" s="349"/>
      <c r="V1035" s="349"/>
    </row>
    <row r="1036" spans="1:22" s="534" customFormat="1" ht="12.75" hidden="1" customHeight="1" x14ac:dyDescent="0.3">
      <c r="A1036" s="343" t="str">
        <f>IF(P1036="","ausblenden","")</f>
        <v>ausblenden</v>
      </c>
      <c r="B1036" s="15"/>
      <c r="C1036" s="17"/>
      <c r="D1036" s="1386"/>
      <c r="E1036" s="1433" t="s">
        <v>1560</v>
      </c>
      <c r="F1036" s="1433"/>
      <c r="G1036" s="1433"/>
      <c r="H1036" s="1434" t="str">
        <f>EUconst_EUA</f>
        <v>EUA</v>
      </c>
      <c r="I1036" s="1435"/>
      <c r="J1036" s="1436" t="str">
        <f>J985</f>
        <v/>
      </c>
      <c r="K1036" s="1437" t="str">
        <f t="shared" si="150"/>
        <v/>
      </c>
      <c r="L1036" s="1437" t="str">
        <f t="shared" si="151"/>
        <v/>
      </c>
      <c r="M1036" s="1437" t="str">
        <f t="shared" si="152"/>
        <v/>
      </c>
      <c r="N1036" s="1438" t="str">
        <f t="shared" si="153"/>
        <v/>
      </c>
      <c r="O1036" s="19"/>
      <c r="P1036" s="343"/>
      <c r="Q1036" s="343"/>
      <c r="R1036" s="343"/>
      <c r="S1036" s="343"/>
      <c r="T1036" s="343"/>
      <c r="U1036" s="349"/>
      <c r="V1036" s="349"/>
    </row>
    <row r="1037" spans="1:22" s="534" customFormat="1" ht="12.75" customHeight="1" x14ac:dyDescent="0.3">
      <c r="A1037" s="343"/>
      <c r="B1037" s="15"/>
      <c r="C1037" s="17"/>
      <c r="D1037" s="1386"/>
      <c r="E1037" s="944" t="str">
        <f>Translations!$B$1482</f>
        <v>Genomsnittligt årligt värde</v>
      </c>
      <c r="F1037" s="944"/>
      <c r="G1037" s="944"/>
      <c r="H1037" s="954" t="str">
        <f>EUconst_EUA</f>
        <v>EUA</v>
      </c>
      <c r="I1037" s="945"/>
      <c r="J1037" s="1445" t="str">
        <f>IF(L972=42,INDEX(H_SpecialBM!J:J,MATCH($P1037,H_SpecialBM!$Q:$Q,0)),"")</f>
        <v/>
      </c>
      <c r="K1037" s="1446" t="str">
        <f>IF(L972=42,INDEX(H_SpecialBM!K:K,MATCH($P1037,H_SpecialBM!$Q:$Q,0)),"")</f>
        <v/>
      </c>
      <c r="L1037" s="1446" t="str">
        <f>IF(L972=42,INDEX(H_SpecialBM!L:L,MATCH($P1037,H_SpecialBM!$Q:$Q,0)),"")</f>
        <v/>
      </c>
      <c r="M1037" s="1446" t="str">
        <f>IF(L972=42,INDEX(H_SpecialBM!M:M,MATCH($P1037,H_SpecialBM!$Q:$Q,0)),"")</f>
        <v/>
      </c>
      <c r="N1037" s="1447" t="str">
        <f>IF(L972=42,INDEX(H_SpecialBM!N:N,MATCH($P1037,H_SpecialBM!$Q:$Q,0)),"")</f>
        <v/>
      </c>
      <c r="O1037" s="19"/>
      <c r="P1037" s="165" t="str">
        <f>EUconst_CNTR_HVCInitial &amp; INDEX(EUconst_BMlistNames,42)</f>
        <v>HVCIni_Ångkrackning</v>
      </c>
      <c r="Q1037" s="343"/>
      <c r="R1037" s="343"/>
      <c r="S1037" s="343"/>
      <c r="T1037" s="343"/>
      <c r="U1037" s="349"/>
      <c r="V1037" s="349"/>
    </row>
    <row r="1038" spans="1:22" s="534" customFormat="1" ht="12.75" customHeight="1" x14ac:dyDescent="0.3">
      <c r="A1038" s="343"/>
      <c r="B1038" s="15"/>
      <c r="C1038" s="17"/>
      <c r="D1038" s="1386"/>
      <c r="E1038" s="947" t="str">
        <f>Translations!$B$1571</f>
        <v>Ändring jämfört med värde enligt nationella genomförandeåtgärder</v>
      </c>
      <c r="F1038" s="947"/>
      <c r="G1038" s="947"/>
      <c r="H1038" s="1370" t="s">
        <v>1112</v>
      </c>
      <c r="I1038" s="1371"/>
      <c r="J1038" s="1415" t="str">
        <f>IF(L972=42,INDEX(H_SpecialBM!J:J,MATCH($P1038,H_SpecialBM!$Q:$Q,0)),"")</f>
        <v/>
      </c>
      <c r="K1038" s="1416" t="str">
        <f>IF(L972=42,INDEX(H_SpecialBM!K:K,MATCH($P1038,H_SpecialBM!$Q:$Q,0)),"")</f>
        <v/>
      </c>
      <c r="L1038" s="1416" t="str">
        <f>IF(L972=42,INDEX(H_SpecialBM!L:L,MATCH($P1038,H_SpecialBM!$Q:$Q,0)),"")</f>
        <v/>
      </c>
      <c r="M1038" s="1416" t="str">
        <f>IF(L972=42,INDEX(H_SpecialBM!M:M,MATCH($P1038,H_SpecialBM!$Q:$Q,0)),"")</f>
        <v/>
      </c>
      <c r="N1038" s="1417" t="str">
        <f>IF(L972=42,INDEX(H_SpecialBM!N:N,MATCH($P1038,H_SpecialBM!$Q:$Q,0)),"")</f>
        <v/>
      </c>
      <c r="O1038" s="19"/>
      <c r="P1038" s="165" t="str">
        <f>EUconst_CNTR_RelThreshold &amp; P1040</f>
        <v>RelThresh_HVCprelim_</v>
      </c>
      <c r="Q1038" s="343"/>
      <c r="R1038" s="343"/>
      <c r="S1038" s="343"/>
      <c r="T1038" s="343"/>
      <c r="U1038" s="349"/>
      <c r="V1038" s="349"/>
    </row>
    <row r="1039" spans="1:22" s="534" customFormat="1" ht="12.75" customHeight="1" x14ac:dyDescent="0.3">
      <c r="A1039" s="343"/>
      <c r="B1039" s="15"/>
      <c r="C1039" s="17"/>
      <c r="D1039" s="1386"/>
      <c r="E1039" s="1418" t="str">
        <f>Translations!$B$1578</f>
        <v>Kriterium 3d: Har relativa tröskelvärden överskridits?</v>
      </c>
      <c r="F1039" s="1418"/>
      <c r="G1039" s="1418"/>
      <c r="H1039" s="1423" t="s">
        <v>1112</v>
      </c>
      <c r="I1039" s="1423"/>
      <c r="J1039" s="1420" t="str">
        <f>IF(L972=42,INDEX(H_SpecialBM!V:V,MATCH($P1039,H_SpecialBM!$Q:$Q,0)),"")</f>
        <v/>
      </c>
      <c r="K1039" s="1421" t="str">
        <f>IF(L972=42,INDEX(H_SpecialBM!W:W,MATCH($P1039,H_SpecialBM!$Q:$Q,0)),"")</f>
        <v/>
      </c>
      <c r="L1039" s="1421" t="str">
        <f>IF(L972=42,INDEX(H_SpecialBM!X:X,MATCH($P1039,H_SpecialBM!$Q:$Q,0)),"")</f>
        <v/>
      </c>
      <c r="M1039" s="1421" t="str">
        <f>IF(L972=42,INDEX(H_SpecialBM!Y:Y,MATCH($P1039,H_SpecialBM!$Q:$Q,0)),"")</f>
        <v/>
      </c>
      <c r="N1039" s="1422" t="str">
        <f>IF(L972=42,INDEX(H_SpecialBM!Z:Z,MATCH($P1039,H_SpecialBM!$Q:$Q,0)),"")</f>
        <v/>
      </c>
      <c r="O1039" s="19"/>
      <c r="P1039" s="165" t="str">
        <f>P1038</f>
        <v>RelThresh_HVCprelim_</v>
      </c>
      <c r="Q1039" s="343"/>
      <c r="R1039" s="343"/>
      <c r="S1039" s="343"/>
      <c r="T1039" s="343"/>
      <c r="U1039" s="349"/>
      <c r="V1039" s="349"/>
    </row>
    <row r="1040" spans="1:22" s="534" customFormat="1" ht="12.75" customHeight="1" x14ac:dyDescent="0.3">
      <c r="A1040" s="343" t="str">
        <f>IF(P1040="","ausblenden","")</f>
        <v/>
      </c>
      <c r="B1040" s="15"/>
      <c r="C1040" s="17"/>
      <c r="D1040" s="1386"/>
      <c r="E1040" s="950" t="str">
        <f>Translations!$B$1568</f>
        <v>Preliminärt värde</v>
      </c>
      <c r="F1040" s="950"/>
      <c r="G1040" s="950"/>
      <c r="H1040" s="957" t="str">
        <f>EUconst_EUA</f>
        <v>EUA</v>
      </c>
      <c r="I1040" s="951"/>
      <c r="J1040" s="1381" t="str">
        <f>IF($L972=42,INDEX(H_SpecialBM!J:J,MATCH($P1040,H_SpecialBM!$Q:$Q,0)),"")</f>
        <v/>
      </c>
      <c r="K1040" s="1382" t="str">
        <f>IF($L972=42,INDEX(H_SpecialBM!K:K,MATCH($P1040,H_SpecialBM!$Q:$Q,0)),"")</f>
        <v/>
      </c>
      <c r="L1040" s="1382" t="str">
        <f>IF($L972=42,INDEX(H_SpecialBM!L:L,MATCH($P1040,H_SpecialBM!$Q:$Q,0)),"")</f>
        <v/>
      </c>
      <c r="M1040" s="1382" t="str">
        <f>IF($L972=42,INDEX(H_SpecialBM!M:M,MATCH($P1040,H_SpecialBM!$Q:$Q,0)),"")</f>
        <v/>
      </c>
      <c r="N1040" s="1396" t="str">
        <f>IF($L972=42,INDEX(H_SpecialBM!N:N,MATCH($P1040,H_SpecialBM!$Q:$Q,0)),"")</f>
        <v/>
      </c>
      <c r="O1040" s="19"/>
      <c r="P1040" s="165" t="str">
        <f>EUconst_CNTR_HVCprelim</f>
        <v>HVCprelim_</v>
      </c>
      <c r="Q1040" s="343"/>
      <c r="R1040" s="343"/>
      <c r="S1040" s="343"/>
      <c r="T1040" s="343"/>
      <c r="U1040" s="349"/>
      <c r="V1040" s="349"/>
    </row>
    <row r="1041" spans="1:22" s="534" customFormat="1" ht="12.75" hidden="1" customHeight="1" x14ac:dyDescent="0.3">
      <c r="A1041" s="343" t="str">
        <f>IF(P1041="","ausblenden","")</f>
        <v>ausblenden</v>
      </c>
      <c r="B1041" s="15"/>
      <c r="C1041" s="17"/>
      <c r="D1041" s="1386"/>
      <c r="E1041" s="1376" t="s">
        <v>1526</v>
      </c>
      <c r="F1041" s="1376"/>
      <c r="G1041" s="1376"/>
      <c r="H1041" s="1378" t="s">
        <v>1112</v>
      </c>
      <c r="I1041" s="1377"/>
      <c r="J1041" s="1379" t="str">
        <f>J987</f>
        <v/>
      </c>
      <c r="K1041" s="1380" t="str">
        <f t="shared" ref="K1041:K1042" si="154">J1082</f>
        <v/>
      </c>
      <c r="L1041" s="1380" t="str">
        <f t="shared" ref="L1041:L1042" si="155">K1082</f>
        <v/>
      </c>
      <c r="M1041" s="1380" t="str">
        <f t="shared" ref="M1041:M1042" si="156">L1082</f>
        <v/>
      </c>
      <c r="N1041" s="1397" t="str">
        <f t="shared" ref="N1041:N1042" si="157">M1082</f>
        <v/>
      </c>
      <c r="O1041" s="19"/>
      <c r="P1041" s="343"/>
      <c r="Q1041" s="343"/>
      <c r="R1041" s="343"/>
      <c r="S1041" s="343"/>
      <c r="T1041" s="343"/>
      <c r="U1041" s="349"/>
      <c r="V1041" s="349"/>
    </row>
    <row r="1042" spans="1:22" s="534" customFormat="1" ht="12.75" hidden="1" customHeight="1" x14ac:dyDescent="0.3">
      <c r="A1042" s="343" t="str">
        <f>IF(P1042="","ausblenden","")</f>
        <v>ausblenden</v>
      </c>
      <c r="B1042" s="15"/>
      <c r="C1042" s="17"/>
      <c r="D1042" s="1386"/>
      <c r="E1042" s="950" t="s">
        <v>1528</v>
      </c>
      <c r="F1042" s="950"/>
      <c r="G1042" s="950"/>
      <c r="H1042" s="957" t="s">
        <v>1112</v>
      </c>
      <c r="I1042" s="951"/>
      <c r="J1042" s="1213" t="str">
        <f>J988</f>
        <v/>
      </c>
      <c r="K1042" s="1214" t="str">
        <f t="shared" si="154"/>
        <v/>
      </c>
      <c r="L1042" s="1214" t="str">
        <f t="shared" si="155"/>
        <v/>
      </c>
      <c r="M1042" s="1214" t="str">
        <f t="shared" si="156"/>
        <v/>
      </c>
      <c r="N1042" s="1393" t="str">
        <f t="shared" si="157"/>
        <v/>
      </c>
      <c r="O1042" s="19"/>
      <c r="P1042" s="343"/>
      <c r="Q1042" s="343"/>
      <c r="R1042" s="343"/>
      <c r="S1042" s="343"/>
      <c r="T1042" s="343"/>
      <c r="U1042" s="349"/>
      <c r="V1042" s="349"/>
    </row>
    <row r="1043" spans="1:22" s="534" customFormat="1" ht="12.75" customHeight="1" x14ac:dyDescent="0.3">
      <c r="A1043" s="343"/>
      <c r="B1043" s="15"/>
      <c r="C1043" s="17"/>
      <c r="D1043" s="1386"/>
      <c r="E1043" s="514" t="str">
        <f>Translations!$B$1565</f>
        <v>Preliminärt tilldelningsvärde</v>
      </c>
      <c r="F1043" s="514"/>
      <c r="G1043" s="514"/>
      <c r="H1043" s="129" t="str">
        <f>EUconst_EUA</f>
        <v>EUA</v>
      </c>
      <c r="I1043" s="1151"/>
      <c r="J1043" s="1131" t="str">
        <f>IF(J1040="","",MAX(0,ROUND((SUM($M972)*SUM(J1034)*SUM(J1041)*SUM(J1042)-SUM(J1035)-SUM(J1036)+SUM(J1040))*IF($H972=TRUE,1,J$2517),0)))</f>
        <v/>
      </c>
      <c r="K1043" s="421" t="str">
        <f>IF(K1040="","",MAX(0,ROUND((SUM($M972)*SUM(K1034)*SUM(K1041)*SUM(K1042)-SUM(K1035)-SUM(K1036)+SUM(K1040))*IF($H972=TRUE,1,K$2517),0)))</f>
        <v/>
      </c>
      <c r="L1043" s="421" t="str">
        <f>IF(L1040="","",MAX(0,ROUND((SUM($M972)*SUM(L1034)*SUM(L1041)*SUM(L1042)-SUM(L1035)-SUM(L1036)+SUM(L1040))*IF($H972=TRUE,1,L$2517),0)))</f>
        <v/>
      </c>
      <c r="M1043" s="421" t="str">
        <f>IF(M1040="","",MAX(0,ROUND((SUM($M972)*SUM(M1034)*SUM(M1041)*SUM(M1042)-SUM(M1035)-SUM(M1036)+SUM(M1040))*IF($H972=TRUE,1,M$2517),0)))</f>
        <v/>
      </c>
      <c r="N1043" s="967" t="str">
        <f>IF(N1040="","",MAX(0,ROUND((SUM($M972)*SUM(N1034)*SUM(N1041)*SUM(N1042)-SUM(N1035)-SUM(N1036)+SUM(N1040))*IF($H972=TRUE,1,N$2517),0)))</f>
        <v/>
      </c>
      <c r="O1043" s="19"/>
      <c r="P1043" s="343"/>
      <c r="Q1043" s="343"/>
      <c r="R1043" s="343"/>
      <c r="S1043" s="343"/>
      <c r="T1043" s="343"/>
      <c r="U1043" s="349"/>
      <c r="V1043" s="349"/>
    </row>
    <row r="1044" spans="1:22" s="534" customFormat="1" ht="12.75" customHeight="1" x14ac:dyDescent="0.3">
      <c r="A1044" s="343"/>
      <c r="B1044" s="15"/>
      <c r="C1044" s="17"/>
      <c r="D1044" s="1386"/>
      <c r="E1044" s="514" t="str">
        <f>Translations!$B$1569</f>
        <v>Skillnad i tilldelning</v>
      </c>
      <c r="F1044" s="514"/>
      <c r="G1044" s="514"/>
      <c r="H1044" s="129" t="str">
        <f>EUconst_EUA</f>
        <v>EUA</v>
      </c>
      <c r="I1044" s="1151"/>
      <c r="J1044" s="1131" t="str">
        <f>IF(J1043="","",ABS(SUM(J1043)-SUM(J989)))</f>
        <v/>
      </c>
      <c r="K1044" s="421" t="str">
        <f>IF(K1043="","",ABS(SUM(K1043)-SUM(K989)))</f>
        <v/>
      </c>
      <c r="L1044" s="421" t="str">
        <f>IF(L1043="","",ABS(SUM(L1043)-SUM(L989)))</f>
        <v/>
      </c>
      <c r="M1044" s="421" t="str">
        <f>IF(M1043="","",ABS(SUM(M1043)-SUM(M989)))</f>
        <v/>
      </c>
      <c r="N1044" s="967" t="str">
        <f>IF(N1043="","",ABS(SUM(N1043)-SUM(N989)))</f>
        <v/>
      </c>
      <c r="O1044" s="19"/>
      <c r="P1044" s="343"/>
      <c r="Q1044" s="343"/>
      <c r="R1044" s="343"/>
      <c r="S1044" s="343"/>
      <c r="T1044" s="343"/>
      <c r="U1044" s="349"/>
      <c r="V1044" s="349"/>
    </row>
    <row r="1045" spans="1:22" s="534" customFormat="1" ht="12.75" customHeight="1" x14ac:dyDescent="0.3">
      <c r="A1045" s="343"/>
      <c r="B1045" s="15"/>
      <c r="C1045" s="17"/>
      <c r="D1045" s="1386"/>
      <c r="E1045" s="1419" t="str">
        <f>Translations!$B$1579</f>
        <v>Kriterium 4d: Är skillnaden minst 100 utsläppsrätter?</v>
      </c>
      <c r="F1045" s="514"/>
      <c r="G1045" s="514"/>
      <c r="H1045" s="1424" t="s">
        <v>1112</v>
      </c>
      <c r="I1045" s="1425"/>
      <c r="J1045" s="1426" t="str">
        <f>IF(J1044="","",J1044&gt;=100)</f>
        <v/>
      </c>
      <c r="K1045" s="1427" t="str">
        <f>IF(K1044="","",K1044&gt;=100)</f>
        <v/>
      </c>
      <c r="L1045" s="1427" t="str">
        <f>IF(L1044="","",L1044&gt;=100)</f>
        <v/>
      </c>
      <c r="M1045" s="1427" t="str">
        <f>IF(M1044="","",M1044&gt;=100)</f>
        <v/>
      </c>
      <c r="N1045" s="1428" t="str">
        <f>IF(N1044="","",N1044&gt;=100)</f>
        <v/>
      </c>
      <c r="O1045" s="19"/>
      <c r="P1045" s="165" t="str">
        <f>EUconst_CNTR_100EUA_HVC&amp;I969</f>
        <v>EUA100HVC_</v>
      </c>
      <c r="Q1045" s="343"/>
      <c r="R1045" s="343"/>
      <c r="S1045" s="343"/>
      <c r="T1045" s="343"/>
      <c r="U1045" s="349"/>
      <c r="V1045" s="349"/>
    </row>
    <row r="1046" spans="1:22" s="534" customFormat="1" ht="5.15" customHeight="1" x14ac:dyDescent="0.3">
      <c r="A1046" s="343"/>
      <c r="B1046" s="15"/>
      <c r="C1046" s="17"/>
      <c r="D1046" s="1386"/>
      <c r="E1046" s="15"/>
      <c r="F1046" s="15"/>
      <c r="G1046" s="15"/>
      <c r="H1046" s="15"/>
      <c r="I1046" s="941"/>
      <c r="J1046" s="15"/>
      <c r="K1046" s="15"/>
      <c r="L1046" s="15"/>
      <c r="M1046" s="15"/>
      <c r="N1046" s="968"/>
      <c r="O1046" s="19"/>
      <c r="P1046" s="343"/>
      <c r="Q1046" s="343"/>
      <c r="R1046" s="343"/>
      <c r="S1046" s="343"/>
      <c r="T1046" s="343"/>
      <c r="U1046" s="349"/>
      <c r="V1046" s="349"/>
    </row>
    <row r="1047" spans="1:22" s="534" customFormat="1" ht="12.75" customHeight="1" x14ac:dyDescent="0.3">
      <c r="A1047" s="343"/>
      <c r="B1047" s="15"/>
      <c r="C1047" s="17"/>
      <c r="D1047" s="1386"/>
      <c r="E1047" s="42" t="str">
        <f>Translations!$B$1580</f>
        <v>Ändringar: VCM-korrigering</v>
      </c>
      <c r="F1047" s="188"/>
      <c r="G1047" s="188"/>
      <c r="H1047" s="30" t="str">
        <f>EUconst_Unit</f>
        <v>Enhet</v>
      </c>
      <c r="I1047" s="1157"/>
      <c r="J1047" s="1065">
        <f>J$2596</f>
        <v>2021</v>
      </c>
      <c r="K1047" s="350">
        <f>K$2596</f>
        <v>2022</v>
      </c>
      <c r="L1047" s="350">
        <f>L$2596</f>
        <v>2023</v>
      </c>
      <c r="M1047" s="350">
        <f>M$2596</f>
        <v>2024</v>
      </c>
      <c r="N1047" s="966">
        <f>N$2596</f>
        <v>2025</v>
      </c>
      <c r="O1047" s="19"/>
      <c r="P1047" s="343"/>
      <c r="Q1047" s="343"/>
      <c r="R1047" s="343"/>
      <c r="S1047" s="343"/>
      <c r="T1047" s="343"/>
      <c r="U1047" s="349"/>
      <c r="V1047" s="349"/>
    </row>
    <row r="1048" spans="1:22" s="534" customFormat="1" ht="12.75" hidden="1" customHeight="1" x14ac:dyDescent="0.3">
      <c r="A1048" s="343" t="str">
        <f>IF(P1048="","ausblenden","")</f>
        <v>ausblenden</v>
      </c>
      <c r="B1048" s="15"/>
      <c r="C1048" s="17"/>
      <c r="D1048" s="1386"/>
      <c r="E1048" s="514" t="s">
        <v>1918</v>
      </c>
      <c r="F1048" s="514"/>
      <c r="G1048" s="514"/>
      <c r="H1048" s="917" t="str">
        <f>H1034</f>
        <v>ton</v>
      </c>
      <c r="I1048" s="514"/>
      <c r="J1048" s="1152" t="str">
        <f>J983</f>
        <v/>
      </c>
      <c r="K1048" s="943" t="str">
        <f t="shared" ref="K1048:K1052" si="158">J1078</f>
        <v/>
      </c>
      <c r="L1048" s="943" t="str">
        <f t="shared" ref="L1048:L1052" si="159">K1078</f>
        <v/>
      </c>
      <c r="M1048" s="943" t="str">
        <f t="shared" ref="M1048:M1052" si="160">L1078</f>
        <v/>
      </c>
      <c r="N1048" s="1389" t="str">
        <f t="shared" ref="N1048:N1052" si="161">M1078</f>
        <v/>
      </c>
      <c r="O1048" s="19"/>
      <c r="P1048" s="343"/>
      <c r="Q1048" s="343"/>
      <c r="R1048" s="343"/>
      <c r="S1048" s="343"/>
      <c r="T1048" s="343"/>
      <c r="U1048" s="349"/>
      <c r="V1048" s="349"/>
    </row>
    <row r="1049" spans="1:22" s="534" customFormat="1" ht="12.75" hidden="1" customHeight="1" x14ac:dyDescent="0.3">
      <c r="A1049" s="343" t="str">
        <f>IF(P1049="","ausblenden","")</f>
        <v>ausblenden</v>
      </c>
      <c r="B1049" s="15"/>
      <c r="C1049" s="17"/>
      <c r="D1049" s="1386"/>
      <c r="E1049" s="944" t="s">
        <v>339</v>
      </c>
      <c r="F1049" s="944"/>
      <c r="G1049" s="944"/>
      <c r="H1049" s="954" t="str">
        <f>EUconst_EUA</f>
        <v>EUA</v>
      </c>
      <c r="I1049" s="945"/>
      <c r="J1049" s="1209" t="str">
        <f>J984</f>
        <v/>
      </c>
      <c r="K1049" s="1210" t="str">
        <f t="shared" si="158"/>
        <v/>
      </c>
      <c r="L1049" s="1210" t="str">
        <f t="shared" si="159"/>
        <v/>
      </c>
      <c r="M1049" s="1210" t="str">
        <f t="shared" si="160"/>
        <v/>
      </c>
      <c r="N1049" s="1390" t="str">
        <f t="shared" si="161"/>
        <v/>
      </c>
      <c r="O1049" s="19"/>
      <c r="P1049" s="343"/>
      <c r="Q1049" s="343"/>
      <c r="R1049" s="343"/>
      <c r="S1049" s="343"/>
      <c r="T1049" s="343"/>
      <c r="U1049" s="349"/>
      <c r="V1049" s="349"/>
    </row>
    <row r="1050" spans="1:22" s="534" customFormat="1" ht="12.75" hidden="1" customHeight="1" x14ac:dyDescent="0.3">
      <c r="A1050" s="343" t="str">
        <f>IF(P1050="","ausblenden","")</f>
        <v>ausblenden</v>
      </c>
      <c r="B1050" s="15"/>
      <c r="C1050" s="17"/>
      <c r="D1050" s="1386"/>
      <c r="E1050" s="947" t="s">
        <v>1560</v>
      </c>
      <c r="F1050" s="947"/>
      <c r="G1050" s="947"/>
      <c r="H1050" s="955" t="str">
        <f>EUconst_EUA</f>
        <v>EUA</v>
      </c>
      <c r="I1050" s="948"/>
      <c r="J1050" s="1165" t="str">
        <f>J985</f>
        <v/>
      </c>
      <c r="K1050" s="975" t="str">
        <f t="shared" si="158"/>
        <v/>
      </c>
      <c r="L1050" s="975" t="str">
        <f t="shared" si="159"/>
        <v/>
      </c>
      <c r="M1050" s="975" t="str">
        <f t="shared" si="160"/>
        <v/>
      </c>
      <c r="N1050" s="1391" t="str">
        <f t="shared" si="161"/>
        <v/>
      </c>
      <c r="O1050" s="19"/>
      <c r="P1050" s="343"/>
      <c r="Q1050" s="343"/>
      <c r="R1050" s="343"/>
      <c r="S1050" s="343"/>
      <c r="T1050" s="343"/>
      <c r="U1050" s="349"/>
      <c r="V1050" s="349"/>
    </row>
    <row r="1051" spans="1:22" s="534" customFormat="1" ht="12.75" hidden="1" customHeight="1" x14ac:dyDescent="0.3">
      <c r="A1051" s="343" t="str">
        <f>IF(P1051="","ausblenden","")</f>
        <v>ausblenden</v>
      </c>
      <c r="B1051" s="15"/>
      <c r="C1051" s="17"/>
      <c r="D1051" s="1386"/>
      <c r="E1051" s="947" t="s">
        <v>1527</v>
      </c>
      <c r="F1051" s="947"/>
      <c r="G1051" s="947"/>
      <c r="H1051" s="955" t="str">
        <f>EUconst_EUA</f>
        <v>EUA</v>
      </c>
      <c r="I1051" s="948"/>
      <c r="J1051" s="1165" t="str">
        <f>J986</f>
        <v/>
      </c>
      <c r="K1051" s="975" t="str">
        <f t="shared" si="158"/>
        <v/>
      </c>
      <c r="L1051" s="975" t="str">
        <f t="shared" si="159"/>
        <v/>
      </c>
      <c r="M1051" s="975" t="str">
        <f t="shared" si="160"/>
        <v/>
      </c>
      <c r="N1051" s="1391" t="str">
        <f t="shared" si="161"/>
        <v/>
      </c>
      <c r="O1051" s="19"/>
      <c r="P1051" s="343"/>
      <c r="Q1051" s="343"/>
      <c r="R1051" s="343"/>
      <c r="S1051" s="343"/>
      <c r="T1051" s="343"/>
      <c r="U1051" s="349"/>
      <c r="V1051" s="349"/>
    </row>
    <row r="1052" spans="1:22" s="534" customFormat="1" ht="12.75" hidden="1" customHeight="1" x14ac:dyDescent="0.3">
      <c r="A1052" s="343" t="str">
        <f>IF(P1052="","ausblenden","")</f>
        <v>ausblenden</v>
      </c>
      <c r="B1052" s="15"/>
      <c r="C1052" s="17"/>
      <c r="D1052" s="1386"/>
      <c r="E1052" s="1433" t="s">
        <v>1526</v>
      </c>
      <c r="F1052" s="1433"/>
      <c r="G1052" s="1433"/>
      <c r="H1052" s="1448" t="s">
        <v>1112</v>
      </c>
      <c r="I1052" s="1435"/>
      <c r="J1052" s="1449" t="str">
        <f>J987</f>
        <v/>
      </c>
      <c r="K1052" s="1450" t="str">
        <f t="shared" si="158"/>
        <v/>
      </c>
      <c r="L1052" s="1450" t="str">
        <f t="shared" si="159"/>
        <v/>
      </c>
      <c r="M1052" s="1450" t="str">
        <f t="shared" si="160"/>
        <v/>
      </c>
      <c r="N1052" s="1451" t="str">
        <f t="shared" si="161"/>
        <v/>
      </c>
      <c r="O1052" s="19"/>
      <c r="P1052" s="343"/>
      <c r="Q1052" s="343"/>
      <c r="R1052" s="343"/>
      <c r="S1052" s="343"/>
      <c r="T1052" s="343"/>
      <c r="U1052" s="349"/>
      <c r="V1052" s="349"/>
    </row>
    <row r="1053" spans="1:22" s="534" customFormat="1" ht="12.75" customHeight="1" x14ac:dyDescent="0.3">
      <c r="A1053" s="343"/>
      <c r="B1053" s="15"/>
      <c r="C1053" s="17"/>
      <c r="D1053" s="1386"/>
      <c r="E1053" s="944" t="str">
        <f>Translations!$B$1482</f>
        <v>Genomsnittligt årligt värde</v>
      </c>
      <c r="F1053" s="944"/>
      <c r="G1053" s="944"/>
      <c r="H1053" s="627" t="s">
        <v>1112</v>
      </c>
      <c r="I1053" s="945"/>
      <c r="J1053" s="1439" t="str">
        <f>IF(L972=47,INDEX(H_SpecialBM!J:J,MATCH($P1053,H_SpecialBM!$Q:$Q,0)),"")</f>
        <v/>
      </c>
      <c r="K1053" s="1440" t="str">
        <f>IF(L972=47,INDEX(H_SpecialBM!K:K,MATCH($P1053,H_SpecialBM!$Q:$Q,0)),"")</f>
        <v/>
      </c>
      <c r="L1053" s="1440" t="str">
        <f>IF(L972=47,INDEX(H_SpecialBM!L:L,MATCH($P1053,H_SpecialBM!$Q:$Q,0)),"")</f>
        <v/>
      </c>
      <c r="M1053" s="1440" t="str">
        <f>IF(L972=47,INDEX(H_SpecialBM!M:M,MATCH($P1053,H_SpecialBM!$Q:$Q,0)),"")</f>
        <v/>
      </c>
      <c r="N1053" s="1441" t="str">
        <f>IF(L972=47,INDEX(H_SpecialBM!N:N,MATCH($P1053,H_SpecialBM!$Q:$Q,0)),"")</f>
        <v/>
      </c>
      <c r="O1053" s="19"/>
      <c r="P1053" s="165" t="str">
        <f>EUconst_CNTR_VCMInitial &amp; INDEX(EUconst_BMlistNames,47)</f>
        <v>VCMIni_Vinylkloridmonomer</v>
      </c>
      <c r="Q1053" s="343"/>
      <c r="R1053" s="343"/>
      <c r="S1053" s="343"/>
      <c r="T1053" s="343"/>
      <c r="U1053" s="349"/>
      <c r="V1053" s="349"/>
    </row>
    <row r="1054" spans="1:22" s="534" customFormat="1" ht="12.75" customHeight="1" x14ac:dyDescent="0.3">
      <c r="A1054" s="343"/>
      <c r="B1054" s="15"/>
      <c r="C1054" s="17"/>
      <c r="D1054" s="1386"/>
      <c r="E1054" s="947" t="str">
        <f>Translations!$B$1571</f>
        <v>Ändring jämfört med värde enligt nationella genomförandeåtgärder</v>
      </c>
      <c r="F1054" s="947"/>
      <c r="G1054" s="947"/>
      <c r="H1054" s="1370" t="s">
        <v>1112</v>
      </c>
      <c r="I1054" s="1371"/>
      <c r="J1054" s="1415" t="str">
        <f>IF(L972=47,INDEX(H_SpecialBM!J:J,MATCH($P1054,H_SpecialBM!$Q:$Q,0)),"")</f>
        <v/>
      </c>
      <c r="K1054" s="1416" t="str">
        <f>IF(L972=47,INDEX(H_SpecialBM!K:K,MATCH($P1054,H_SpecialBM!$Q:$Q,0)),"")</f>
        <v/>
      </c>
      <c r="L1054" s="1416" t="str">
        <f>IF(L972=47,INDEX(H_SpecialBM!L:L,MATCH($P1054,H_SpecialBM!$Q:$Q,0)),"")</f>
        <v/>
      </c>
      <c r="M1054" s="1416" t="str">
        <f>IF(L972=47,INDEX(H_SpecialBM!M:M,MATCH($P1054,H_SpecialBM!$Q:$Q,0)),"")</f>
        <v/>
      </c>
      <c r="N1054" s="1417" t="str">
        <f>IF(L972=47,INDEX(H_SpecialBM!N:N,MATCH($P1054,H_SpecialBM!$Q:$Q,0)),"")</f>
        <v/>
      </c>
      <c r="O1054" s="19"/>
      <c r="P1054" s="165" t="str">
        <f>EUconst_CNTR_RelThreshold &amp; P1056</f>
        <v>RelThresh_VCMprelim_</v>
      </c>
      <c r="Q1054" s="343"/>
      <c r="R1054" s="343"/>
      <c r="S1054" s="343"/>
      <c r="T1054" s="343"/>
      <c r="U1054" s="349"/>
      <c r="V1054" s="349"/>
    </row>
    <row r="1055" spans="1:22" s="534" customFormat="1" ht="12.75" customHeight="1" x14ac:dyDescent="0.3">
      <c r="A1055" s="343"/>
      <c r="B1055" s="15"/>
      <c r="C1055" s="17"/>
      <c r="D1055" s="1386"/>
      <c r="E1055" s="1418" t="str">
        <f>Translations!$B$1581</f>
        <v>Kriterium 3e: Har relativa tröskelvärden överskridits?</v>
      </c>
      <c r="F1055" s="1418"/>
      <c r="G1055" s="1418"/>
      <c r="H1055" s="1423" t="s">
        <v>1112</v>
      </c>
      <c r="I1055" s="1423"/>
      <c r="J1055" s="1420" t="str">
        <f>IF(L972=47,INDEX(H_SpecialBM!V:V,MATCH($P1055,H_SpecialBM!$Q:$Q,0)),"")</f>
        <v/>
      </c>
      <c r="K1055" s="1421" t="str">
        <f>IF(L972=47,INDEX(H_SpecialBM!W:W,MATCH($P1055,H_SpecialBM!$Q:$Q,0)),"")</f>
        <v/>
      </c>
      <c r="L1055" s="1421" t="str">
        <f>IF(L972=47,INDEX(H_SpecialBM!X:X,MATCH($P1055,H_SpecialBM!$Q:$Q,0)),"")</f>
        <v/>
      </c>
      <c r="M1055" s="1421" t="str">
        <f>IF(L972=47,INDEX(H_SpecialBM!Y:Y,MATCH($P1055,H_SpecialBM!$Q:$Q,0)),"")</f>
        <v/>
      </c>
      <c r="N1055" s="1422" t="str">
        <f>IF(L972=47,INDEX(H_SpecialBM!Z:Z,MATCH($P1055,H_SpecialBM!$Q:$Q,0)),"")</f>
        <v/>
      </c>
      <c r="O1055" s="19"/>
      <c r="P1055" s="165" t="str">
        <f>P1054</f>
        <v>RelThresh_VCMprelim_</v>
      </c>
      <c r="Q1055" s="343"/>
      <c r="R1055" s="343"/>
      <c r="S1055" s="343"/>
      <c r="T1055" s="343"/>
      <c r="U1055" s="349"/>
      <c r="V1055" s="349"/>
    </row>
    <row r="1056" spans="1:22" s="534" customFormat="1" ht="12.75" customHeight="1" x14ac:dyDescent="0.3">
      <c r="A1056" s="343" t="str">
        <f>IF(P1056="","ausblenden","")</f>
        <v/>
      </c>
      <c r="B1056" s="15"/>
      <c r="C1056" s="17"/>
      <c r="D1056" s="1386"/>
      <c r="E1056" s="950" t="str">
        <f>Translations!$B$1568</f>
        <v>Preliminärt värde</v>
      </c>
      <c r="F1056" s="950"/>
      <c r="G1056" s="950"/>
      <c r="H1056" s="957" t="s">
        <v>1112</v>
      </c>
      <c r="I1056" s="951"/>
      <c r="J1056" s="1404" t="str">
        <f>IF($L972=47,IF(ISNUMBER(INDEX(H_SpecialBM!J:J,MATCH($P1056,H_SpecialBM!$Q:$Q,0))),INDEX(H_SpecialBM!J:J,MATCH($P1056,H_SpecialBM!$Q:$Q,0)),1),"")</f>
        <v/>
      </c>
      <c r="K1056" s="1405" t="str">
        <f>IF($L972=47,IF(ISNUMBER(INDEX(H_SpecialBM!K:K,MATCH($P1056,H_SpecialBM!$Q:$Q,0))),INDEX(H_SpecialBM!K:K,MATCH($P1056,H_SpecialBM!$Q:$Q,0)),1),"")</f>
        <v/>
      </c>
      <c r="L1056" s="1405" t="str">
        <f>IF($L972=47,IF(ISNUMBER(INDEX(H_SpecialBM!L:L,MATCH($P1056,H_SpecialBM!$Q:$Q,0))),INDEX(H_SpecialBM!L:L,MATCH($P1056,H_SpecialBM!$Q:$Q,0)),1),"")</f>
        <v/>
      </c>
      <c r="M1056" s="1405" t="str">
        <f>IF($L972=47,IF(ISNUMBER(INDEX(H_SpecialBM!M:M,MATCH($P1056,H_SpecialBM!$Q:$Q,0))),INDEX(H_SpecialBM!M:M,MATCH($P1056,H_SpecialBM!$Q:$Q,0)),1),"")</f>
        <v/>
      </c>
      <c r="N1056" s="1406" t="str">
        <f>IF($L972=47,IF(ISNUMBER(INDEX(H_SpecialBM!N:N,MATCH($P1056,H_SpecialBM!$Q:$Q,0))),INDEX(H_SpecialBM!N:N,MATCH($P1056,H_SpecialBM!$Q:$Q,0)),1),"")</f>
        <v/>
      </c>
      <c r="O1056" s="19"/>
      <c r="P1056" s="165" t="str">
        <f>EUconst_CNTR_VCMprelim</f>
        <v>VCMprelim_</v>
      </c>
      <c r="Q1056" s="343"/>
      <c r="R1056" s="343"/>
      <c r="S1056" s="343"/>
      <c r="T1056" s="343"/>
      <c r="U1056" s="349"/>
      <c r="V1056" s="349"/>
    </row>
    <row r="1057" spans="1:22" s="534" customFormat="1" ht="12.75" customHeight="1" x14ac:dyDescent="0.3">
      <c r="A1057" s="343"/>
      <c r="B1057" s="15"/>
      <c r="C1057" s="17"/>
      <c r="D1057" s="1386"/>
      <c r="E1057" s="514" t="str">
        <f>Translations!$B$1565</f>
        <v>Preliminärt tilldelningsvärde</v>
      </c>
      <c r="F1057" s="514"/>
      <c r="G1057" s="514"/>
      <c r="H1057" s="129" t="str">
        <f>EUconst_EUA</f>
        <v>EUA</v>
      </c>
      <c r="I1057" s="1151"/>
      <c r="J1057" s="1131" t="str">
        <f>IF(J1056="","",MAX(0,ROUND((SUM($M972)*SUM(J1048)*SUM(J1052)*SUM(J1056)-SUM(J1049)-SUM(J1050)+SUM(J1051))*IF($H972=TRUE,1,J$2517),0)))</f>
        <v/>
      </c>
      <c r="K1057" s="421" t="str">
        <f>IF(K1056="","",MAX(0,ROUND((SUM($M972)*SUM(K1048)*SUM(K1052)*SUM(K1056)-SUM(K1049)-SUM(K1050)+SUM(K1051))*IF($H972=TRUE,1,K$2517),0)))</f>
        <v/>
      </c>
      <c r="L1057" s="421" t="str">
        <f>IF(L1056="","",MAX(0,ROUND((SUM($M972)*SUM(L1048)*SUM(L1052)*SUM(L1056)-SUM(L1049)-SUM(L1050)+SUM(L1051))*IF($H972=TRUE,1,L$2517),0)))</f>
        <v/>
      </c>
      <c r="M1057" s="421" t="str">
        <f>IF(M1056="","",MAX(0,ROUND((SUM($M972)*SUM(M1048)*SUM(M1052)*SUM(M1056)-SUM(M1049)-SUM(M1050)+SUM(M1051))*IF($H972=TRUE,1,M$2517),0)))</f>
        <v/>
      </c>
      <c r="N1057" s="967" t="str">
        <f>IF(N1056="","",MAX(0,ROUND((SUM($M972)*SUM(N1048)*SUM(N1052)*SUM(N1056)-SUM(N1049)-SUM(N1050)+SUM(N1051))*IF($H972=TRUE,1,N$2517),0)))</f>
        <v/>
      </c>
      <c r="O1057" s="19"/>
      <c r="P1057" s="343"/>
      <c r="Q1057" s="343"/>
      <c r="R1057" s="343"/>
      <c r="S1057" s="343"/>
      <c r="T1057" s="343"/>
      <c r="U1057" s="349"/>
      <c r="V1057" s="349"/>
    </row>
    <row r="1058" spans="1:22" s="534" customFormat="1" ht="12.75" customHeight="1" x14ac:dyDescent="0.3">
      <c r="A1058" s="343"/>
      <c r="B1058" s="15"/>
      <c r="C1058" s="17"/>
      <c r="D1058" s="1386"/>
      <c r="E1058" s="514" t="str">
        <f>Translations!$B$1569</f>
        <v>Skillnad i tilldelning</v>
      </c>
      <c r="F1058" s="514"/>
      <c r="G1058" s="514"/>
      <c r="H1058" s="129" t="str">
        <f>EUconst_EUA</f>
        <v>EUA</v>
      </c>
      <c r="I1058" s="1151"/>
      <c r="J1058" s="1131" t="str">
        <f>IF(J1057="","",ABS(SUM(J1057)-SUM(J989)))</f>
        <v/>
      </c>
      <c r="K1058" s="421" t="str">
        <f>IF(K1057="","",ABS(SUM(K1057)-SUM(K989)))</f>
        <v/>
      </c>
      <c r="L1058" s="421" t="str">
        <f>IF(L1057="","",ABS(SUM(L1057)-SUM(L989)))</f>
        <v/>
      </c>
      <c r="M1058" s="421" t="str">
        <f>IF(M1057="","",ABS(SUM(M1057)-SUM(M989)))</f>
        <v/>
      </c>
      <c r="N1058" s="967" t="str">
        <f>IF(N1057="","",ABS(SUM(N1057)-SUM(N989)))</f>
        <v/>
      </c>
      <c r="O1058" s="19"/>
      <c r="P1058" s="343"/>
      <c r="Q1058" s="343"/>
      <c r="R1058" s="343"/>
      <c r="S1058" s="343"/>
      <c r="T1058" s="343"/>
      <c r="U1058" s="349"/>
      <c r="V1058" s="349"/>
    </row>
    <row r="1059" spans="1:22" s="534" customFormat="1" ht="12.75" customHeight="1" x14ac:dyDescent="0.3">
      <c r="A1059" s="343"/>
      <c r="B1059" s="15"/>
      <c r="C1059" s="17"/>
      <c r="D1059" s="1386"/>
      <c r="E1059" s="1419" t="str">
        <f>Translations!$B$1582</f>
        <v>Kriterium 4e: Är skillnaden minst 100 utsläppsrätter?</v>
      </c>
      <c r="F1059" s="514"/>
      <c r="G1059" s="514"/>
      <c r="H1059" s="1424" t="s">
        <v>1112</v>
      </c>
      <c r="I1059" s="1425"/>
      <c r="J1059" s="1426" t="str">
        <f>IF(J1058="","",J1058&gt;=100)</f>
        <v/>
      </c>
      <c r="K1059" s="1427" t="str">
        <f>IF(K1058="","",K1058&gt;=100)</f>
        <v/>
      </c>
      <c r="L1059" s="1427" t="str">
        <f>IF(L1058="","",L1058&gt;=100)</f>
        <v/>
      </c>
      <c r="M1059" s="1427" t="str">
        <f>IF(M1058="","",M1058&gt;=100)</f>
        <v/>
      </c>
      <c r="N1059" s="1428" t="str">
        <f>IF(N1058="","",N1058&gt;=100)</f>
        <v/>
      </c>
      <c r="O1059" s="19"/>
      <c r="P1059" s="165" t="str">
        <f>EUconst_CNTR_100EUA_VCM&amp;I996</f>
        <v>EUA100VCM_</v>
      </c>
      <c r="Q1059" s="343"/>
      <c r="R1059" s="343"/>
      <c r="S1059" s="343"/>
      <c r="T1059" s="343"/>
      <c r="U1059" s="349"/>
      <c r="V1059" s="349"/>
    </row>
    <row r="1060" spans="1:22" s="534" customFormat="1" ht="5.15" customHeight="1" x14ac:dyDescent="0.3">
      <c r="A1060" s="343"/>
      <c r="B1060" s="15"/>
      <c r="C1060" s="17"/>
      <c r="D1060" s="1386"/>
      <c r="E1060" s="15"/>
      <c r="F1060" s="15"/>
      <c r="G1060" s="15"/>
      <c r="H1060" s="15"/>
      <c r="I1060" s="941"/>
      <c r="J1060" s="15"/>
      <c r="K1060" s="15"/>
      <c r="L1060" s="15"/>
      <c r="M1060" s="15"/>
      <c r="N1060" s="968"/>
      <c r="O1060" s="19"/>
      <c r="P1060" s="343"/>
      <c r="Q1060" s="343"/>
      <c r="R1060" s="343"/>
      <c r="S1060" s="343"/>
      <c r="T1060" s="343"/>
      <c r="U1060" s="349"/>
      <c r="V1060" s="349"/>
    </row>
    <row r="1061" spans="1:22" s="534" customFormat="1" ht="12.75" customHeight="1" x14ac:dyDescent="0.3">
      <c r="A1061" s="343"/>
      <c r="B1061" s="15"/>
      <c r="C1061" s="17"/>
      <c r="D1061" s="1386"/>
      <c r="E1061" s="42" t="str">
        <f>Translations!$B$1583</f>
        <v>Ändringar: Facklad restgas</v>
      </c>
      <c r="F1061" s="188"/>
      <c r="G1061" s="188"/>
      <c r="H1061" s="30" t="str">
        <f>EUconst_Unit</f>
        <v>Enhet</v>
      </c>
      <c r="I1061" s="1157"/>
      <c r="J1061" s="1065">
        <f>J$2596</f>
        <v>2021</v>
      </c>
      <c r="K1061" s="350">
        <f>K$2596</f>
        <v>2022</v>
      </c>
      <c r="L1061" s="350">
        <f>L$2596</f>
        <v>2023</v>
      </c>
      <c r="M1061" s="350">
        <f>M$2596</f>
        <v>2024</v>
      </c>
      <c r="N1061" s="966">
        <f>N$2596</f>
        <v>2025</v>
      </c>
      <c r="O1061" s="19"/>
      <c r="P1061" s="343"/>
      <c r="Q1061" s="343"/>
      <c r="R1061" s="343"/>
      <c r="S1061" s="343"/>
      <c r="T1061" s="343"/>
      <c r="U1061" s="349"/>
      <c r="V1061" s="349"/>
    </row>
    <row r="1062" spans="1:22" s="534" customFormat="1" ht="12.75" hidden="1" customHeight="1" x14ac:dyDescent="0.3">
      <c r="A1062" s="343" t="str">
        <f>IF(P1062="","ausblenden","")</f>
        <v>ausblenden</v>
      </c>
      <c r="B1062" s="15"/>
      <c r="C1062" s="17"/>
      <c r="D1062" s="1386"/>
      <c r="E1062" s="514" t="s">
        <v>1918</v>
      </c>
      <c r="F1062" s="514"/>
      <c r="G1062" s="514"/>
      <c r="H1062" s="917" t="str">
        <f>H1048</f>
        <v>ton</v>
      </c>
      <c r="I1062" s="514"/>
      <c r="J1062" s="1152" t="str">
        <f>J983</f>
        <v/>
      </c>
      <c r="K1062" s="943" t="str">
        <f t="shared" ref="K1062:K1063" si="162">J1078</f>
        <v/>
      </c>
      <c r="L1062" s="943" t="str">
        <f t="shared" ref="L1062:L1063" si="163">K1078</f>
        <v/>
      </c>
      <c r="M1062" s="943" t="str">
        <f t="shared" ref="M1062:M1063" si="164">L1078</f>
        <v/>
      </c>
      <c r="N1062" s="1389" t="str">
        <f t="shared" ref="N1062:N1063" si="165">M1078</f>
        <v/>
      </c>
      <c r="O1062" s="19"/>
      <c r="P1062" s="343"/>
      <c r="Q1062" s="343"/>
      <c r="R1062" s="343"/>
      <c r="S1062" s="343"/>
      <c r="T1062" s="343"/>
      <c r="U1062" s="349"/>
      <c r="V1062" s="349"/>
    </row>
    <row r="1063" spans="1:22" s="534" customFormat="1" ht="12.75" hidden="1" customHeight="1" x14ac:dyDescent="0.3">
      <c r="A1063" s="343" t="str">
        <f>IF(P1063="","ausblenden","")</f>
        <v>ausblenden</v>
      </c>
      <c r="B1063" s="15"/>
      <c r="C1063" s="17"/>
      <c r="D1063" s="1386"/>
      <c r="E1063" s="944" t="s">
        <v>339</v>
      </c>
      <c r="F1063" s="944"/>
      <c r="G1063" s="944"/>
      <c r="H1063" s="954" t="str">
        <f>EUconst_EUA</f>
        <v>EUA</v>
      </c>
      <c r="I1063" s="945"/>
      <c r="J1063" s="1209" t="str">
        <f>J984</f>
        <v/>
      </c>
      <c r="K1063" s="1210" t="str">
        <f t="shared" si="162"/>
        <v/>
      </c>
      <c r="L1063" s="1210" t="str">
        <f t="shared" si="163"/>
        <v/>
      </c>
      <c r="M1063" s="1210" t="str">
        <f t="shared" si="164"/>
        <v/>
      </c>
      <c r="N1063" s="1390" t="str">
        <f t="shared" si="165"/>
        <v/>
      </c>
      <c r="O1063" s="19"/>
      <c r="P1063" s="343"/>
      <c r="Q1063" s="343"/>
      <c r="R1063" s="343"/>
      <c r="S1063" s="343"/>
      <c r="T1063" s="343"/>
      <c r="U1063" s="349"/>
      <c r="V1063" s="349"/>
    </row>
    <row r="1064" spans="1:22" s="534" customFormat="1" ht="12.75" customHeight="1" x14ac:dyDescent="0.3">
      <c r="A1064" s="343"/>
      <c r="B1064" s="15"/>
      <c r="C1064" s="17"/>
      <c r="D1064" s="1386"/>
      <c r="E1064" s="944" t="str">
        <f>Translations!$B$1482</f>
        <v>Genomsnittligt årligt värde</v>
      </c>
      <c r="F1064" s="944"/>
      <c r="G1064" s="944"/>
      <c r="H1064" s="627" t="str">
        <f>EUconst_tCO2</f>
        <v>t CO2</v>
      </c>
      <c r="I1064" s="945"/>
      <c r="J1064" s="1161" t="str">
        <f>INDEX(F_ProductBM!J:J,MATCH($P1064,F_ProductBM!$Q:$Q,0))</f>
        <v/>
      </c>
      <c r="K1064" s="946" t="str">
        <f>INDEX(F_ProductBM!K:K,MATCH($P1064,F_ProductBM!$Q:$Q,0))</f>
        <v/>
      </c>
      <c r="L1064" s="946" t="str">
        <f>INDEX(F_ProductBM!L:L,MATCH($P1064,F_ProductBM!$Q:$Q,0))</f>
        <v/>
      </c>
      <c r="M1064" s="946" t="str">
        <f>INDEX(F_ProductBM!M:M,MATCH($P1064,F_ProductBM!$Q:$Q,0))</f>
        <v/>
      </c>
      <c r="N1064" s="1046" t="str">
        <f>INDEX(F_ProductBM!N:N,MATCH($P1064,F_ProductBM!$Q:$Q,0))</f>
        <v/>
      </c>
      <c r="O1064" s="19"/>
      <c r="P1064" s="165" t="str">
        <f>EUconst_CNTR_HALinitial &amp; EUconst_CNTR_WGFlared &amp; I969</f>
        <v>HALini_WasteGasFlare_</v>
      </c>
      <c r="Q1064" s="343"/>
      <c r="R1064" s="343"/>
      <c r="S1064" s="343"/>
      <c r="T1064" s="343"/>
      <c r="U1064" s="349"/>
      <c r="V1064" s="349"/>
    </row>
    <row r="1065" spans="1:22" s="534" customFormat="1" ht="12.75" customHeight="1" x14ac:dyDescent="0.3">
      <c r="A1065" s="343"/>
      <c r="B1065" s="15"/>
      <c r="C1065" s="17"/>
      <c r="D1065" s="1386"/>
      <c r="E1065" s="947" t="str">
        <f>Translations!$B$1571</f>
        <v>Ändring jämfört med värde enligt nationella genomförandeåtgärder</v>
      </c>
      <c r="F1065" s="947"/>
      <c r="G1065" s="947"/>
      <c r="H1065" s="1442" t="s">
        <v>1112</v>
      </c>
      <c r="I1065" s="1371"/>
      <c r="J1065" s="1415" t="str">
        <f>INDEX(F_ProductBM!J:J,MATCH($P1065,F_ProductBM!$Q:$Q,0))</f>
        <v/>
      </c>
      <c r="K1065" s="1416" t="str">
        <f>INDEX(F_ProductBM!K:K,MATCH($P1065,F_ProductBM!$Q:$Q,0))</f>
        <v/>
      </c>
      <c r="L1065" s="1416" t="str">
        <f>INDEX(F_ProductBM!L:L,MATCH($P1065,F_ProductBM!$Q:$Q,0))</f>
        <v/>
      </c>
      <c r="M1065" s="1416" t="str">
        <f>INDEX(F_ProductBM!M:M,MATCH($P1065,F_ProductBM!$Q:$Q,0))</f>
        <v/>
      </c>
      <c r="N1065" s="1417" t="str">
        <f>INDEX(F_ProductBM!N:N,MATCH($P1065,F_ProductBM!$Q:$Q,0))</f>
        <v/>
      </c>
      <c r="O1065" s="19"/>
      <c r="P1065" s="165" t="str">
        <f>EUconst_CNTR_RelThreshold &amp; P1067</f>
        <v>RelThresh_HALprelim_WasteGasFlare_</v>
      </c>
      <c r="Q1065" s="343"/>
      <c r="R1065" s="343"/>
      <c r="S1065" s="343"/>
      <c r="T1065" s="343"/>
      <c r="U1065" s="349"/>
      <c r="V1065" s="349"/>
    </row>
    <row r="1066" spans="1:22" s="534" customFormat="1" ht="12.75" customHeight="1" x14ac:dyDescent="0.3">
      <c r="A1066" s="343"/>
      <c r="B1066" s="15"/>
      <c r="C1066" s="17"/>
      <c r="D1066" s="1386"/>
      <c r="E1066" s="1418" t="str">
        <f>Translations!$B$1584</f>
        <v>Kriterium 3f: Har relativa tröskelvärden överskridits?</v>
      </c>
      <c r="F1066" s="1418"/>
      <c r="G1066" s="1418"/>
      <c r="H1066" s="1444" t="s">
        <v>1112</v>
      </c>
      <c r="I1066" s="1423"/>
      <c r="J1066" s="1420" t="str">
        <f>INDEX(F_ProductBM!V:V,MATCH($P1066,F_ProductBM!$Q:$Q,0))</f>
        <v/>
      </c>
      <c r="K1066" s="1421" t="str">
        <f>INDEX(F_ProductBM!W:W,MATCH($P1066,F_ProductBM!$Q:$Q,0))</f>
        <v/>
      </c>
      <c r="L1066" s="1421" t="str">
        <f>INDEX(F_ProductBM!X:X,MATCH($P1066,F_ProductBM!$Q:$Q,0))</f>
        <v/>
      </c>
      <c r="M1066" s="1421" t="str">
        <f>INDEX(F_ProductBM!Y:Y,MATCH($P1066,F_ProductBM!$Q:$Q,0))</f>
        <v/>
      </c>
      <c r="N1066" s="1422" t="str">
        <f>INDEX(F_ProductBM!Z:Z,MATCH($P1066,F_ProductBM!$Q:$Q,0))</f>
        <v/>
      </c>
      <c r="O1066" s="19"/>
      <c r="P1066" s="165" t="str">
        <f>P1065</f>
        <v>RelThresh_HALprelim_WasteGasFlare_</v>
      </c>
      <c r="Q1066" s="343"/>
      <c r="R1066" s="343"/>
      <c r="S1066" s="343"/>
      <c r="T1066" s="343"/>
      <c r="U1066" s="349"/>
      <c r="V1066" s="349"/>
    </row>
    <row r="1067" spans="1:22" s="534" customFormat="1" ht="12.75" customHeight="1" x14ac:dyDescent="0.3">
      <c r="A1067" s="343" t="str">
        <f>IF(P1067="","ausblenden","")</f>
        <v/>
      </c>
      <c r="B1067" s="15"/>
      <c r="C1067" s="17"/>
      <c r="D1067" s="1386"/>
      <c r="E1067" s="950" t="str">
        <f>Translations!$B$1568</f>
        <v>Preliminärt värde</v>
      </c>
      <c r="F1067" s="950"/>
      <c r="G1067" s="950"/>
      <c r="H1067" s="957" t="str">
        <f>EUconst_tCO2</f>
        <v>t CO2</v>
      </c>
      <c r="I1067" s="951"/>
      <c r="J1067" s="1373" t="str">
        <f>IF(OR($I969="",CNTR_SubPeriod=1),"",INDEX(F_ProductBM!J:J,MATCH($P1067,F_ProductBM!$Q:$Q,0)))</f>
        <v/>
      </c>
      <c r="K1067" s="1374" t="str">
        <f>IF(OR($I969="",CNTR_SubPeriod=1),"",INDEX(F_ProductBM!K:K,MATCH($P1067,F_ProductBM!$Q:$Q,0)))</f>
        <v/>
      </c>
      <c r="L1067" s="1374" t="str">
        <f>IF(OR($I969="",CNTR_SubPeriod=1),"",INDEX(F_ProductBM!L:L,MATCH($P1067,F_ProductBM!$Q:$Q,0)))</f>
        <v/>
      </c>
      <c r="M1067" s="1374" t="str">
        <f>IF(OR($I969="",CNTR_SubPeriod=1),"",INDEX(F_ProductBM!M:M,MATCH($P1067,F_ProductBM!$Q:$Q,0)))</f>
        <v/>
      </c>
      <c r="N1067" s="1395" t="str">
        <f>IF(OR($I969="",CNTR_SubPeriod=1),"",INDEX(F_ProductBM!N:N,MATCH($P1067,F_ProductBM!$Q:$Q,0)))</f>
        <v/>
      </c>
      <c r="O1067" s="19"/>
      <c r="P1067" s="165" t="str">
        <f>EUconst_CNTR_HALprelim&amp;EUconst_CNTR_WGFlared&amp;$I969</f>
        <v>HALprelim_WasteGasFlare_</v>
      </c>
      <c r="Q1067" s="343"/>
      <c r="R1067" s="343"/>
      <c r="S1067" s="343"/>
      <c r="T1067" s="343"/>
      <c r="U1067" s="349"/>
      <c r="V1067" s="349"/>
    </row>
    <row r="1068" spans="1:22" s="534" customFormat="1" ht="12.75" hidden="1" customHeight="1" x14ac:dyDescent="0.3">
      <c r="A1068" s="343" t="str">
        <f>IF(P1068="","ausblenden","")</f>
        <v>ausblenden</v>
      </c>
      <c r="B1068" s="15"/>
      <c r="C1068" s="17"/>
      <c r="D1068" s="1386"/>
      <c r="E1068" s="947" t="s">
        <v>1527</v>
      </c>
      <c r="F1068" s="947"/>
      <c r="G1068" s="947"/>
      <c r="H1068" s="955" t="str">
        <f>EUconst_EUA</f>
        <v>EUA</v>
      </c>
      <c r="I1068" s="948"/>
      <c r="J1068" s="1165" t="str">
        <f>J986</f>
        <v/>
      </c>
      <c r="K1068" s="975" t="str">
        <f t="shared" ref="K1068:K1070" si="166">J1081</f>
        <v/>
      </c>
      <c r="L1068" s="975" t="str">
        <f t="shared" ref="L1068:L1070" si="167">K1081</f>
        <v/>
      </c>
      <c r="M1068" s="975" t="str">
        <f t="shared" ref="M1068:M1070" si="168">L1081</f>
        <v/>
      </c>
      <c r="N1068" s="1391" t="str">
        <f t="shared" ref="N1068:N1070" si="169">M1081</f>
        <v/>
      </c>
      <c r="O1068" s="19"/>
      <c r="P1068" s="343"/>
      <c r="Q1068" s="343"/>
      <c r="R1068" s="343"/>
      <c r="S1068" s="343"/>
      <c r="T1068" s="343"/>
      <c r="U1068" s="349"/>
      <c r="V1068" s="349"/>
    </row>
    <row r="1069" spans="1:22" s="534" customFormat="1" ht="12.75" hidden="1" customHeight="1" x14ac:dyDescent="0.3">
      <c r="A1069" s="343" t="str">
        <f>IF(P1069="","ausblenden","")</f>
        <v>ausblenden</v>
      </c>
      <c r="B1069" s="15"/>
      <c r="C1069" s="17"/>
      <c r="D1069" s="1386"/>
      <c r="E1069" s="947" t="s">
        <v>1526</v>
      </c>
      <c r="F1069" s="947"/>
      <c r="G1069" s="947"/>
      <c r="H1069" s="956" t="s">
        <v>1112</v>
      </c>
      <c r="I1069" s="948"/>
      <c r="J1069" s="1211" t="str">
        <f>J987</f>
        <v/>
      </c>
      <c r="K1069" s="1212" t="str">
        <f t="shared" si="166"/>
        <v/>
      </c>
      <c r="L1069" s="1212" t="str">
        <f t="shared" si="167"/>
        <v/>
      </c>
      <c r="M1069" s="1212" t="str">
        <f t="shared" si="168"/>
        <v/>
      </c>
      <c r="N1069" s="1392" t="str">
        <f t="shared" si="169"/>
        <v/>
      </c>
      <c r="O1069" s="19"/>
      <c r="P1069" s="343"/>
      <c r="Q1069" s="343"/>
      <c r="R1069" s="343"/>
      <c r="S1069" s="343"/>
      <c r="T1069" s="343"/>
      <c r="U1069" s="349"/>
      <c r="V1069" s="349"/>
    </row>
    <row r="1070" spans="1:22" s="534" customFormat="1" ht="12.75" hidden="1" customHeight="1" x14ac:dyDescent="0.3">
      <c r="A1070" s="343" t="str">
        <f>IF(P1070="","ausblenden","")</f>
        <v>ausblenden</v>
      </c>
      <c r="B1070" s="15"/>
      <c r="C1070" s="17"/>
      <c r="D1070" s="1386"/>
      <c r="E1070" s="950" t="s">
        <v>1528</v>
      </c>
      <c r="F1070" s="950"/>
      <c r="G1070" s="950"/>
      <c r="H1070" s="957" t="s">
        <v>1112</v>
      </c>
      <c r="I1070" s="951"/>
      <c r="J1070" s="1213" t="str">
        <f>J988</f>
        <v/>
      </c>
      <c r="K1070" s="1214" t="str">
        <f t="shared" si="166"/>
        <v/>
      </c>
      <c r="L1070" s="1214" t="str">
        <f t="shared" si="167"/>
        <v/>
      </c>
      <c r="M1070" s="1214" t="str">
        <f t="shared" si="168"/>
        <v/>
      </c>
      <c r="N1070" s="1393" t="str">
        <f t="shared" si="169"/>
        <v/>
      </c>
      <c r="O1070" s="19"/>
      <c r="P1070" s="343"/>
      <c r="Q1070" s="343"/>
      <c r="R1070" s="343"/>
      <c r="S1070" s="343"/>
      <c r="T1070" s="343"/>
      <c r="U1070" s="349"/>
      <c r="V1070" s="349"/>
    </row>
    <row r="1071" spans="1:22" s="534" customFormat="1" ht="12.75" customHeight="1" x14ac:dyDescent="0.3">
      <c r="A1071" s="343"/>
      <c r="B1071" s="15"/>
      <c r="C1071" s="17"/>
      <c r="D1071" s="1386"/>
      <c r="E1071" s="514" t="str">
        <f>Translations!$B$1565</f>
        <v>Preliminärt tilldelningsvärde</v>
      </c>
      <c r="F1071" s="514"/>
      <c r="G1071" s="514"/>
      <c r="H1071" s="129" t="str">
        <f>EUconst_EUA</f>
        <v>EUA</v>
      </c>
      <c r="I1071" s="1151"/>
      <c r="J1071" s="1131" t="str">
        <f>IF(J1067="","",MAX(0,ROUND((SUM($M972)*SUM(J1062)*SUM(J1069)*SUM(J1070)-SUM(J1063)-SUM(J1067)+SUM(J1068))*IF($H972=TRUE,1,J$2517),0)))</f>
        <v/>
      </c>
      <c r="K1071" s="421" t="str">
        <f>IF(K1067="","",MAX(0,ROUND((SUM($M972)*SUM(K1062)*SUM(K1069)*SUM(K1070)-SUM(K1063)-SUM(K1067)+SUM(K1068))*IF($H972=TRUE,1,K$2517),0)))</f>
        <v/>
      </c>
      <c r="L1071" s="421" t="str">
        <f>IF(L1067="","",MAX(0,ROUND((SUM($M972)*SUM(L1062)*SUM(L1069)*SUM(L1070)-SUM(L1063)-SUM(L1067)+SUM(L1068))*IF($H972=TRUE,1,L$2517),0)))</f>
        <v/>
      </c>
      <c r="M1071" s="421" t="str">
        <f>IF(M1067="","",MAX(0,ROUND((SUM($M972)*SUM(M1062)*SUM(M1069)*SUM(M1070)-SUM(M1063)-SUM(M1067)+SUM(M1068))*IF($H972=TRUE,1,M$2517),0)))</f>
        <v/>
      </c>
      <c r="N1071" s="967" t="str">
        <f>IF(N1067="","",MAX(0,ROUND((SUM($M972)*SUM(N1062)*SUM(N1069)*SUM(N1070)-SUM(N1063)-SUM(N1067)+SUM(N1068))*IF($H972=TRUE,1,N$2517),0)))</f>
        <v/>
      </c>
      <c r="O1071" s="19"/>
      <c r="P1071" s="343"/>
      <c r="Q1071" s="343"/>
      <c r="R1071" s="343"/>
      <c r="S1071" s="343"/>
      <c r="T1071" s="343"/>
      <c r="U1071" s="349"/>
      <c r="V1071" s="349"/>
    </row>
    <row r="1072" spans="1:22" s="534" customFormat="1" ht="12.75" customHeight="1" x14ac:dyDescent="0.3">
      <c r="A1072" s="343"/>
      <c r="B1072" s="15"/>
      <c r="C1072" s="17"/>
      <c r="D1072" s="1386"/>
      <c r="E1072" s="514" t="str">
        <f>Translations!$B$1569</f>
        <v>Skillnad i tilldelning</v>
      </c>
      <c r="F1072" s="514"/>
      <c r="G1072" s="514"/>
      <c r="H1072" s="129" t="str">
        <f>EUconst_EUA</f>
        <v>EUA</v>
      </c>
      <c r="I1072" s="1151"/>
      <c r="J1072" s="1131" t="str">
        <f>IF(J1071="","",ABS(SUM(J1071)-SUM(J989)))</f>
        <v/>
      </c>
      <c r="K1072" s="421" t="str">
        <f>IF(K1071="","",ABS(SUM(K1071)-SUM(K989)))</f>
        <v/>
      </c>
      <c r="L1072" s="421" t="str">
        <f>IF(L1071="","",ABS(SUM(L1071)-SUM(L989)))</f>
        <v/>
      </c>
      <c r="M1072" s="421" t="str">
        <f>IF(M1071="","",ABS(SUM(M1071)-SUM(M989)))</f>
        <v/>
      </c>
      <c r="N1072" s="967" t="str">
        <f>IF(N1071="","",ABS(SUM(N1071)-SUM(N989)))</f>
        <v/>
      </c>
      <c r="O1072" s="19"/>
      <c r="P1072" s="343"/>
      <c r="Q1072" s="343"/>
      <c r="R1072" s="343"/>
      <c r="S1072" s="343"/>
      <c r="T1072" s="343"/>
      <c r="U1072" s="349"/>
      <c r="V1072" s="349"/>
    </row>
    <row r="1073" spans="1:22" s="534" customFormat="1" ht="12.75" customHeight="1" x14ac:dyDescent="0.3">
      <c r="A1073" s="343"/>
      <c r="B1073" s="15"/>
      <c r="C1073" s="17"/>
      <c r="D1073" s="1386"/>
      <c r="E1073" s="1419" t="str">
        <f>Translations!$B$1585</f>
        <v>Kriterium 4f: Är skillnaden minst 100 utsläppsrätter?</v>
      </c>
      <c r="F1073" s="514"/>
      <c r="G1073" s="514"/>
      <c r="H1073" s="1424" t="s">
        <v>1112</v>
      </c>
      <c r="I1073" s="1425"/>
      <c r="J1073" s="1426" t="str">
        <f>IF(J1072="","",J1072&gt;=100)</f>
        <v/>
      </c>
      <c r="K1073" s="1427" t="str">
        <f>IF(K1072="","",K1072&gt;=100)</f>
        <v/>
      </c>
      <c r="L1073" s="1427" t="str">
        <f>IF(L1072="","",L1072&gt;=100)</f>
        <v/>
      </c>
      <c r="M1073" s="1427" t="str">
        <f>IF(M1072="","",M1072&gt;=100)</f>
        <v/>
      </c>
      <c r="N1073" s="1428" t="str">
        <f>IF(N1072="","",N1072&gt;=100)</f>
        <v/>
      </c>
      <c r="O1073" s="19"/>
      <c r="P1073" s="165" t="str">
        <f>EUconst_CNTR_100EUA_WGFlare&amp;I969</f>
        <v>EUA100WGFlare_</v>
      </c>
      <c r="Q1073" s="343"/>
      <c r="R1073" s="343"/>
      <c r="S1073" s="343"/>
      <c r="T1073" s="343"/>
      <c r="U1073" s="349"/>
      <c r="V1073" s="349"/>
    </row>
    <row r="1074" spans="1:22" s="534" customFormat="1" ht="12.75" customHeight="1" thickBot="1" x14ac:dyDescent="0.35">
      <c r="A1074" s="343"/>
      <c r="B1074" s="15"/>
      <c r="C1074" s="17"/>
      <c r="D1074" s="1398"/>
      <c r="E1074" s="973"/>
      <c r="F1074" s="973"/>
      <c r="G1074" s="973"/>
      <c r="H1074" s="973"/>
      <c r="I1074" s="1399"/>
      <c r="J1074" s="973"/>
      <c r="K1074" s="973"/>
      <c r="L1074" s="973"/>
      <c r="M1074" s="973"/>
      <c r="N1074" s="974"/>
      <c r="O1074" s="19"/>
      <c r="P1074" s="343"/>
      <c r="Q1074" s="343"/>
      <c r="R1074" s="343"/>
      <c r="S1074" s="343"/>
      <c r="T1074" s="343"/>
      <c r="U1074" s="349"/>
      <c r="V1074" s="349"/>
    </row>
    <row r="1075" spans="1:22" s="534" customFormat="1" ht="5.15" customHeight="1" thickBot="1" x14ac:dyDescent="0.35">
      <c r="A1075" s="343"/>
      <c r="B1075" s="15"/>
      <c r="C1075" s="17"/>
      <c r="D1075" s="17"/>
      <c r="E1075" s="15"/>
      <c r="F1075" s="15"/>
      <c r="G1075" s="15"/>
      <c r="H1075" s="15"/>
      <c r="I1075" s="941"/>
      <c r="J1075" s="15"/>
      <c r="K1075" s="15"/>
      <c r="L1075" s="15"/>
      <c r="M1075" s="15"/>
      <c r="N1075" s="15"/>
      <c r="O1075" s="19"/>
      <c r="P1075" s="343"/>
      <c r="Q1075" s="343"/>
      <c r="R1075" s="343"/>
      <c r="S1075" s="343"/>
      <c r="T1075" s="343"/>
      <c r="U1075" s="349"/>
      <c r="V1075" s="349"/>
    </row>
    <row r="1076" spans="1:22" s="534" customFormat="1" ht="5.15" customHeight="1" x14ac:dyDescent="0.25">
      <c r="A1076" s="343"/>
      <c r="B1076" s="15"/>
      <c r="C1076" s="15"/>
      <c r="D1076" s="961"/>
      <c r="E1076" s="962"/>
      <c r="F1076" s="962"/>
      <c r="G1076" s="962"/>
      <c r="H1076" s="962"/>
      <c r="I1076" s="963"/>
      <c r="J1076" s="962"/>
      <c r="K1076" s="962"/>
      <c r="L1076" s="962"/>
      <c r="M1076" s="962"/>
      <c r="N1076" s="964"/>
      <c r="O1076" s="19"/>
      <c r="P1076" s="343"/>
      <c r="Q1076" s="343"/>
      <c r="R1076" s="343"/>
      <c r="S1076" s="343"/>
      <c r="T1076" s="7"/>
      <c r="U1076" s="349"/>
      <c r="V1076" s="349"/>
    </row>
    <row r="1077" spans="1:22" s="534" customFormat="1" ht="13" x14ac:dyDescent="0.25">
      <c r="A1077" s="343"/>
      <c r="B1077" s="15"/>
      <c r="C1077" s="15"/>
      <c r="D1077" s="965"/>
      <c r="E1077" s="39" t="str">
        <f>Translations!$B$1586</f>
        <v>Faktiska använda värden</v>
      </c>
      <c r="F1077" s="15"/>
      <c r="G1077" s="15"/>
      <c r="H1077" s="30" t="str">
        <f>EUconst_Unit</f>
        <v>Enhet</v>
      </c>
      <c r="I1077" s="1614" t="str">
        <f>Translations!$B$1510</f>
        <v>Basvärde</v>
      </c>
      <c r="J1077" s="1065">
        <f>J$2596</f>
        <v>2021</v>
      </c>
      <c r="K1077" s="350">
        <f>K$2596</f>
        <v>2022</v>
      </c>
      <c r="L1077" s="350">
        <f>L$2596</f>
        <v>2023</v>
      </c>
      <c r="M1077" s="350">
        <f>M$2596</f>
        <v>2024</v>
      </c>
      <c r="N1077" s="966">
        <f>N$2596</f>
        <v>2025</v>
      </c>
      <c r="O1077" s="19"/>
      <c r="P1077" s="343"/>
      <c r="Q1077" s="343"/>
      <c r="R1077" s="343"/>
      <c r="S1077" s="297" t="s">
        <v>1846</v>
      </c>
      <c r="T1077" s="7"/>
      <c r="U1077" s="349"/>
      <c r="V1077" s="349"/>
    </row>
    <row r="1078" spans="1:22" s="534" customFormat="1" x14ac:dyDescent="0.25">
      <c r="A1078" s="343"/>
      <c r="B1078" s="15"/>
      <c r="C1078" s="15"/>
      <c r="D1078" s="965"/>
      <c r="E1078" s="944" t="str">
        <f>Translations!$B$1587</f>
        <v>Verksamhetsnivå</v>
      </c>
      <c r="F1078" s="944"/>
      <c r="G1078" s="944"/>
      <c r="H1078" s="1443" t="str">
        <f>H1062</f>
        <v>ton</v>
      </c>
      <c r="I1078" s="1615" t="str">
        <f>IF($I969="","",IF(T1084&gt;=$H$2595,0,S1078))</f>
        <v/>
      </c>
      <c r="J1078" s="1161" t="str">
        <f>IF($I969="","",INDEX(F_ProductBM!J:J,MATCH($P1078,F_ProductBM!$Q:$Q,0)))</f>
        <v/>
      </c>
      <c r="K1078" s="946" t="str">
        <f>IF($I969="","",INDEX(F_ProductBM!K:K,MATCH($P1078,F_ProductBM!$Q:$Q,0)))</f>
        <v/>
      </c>
      <c r="L1078" s="946" t="str">
        <f>IF($I969="","",INDEX(F_ProductBM!L:L,MATCH($P1078,F_ProductBM!$Q:$Q,0)))</f>
        <v/>
      </c>
      <c r="M1078" s="946" t="str">
        <f>IF($I969="","",INDEX(F_ProductBM!M:M,MATCH($P1078,F_ProductBM!$Q:$Q,0)))</f>
        <v/>
      </c>
      <c r="N1078" s="1046" t="str">
        <f>IF($I969="","",INDEX(F_ProductBM!N:N,MATCH($P1078,F_ProductBM!$Q:$Q,0)))</f>
        <v/>
      </c>
      <c r="O1078" s="19"/>
      <c r="P1078" s="165" t="str">
        <f>EUconst_CNTR_HALfinal&amp;I969</f>
        <v>HALfinal_</v>
      </c>
      <c r="Q1078" s="343"/>
      <c r="R1078" s="343"/>
      <c r="S1078" s="1691" t="str">
        <f>IF($I969="","",INDEX(F_ProductBM!I:I,MATCH($P1078,F_ProductBM!$Q:$Q,0)))</f>
        <v/>
      </c>
      <c r="T1078" s="7"/>
      <c r="U1078" s="349"/>
      <c r="V1078" s="349"/>
    </row>
    <row r="1079" spans="1:22" s="534" customFormat="1" x14ac:dyDescent="0.25">
      <c r="A1079" s="343"/>
      <c r="B1079" s="15"/>
      <c r="C1079" s="15"/>
      <c r="D1079" s="965"/>
      <c r="E1079" s="1376" t="str">
        <f>Translations!$B$1036</f>
        <v>Värme utanför ETS</v>
      </c>
      <c r="F1079" s="1376"/>
      <c r="G1079" s="1376"/>
      <c r="H1079" s="1429" t="str">
        <f>EUconst_EUA</f>
        <v>EUA</v>
      </c>
      <c r="I1079" s="1616" t="str">
        <f>IF($I969="","",IF(YEAR(J972)&gt;=$H$2595-1,0,S1079))</f>
        <v/>
      </c>
      <c r="J1079" s="1430" t="str">
        <f>IF($I969="","",INDEX(F_ProductBM!J:J,MATCH($P1079,F_ProductBM!$Q:$Q,0)))</f>
        <v/>
      </c>
      <c r="K1079" s="1431" t="str">
        <f>IF($I969="","",INDEX(F_ProductBM!K:K,MATCH($P1079,F_ProductBM!$Q:$Q,0)))</f>
        <v/>
      </c>
      <c r="L1079" s="1431" t="str">
        <f>IF($I969="","",INDEX(F_ProductBM!L:L,MATCH($P1079,F_ProductBM!$Q:$Q,0)))</f>
        <v/>
      </c>
      <c r="M1079" s="1431" t="str">
        <f>IF($I969="","",INDEX(F_ProductBM!M:M,MATCH($P1079,F_ProductBM!$Q:$Q,0)))</f>
        <v/>
      </c>
      <c r="N1079" s="1432" t="str">
        <f>IF($I969="","",INDEX(F_ProductBM!N:N,MATCH($P1079,F_ProductBM!$Q:$Q,0)))</f>
        <v/>
      </c>
      <c r="O1079" s="19"/>
      <c r="P1079" s="165" t="str">
        <f>EUconst_CNTR_HEATfinal&amp;I969</f>
        <v>HEATfinal_</v>
      </c>
      <c r="Q1079" s="343"/>
      <c r="R1079" s="343"/>
      <c r="S1079" s="1692" t="str">
        <f>IF($I969="","",INDEX(F_ProductBM!I:I,MATCH($P1079,F_ProductBM!$Q:$Q,0)))</f>
        <v/>
      </c>
      <c r="T1079" s="7"/>
      <c r="U1079" s="349"/>
      <c r="V1079" s="349"/>
    </row>
    <row r="1080" spans="1:22" s="534" customFormat="1" x14ac:dyDescent="0.25">
      <c r="A1080" s="343"/>
      <c r="B1080" s="15"/>
      <c r="C1080" s="15"/>
      <c r="D1080" s="965"/>
      <c r="E1080" s="947" t="str">
        <f>Translations!$B$1038</f>
        <v>Wgfacklad</v>
      </c>
      <c r="F1080" s="947"/>
      <c r="G1080" s="947"/>
      <c r="H1080" s="955" t="str">
        <f>EUconst_EUA</f>
        <v>EUA</v>
      </c>
      <c r="I1080" s="1617" t="str">
        <f>IF($I969="","",IF(T1084&gt;=$H$2595,0,S1080))</f>
        <v/>
      </c>
      <c r="J1080" s="1162" t="str">
        <f>IF($I969="","",INDEX(F_ProductBM!J:J,MATCH($P1080,F_ProductBM!$Q:$Q,0)))</f>
        <v/>
      </c>
      <c r="K1080" s="949" t="str">
        <f>IF($I969="","",INDEX(F_ProductBM!K:K,MATCH($P1080,F_ProductBM!$Q:$Q,0)))</f>
        <v/>
      </c>
      <c r="L1080" s="949" t="str">
        <f>IF($I969="","",INDEX(F_ProductBM!L:L,MATCH($P1080,F_ProductBM!$Q:$Q,0)))</f>
        <v/>
      </c>
      <c r="M1080" s="949" t="str">
        <f>IF($I969="","",INDEX(F_ProductBM!M:M,MATCH($P1080,F_ProductBM!$Q:$Q,0)))</f>
        <v/>
      </c>
      <c r="N1080" s="969" t="str">
        <f>IF($I969="","",INDEX(F_ProductBM!N:N,MATCH($P1080,F_ProductBM!$Q:$Q,0)))</f>
        <v/>
      </c>
      <c r="O1080" s="19"/>
      <c r="P1080" s="165" t="str">
        <f>EUconst_CNTR_HALfinal&amp;EUconst_CNTR_WGFlared&amp;$I969</f>
        <v>HALfinal_WasteGasFlare_</v>
      </c>
      <c r="Q1080" s="343"/>
      <c r="R1080" s="343"/>
      <c r="S1080" s="1693" t="str">
        <f>IF($I969="","",INDEX(F_ProductBM!I:I,MATCH($P1080,F_ProductBM!$Q:$Q,0)))</f>
        <v/>
      </c>
      <c r="T1080" s="7"/>
      <c r="U1080" s="349"/>
      <c r="V1080" s="349"/>
    </row>
    <row r="1081" spans="1:22" s="534" customFormat="1" x14ac:dyDescent="0.25">
      <c r="A1081" s="343"/>
      <c r="B1081" s="15"/>
      <c r="C1081" s="15"/>
      <c r="D1081" s="965"/>
      <c r="E1081" s="947" t="s">
        <v>1527</v>
      </c>
      <c r="F1081" s="947"/>
      <c r="G1081" s="947"/>
      <c r="H1081" s="955" t="str">
        <f>EUconst_EUA</f>
        <v>EUA</v>
      </c>
      <c r="I1081" s="1617" t="str">
        <f>IF($I969="","",IF(T1084&gt;=$H$2595,0,IF(L972=42,S1081,0)))</f>
        <v/>
      </c>
      <c r="J1081" s="1162" t="str">
        <f>IF($I969="","",IF($L972=42,INDEX(H_SpecialBM!J:J,MATCH($P1081,H_SpecialBM!$Q:$Q,0)),0))</f>
        <v/>
      </c>
      <c r="K1081" s="949" t="str">
        <f>IF($I969="","",IF($L972=42,INDEX(H_SpecialBM!K:K,MATCH($P1081,H_SpecialBM!$Q:$Q,0)),0))</f>
        <v/>
      </c>
      <c r="L1081" s="949" t="str">
        <f>IF($I969="","",IF($L972=42,INDEX(H_SpecialBM!L:L,MATCH($P1081,H_SpecialBM!$Q:$Q,0)),0))</f>
        <v/>
      </c>
      <c r="M1081" s="949" t="str">
        <f>IF($I969="","",IF($L972=42,INDEX(H_SpecialBM!M:M,MATCH($P1081,H_SpecialBM!$Q:$Q,0)),0))</f>
        <v/>
      </c>
      <c r="N1081" s="969" t="str">
        <f>IF($I969="","",IF($L972=42,INDEX(H_SpecialBM!N:N,MATCH($P1081,H_SpecialBM!$Q:$Q,0)),0))</f>
        <v/>
      </c>
      <c r="O1081" s="19"/>
      <c r="P1081" s="165" t="str">
        <f>EUconst_CNTR_HVCfinal</f>
        <v>HVCfinal_</v>
      </c>
      <c r="Q1081" s="343"/>
      <c r="R1081" s="343"/>
      <c r="S1081" s="1693" t="str">
        <f>IF($I969="","",IF(L972=42,INDEX(H_SpecialBM!I:I,MATCH($P1081,H_SpecialBM!$Q:$Q,0)),0))</f>
        <v/>
      </c>
      <c r="T1081" s="7"/>
      <c r="U1081" s="349"/>
      <c r="V1081" s="349"/>
    </row>
    <row r="1082" spans="1:22" s="534" customFormat="1" x14ac:dyDescent="0.25">
      <c r="A1082" s="343"/>
      <c r="B1082" s="15"/>
      <c r="C1082" s="15"/>
      <c r="D1082" s="965"/>
      <c r="E1082" s="947" t="s">
        <v>1526</v>
      </c>
      <c r="F1082" s="947"/>
      <c r="G1082" s="947"/>
      <c r="H1082" s="956" t="s">
        <v>1112</v>
      </c>
      <c r="I1082" s="1618" t="str">
        <f>IF(AND($I969&lt;&gt;"",$I972=TRUE),IF(T1084&gt;=$H$2595,1,S1082),IF($I969="","",1))</f>
        <v/>
      </c>
      <c r="J1082" s="1163" t="str">
        <f>IF(AND($I969&lt;&gt;"",$I972=TRUE),INDEX(F_ProductBM!J:J,MATCH($P1082,F_ProductBM!$Q:$Q,0)),IF($I969="","",1))</f>
        <v/>
      </c>
      <c r="K1082" s="959" t="str">
        <f>IF(AND($I969&lt;&gt;"",$I972=TRUE),INDEX(F_ProductBM!K:K,MATCH($P1082,F_ProductBM!$Q:$Q,0)),IF($I969="","",1))</f>
        <v/>
      </c>
      <c r="L1082" s="959" t="str">
        <f>IF(AND($I969&lt;&gt;"",$I972=TRUE),INDEX(F_ProductBM!L:L,MATCH($P1082,F_ProductBM!$Q:$Q,0)),IF($I969="","",1))</f>
        <v/>
      </c>
      <c r="M1082" s="959" t="str">
        <f>IF(AND($I969&lt;&gt;"",$I972=TRUE),INDEX(F_ProductBM!M:M,MATCH($P1082,F_ProductBM!$Q:$Q,0)),IF($I969="","",1))</f>
        <v/>
      </c>
      <c r="N1082" s="970" t="str">
        <f>IF(AND($I969&lt;&gt;"",$I972=TRUE),INDEX(F_ProductBM!N:N,MATCH($P1082,F_ProductBM!$Q:$Q,0)),IF($I969="","",1))</f>
        <v/>
      </c>
      <c r="O1082" s="19"/>
      <c r="P1082" s="165" t="str">
        <f>EUconst_CNTR_HALfinal&amp;EUconst_CNTR_ELEXCH&amp;$I969</f>
        <v>HALfinal_ELEXCH_</v>
      </c>
      <c r="Q1082" s="343"/>
      <c r="R1082" s="343"/>
      <c r="S1082" s="1694" t="str">
        <f>IF(AND($I969&lt;&gt;"",$I972=TRUE),INDEX(F_ProductBM!I:I,MATCH($P1082,F_ProductBM!$Q:$Q,0)),IF($I969="","",1))</f>
        <v/>
      </c>
      <c r="T1082" s="343"/>
      <c r="U1082" s="349"/>
      <c r="V1082" s="349"/>
    </row>
    <row r="1083" spans="1:22" s="534" customFormat="1" x14ac:dyDescent="0.25">
      <c r="A1083" s="343"/>
      <c r="B1083" s="15"/>
      <c r="C1083" s="15"/>
      <c r="D1083" s="965"/>
      <c r="E1083" s="950" t="s">
        <v>1528</v>
      </c>
      <c r="F1083" s="950"/>
      <c r="G1083" s="950"/>
      <c r="H1083" s="957" t="s">
        <v>1112</v>
      </c>
      <c r="I1083" s="1619" t="str">
        <f>IF($I969="","",IF($L972=47,IF(AND(ISNUMBER(S1083),YEAR(J972)&lt;2021),S1083,1),1))</f>
        <v/>
      </c>
      <c r="J1083" s="1164" t="str">
        <f>IF($I969="","",IF($L972=47,IF(ISNUMBER(INDEX(H_SpecialBM!J:J,MATCH($P1083,H_SpecialBM!$Q:$Q,0))),INDEX(H_SpecialBM!J:J,MATCH($P1083,H_SpecialBM!$Q:$Q,0)),1),1))</f>
        <v/>
      </c>
      <c r="K1083" s="958" t="str">
        <f>IF($I969="","",IF($L972=47,IF(ISNUMBER(INDEX(H_SpecialBM!K:K,MATCH($P1083,H_SpecialBM!$Q:$Q,0))),INDEX(H_SpecialBM!K:K,MATCH($P1083,H_SpecialBM!$Q:$Q,0)),1),1))</f>
        <v/>
      </c>
      <c r="L1083" s="958" t="str">
        <f>IF($I969="","",IF($L972=47,IF(ISNUMBER(INDEX(H_SpecialBM!L:L,MATCH($P1083,H_SpecialBM!$Q:$Q,0))),INDEX(H_SpecialBM!L:L,MATCH($P1083,H_SpecialBM!$Q:$Q,0)),1),1))</f>
        <v/>
      </c>
      <c r="M1083" s="958" t="str">
        <f>IF($I969="","",IF($L972=47,IF(ISNUMBER(INDEX(H_SpecialBM!M:M,MATCH($P1083,H_SpecialBM!$Q:$Q,0))),INDEX(H_SpecialBM!M:M,MATCH($P1083,H_SpecialBM!$Q:$Q,0)),1),1))</f>
        <v/>
      </c>
      <c r="N1083" s="971" t="str">
        <f>IF($I969="","",IF($L972=47,IF(ISNUMBER(INDEX(H_SpecialBM!N:N,MATCH($P1083,H_SpecialBM!$Q:$Q,0))),INDEX(H_SpecialBM!N:N,MATCH($P1083,H_SpecialBM!$Q:$Q,0)),1),1))</f>
        <v/>
      </c>
      <c r="O1083" s="19"/>
      <c r="P1083" s="165" t="str">
        <f>EUconst_CNTR_VCMfinal</f>
        <v>VCMfinal_</v>
      </c>
      <c r="Q1083" s="343"/>
      <c r="R1083" s="343"/>
      <c r="S1083" s="1695" t="str">
        <f>IF($I969="","",IF($L972=47,IF(ISNUMBER(INDEX(H_SpecialBM!I:I,MATCH($P1083,H_SpecialBM!$Q:$Q,0))),INDEX(H_SpecialBM!I:I,MATCH($P1083,H_SpecialBM!$Q:$Q,0)),1),1))</f>
        <v/>
      </c>
      <c r="T1083" s="343"/>
      <c r="U1083" s="349"/>
      <c r="V1083" s="349"/>
    </row>
    <row r="1084" spans="1:22" s="534" customFormat="1" x14ac:dyDescent="0.25">
      <c r="A1084" s="343"/>
      <c r="B1084" s="15"/>
      <c r="C1084" s="15"/>
      <c r="D1084" s="965"/>
      <c r="E1084" s="514" t="str">
        <f>Translations!$B$956</f>
        <v>Preliminär tilldelning</v>
      </c>
      <c r="F1084" s="514"/>
      <c r="G1084" s="514"/>
      <c r="H1084" s="129" t="str">
        <f>EUconst_EUA</f>
        <v>EUA</v>
      </c>
      <c r="I1084" s="1620" t="str">
        <f>IF($I969="","",MAX(0,ROUND((SUM($M972)*SUM(I1078)*SUM(I1082)*SUM(I1083)-SUM(I1079)-SUM(I1080)+SUM(I1081))*IF($H972=TRUE,1,J$2517),0)))</f>
        <v/>
      </c>
      <c r="J1084" s="1131" t="str">
        <f>IF($I969="","",MAX(0,ROUND((SUM($M972)*SUM(J1078)*SUM(J1082)*SUM(J1083)-SUM(J1079)-SUM(J1080)+SUM(J1081))*IF($H972=TRUE,1,J$2517),0)))</f>
        <v/>
      </c>
      <c r="K1084" s="421" t="str">
        <f>IF($I969="","",MAX(0,ROUND((SUM($M972)*SUM(K1078)*SUM(K1082)*SUM(K1083)-SUM(K1079)-SUM(K1080)+SUM(K1081))*IF($H972=TRUE,1,K$2517),0)))</f>
        <v/>
      </c>
      <c r="L1084" s="421" t="str">
        <f>IF($I969="","",MAX(0,ROUND((SUM($M972)*SUM(L1078)*SUM(L1082)*SUM(L1083)-SUM(L1079)-SUM(L1080)+SUM(L1081))*IF($H972=TRUE,1,L$2517),0)))</f>
        <v/>
      </c>
      <c r="M1084" s="421" t="str">
        <f>IF($I969="","",MAX(0,ROUND((SUM($M972)*SUM(M1078)*SUM(M1082)*SUM(M1083)-SUM(M1079)-SUM(M1080)+SUM(M1081))*IF($H972=TRUE,1,M$2517),0)))</f>
        <v/>
      </c>
      <c r="N1084" s="967" t="str">
        <f>IF($I969="","",MAX(0,ROUND((SUM($M972+IF(L972=52,0.415,0))*SUM(N1078)*SUM(N1082)*SUM(N1083)-SUM(N1079)-SUM(N1080)+SUM(N1081))*IF($H972=TRUE,1,N$2517),0)))</f>
        <v/>
      </c>
      <c r="O1084" s="19"/>
      <c r="P1084" s="165" t="str">
        <f>EUconst_AllocPrelim&amp;I969</f>
        <v>AllocPrelim_</v>
      </c>
      <c r="Q1084" s="343"/>
      <c r="R1084" s="343"/>
      <c r="S1084" s="1696" t="str">
        <f>IF($I969="","",MAX(0,ROUND((SUM($M972)*SUM(S1078)*SUM(S1082)*SUM(S1083)-SUM(S1079)-SUM(S1080)+SUM(S1081))*IF($H972=TRUE,1,J$2517),0)))</f>
        <v/>
      </c>
      <c r="T1084" s="663">
        <f>INDEX(F_ProductBM!V:V,MATCH(C969,F_ProductBM!C:C,0))</f>
        <v>2005</v>
      </c>
      <c r="U1084" s="603" t="e">
        <f>OR(INDEX(I1084:N1084,CNTR_ReportingYear-$I$2596)&lt;&gt;INDEX(I1084:N1084,CNTR_ReportingYear-$H$2596),
(CNTR_ReportingYear-T1084)&lt;=1)</f>
        <v>#REF!</v>
      </c>
      <c r="V1084" s="355" t="b">
        <f ca="1">IF(I1084="",FALSE,COUNTIF(OFFSET(I1084,,,,MAX(1,CNTR_ReportingYear-$I$2596)),"&lt;&gt;" &amp; INDEX(I1084:N1084,CNTR_ReportingYear-$H$2596))&gt;0)</f>
        <v>0</v>
      </c>
    </row>
    <row r="1085" spans="1:22" s="534" customFormat="1" ht="5.15" customHeight="1" thickBot="1" x14ac:dyDescent="0.3">
      <c r="A1085" s="343"/>
      <c r="B1085" s="15"/>
      <c r="C1085" s="15"/>
      <c r="D1085" s="972"/>
      <c r="E1085" s="973"/>
      <c r="F1085" s="973"/>
      <c r="G1085" s="973"/>
      <c r="H1085" s="973"/>
      <c r="I1085" s="973"/>
      <c r="J1085" s="973"/>
      <c r="K1085" s="973"/>
      <c r="L1085" s="973"/>
      <c r="M1085" s="973"/>
      <c r="N1085" s="974"/>
      <c r="O1085" s="19"/>
      <c r="P1085" s="343"/>
      <c r="Q1085" s="343"/>
      <c r="R1085" s="343"/>
      <c r="S1085" s="343"/>
      <c r="T1085" s="343"/>
      <c r="U1085" s="349"/>
      <c r="V1085" s="349"/>
    </row>
    <row r="1086" spans="1:22" s="534" customFormat="1" ht="5.15" customHeight="1" thickBot="1" x14ac:dyDescent="0.3">
      <c r="A1086" s="343"/>
      <c r="B1086" s="15"/>
      <c r="C1086" s="15"/>
      <c r="E1086" s="289"/>
      <c r="F1086" s="15"/>
      <c r="G1086" s="15"/>
      <c r="H1086" s="15"/>
      <c r="I1086" s="15"/>
      <c r="J1086" s="15"/>
      <c r="K1086" s="15"/>
      <c r="L1086" s="15"/>
      <c r="M1086" s="15"/>
      <c r="N1086" s="15"/>
      <c r="O1086" s="19"/>
      <c r="P1086" s="343"/>
      <c r="Q1086" s="343"/>
      <c r="R1086" s="343"/>
      <c r="S1086" s="343"/>
      <c r="T1086" s="343"/>
      <c r="U1086" s="349"/>
      <c r="V1086" s="349"/>
    </row>
    <row r="1087" spans="1:22" s="534" customFormat="1" ht="12.75" customHeight="1" x14ac:dyDescent="0.25">
      <c r="A1087" s="343"/>
      <c r="B1087" s="15"/>
      <c r="C1087" s="15"/>
      <c r="D1087" s="1452"/>
      <c r="E1087" s="1453"/>
      <c r="F1087" s="1453"/>
      <c r="G1087" s="777"/>
      <c r="H1087" s="777"/>
      <c r="I1087" s="777"/>
      <c r="J1087" s="777"/>
      <c r="K1087" s="777"/>
      <c r="L1087" s="777"/>
      <c r="M1087" s="777"/>
      <c r="N1087" s="778"/>
      <c r="O1087" s="19"/>
      <c r="P1087" s="343"/>
      <c r="Q1087" s="343"/>
      <c r="R1087" s="343"/>
      <c r="S1087" s="343"/>
      <c r="T1087" s="343"/>
      <c r="U1087" s="349"/>
      <c r="V1087" s="349"/>
    </row>
    <row r="1088" spans="1:22" s="534" customFormat="1" ht="13.5" thickBot="1" x14ac:dyDescent="0.3">
      <c r="A1088" s="343"/>
      <c r="B1088" s="15"/>
      <c r="C1088" s="15"/>
      <c r="D1088" s="1454"/>
      <c r="E1088" s="416"/>
      <c r="F1088" s="416"/>
      <c r="G1088" s="415" t="str">
        <f>EUconst_Unit</f>
        <v>Enhet</v>
      </c>
      <c r="H1088" s="744">
        <f t="shared" ref="H1088:M1088" si="170">H$2596</f>
        <v>2019</v>
      </c>
      <c r="I1088" s="1155">
        <f t="shared" si="170"/>
        <v>2020</v>
      </c>
      <c r="J1088" s="1104">
        <f t="shared" si="170"/>
        <v>2021</v>
      </c>
      <c r="K1088" s="362">
        <f t="shared" si="170"/>
        <v>2022</v>
      </c>
      <c r="L1088" s="362">
        <f t="shared" si="170"/>
        <v>2023</v>
      </c>
      <c r="M1088" s="362">
        <f t="shared" si="170"/>
        <v>2024</v>
      </c>
      <c r="N1088" s="1141">
        <f>N$2596</f>
        <v>2025</v>
      </c>
      <c r="O1088" s="19"/>
      <c r="P1088" s="343"/>
      <c r="Q1088" s="343"/>
      <c r="R1088" s="343"/>
      <c r="S1088" s="343"/>
      <c r="T1088" s="7"/>
      <c r="U1088" s="349"/>
      <c r="V1088" s="349"/>
    </row>
    <row r="1089" spans="1:22" s="534" customFormat="1" ht="13.5" customHeight="1" thickBot="1" x14ac:dyDescent="0.3">
      <c r="A1089" s="343"/>
      <c r="B1089" s="15"/>
      <c r="C1089" s="15"/>
      <c r="D1089" s="1454"/>
      <c r="E1089" s="2747" t="str">
        <f>Translations!$B$1056</f>
        <v>Totala tillskrivna utsläpp</v>
      </c>
      <c r="F1089" s="2747"/>
      <c r="G1089" s="710" t="str">
        <f>EUconst_tCO2epa</f>
        <v>t CO2e/år</v>
      </c>
      <c r="H1089" s="735" t="str">
        <f t="shared" ref="H1089:N1089" si="171">INDEX(H$92:H$108,MATCH($I969,$E$92:$E$108,0))</f>
        <v/>
      </c>
      <c r="I1089" s="1156" t="str">
        <f t="shared" si="171"/>
        <v/>
      </c>
      <c r="J1089" s="735" t="str">
        <f t="shared" si="171"/>
        <v/>
      </c>
      <c r="K1089" s="736" t="str">
        <f t="shared" si="171"/>
        <v/>
      </c>
      <c r="L1089" s="736" t="str">
        <f t="shared" si="171"/>
        <v/>
      </c>
      <c r="M1089" s="736" t="str">
        <f t="shared" si="171"/>
        <v/>
      </c>
      <c r="N1089" s="737" t="str">
        <f t="shared" si="171"/>
        <v/>
      </c>
      <c r="O1089" s="19"/>
      <c r="P1089" s="343"/>
      <c r="Q1089" s="343"/>
      <c r="R1089" s="343"/>
      <c r="S1089" s="343"/>
      <c r="T1089" s="7"/>
      <c r="U1089" s="349"/>
      <c r="V1089" s="349"/>
    </row>
    <row r="1090" spans="1:22" s="534" customFormat="1" ht="5.15" customHeight="1" x14ac:dyDescent="0.25">
      <c r="A1090" s="343"/>
      <c r="B1090" s="15"/>
      <c r="C1090" s="15"/>
      <c r="D1090" s="1454"/>
      <c r="E1090" s="899"/>
      <c r="F1090" s="899"/>
      <c r="G1090" s="416"/>
      <c r="H1090" s="738"/>
      <c r="I1090" s="738"/>
      <c r="J1090" s="738"/>
      <c r="K1090" s="738"/>
      <c r="L1090" s="738"/>
      <c r="M1090" s="738"/>
      <c r="N1090" s="1455"/>
      <c r="O1090" s="19"/>
      <c r="P1090" s="343"/>
      <c r="Q1090" s="343"/>
      <c r="R1090" s="343"/>
      <c r="S1090" s="343"/>
      <c r="T1090" s="7"/>
      <c r="U1090" s="349"/>
      <c r="V1090" s="349"/>
    </row>
    <row r="1091" spans="1:22" s="534" customFormat="1" ht="12.75" customHeight="1" x14ac:dyDescent="0.25">
      <c r="A1091" s="343"/>
      <c r="B1091" s="15"/>
      <c r="C1091" s="15"/>
      <c r="D1091" s="1454"/>
      <c r="E1091" s="2611" t="str">
        <f>Translations!$B$571</f>
        <v>Insatsbränsle</v>
      </c>
      <c r="F1091" s="2484"/>
      <c r="G1091" s="365" t="str">
        <f>EUconst_TJpa</f>
        <v>TJ / år</v>
      </c>
      <c r="H1091" s="739" t="str">
        <f>IF($I969="","",IF(INDEX(F_ProductBM!H:H,MATCH($P1091,F_ProductBM!$Q:$Q,0))="","",INDEX(F_ProductBM!H:H,MATCH($P1091,F_ProductBM!$Q:$Q,0))))</f>
        <v/>
      </c>
      <c r="I1091" s="1153" t="str">
        <f>IF($I969="","",IF(INDEX(F_ProductBM!I:I,MATCH($P1091,F_ProductBM!$Q:$Q,0))="","",INDEX(F_ProductBM!I:I,MATCH($P1091,F_ProductBM!$Q:$Q,0))))</f>
        <v/>
      </c>
      <c r="J1091" s="1159" t="str">
        <f>IF($I969="","",IF(INDEX(F_ProductBM!J:J,MATCH($P1091,F_ProductBM!$Q:$Q,0))="","",INDEX(F_ProductBM!J:J,MATCH($P1091,F_ProductBM!$Q:$Q,0))))</f>
        <v/>
      </c>
      <c r="K1091" s="739" t="str">
        <f>IF($I969="","",IF(INDEX(F_ProductBM!K:K,MATCH($P1091,F_ProductBM!$Q:$Q,0))="","",INDEX(F_ProductBM!K:K,MATCH($P1091,F_ProductBM!$Q:$Q,0))))</f>
        <v/>
      </c>
      <c r="L1091" s="739" t="str">
        <f>IF($I969="","",IF(INDEX(F_ProductBM!L:L,MATCH($P1091,F_ProductBM!$Q:$Q,0))="","",INDEX(F_ProductBM!L:L,MATCH($P1091,F_ProductBM!$Q:$Q,0))))</f>
        <v/>
      </c>
      <c r="M1091" s="739" t="str">
        <f>IF($I969="","",IF(INDEX(F_ProductBM!M:M,MATCH($P1091,F_ProductBM!$Q:$Q,0))="","",INDEX(F_ProductBM!M:M,MATCH($P1091,F_ProductBM!$Q:$Q,0))))</f>
        <v/>
      </c>
      <c r="N1091" s="1456" t="str">
        <f>IF($I969="","",IF(INDEX(F_ProductBM!N:N,MATCH($P1091,F_ProductBM!$Q:$Q,0))="","",INDEX(F_ProductBM!N:N,MATCH($P1091,F_ProductBM!$Q:$Q,0))))</f>
        <v/>
      </c>
      <c r="O1091" s="19"/>
      <c r="P1091" s="622" t="str">
        <f>EUconst_CNTR_FuelInput &amp; I969</f>
        <v>FuelInput_</v>
      </c>
      <c r="Q1091" s="343"/>
      <c r="R1091" s="343"/>
      <c r="S1091" s="343"/>
      <c r="T1091" s="7"/>
      <c r="U1091" s="349"/>
      <c r="V1091" s="349"/>
    </row>
    <row r="1092" spans="1:22" s="534" customFormat="1" ht="12.75" customHeight="1" x14ac:dyDescent="0.25">
      <c r="A1092" s="343"/>
      <c r="B1092" s="15"/>
      <c r="C1092" s="15"/>
      <c r="D1092" s="1454"/>
      <c r="E1092" s="2612" t="str">
        <f>Translations!$B$572</f>
        <v>Viktad emissionsfaktor</v>
      </c>
      <c r="F1092" s="2487"/>
      <c r="G1092" s="384" t="str">
        <f>EUconst_tCO2pTJ</f>
        <v>t CO2 / TJ</v>
      </c>
      <c r="H1092" s="740" t="str">
        <f>IF($I969="","",IF(INDEX(F_ProductBM!H:H,MATCH($P1092,F_ProductBM!$Q:$Q,0))="","",INDEX(F_ProductBM!H:H,MATCH($P1092,F_ProductBM!$Q:$Q,0))))</f>
        <v/>
      </c>
      <c r="I1092" s="1154" t="str">
        <f>IF($I969="","",IF(INDEX(F_ProductBM!I:I,MATCH($P1092,F_ProductBM!$Q:$Q,0))="","",INDEX(F_ProductBM!I:I,MATCH($P1092,F_ProductBM!$Q:$Q,0))))</f>
        <v/>
      </c>
      <c r="J1092" s="1160" t="str">
        <f>IF($I969="","",IF(INDEX(F_ProductBM!J:J,MATCH($P1092,F_ProductBM!$Q:$Q,0))="","",INDEX(F_ProductBM!J:J,MATCH($P1092,F_ProductBM!$Q:$Q,0))))</f>
        <v/>
      </c>
      <c r="K1092" s="740" t="str">
        <f>IF($I969="","",IF(INDEX(F_ProductBM!K:K,MATCH($P1092,F_ProductBM!$Q:$Q,0))="","",INDEX(F_ProductBM!K:K,MATCH($P1092,F_ProductBM!$Q:$Q,0))))</f>
        <v/>
      </c>
      <c r="L1092" s="740" t="str">
        <f>IF($I969="","",IF(INDEX(F_ProductBM!L:L,MATCH($P1092,F_ProductBM!$Q:$Q,0))="","",INDEX(F_ProductBM!L:L,MATCH($P1092,F_ProductBM!$Q:$Q,0))))</f>
        <v/>
      </c>
      <c r="M1092" s="740" t="str">
        <f>IF($I969="","",IF(INDEX(F_ProductBM!M:M,MATCH($P1092,F_ProductBM!$Q:$Q,0))="","",INDEX(F_ProductBM!M:M,MATCH($P1092,F_ProductBM!$Q:$Q,0))))</f>
        <v/>
      </c>
      <c r="N1092" s="1457" t="str">
        <f>IF($I969="","",IF(INDEX(F_ProductBM!N:N,MATCH($P1092,F_ProductBM!$Q:$Q,0))="","",INDEX(F_ProductBM!N:N,MATCH($P1092,F_ProductBM!$Q:$Q,0))))</f>
        <v/>
      </c>
      <c r="O1092" s="19"/>
      <c r="P1092" s="298" t="str">
        <f>EUconst_CNTR_FuelEF &amp; I969</f>
        <v>FuelEF_</v>
      </c>
      <c r="Q1092" s="343"/>
      <c r="R1092" s="343"/>
      <c r="S1092" s="343"/>
      <c r="T1092" s="7"/>
      <c r="U1092" s="349"/>
      <c r="V1092" s="349"/>
    </row>
    <row r="1093" spans="1:22" s="534" customFormat="1" ht="5.15" customHeight="1" x14ac:dyDescent="0.25">
      <c r="A1093" s="343"/>
      <c r="B1093" s="15"/>
      <c r="C1093" s="15"/>
      <c r="D1093" s="1454"/>
      <c r="E1093" s="899"/>
      <c r="F1093" s="899"/>
      <c r="G1093" s="623"/>
      <c r="H1093" s="741"/>
      <c r="I1093" s="741"/>
      <c r="J1093" s="741"/>
      <c r="K1093" s="741"/>
      <c r="L1093" s="741"/>
      <c r="M1093" s="741"/>
      <c r="N1093" s="1458"/>
      <c r="O1093" s="19"/>
      <c r="P1093" s="343"/>
      <c r="Q1093" s="343"/>
      <c r="R1093" s="343"/>
      <c r="S1093" s="343"/>
      <c r="T1093" s="7"/>
      <c r="U1093" s="349"/>
      <c r="V1093" s="349"/>
    </row>
    <row r="1094" spans="1:22" s="534" customFormat="1" ht="12.75" customHeight="1" x14ac:dyDescent="0.25">
      <c r="A1094" s="343"/>
      <c r="B1094" s="15"/>
      <c r="C1094" s="15"/>
      <c r="D1094" s="1454"/>
      <c r="E1094" s="2613" t="str">
        <f>Translations!$B$528</f>
        <v>Direkta utsläpp</v>
      </c>
      <c r="F1094" s="1997"/>
      <c r="G1094" s="364" t="str">
        <f>EUconst_tCO2pa</f>
        <v>t CO2 / år</v>
      </c>
      <c r="H1094" s="742" t="str">
        <f>IF($I969="","",IF(INDEX(F_ProductBM!H:H,MATCH($P1094,F_ProductBM!$Q:$Q,0))="","",INDEX(F_ProductBM!H:H,MATCH($P1094,F_ProductBM!$Q:$Q,0))))</f>
        <v/>
      </c>
      <c r="I1094" s="1021" t="str">
        <f>IF($I969="","",IF(INDEX(F_ProductBM!I:I,MATCH($P1094,F_ProductBM!$Q:$Q,0))="","",INDEX(F_ProductBM!I:I,MATCH($P1094,F_ProductBM!$Q:$Q,0))))</f>
        <v/>
      </c>
      <c r="J1094" s="1158" t="str">
        <f>IF($I969="","",IF(INDEX(F_ProductBM!J:J,MATCH($P1094,F_ProductBM!$Q:$Q,0))="","",INDEX(F_ProductBM!J:J,MATCH($P1094,F_ProductBM!$Q:$Q,0))))</f>
        <v/>
      </c>
      <c r="K1094" s="742" t="str">
        <f>IF($I969="","",IF(INDEX(F_ProductBM!K:K,MATCH($P1094,F_ProductBM!$Q:$Q,0))="","",INDEX(F_ProductBM!K:K,MATCH($P1094,F_ProductBM!$Q:$Q,0))))</f>
        <v/>
      </c>
      <c r="L1094" s="742" t="str">
        <f>IF($I969="","",IF(INDEX(F_ProductBM!L:L,MATCH($P1094,F_ProductBM!$Q:$Q,0))="","",INDEX(F_ProductBM!L:L,MATCH($P1094,F_ProductBM!$Q:$Q,0))))</f>
        <v/>
      </c>
      <c r="M1094" s="742" t="str">
        <f>IF($I969="","",IF(INDEX(F_ProductBM!M:M,MATCH($P1094,F_ProductBM!$Q:$Q,0))="","",INDEX(F_ProductBM!M:M,MATCH($P1094,F_ProductBM!$Q:$Q,0))))</f>
        <v/>
      </c>
      <c r="N1094" s="1459" t="str">
        <f>IF($I969="","",IF(INDEX(F_ProductBM!N:N,MATCH($P1094,F_ProductBM!$Q:$Q,0))="","",INDEX(F_ProductBM!N:N,MATCH($P1094,F_ProductBM!$Q:$Q,0))))</f>
        <v/>
      </c>
      <c r="O1094" s="19"/>
      <c r="P1094" s="298" t="str">
        <f>EUconst_CNTR_Emissions &amp; I969</f>
        <v>DirEmissions_</v>
      </c>
      <c r="Q1094" s="343"/>
      <c r="R1094" s="343"/>
      <c r="S1094" s="343"/>
      <c r="T1094" s="7"/>
      <c r="U1094" s="349"/>
      <c r="V1094" s="349"/>
    </row>
    <row r="1095" spans="1:22" s="534" customFormat="1" ht="12.75" customHeight="1" x14ac:dyDescent="0.25">
      <c r="A1095" s="343"/>
      <c r="B1095" s="15"/>
      <c r="C1095" s="15"/>
      <c r="D1095" s="1454"/>
      <c r="E1095" s="2613" t="str">
        <f>Translations!$B$582</f>
        <v>Andra bränsle-/materialmängder – 1</v>
      </c>
      <c r="F1095" s="1997"/>
      <c r="G1095" s="364" t="str">
        <f>EUconst_tCO2pa</f>
        <v>t CO2 / år</v>
      </c>
      <c r="H1095" s="742" t="str">
        <f>IF($I969="","",IF(INDEX(F_ProductBM!H:H,MATCH($P1095,F_ProductBM!$Q:$Q,0))="","",INDEX(F_ProductBM!H:H,MATCH($P1095,F_ProductBM!$Q:$Q,0))))</f>
        <v/>
      </c>
      <c r="I1095" s="1021" t="str">
        <f>IF($I969="","",IF(INDEX(F_ProductBM!I:I,MATCH($P1095,F_ProductBM!$Q:$Q,0))="","",INDEX(F_ProductBM!I:I,MATCH($P1095,F_ProductBM!$Q:$Q,0))))</f>
        <v/>
      </c>
      <c r="J1095" s="1158" t="str">
        <f>IF($I969="","",IF(INDEX(F_ProductBM!J:J,MATCH($P1095,F_ProductBM!$Q:$Q,0))="","",INDEX(F_ProductBM!J:J,MATCH($P1095,F_ProductBM!$Q:$Q,0))))</f>
        <v/>
      </c>
      <c r="K1095" s="742" t="str">
        <f>IF($I969="","",IF(INDEX(F_ProductBM!K:K,MATCH($P1095,F_ProductBM!$Q:$Q,0))="","",INDEX(F_ProductBM!K:K,MATCH($P1095,F_ProductBM!$Q:$Q,0))))</f>
        <v/>
      </c>
      <c r="L1095" s="742" t="str">
        <f>IF($I969="","",IF(INDEX(F_ProductBM!L:L,MATCH($P1095,F_ProductBM!$Q:$Q,0))="","",INDEX(F_ProductBM!L:L,MATCH($P1095,F_ProductBM!$Q:$Q,0))))</f>
        <v/>
      </c>
      <c r="M1095" s="742" t="str">
        <f>IF($I969="","",IF(INDEX(F_ProductBM!M:M,MATCH($P1095,F_ProductBM!$Q:$Q,0))="","",INDEX(F_ProductBM!M:M,MATCH($P1095,F_ProductBM!$Q:$Q,0))))</f>
        <v/>
      </c>
      <c r="N1095" s="1459" t="str">
        <f>IF($I969="","",IF(INDEX(F_ProductBM!N:N,MATCH($P1095,F_ProductBM!$Q:$Q,0))="","",INDEX(F_ProductBM!N:N,MATCH($P1095,F_ProductBM!$Q:$Q,0))))</f>
        <v/>
      </c>
      <c r="O1095" s="19"/>
      <c r="P1095" s="298" t="str">
        <f>EUconst_CNTR_EmissionsIntSource1 &amp; I969</f>
        <v>EmInternalSource1_</v>
      </c>
      <c r="Q1095" s="343"/>
      <c r="R1095" s="343"/>
      <c r="S1095" s="343"/>
      <c r="T1095" s="7"/>
      <c r="U1095" s="349"/>
      <c r="V1095" s="349"/>
    </row>
    <row r="1096" spans="1:22" s="534" customFormat="1" ht="12.75" customHeight="1" x14ac:dyDescent="0.25">
      <c r="A1096" s="343"/>
      <c r="B1096" s="15"/>
      <c r="C1096" s="15"/>
      <c r="D1096" s="1454"/>
      <c r="E1096" s="2613" t="str">
        <f>Translations!$B$592</f>
        <v>Andra bränsle-/materialmängder – 2</v>
      </c>
      <c r="F1096" s="1997"/>
      <c r="G1096" s="364" t="str">
        <f>EUconst_tCO2pa</f>
        <v>t CO2 / år</v>
      </c>
      <c r="H1096" s="742" t="str">
        <f>IF($I969="","",IF(INDEX(F_ProductBM!H:H,MATCH($P1096,F_ProductBM!$Q:$Q,0))="","",INDEX(F_ProductBM!H:H,MATCH($P1096,F_ProductBM!$Q:$Q,0))))</f>
        <v/>
      </c>
      <c r="I1096" s="1021" t="str">
        <f>IF($I969="","",IF(INDEX(F_ProductBM!I:I,MATCH($P1096,F_ProductBM!$Q:$Q,0))="","",INDEX(F_ProductBM!I:I,MATCH($P1096,F_ProductBM!$Q:$Q,0))))</f>
        <v/>
      </c>
      <c r="J1096" s="1158" t="str">
        <f>IF($I969="","",IF(INDEX(F_ProductBM!J:J,MATCH($P1096,F_ProductBM!$Q:$Q,0))="","",INDEX(F_ProductBM!J:J,MATCH($P1096,F_ProductBM!$Q:$Q,0))))</f>
        <v/>
      </c>
      <c r="K1096" s="742" t="str">
        <f>IF($I969="","",IF(INDEX(F_ProductBM!K:K,MATCH($P1096,F_ProductBM!$Q:$Q,0))="","",INDEX(F_ProductBM!K:K,MATCH($P1096,F_ProductBM!$Q:$Q,0))))</f>
        <v/>
      </c>
      <c r="L1096" s="742" t="str">
        <f>IF($I969="","",IF(INDEX(F_ProductBM!L:L,MATCH($P1096,F_ProductBM!$Q:$Q,0))="","",INDEX(F_ProductBM!L:L,MATCH($P1096,F_ProductBM!$Q:$Q,0))))</f>
        <v/>
      </c>
      <c r="M1096" s="742" t="str">
        <f>IF($I969="","",IF(INDEX(F_ProductBM!M:M,MATCH($P1096,F_ProductBM!$Q:$Q,0))="","",INDEX(F_ProductBM!M:M,MATCH($P1096,F_ProductBM!$Q:$Q,0))))</f>
        <v/>
      </c>
      <c r="N1096" s="1459" t="str">
        <f>IF($I969="","",IF(INDEX(F_ProductBM!N:N,MATCH($P1096,F_ProductBM!$Q:$Q,0))="","",INDEX(F_ProductBM!N:N,MATCH($P1096,F_ProductBM!$Q:$Q,0))))</f>
        <v/>
      </c>
      <c r="O1096" s="19"/>
      <c r="P1096" s="298" t="str">
        <f>EUconst_CNTR_EmissionsIntSource2 &amp; I969</f>
        <v>EmInternalSource2_</v>
      </c>
      <c r="Q1096" s="343"/>
      <c r="R1096" s="343"/>
      <c r="S1096" s="343"/>
      <c r="T1096" s="7"/>
      <c r="U1096" s="349"/>
      <c r="V1096" s="349"/>
    </row>
    <row r="1097" spans="1:22" s="534" customFormat="1" ht="12.75" customHeight="1" x14ac:dyDescent="0.25">
      <c r="A1097" s="343"/>
      <c r="B1097" s="15"/>
      <c r="C1097" s="15"/>
      <c r="D1097" s="1454"/>
      <c r="E1097" s="2613" t="str">
        <f>Translations!$B$596</f>
        <v>Importerade eller exporterade växthusgaser</v>
      </c>
      <c r="F1097" s="1997"/>
      <c r="G1097" s="364" t="str">
        <f>EUconst_tCO2epa</f>
        <v>t CO2e/år</v>
      </c>
      <c r="H1097" s="742" t="str">
        <f>IF($I969="","",IF(INDEX(F_ProductBM!H:H,MATCH($P1097,F_ProductBM!$Q:$Q,0))="","",INDEX(F_ProductBM!H:H,MATCH($P1097,F_ProductBM!$Q:$Q,0))))</f>
        <v/>
      </c>
      <c r="I1097" s="1021" t="str">
        <f>IF($I969="","",IF(INDEX(F_ProductBM!I:I,MATCH($P1097,F_ProductBM!$Q:$Q,0))="","",INDEX(F_ProductBM!I:I,MATCH($P1097,F_ProductBM!$Q:$Q,0))))</f>
        <v/>
      </c>
      <c r="J1097" s="1158" t="str">
        <f>IF($I969="","",IF(INDEX(F_ProductBM!J:J,MATCH($P1097,F_ProductBM!$Q:$Q,0))="","",INDEX(F_ProductBM!J:J,MATCH($P1097,F_ProductBM!$Q:$Q,0))))</f>
        <v/>
      </c>
      <c r="K1097" s="742" t="str">
        <f>IF($I969="","",IF(INDEX(F_ProductBM!K:K,MATCH($P1097,F_ProductBM!$Q:$Q,0))="","",INDEX(F_ProductBM!K:K,MATCH($P1097,F_ProductBM!$Q:$Q,0))))</f>
        <v/>
      </c>
      <c r="L1097" s="742" t="str">
        <f>IF($I969="","",IF(INDEX(F_ProductBM!L:L,MATCH($P1097,F_ProductBM!$Q:$Q,0))="","",INDEX(F_ProductBM!L:L,MATCH($P1097,F_ProductBM!$Q:$Q,0))))</f>
        <v/>
      </c>
      <c r="M1097" s="742" t="str">
        <f>IF($I969="","",IF(INDEX(F_ProductBM!M:M,MATCH($P1097,F_ProductBM!$Q:$Q,0))="","",INDEX(F_ProductBM!M:M,MATCH($P1097,F_ProductBM!$Q:$Q,0))))</f>
        <v/>
      </c>
      <c r="N1097" s="1459" t="str">
        <f>IF($I969="","",IF(INDEX(F_ProductBM!N:N,MATCH($P1097,F_ProductBM!$Q:$Q,0))="","",INDEX(F_ProductBM!N:N,MATCH($P1097,F_ProductBM!$Q:$Q,0))))</f>
        <v/>
      </c>
      <c r="O1097" s="19"/>
      <c r="P1097" s="298" t="str">
        <f>EUconst_CNTR_CO2Feedstock &amp; I969</f>
        <v>EmCO2Feedstock_</v>
      </c>
      <c r="Q1097" s="343"/>
      <c r="R1097" s="343"/>
      <c r="S1097" s="343"/>
      <c r="T1097" s="7"/>
      <c r="U1097" s="349"/>
      <c r="V1097" s="349"/>
    </row>
    <row r="1098" spans="1:22" s="534" customFormat="1" ht="5.15" customHeight="1" x14ac:dyDescent="0.25">
      <c r="A1098" s="343"/>
      <c r="B1098" s="15"/>
      <c r="C1098" s="15"/>
      <c r="D1098" s="1454"/>
      <c r="E1098" s="899"/>
      <c r="F1098" s="899"/>
      <c r="G1098" s="623"/>
      <c r="H1098" s="741"/>
      <c r="I1098" s="741"/>
      <c r="J1098" s="741"/>
      <c r="K1098" s="741"/>
      <c r="L1098" s="741"/>
      <c r="M1098" s="741"/>
      <c r="N1098" s="1458"/>
      <c r="O1098" s="19"/>
      <c r="P1098" s="343"/>
      <c r="Q1098" s="343"/>
      <c r="R1098" s="343"/>
      <c r="S1098" s="343"/>
      <c r="T1098" s="7"/>
      <c r="U1098" s="349"/>
      <c r="V1098" s="349"/>
    </row>
    <row r="1099" spans="1:22" s="534" customFormat="1" ht="12.75" customHeight="1" x14ac:dyDescent="0.25">
      <c r="A1099" s="343"/>
      <c r="B1099" s="15"/>
      <c r="C1099" s="15"/>
      <c r="D1099" s="1454"/>
      <c r="E1099" s="2611" t="str">
        <f>Translations!$B$604</f>
        <v>Nettomängd importerad värme</v>
      </c>
      <c r="F1099" s="2484"/>
      <c r="G1099" s="365" t="str">
        <f>EUconst_TJpa</f>
        <v>TJ / år</v>
      </c>
      <c r="H1099" s="739" t="str">
        <f>IF($I969="","",IF(INDEX(F_ProductBM!H:H,MATCH($P1099,F_ProductBM!$Q:$Q,0))="","",INDEX(F_ProductBM!H:H,MATCH($P1099,F_ProductBM!$Q:$Q,0))))</f>
        <v/>
      </c>
      <c r="I1099" s="1153" t="str">
        <f>IF($I969="","",IF(INDEX(F_ProductBM!I:I,MATCH($P1099,F_ProductBM!$Q:$Q,0))="","",INDEX(F_ProductBM!I:I,MATCH($P1099,F_ProductBM!$Q:$Q,0))))</f>
        <v/>
      </c>
      <c r="J1099" s="1159" t="str">
        <f>IF($I969="","",IF(INDEX(F_ProductBM!J:J,MATCH($P1099,F_ProductBM!$Q:$Q,0))="","",INDEX(F_ProductBM!J:J,MATCH($P1099,F_ProductBM!$Q:$Q,0))))</f>
        <v/>
      </c>
      <c r="K1099" s="739" t="str">
        <f>IF($I969="","",IF(INDEX(F_ProductBM!K:K,MATCH($P1099,F_ProductBM!$Q:$Q,0))="","",INDEX(F_ProductBM!K:K,MATCH($P1099,F_ProductBM!$Q:$Q,0))))</f>
        <v/>
      </c>
      <c r="L1099" s="739" t="str">
        <f>IF($I969="","",IF(INDEX(F_ProductBM!L:L,MATCH($P1099,F_ProductBM!$Q:$Q,0))="","",INDEX(F_ProductBM!L:L,MATCH($P1099,F_ProductBM!$Q:$Q,0))))</f>
        <v/>
      </c>
      <c r="M1099" s="739" t="str">
        <f>IF($I969="","",IF(INDEX(F_ProductBM!M:M,MATCH($P1099,F_ProductBM!$Q:$Q,0))="","",INDEX(F_ProductBM!M:M,MATCH($P1099,F_ProductBM!$Q:$Q,0))))</f>
        <v/>
      </c>
      <c r="N1099" s="1456" t="str">
        <f>IF($I969="","",IF(INDEX(F_ProductBM!N:N,MATCH($P1099,F_ProductBM!$Q:$Q,0))="","",INDEX(F_ProductBM!N:N,MATCH($P1099,F_ProductBM!$Q:$Q,0))))</f>
        <v/>
      </c>
      <c r="O1099" s="19"/>
      <c r="P1099" s="298" t="str">
        <f>EUconst_CNTR_HeatImport &amp; I969</f>
        <v>HeatIm_</v>
      </c>
      <c r="Q1099" s="343"/>
      <c r="R1099" s="343"/>
      <c r="S1099" s="343"/>
      <c r="T1099" s="7"/>
      <c r="U1099" s="349"/>
      <c r="V1099" s="349"/>
    </row>
    <row r="1100" spans="1:22" s="534" customFormat="1" ht="12.75" customHeight="1" x14ac:dyDescent="0.25">
      <c r="A1100" s="343"/>
      <c r="B1100" s="15"/>
      <c r="C1100" s="15"/>
      <c r="D1100" s="1454"/>
      <c r="E1100" s="2612" t="str">
        <f>Translations!$B$605</f>
        <v>Särskild emissionsfaktor (importerad värme)</v>
      </c>
      <c r="F1100" s="2487"/>
      <c r="G1100" s="384" t="str">
        <f>EUconst_tCO2pTJ</f>
        <v>t CO2 / TJ</v>
      </c>
      <c r="H1100" s="740" t="str">
        <f>IF($I969="","",IF(INDEX(F_ProductBM!H:H,MATCH($P1100,F_ProductBM!$Q:$Q,0))="","",INDEX(F_ProductBM!H:H,MATCH($P1100,F_ProductBM!$Q:$Q,0))))</f>
        <v/>
      </c>
      <c r="I1100" s="1154" t="str">
        <f>IF($I969="","",IF(INDEX(F_ProductBM!I:I,MATCH($P1100,F_ProductBM!$Q:$Q,0))="","",INDEX(F_ProductBM!I:I,MATCH($P1100,F_ProductBM!$Q:$Q,0))))</f>
        <v/>
      </c>
      <c r="J1100" s="1160" t="str">
        <f>IF($I969="","",IF(INDEX(F_ProductBM!J:J,MATCH($P1100,F_ProductBM!$Q:$Q,0))="","",INDEX(F_ProductBM!J:J,MATCH($P1100,F_ProductBM!$Q:$Q,0))))</f>
        <v/>
      </c>
      <c r="K1100" s="740" t="str">
        <f>IF($I969="","",IF(INDEX(F_ProductBM!K:K,MATCH($P1100,F_ProductBM!$Q:$Q,0))="","",INDEX(F_ProductBM!K:K,MATCH($P1100,F_ProductBM!$Q:$Q,0))))</f>
        <v/>
      </c>
      <c r="L1100" s="740" t="str">
        <f>IF($I969="","",IF(INDEX(F_ProductBM!L:L,MATCH($P1100,F_ProductBM!$Q:$Q,0))="","",INDEX(F_ProductBM!L:L,MATCH($P1100,F_ProductBM!$Q:$Q,0))))</f>
        <v/>
      </c>
      <c r="M1100" s="740" t="str">
        <f>IF($I969="","",IF(INDEX(F_ProductBM!M:M,MATCH($P1100,F_ProductBM!$Q:$Q,0))="","",INDEX(F_ProductBM!M:M,MATCH($P1100,F_ProductBM!$Q:$Q,0))))</f>
        <v/>
      </c>
      <c r="N1100" s="1457" t="str">
        <f>IF($I969="","",IF(INDEX(F_ProductBM!N:N,MATCH($P1100,F_ProductBM!$Q:$Q,0))="","",INDEX(F_ProductBM!N:N,MATCH($P1100,F_ProductBM!$Q:$Q,0))))</f>
        <v/>
      </c>
      <c r="O1100" s="19"/>
      <c r="P1100" s="298" t="str">
        <f>EUconst_CNTR_HeatImportEF &amp; I969</f>
        <v>HeatImEF_</v>
      </c>
      <c r="Q1100" s="343"/>
      <c r="R1100" s="343"/>
      <c r="S1100" s="343"/>
      <c r="T1100" s="7"/>
      <c r="U1100" s="349"/>
      <c r="V1100" s="349"/>
    </row>
    <row r="1101" spans="1:22" s="534" customFormat="1" ht="5.15" customHeight="1" x14ac:dyDescent="0.25">
      <c r="A1101" s="343"/>
      <c r="B1101" s="15"/>
      <c r="C1101" s="15"/>
      <c r="D1101" s="1454"/>
      <c r="E1101" s="899"/>
      <c r="F1101" s="899"/>
      <c r="G1101" s="623"/>
      <c r="H1101" s="741"/>
      <c r="I1101" s="741"/>
      <c r="J1101" s="741"/>
      <c r="K1101" s="741"/>
      <c r="L1101" s="741"/>
      <c r="M1101" s="741"/>
      <c r="N1101" s="1458"/>
      <c r="O1101" s="19"/>
      <c r="P1101" s="7"/>
      <c r="Q1101" s="343"/>
      <c r="R1101" s="343"/>
      <c r="S1101" s="343"/>
      <c r="T1101" s="7"/>
      <c r="U1101" s="349"/>
      <c r="V1101" s="349"/>
    </row>
    <row r="1102" spans="1:22" s="534" customFormat="1" ht="12.75" customHeight="1" x14ac:dyDescent="0.25">
      <c r="A1102" s="343"/>
      <c r="B1102" s="15"/>
      <c r="C1102" s="15"/>
      <c r="D1102" s="1454"/>
      <c r="E1102" s="2613" t="str">
        <f>Translations!$B$659</f>
        <v>Importerad nettovärme från massa</v>
      </c>
      <c r="F1102" s="1997"/>
      <c r="G1102" s="364" t="str">
        <f>EUconst_TJpa</f>
        <v>TJ / år</v>
      </c>
      <c r="H1102" s="742" t="str">
        <f>IF($I969="","",IF(INDEX(F_ProductBM!H:H,MATCH($P1102,F_ProductBM!$Q:$Q,0))="","",INDEX(F_ProductBM!H:H,MATCH($P1102,F_ProductBM!$Q:$Q,0))))</f>
        <v/>
      </c>
      <c r="I1102" s="1021" t="str">
        <f>IF($I969="","",IF(INDEX(F_ProductBM!I:I,MATCH($P1102,F_ProductBM!$Q:$Q,0))="","",INDEX(F_ProductBM!I:I,MATCH($P1102,F_ProductBM!$Q:$Q,0))))</f>
        <v/>
      </c>
      <c r="J1102" s="1158" t="str">
        <f>IF($I969="","",IF(INDEX(F_ProductBM!J:J,MATCH($P1102,F_ProductBM!$Q:$Q,0))="","",INDEX(F_ProductBM!J:J,MATCH($P1102,F_ProductBM!$Q:$Q,0))))</f>
        <v/>
      </c>
      <c r="K1102" s="742" t="str">
        <f>IF($I969="","",IF(INDEX(F_ProductBM!K:K,MATCH($P1102,F_ProductBM!$Q:$Q,0))="","",INDEX(F_ProductBM!K:K,MATCH($P1102,F_ProductBM!$Q:$Q,0))))</f>
        <v/>
      </c>
      <c r="L1102" s="742" t="str">
        <f>IF($I969="","",IF(INDEX(F_ProductBM!L:L,MATCH($P1102,F_ProductBM!$Q:$Q,0))="","",INDEX(F_ProductBM!L:L,MATCH($P1102,F_ProductBM!$Q:$Q,0))))</f>
        <v/>
      </c>
      <c r="M1102" s="742" t="str">
        <f>IF($I969="","",IF(INDEX(F_ProductBM!M:M,MATCH($P1102,F_ProductBM!$Q:$Q,0))="","",INDEX(F_ProductBM!M:M,MATCH($P1102,F_ProductBM!$Q:$Q,0))))</f>
        <v/>
      </c>
      <c r="N1102" s="1459" t="str">
        <f>IF($I969="","",IF(INDEX(F_ProductBM!N:N,MATCH($P1102,F_ProductBM!$Q:$Q,0))="","",INDEX(F_ProductBM!N:N,MATCH($P1102,F_ProductBM!$Q:$Q,0))))</f>
        <v/>
      </c>
      <c r="O1102" s="19"/>
      <c r="P1102" s="298" t="str">
        <f>EUconst_CNTR_HeatImportPulp &amp; I969</f>
        <v>HeatImPulp_</v>
      </c>
      <c r="Q1102" s="343"/>
      <c r="R1102" s="343"/>
      <c r="S1102" s="343"/>
      <c r="T1102" s="7"/>
      <c r="U1102" s="349"/>
      <c r="V1102" s="349"/>
    </row>
    <row r="1103" spans="1:22" s="534" customFormat="1" ht="12.75" customHeight="1" x14ac:dyDescent="0.25">
      <c r="A1103" s="343"/>
      <c r="B1103" s="15"/>
      <c r="C1103" s="15"/>
      <c r="D1103" s="1454"/>
      <c r="E1103" s="2613" t="str">
        <f>Translations!$B$608</f>
        <v>Nettomängd importerad värme från delanläggningar för salpetersyra</v>
      </c>
      <c r="F1103" s="1997"/>
      <c r="G1103" s="364" t="str">
        <f>EUconst_TJpa</f>
        <v>TJ / år</v>
      </c>
      <c r="H1103" s="742" t="str">
        <f>IF($I969="","",IF(INDEX(F_ProductBM!H:H,MATCH($P1103,F_ProductBM!$Q:$Q,0))="","",INDEX(F_ProductBM!H:H,MATCH($P1103,F_ProductBM!$Q:$Q,0))))</f>
        <v/>
      </c>
      <c r="I1103" s="1021" t="str">
        <f>IF($I969="","",IF(INDEX(F_ProductBM!I:I,MATCH($P1103,F_ProductBM!$Q:$Q,0))="","",INDEX(F_ProductBM!I:I,MATCH($P1103,F_ProductBM!$Q:$Q,0))))</f>
        <v/>
      </c>
      <c r="J1103" s="1158" t="str">
        <f>IF($I969="","",IF(INDEX(F_ProductBM!J:J,MATCH($P1103,F_ProductBM!$Q:$Q,0))="","",INDEX(F_ProductBM!J:J,MATCH($P1103,F_ProductBM!$Q:$Q,0))))</f>
        <v/>
      </c>
      <c r="K1103" s="742" t="str">
        <f>IF($I969="","",IF(INDEX(F_ProductBM!K:K,MATCH($P1103,F_ProductBM!$Q:$Q,0))="","",INDEX(F_ProductBM!K:K,MATCH($P1103,F_ProductBM!$Q:$Q,0))))</f>
        <v/>
      </c>
      <c r="L1103" s="742" t="str">
        <f>IF($I969="","",IF(INDEX(F_ProductBM!L:L,MATCH($P1103,F_ProductBM!$Q:$Q,0))="","",INDEX(F_ProductBM!L:L,MATCH($P1103,F_ProductBM!$Q:$Q,0))))</f>
        <v/>
      </c>
      <c r="M1103" s="742" t="str">
        <f>IF($I969="","",IF(INDEX(F_ProductBM!M:M,MATCH($P1103,F_ProductBM!$Q:$Q,0))="","",INDEX(F_ProductBM!M:M,MATCH($P1103,F_ProductBM!$Q:$Q,0))))</f>
        <v/>
      </c>
      <c r="N1103" s="1459" t="str">
        <f>IF($I969="","",IF(INDEX(F_ProductBM!N:N,MATCH($P1103,F_ProductBM!$Q:$Q,0))="","",INDEX(F_ProductBM!N:N,MATCH($P1103,F_ProductBM!$Q:$Q,0))))</f>
        <v/>
      </c>
      <c r="O1103" s="19"/>
      <c r="P1103" s="298" t="str">
        <f>EUconst_CNTR_HeatImportNitric &amp; I969</f>
        <v>HeatImNitric_</v>
      </c>
      <c r="Q1103" s="343"/>
      <c r="R1103" s="343"/>
      <c r="S1103" s="343"/>
      <c r="T1103" s="7"/>
      <c r="U1103" s="349"/>
      <c r="V1103" s="349"/>
    </row>
    <row r="1104" spans="1:22" s="534" customFormat="1" ht="5.15" customHeight="1" x14ac:dyDescent="0.25">
      <c r="A1104" s="343"/>
      <c r="B1104" s="15"/>
      <c r="C1104" s="15"/>
      <c r="D1104" s="1454"/>
      <c r="E1104" s="899"/>
      <c r="F1104" s="899"/>
      <c r="G1104" s="416"/>
      <c r="H1104" s="741"/>
      <c r="I1104" s="741"/>
      <c r="J1104" s="741"/>
      <c r="K1104" s="741"/>
      <c r="L1104" s="741"/>
      <c r="M1104" s="741"/>
      <c r="N1104" s="1458"/>
      <c r="O1104" s="19"/>
      <c r="P1104" s="7"/>
      <c r="Q1104" s="343"/>
      <c r="R1104" s="343"/>
      <c r="S1104" s="343"/>
      <c r="T1104" s="7"/>
      <c r="U1104" s="349"/>
      <c r="V1104" s="349"/>
    </row>
    <row r="1105" spans="1:22" s="534" customFormat="1" ht="12.75" customHeight="1" x14ac:dyDescent="0.25">
      <c r="A1105" s="343"/>
      <c r="B1105" s="15"/>
      <c r="C1105" s="15"/>
      <c r="D1105" s="1454"/>
      <c r="E1105" s="2611" t="str">
        <f>Translations!$B$610</f>
        <v>Nettomängd exporterad värme</v>
      </c>
      <c r="F1105" s="2484"/>
      <c r="G1105" s="365" t="str">
        <f>EUconst_TJpa</f>
        <v>TJ / år</v>
      </c>
      <c r="H1105" s="739" t="str">
        <f>IF($I969="","",IF(INDEX(F_ProductBM!H:H,MATCH($P1105,F_ProductBM!$Q:$Q,0))="","",INDEX(F_ProductBM!H:H,MATCH($P1105,F_ProductBM!$Q:$Q,0))))</f>
        <v/>
      </c>
      <c r="I1105" s="1153" t="str">
        <f>IF($I969="","",IF(INDEX(F_ProductBM!I:I,MATCH($P1105,F_ProductBM!$Q:$Q,0))="","",INDEX(F_ProductBM!I:I,MATCH($P1105,F_ProductBM!$Q:$Q,0))))</f>
        <v/>
      </c>
      <c r="J1105" s="1159" t="str">
        <f>IF($I969="","",IF(INDEX(F_ProductBM!J:J,MATCH($P1105,F_ProductBM!$Q:$Q,0))="","",INDEX(F_ProductBM!J:J,MATCH($P1105,F_ProductBM!$Q:$Q,0))))</f>
        <v/>
      </c>
      <c r="K1105" s="739" t="str">
        <f>IF($I969="","",IF(INDEX(F_ProductBM!K:K,MATCH($P1105,F_ProductBM!$Q:$Q,0))="","",INDEX(F_ProductBM!K:K,MATCH($P1105,F_ProductBM!$Q:$Q,0))))</f>
        <v/>
      </c>
      <c r="L1105" s="739" t="str">
        <f>IF($I969="","",IF(INDEX(F_ProductBM!L:L,MATCH($P1105,F_ProductBM!$Q:$Q,0))="","",INDEX(F_ProductBM!L:L,MATCH($P1105,F_ProductBM!$Q:$Q,0))))</f>
        <v/>
      </c>
      <c r="M1105" s="739" t="str">
        <f>IF($I969="","",IF(INDEX(F_ProductBM!M:M,MATCH($P1105,F_ProductBM!$Q:$Q,0))="","",INDEX(F_ProductBM!M:M,MATCH($P1105,F_ProductBM!$Q:$Q,0))))</f>
        <v/>
      </c>
      <c r="N1105" s="1456" t="str">
        <f>IF($I969="","",IF(INDEX(F_ProductBM!N:N,MATCH($P1105,F_ProductBM!$Q:$Q,0))="","",INDEX(F_ProductBM!N:N,MATCH($P1105,F_ProductBM!$Q:$Q,0))))</f>
        <v/>
      </c>
      <c r="O1105" s="19"/>
      <c r="P1105" s="298" t="str">
        <f>EUconst_CNTR_HeatExport &amp; I969</f>
        <v>HeatEx_</v>
      </c>
      <c r="Q1105" s="343"/>
      <c r="R1105" s="343"/>
      <c r="S1105" s="343"/>
      <c r="T1105" s="7"/>
      <c r="U1105" s="349"/>
      <c r="V1105" s="349"/>
    </row>
    <row r="1106" spans="1:22" s="534" customFormat="1" ht="12.75" customHeight="1" x14ac:dyDescent="0.25">
      <c r="A1106" s="343"/>
      <c r="B1106" s="15"/>
      <c r="C1106" s="15"/>
      <c r="D1106" s="1454"/>
      <c r="E1106" s="2612" t="str">
        <f>Translations!$B$611</f>
        <v>Särskild emissionsfaktor (exporterad värme)</v>
      </c>
      <c r="F1106" s="2487"/>
      <c r="G1106" s="384" t="str">
        <f>EUconst_tCO2pTJ</f>
        <v>t CO2 / TJ</v>
      </c>
      <c r="H1106" s="740" t="str">
        <f>IF($I969="","",IF(INDEX(F_ProductBM!H:H,MATCH($P1106,F_ProductBM!$Q:$Q,0))="","",INDEX(F_ProductBM!H:H,MATCH($P1106,F_ProductBM!$Q:$Q,0))))</f>
        <v/>
      </c>
      <c r="I1106" s="1154" t="str">
        <f>IF($I969="","",IF(INDEX(F_ProductBM!I:I,MATCH($P1106,F_ProductBM!$Q:$Q,0))="","",INDEX(F_ProductBM!I:I,MATCH($P1106,F_ProductBM!$Q:$Q,0))))</f>
        <v/>
      </c>
      <c r="J1106" s="1160" t="str">
        <f>IF($I969="","",IF(INDEX(F_ProductBM!J:J,MATCH($P1106,F_ProductBM!$Q:$Q,0))="","",INDEX(F_ProductBM!J:J,MATCH($P1106,F_ProductBM!$Q:$Q,0))))</f>
        <v/>
      </c>
      <c r="K1106" s="740" t="str">
        <f>IF($I969="","",IF(INDEX(F_ProductBM!K:K,MATCH($P1106,F_ProductBM!$Q:$Q,0))="","",INDEX(F_ProductBM!K:K,MATCH($P1106,F_ProductBM!$Q:$Q,0))))</f>
        <v/>
      </c>
      <c r="L1106" s="740" t="str">
        <f>IF($I969="","",IF(INDEX(F_ProductBM!L:L,MATCH($P1106,F_ProductBM!$Q:$Q,0))="","",INDEX(F_ProductBM!L:L,MATCH($P1106,F_ProductBM!$Q:$Q,0))))</f>
        <v/>
      </c>
      <c r="M1106" s="740" t="str">
        <f>IF($I969="","",IF(INDEX(F_ProductBM!M:M,MATCH($P1106,F_ProductBM!$Q:$Q,0))="","",INDEX(F_ProductBM!M:M,MATCH($P1106,F_ProductBM!$Q:$Q,0))))</f>
        <v/>
      </c>
      <c r="N1106" s="1457" t="str">
        <f>IF($I969="","",IF(INDEX(F_ProductBM!N:N,MATCH($P1106,F_ProductBM!$Q:$Q,0))="","",INDEX(F_ProductBM!N:N,MATCH($P1106,F_ProductBM!$Q:$Q,0))))</f>
        <v/>
      </c>
      <c r="O1106" s="19"/>
      <c r="P1106" s="298" t="str">
        <f>EUconst_CNTR_HeatExportEF &amp; I969</f>
        <v>HeatExEF_</v>
      </c>
      <c r="Q1106" s="343"/>
      <c r="R1106" s="343"/>
      <c r="S1106" s="343"/>
      <c r="T1106" s="7"/>
      <c r="U1106" s="349"/>
      <c r="V1106" s="349"/>
    </row>
    <row r="1107" spans="1:22" s="534" customFormat="1" ht="5.15" customHeight="1" x14ac:dyDescent="0.25">
      <c r="A1107" s="343"/>
      <c r="B1107" s="15"/>
      <c r="C1107" s="15"/>
      <c r="D1107" s="1454"/>
      <c r="E1107" s="899"/>
      <c r="F1107" s="899"/>
      <c r="G1107" s="416"/>
      <c r="H1107" s="741"/>
      <c r="I1107" s="741"/>
      <c r="J1107" s="741"/>
      <c r="K1107" s="741"/>
      <c r="L1107" s="741"/>
      <c r="M1107" s="741"/>
      <c r="N1107" s="1458"/>
      <c r="O1107" s="19"/>
      <c r="P1107" s="7"/>
      <c r="Q1107" s="343"/>
      <c r="R1107" s="343"/>
      <c r="S1107" s="343"/>
      <c r="T1107" s="7"/>
      <c r="U1107" s="349"/>
      <c r="V1107" s="349"/>
    </row>
    <row r="1108" spans="1:22" s="534" customFormat="1" ht="12.75" customHeight="1" x14ac:dyDescent="0.25">
      <c r="A1108" s="343"/>
      <c r="B1108" s="15"/>
      <c r="C1108" s="15"/>
      <c r="D1108" s="1454"/>
      <c r="E1108" s="2611" t="str">
        <f>Translations!$B$618</f>
        <v>Producerad restgas</v>
      </c>
      <c r="F1108" s="2484"/>
      <c r="G1108" s="365" t="str">
        <f>EUconst_TJpa</f>
        <v>TJ / år</v>
      </c>
      <c r="H1108" s="739" t="str">
        <f>IF($I969="","",IF(INDEX(F_ProductBM!H:H,MATCH($P1108,F_ProductBM!$Q:$Q,0))="","",INDEX(F_ProductBM!H:H,MATCH($P1108,F_ProductBM!$Q:$Q,0))))</f>
        <v/>
      </c>
      <c r="I1108" s="1153" t="str">
        <f>IF($I969="","",IF(INDEX(F_ProductBM!I:I,MATCH($P1108,F_ProductBM!$Q:$Q,0))="","",INDEX(F_ProductBM!I:I,MATCH($P1108,F_ProductBM!$Q:$Q,0))))</f>
        <v/>
      </c>
      <c r="J1108" s="1159" t="str">
        <f>IF($I969="","",IF(INDEX(F_ProductBM!J:J,MATCH($P1108,F_ProductBM!$Q:$Q,0))="","",INDEX(F_ProductBM!J:J,MATCH($P1108,F_ProductBM!$Q:$Q,0))))</f>
        <v/>
      </c>
      <c r="K1108" s="739" t="str">
        <f>IF($I969="","",IF(INDEX(F_ProductBM!K:K,MATCH($P1108,F_ProductBM!$Q:$Q,0))="","",INDEX(F_ProductBM!K:K,MATCH($P1108,F_ProductBM!$Q:$Q,0))))</f>
        <v/>
      </c>
      <c r="L1108" s="739" t="str">
        <f>IF($I969="","",IF(INDEX(F_ProductBM!L:L,MATCH($P1108,F_ProductBM!$Q:$Q,0))="","",INDEX(F_ProductBM!L:L,MATCH($P1108,F_ProductBM!$Q:$Q,0))))</f>
        <v/>
      </c>
      <c r="M1108" s="739" t="str">
        <f>IF($I969="","",IF(INDEX(F_ProductBM!M:M,MATCH($P1108,F_ProductBM!$Q:$Q,0))="","",INDEX(F_ProductBM!M:M,MATCH($P1108,F_ProductBM!$Q:$Q,0))))</f>
        <v/>
      </c>
      <c r="N1108" s="1456" t="str">
        <f>IF($I969="","",IF(INDEX(F_ProductBM!N:N,MATCH($P1108,F_ProductBM!$Q:$Q,0))="","",INDEX(F_ProductBM!N:N,MATCH($P1108,F_ProductBM!$Q:$Q,0))))</f>
        <v/>
      </c>
      <c r="O1108" s="19"/>
      <c r="P1108" s="622" t="str">
        <f>EUconst_CNTR_WGProduced &amp; I969</f>
        <v>WasteGasProd_</v>
      </c>
      <c r="Q1108" s="343"/>
      <c r="R1108" s="343"/>
      <c r="S1108" s="343"/>
      <c r="T1108" s="7"/>
      <c r="U1108" s="349"/>
      <c r="V1108" s="349"/>
    </row>
    <row r="1109" spans="1:22" s="534" customFormat="1" ht="12.75" customHeight="1" x14ac:dyDescent="0.25">
      <c r="A1109" s="343"/>
      <c r="B1109" s="15"/>
      <c r="C1109" s="15"/>
      <c r="D1109" s="1454"/>
      <c r="E1109" s="2612" t="str">
        <f>Translations!$B$619</f>
        <v>Särskild emissionsfaktor (producerad restgas)</v>
      </c>
      <c r="F1109" s="2487"/>
      <c r="G1109" s="384" t="str">
        <f>EUconst_tCO2pTJ</f>
        <v>t CO2 / TJ</v>
      </c>
      <c r="H1109" s="740" t="str">
        <f>IF($I969="","",IF(INDEX(F_ProductBM!H:H,MATCH($P1109,F_ProductBM!$Q:$Q,0))="","",INDEX(F_ProductBM!H:H,MATCH($P1109,F_ProductBM!$Q:$Q,0))))</f>
        <v/>
      </c>
      <c r="I1109" s="1154" t="str">
        <f>IF($I969="","",IF(INDEX(F_ProductBM!I:I,MATCH($P1109,F_ProductBM!$Q:$Q,0))="","",INDEX(F_ProductBM!I:I,MATCH($P1109,F_ProductBM!$Q:$Q,0))))</f>
        <v/>
      </c>
      <c r="J1109" s="1160" t="str">
        <f>IF($I969="","",IF(INDEX(F_ProductBM!J:J,MATCH($P1109,F_ProductBM!$Q:$Q,0))="","",INDEX(F_ProductBM!J:J,MATCH($P1109,F_ProductBM!$Q:$Q,0))))</f>
        <v/>
      </c>
      <c r="K1109" s="740" t="str">
        <f>IF($I969="","",IF(INDEX(F_ProductBM!K:K,MATCH($P1109,F_ProductBM!$Q:$Q,0))="","",INDEX(F_ProductBM!K:K,MATCH($P1109,F_ProductBM!$Q:$Q,0))))</f>
        <v/>
      </c>
      <c r="L1109" s="740" t="str">
        <f>IF($I969="","",IF(INDEX(F_ProductBM!L:L,MATCH($P1109,F_ProductBM!$Q:$Q,0))="","",INDEX(F_ProductBM!L:L,MATCH($P1109,F_ProductBM!$Q:$Q,0))))</f>
        <v/>
      </c>
      <c r="M1109" s="740" t="str">
        <f>IF($I969="","",IF(INDEX(F_ProductBM!M:M,MATCH($P1109,F_ProductBM!$Q:$Q,0))="","",INDEX(F_ProductBM!M:M,MATCH($P1109,F_ProductBM!$Q:$Q,0))))</f>
        <v/>
      </c>
      <c r="N1109" s="1457" t="str">
        <f>IF($I969="","",IF(INDEX(F_ProductBM!N:N,MATCH($P1109,F_ProductBM!$Q:$Q,0))="","",INDEX(F_ProductBM!N:N,MATCH($P1109,F_ProductBM!$Q:$Q,0))))</f>
        <v/>
      </c>
      <c r="O1109" s="19"/>
      <c r="P1109" s="298" t="str">
        <f>EUconst_CNTR_WGProducedEF &amp; I969</f>
        <v>WasteGasProdEF_</v>
      </c>
      <c r="Q1109" s="343"/>
      <c r="R1109" s="343"/>
      <c r="S1109" s="343"/>
      <c r="T1109" s="7"/>
      <c r="U1109" s="349"/>
      <c r="V1109" s="349"/>
    </row>
    <row r="1110" spans="1:22" s="534" customFormat="1" ht="12.75" customHeight="1" x14ac:dyDescent="0.25">
      <c r="A1110" s="343"/>
      <c r="B1110" s="15"/>
      <c r="C1110" s="15"/>
      <c r="D1110" s="1454"/>
      <c r="E1110" s="2611" t="str">
        <f>Translations!$B$623</f>
        <v>Förbrukad restgas</v>
      </c>
      <c r="F1110" s="2484"/>
      <c r="G1110" s="365" t="str">
        <f>EUconst_TJpa</f>
        <v>TJ / år</v>
      </c>
      <c r="H1110" s="739" t="str">
        <f>IF($I969="","",IF(INDEX(F_ProductBM!H:H,MATCH($P1110,F_ProductBM!$Q:$Q,0))="","",INDEX(F_ProductBM!H:H,MATCH($P1110,F_ProductBM!$Q:$Q,0))))</f>
        <v/>
      </c>
      <c r="I1110" s="1153" t="str">
        <f>IF($I969="","",IF(INDEX(F_ProductBM!I:I,MATCH($P1110,F_ProductBM!$Q:$Q,0))="","",INDEX(F_ProductBM!I:I,MATCH($P1110,F_ProductBM!$Q:$Q,0))))</f>
        <v/>
      </c>
      <c r="J1110" s="1159" t="str">
        <f>IF($I969="","",IF(INDEX(F_ProductBM!J:J,MATCH($P1110,F_ProductBM!$Q:$Q,0))="","",INDEX(F_ProductBM!J:J,MATCH($P1110,F_ProductBM!$Q:$Q,0))))</f>
        <v/>
      </c>
      <c r="K1110" s="739" t="str">
        <f>IF($I969="","",IF(INDEX(F_ProductBM!K:K,MATCH($P1110,F_ProductBM!$Q:$Q,0))="","",INDEX(F_ProductBM!K:K,MATCH($P1110,F_ProductBM!$Q:$Q,0))))</f>
        <v/>
      </c>
      <c r="L1110" s="739" t="str">
        <f>IF($I969="","",IF(INDEX(F_ProductBM!L:L,MATCH($P1110,F_ProductBM!$Q:$Q,0))="","",INDEX(F_ProductBM!L:L,MATCH($P1110,F_ProductBM!$Q:$Q,0))))</f>
        <v/>
      </c>
      <c r="M1110" s="739" t="str">
        <f>IF($I969="","",IF(INDEX(F_ProductBM!M:M,MATCH($P1110,F_ProductBM!$Q:$Q,0))="","",INDEX(F_ProductBM!M:M,MATCH($P1110,F_ProductBM!$Q:$Q,0))))</f>
        <v/>
      </c>
      <c r="N1110" s="1456" t="str">
        <f>IF($I969="","",IF(INDEX(F_ProductBM!N:N,MATCH($P1110,F_ProductBM!$Q:$Q,0))="","",INDEX(F_ProductBM!N:N,MATCH($P1110,F_ProductBM!$Q:$Q,0))))</f>
        <v/>
      </c>
      <c r="O1110" s="19"/>
      <c r="P1110" s="298" t="str">
        <f>EUconst_CNTR_WGConsumed &amp; I969</f>
        <v>WasteGasCons_</v>
      </c>
      <c r="Q1110" s="343"/>
      <c r="R1110" s="343"/>
      <c r="S1110" s="343"/>
      <c r="T1110" s="7"/>
      <c r="U1110" s="349"/>
      <c r="V1110" s="349"/>
    </row>
    <row r="1111" spans="1:22" s="534" customFormat="1" ht="12.75" customHeight="1" x14ac:dyDescent="0.25">
      <c r="A1111" s="343"/>
      <c r="B1111" s="15"/>
      <c r="C1111" s="15"/>
      <c r="D1111" s="1454"/>
      <c r="E1111" s="2612" t="str">
        <f>Translations!$B$624</f>
        <v>Särskild emissionsfaktor (förbrukad restgas)</v>
      </c>
      <c r="F1111" s="2487"/>
      <c r="G1111" s="384" t="str">
        <f>EUconst_tCO2pTJ</f>
        <v>t CO2 / TJ</v>
      </c>
      <c r="H1111" s="740" t="str">
        <f>IF($I969="","",IF(INDEX(F_ProductBM!H:H,MATCH($P1111,F_ProductBM!$Q:$Q,0))="","",INDEX(F_ProductBM!H:H,MATCH($P1111,F_ProductBM!$Q:$Q,0))))</f>
        <v/>
      </c>
      <c r="I1111" s="1154" t="str">
        <f>IF($I969="","",IF(INDEX(F_ProductBM!I:I,MATCH($P1111,F_ProductBM!$Q:$Q,0))="","",INDEX(F_ProductBM!I:I,MATCH($P1111,F_ProductBM!$Q:$Q,0))))</f>
        <v/>
      </c>
      <c r="J1111" s="1160" t="str">
        <f>IF($I969="","",IF(INDEX(F_ProductBM!J:J,MATCH($P1111,F_ProductBM!$Q:$Q,0))="","",INDEX(F_ProductBM!J:J,MATCH($P1111,F_ProductBM!$Q:$Q,0))))</f>
        <v/>
      </c>
      <c r="K1111" s="740" t="str">
        <f>IF($I969="","",IF(INDEX(F_ProductBM!K:K,MATCH($P1111,F_ProductBM!$Q:$Q,0))="","",INDEX(F_ProductBM!K:K,MATCH($P1111,F_ProductBM!$Q:$Q,0))))</f>
        <v/>
      </c>
      <c r="L1111" s="740" t="str">
        <f>IF($I969="","",IF(INDEX(F_ProductBM!L:L,MATCH($P1111,F_ProductBM!$Q:$Q,0))="","",INDEX(F_ProductBM!L:L,MATCH($P1111,F_ProductBM!$Q:$Q,0))))</f>
        <v/>
      </c>
      <c r="M1111" s="740" t="str">
        <f>IF($I969="","",IF(INDEX(F_ProductBM!M:M,MATCH($P1111,F_ProductBM!$Q:$Q,0))="","",INDEX(F_ProductBM!M:M,MATCH($P1111,F_ProductBM!$Q:$Q,0))))</f>
        <v/>
      </c>
      <c r="N1111" s="1457" t="str">
        <f>IF($I969="","",IF(INDEX(F_ProductBM!N:N,MATCH($P1111,F_ProductBM!$Q:$Q,0))="","",INDEX(F_ProductBM!N:N,MATCH($P1111,F_ProductBM!$Q:$Q,0))))</f>
        <v/>
      </c>
      <c r="O1111" s="19"/>
      <c r="P1111" s="298" t="str">
        <f>EUconst_CNTR_WGConsumedEF &amp; I969</f>
        <v>WasteGasConsEF_</v>
      </c>
      <c r="Q1111" s="343"/>
      <c r="R1111" s="343"/>
      <c r="S1111" s="343"/>
      <c r="T1111" s="7"/>
      <c r="U1111" s="349"/>
      <c r="V1111" s="349"/>
    </row>
    <row r="1112" spans="1:22" s="534" customFormat="1" ht="12.75" customHeight="1" x14ac:dyDescent="0.25">
      <c r="A1112" s="343"/>
      <c r="B1112" s="15"/>
      <c r="C1112" s="15"/>
      <c r="D1112" s="1454"/>
      <c r="E1112" s="2611" t="str">
        <f>Translations!$B$630</f>
        <v>Facklad restgas</v>
      </c>
      <c r="F1112" s="2484"/>
      <c r="G1112" s="365" t="str">
        <f>EUconst_TJpa</f>
        <v>TJ / år</v>
      </c>
      <c r="H1112" s="739" t="str">
        <f>IF($I969="","",IF(INDEX(F_ProductBM!H:H,MATCH($P1112,F_ProductBM!$Q:$Q,0))="","",INDEX(F_ProductBM!H:H,MATCH($P1112,F_ProductBM!$Q:$Q,0))))</f>
        <v/>
      </c>
      <c r="I1112" s="1153" t="str">
        <f>IF($I969="","",IF(INDEX(F_ProductBM!I:I,MATCH($P1112,F_ProductBM!$Q:$Q,0))="","",INDEX(F_ProductBM!I:I,MATCH($P1112,F_ProductBM!$Q:$Q,0))))</f>
        <v/>
      </c>
      <c r="J1112" s="1159" t="str">
        <f>IF($I969="","",IF(INDEX(F_ProductBM!J:J,MATCH($P1112,F_ProductBM!$Q:$Q,0))="","",INDEX(F_ProductBM!J:J,MATCH($P1112,F_ProductBM!$Q:$Q,0))))</f>
        <v/>
      </c>
      <c r="K1112" s="739" t="str">
        <f>IF($I969="","",IF(INDEX(F_ProductBM!K:K,MATCH($P1112,F_ProductBM!$Q:$Q,0))="","",INDEX(F_ProductBM!K:K,MATCH($P1112,F_ProductBM!$Q:$Q,0))))</f>
        <v/>
      </c>
      <c r="L1112" s="739" t="str">
        <f>IF($I969="","",IF(INDEX(F_ProductBM!L:L,MATCH($P1112,F_ProductBM!$Q:$Q,0))="","",INDEX(F_ProductBM!L:L,MATCH($P1112,F_ProductBM!$Q:$Q,0))))</f>
        <v/>
      </c>
      <c r="M1112" s="739" t="str">
        <f>IF($I969="","",IF(INDEX(F_ProductBM!M:M,MATCH($P1112,F_ProductBM!$Q:$Q,0))="","",INDEX(F_ProductBM!M:M,MATCH($P1112,F_ProductBM!$Q:$Q,0))))</f>
        <v/>
      </c>
      <c r="N1112" s="1456" t="str">
        <f>IF($I969="","",IF(INDEX(F_ProductBM!N:N,MATCH($P1112,F_ProductBM!$Q:$Q,0))="","",INDEX(F_ProductBM!N:N,MATCH($P1112,F_ProductBM!$Q:$Q,0))))</f>
        <v/>
      </c>
      <c r="O1112" s="19"/>
      <c r="P1112" s="298" t="str">
        <f>EUconst_CNTR_WGFlared &amp; I969</f>
        <v>WasteGasFlare_</v>
      </c>
      <c r="Q1112" s="343"/>
      <c r="R1112" s="343"/>
      <c r="S1112" s="343"/>
      <c r="T1112" s="7"/>
      <c r="U1112" s="349"/>
      <c r="V1112" s="349"/>
    </row>
    <row r="1113" spans="1:22" s="534" customFormat="1" ht="12.75" customHeight="1" x14ac:dyDescent="0.25">
      <c r="A1113" s="343"/>
      <c r="B1113" s="15"/>
      <c r="C1113" s="15"/>
      <c r="D1113" s="1454"/>
      <c r="E1113" s="2612" t="str">
        <f>Translations!$B$631</f>
        <v>Särskild emissionsfaktor (facklad restgas)</v>
      </c>
      <c r="F1113" s="2487"/>
      <c r="G1113" s="384" t="str">
        <f>EUconst_tCO2pTJ</f>
        <v>t CO2 / TJ</v>
      </c>
      <c r="H1113" s="740" t="str">
        <f>IF($I969="","",IF(INDEX(F_ProductBM!H:H,MATCH($P1113,F_ProductBM!$Q:$Q,0))="","",INDEX(F_ProductBM!H:H,MATCH($P1113,F_ProductBM!$Q:$Q,0))))</f>
        <v/>
      </c>
      <c r="I1113" s="1154" t="str">
        <f>IF($I969="","",IF(INDEX(F_ProductBM!I:I,MATCH($P1113,F_ProductBM!$Q:$Q,0))="","",INDEX(F_ProductBM!I:I,MATCH($P1113,F_ProductBM!$Q:$Q,0))))</f>
        <v/>
      </c>
      <c r="J1113" s="1160" t="str">
        <f>IF($I969="","",IF(INDEX(F_ProductBM!J:J,MATCH($P1113,F_ProductBM!$Q:$Q,0))="","",INDEX(F_ProductBM!J:J,MATCH($P1113,F_ProductBM!$Q:$Q,0))))</f>
        <v/>
      </c>
      <c r="K1113" s="740" t="str">
        <f>IF($I969="","",IF(INDEX(F_ProductBM!K:K,MATCH($P1113,F_ProductBM!$Q:$Q,0))="","",INDEX(F_ProductBM!K:K,MATCH($P1113,F_ProductBM!$Q:$Q,0))))</f>
        <v/>
      </c>
      <c r="L1113" s="740" t="str">
        <f>IF($I969="","",IF(INDEX(F_ProductBM!L:L,MATCH($P1113,F_ProductBM!$Q:$Q,0))="","",INDEX(F_ProductBM!L:L,MATCH($P1113,F_ProductBM!$Q:$Q,0))))</f>
        <v/>
      </c>
      <c r="M1113" s="740" t="str">
        <f>IF($I969="","",IF(INDEX(F_ProductBM!M:M,MATCH($P1113,F_ProductBM!$Q:$Q,0))="","",INDEX(F_ProductBM!M:M,MATCH($P1113,F_ProductBM!$Q:$Q,0))))</f>
        <v/>
      </c>
      <c r="N1113" s="1457" t="str">
        <f>IF($I969="","",IF(INDEX(F_ProductBM!N:N,MATCH($P1113,F_ProductBM!$Q:$Q,0))="","",INDEX(F_ProductBM!N:N,MATCH($P1113,F_ProductBM!$Q:$Q,0))))</f>
        <v/>
      </c>
      <c r="O1113" s="19"/>
      <c r="P1113" s="298" t="str">
        <f>EUconst_CNTR_WGFlaredEF &amp; I969</f>
        <v>WasteGasFlareEF_</v>
      </c>
      <c r="Q1113" s="343"/>
      <c r="R1113" s="343"/>
      <c r="S1113" s="343"/>
      <c r="T1113" s="7"/>
      <c r="U1113" s="349"/>
      <c r="V1113" s="349"/>
    </row>
    <row r="1114" spans="1:22" s="534" customFormat="1" ht="12.75" customHeight="1" x14ac:dyDescent="0.25">
      <c r="A1114" s="343"/>
      <c r="B1114" s="15"/>
      <c r="C1114" s="15"/>
      <c r="D1114" s="1454"/>
      <c r="E1114" s="2611" t="str">
        <f>Translations!$B$636</f>
        <v>Importerad restgas</v>
      </c>
      <c r="F1114" s="2484"/>
      <c r="G1114" s="365" t="str">
        <f>EUconst_TJpa</f>
        <v>TJ / år</v>
      </c>
      <c r="H1114" s="739" t="str">
        <f>IF($I969="","",IF(INDEX(F_ProductBM!H:H,MATCH($P1114,F_ProductBM!$Q:$Q,0))="","",INDEX(F_ProductBM!H:H,MATCH($P1114,F_ProductBM!$Q:$Q,0))))</f>
        <v/>
      </c>
      <c r="I1114" s="1153" t="str">
        <f>IF($I969="","",IF(INDEX(F_ProductBM!I:I,MATCH($P1114,F_ProductBM!$Q:$Q,0))="","",INDEX(F_ProductBM!I:I,MATCH($P1114,F_ProductBM!$Q:$Q,0))))</f>
        <v/>
      </c>
      <c r="J1114" s="1159" t="str">
        <f>IF($I969="","",IF(INDEX(F_ProductBM!J:J,MATCH($P1114,F_ProductBM!$Q:$Q,0))="","",INDEX(F_ProductBM!J:J,MATCH($P1114,F_ProductBM!$Q:$Q,0))))</f>
        <v/>
      </c>
      <c r="K1114" s="739" t="str">
        <f>IF($I969="","",IF(INDEX(F_ProductBM!K:K,MATCH($P1114,F_ProductBM!$Q:$Q,0))="","",INDEX(F_ProductBM!K:K,MATCH($P1114,F_ProductBM!$Q:$Q,0))))</f>
        <v/>
      </c>
      <c r="L1114" s="739" t="str">
        <f>IF($I969="","",IF(INDEX(F_ProductBM!L:L,MATCH($P1114,F_ProductBM!$Q:$Q,0))="","",INDEX(F_ProductBM!L:L,MATCH($P1114,F_ProductBM!$Q:$Q,0))))</f>
        <v/>
      </c>
      <c r="M1114" s="739" t="str">
        <f>IF($I969="","",IF(INDEX(F_ProductBM!M:M,MATCH($P1114,F_ProductBM!$Q:$Q,0))="","",INDEX(F_ProductBM!M:M,MATCH($P1114,F_ProductBM!$Q:$Q,0))))</f>
        <v/>
      </c>
      <c r="N1114" s="1456" t="str">
        <f>IF($I969="","",IF(INDEX(F_ProductBM!N:N,MATCH($P1114,F_ProductBM!$Q:$Q,0))="","",INDEX(F_ProductBM!N:N,MATCH($P1114,F_ProductBM!$Q:$Q,0))))</f>
        <v/>
      </c>
      <c r="O1114" s="19"/>
      <c r="P1114" s="298" t="str">
        <f>EUconst_CNTR_WGImport &amp; I969</f>
        <v>WasteGasIm_</v>
      </c>
      <c r="Q1114" s="343"/>
      <c r="R1114" s="343"/>
      <c r="S1114" s="343"/>
      <c r="T1114" s="7"/>
      <c r="U1114" s="349"/>
      <c r="V1114" s="349"/>
    </row>
    <row r="1115" spans="1:22" s="534" customFormat="1" ht="12.75" customHeight="1" x14ac:dyDescent="0.25">
      <c r="A1115" s="343"/>
      <c r="B1115" s="15"/>
      <c r="C1115" s="15"/>
      <c r="D1115" s="1454"/>
      <c r="E1115" s="1776" t="str">
        <f>Translations!$B$637</f>
        <v>Särskild emissionsfaktor (importerad restgas)</v>
      </c>
      <c r="F1115" s="1776"/>
      <c r="G1115" s="624" t="str">
        <f>EUconst_tCO2pTJ</f>
        <v>t CO2 / TJ</v>
      </c>
      <c r="H1115" s="740" t="str">
        <f>IF($I969="","",IF(INDEX(F_ProductBM!H:H,MATCH($P1115,F_ProductBM!$Q:$Q,0))="","",INDEX(F_ProductBM!H:H,MATCH($P1115,F_ProductBM!$Q:$Q,0))))</f>
        <v/>
      </c>
      <c r="I1115" s="1154" t="str">
        <f>IF($I969="","",IF(INDEX(F_ProductBM!I:I,MATCH($P1115,F_ProductBM!$Q:$Q,0))="","",INDEX(F_ProductBM!I:I,MATCH($P1115,F_ProductBM!$Q:$Q,0))))</f>
        <v/>
      </c>
      <c r="J1115" s="1160" t="str">
        <f>IF($I969="","",IF(INDEX(F_ProductBM!J:J,MATCH($P1115,F_ProductBM!$Q:$Q,0))="","",INDEX(F_ProductBM!J:J,MATCH($P1115,F_ProductBM!$Q:$Q,0))))</f>
        <v/>
      </c>
      <c r="K1115" s="740" t="str">
        <f>IF($I969="","",IF(INDEX(F_ProductBM!K:K,MATCH($P1115,F_ProductBM!$Q:$Q,0))="","",INDEX(F_ProductBM!K:K,MATCH($P1115,F_ProductBM!$Q:$Q,0))))</f>
        <v/>
      </c>
      <c r="L1115" s="740" t="str">
        <f>IF($I969="","",IF(INDEX(F_ProductBM!L:L,MATCH($P1115,F_ProductBM!$Q:$Q,0))="","",INDEX(F_ProductBM!L:L,MATCH($P1115,F_ProductBM!$Q:$Q,0))))</f>
        <v/>
      </c>
      <c r="M1115" s="740" t="str">
        <f>IF($I969="","",IF(INDEX(F_ProductBM!M:M,MATCH($P1115,F_ProductBM!$Q:$Q,0))="","",INDEX(F_ProductBM!M:M,MATCH($P1115,F_ProductBM!$Q:$Q,0))))</f>
        <v/>
      </c>
      <c r="N1115" s="1457" t="str">
        <f>IF($I969="","",IF(INDEX(F_ProductBM!N:N,MATCH($P1115,F_ProductBM!$Q:$Q,0))="","",INDEX(F_ProductBM!N:N,MATCH($P1115,F_ProductBM!$Q:$Q,0))))</f>
        <v/>
      </c>
      <c r="O1115" s="19"/>
      <c r="P1115" s="298" t="str">
        <f>EUconst_CNTR_WGImportEF &amp; I969</f>
        <v>WasteGasImEF_</v>
      </c>
      <c r="Q1115" s="343"/>
      <c r="R1115" s="343"/>
      <c r="S1115" s="343"/>
      <c r="T1115" s="7"/>
      <c r="U1115" s="349"/>
      <c r="V1115" s="349"/>
    </row>
    <row r="1116" spans="1:22" s="534" customFormat="1" ht="12.75" customHeight="1" x14ac:dyDescent="0.25">
      <c r="A1116" s="343"/>
      <c r="B1116" s="15"/>
      <c r="C1116" s="15"/>
      <c r="D1116" s="1454"/>
      <c r="E1116" s="2611" t="str">
        <f>Translations!$B$641</f>
        <v>Exporterad restgas</v>
      </c>
      <c r="F1116" s="2484"/>
      <c r="G1116" s="365" t="str">
        <f>EUconst_TJpa</f>
        <v>TJ / år</v>
      </c>
      <c r="H1116" s="739" t="str">
        <f>IF($I969="","",IF(INDEX(F_ProductBM!H:H,MATCH($P1116,F_ProductBM!$Q:$Q,0))="","",INDEX(F_ProductBM!H:H,MATCH($P1116,F_ProductBM!$Q:$Q,0))))</f>
        <v/>
      </c>
      <c r="I1116" s="1153" t="str">
        <f>IF($I969="","",IF(INDEX(F_ProductBM!I:I,MATCH($P1116,F_ProductBM!$Q:$Q,0))="","",INDEX(F_ProductBM!I:I,MATCH($P1116,F_ProductBM!$Q:$Q,0))))</f>
        <v/>
      </c>
      <c r="J1116" s="1159" t="str">
        <f>IF($I969="","",IF(INDEX(F_ProductBM!J:J,MATCH($P1116,F_ProductBM!$Q:$Q,0))="","",INDEX(F_ProductBM!J:J,MATCH($P1116,F_ProductBM!$Q:$Q,0))))</f>
        <v/>
      </c>
      <c r="K1116" s="739" t="str">
        <f>IF($I969="","",IF(INDEX(F_ProductBM!K:K,MATCH($P1116,F_ProductBM!$Q:$Q,0))="","",INDEX(F_ProductBM!K:K,MATCH($P1116,F_ProductBM!$Q:$Q,0))))</f>
        <v/>
      </c>
      <c r="L1116" s="739" t="str">
        <f>IF($I969="","",IF(INDEX(F_ProductBM!L:L,MATCH($P1116,F_ProductBM!$Q:$Q,0))="","",INDEX(F_ProductBM!L:L,MATCH($P1116,F_ProductBM!$Q:$Q,0))))</f>
        <v/>
      </c>
      <c r="M1116" s="739" t="str">
        <f>IF($I969="","",IF(INDEX(F_ProductBM!M:M,MATCH($P1116,F_ProductBM!$Q:$Q,0))="","",INDEX(F_ProductBM!M:M,MATCH($P1116,F_ProductBM!$Q:$Q,0))))</f>
        <v/>
      </c>
      <c r="N1116" s="1456" t="str">
        <f>IF($I969="","",IF(INDEX(F_ProductBM!N:N,MATCH($P1116,F_ProductBM!$Q:$Q,0))="","",INDEX(F_ProductBM!N:N,MATCH($P1116,F_ProductBM!$Q:$Q,0))))</f>
        <v/>
      </c>
      <c r="O1116" s="19"/>
      <c r="P1116" s="298" t="str">
        <f>EUconst_CNTR_WGExport &amp; I969</f>
        <v>WasteGasEx_</v>
      </c>
      <c r="Q1116" s="343"/>
      <c r="R1116" s="343"/>
      <c r="S1116" s="343"/>
      <c r="T1116" s="7"/>
      <c r="U1116" s="349"/>
      <c r="V1116" s="349"/>
    </row>
    <row r="1117" spans="1:22" s="534" customFormat="1" ht="12.75" customHeight="1" x14ac:dyDescent="0.25">
      <c r="A1117" s="343"/>
      <c r="B1117" s="15"/>
      <c r="C1117" s="15"/>
      <c r="D1117" s="1454"/>
      <c r="E1117" s="2612" t="str">
        <f>Translations!$B$642</f>
        <v>Särskild emissionsfaktor (exporterad restgas)</v>
      </c>
      <c r="F1117" s="2487"/>
      <c r="G1117" s="624" t="str">
        <f>EUconst_tCO2pTJ</f>
        <v>t CO2 / TJ</v>
      </c>
      <c r="H1117" s="740" t="str">
        <f>IF($I969="","",IF(INDEX(F_ProductBM!H:H,MATCH($P1117,F_ProductBM!$Q:$Q,0))="","",INDEX(F_ProductBM!H:H,MATCH($P1117,F_ProductBM!$Q:$Q,0))))</f>
        <v/>
      </c>
      <c r="I1117" s="1154" t="str">
        <f>IF($I969="","",IF(INDEX(F_ProductBM!I:I,MATCH($P1117,F_ProductBM!$Q:$Q,0))="","",INDEX(F_ProductBM!I:I,MATCH($P1117,F_ProductBM!$Q:$Q,0))))</f>
        <v/>
      </c>
      <c r="J1117" s="1160" t="str">
        <f>IF($I969="","",IF(INDEX(F_ProductBM!J:J,MATCH($P1117,F_ProductBM!$Q:$Q,0))="","",INDEX(F_ProductBM!J:J,MATCH($P1117,F_ProductBM!$Q:$Q,0))))</f>
        <v/>
      </c>
      <c r="K1117" s="740" t="str">
        <f>IF($I969="","",IF(INDEX(F_ProductBM!K:K,MATCH($P1117,F_ProductBM!$Q:$Q,0))="","",INDEX(F_ProductBM!K:K,MATCH($P1117,F_ProductBM!$Q:$Q,0))))</f>
        <v/>
      </c>
      <c r="L1117" s="740" t="str">
        <f>IF($I969="","",IF(INDEX(F_ProductBM!L:L,MATCH($P1117,F_ProductBM!$Q:$Q,0))="","",INDEX(F_ProductBM!L:L,MATCH($P1117,F_ProductBM!$Q:$Q,0))))</f>
        <v/>
      </c>
      <c r="M1117" s="740" t="str">
        <f>IF($I969="","",IF(INDEX(F_ProductBM!M:M,MATCH($P1117,F_ProductBM!$Q:$Q,0))="","",INDEX(F_ProductBM!M:M,MATCH($P1117,F_ProductBM!$Q:$Q,0))))</f>
        <v/>
      </c>
      <c r="N1117" s="1457" t="str">
        <f>IF($I969="","",IF(INDEX(F_ProductBM!N:N,MATCH($P1117,F_ProductBM!$Q:$Q,0))="","",INDEX(F_ProductBM!N:N,MATCH($P1117,F_ProductBM!$Q:$Q,0))))</f>
        <v/>
      </c>
      <c r="O1117" s="19"/>
      <c r="P1117" s="298" t="str">
        <f>EUconst_CNTR_WGExportEF &amp; I969</f>
        <v>WasteGasExEF_</v>
      </c>
      <c r="Q1117" s="343"/>
      <c r="R1117" s="343"/>
      <c r="S1117" s="343"/>
      <c r="T1117" s="7"/>
      <c r="U1117" s="349"/>
      <c r="V1117" s="349"/>
    </row>
    <row r="1118" spans="1:22" s="534" customFormat="1" ht="5.15" customHeight="1" x14ac:dyDescent="0.25">
      <c r="A1118" s="343"/>
      <c r="B1118" s="15"/>
      <c r="C1118" s="15"/>
      <c r="D1118" s="1454"/>
      <c r="E1118" s="899"/>
      <c r="F1118" s="899"/>
      <c r="G1118" s="416"/>
      <c r="H1118" s="741"/>
      <c r="I1118" s="741"/>
      <c r="J1118" s="741"/>
      <c r="K1118" s="741"/>
      <c r="L1118" s="741"/>
      <c r="M1118" s="741"/>
      <c r="N1118" s="1458"/>
      <c r="O1118" s="19"/>
      <c r="P1118" s="7"/>
      <c r="Q1118" s="343"/>
      <c r="R1118" s="343"/>
      <c r="S1118" s="343"/>
      <c r="T1118" s="7"/>
      <c r="U1118" s="349"/>
      <c r="V1118" s="349"/>
    </row>
    <row r="1119" spans="1:22" s="534" customFormat="1" ht="12.75" customHeight="1" x14ac:dyDescent="0.25">
      <c r="A1119" s="343"/>
      <c r="B1119" s="15"/>
      <c r="C1119" s="15"/>
      <c r="D1119" s="1454"/>
      <c r="E1119" s="2613" t="str">
        <f>Translations!$B$530</f>
        <v>Relevant elförbrukning</v>
      </c>
      <c r="F1119" s="1997"/>
      <c r="G1119" s="364" t="str">
        <f>EUconst_MWhpa</f>
        <v>MWh / år</v>
      </c>
      <c r="H1119" s="742" t="str">
        <f>IF($I969="","",IF(INDEX(F_ProductBM!H:H,MATCH($P1119,F_ProductBM!$R:$R,0))="","",INDEX(F_ProductBM!H:H,MATCH($P1119,F_ProductBM!$R:$R,0))))</f>
        <v/>
      </c>
      <c r="I1119" s="1021" t="str">
        <f>IF($I969="","",IF(INDEX(F_ProductBM!I:I,MATCH($P1119,F_ProductBM!$R:$R,0))="","",INDEX(F_ProductBM!I:I,MATCH($P1119,F_ProductBM!$R:$R,0))))</f>
        <v/>
      </c>
      <c r="J1119" s="1158" t="str">
        <f>IF($I969="","",IF(INDEX(F_ProductBM!J:J,MATCH($P1119,F_ProductBM!$R:$R,0))="","",INDEX(F_ProductBM!J:J,MATCH($P1119,F_ProductBM!$R:$R,0))))</f>
        <v/>
      </c>
      <c r="K1119" s="742" t="str">
        <f>IF($I969="","",IF(INDEX(F_ProductBM!K:K,MATCH($P1119,F_ProductBM!$R:$R,0))="","",INDEX(F_ProductBM!K:K,MATCH($P1119,F_ProductBM!$R:$R,0))))</f>
        <v/>
      </c>
      <c r="L1119" s="742" t="str">
        <f>IF($I969="","",IF(INDEX(F_ProductBM!L:L,MATCH($P1119,F_ProductBM!$R:$R,0))="","",INDEX(F_ProductBM!L:L,MATCH($P1119,F_ProductBM!$R:$R,0))))</f>
        <v/>
      </c>
      <c r="M1119" s="742" t="str">
        <f>IF($I969="","",IF(INDEX(F_ProductBM!M:M,MATCH($P1119,F_ProductBM!$R:$R,0))="","",INDEX(F_ProductBM!M:M,MATCH($P1119,F_ProductBM!$R:$R,0))))</f>
        <v/>
      </c>
      <c r="N1119" s="1459" t="str">
        <f>IF($I969="","",IF(INDEX(F_ProductBM!N:N,MATCH($P1119,F_ProductBM!$R:$R,0))="","",INDEX(F_ProductBM!N:N,MATCH($P1119,F_ProductBM!$R:$R,0))))</f>
        <v/>
      </c>
      <c r="O1119" s="19"/>
      <c r="P1119" s="165" t="str">
        <f>EUconst_CNTR_HAL&amp;EUconst_CNTR_ELEXCH &amp; I969</f>
        <v>HAL_ELEXCH_</v>
      </c>
      <c r="Q1119" s="343"/>
      <c r="R1119" s="343"/>
      <c r="S1119" s="343"/>
      <c r="T1119" s="7"/>
      <c r="U1119" s="349"/>
      <c r="V1119" s="349"/>
    </row>
    <row r="1120" spans="1:22" s="534" customFormat="1" ht="12.75" customHeight="1" x14ac:dyDescent="0.25">
      <c r="A1120" s="343"/>
      <c r="B1120" s="15"/>
      <c r="C1120" s="15"/>
      <c r="D1120" s="1454"/>
      <c r="E1120" s="2613" t="str">
        <f>Translations!$B$645</f>
        <v>Producerad el</v>
      </c>
      <c r="F1120" s="1997"/>
      <c r="G1120" s="364" t="str">
        <f>EUconst_MWhpa</f>
        <v>MWh / år</v>
      </c>
      <c r="H1120" s="742" t="str">
        <f>IF($I969="","",IF(INDEX(F_ProductBM!H:H,MATCH($P1120,F_ProductBM!$Q:$Q,0))="","",INDEX(F_ProductBM!H:H,MATCH($P1120,F_ProductBM!$Q:$Q,0))))</f>
        <v/>
      </c>
      <c r="I1120" s="1021" t="str">
        <f>IF($I969="","",IF(INDEX(F_ProductBM!I:I,MATCH($P1120,F_ProductBM!$Q:$Q,0))="","",INDEX(F_ProductBM!I:I,MATCH($P1120,F_ProductBM!$Q:$Q,0))))</f>
        <v/>
      </c>
      <c r="J1120" s="1158" t="str">
        <f>IF($I969="","",IF(INDEX(F_ProductBM!J:J,MATCH($P1120,F_ProductBM!$Q:$Q,0))="","",INDEX(F_ProductBM!J:J,MATCH($P1120,F_ProductBM!$Q:$Q,0))))</f>
        <v/>
      </c>
      <c r="K1120" s="742" t="str">
        <f>IF($I969="","",IF(INDEX(F_ProductBM!K:K,MATCH($P1120,F_ProductBM!$Q:$Q,0))="","",INDEX(F_ProductBM!K:K,MATCH($P1120,F_ProductBM!$Q:$Q,0))))</f>
        <v/>
      </c>
      <c r="L1120" s="742" t="str">
        <f>IF($I969="","",IF(INDEX(F_ProductBM!L:L,MATCH($P1120,F_ProductBM!$Q:$Q,0))="","",INDEX(F_ProductBM!L:L,MATCH($P1120,F_ProductBM!$Q:$Q,0))))</f>
        <v/>
      </c>
      <c r="M1120" s="742" t="str">
        <f>IF($I969="","",IF(INDEX(F_ProductBM!M:M,MATCH($P1120,F_ProductBM!$Q:$Q,0))="","",INDEX(F_ProductBM!M:M,MATCH($P1120,F_ProductBM!$Q:$Q,0))))</f>
        <v/>
      </c>
      <c r="N1120" s="1459" t="str">
        <f>IF($I969="","",IF(INDEX(F_ProductBM!N:N,MATCH($P1120,F_ProductBM!$Q:$Q,0))="","",INDEX(F_ProductBM!N:N,MATCH($P1120,F_ProductBM!$Q:$Q,0))))</f>
        <v/>
      </c>
      <c r="O1120" s="19"/>
      <c r="P1120" s="298" t="str">
        <f>EUconst_CNTR_ElectricityExported &amp; I969</f>
        <v>ElecEx_</v>
      </c>
      <c r="Q1120" s="343"/>
      <c r="R1120" s="343"/>
      <c r="S1120" s="343"/>
      <c r="T1120" s="7"/>
      <c r="U1120" s="349"/>
      <c r="V1120" s="349"/>
    </row>
    <row r="1121" spans="1:22" s="534" customFormat="1" ht="5.15" customHeight="1" x14ac:dyDescent="0.25">
      <c r="A1121" s="343"/>
      <c r="B1121" s="15"/>
      <c r="C1121" s="15"/>
      <c r="D1121" s="1454"/>
      <c r="E1121" s="899"/>
      <c r="F1121" s="899"/>
      <c r="G1121" s="416"/>
      <c r="H1121" s="741"/>
      <c r="I1121" s="741"/>
      <c r="J1121" s="741"/>
      <c r="K1121" s="741"/>
      <c r="L1121" s="741"/>
      <c r="M1121" s="741"/>
      <c r="N1121" s="1458"/>
      <c r="O1121" s="19"/>
      <c r="P1121" s="7"/>
      <c r="Q1121" s="343"/>
      <c r="R1121" s="343"/>
      <c r="S1121" s="343"/>
      <c r="T1121" s="7"/>
      <c r="U1121" s="349"/>
      <c r="V1121" s="349"/>
    </row>
    <row r="1122" spans="1:22" s="534" customFormat="1" ht="12.75" customHeight="1" x14ac:dyDescent="0.25">
      <c r="A1122" s="343"/>
      <c r="B1122" s="15"/>
      <c r="C1122" s="15"/>
      <c r="D1122" s="1454"/>
      <c r="E1122" s="2613" t="str">
        <f>Translations!$B$646</f>
        <v>Total producerad massamängd</v>
      </c>
      <c r="F1122" s="1997"/>
      <c r="G1122" s="364" t="str">
        <f>EUconst_Tons</f>
        <v>ton</v>
      </c>
      <c r="H1122" s="742" t="str">
        <f>IF($I969="","",IF(INDEX(F_ProductBM!H:H,MATCH($P1122,F_ProductBM!$Q:$Q,0))="","",INDEX(F_ProductBM!H:H,MATCH($P1122,F_ProductBM!$Q:$Q,0))))</f>
        <v/>
      </c>
      <c r="I1122" s="1021" t="str">
        <f>IF($I969="","",IF(INDEX(F_ProductBM!I:I,MATCH($P1122,F_ProductBM!$Q:$Q,0))="","",INDEX(F_ProductBM!I:I,MATCH($P1122,F_ProductBM!$Q:$Q,0))))</f>
        <v/>
      </c>
      <c r="J1122" s="1158" t="str">
        <f>IF($I969="","",IF(INDEX(F_ProductBM!J:J,MATCH($P1122,F_ProductBM!$Q:$Q,0))="","",INDEX(F_ProductBM!J:J,MATCH($P1122,F_ProductBM!$Q:$Q,0))))</f>
        <v/>
      </c>
      <c r="K1122" s="742" t="str">
        <f>IF($I969="","",IF(INDEX(F_ProductBM!K:K,MATCH($P1122,F_ProductBM!$Q:$Q,0))="","",INDEX(F_ProductBM!K:K,MATCH($P1122,F_ProductBM!$Q:$Q,0))))</f>
        <v/>
      </c>
      <c r="L1122" s="742" t="str">
        <f>IF($I969="","",IF(INDEX(F_ProductBM!L:L,MATCH($P1122,F_ProductBM!$Q:$Q,0))="","",INDEX(F_ProductBM!L:L,MATCH($P1122,F_ProductBM!$Q:$Q,0))))</f>
        <v/>
      </c>
      <c r="M1122" s="742" t="str">
        <f>IF($I969="","",IF(INDEX(F_ProductBM!M:M,MATCH($P1122,F_ProductBM!$Q:$Q,0))="","",INDEX(F_ProductBM!M:M,MATCH($P1122,F_ProductBM!$Q:$Q,0))))</f>
        <v/>
      </c>
      <c r="N1122" s="1459" t="str">
        <f>IF($I969="","",IF(INDEX(F_ProductBM!N:N,MATCH($P1122,F_ProductBM!$Q:$Q,0))="","",INDEX(F_ProductBM!N:N,MATCH($P1122,F_ProductBM!$Q:$Q,0))))</f>
        <v/>
      </c>
      <c r="O1122" s="19"/>
      <c r="P1122" s="298" t="str">
        <f>EUconst_CNTR_HALPulpTotal &amp; I969</f>
        <v>HALPulpTotal_</v>
      </c>
      <c r="Q1122" s="343"/>
      <c r="R1122" s="343"/>
      <c r="S1122" s="343"/>
      <c r="T1122" s="7"/>
      <c r="U1122" s="349"/>
      <c r="V1122" s="349"/>
    </row>
    <row r="1123" spans="1:22" s="534" customFormat="1" ht="5.15" customHeight="1" x14ac:dyDescent="0.25">
      <c r="A1123" s="343"/>
      <c r="B1123" s="15"/>
      <c r="C1123" s="15"/>
      <c r="D1123" s="1454"/>
      <c r="E1123" s="899"/>
      <c r="F1123" s="899"/>
      <c r="G1123" s="416"/>
      <c r="H1123" s="741"/>
      <c r="I1123" s="741"/>
      <c r="J1123" s="741"/>
      <c r="K1123" s="741"/>
      <c r="L1123" s="741"/>
      <c r="M1123" s="741"/>
      <c r="N1123" s="1458"/>
      <c r="O1123" s="19"/>
      <c r="P1123" s="7"/>
      <c r="Q1123" s="343"/>
      <c r="R1123" s="343"/>
      <c r="S1123" s="343"/>
      <c r="T1123" s="7"/>
      <c r="U1123" s="349"/>
      <c r="V1123" s="349"/>
    </row>
    <row r="1124" spans="1:22" s="534" customFormat="1" x14ac:dyDescent="0.25">
      <c r="A1124" s="343"/>
      <c r="B1124" s="15"/>
      <c r="C1124" s="15"/>
      <c r="D1124" s="1454"/>
      <c r="E1124" s="2785" t="str">
        <f>Translations!$B$1057</f>
        <v>Mellanimport:</v>
      </c>
      <c r="F1124" s="2497"/>
      <c r="G1124" s="416"/>
      <c r="H1124" s="741"/>
      <c r="I1124" s="741"/>
      <c r="J1124" s="741"/>
      <c r="K1124" s="741"/>
      <c r="L1124" s="741"/>
      <c r="M1124" s="741"/>
      <c r="N1124" s="1458"/>
      <c r="O1124" s="19"/>
      <c r="P1124" s="7"/>
      <c r="Q1124" s="343"/>
      <c r="R1124" s="343"/>
      <c r="S1124" s="343"/>
      <c r="T1124" s="7"/>
      <c r="U1124" s="349"/>
      <c r="V1124" s="349"/>
    </row>
    <row r="1125" spans="1:22" s="534" customFormat="1" x14ac:dyDescent="0.25">
      <c r="A1125" s="343"/>
      <c r="B1125" s="15"/>
      <c r="C1125" s="15"/>
      <c r="D1125" s="1454"/>
      <c r="E1125" s="2617" t="str">
        <f>IF(I969="","",IF(INDEX(F_ProductBM!E:E,MATCH($P1125,F_ProductBM!$Q:$Q,0))="","",INDEX(F_ProductBM!E:E,MATCH($P1125,F_ProductBM!$Q:$Q,0))))</f>
        <v/>
      </c>
      <c r="F1125" s="1997"/>
      <c r="G1125" s="364" t="str">
        <f>EUconst_Tons</f>
        <v>ton</v>
      </c>
      <c r="H1125" s="742" t="str">
        <f>IF($I969="","",IF(INDEX(F_ProductBM!H:H,MATCH($P1125,F_ProductBM!$Q:$Q,0))="","",INDEX(F_ProductBM!H:H,MATCH($P1125,F_ProductBM!$Q:$Q,0))))</f>
        <v/>
      </c>
      <c r="I1125" s="1021" t="str">
        <f>IF($I969="","",IF(INDEX(F_ProductBM!I:I,MATCH($P1125,F_ProductBM!$Q:$Q,0))="","",INDEX(F_ProductBM!I:I,MATCH($P1125,F_ProductBM!$Q:$Q,0))))</f>
        <v/>
      </c>
      <c r="J1125" s="1158" t="str">
        <f>IF($I969="","",IF(INDEX(F_ProductBM!J:J,MATCH($P1125,F_ProductBM!$Q:$Q,0))="","",INDEX(F_ProductBM!J:J,MATCH($P1125,F_ProductBM!$Q:$Q,0))))</f>
        <v/>
      </c>
      <c r="K1125" s="742" t="str">
        <f>IF($I969="","",IF(INDEX(F_ProductBM!K:K,MATCH($P1125,F_ProductBM!$Q:$Q,0))="","",INDEX(F_ProductBM!K:K,MATCH($P1125,F_ProductBM!$Q:$Q,0))))</f>
        <v/>
      </c>
      <c r="L1125" s="742" t="str">
        <f>IF($I969="","",IF(INDEX(F_ProductBM!L:L,MATCH($P1125,F_ProductBM!$Q:$Q,0))="","",INDEX(F_ProductBM!L:L,MATCH($P1125,F_ProductBM!$Q:$Q,0))))</f>
        <v/>
      </c>
      <c r="M1125" s="742" t="str">
        <f>IF($I969="","",IF(INDEX(F_ProductBM!M:M,MATCH($P1125,F_ProductBM!$Q:$Q,0))="","",INDEX(F_ProductBM!M:M,MATCH($P1125,F_ProductBM!$Q:$Q,0))))</f>
        <v/>
      </c>
      <c r="N1125" s="1459" t="str">
        <f>IF($I969="","",IF(INDEX(F_ProductBM!N:N,MATCH($P1125,F_ProductBM!$Q:$Q,0))="","",INDEX(F_ProductBM!N:N,MATCH($P1125,F_ProductBM!$Q:$Q,0))))</f>
        <v/>
      </c>
      <c r="O1125" s="19"/>
      <c r="P1125" s="298" t="str">
        <f>EUconst_CNTR_IntermediateImport &amp; R1125 &amp; "_" &amp; I969</f>
        <v>IntImp_1_</v>
      </c>
      <c r="Q1125" s="343"/>
      <c r="R1125" s="663">
        <v>1</v>
      </c>
      <c r="S1125" s="343"/>
      <c r="T1125" s="7"/>
      <c r="U1125" s="349"/>
      <c r="V1125" s="349"/>
    </row>
    <row r="1126" spans="1:22" s="534" customFormat="1" x14ac:dyDescent="0.25">
      <c r="A1126" s="343"/>
      <c r="B1126" s="15"/>
      <c r="C1126" s="15"/>
      <c r="D1126" s="1454"/>
      <c r="E1126" s="2617" t="str">
        <f>IF(I969="","",IF(INDEX(F_ProductBM!E:E,MATCH($P1126,F_ProductBM!$Q:$Q,0))="","",INDEX(F_ProductBM!E:E,MATCH($P1126,F_ProductBM!$Q:$Q,0))))</f>
        <v/>
      </c>
      <c r="F1126" s="1997"/>
      <c r="G1126" s="364" t="str">
        <f>EUconst_Tons</f>
        <v>ton</v>
      </c>
      <c r="H1126" s="742" t="str">
        <f>IF($I969="","",IF(INDEX(F_ProductBM!H:H,MATCH($P1126,F_ProductBM!$Q:$Q,0))="","",INDEX(F_ProductBM!H:H,MATCH($P1126,F_ProductBM!$Q:$Q,0))))</f>
        <v/>
      </c>
      <c r="I1126" s="1021" t="str">
        <f>IF($I969="","",IF(INDEX(F_ProductBM!I:I,MATCH($P1126,F_ProductBM!$Q:$Q,0))="","",INDEX(F_ProductBM!I:I,MATCH($P1126,F_ProductBM!$Q:$Q,0))))</f>
        <v/>
      </c>
      <c r="J1126" s="1158" t="str">
        <f>IF($I969="","",IF(INDEX(F_ProductBM!J:J,MATCH($P1126,F_ProductBM!$Q:$Q,0))="","",INDEX(F_ProductBM!J:J,MATCH($P1126,F_ProductBM!$Q:$Q,0))))</f>
        <v/>
      </c>
      <c r="K1126" s="742" t="str">
        <f>IF($I969="","",IF(INDEX(F_ProductBM!K:K,MATCH($P1126,F_ProductBM!$Q:$Q,0))="","",INDEX(F_ProductBM!K:K,MATCH($P1126,F_ProductBM!$Q:$Q,0))))</f>
        <v/>
      </c>
      <c r="L1126" s="742" t="str">
        <f>IF($I969="","",IF(INDEX(F_ProductBM!L:L,MATCH($P1126,F_ProductBM!$Q:$Q,0))="","",INDEX(F_ProductBM!L:L,MATCH($P1126,F_ProductBM!$Q:$Q,0))))</f>
        <v/>
      </c>
      <c r="M1126" s="742" t="str">
        <f>IF($I969="","",IF(INDEX(F_ProductBM!M:M,MATCH($P1126,F_ProductBM!$Q:$Q,0))="","",INDEX(F_ProductBM!M:M,MATCH($P1126,F_ProductBM!$Q:$Q,0))))</f>
        <v/>
      </c>
      <c r="N1126" s="1459" t="str">
        <f>IF($I969="","",IF(INDEX(F_ProductBM!N:N,MATCH($P1126,F_ProductBM!$Q:$Q,0))="","",INDEX(F_ProductBM!N:N,MATCH($P1126,F_ProductBM!$Q:$Q,0))))</f>
        <v/>
      </c>
      <c r="O1126" s="19"/>
      <c r="P1126" s="298" t="str">
        <f>EUconst_CNTR_IntermediateImport &amp; R1126 &amp; "_" &amp; I969</f>
        <v>IntImp_2_</v>
      </c>
      <c r="Q1126" s="343"/>
      <c r="R1126" s="663">
        <v>2</v>
      </c>
      <c r="S1126" s="343"/>
      <c r="T1126" s="7"/>
      <c r="U1126" s="349"/>
      <c r="V1126" s="349"/>
    </row>
    <row r="1127" spans="1:22" s="534" customFormat="1" x14ac:dyDescent="0.25">
      <c r="A1127" s="343"/>
      <c r="B1127" s="15"/>
      <c r="C1127" s="15"/>
      <c r="D1127" s="1454"/>
      <c r="E1127" s="2613" t="str">
        <f>Translations!$B$1058</f>
        <v>Mellanexport:</v>
      </c>
      <c r="F1127" s="1997"/>
      <c r="G1127" s="416"/>
      <c r="H1127" s="741"/>
      <c r="I1127" s="741"/>
      <c r="J1127" s="741"/>
      <c r="K1127" s="741"/>
      <c r="L1127" s="741"/>
      <c r="M1127" s="741"/>
      <c r="N1127" s="1458"/>
      <c r="O1127" s="19"/>
      <c r="P1127" s="7"/>
      <c r="Q1127" s="343"/>
      <c r="R1127" s="343"/>
      <c r="S1127" s="343"/>
      <c r="T1127" s="7"/>
      <c r="U1127" s="349"/>
      <c r="V1127" s="349"/>
    </row>
    <row r="1128" spans="1:22" s="534" customFormat="1" x14ac:dyDescent="0.25">
      <c r="A1128" s="343"/>
      <c r="B1128" s="15"/>
      <c r="C1128" s="15"/>
      <c r="D1128" s="1454"/>
      <c r="E1128" s="2617" t="str">
        <f>IF(I969="","",IF(INDEX(F_ProductBM!E:E,MATCH($P1128,F_ProductBM!$Q:$Q,0))="","",INDEX(F_ProductBM!E:E,MATCH($P1128,F_ProductBM!$Q:$Q,0))))</f>
        <v/>
      </c>
      <c r="F1128" s="1997"/>
      <c r="G1128" s="364" t="str">
        <f>EUconst_Tons</f>
        <v>ton</v>
      </c>
      <c r="H1128" s="742" t="str">
        <f>IF($I969="","",IF(INDEX(F_ProductBM!H:H,MATCH($P1128,F_ProductBM!$Q:$Q,0))="","",INDEX(F_ProductBM!H:H,MATCH($P1128,F_ProductBM!$Q:$Q,0))))</f>
        <v/>
      </c>
      <c r="I1128" s="1021" t="str">
        <f>IF($I969="","",IF(INDEX(F_ProductBM!I:I,MATCH($P1128,F_ProductBM!$Q:$Q,0))="","",INDEX(F_ProductBM!I:I,MATCH($P1128,F_ProductBM!$Q:$Q,0))))</f>
        <v/>
      </c>
      <c r="J1128" s="1158" t="str">
        <f>IF($I969="","",IF(INDEX(F_ProductBM!J:J,MATCH($P1128,F_ProductBM!$Q:$Q,0))="","",INDEX(F_ProductBM!J:J,MATCH($P1128,F_ProductBM!$Q:$Q,0))))</f>
        <v/>
      </c>
      <c r="K1128" s="742" t="str">
        <f>IF($I969="","",IF(INDEX(F_ProductBM!K:K,MATCH($P1128,F_ProductBM!$Q:$Q,0))="","",INDEX(F_ProductBM!K:K,MATCH($P1128,F_ProductBM!$Q:$Q,0))))</f>
        <v/>
      </c>
      <c r="L1128" s="742" t="str">
        <f>IF($I969="","",IF(INDEX(F_ProductBM!L:L,MATCH($P1128,F_ProductBM!$Q:$Q,0))="","",INDEX(F_ProductBM!L:L,MATCH($P1128,F_ProductBM!$Q:$Q,0))))</f>
        <v/>
      </c>
      <c r="M1128" s="742" t="str">
        <f>IF($I969="","",IF(INDEX(F_ProductBM!M:M,MATCH($P1128,F_ProductBM!$Q:$Q,0))="","",INDEX(F_ProductBM!M:M,MATCH($P1128,F_ProductBM!$Q:$Q,0))))</f>
        <v/>
      </c>
      <c r="N1128" s="1459" t="str">
        <f>IF($I969="","",IF(INDEX(F_ProductBM!N:N,MATCH($P1128,F_ProductBM!$Q:$Q,0))="","",INDEX(F_ProductBM!N:N,MATCH($P1128,F_ProductBM!$Q:$Q,0))))</f>
        <v/>
      </c>
      <c r="O1128" s="19"/>
      <c r="P1128" s="298" t="str">
        <f>EUconst_CNTR_IntermediateExport &amp; R1125 &amp; "_" &amp; I969</f>
        <v>IntExp_1_</v>
      </c>
      <c r="Q1128" s="343"/>
      <c r="R1128" s="663">
        <v>1</v>
      </c>
      <c r="S1128" s="343"/>
      <c r="T1128" s="7"/>
      <c r="U1128" s="349"/>
      <c r="V1128" s="349"/>
    </row>
    <row r="1129" spans="1:22" s="534" customFormat="1" x14ac:dyDescent="0.25">
      <c r="A1129" s="343"/>
      <c r="B1129" s="15"/>
      <c r="C1129" s="15"/>
      <c r="D1129" s="1454"/>
      <c r="E1129" s="2617" t="str">
        <f>IF(I969="","",IF(INDEX(F_ProductBM!E:E,MATCH($P1129,F_ProductBM!$Q:$Q,0))="","",INDEX(F_ProductBM!E:E,MATCH($P1129,F_ProductBM!$Q:$Q,0))))</f>
        <v/>
      </c>
      <c r="F1129" s="1997"/>
      <c r="G1129" s="364" t="str">
        <f>EUconst_Tons</f>
        <v>ton</v>
      </c>
      <c r="H1129" s="742" t="str">
        <f>IF($I969="","",IF(INDEX(F_ProductBM!H:H,MATCH($P1129,F_ProductBM!$Q:$Q,0))="","",INDEX(F_ProductBM!H:H,MATCH($P1129,F_ProductBM!$Q:$Q,0))))</f>
        <v/>
      </c>
      <c r="I1129" s="1021" t="str">
        <f>IF($I969="","",IF(INDEX(F_ProductBM!I:I,MATCH($P1129,F_ProductBM!$Q:$Q,0))="","",INDEX(F_ProductBM!I:I,MATCH($P1129,F_ProductBM!$Q:$Q,0))))</f>
        <v/>
      </c>
      <c r="J1129" s="1158" t="str">
        <f>IF($I969="","",IF(INDEX(F_ProductBM!J:J,MATCH($P1129,F_ProductBM!$Q:$Q,0))="","",INDEX(F_ProductBM!J:J,MATCH($P1129,F_ProductBM!$Q:$Q,0))))</f>
        <v/>
      </c>
      <c r="K1129" s="742" t="str">
        <f>IF($I969="","",IF(INDEX(F_ProductBM!K:K,MATCH($P1129,F_ProductBM!$Q:$Q,0))="","",INDEX(F_ProductBM!K:K,MATCH($P1129,F_ProductBM!$Q:$Q,0))))</f>
        <v/>
      </c>
      <c r="L1129" s="742" t="str">
        <f>IF($I969="","",IF(INDEX(F_ProductBM!L:L,MATCH($P1129,F_ProductBM!$Q:$Q,0))="","",INDEX(F_ProductBM!L:L,MATCH($P1129,F_ProductBM!$Q:$Q,0))))</f>
        <v/>
      </c>
      <c r="M1129" s="742" t="str">
        <f>IF($I969="","",IF(INDEX(F_ProductBM!M:M,MATCH($P1129,F_ProductBM!$Q:$Q,0))="","",INDEX(F_ProductBM!M:M,MATCH($P1129,F_ProductBM!$Q:$Q,0))))</f>
        <v/>
      </c>
      <c r="N1129" s="1459" t="str">
        <f>IF($I969="","",IF(INDEX(F_ProductBM!N:N,MATCH($P1129,F_ProductBM!$Q:$Q,0))="","",INDEX(F_ProductBM!N:N,MATCH($P1129,F_ProductBM!$Q:$Q,0))))</f>
        <v/>
      </c>
      <c r="O1129" s="19"/>
      <c r="P1129" s="298" t="str">
        <f>EUconst_CNTR_IntermediateExport &amp; R1129 &amp; "_" &amp; I969</f>
        <v>IntExp_2_</v>
      </c>
      <c r="Q1129" s="343"/>
      <c r="R1129" s="663">
        <v>2</v>
      </c>
      <c r="S1129" s="343"/>
      <c r="T1129" s="7"/>
      <c r="U1129" s="349"/>
      <c r="V1129" s="349"/>
    </row>
    <row r="1130" spans="1:22" s="534" customFormat="1" ht="12.75" customHeight="1" thickBot="1" x14ac:dyDescent="0.3">
      <c r="A1130" s="343"/>
      <c r="B1130" s="15"/>
      <c r="C1130" s="15"/>
      <c r="D1130" s="1460"/>
      <c r="E1130" s="1461"/>
      <c r="F1130" s="1461"/>
      <c r="G1130" s="1462"/>
      <c r="H1130" s="1462"/>
      <c r="I1130" s="783"/>
      <c r="J1130" s="783"/>
      <c r="K1130" s="783"/>
      <c r="L1130" s="783"/>
      <c r="M1130" s="783"/>
      <c r="N1130" s="784"/>
      <c r="O1130" s="19"/>
      <c r="P1130" s="7"/>
      <c r="Q1130" s="343"/>
      <c r="R1130" s="343"/>
      <c r="S1130" s="343"/>
      <c r="T1130" s="7"/>
      <c r="U1130" s="349"/>
      <c r="V1130" s="349"/>
    </row>
    <row r="1131" spans="1:22" s="534" customFormat="1" ht="5.15" customHeight="1" thickBot="1" x14ac:dyDescent="0.3">
      <c r="A1131" s="343"/>
      <c r="B1131" s="15"/>
      <c r="C1131" s="15"/>
      <c r="D1131" s="15"/>
      <c r="E1131" s="748"/>
      <c r="O1131" s="19"/>
      <c r="P1131" s="343"/>
      <c r="Q1131" s="343"/>
      <c r="R1131" s="343"/>
      <c r="S1131" s="343"/>
      <c r="T1131" s="343"/>
      <c r="U1131" s="349"/>
      <c r="V1131" s="349"/>
    </row>
    <row r="1132" spans="1:22" s="534" customFormat="1" ht="5.15" customHeight="1" thickBot="1" x14ac:dyDescent="0.3">
      <c r="A1132" s="343"/>
      <c r="B1132" s="3"/>
      <c r="C1132" s="230"/>
      <c r="D1132" s="230"/>
      <c r="E1132" s="230"/>
      <c r="F1132" s="230"/>
      <c r="G1132" s="230"/>
      <c r="H1132" s="230"/>
      <c r="I1132" s="230"/>
      <c r="J1132" s="230"/>
      <c r="K1132" s="230"/>
      <c r="L1132" s="230"/>
      <c r="M1132" s="230"/>
      <c r="N1132" s="230"/>
      <c r="O1132" s="19"/>
      <c r="P1132" s="343"/>
      <c r="Q1132" s="343"/>
      <c r="R1132" s="343"/>
      <c r="S1132" s="343"/>
      <c r="T1132" s="343"/>
      <c r="U1132" s="349"/>
      <c r="V1132" s="349"/>
    </row>
    <row r="1133" spans="1:22" s="534" customFormat="1" ht="15" customHeight="1" thickBot="1" x14ac:dyDescent="0.35">
      <c r="A1133" s="343"/>
      <c r="B1133" s="15"/>
      <c r="C1133" s="17">
        <f>C969+1</f>
        <v>5</v>
      </c>
      <c r="D1133" s="2053" t="str">
        <f>CONCATENATE(EUconst_BMSubinst," ",C1133, ":")</f>
        <v>Delanläggning med produktriktmärke 5:</v>
      </c>
      <c r="E1133" s="2053"/>
      <c r="F1133" s="2053"/>
      <c r="G1133" s="2053"/>
      <c r="H1133" s="2081"/>
      <c r="I1133" s="2090" t="str">
        <f>IF(INDEX(CNTR_SubInstListIsProdBM,$C1133),INDEX(CNTR_SubInstListNames,$C1133),"")</f>
        <v/>
      </c>
      <c r="J1133" s="2091"/>
      <c r="K1133" s="2091"/>
      <c r="L1133" s="2091"/>
      <c r="M1133" s="2091"/>
      <c r="N1133" s="2092"/>
      <c r="O1133" s="19"/>
      <c r="P1133" s="343"/>
      <c r="Q1133" s="723">
        <f>C1133</f>
        <v>5</v>
      </c>
      <c r="R1133" s="722" t="str">
        <f>I1133</f>
        <v/>
      </c>
      <c r="S1133" s="343"/>
      <c r="T1133" s="343"/>
      <c r="U1133" s="349"/>
      <c r="V1133" s="349"/>
    </row>
    <row r="1134" spans="1:22" s="534" customFormat="1" ht="5.15" customHeight="1" x14ac:dyDescent="0.3">
      <c r="A1134" s="343"/>
      <c r="B1134" s="15"/>
      <c r="C1134" s="17"/>
      <c r="D1134" s="17"/>
      <c r="E1134" s="17"/>
      <c r="F1134" s="17"/>
      <c r="G1134" s="17"/>
      <c r="H1134" s="17"/>
      <c r="I1134" s="17"/>
      <c r="J1134" s="17"/>
      <c r="K1134" s="17"/>
      <c r="L1134" s="17"/>
      <c r="M1134" s="17"/>
      <c r="N1134" s="17"/>
      <c r="O1134" s="19"/>
      <c r="P1134" s="343"/>
      <c r="Q1134" s="343"/>
      <c r="R1134" s="343"/>
      <c r="S1134" s="343"/>
      <c r="T1134" s="343"/>
      <c r="U1134" s="349"/>
      <c r="V1134" s="349"/>
    </row>
    <row r="1135" spans="1:22" s="534" customFormat="1" ht="12.75" customHeight="1" x14ac:dyDescent="0.3">
      <c r="A1135" s="343"/>
      <c r="B1135" s="15"/>
      <c r="C1135" s="17"/>
      <c r="D1135" s="17"/>
      <c r="E1135" s="17"/>
      <c r="F1135" s="17"/>
      <c r="H1135" s="506" t="str">
        <f>Translations!$B$1022</f>
        <v>KL-risk</v>
      </c>
      <c r="I1135" s="506" t="s">
        <v>1380</v>
      </c>
      <c r="J1135" s="506" t="str">
        <f>Translations!$B$1026</f>
        <v>I drift</v>
      </c>
      <c r="K1135" s="506" t="str">
        <f>Translations!$B$1545</f>
        <v>Upphört</v>
      </c>
      <c r="L1135" s="952" t="str">
        <f>Translations!$B$1024</f>
        <v>RM-nummer</v>
      </c>
      <c r="M1135" s="2786" t="str">
        <f>Translations!$B$1028</f>
        <v>RM-värde</v>
      </c>
      <c r="N1135" s="2786"/>
      <c r="O1135" s="19"/>
      <c r="P1135" s="343"/>
      <c r="Q1135" s="343"/>
      <c r="R1135" s="343"/>
      <c r="S1135" s="343"/>
      <c r="T1135" s="940"/>
      <c r="U1135" s="349"/>
      <c r="V1135" s="349"/>
    </row>
    <row r="1136" spans="1:22" s="534" customFormat="1" ht="12.75" customHeight="1" x14ac:dyDescent="0.3">
      <c r="A1136" s="343"/>
      <c r="B1136" s="15"/>
      <c r="C1136" s="17"/>
      <c r="D1136" s="17"/>
      <c r="E1136" s="508" t="str">
        <f>I1133</f>
        <v/>
      </c>
      <c r="F1136" s="509"/>
      <c r="G1136" s="509"/>
      <c r="H1136" s="510" t="str">
        <f>IF(L1136=EUconst_NA,EUconst_NA,INDEX(EUconst_BMlistCLstatus,L1136))</f>
        <v>Ej tillämpligt</v>
      </c>
      <c r="I1136" s="510" t="str">
        <f>IF(I1133="","",INDEX(EUconst_BMlistElExchangability,L1136))</f>
        <v/>
      </c>
      <c r="J1136" s="1045" t="str">
        <f>IF($I1133="",EUconst_NA,INDEX(CNTR_SubInstStartDate,MATCH(I1133,CNTR_SubInstListNames,0)))</f>
        <v>Ej tillämpligt</v>
      </c>
      <c r="K1136" s="1045" t="str">
        <f>IF($I1133="",EUconst_NA,IF(INDEX(CNTR_SubInstCessationDate,MATCH(I1133,CNTR_SubInstListNames,0))=0,"",INDEX(CNTR_SubInstCessationDate,MATCH(I1133,CNTR_SubInstListNames,0))))</f>
        <v>Ej tillämpligt</v>
      </c>
      <c r="L1136" s="953" t="str">
        <f>IF($I1133="",EUconst_NA,MATCH(I1133,EUconst_BMlistNames,0))</f>
        <v>Ej tillämpligt</v>
      </c>
      <c r="M1136" s="1744" t="str">
        <f>IF(I1133="",EUconst_NA,INDEX(EUconst_BMlistBMvaluesMatrix,L1136,3))</f>
        <v>Ej tillämpligt</v>
      </c>
      <c r="N1136" s="1041" t="str">
        <f>EUconst_EUA &amp; "/" &amp; F1139</f>
        <v>EUA/ton</v>
      </c>
      <c r="O1136" s="19"/>
      <c r="P1136" s="343"/>
      <c r="Q1136" s="343"/>
      <c r="R1136" s="343"/>
      <c r="S1136" s="343"/>
      <c r="T1136" s="940"/>
      <c r="U1136" s="349"/>
      <c r="V1136" s="349"/>
    </row>
    <row r="1137" spans="1:22" s="534" customFormat="1" ht="5.15" customHeight="1" thickBot="1" x14ac:dyDescent="0.35">
      <c r="A1137" s="343"/>
      <c r="B1137" s="15"/>
      <c r="C1137" s="15"/>
      <c r="D1137" s="15"/>
      <c r="E1137" s="17"/>
      <c r="J1137" s="15"/>
      <c r="K1137" s="15"/>
      <c r="L1137" s="15"/>
      <c r="M1137" s="15"/>
      <c r="N1137" s="15"/>
      <c r="O1137" s="19"/>
      <c r="P1137" s="343"/>
      <c r="Q1137" s="343"/>
      <c r="R1137" s="343"/>
      <c r="S1137" s="343"/>
      <c r="T1137" s="7"/>
      <c r="U1137" s="349"/>
      <c r="V1137" s="349"/>
    </row>
    <row r="1138" spans="1:22" s="534" customFormat="1" ht="12.75" customHeight="1" x14ac:dyDescent="0.25">
      <c r="A1138" s="343"/>
      <c r="B1138" s="15"/>
      <c r="C1138" s="15"/>
      <c r="D1138" s="15"/>
      <c r="E1138" s="39"/>
      <c r="F1138" s="13" t="str">
        <f>EUconst_Unit</f>
        <v>Enhet</v>
      </c>
      <c r="G1138" s="1202" t="str">
        <f>Translations!$B$1432</f>
        <v>HAL</v>
      </c>
      <c r="H1138" s="987">
        <f t="shared" ref="H1138:N1138" si="172">H$2596</f>
        <v>2019</v>
      </c>
      <c r="I1138" s="342">
        <f t="shared" si="172"/>
        <v>2020</v>
      </c>
      <c r="J1138" s="987">
        <f t="shared" si="172"/>
        <v>2021</v>
      </c>
      <c r="K1138" s="320">
        <f t="shared" si="172"/>
        <v>2022</v>
      </c>
      <c r="L1138" s="320">
        <f t="shared" si="172"/>
        <v>2023</v>
      </c>
      <c r="M1138" s="320">
        <f t="shared" si="172"/>
        <v>2024</v>
      </c>
      <c r="N1138" s="320">
        <f t="shared" si="172"/>
        <v>2025</v>
      </c>
      <c r="O1138" s="19"/>
      <c r="P1138" s="343"/>
      <c r="Q1138" s="343" t="s">
        <v>2010</v>
      </c>
      <c r="R1138" s="1635">
        <f>J$2596</f>
        <v>2021</v>
      </c>
      <c r="S1138" s="1636">
        <f>K$2596</f>
        <v>2022</v>
      </c>
      <c r="T1138" s="1636">
        <f>L$2596</f>
        <v>2023</v>
      </c>
      <c r="U1138" s="1636">
        <f>M$2596</f>
        <v>2024</v>
      </c>
      <c r="V1138" s="1637">
        <f>N$2596</f>
        <v>2025</v>
      </c>
    </row>
    <row r="1139" spans="1:22" s="534" customFormat="1" ht="12.75" customHeight="1" thickBot="1" x14ac:dyDescent="0.3">
      <c r="A1139" s="343"/>
      <c r="B1139" s="15"/>
      <c r="C1139" s="15"/>
      <c r="D1139" s="15"/>
      <c r="E1139" s="514" t="str">
        <f>Translations!$B$1562</f>
        <v>Rapporterad verksamhetsnivå</v>
      </c>
      <c r="F1139" s="563" t="str">
        <f>IF(ISNUMBER(L1136),INDEX(EUconst_BMlistUnits,L1136),EUconst_Tons)</f>
        <v>ton</v>
      </c>
      <c r="G1139" s="943" t="str">
        <f>I1242</f>
        <v/>
      </c>
      <c r="H1139" s="1131" t="str">
        <f>IF($I1133="","",IF(H1138&gt;=CNTR_ReportingYear,"",INDEX(F_ProductBM!H:H,MATCH($P1139,F_ProductBM!$Q:$Q,0))))</f>
        <v/>
      </c>
      <c r="I1139" s="641" t="str">
        <f>IF($I1133="","",IF(I1138&gt;=CNTR_ReportingYear,"",INDEX(F_ProductBM!I:I,MATCH($P1139,F_ProductBM!$Q:$Q,0))))</f>
        <v/>
      </c>
      <c r="J1139" s="1131" t="str">
        <f>IF($I1133="","",IF(J1138&gt;=CNTR_ReportingYear,"",INDEX(F_ProductBM!J:J,MATCH($P1139,F_ProductBM!$Q:$Q,0))))</f>
        <v/>
      </c>
      <c r="K1139" s="421" t="str">
        <f>IF($I1133="","",IF(K1138&gt;=CNTR_ReportingYear,"",INDEX(F_ProductBM!K:K,MATCH($P1139,F_ProductBM!$Q:$Q,0))))</f>
        <v/>
      </c>
      <c r="L1139" s="421" t="str">
        <f>IF($I1133="","",IF(L1138&gt;=CNTR_ReportingYear,"",INDEX(F_ProductBM!L:L,MATCH($P1139,F_ProductBM!$Q:$Q,0))))</f>
        <v/>
      </c>
      <c r="M1139" s="421" t="str">
        <f>IF($I1133="","",IF(M1138&gt;=CNTR_ReportingYear,"",INDEX(F_ProductBM!M:M,MATCH($P1139,F_ProductBM!$Q:$Q,0))))</f>
        <v/>
      </c>
      <c r="N1139" s="421" t="str">
        <f>IF($I1133="","",IF(N1138&gt;=CNTR_ReportingYear,"",INDEX(F_ProductBM!N:N,MATCH($P1139,F_ProductBM!$Q:$Q,0))))</f>
        <v/>
      </c>
      <c r="O1139" s="19"/>
      <c r="P1139" s="165" t="str">
        <f>EUconst_CNTR_HAL&amp;I1133</f>
        <v>HAL_</v>
      </c>
      <c r="Q1139" s="343"/>
      <c r="R1139" s="1329" t="b">
        <f>AND($I1133&lt;&gt;"",R1138&lt;=CNTR_ReportingYear,IF($J1136&lt;&gt;EUconst_NA,R1138&gt;=YEAR($J1136),TRUE))</f>
        <v>0</v>
      </c>
      <c r="S1139" s="1330" t="b">
        <f>AND($I1133&lt;&gt;"",S1138&lt;=CNTR_ReportingYear,IF($J1136&lt;&gt;EUconst_NA,S1138&gt;=YEAR($J1136),TRUE))</f>
        <v>0</v>
      </c>
      <c r="T1139" s="1330" t="b">
        <f>AND($I1133&lt;&gt;"",T1138&lt;=CNTR_ReportingYear,IF($J1136&lt;&gt;EUconst_NA,T1138&gt;=YEAR($J1136),TRUE))</f>
        <v>0</v>
      </c>
      <c r="U1139" s="1330" t="b">
        <f>AND($I1133&lt;&gt;"",U1138&lt;=CNTR_ReportingYear,IF($J1136&lt;&gt;EUconst_NA,U1138&gt;=YEAR($J1136),TRUE))</f>
        <v>0</v>
      </c>
      <c r="V1139" s="1331" t="b">
        <f>AND($I1133&lt;&gt;"",V1138&lt;=CNTR_ReportingYear,IF($J1136&lt;&gt;EUconst_NA,V1138&gt;=YEAR($J1136),TRUE))</f>
        <v>0</v>
      </c>
    </row>
    <row r="1140" spans="1:22" s="534" customFormat="1" ht="5.15" customHeight="1" thickBot="1" x14ac:dyDescent="0.35">
      <c r="A1140" s="343"/>
      <c r="B1140" s="15"/>
      <c r="C1140" s="17"/>
      <c r="D1140" s="17"/>
      <c r="E1140" s="17"/>
      <c r="F1140" s="17"/>
      <c r="G1140" s="17"/>
      <c r="H1140" s="17"/>
      <c r="I1140" s="17"/>
      <c r="J1140" s="17"/>
      <c r="K1140" s="17"/>
      <c r="L1140" s="17"/>
      <c r="M1140" s="17"/>
      <c r="N1140" s="17"/>
      <c r="O1140" s="19"/>
      <c r="P1140" s="343"/>
      <c r="Q1140" s="343"/>
      <c r="R1140" s="343"/>
      <c r="S1140" s="343"/>
      <c r="T1140" s="343"/>
      <c r="U1140" s="349"/>
      <c r="V1140" s="349"/>
    </row>
    <row r="1141" spans="1:22" s="534" customFormat="1" ht="5.15" customHeight="1" x14ac:dyDescent="0.3">
      <c r="A1141" s="343"/>
      <c r="B1141" s="15"/>
      <c r="C1141" s="17"/>
      <c r="D1141" s="1383"/>
      <c r="E1141" s="1384"/>
      <c r="F1141" s="1384"/>
      <c r="G1141" s="1384"/>
      <c r="H1141" s="1384"/>
      <c r="I1141" s="1384"/>
      <c r="J1141" s="1384"/>
      <c r="K1141" s="1384"/>
      <c r="L1141" s="1384"/>
      <c r="M1141" s="1384"/>
      <c r="N1141" s="1385"/>
      <c r="O1141" s="19"/>
      <c r="P1141" s="343"/>
      <c r="Q1141" s="343"/>
      <c r="R1141" s="343"/>
      <c r="S1141" s="343"/>
      <c r="T1141" s="343"/>
      <c r="U1141" s="349"/>
      <c r="V1141" s="349"/>
    </row>
    <row r="1142" spans="1:22" s="534" customFormat="1" ht="12.75" customHeight="1" x14ac:dyDescent="0.3">
      <c r="A1142" s="343"/>
      <c r="B1142" s="15"/>
      <c r="C1142" s="17"/>
      <c r="D1142" s="1386"/>
      <c r="E1142" s="42" t="str">
        <f>Translations!$B$1563</f>
        <v>Tillämplighet av glidande medelvärde</v>
      </c>
      <c r="F1142" s="188"/>
      <c r="G1142" s="188"/>
      <c r="H1142" s="30"/>
      <c r="I1142" s="1157"/>
      <c r="J1142" s="1065">
        <f>J$2596</f>
        <v>2021</v>
      </c>
      <c r="K1142" s="350">
        <f>K$2596</f>
        <v>2022</v>
      </c>
      <c r="L1142" s="350">
        <f>L$2596</f>
        <v>2023</v>
      </c>
      <c r="M1142" s="350">
        <f>M$2596</f>
        <v>2024</v>
      </c>
      <c r="N1142" s="966">
        <f>N$2596</f>
        <v>2025</v>
      </c>
      <c r="O1142" s="19"/>
      <c r="P1142" s="343"/>
      <c r="Q1142" s="343"/>
      <c r="R1142" s="343"/>
      <c r="S1142" s="343"/>
      <c r="T1142" s="343"/>
      <c r="U1142" s="349"/>
      <c r="V1142" s="349"/>
    </row>
    <row r="1143" spans="1:22" s="534" customFormat="1" ht="12.75" customHeight="1" x14ac:dyDescent="0.3">
      <c r="A1143" s="343"/>
      <c r="B1143" s="15"/>
      <c r="C1143" s="17"/>
      <c r="D1143" s="1386"/>
      <c r="E1143" s="1477" t="str">
        <f>Translations!$B$1549</f>
        <v>Kriterium 1: Verksam &gt;2 år?</v>
      </c>
      <c r="F1143" s="1478"/>
      <c r="G1143" s="1478"/>
      <c r="H1143" s="1366"/>
      <c r="I1143" s="1478"/>
      <c r="J1143" s="1469" t="str">
        <f>IF(R1139,INDEX(F_ProductBM!V:V,MATCH($P1143,F_ProductBM!$Q:$Q,0))&gt;=3,"")</f>
        <v/>
      </c>
      <c r="K1143" s="1470" t="str">
        <f>IF(S1139,INDEX(F_ProductBM!W:W,MATCH($P1143,F_ProductBM!$Q:$Q,0))&gt;=3,"")</f>
        <v/>
      </c>
      <c r="L1143" s="1470" t="str">
        <f>IF(T1139,INDEX(F_ProductBM!X:X,MATCH($P1143,F_ProductBM!$Q:$Q,0))&gt;=3,"")</f>
        <v/>
      </c>
      <c r="M1143" s="1470" t="str">
        <f>IF(U1139,INDEX(F_ProductBM!Y:Y,MATCH($P1143,F_ProductBM!$Q:$Q,0))&gt;=3,"")</f>
        <v/>
      </c>
      <c r="N1143" s="1471" t="str">
        <f>IF(V1139,INDEX(F_ProductBM!Z:Z,MATCH($P1143,F_ProductBM!$Q:$Q,0))&gt;=3,"")</f>
        <v/>
      </c>
      <c r="O1143" s="19"/>
      <c r="P1143" s="165" t="str">
        <f>EUconst_CNTR_HALinitial&amp;I1133</f>
        <v>HALini_</v>
      </c>
      <c r="Q1143" s="343"/>
      <c r="R1143" s="343"/>
      <c r="S1143" s="343"/>
      <c r="T1143" s="343"/>
      <c r="U1143" s="349"/>
      <c r="V1143" s="349"/>
    </row>
    <row r="1144" spans="1:22" s="534" customFormat="1" ht="12.75" customHeight="1" x14ac:dyDescent="0.3">
      <c r="A1144" s="343"/>
      <c r="B1144" s="15"/>
      <c r="C1144" s="17"/>
      <c r="D1144" s="1386"/>
      <c r="E1144" s="1472" t="str">
        <f>Translations!$B$1551</f>
        <v>Kriterium 2: Upphörde inte föregående år?</v>
      </c>
      <c r="F1144" s="1479"/>
      <c r="G1144" s="1479"/>
      <c r="H1144" s="1473"/>
      <c r="I1144" s="1479"/>
      <c r="J1144" s="1474" t="str">
        <f>IF(R1139,IF($K1136="",2050,YEAR($K1136))&lt;&gt;(J1142-1),"")</f>
        <v/>
      </c>
      <c r="K1144" s="1475" t="str">
        <f>IF(S1139,IF($K1136="",2050,YEAR($K1136))&lt;&gt;(K1142-1),"")</f>
        <v/>
      </c>
      <c r="L1144" s="1475" t="str">
        <f>IF(T1139,IF($K1136="",2050,YEAR($K1136))&lt;&gt;(L1142-1),"")</f>
        <v/>
      </c>
      <c r="M1144" s="1475" t="str">
        <f>IF(U1139,IF($K1136="",2050,YEAR($K1136))&lt;&gt;(M1142-1),"")</f>
        <v/>
      </c>
      <c r="N1144" s="1476" t="str">
        <f>IF(V1139,IF($K1136="",2050,YEAR($K1136))&lt;&gt;(N1142-1),"")</f>
        <v/>
      </c>
      <c r="O1144" s="19"/>
      <c r="P1144" s="343"/>
      <c r="Q1144" s="343"/>
      <c r="R1144" s="343"/>
      <c r="S1144" s="343"/>
      <c r="T1144" s="343"/>
      <c r="U1144" s="349"/>
      <c r="V1144" s="349"/>
    </row>
    <row r="1145" spans="1:22" s="534" customFormat="1" ht="5.15" customHeight="1" x14ac:dyDescent="0.3">
      <c r="A1145" s="343"/>
      <c r="B1145" s="15"/>
      <c r="C1145" s="17"/>
      <c r="D1145" s="1386"/>
      <c r="E1145" s="17"/>
      <c r="F1145" s="17"/>
      <c r="G1145" s="17"/>
      <c r="H1145" s="17"/>
      <c r="I1145" s="17"/>
      <c r="J1145" s="17"/>
      <c r="K1145" s="17"/>
      <c r="L1145" s="17"/>
      <c r="M1145" s="17"/>
      <c r="N1145" s="1388"/>
      <c r="O1145" s="19"/>
      <c r="P1145" s="343"/>
      <c r="Q1145" s="343"/>
      <c r="R1145" s="343"/>
      <c r="S1145" s="343"/>
      <c r="T1145" s="343"/>
      <c r="U1145" s="349"/>
      <c r="V1145" s="349"/>
    </row>
    <row r="1146" spans="1:22" s="534" customFormat="1" ht="12.75" customHeight="1" x14ac:dyDescent="0.3">
      <c r="A1146" s="343"/>
      <c r="B1146" s="15"/>
      <c r="C1146" s="17"/>
      <c r="D1146" s="1386"/>
      <c r="E1146" s="39" t="str">
        <f>Translations!$B$1564</f>
        <v>Ändringar: Ingen ändring (bas)</v>
      </c>
      <c r="F1146" s="15"/>
      <c r="G1146" s="15"/>
      <c r="H1146" s="30" t="str">
        <f>EUconst_Unit</f>
        <v>Enhet</v>
      </c>
      <c r="I1146" s="1157"/>
      <c r="J1146" s="987">
        <f>J$2596</f>
        <v>2021</v>
      </c>
      <c r="K1146" s="320">
        <f>K$2596</f>
        <v>2022</v>
      </c>
      <c r="L1146" s="320">
        <f>L$2596</f>
        <v>2023</v>
      </c>
      <c r="M1146" s="320">
        <f>M$2596</f>
        <v>2024</v>
      </c>
      <c r="N1146" s="1387">
        <f>N$2596</f>
        <v>2025</v>
      </c>
      <c r="O1146" s="19"/>
      <c r="P1146" s="343"/>
      <c r="Q1146" s="343"/>
      <c r="R1146" s="343"/>
      <c r="S1146" s="343"/>
      <c r="T1146" s="343"/>
      <c r="U1146" s="349"/>
      <c r="V1146" s="349"/>
    </row>
    <row r="1147" spans="1:22" s="534" customFormat="1" ht="12.75" hidden="1" customHeight="1" x14ac:dyDescent="0.3">
      <c r="A1147" s="343" t="str">
        <f t="shared" ref="A1147:A1152" si="173">IF(P1147="","ausblenden","")</f>
        <v>ausblenden</v>
      </c>
      <c r="B1147" s="15"/>
      <c r="C1147" s="17"/>
      <c r="D1147" s="1386"/>
      <c r="E1147" s="514" t="s">
        <v>1918</v>
      </c>
      <c r="F1147" s="514"/>
      <c r="G1147" s="514"/>
      <c r="H1147" s="917" t="str">
        <f>F1139</f>
        <v>ton</v>
      </c>
      <c r="I1147" s="514"/>
      <c r="J1147" s="1152" t="str">
        <f>IF(T1248&gt;=$H$2595,S1242,I1242)</f>
        <v/>
      </c>
      <c r="K1147" s="943" t="str">
        <f t="shared" ref="K1147:K1152" si="174">J1242</f>
        <v/>
      </c>
      <c r="L1147" s="943" t="str">
        <f t="shared" ref="L1147:L1152" si="175">K1242</f>
        <v/>
      </c>
      <c r="M1147" s="943" t="str">
        <f t="shared" ref="M1147:M1152" si="176">L1242</f>
        <v/>
      </c>
      <c r="N1147" s="1389" t="str">
        <f t="shared" ref="N1147:N1152" si="177">M1242</f>
        <v/>
      </c>
      <c r="O1147" s="19"/>
      <c r="P1147" s="343"/>
      <c r="Q1147" s="343"/>
      <c r="R1147" s="343"/>
      <c r="S1147" s="343"/>
      <c r="T1147" s="343"/>
      <c r="U1147" s="349"/>
      <c r="V1147" s="349"/>
    </row>
    <row r="1148" spans="1:22" s="534" customFormat="1" ht="12.75" hidden="1" customHeight="1" x14ac:dyDescent="0.3">
      <c r="A1148" s="343" t="str">
        <f t="shared" si="173"/>
        <v>ausblenden</v>
      </c>
      <c r="B1148" s="15"/>
      <c r="C1148" s="17"/>
      <c r="D1148" s="1386"/>
      <c r="E1148" s="944" t="s">
        <v>339</v>
      </c>
      <c r="F1148" s="944"/>
      <c r="G1148" s="944"/>
      <c r="H1148" s="954" t="str">
        <f>EUconst_EUA</f>
        <v>EUA</v>
      </c>
      <c r="I1148" s="945"/>
      <c r="J1148" s="1209" t="str">
        <f>IF(T1248&gt;=$H$2595,S1243,I1243)</f>
        <v/>
      </c>
      <c r="K1148" s="1210" t="str">
        <f t="shared" si="174"/>
        <v/>
      </c>
      <c r="L1148" s="1210" t="str">
        <f t="shared" si="175"/>
        <v/>
      </c>
      <c r="M1148" s="1210" t="str">
        <f t="shared" si="176"/>
        <v/>
      </c>
      <c r="N1148" s="1390" t="str">
        <f t="shared" si="177"/>
        <v/>
      </c>
      <c r="O1148" s="19"/>
      <c r="P1148" s="343"/>
      <c r="Q1148" s="343"/>
      <c r="R1148" s="343"/>
      <c r="S1148" s="343"/>
      <c r="T1148" s="343"/>
      <c r="U1148" s="349"/>
      <c r="V1148" s="349"/>
    </row>
    <row r="1149" spans="1:22" s="534" customFormat="1" ht="12.75" hidden="1" customHeight="1" x14ac:dyDescent="0.3">
      <c r="A1149" s="343" t="str">
        <f t="shared" si="173"/>
        <v>ausblenden</v>
      </c>
      <c r="B1149" s="15"/>
      <c r="C1149" s="17"/>
      <c r="D1149" s="1386"/>
      <c r="E1149" s="947" t="s">
        <v>1560</v>
      </c>
      <c r="F1149" s="947"/>
      <c r="G1149" s="947"/>
      <c r="H1149" s="955" t="str">
        <f>EUconst_EUA</f>
        <v>EUA</v>
      </c>
      <c r="I1149" s="948"/>
      <c r="J1149" s="1165" t="str">
        <f>IF(T1248&gt;=$H$2595,S1244,I1244)</f>
        <v/>
      </c>
      <c r="K1149" s="975" t="str">
        <f t="shared" si="174"/>
        <v/>
      </c>
      <c r="L1149" s="975" t="str">
        <f t="shared" si="175"/>
        <v/>
      </c>
      <c r="M1149" s="975" t="str">
        <f t="shared" si="176"/>
        <v/>
      </c>
      <c r="N1149" s="1391" t="str">
        <f t="shared" si="177"/>
        <v/>
      </c>
      <c r="O1149" s="19"/>
      <c r="P1149" s="343"/>
      <c r="Q1149" s="343"/>
      <c r="R1149" s="343"/>
      <c r="S1149" s="343"/>
      <c r="T1149" s="343"/>
      <c r="U1149" s="349"/>
      <c r="V1149" s="349"/>
    </row>
    <row r="1150" spans="1:22" s="534" customFormat="1" ht="12.75" hidden="1" customHeight="1" x14ac:dyDescent="0.3">
      <c r="A1150" s="343" t="str">
        <f t="shared" si="173"/>
        <v>ausblenden</v>
      </c>
      <c r="B1150" s="15"/>
      <c r="C1150" s="17"/>
      <c r="D1150" s="1386"/>
      <c r="E1150" s="947" t="s">
        <v>1527</v>
      </c>
      <c r="F1150" s="947"/>
      <c r="G1150" s="947"/>
      <c r="H1150" s="955" t="str">
        <f>EUconst_EUA</f>
        <v>EUA</v>
      </c>
      <c r="I1150" s="948"/>
      <c r="J1150" s="1165" t="str">
        <f>IF(T1248&gt;=$H$2595,S1245,I1245)</f>
        <v/>
      </c>
      <c r="K1150" s="975" t="str">
        <f t="shared" si="174"/>
        <v/>
      </c>
      <c r="L1150" s="975" t="str">
        <f t="shared" si="175"/>
        <v/>
      </c>
      <c r="M1150" s="975" t="str">
        <f t="shared" si="176"/>
        <v/>
      </c>
      <c r="N1150" s="1391" t="str">
        <f t="shared" si="177"/>
        <v/>
      </c>
      <c r="O1150" s="19"/>
      <c r="P1150" s="343"/>
      <c r="Q1150" s="343"/>
      <c r="R1150" s="343"/>
      <c r="S1150" s="343"/>
      <c r="T1150" s="343"/>
      <c r="U1150" s="349"/>
      <c r="V1150" s="349"/>
    </row>
    <row r="1151" spans="1:22" s="534" customFormat="1" ht="12.75" hidden="1" customHeight="1" x14ac:dyDescent="0.3">
      <c r="A1151" s="343" t="str">
        <f t="shared" si="173"/>
        <v>ausblenden</v>
      </c>
      <c r="B1151" s="15"/>
      <c r="C1151" s="17"/>
      <c r="D1151" s="1386"/>
      <c r="E1151" s="947" t="s">
        <v>1526</v>
      </c>
      <c r="F1151" s="947"/>
      <c r="G1151" s="947"/>
      <c r="H1151" s="956" t="s">
        <v>1112</v>
      </c>
      <c r="I1151" s="948"/>
      <c r="J1151" s="1211" t="str">
        <f>IF(T1248&gt;=$H$2595,S1246,I1246)</f>
        <v/>
      </c>
      <c r="K1151" s="1212" t="str">
        <f t="shared" si="174"/>
        <v/>
      </c>
      <c r="L1151" s="1212" t="str">
        <f t="shared" si="175"/>
        <v/>
      </c>
      <c r="M1151" s="1212" t="str">
        <f t="shared" si="176"/>
        <v/>
      </c>
      <c r="N1151" s="1392" t="str">
        <f t="shared" si="177"/>
        <v/>
      </c>
      <c r="O1151" s="19"/>
      <c r="P1151" s="343"/>
      <c r="Q1151" s="343"/>
      <c r="R1151" s="343"/>
      <c r="S1151" s="343"/>
      <c r="T1151" s="343"/>
      <c r="U1151" s="349"/>
      <c r="V1151" s="349"/>
    </row>
    <row r="1152" spans="1:22" s="534" customFormat="1" ht="12.75" hidden="1" customHeight="1" x14ac:dyDescent="0.3">
      <c r="A1152" s="343" t="str">
        <f t="shared" si="173"/>
        <v>ausblenden</v>
      </c>
      <c r="B1152" s="15"/>
      <c r="C1152" s="17"/>
      <c r="D1152" s="1386"/>
      <c r="E1152" s="950" t="s">
        <v>1528</v>
      </c>
      <c r="F1152" s="950"/>
      <c r="G1152" s="950"/>
      <c r="H1152" s="957" t="s">
        <v>1112</v>
      </c>
      <c r="I1152" s="951"/>
      <c r="J1152" s="1213" t="str">
        <f>IF(T1248&gt;=$H$2595,S1247,I1247)</f>
        <v/>
      </c>
      <c r="K1152" s="1214" t="str">
        <f t="shared" si="174"/>
        <v/>
      </c>
      <c r="L1152" s="1214" t="str">
        <f t="shared" si="175"/>
        <v/>
      </c>
      <c r="M1152" s="1214" t="str">
        <f t="shared" si="176"/>
        <v/>
      </c>
      <c r="N1152" s="1393" t="str">
        <f t="shared" si="177"/>
        <v/>
      </c>
      <c r="O1152" s="19"/>
      <c r="P1152" s="343"/>
      <c r="Q1152" s="343"/>
      <c r="R1152" s="343"/>
      <c r="S1152" s="343"/>
      <c r="T1152" s="343"/>
      <c r="U1152" s="349"/>
      <c r="V1152" s="349"/>
    </row>
    <row r="1153" spans="1:22" s="534" customFormat="1" ht="12.75" customHeight="1" x14ac:dyDescent="0.3">
      <c r="A1153" s="343"/>
      <c r="B1153" s="15"/>
      <c r="C1153" s="17"/>
      <c r="D1153" s="1386"/>
      <c r="E1153" s="514" t="str">
        <f>Translations!$B$1565</f>
        <v>Preliminärt tilldelningsvärde</v>
      </c>
      <c r="F1153" s="514"/>
      <c r="G1153" s="514"/>
      <c r="H1153" s="129" t="str">
        <f>EUconst_EUA</f>
        <v>EUA</v>
      </c>
      <c r="I1153" s="1151"/>
      <c r="J1153" s="1131" t="str">
        <f>IF($I1133="","",MAX(0,ROUND((SUM($M1136)*SUM(J1147)*SUM(J1151)*SUM(J1152)-SUM(J1148)-SUM(J1149)+SUM(J1150))*IF($H1136=TRUE,1,J$2517),0)))</f>
        <v/>
      </c>
      <c r="K1153" s="421" t="str">
        <f>IF($I1133="","",MAX(0,ROUND((SUM($M1136)*SUM(K1147)*SUM(K1151)*SUM(K1152)-SUM(K1148)-SUM(K1149)+SUM(K1150))*IF($H1136=TRUE,1,K$2517),0)))</f>
        <v/>
      </c>
      <c r="L1153" s="421" t="str">
        <f>IF($I1133="","",MAX(0,ROUND((SUM($M1136)*SUM(L1147)*SUM(L1151)*SUM(L1152)-SUM(L1148)-SUM(L1149)+SUM(L1150))*IF($H1136=TRUE,1,L$2517),0)))</f>
        <v/>
      </c>
      <c r="M1153" s="421" t="str">
        <f>IF($I1133="","",MAX(0,ROUND((SUM($M1136)*SUM(M1147)*SUM(M1151)*SUM(M1152)-SUM(M1148)-SUM(M1149)+SUM(M1150))*IF($H1136=TRUE,1,M$2517),0)))</f>
        <v/>
      </c>
      <c r="N1153" s="967" t="str">
        <f>IF($I1133="","",MAX(0,ROUND((SUM($M1136+IF(L1136=52,0.415,0))*SUM(N1147)*SUM(N1151)*SUM(N1152)-SUM(N1148)-SUM(N1149)+SUM(N1150))*IF($H1136=TRUE,1,N$2517),0)))</f>
        <v/>
      </c>
      <c r="O1153" s="19"/>
      <c r="P1153" s="343"/>
      <c r="Q1153" s="343"/>
      <c r="R1153" s="343"/>
      <c r="S1153" s="343"/>
      <c r="T1153" s="343"/>
      <c r="U1153" s="349"/>
      <c r="V1153" s="349"/>
    </row>
    <row r="1154" spans="1:22" s="534" customFormat="1" ht="5.15" customHeight="1" x14ac:dyDescent="0.3">
      <c r="A1154" s="343"/>
      <c r="B1154" s="15"/>
      <c r="C1154" s="17"/>
      <c r="D1154" s="1386"/>
      <c r="E1154" s="17"/>
      <c r="F1154" s="17"/>
      <c r="G1154" s="17"/>
      <c r="H1154" s="17"/>
      <c r="I1154" s="17"/>
      <c r="J1154" s="17"/>
      <c r="K1154" s="17"/>
      <c r="L1154" s="17"/>
      <c r="M1154" s="17"/>
      <c r="N1154" s="1388"/>
      <c r="O1154" s="19"/>
      <c r="P1154" s="343"/>
      <c r="Q1154" s="343"/>
      <c r="R1154" s="343"/>
      <c r="S1154" s="343"/>
      <c r="T1154" s="343"/>
      <c r="U1154" s="349"/>
      <c r="V1154" s="349"/>
    </row>
    <row r="1155" spans="1:22" s="534" customFormat="1" ht="12.75" customHeight="1" x14ac:dyDescent="0.3">
      <c r="A1155" s="343"/>
      <c r="B1155" s="15"/>
      <c r="C1155" s="17"/>
      <c r="D1155" s="1386"/>
      <c r="E1155" s="42" t="str">
        <f>Translations!$B$1566</f>
        <v>Ändringar: Verksamhetsnivå</v>
      </c>
      <c r="F1155" s="188"/>
      <c r="G1155" s="188"/>
      <c r="H1155" s="30" t="str">
        <f>EUconst_Unit</f>
        <v>Enhet</v>
      </c>
      <c r="I1155" s="1157"/>
      <c r="J1155" s="1065">
        <f>J$2596</f>
        <v>2021</v>
      </c>
      <c r="K1155" s="350">
        <f>K$2596</f>
        <v>2022</v>
      </c>
      <c r="L1155" s="350">
        <f>L$2596</f>
        <v>2023</v>
      </c>
      <c r="M1155" s="350">
        <f>M$2596</f>
        <v>2024</v>
      </c>
      <c r="N1155" s="966">
        <f>N$2596</f>
        <v>2025</v>
      </c>
      <c r="O1155" s="19"/>
      <c r="P1155" s="343"/>
      <c r="Q1155" s="343"/>
      <c r="R1155" s="343"/>
      <c r="S1155" s="343"/>
      <c r="T1155" s="343"/>
      <c r="U1155" s="349"/>
      <c r="V1155" s="349"/>
    </row>
    <row r="1156" spans="1:22" s="534" customFormat="1" ht="12.75" customHeight="1" x14ac:dyDescent="0.3">
      <c r="A1156" s="343"/>
      <c r="B1156" s="15"/>
      <c r="C1156" s="17"/>
      <c r="D1156" s="1386"/>
      <c r="E1156" s="944" t="str">
        <f>Translations!$B$1482</f>
        <v>Genomsnittligt årligt värde</v>
      </c>
      <c r="F1156" s="944"/>
      <c r="G1156" s="944"/>
      <c r="H1156" s="1443" t="str">
        <f>H1147</f>
        <v>ton</v>
      </c>
      <c r="I1156" s="1367"/>
      <c r="J1156" s="1161" t="str">
        <f>INDEX(F_ProductBM!J:J,MATCH($P1156,F_ProductBM!$Q:$Q,0))</f>
        <v/>
      </c>
      <c r="K1156" s="946" t="str">
        <f>INDEX(F_ProductBM!K:K,MATCH($P1156,F_ProductBM!$Q:$Q,0))</f>
        <v/>
      </c>
      <c r="L1156" s="946" t="str">
        <f>INDEX(F_ProductBM!L:L,MATCH($P1156,F_ProductBM!$Q:$Q,0))</f>
        <v/>
      </c>
      <c r="M1156" s="946" t="str">
        <f>INDEX(F_ProductBM!M:M,MATCH($P1156,F_ProductBM!$Q:$Q,0))</f>
        <v/>
      </c>
      <c r="N1156" s="1046" t="str">
        <f>INDEX(F_ProductBM!N:N,MATCH($P1156,F_ProductBM!$Q:$Q,0))</f>
        <v/>
      </c>
      <c r="O1156" s="19"/>
      <c r="P1156" s="165" t="str">
        <f>EUconst_CNTR_HALinitial&amp;I1133</f>
        <v>HALini_</v>
      </c>
      <c r="Q1156" s="343"/>
      <c r="R1156" s="343"/>
      <c r="S1156" s="343"/>
      <c r="T1156" s="343"/>
      <c r="U1156" s="349"/>
      <c r="V1156" s="349"/>
    </row>
    <row r="1157" spans="1:22" s="534" customFormat="1" ht="12.75" customHeight="1" x14ac:dyDescent="0.3">
      <c r="A1157" s="343"/>
      <c r="B1157" s="15"/>
      <c r="C1157" s="17"/>
      <c r="D1157" s="1386"/>
      <c r="E1157" s="947" t="str">
        <f>Translations!$B$1567</f>
        <v>Ändring jämfört med historik verksamhetsnivå</v>
      </c>
      <c r="F1157" s="947"/>
      <c r="G1157" s="947"/>
      <c r="H1157" s="1442" t="s">
        <v>1112</v>
      </c>
      <c r="I1157" s="1371"/>
      <c r="J1157" s="1415" t="str">
        <f>INDEX(F_ProductBM!J:J,MATCH($P1157,F_ProductBM!$Q:$Q,0))</f>
        <v/>
      </c>
      <c r="K1157" s="1416" t="str">
        <f>INDEX(F_ProductBM!K:K,MATCH($P1157,F_ProductBM!$Q:$Q,0))</f>
        <v/>
      </c>
      <c r="L1157" s="1416" t="str">
        <f>INDEX(F_ProductBM!L:L,MATCH($P1157,F_ProductBM!$Q:$Q,0))</f>
        <v/>
      </c>
      <c r="M1157" s="1416" t="str">
        <f>INDEX(F_ProductBM!M:M,MATCH($P1157,F_ProductBM!$Q:$Q,0))</f>
        <v/>
      </c>
      <c r="N1157" s="1417" t="str">
        <f>INDEX(F_ProductBM!N:N,MATCH($P1157,F_ProductBM!$Q:$Q,0))</f>
        <v/>
      </c>
      <c r="O1157" s="19"/>
      <c r="P1157" s="165" t="str">
        <f>EUconst_CNTR_RelThreshold &amp; P1159</f>
        <v>RelThresh_HALprelim_</v>
      </c>
      <c r="Q1157" s="343"/>
      <c r="R1157" s="343"/>
      <c r="S1157" s="343"/>
      <c r="T1157" s="343"/>
      <c r="U1157" s="349"/>
      <c r="V1157" s="349"/>
    </row>
    <row r="1158" spans="1:22" s="534" customFormat="1" ht="12.75" customHeight="1" x14ac:dyDescent="0.3">
      <c r="A1158" s="343"/>
      <c r="B1158" s="15"/>
      <c r="C1158" s="17"/>
      <c r="D1158" s="1386"/>
      <c r="E1158" s="1418" t="str">
        <f>Translations!$B$1553</f>
        <v>Kriterium 3a: Har relativa tröskelvärden överskridits?</v>
      </c>
      <c r="F1158" s="1418"/>
      <c r="G1158" s="1418"/>
      <c r="H1158" s="1444" t="s">
        <v>1112</v>
      </c>
      <c r="I1158" s="1423"/>
      <c r="J1158" s="1420" t="str">
        <f>INDEX(F_ProductBM!V:V,MATCH($P1158,F_ProductBM!$Q:$Q,0)+1)</f>
        <v/>
      </c>
      <c r="K1158" s="1421" t="str">
        <f>INDEX(F_ProductBM!W:W,MATCH($P1158,F_ProductBM!$Q:$Q,0)+1)</f>
        <v/>
      </c>
      <c r="L1158" s="1421" t="str">
        <f>INDEX(F_ProductBM!X:X,MATCH($P1158,F_ProductBM!$Q:$Q,0)+1)</f>
        <v/>
      </c>
      <c r="M1158" s="1421" t="str">
        <f>INDEX(F_ProductBM!Y:Y,MATCH($P1158,F_ProductBM!$Q:$Q,0)+1)</f>
        <v/>
      </c>
      <c r="N1158" s="1422" t="str">
        <f>INDEX(F_ProductBM!Z:Z,MATCH($P1158,F_ProductBM!$Q:$Q,0)+1)</f>
        <v/>
      </c>
      <c r="O1158" s="19"/>
      <c r="P1158" s="165" t="str">
        <f>P1157</f>
        <v>RelThresh_HALprelim_</v>
      </c>
      <c r="Q1158" s="343"/>
      <c r="R1158" s="343"/>
      <c r="S1158" s="343"/>
      <c r="T1158" s="343"/>
      <c r="U1158" s="349"/>
      <c r="V1158" s="349"/>
    </row>
    <row r="1159" spans="1:22" s="534" customFormat="1" ht="12.75" customHeight="1" x14ac:dyDescent="0.3">
      <c r="A1159" s="343" t="str">
        <f t="shared" ref="A1159:A1164" si="178">IF(P1159="","ausblenden","")</f>
        <v/>
      </c>
      <c r="B1159" s="15"/>
      <c r="C1159" s="17"/>
      <c r="D1159" s="1386"/>
      <c r="E1159" s="950" t="str">
        <f>Translations!$B$1568</f>
        <v>Preliminärt värde</v>
      </c>
      <c r="F1159" s="950"/>
      <c r="G1159" s="950"/>
      <c r="H1159" s="1372" t="str">
        <f>F1139</f>
        <v>ton</v>
      </c>
      <c r="I1159" s="950"/>
      <c r="J1159" s="1373" t="str">
        <f>INDEX(F_ProductBM!J:J,MATCH($P1159,F_ProductBM!$Q:$Q,0))</f>
        <v/>
      </c>
      <c r="K1159" s="1374" t="str">
        <f>INDEX(F_ProductBM!K:K,MATCH($P1159,F_ProductBM!$Q:$Q,0))</f>
        <v/>
      </c>
      <c r="L1159" s="1374" t="str">
        <f>INDEX(F_ProductBM!L:L,MATCH($P1159,F_ProductBM!$Q:$Q,0))</f>
        <v/>
      </c>
      <c r="M1159" s="1374" t="str">
        <f>INDEX(F_ProductBM!M:M,MATCH($P1159,F_ProductBM!$Q:$Q,0))</f>
        <v/>
      </c>
      <c r="N1159" s="1395" t="str">
        <f>INDEX(F_ProductBM!N:N,MATCH($P1159,F_ProductBM!$Q:$Q,0))</f>
        <v/>
      </c>
      <c r="O1159" s="19"/>
      <c r="P1159" s="165" t="str">
        <f>EUconst_CNTR_HALprelim&amp;I1133</f>
        <v>HALprelim_</v>
      </c>
      <c r="Q1159" s="343"/>
      <c r="R1159" s="343"/>
      <c r="S1159" s="343"/>
      <c r="T1159" s="343"/>
      <c r="U1159" s="349"/>
      <c r="V1159" s="349"/>
    </row>
    <row r="1160" spans="1:22" s="534" customFormat="1" ht="12.75" hidden="1" customHeight="1" x14ac:dyDescent="0.3">
      <c r="A1160" s="343" t="str">
        <f t="shared" si="178"/>
        <v>ausblenden</v>
      </c>
      <c r="B1160" s="15"/>
      <c r="C1160" s="17"/>
      <c r="D1160" s="1386"/>
      <c r="E1160" s="944" t="s">
        <v>339</v>
      </c>
      <c r="F1160" s="944"/>
      <c r="G1160" s="944"/>
      <c r="H1160" s="954" t="str">
        <f>EUconst_EUA</f>
        <v>EUA</v>
      </c>
      <c r="I1160" s="945"/>
      <c r="J1160" s="1209" t="str">
        <f>J1148</f>
        <v/>
      </c>
      <c r="K1160" s="1210" t="str">
        <f t="shared" ref="K1160:K1164" si="179">J1243</f>
        <v/>
      </c>
      <c r="L1160" s="1210" t="str">
        <f t="shared" ref="L1160:L1164" si="180">K1243</f>
        <v/>
      </c>
      <c r="M1160" s="1210" t="str">
        <f t="shared" ref="M1160:M1164" si="181">L1243</f>
        <v/>
      </c>
      <c r="N1160" s="1390" t="str">
        <f t="shared" ref="N1160:N1164" si="182">M1243</f>
        <v/>
      </c>
      <c r="O1160" s="19"/>
      <c r="P1160" s="343"/>
      <c r="Q1160" s="343"/>
      <c r="R1160" s="343"/>
      <c r="S1160" s="343"/>
      <c r="T1160" s="343"/>
      <c r="U1160" s="349"/>
      <c r="V1160" s="349"/>
    </row>
    <row r="1161" spans="1:22" s="534" customFormat="1" ht="12.75" hidden="1" customHeight="1" x14ac:dyDescent="0.3">
      <c r="A1161" s="343" t="str">
        <f t="shared" si="178"/>
        <v>ausblenden</v>
      </c>
      <c r="B1161" s="15"/>
      <c r="C1161" s="17"/>
      <c r="D1161" s="1386"/>
      <c r="E1161" s="947" t="s">
        <v>1560</v>
      </c>
      <c r="F1161" s="947"/>
      <c r="G1161" s="947"/>
      <c r="H1161" s="955" t="str">
        <f>EUconst_EUA</f>
        <v>EUA</v>
      </c>
      <c r="I1161" s="948"/>
      <c r="J1161" s="1165" t="str">
        <f>J1149</f>
        <v/>
      </c>
      <c r="K1161" s="975" t="str">
        <f t="shared" si="179"/>
        <v/>
      </c>
      <c r="L1161" s="975" t="str">
        <f t="shared" si="180"/>
        <v/>
      </c>
      <c r="M1161" s="975" t="str">
        <f t="shared" si="181"/>
        <v/>
      </c>
      <c r="N1161" s="1391" t="str">
        <f t="shared" si="182"/>
        <v/>
      </c>
      <c r="O1161" s="19"/>
      <c r="P1161" s="343"/>
      <c r="Q1161" s="343"/>
      <c r="R1161" s="343"/>
      <c r="S1161" s="343"/>
      <c r="T1161" s="343"/>
      <c r="U1161" s="349"/>
      <c r="V1161" s="349"/>
    </row>
    <row r="1162" spans="1:22" s="534" customFormat="1" ht="12.75" hidden="1" customHeight="1" x14ac:dyDescent="0.3">
      <c r="A1162" s="343" t="str">
        <f t="shared" si="178"/>
        <v>ausblenden</v>
      </c>
      <c r="B1162" s="15"/>
      <c r="C1162" s="17"/>
      <c r="D1162" s="1386"/>
      <c r="E1162" s="947" t="s">
        <v>1527</v>
      </c>
      <c r="F1162" s="947"/>
      <c r="G1162" s="947"/>
      <c r="H1162" s="955" t="str">
        <f>EUconst_EUA</f>
        <v>EUA</v>
      </c>
      <c r="I1162" s="948"/>
      <c r="J1162" s="1165" t="str">
        <f>J1150</f>
        <v/>
      </c>
      <c r="K1162" s="975" t="str">
        <f t="shared" si="179"/>
        <v/>
      </c>
      <c r="L1162" s="975" t="str">
        <f t="shared" si="180"/>
        <v/>
      </c>
      <c r="M1162" s="975" t="str">
        <f t="shared" si="181"/>
        <v/>
      </c>
      <c r="N1162" s="1391" t="str">
        <f t="shared" si="182"/>
        <v/>
      </c>
      <c r="O1162" s="19"/>
      <c r="P1162" s="343"/>
      <c r="Q1162" s="343"/>
      <c r="R1162" s="343"/>
      <c r="S1162" s="343"/>
      <c r="T1162" s="343"/>
      <c r="U1162" s="349"/>
      <c r="V1162" s="349"/>
    </row>
    <row r="1163" spans="1:22" s="534" customFormat="1" ht="12.75" hidden="1" customHeight="1" x14ac:dyDescent="0.3">
      <c r="A1163" s="343" t="str">
        <f t="shared" si="178"/>
        <v>ausblenden</v>
      </c>
      <c r="B1163" s="15"/>
      <c r="C1163" s="17"/>
      <c r="D1163" s="1386"/>
      <c r="E1163" s="947" t="s">
        <v>1526</v>
      </c>
      <c r="F1163" s="947"/>
      <c r="G1163" s="947"/>
      <c r="H1163" s="956" t="s">
        <v>1112</v>
      </c>
      <c r="I1163" s="948"/>
      <c r="J1163" s="1211" t="str">
        <f>J1151</f>
        <v/>
      </c>
      <c r="K1163" s="1212" t="str">
        <f t="shared" si="179"/>
        <v/>
      </c>
      <c r="L1163" s="1212" t="str">
        <f t="shared" si="180"/>
        <v/>
      </c>
      <c r="M1163" s="1212" t="str">
        <f t="shared" si="181"/>
        <v/>
      </c>
      <c r="N1163" s="1392" t="str">
        <f t="shared" si="182"/>
        <v/>
      </c>
      <c r="O1163" s="19"/>
      <c r="P1163" s="343"/>
      <c r="Q1163" s="343"/>
      <c r="R1163" s="343"/>
      <c r="S1163" s="343"/>
      <c r="T1163" s="343"/>
      <c r="U1163" s="349"/>
      <c r="V1163" s="349"/>
    </row>
    <row r="1164" spans="1:22" s="534" customFormat="1" ht="12.75" hidden="1" customHeight="1" x14ac:dyDescent="0.3">
      <c r="A1164" s="343" t="str">
        <f t="shared" si="178"/>
        <v>ausblenden</v>
      </c>
      <c r="B1164" s="15"/>
      <c r="C1164" s="17"/>
      <c r="D1164" s="1386"/>
      <c r="E1164" s="950" t="s">
        <v>1528</v>
      </c>
      <c r="F1164" s="950"/>
      <c r="G1164" s="950"/>
      <c r="H1164" s="957" t="s">
        <v>1112</v>
      </c>
      <c r="I1164" s="951"/>
      <c r="J1164" s="1213" t="str">
        <f>J1152</f>
        <v/>
      </c>
      <c r="K1164" s="1214" t="str">
        <f t="shared" si="179"/>
        <v/>
      </c>
      <c r="L1164" s="1214" t="str">
        <f t="shared" si="180"/>
        <v/>
      </c>
      <c r="M1164" s="1214" t="str">
        <f t="shared" si="181"/>
        <v/>
      </c>
      <c r="N1164" s="1393" t="str">
        <f t="shared" si="182"/>
        <v/>
      </c>
      <c r="O1164" s="19"/>
      <c r="P1164" s="343"/>
      <c r="Q1164" s="343"/>
      <c r="R1164" s="343"/>
      <c r="S1164" s="343"/>
      <c r="T1164" s="343"/>
      <c r="U1164" s="349"/>
      <c r="V1164" s="349"/>
    </row>
    <row r="1165" spans="1:22" s="534" customFormat="1" ht="12.75" customHeight="1" x14ac:dyDescent="0.3">
      <c r="A1165" s="343"/>
      <c r="B1165" s="15"/>
      <c r="C1165" s="17"/>
      <c r="D1165" s="1386"/>
      <c r="E1165" s="514" t="str">
        <f>Translations!$B$1565</f>
        <v>Preliminärt tilldelningsvärde</v>
      </c>
      <c r="F1165" s="514"/>
      <c r="G1165" s="514"/>
      <c r="H1165" s="129" t="str">
        <f>EUconst_EUA</f>
        <v>EUA</v>
      </c>
      <c r="I1165" s="1151"/>
      <c r="J1165" s="1131" t="str">
        <f>IF($I1133="","",MAX(0,ROUND((SUM($M1136)*SUM(J1159)*SUM(J1163)*SUM(J1164)-SUM(J1160)-SUM(J1161)+SUM(J1162))*IF($H1136=TRUE,1,J$2517),0)))</f>
        <v/>
      </c>
      <c r="K1165" s="421" t="str">
        <f>IF($I1133="","",MAX(0,ROUND((SUM($M1136)*SUM(K1159)*SUM(K1163)*SUM(K1164)-SUM(K1160)-SUM(K1161)+SUM(K1162))*IF($H1136=TRUE,1,K$2517),0)))</f>
        <v/>
      </c>
      <c r="L1165" s="421" t="str">
        <f>IF($I1133="","",MAX(0,ROUND((SUM($M1136)*SUM(L1159)*SUM(L1163)*SUM(L1164)-SUM(L1160)-SUM(L1161)+SUM(L1162))*IF($H1136=TRUE,1,L$2517),0)))</f>
        <v/>
      </c>
      <c r="M1165" s="421" t="str">
        <f>IF($I1133="","",MAX(0,ROUND((SUM($M1136)*SUM(M1159)*SUM(M1163)*SUM(M1164)-SUM(M1160)-SUM(M1161)+SUM(M1162))*IF($H1136=TRUE,1,M$2517),0)))</f>
        <v/>
      </c>
      <c r="N1165" s="967" t="str">
        <f>IF($I1133="","",MAX(0,ROUND((SUM($M1136+IF(L1136=52,0.415,0))*SUM(N1159)*SUM(N1163)*SUM(N1164)-SUM(N1160)-SUM(N1161)+SUM(N1162))*IF($H1136=TRUE,1,N$2517),0)))</f>
        <v/>
      </c>
      <c r="O1165" s="19"/>
      <c r="P1165" s="343"/>
      <c r="Q1165" s="343"/>
      <c r="R1165" s="343"/>
      <c r="S1165" s="343"/>
      <c r="T1165" s="343"/>
      <c r="U1165" s="349"/>
      <c r="V1165" s="349"/>
    </row>
    <row r="1166" spans="1:22" s="534" customFormat="1" ht="12.75" customHeight="1" x14ac:dyDescent="0.3">
      <c r="A1166" s="343"/>
      <c r="B1166" s="15"/>
      <c r="C1166" s="17"/>
      <c r="D1166" s="1386"/>
      <c r="E1166" s="514" t="str">
        <f>Translations!$B$1569</f>
        <v>Skillnad i tilldelning</v>
      </c>
      <c r="F1166" s="514"/>
      <c r="G1166" s="514"/>
      <c r="H1166" s="129" t="str">
        <f>EUconst_EUA</f>
        <v>EUA</v>
      </c>
      <c r="I1166" s="1151"/>
      <c r="J1166" s="1131" t="str">
        <f>IF($I1133="","",ABS(SUM(J1165)-SUM(J1153)))</f>
        <v/>
      </c>
      <c r="K1166" s="421" t="str">
        <f>IF($I1133="","",ABS(SUM(K1165)-SUM(K1153)))</f>
        <v/>
      </c>
      <c r="L1166" s="421" t="str">
        <f>IF($I1133="","",ABS(SUM(L1165)-SUM(L1153)))</f>
        <v/>
      </c>
      <c r="M1166" s="421" t="str">
        <f>IF($I1133="","",ABS(SUM(M1165)-SUM(M1153)))</f>
        <v/>
      </c>
      <c r="N1166" s="967" t="str">
        <f>IF($I1133="","",ABS(SUM(N1165)-SUM(N1153)))</f>
        <v/>
      </c>
      <c r="O1166" s="19"/>
      <c r="P1166" s="343"/>
      <c r="Q1166" s="343"/>
      <c r="R1166" s="343"/>
      <c r="S1166" s="343"/>
      <c r="T1166" s="343"/>
      <c r="U1166" s="349"/>
      <c r="V1166" s="349"/>
    </row>
    <row r="1167" spans="1:22" s="534" customFormat="1" ht="12.75" customHeight="1" x14ac:dyDescent="0.3">
      <c r="A1167" s="343"/>
      <c r="B1167" s="15"/>
      <c r="C1167" s="17"/>
      <c r="D1167" s="1386"/>
      <c r="E1167" s="1419" t="str">
        <f>Translations!$B$1555</f>
        <v>Kriterium 4a: Är skillnaden minst 100 utsläppsrätter?</v>
      </c>
      <c r="F1167" s="1419"/>
      <c r="G1167" s="1419"/>
      <c r="H1167" s="1424" t="s">
        <v>1112</v>
      </c>
      <c r="I1167" s="1425"/>
      <c r="J1167" s="1426" t="str">
        <f>IF($I1133="","",J1166&gt;=100)</f>
        <v/>
      </c>
      <c r="K1167" s="1427" t="str">
        <f>IF($I1133="","",K1166&gt;=100)</f>
        <v/>
      </c>
      <c r="L1167" s="1427" t="str">
        <f>IF($I1133="","",L1166&gt;=100)</f>
        <v/>
      </c>
      <c r="M1167" s="1427" t="str">
        <f>IF($I1133="","",M1166&gt;=100)</f>
        <v/>
      </c>
      <c r="N1167" s="1428" t="str">
        <f>IF($I1133="","",N1166&gt;=100)</f>
        <v/>
      </c>
      <c r="O1167" s="19"/>
      <c r="P1167" s="165" t="str">
        <f>EUconst_CNTR_100EUA_ActivityLevel&amp;I1133</f>
        <v>EUA100AL_</v>
      </c>
      <c r="Q1167" s="343"/>
      <c r="R1167" s="343"/>
      <c r="S1167" s="343"/>
      <c r="T1167" s="343"/>
      <c r="U1167" s="349"/>
      <c r="V1167" s="349"/>
    </row>
    <row r="1168" spans="1:22" s="534" customFormat="1" ht="5.15" customHeight="1" x14ac:dyDescent="0.3">
      <c r="A1168" s="343"/>
      <c r="B1168" s="15"/>
      <c r="C1168" s="17"/>
      <c r="D1168" s="1386"/>
      <c r="E1168" s="15"/>
      <c r="F1168" s="15"/>
      <c r="G1168" s="15"/>
      <c r="H1168" s="15"/>
      <c r="I1168" s="941"/>
      <c r="J1168" s="15"/>
      <c r="K1168" s="15"/>
      <c r="L1168" s="15"/>
      <c r="M1168" s="15"/>
      <c r="N1168" s="968"/>
      <c r="O1168" s="19"/>
      <c r="P1168" s="343"/>
      <c r="Q1168" s="343"/>
      <c r="R1168" s="343"/>
      <c r="S1168" s="343"/>
      <c r="T1168" s="343"/>
      <c r="U1168" s="349"/>
      <c r="V1168" s="349"/>
    </row>
    <row r="1169" spans="1:22" s="534" customFormat="1" ht="12.75" customHeight="1" x14ac:dyDescent="0.3">
      <c r="A1169" s="343"/>
      <c r="B1169" s="15"/>
      <c r="C1169" s="17"/>
      <c r="D1169" s="1386"/>
      <c r="E1169" s="42" t="str">
        <f>Translations!$B$1570</f>
        <v>Ändringar: Utbytt el</v>
      </c>
      <c r="F1169" s="188"/>
      <c r="G1169" s="188"/>
      <c r="H1169" s="30" t="str">
        <f>EUconst_Unit</f>
        <v>Enhet</v>
      </c>
      <c r="I1169" s="1157"/>
      <c r="J1169" s="1065">
        <f>J$2596</f>
        <v>2021</v>
      </c>
      <c r="K1169" s="350">
        <f>K$2596</f>
        <v>2022</v>
      </c>
      <c r="L1169" s="350">
        <f>L$2596</f>
        <v>2023</v>
      </c>
      <c r="M1169" s="350">
        <f>M$2596</f>
        <v>2024</v>
      </c>
      <c r="N1169" s="966">
        <f>N$2596</f>
        <v>2025</v>
      </c>
      <c r="O1169" s="19"/>
      <c r="P1169" s="343"/>
      <c r="Q1169" s="343"/>
      <c r="R1169" s="343"/>
      <c r="S1169" s="343"/>
      <c r="T1169" s="343"/>
      <c r="U1169" s="349"/>
      <c r="V1169" s="349"/>
    </row>
    <row r="1170" spans="1:22" s="534" customFormat="1" ht="12.75" hidden="1" customHeight="1" x14ac:dyDescent="0.3">
      <c r="A1170" s="343" t="str">
        <f>IF(P1170="","ausblenden","")</f>
        <v>ausblenden</v>
      </c>
      <c r="B1170" s="15"/>
      <c r="C1170" s="17"/>
      <c r="D1170" s="1386"/>
      <c r="E1170" s="514" t="s">
        <v>1918</v>
      </c>
      <c r="F1170" s="514"/>
      <c r="G1170" s="514"/>
      <c r="H1170" s="917" t="str">
        <f>H1159</f>
        <v>ton</v>
      </c>
      <c r="I1170" s="514"/>
      <c r="J1170" s="1152" t="str">
        <f>J1147</f>
        <v/>
      </c>
      <c r="K1170" s="943" t="str">
        <f t="shared" ref="K1170:K1173" si="183">J1242</f>
        <v/>
      </c>
      <c r="L1170" s="943" t="str">
        <f t="shared" ref="L1170:L1173" si="184">K1242</f>
        <v/>
      </c>
      <c r="M1170" s="943" t="str">
        <f t="shared" ref="M1170:M1173" si="185">L1242</f>
        <v/>
      </c>
      <c r="N1170" s="1389" t="str">
        <f t="shared" ref="N1170:N1173" si="186">M1242</f>
        <v/>
      </c>
      <c r="O1170" s="19"/>
      <c r="P1170" s="343"/>
      <c r="Q1170" s="343"/>
      <c r="R1170" s="343"/>
      <c r="S1170" s="343"/>
      <c r="T1170" s="343"/>
      <c r="U1170" s="349"/>
      <c r="V1170" s="349"/>
    </row>
    <row r="1171" spans="1:22" s="534" customFormat="1" ht="12.75" hidden="1" customHeight="1" x14ac:dyDescent="0.3">
      <c r="A1171" s="343" t="str">
        <f>IF(P1171="","ausblenden","")</f>
        <v>ausblenden</v>
      </c>
      <c r="B1171" s="15"/>
      <c r="C1171" s="17"/>
      <c r="D1171" s="1386"/>
      <c r="E1171" s="944" t="s">
        <v>339</v>
      </c>
      <c r="F1171" s="944"/>
      <c r="G1171" s="944"/>
      <c r="H1171" s="954" t="str">
        <f>EUconst_EUA</f>
        <v>EUA</v>
      </c>
      <c r="I1171" s="945"/>
      <c r="J1171" s="1209" t="str">
        <f>J1148</f>
        <v/>
      </c>
      <c r="K1171" s="1210" t="str">
        <f t="shared" si="183"/>
        <v/>
      </c>
      <c r="L1171" s="1210" t="str">
        <f t="shared" si="184"/>
        <v/>
      </c>
      <c r="M1171" s="1210" t="str">
        <f t="shared" si="185"/>
        <v/>
      </c>
      <c r="N1171" s="1390" t="str">
        <f t="shared" si="186"/>
        <v/>
      </c>
      <c r="O1171" s="19"/>
      <c r="P1171" s="343"/>
      <c r="Q1171" s="343"/>
      <c r="R1171" s="343"/>
      <c r="S1171" s="343"/>
      <c r="T1171" s="343"/>
      <c r="U1171" s="349"/>
      <c r="V1171" s="349"/>
    </row>
    <row r="1172" spans="1:22" s="534" customFormat="1" ht="12.75" hidden="1" customHeight="1" x14ac:dyDescent="0.3">
      <c r="A1172" s="343" t="str">
        <f>IF(P1172="","ausblenden","")</f>
        <v>ausblenden</v>
      </c>
      <c r="B1172" s="15"/>
      <c r="C1172" s="17"/>
      <c r="D1172" s="1386"/>
      <c r="E1172" s="947" t="s">
        <v>1560</v>
      </c>
      <c r="F1172" s="947"/>
      <c r="G1172" s="947"/>
      <c r="H1172" s="955" t="str">
        <f>EUconst_EUA</f>
        <v>EUA</v>
      </c>
      <c r="I1172" s="948"/>
      <c r="J1172" s="1165" t="str">
        <f>J1149</f>
        <v/>
      </c>
      <c r="K1172" s="975" t="str">
        <f t="shared" si="183"/>
        <v/>
      </c>
      <c r="L1172" s="975" t="str">
        <f t="shared" si="184"/>
        <v/>
      </c>
      <c r="M1172" s="975" t="str">
        <f t="shared" si="185"/>
        <v/>
      </c>
      <c r="N1172" s="1391" t="str">
        <f t="shared" si="186"/>
        <v/>
      </c>
      <c r="O1172" s="19"/>
      <c r="P1172" s="343"/>
      <c r="Q1172" s="343"/>
      <c r="R1172" s="343"/>
      <c r="S1172" s="343"/>
      <c r="T1172" s="343"/>
      <c r="U1172" s="349"/>
      <c r="V1172" s="349"/>
    </row>
    <row r="1173" spans="1:22" s="534" customFormat="1" ht="12.75" hidden="1" customHeight="1" x14ac:dyDescent="0.3">
      <c r="A1173" s="343" t="str">
        <f>IF(P1173="","ausblenden","")</f>
        <v>ausblenden</v>
      </c>
      <c r="B1173" s="15"/>
      <c r="C1173" s="17"/>
      <c r="D1173" s="1386"/>
      <c r="E1173" s="1433" t="s">
        <v>1527</v>
      </c>
      <c r="F1173" s="1433"/>
      <c r="G1173" s="1433"/>
      <c r="H1173" s="1434" t="str">
        <f>EUconst_EUA</f>
        <v>EUA</v>
      </c>
      <c r="I1173" s="1435"/>
      <c r="J1173" s="1436" t="str">
        <f>J1150</f>
        <v/>
      </c>
      <c r="K1173" s="1437" t="str">
        <f t="shared" si="183"/>
        <v/>
      </c>
      <c r="L1173" s="1437" t="str">
        <f t="shared" si="184"/>
        <v/>
      </c>
      <c r="M1173" s="1437" t="str">
        <f t="shared" si="185"/>
        <v/>
      </c>
      <c r="N1173" s="1438" t="str">
        <f t="shared" si="186"/>
        <v/>
      </c>
      <c r="O1173" s="19"/>
      <c r="P1173" s="343"/>
      <c r="Q1173" s="343"/>
      <c r="R1173" s="343"/>
      <c r="S1173" s="343"/>
      <c r="T1173" s="343"/>
      <c r="U1173" s="349"/>
      <c r="V1173" s="349"/>
    </row>
    <row r="1174" spans="1:22" s="534" customFormat="1" ht="12.75" customHeight="1" x14ac:dyDescent="0.3">
      <c r="A1174" s="343"/>
      <c r="B1174" s="15"/>
      <c r="C1174" s="17"/>
      <c r="D1174" s="1386"/>
      <c r="E1174" s="944" t="str">
        <f>Translations!$B$1482</f>
        <v>Genomsnittligt årligt värde</v>
      </c>
      <c r="F1174" s="944"/>
      <c r="G1174" s="944"/>
      <c r="H1174" s="627" t="s">
        <v>1112</v>
      </c>
      <c r="I1174" s="945"/>
      <c r="J1174" s="1439" t="str">
        <f>INDEX(F_ProductBM!J:J,MATCH($P1174,F_ProductBM!$Q:$Q,0))</f>
        <v/>
      </c>
      <c r="K1174" s="1440" t="str">
        <f>INDEX(F_ProductBM!K:K,MATCH($P1174,F_ProductBM!$Q:$Q,0))</f>
        <v/>
      </c>
      <c r="L1174" s="1440" t="str">
        <f>INDEX(F_ProductBM!L:L,MATCH($P1174,F_ProductBM!$Q:$Q,0))</f>
        <v/>
      </c>
      <c r="M1174" s="1440" t="str">
        <f>INDEX(F_ProductBM!M:M,MATCH($P1174,F_ProductBM!$Q:$Q,0))</f>
        <v/>
      </c>
      <c r="N1174" s="1441" t="str">
        <f>INDEX(F_ProductBM!N:N,MATCH($P1174,F_ProductBM!$Q:$Q,0))</f>
        <v/>
      </c>
      <c r="O1174" s="19"/>
      <c r="P1174" s="165" t="str">
        <f>EUconst_CNTR_HAL &amp; EUconst_CNTR_ELEXCHInitial &amp; I1133</f>
        <v>HAL_ELEXCHIni_</v>
      </c>
      <c r="Q1174" s="343"/>
      <c r="R1174" s="343"/>
      <c r="S1174" s="343"/>
      <c r="T1174" s="343"/>
      <c r="U1174" s="349"/>
      <c r="V1174" s="349"/>
    </row>
    <row r="1175" spans="1:22" s="534" customFormat="1" ht="12.75" customHeight="1" x14ac:dyDescent="0.3">
      <c r="A1175" s="343"/>
      <c r="B1175" s="15"/>
      <c r="C1175" s="17"/>
      <c r="D1175" s="1386"/>
      <c r="E1175" s="947" t="str">
        <f>Translations!$B$1571</f>
        <v>Ändring jämfört med värde enligt nationella genomförandeåtgärder</v>
      </c>
      <c r="F1175" s="947"/>
      <c r="G1175" s="947"/>
      <c r="H1175" s="1442" t="s">
        <v>1112</v>
      </c>
      <c r="I1175" s="1371"/>
      <c r="J1175" s="1415" t="str">
        <f>INDEX(F_ProductBM!J:J,MATCH($P1175,F_ProductBM!$Q:$Q,0))</f>
        <v/>
      </c>
      <c r="K1175" s="1416" t="str">
        <f>INDEX(F_ProductBM!K:K,MATCH($P1175,F_ProductBM!$Q:$Q,0))</f>
        <v/>
      </c>
      <c r="L1175" s="1416" t="str">
        <f>INDEX(F_ProductBM!L:L,MATCH($P1175,F_ProductBM!$Q:$Q,0))</f>
        <v/>
      </c>
      <c r="M1175" s="1416" t="str">
        <f>INDEX(F_ProductBM!M:M,MATCH($P1175,F_ProductBM!$Q:$Q,0))</f>
        <v/>
      </c>
      <c r="N1175" s="1417" t="str">
        <f>INDEX(F_ProductBM!N:N,MATCH($P1175,F_ProductBM!$Q:$Q,0))</f>
        <v/>
      </c>
      <c r="O1175" s="19"/>
      <c r="P1175" s="165" t="str">
        <f>EUconst_CNTR_RelThreshold &amp; P1177</f>
        <v>RelThresh_HALprelim_ELEXCH_</v>
      </c>
      <c r="Q1175" s="343"/>
      <c r="R1175" s="343"/>
      <c r="S1175" s="343"/>
      <c r="T1175" s="343"/>
      <c r="U1175" s="349"/>
      <c r="V1175" s="349"/>
    </row>
    <row r="1176" spans="1:22" s="534" customFormat="1" ht="12.75" customHeight="1" x14ac:dyDescent="0.3">
      <c r="A1176" s="343"/>
      <c r="B1176" s="15"/>
      <c r="C1176" s="17"/>
      <c r="D1176" s="1386"/>
      <c r="E1176" s="1418" t="str">
        <f>Translations!$B$1572</f>
        <v>Kriterium 3b: Har relativa tröskelvärden överskridits?</v>
      </c>
      <c r="F1176" s="1418"/>
      <c r="G1176" s="1418"/>
      <c r="H1176" s="1444" t="s">
        <v>1112</v>
      </c>
      <c r="I1176" s="1423"/>
      <c r="J1176" s="1420" t="str">
        <f>INDEX(F_ProductBM!V:V,MATCH($P1176,F_ProductBM!$Q:$Q,0))</f>
        <v/>
      </c>
      <c r="K1176" s="1421" t="str">
        <f>INDEX(F_ProductBM!W:W,MATCH($P1176,F_ProductBM!$Q:$Q,0))</f>
        <v/>
      </c>
      <c r="L1176" s="1421" t="str">
        <f>INDEX(F_ProductBM!X:X,MATCH($P1176,F_ProductBM!$Q:$Q,0))</f>
        <v/>
      </c>
      <c r="M1176" s="1421" t="str">
        <f>INDEX(F_ProductBM!Y:Y,MATCH($P1176,F_ProductBM!$Q:$Q,0))</f>
        <v/>
      </c>
      <c r="N1176" s="1422" t="str">
        <f>INDEX(F_ProductBM!Z:Z,MATCH($P1176,F_ProductBM!$Q:$Q,0))</f>
        <v/>
      </c>
      <c r="O1176" s="19"/>
      <c r="P1176" s="165" t="str">
        <f>P1175</f>
        <v>RelThresh_HALprelim_ELEXCH_</v>
      </c>
      <c r="Q1176" s="343"/>
      <c r="R1176" s="343"/>
      <c r="S1176" s="343"/>
      <c r="T1176" s="343"/>
      <c r="U1176" s="349"/>
      <c r="V1176" s="349"/>
    </row>
    <row r="1177" spans="1:22" s="534" customFormat="1" ht="12.75" customHeight="1" x14ac:dyDescent="0.3">
      <c r="A1177" s="343" t="str">
        <f>IF(P1177="","ausblenden","")</f>
        <v/>
      </c>
      <c r="B1177" s="15"/>
      <c r="C1177" s="17"/>
      <c r="D1177" s="1386"/>
      <c r="E1177" s="950" t="str">
        <f>Translations!$B$1568</f>
        <v>Preliminärt värde</v>
      </c>
      <c r="F1177" s="950"/>
      <c r="G1177" s="950"/>
      <c r="H1177" s="629" t="s">
        <v>1112</v>
      </c>
      <c r="I1177" s="950"/>
      <c r="J1177" s="1404" t="str">
        <f>IF($I1136=TRUE,INDEX(F_ProductBM!J:J,MATCH($P1177,F_ProductBM!$Q:$Q,0)),"")</f>
        <v/>
      </c>
      <c r="K1177" s="1405" t="str">
        <f>IF($I1136=TRUE,INDEX(F_ProductBM!K:K,MATCH($P1177,F_ProductBM!$Q:$Q,0)),"")</f>
        <v/>
      </c>
      <c r="L1177" s="1405" t="str">
        <f>IF($I1136=TRUE,INDEX(F_ProductBM!L:L,MATCH($P1177,F_ProductBM!$Q:$Q,0)),"")</f>
        <v/>
      </c>
      <c r="M1177" s="1405" t="str">
        <f>IF($I1136=TRUE,INDEX(F_ProductBM!M:M,MATCH($P1177,F_ProductBM!$Q:$Q,0)),"")</f>
        <v/>
      </c>
      <c r="N1177" s="1406" t="str">
        <f>IF($I1136=TRUE,INDEX(F_ProductBM!N:N,MATCH($P1177,F_ProductBM!$Q:$Q,0)),"")</f>
        <v/>
      </c>
      <c r="O1177" s="19"/>
      <c r="P1177" s="165" t="str">
        <f>EUconst_CNTR_HALprelim&amp;EUconst_CNTR_ELEXCH&amp;$I1133</f>
        <v>HALprelim_ELEXCH_</v>
      </c>
      <c r="Q1177" s="343"/>
      <c r="R1177" s="343"/>
      <c r="S1177" s="343"/>
      <c r="T1177" s="343"/>
      <c r="U1177" s="349"/>
      <c r="V1177" s="349"/>
    </row>
    <row r="1178" spans="1:22" s="534" customFormat="1" ht="12.75" hidden="1" customHeight="1" x14ac:dyDescent="0.3">
      <c r="A1178" s="343" t="str">
        <f>IF(P1178="","ausblenden","")</f>
        <v>ausblenden</v>
      </c>
      <c r="B1178" s="15"/>
      <c r="C1178" s="17"/>
      <c r="D1178" s="1386"/>
      <c r="E1178" s="950" t="s">
        <v>1528</v>
      </c>
      <c r="F1178" s="950"/>
      <c r="G1178" s="950"/>
      <c r="H1178" s="1375" t="s">
        <v>1112</v>
      </c>
      <c r="I1178" s="951"/>
      <c r="J1178" s="1213" t="str">
        <f>J1152</f>
        <v/>
      </c>
      <c r="K1178" s="1214" t="str">
        <f>J1247</f>
        <v/>
      </c>
      <c r="L1178" s="1214" t="str">
        <f>K1247</f>
        <v/>
      </c>
      <c r="M1178" s="1214" t="str">
        <f>L1247</f>
        <v/>
      </c>
      <c r="N1178" s="1393" t="str">
        <f>M1247</f>
        <v/>
      </c>
      <c r="O1178" s="19"/>
      <c r="P1178" s="343"/>
      <c r="Q1178" s="343"/>
      <c r="R1178" s="343"/>
      <c r="S1178" s="343"/>
      <c r="T1178" s="343"/>
      <c r="U1178" s="349"/>
      <c r="V1178" s="349"/>
    </row>
    <row r="1179" spans="1:22" s="534" customFormat="1" ht="12.75" customHeight="1" x14ac:dyDescent="0.3">
      <c r="A1179" s="343"/>
      <c r="B1179" s="15"/>
      <c r="C1179" s="17"/>
      <c r="D1179" s="1386"/>
      <c r="E1179" s="514" t="str">
        <f>Translations!$B$1565</f>
        <v>Preliminärt tilldelningsvärde</v>
      </c>
      <c r="F1179" s="514"/>
      <c r="G1179" s="514"/>
      <c r="H1179" s="129" t="str">
        <f>EUconst_EUA</f>
        <v>EUA</v>
      </c>
      <c r="I1179" s="1151"/>
      <c r="J1179" s="1131" t="str">
        <f>IF($I1136=TRUE,MAX(0,ROUND((SUM($M1136)*SUM(J1170)*SUM(J1177)*SUM(J1178)-SUM(J1171)-SUM(J1172)+SUM(J1173))*IF($H1136=TRUE,1,J$2517),0)),"")</f>
        <v/>
      </c>
      <c r="K1179" s="421" t="str">
        <f>IF($I1136=TRUE,MAX(0,ROUND((SUM($M1136)*SUM(K1170)*SUM(K1177)*SUM(K1178)-SUM(K1171)-SUM(K1172)+SUM(K1173))*IF($H1136=TRUE,1,K$2517),0)),"")</f>
        <v/>
      </c>
      <c r="L1179" s="421" t="str">
        <f>IF($I1136=TRUE,MAX(0,ROUND((SUM($M1136)*SUM(L1170)*SUM(L1177)*SUM(L1178)-SUM(L1171)-SUM(L1172)+SUM(L1173))*IF($H1136=TRUE,1,L$2517),0)),"")</f>
        <v/>
      </c>
      <c r="M1179" s="421" t="str">
        <f>IF($I1136=TRUE,MAX(0,ROUND((SUM($M1136)*SUM(M1170)*SUM(M1177)*SUM(M1178)-SUM(M1171)-SUM(M1172)+SUM(M1173))*IF($H1136=TRUE,1,M$2517),0)),"")</f>
        <v/>
      </c>
      <c r="N1179" s="967" t="str">
        <f>IF($I1136=TRUE,MAX(0,ROUND((SUM($M1136)*SUM(N1170)*SUM(N1177)*SUM(N1178)-SUM(N1171)-SUM(N1172)+SUM(N1173))*IF($H1136=TRUE,1,N$2517),0)),"")</f>
        <v/>
      </c>
      <c r="O1179" s="19"/>
      <c r="P1179" s="343"/>
      <c r="Q1179" s="343"/>
      <c r="R1179" s="343"/>
      <c r="S1179" s="343"/>
      <c r="T1179" s="343"/>
      <c r="U1179" s="349"/>
      <c r="V1179" s="349"/>
    </row>
    <row r="1180" spans="1:22" s="534" customFormat="1" ht="12.75" customHeight="1" x14ac:dyDescent="0.3">
      <c r="A1180" s="343"/>
      <c r="B1180" s="15"/>
      <c r="C1180" s="17"/>
      <c r="D1180" s="1386"/>
      <c r="E1180" s="514" t="str">
        <f>Translations!$B$1569</f>
        <v>Skillnad i tilldelning</v>
      </c>
      <c r="F1180" s="514"/>
      <c r="G1180" s="514"/>
      <c r="H1180" s="129" t="str">
        <f>EUconst_EUA</f>
        <v>EUA</v>
      </c>
      <c r="I1180" s="1151"/>
      <c r="J1180" s="1131" t="str">
        <f>IF($I1136=TRUE,ABS(SUM(J1179)-SUM(J1153)),"")</f>
        <v/>
      </c>
      <c r="K1180" s="421" t="str">
        <f>IF($I1136=TRUE,ABS(SUM(K1179)-SUM(K1153)),"")</f>
        <v/>
      </c>
      <c r="L1180" s="421" t="str">
        <f>IF($I1136=TRUE,ABS(SUM(L1179)-SUM(L1153)),"")</f>
        <v/>
      </c>
      <c r="M1180" s="421" t="str">
        <f>IF($I1136=TRUE,ABS(SUM(M1179)-SUM(M1153)),"")</f>
        <v/>
      </c>
      <c r="N1180" s="967" t="str">
        <f>IF($I1136=TRUE,ABS(SUM(N1179)-SUM(N1153)),"")</f>
        <v/>
      </c>
      <c r="O1180" s="19"/>
      <c r="P1180" s="343"/>
      <c r="Q1180" s="343"/>
      <c r="R1180" s="343"/>
      <c r="S1180" s="343"/>
      <c r="T1180" s="343"/>
      <c r="U1180" s="349"/>
      <c r="V1180" s="349"/>
    </row>
    <row r="1181" spans="1:22" s="534" customFormat="1" ht="12.75" customHeight="1" x14ac:dyDescent="0.3">
      <c r="A1181" s="343"/>
      <c r="B1181" s="15"/>
      <c r="C1181" s="17"/>
      <c r="D1181" s="1386"/>
      <c r="E1181" s="1419" t="str">
        <f>Translations!$B$1573</f>
        <v>Kriterium 4b: Är skillnaden minst 100 utsläppsrätter?</v>
      </c>
      <c r="F1181" s="1419"/>
      <c r="G1181" s="1419"/>
      <c r="H1181" s="1424" t="s">
        <v>1112</v>
      </c>
      <c r="I1181" s="1425"/>
      <c r="J1181" s="1426" t="str">
        <f>IF($I1136=TRUE,J1180&gt;=100,"")</f>
        <v/>
      </c>
      <c r="K1181" s="1427" t="str">
        <f>IF($I1136=TRUE,K1180&gt;=100,"")</f>
        <v/>
      </c>
      <c r="L1181" s="1427" t="str">
        <f>IF($I1136=TRUE,L1180&gt;=100,"")</f>
        <v/>
      </c>
      <c r="M1181" s="1427" t="str">
        <f>IF($I1136=TRUE,M1180&gt;=100,"")</f>
        <v/>
      </c>
      <c r="N1181" s="1428" t="str">
        <f>IF($I1136=TRUE,N1180&gt;=100,"")</f>
        <v/>
      </c>
      <c r="O1181" s="19"/>
      <c r="P1181" s="165" t="str">
        <f>EUconst_CNTR_100EUA_ElExch&amp;I1133</f>
        <v>EUA100ElExch_</v>
      </c>
      <c r="Q1181" s="343"/>
      <c r="R1181" s="343"/>
      <c r="S1181" s="343"/>
      <c r="T1181" s="343"/>
      <c r="U1181" s="349"/>
      <c r="V1181" s="349"/>
    </row>
    <row r="1182" spans="1:22" s="534" customFormat="1" ht="5.15" customHeight="1" x14ac:dyDescent="0.3">
      <c r="A1182" s="343"/>
      <c r="B1182" s="15"/>
      <c r="C1182" s="17"/>
      <c r="D1182" s="1386"/>
      <c r="E1182" s="15"/>
      <c r="F1182" s="15"/>
      <c r="G1182" s="15"/>
      <c r="H1182" s="15"/>
      <c r="I1182" s="941"/>
      <c r="J1182" s="15"/>
      <c r="K1182" s="15"/>
      <c r="L1182" s="15"/>
      <c r="M1182" s="15"/>
      <c r="N1182" s="968"/>
      <c r="O1182" s="19"/>
      <c r="P1182" s="343"/>
      <c r="Q1182" s="343"/>
      <c r="R1182" s="343"/>
      <c r="S1182" s="343"/>
      <c r="T1182" s="343"/>
      <c r="U1182" s="349"/>
      <c r="V1182" s="349"/>
    </row>
    <row r="1183" spans="1:22" s="534" customFormat="1" ht="12.75" customHeight="1" x14ac:dyDescent="0.3">
      <c r="A1183" s="343"/>
      <c r="B1183" s="15"/>
      <c r="C1183" s="17"/>
      <c r="D1183" s="1386"/>
      <c r="E1183" s="42" t="str">
        <f>Translations!$B$1574</f>
        <v>Ändringar: Värme från icke-ETS</v>
      </c>
      <c r="F1183" s="188"/>
      <c r="G1183" s="188"/>
      <c r="H1183" s="30" t="str">
        <f>EUconst_Unit</f>
        <v>Enhet</v>
      </c>
      <c r="I1183" s="1157"/>
      <c r="J1183" s="1065">
        <f>J$2596</f>
        <v>2021</v>
      </c>
      <c r="K1183" s="350">
        <f>K$2596</f>
        <v>2022</v>
      </c>
      <c r="L1183" s="350">
        <f>L$2596</f>
        <v>2023</v>
      </c>
      <c r="M1183" s="350">
        <f>M$2596</f>
        <v>2024</v>
      </c>
      <c r="N1183" s="966">
        <f>N$2596</f>
        <v>2025</v>
      </c>
      <c r="O1183" s="19"/>
      <c r="P1183" s="343"/>
      <c r="Q1183" s="343"/>
      <c r="R1183" s="343"/>
      <c r="S1183" s="343"/>
      <c r="T1183" s="343"/>
      <c r="U1183" s="349"/>
      <c r="V1183" s="349"/>
    </row>
    <row r="1184" spans="1:22" s="534" customFormat="1" ht="12.75" hidden="1" customHeight="1" x14ac:dyDescent="0.3">
      <c r="A1184" s="343" t="str">
        <f>IF(P1184="","ausblenden","")</f>
        <v>ausblenden</v>
      </c>
      <c r="B1184" s="15"/>
      <c r="C1184" s="17"/>
      <c r="D1184" s="1386"/>
      <c r="E1184" s="514" t="s">
        <v>1918</v>
      </c>
      <c r="F1184" s="514"/>
      <c r="G1184" s="514"/>
      <c r="H1184" s="917" t="str">
        <f>H1170</f>
        <v>ton</v>
      </c>
      <c r="I1184" s="514"/>
      <c r="J1184" s="1152" t="str">
        <f>J1147</f>
        <v/>
      </c>
      <c r="K1184" s="943" t="str">
        <f>J1242</f>
        <v/>
      </c>
      <c r="L1184" s="943" t="str">
        <f>K1242</f>
        <v/>
      </c>
      <c r="M1184" s="943" t="str">
        <f>L1242</f>
        <v/>
      </c>
      <c r="N1184" s="1389" t="str">
        <f>M1242</f>
        <v/>
      </c>
      <c r="O1184" s="19"/>
      <c r="P1184" s="343"/>
      <c r="Q1184" s="343"/>
      <c r="R1184" s="343"/>
      <c r="S1184" s="343"/>
      <c r="T1184" s="343"/>
      <c r="U1184" s="349"/>
      <c r="V1184" s="349"/>
    </row>
    <row r="1185" spans="1:22" s="534" customFormat="1" ht="12.75" customHeight="1" x14ac:dyDescent="0.3">
      <c r="A1185" s="343"/>
      <c r="B1185" s="15"/>
      <c r="C1185" s="17"/>
      <c r="D1185" s="1386"/>
      <c r="E1185" s="944" t="str">
        <f>Translations!$B$1482</f>
        <v>Genomsnittligt årligt värde</v>
      </c>
      <c r="F1185" s="944"/>
      <c r="G1185" s="944"/>
      <c r="H1185" s="627" t="str">
        <f>EUconst_EUA</f>
        <v>EUA</v>
      </c>
      <c r="I1185" s="945"/>
      <c r="J1185" s="1161" t="str">
        <f>IF(R1139,SUM(INDEX(F_ProductBM!J:J,MATCH($P1185,F_ProductBM!$Q:$Q,0))),"")</f>
        <v/>
      </c>
      <c r="K1185" s="946" t="str">
        <f>IF(S1139,SUM(INDEX(F_ProductBM!K:K,MATCH($P1185,F_ProductBM!$Q:$Q,0))),"")</f>
        <v/>
      </c>
      <c r="L1185" s="946" t="str">
        <f>IF(T1139,SUM(INDEX(F_ProductBM!L:L,MATCH($P1185,F_ProductBM!$Q:$Q,0))),"")</f>
        <v/>
      </c>
      <c r="M1185" s="946" t="str">
        <f>IF(U1139,SUM(INDEX(F_ProductBM!M:M,MATCH($P1185,F_ProductBM!$Q:$Q,0))),"")</f>
        <v/>
      </c>
      <c r="N1185" s="1046" t="str">
        <f>IF(V1139,SUM(INDEX(F_ProductBM!N:N,MATCH($P1185,F_ProductBM!$Q:$Q,0))),"")</f>
        <v/>
      </c>
      <c r="O1185" s="19"/>
      <c r="P1185" s="165" t="str">
        <f>EUconst_CNTR_HEATInitial &amp; I1133</f>
        <v>HEATIni_</v>
      </c>
      <c r="Q1185" s="343"/>
      <c r="R1185" s="343"/>
      <c r="S1185" s="343"/>
      <c r="T1185" s="343"/>
      <c r="U1185" s="349"/>
      <c r="V1185" s="349"/>
    </row>
    <row r="1186" spans="1:22" s="534" customFormat="1" ht="12.75" customHeight="1" x14ac:dyDescent="0.3">
      <c r="A1186" s="343"/>
      <c r="B1186" s="15"/>
      <c r="C1186" s="17"/>
      <c r="D1186" s="1386"/>
      <c r="E1186" s="947" t="str">
        <f>Translations!$B$1571</f>
        <v>Ändring jämfört med värde enligt nationella genomförandeåtgärder</v>
      </c>
      <c r="F1186" s="947"/>
      <c r="G1186" s="947"/>
      <c r="H1186" s="1442" t="s">
        <v>1112</v>
      </c>
      <c r="I1186" s="1371"/>
      <c r="J1186" s="1415" t="str">
        <f>INDEX(F_ProductBM!J:J,MATCH($P1186,F_ProductBM!$Q:$Q,0))</f>
        <v/>
      </c>
      <c r="K1186" s="1416" t="str">
        <f>INDEX(F_ProductBM!K:K,MATCH($P1186,F_ProductBM!$Q:$Q,0))</f>
        <v/>
      </c>
      <c r="L1186" s="1416" t="str">
        <f>INDEX(F_ProductBM!L:L,MATCH($P1186,F_ProductBM!$Q:$Q,0))</f>
        <v/>
      </c>
      <c r="M1186" s="1416" t="str">
        <f>INDEX(F_ProductBM!M:M,MATCH($P1186,F_ProductBM!$Q:$Q,0))</f>
        <v/>
      </c>
      <c r="N1186" s="1417" t="str">
        <f>INDEX(F_ProductBM!N:N,MATCH($P1186,F_ProductBM!$Q:$Q,0))</f>
        <v/>
      </c>
      <c r="O1186" s="19"/>
      <c r="P1186" s="165" t="str">
        <f>EUconst_CNTR_RelThreshold &amp; P1188</f>
        <v>RelThresh_HEATprelim_</v>
      </c>
      <c r="Q1186" s="343"/>
      <c r="R1186" s="343"/>
      <c r="S1186" s="343"/>
      <c r="T1186" s="343"/>
      <c r="U1186" s="349"/>
      <c r="V1186" s="349"/>
    </row>
    <row r="1187" spans="1:22" s="534" customFormat="1" ht="12.75" customHeight="1" x14ac:dyDescent="0.3">
      <c r="A1187" s="343"/>
      <c r="B1187" s="15"/>
      <c r="C1187" s="17"/>
      <c r="D1187" s="1386"/>
      <c r="E1187" s="1418" t="str">
        <f>Translations!$B$1575</f>
        <v>Kriterium 3c: Har relativa tröskelvärden överskridits?</v>
      </c>
      <c r="F1187" s="1418"/>
      <c r="G1187" s="1418"/>
      <c r="H1187" s="1444" t="s">
        <v>1112</v>
      </c>
      <c r="I1187" s="1423"/>
      <c r="J1187" s="1420" t="str">
        <f>INDEX(F_ProductBM!V:V,MATCH($P1187,F_ProductBM!$Q:$Q,0))</f>
        <v/>
      </c>
      <c r="K1187" s="1421" t="str">
        <f>INDEX(F_ProductBM!W:W,MATCH($P1187,F_ProductBM!$Q:$Q,0))</f>
        <v/>
      </c>
      <c r="L1187" s="1421" t="str">
        <f>INDEX(F_ProductBM!X:X,MATCH($P1187,F_ProductBM!$Q:$Q,0))</f>
        <v/>
      </c>
      <c r="M1187" s="1421" t="str">
        <f>INDEX(F_ProductBM!Y:Y,MATCH($P1187,F_ProductBM!$Q:$Q,0))</f>
        <v/>
      </c>
      <c r="N1187" s="1422" t="str">
        <f>INDEX(F_ProductBM!Z:Z,MATCH($P1187,F_ProductBM!$Q:$Q,0))</f>
        <v/>
      </c>
      <c r="O1187" s="19"/>
      <c r="P1187" s="165" t="str">
        <f>P1186</f>
        <v>RelThresh_HEATprelim_</v>
      </c>
      <c r="Q1187" s="343"/>
      <c r="R1187" s="343"/>
      <c r="S1187" s="343"/>
      <c r="T1187" s="343"/>
      <c r="U1187" s="349"/>
      <c r="V1187" s="349"/>
    </row>
    <row r="1188" spans="1:22" s="534" customFormat="1" ht="12.75" customHeight="1" x14ac:dyDescent="0.3">
      <c r="A1188" s="343" t="str">
        <f>IF(P1188="","ausblenden","")</f>
        <v/>
      </c>
      <c r="B1188" s="15"/>
      <c r="C1188" s="17"/>
      <c r="D1188" s="1386"/>
      <c r="E1188" s="950" t="str">
        <f>Translations!$B$1568</f>
        <v>Preliminärt värde</v>
      </c>
      <c r="F1188" s="950"/>
      <c r="G1188" s="950"/>
      <c r="H1188" s="629" t="str">
        <f>EUconst_EUA</f>
        <v>EUA</v>
      </c>
      <c r="I1188" s="950"/>
      <c r="J1188" s="1373" t="str">
        <f>IF($I1133="","",INDEX(F_ProductBM!J:J,MATCH($P1188,F_ProductBM!$Q:$Q,0)))</f>
        <v/>
      </c>
      <c r="K1188" s="1374" t="str">
        <f>IF($I1133="","",INDEX(F_ProductBM!K:K,MATCH($P1188,F_ProductBM!$Q:$Q,0)))</f>
        <v/>
      </c>
      <c r="L1188" s="1374" t="str">
        <f>IF($I1133="","",INDEX(F_ProductBM!L:L,MATCH($P1188,F_ProductBM!$Q:$Q,0)))</f>
        <v/>
      </c>
      <c r="M1188" s="1374" t="str">
        <f>IF($I1133="","",INDEX(F_ProductBM!M:M,MATCH($P1188,F_ProductBM!$Q:$Q,0)))</f>
        <v/>
      </c>
      <c r="N1188" s="1395" t="str">
        <f>IF($I1133="","",INDEX(F_ProductBM!N:N,MATCH($P1188,F_ProductBM!$Q:$Q,0)))</f>
        <v/>
      </c>
      <c r="O1188" s="19"/>
      <c r="P1188" s="165" t="str">
        <f>EUconst_CNTR_HEATprelim&amp;I1133</f>
        <v>HEATprelim_</v>
      </c>
      <c r="Q1188" s="343"/>
      <c r="R1188" s="343"/>
      <c r="S1188" s="343"/>
      <c r="T1188" s="343"/>
      <c r="U1188" s="349"/>
      <c r="V1188" s="349"/>
    </row>
    <row r="1189" spans="1:22" s="534" customFormat="1" ht="12.75" hidden="1" customHeight="1" x14ac:dyDescent="0.3">
      <c r="A1189" s="343" t="str">
        <f>IF(P1189="","ausblenden","")</f>
        <v>ausblenden</v>
      </c>
      <c r="B1189" s="15"/>
      <c r="C1189" s="17"/>
      <c r="D1189" s="1386"/>
      <c r="E1189" s="947" t="s">
        <v>1560</v>
      </c>
      <c r="F1189" s="947"/>
      <c r="G1189" s="947"/>
      <c r="H1189" s="955" t="str">
        <f>EUconst_EUA</f>
        <v>EUA</v>
      </c>
      <c r="I1189" s="948"/>
      <c r="J1189" s="1165" t="str">
        <f>J1149</f>
        <v/>
      </c>
      <c r="K1189" s="975" t="str">
        <f t="shared" ref="K1189:K1192" si="187">J1244</f>
        <v/>
      </c>
      <c r="L1189" s="975" t="str">
        <f t="shared" ref="L1189:L1192" si="188">K1244</f>
        <v/>
      </c>
      <c r="M1189" s="975" t="str">
        <f t="shared" ref="M1189:M1192" si="189">L1244</f>
        <v/>
      </c>
      <c r="N1189" s="1391" t="str">
        <f t="shared" ref="N1189:N1192" si="190">M1244</f>
        <v/>
      </c>
      <c r="O1189" s="19"/>
      <c r="P1189" s="343"/>
      <c r="Q1189" s="343"/>
      <c r="R1189" s="343"/>
      <c r="S1189" s="343"/>
      <c r="T1189" s="343"/>
      <c r="U1189" s="349"/>
      <c r="V1189" s="349"/>
    </row>
    <row r="1190" spans="1:22" s="534" customFormat="1" ht="12.75" hidden="1" customHeight="1" x14ac:dyDescent="0.3">
      <c r="A1190" s="343" t="str">
        <f>IF(P1190="","ausblenden","")</f>
        <v>ausblenden</v>
      </c>
      <c r="B1190" s="15"/>
      <c r="C1190" s="17"/>
      <c r="D1190" s="1386"/>
      <c r="E1190" s="947" t="s">
        <v>1527</v>
      </c>
      <c r="F1190" s="947"/>
      <c r="G1190" s="947"/>
      <c r="H1190" s="955" t="str">
        <f>EUconst_EUA</f>
        <v>EUA</v>
      </c>
      <c r="I1190" s="948"/>
      <c r="J1190" s="1165" t="str">
        <f>J1150</f>
        <v/>
      </c>
      <c r="K1190" s="975" t="str">
        <f t="shared" si="187"/>
        <v/>
      </c>
      <c r="L1190" s="975" t="str">
        <f t="shared" si="188"/>
        <v/>
      </c>
      <c r="M1190" s="975" t="str">
        <f t="shared" si="189"/>
        <v/>
      </c>
      <c r="N1190" s="1391" t="str">
        <f t="shared" si="190"/>
        <v/>
      </c>
      <c r="O1190" s="19"/>
      <c r="P1190" s="343"/>
      <c r="Q1190" s="343"/>
      <c r="R1190" s="343"/>
      <c r="S1190" s="343"/>
      <c r="T1190" s="343"/>
      <c r="U1190" s="349"/>
      <c r="V1190" s="349"/>
    </row>
    <row r="1191" spans="1:22" s="534" customFormat="1" ht="12.75" hidden="1" customHeight="1" x14ac:dyDescent="0.3">
      <c r="A1191" s="343" t="str">
        <f>IF(P1191="","ausblenden","")</f>
        <v>ausblenden</v>
      </c>
      <c r="B1191" s="15"/>
      <c r="C1191" s="17"/>
      <c r="D1191" s="1386"/>
      <c r="E1191" s="947" t="s">
        <v>1526</v>
      </c>
      <c r="F1191" s="947"/>
      <c r="G1191" s="947"/>
      <c r="H1191" s="956" t="s">
        <v>1112</v>
      </c>
      <c r="I1191" s="948"/>
      <c r="J1191" s="1211" t="str">
        <f>J1151</f>
        <v/>
      </c>
      <c r="K1191" s="1212" t="str">
        <f t="shared" si="187"/>
        <v/>
      </c>
      <c r="L1191" s="1212" t="str">
        <f t="shared" si="188"/>
        <v/>
      </c>
      <c r="M1191" s="1212" t="str">
        <f t="shared" si="189"/>
        <v/>
      </c>
      <c r="N1191" s="1392" t="str">
        <f t="shared" si="190"/>
        <v/>
      </c>
      <c r="O1191" s="19"/>
      <c r="P1191" s="343"/>
      <c r="Q1191" s="343"/>
      <c r="R1191" s="343"/>
      <c r="S1191" s="343"/>
      <c r="T1191" s="343"/>
      <c r="U1191" s="349"/>
      <c r="V1191" s="349"/>
    </row>
    <row r="1192" spans="1:22" s="534" customFormat="1" ht="12.75" hidden="1" customHeight="1" x14ac:dyDescent="0.3">
      <c r="A1192" s="343" t="str">
        <f>IF(P1192="","ausblenden","")</f>
        <v>ausblenden</v>
      </c>
      <c r="B1192" s="15"/>
      <c r="C1192" s="17"/>
      <c r="D1192" s="1386"/>
      <c r="E1192" s="950" t="s">
        <v>1528</v>
      </c>
      <c r="F1192" s="950"/>
      <c r="G1192" s="950"/>
      <c r="H1192" s="957" t="s">
        <v>1112</v>
      </c>
      <c r="I1192" s="951"/>
      <c r="J1192" s="1213" t="str">
        <f>J1152</f>
        <v/>
      </c>
      <c r="K1192" s="1214" t="str">
        <f t="shared" si="187"/>
        <v/>
      </c>
      <c r="L1192" s="1214" t="str">
        <f t="shared" si="188"/>
        <v/>
      </c>
      <c r="M1192" s="1214" t="str">
        <f t="shared" si="189"/>
        <v/>
      </c>
      <c r="N1192" s="1393" t="str">
        <f t="shared" si="190"/>
        <v/>
      </c>
      <c r="O1192" s="19"/>
      <c r="P1192" s="343"/>
      <c r="Q1192" s="343"/>
      <c r="R1192" s="343"/>
      <c r="S1192" s="343"/>
      <c r="T1192" s="343"/>
      <c r="U1192" s="349"/>
      <c r="V1192" s="349"/>
    </row>
    <row r="1193" spans="1:22" s="534" customFormat="1" ht="12.75" customHeight="1" x14ac:dyDescent="0.3">
      <c r="A1193" s="343"/>
      <c r="B1193" s="15"/>
      <c r="C1193" s="17"/>
      <c r="D1193" s="1386"/>
      <c r="E1193" s="514" t="str">
        <f>Translations!$B$1565</f>
        <v>Preliminärt tilldelningsvärde</v>
      </c>
      <c r="F1193" s="514"/>
      <c r="G1193" s="514"/>
      <c r="H1193" s="129" t="str">
        <f>EUconst_EUA</f>
        <v>EUA</v>
      </c>
      <c r="I1193" s="1151"/>
      <c r="J1193" s="1131" t="str">
        <f>IF($I1133="","",MAX(0,ROUND((SUM($M1136)*SUM(J1184)*SUM(J1191)*SUM(J1192)-SUM(J1188)-SUM(J1189)+SUM(J1190))*IF($H1136=TRUE,1,J$2517),0)))</f>
        <v/>
      </c>
      <c r="K1193" s="421" t="str">
        <f>IF($I1133="","",MAX(0,ROUND((SUM($M1136)*SUM(K1184)*SUM(K1191)*SUM(K1192)-SUM(K1188)-SUM(K1189)+SUM(K1190))*IF($H1136=TRUE,1,K$2517),0)))</f>
        <v/>
      </c>
      <c r="L1193" s="421" t="str">
        <f>IF($I1133="","",MAX(0,ROUND((SUM($M1136)*SUM(L1184)*SUM(L1191)*SUM(L1192)-SUM(L1188)-SUM(L1189)+SUM(L1190))*IF($H1136=TRUE,1,L$2517),0)))</f>
        <v/>
      </c>
      <c r="M1193" s="421" t="str">
        <f>IF($I1133="","",MAX(0,ROUND((SUM($M1136)*SUM(M1184)*SUM(M1191)*SUM(M1192)-SUM(M1188)-SUM(M1189)+SUM(M1190))*IF($H1136=TRUE,1,M$2517),0)))</f>
        <v/>
      </c>
      <c r="N1193" s="967" t="str">
        <f>IF($I1133="","",MAX(0,ROUND((SUM($M1136+IF(L1136=52,0.415,0))*SUM(N1184)*SUM(N1191)*SUM(N1192)-SUM(N1188)-SUM(N1189)+SUM(N1190))*IF($H1136=TRUE,1,N$2517),0)))</f>
        <v/>
      </c>
      <c r="O1193" s="19"/>
      <c r="P1193" s="343"/>
      <c r="Q1193" s="343"/>
      <c r="R1193" s="343"/>
      <c r="S1193" s="343"/>
      <c r="T1193" s="343"/>
      <c r="U1193" s="349"/>
      <c r="V1193" s="349"/>
    </row>
    <row r="1194" spans="1:22" s="534" customFormat="1" ht="12.75" customHeight="1" x14ac:dyDescent="0.3">
      <c r="A1194" s="343"/>
      <c r="B1194" s="15"/>
      <c r="C1194" s="17"/>
      <c r="D1194" s="1386"/>
      <c r="E1194" s="514" t="str">
        <f>Translations!$B$1569</f>
        <v>Skillnad i tilldelning</v>
      </c>
      <c r="F1194" s="514"/>
      <c r="G1194" s="514"/>
      <c r="H1194" s="129" t="str">
        <f>EUconst_EUA</f>
        <v>EUA</v>
      </c>
      <c r="I1194" s="1151"/>
      <c r="J1194" s="1131" t="str">
        <f>IF($I1133="","",ABS(SUM(J1193)-SUM(J1153)))</f>
        <v/>
      </c>
      <c r="K1194" s="421" t="str">
        <f>IF($I1133="","",ABS(SUM(K1193)-SUM(K1153)))</f>
        <v/>
      </c>
      <c r="L1194" s="421" t="str">
        <f>IF($I1133="","",ABS(SUM(L1193)-SUM(L1153)))</f>
        <v/>
      </c>
      <c r="M1194" s="421" t="str">
        <f>IF($I1133="","",ABS(SUM(M1193)-SUM(M1153)))</f>
        <v/>
      </c>
      <c r="N1194" s="967" t="str">
        <f>IF($I1133="","",ABS(SUM(N1193)-SUM(N1153)))</f>
        <v/>
      </c>
      <c r="O1194" s="19"/>
      <c r="P1194" s="343"/>
      <c r="Q1194" s="343"/>
      <c r="R1194" s="343"/>
      <c r="S1194" s="343"/>
      <c r="T1194" s="343"/>
      <c r="U1194" s="349"/>
      <c r="V1194" s="349"/>
    </row>
    <row r="1195" spans="1:22" s="534" customFormat="1" ht="12.75" customHeight="1" x14ac:dyDescent="0.3">
      <c r="A1195" s="343"/>
      <c r="B1195" s="15"/>
      <c r="C1195" s="17"/>
      <c r="D1195" s="1386"/>
      <c r="E1195" s="1419" t="str">
        <f>Translations!$B$1576</f>
        <v>Kriterium 4c: Är skillnaden minst 100 utsläppsrätter?</v>
      </c>
      <c r="F1195" s="1419"/>
      <c r="G1195" s="1419"/>
      <c r="H1195" s="1424" t="s">
        <v>1112</v>
      </c>
      <c r="I1195" s="1425"/>
      <c r="J1195" s="1426" t="str">
        <f>IF($I1133="","",J1194&gt;=100)</f>
        <v/>
      </c>
      <c r="K1195" s="1427" t="str">
        <f>IF($I1133="","",K1194&gt;=100)</f>
        <v/>
      </c>
      <c r="L1195" s="1427" t="str">
        <f>IF($I1133="","",L1194&gt;=100)</f>
        <v/>
      </c>
      <c r="M1195" s="1427" t="str">
        <f>IF($I1133="","",M1194&gt;=100)</f>
        <v/>
      </c>
      <c r="N1195" s="1428" t="str">
        <f>IF($I1133="","",N1194&gt;=100)</f>
        <v/>
      </c>
      <c r="O1195" s="19"/>
      <c r="P1195" s="165" t="str">
        <f>EUconst_CNTR_100EUA_HEAT&amp;I1133</f>
        <v>EUA100HEAT_</v>
      </c>
      <c r="Q1195" s="343"/>
      <c r="R1195" s="343"/>
      <c r="S1195" s="343"/>
      <c r="T1195" s="343"/>
      <c r="U1195" s="349"/>
      <c r="V1195" s="349"/>
    </row>
    <row r="1196" spans="1:22" s="534" customFormat="1" ht="5.15" customHeight="1" x14ac:dyDescent="0.3">
      <c r="A1196" s="343"/>
      <c r="B1196" s="15"/>
      <c r="C1196" s="17"/>
      <c r="D1196" s="1386"/>
      <c r="E1196" s="15"/>
      <c r="F1196" s="15"/>
      <c r="G1196" s="15"/>
      <c r="H1196" s="15"/>
      <c r="I1196" s="941"/>
      <c r="J1196" s="15"/>
      <c r="K1196" s="15"/>
      <c r="L1196" s="15"/>
      <c r="M1196" s="15"/>
      <c r="N1196" s="968"/>
      <c r="O1196" s="19"/>
      <c r="P1196" s="343"/>
      <c r="Q1196" s="343"/>
      <c r="R1196" s="343"/>
      <c r="S1196" s="343"/>
      <c r="T1196" s="343"/>
      <c r="U1196" s="349"/>
      <c r="V1196" s="349"/>
    </row>
    <row r="1197" spans="1:22" s="534" customFormat="1" ht="12.75" customHeight="1" x14ac:dyDescent="0.3">
      <c r="A1197" s="343"/>
      <c r="B1197" s="15"/>
      <c r="C1197" s="17"/>
      <c r="D1197" s="1386"/>
      <c r="E1197" s="42" t="str">
        <f>Translations!$B$1577</f>
        <v>Ändringar: HVC-korrigering</v>
      </c>
      <c r="F1197" s="188"/>
      <c r="G1197" s="188"/>
      <c r="H1197" s="30" t="str">
        <f>EUconst_Unit</f>
        <v>Enhet</v>
      </c>
      <c r="I1197" s="1157"/>
      <c r="J1197" s="1065">
        <f>J$2596</f>
        <v>2021</v>
      </c>
      <c r="K1197" s="350">
        <f>K$2596</f>
        <v>2022</v>
      </c>
      <c r="L1197" s="350">
        <f>L$2596</f>
        <v>2023</v>
      </c>
      <c r="M1197" s="350">
        <f>M$2596</f>
        <v>2024</v>
      </c>
      <c r="N1197" s="966">
        <f>N$2596</f>
        <v>2025</v>
      </c>
      <c r="O1197" s="19"/>
      <c r="P1197" s="343"/>
      <c r="Q1197" s="343"/>
      <c r="R1197" s="343"/>
      <c r="S1197" s="343"/>
      <c r="T1197" s="343"/>
      <c r="U1197" s="349"/>
      <c r="V1197" s="349"/>
    </row>
    <row r="1198" spans="1:22" s="534" customFormat="1" ht="12.75" hidden="1" customHeight="1" x14ac:dyDescent="0.3">
      <c r="A1198" s="343" t="str">
        <f>IF(P1198="","ausblenden","")</f>
        <v>ausblenden</v>
      </c>
      <c r="B1198" s="15"/>
      <c r="C1198" s="17"/>
      <c r="D1198" s="1386"/>
      <c r="E1198" s="514" t="s">
        <v>1918</v>
      </c>
      <c r="F1198" s="514"/>
      <c r="G1198" s="514"/>
      <c r="H1198" s="917" t="str">
        <f>H1184</f>
        <v>ton</v>
      </c>
      <c r="I1198" s="514"/>
      <c r="J1198" s="1152" t="str">
        <f>J1147</f>
        <v/>
      </c>
      <c r="K1198" s="943" t="str">
        <f t="shared" ref="K1198:K1200" si="191">J1242</f>
        <v/>
      </c>
      <c r="L1198" s="943" t="str">
        <f t="shared" ref="L1198:L1200" si="192">K1242</f>
        <v/>
      </c>
      <c r="M1198" s="943" t="str">
        <f t="shared" ref="M1198:M1200" si="193">L1242</f>
        <v/>
      </c>
      <c r="N1198" s="1389" t="str">
        <f t="shared" ref="N1198:N1200" si="194">M1242</f>
        <v/>
      </c>
      <c r="O1198" s="19"/>
      <c r="P1198" s="343"/>
      <c r="Q1198" s="343"/>
      <c r="R1198" s="343"/>
      <c r="S1198" s="343"/>
      <c r="T1198" s="343"/>
      <c r="U1198" s="349"/>
      <c r="V1198" s="349"/>
    </row>
    <row r="1199" spans="1:22" s="534" customFormat="1" ht="12.75" hidden="1" customHeight="1" x14ac:dyDescent="0.3">
      <c r="A1199" s="343" t="str">
        <f>IF(P1199="","ausblenden","")</f>
        <v>ausblenden</v>
      </c>
      <c r="B1199" s="15"/>
      <c r="C1199" s="17"/>
      <c r="D1199" s="1386"/>
      <c r="E1199" s="944" t="s">
        <v>339</v>
      </c>
      <c r="F1199" s="944"/>
      <c r="G1199" s="944"/>
      <c r="H1199" s="954" t="str">
        <f>EUconst_EUA</f>
        <v>EUA</v>
      </c>
      <c r="I1199" s="945"/>
      <c r="J1199" s="1209" t="str">
        <f>J1148</f>
        <v/>
      </c>
      <c r="K1199" s="1210" t="str">
        <f t="shared" si="191"/>
        <v/>
      </c>
      <c r="L1199" s="1210" t="str">
        <f t="shared" si="192"/>
        <v/>
      </c>
      <c r="M1199" s="1210" t="str">
        <f t="shared" si="193"/>
        <v/>
      </c>
      <c r="N1199" s="1390" t="str">
        <f t="shared" si="194"/>
        <v/>
      </c>
      <c r="O1199" s="19"/>
      <c r="P1199" s="343"/>
      <c r="Q1199" s="343"/>
      <c r="R1199" s="343"/>
      <c r="S1199" s="343"/>
      <c r="T1199" s="343"/>
      <c r="U1199" s="349"/>
      <c r="V1199" s="349"/>
    </row>
    <row r="1200" spans="1:22" s="534" customFormat="1" ht="12.75" hidden="1" customHeight="1" x14ac:dyDescent="0.3">
      <c r="A1200" s="343" t="str">
        <f>IF(P1200="","ausblenden","")</f>
        <v>ausblenden</v>
      </c>
      <c r="B1200" s="15"/>
      <c r="C1200" s="17"/>
      <c r="D1200" s="1386"/>
      <c r="E1200" s="1433" t="s">
        <v>1560</v>
      </c>
      <c r="F1200" s="1433"/>
      <c r="G1200" s="1433"/>
      <c r="H1200" s="1434" t="str">
        <f>EUconst_EUA</f>
        <v>EUA</v>
      </c>
      <c r="I1200" s="1435"/>
      <c r="J1200" s="1436" t="str">
        <f>J1149</f>
        <v/>
      </c>
      <c r="K1200" s="1437" t="str">
        <f t="shared" si="191"/>
        <v/>
      </c>
      <c r="L1200" s="1437" t="str">
        <f t="shared" si="192"/>
        <v/>
      </c>
      <c r="M1200" s="1437" t="str">
        <f t="shared" si="193"/>
        <v/>
      </c>
      <c r="N1200" s="1438" t="str">
        <f t="shared" si="194"/>
        <v/>
      </c>
      <c r="O1200" s="19"/>
      <c r="P1200" s="343"/>
      <c r="Q1200" s="343"/>
      <c r="R1200" s="343"/>
      <c r="S1200" s="343"/>
      <c r="T1200" s="343"/>
      <c r="U1200" s="349"/>
      <c r="V1200" s="349"/>
    </row>
    <row r="1201" spans="1:22" s="534" customFormat="1" ht="12.75" customHeight="1" x14ac:dyDescent="0.3">
      <c r="A1201" s="343"/>
      <c r="B1201" s="15"/>
      <c r="C1201" s="17"/>
      <c r="D1201" s="1386"/>
      <c r="E1201" s="944" t="str">
        <f>Translations!$B$1482</f>
        <v>Genomsnittligt årligt värde</v>
      </c>
      <c r="F1201" s="944"/>
      <c r="G1201" s="944"/>
      <c r="H1201" s="954" t="str">
        <f>EUconst_EUA</f>
        <v>EUA</v>
      </c>
      <c r="I1201" s="945"/>
      <c r="J1201" s="1445" t="str">
        <f>IF(L1136=42,INDEX(H_SpecialBM!J:J,MATCH($P1201,H_SpecialBM!$Q:$Q,0)),"")</f>
        <v/>
      </c>
      <c r="K1201" s="1446" t="str">
        <f>IF(L1136=42,INDEX(H_SpecialBM!K:K,MATCH($P1201,H_SpecialBM!$Q:$Q,0)),"")</f>
        <v/>
      </c>
      <c r="L1201" s="1446" t="str">
        <f>IF(L1136=42,INDEX(H_SpecialBM!L:L,MATCH($P1201,H_SpecialBM!$Q:$Q,0)),"")</f>
        <v/>
      </c>
      <c r="M1201" s="1446" t="str">
        <f>IF(L1136=42,INDEX(H_SpecialBM!M:M,MATCH($P1201,H_SpecialBM!$Q:$Q,0)),"")</f>
        <v/>
      </c>
      <c r="N1201" s="1447" t="str">
        <f>IF(L1136=42,INDEX(H_SpecialBM!N:N,MATCH($P1201,H_SpecialBM!$Q:$Q,0)),"")</f>
        <v/>
      </c>
      <c r="O1201" s="19"/>
      <c r="P1201" s="165" t="str">
        <f>EUconst_CNTR_HVCInitial &amp; INDEX(EUconst_BMlistNames,42)</f>
        <v>HVCIni_Ångkrackning</v>
      </c>
      <c r="Q1201" s="343"/>
      <c r="R1201" s="343"/>
      <c r="S1201" s="343"/>
      <c r="T1201" s="343"/>
      <c r="U1201" s="349"/>
      <c r="V1201" s="349"/>
    </row>
    <row r="1202" spans="1:22" s="534" customFormat="1" ht="12.75" customHeight="1" x14ac:dyDescent="0.3">
      <c r="A1202" s="343"/>
      <c r="B1202" s="15"/>
      <c r="C1202" s="17"/>
      <c r="D1202" s="1386"/>
      <c r="E1202" s="947" t="str">
        <f>Translations!$B$1571</f>
        <v>Ändring jämfört med värde enligt nationella genomförandeåtgärder</v>
      </c>
      <c r="F1202" s="947"/>
      <c r="G1202" s="947"/>
      <c r="H1202" s="1370" t="s">
        <v>1112</v>
      </c>
      <c r="I1202" s="1371"/>
      <c r="J1202" s="1415" t="str">
        <f>IF(L1136=42,INDEX(H_SpecialBM!J:J,MATCH($P1202,H_SpecialBM!$Q:$Q,0)),"")</f>
        <v/>
      </c>
      <c r="K1202" s="1416" t="str">
        <f>IF(L1136=42,INDEX(H_SpecialBM!K:K,MATCH($P1202,H_SpecialBM!$Q:$Q,0)),"")</f>
        <v/>
      </c>
      <c r="L1202" s="1416" t="str">
        <f>IF(L1136=42,INDEX(H_SpecialBM!L:L,MATCH($P1202,H_SpecialBM!$Q:$Q,0)),"")</f>
        <v/>
      </c>
      <c r="M1202" s="1416" t="str">
        <f>IF(L1136=42,INDEX(H_SpecialBM!M:M,MATCH($P1202,H_SpecialBM!$Q:$Q,0)),"")</f>
        <v/>
      </c>
      <c r="N1202" s="1417" t="str">
        <f>IF(L1136=42,INDEX(H_SpecialBM!N:N,MATCH($P1202,H_SpecialBM!$Q:$Q,0)),"")</f>
        <v/>
      </c>
      <c r="O1202" s="19"/>
      <c r="P1202" s="165" t="str">
        <f>EUconst_CNTR_RelThreshold &amp; P1204</f>
        <v>RelThresh_HVCprelim_</v>
      </c>
      <c r="Q1202" s="343"/>
      <c r="R1202" s="343"/>
      <c r="S1202" s="343"/>
      <c r="T1202" s="343"/>
      <c r="U1202" s="349"/>
      <c r="V1202" s="349"/>
    </row>
    <row r="1203" spans="1:22" s="534" customFormat="1" ht="12.75" customHeight="1" x14ac:dyDescent="0.3">
      <c r="A1203" s="343"/>
      <c r="B1203" s="15"/>
      <c r="C1203" s="17"/>
      <c r="D1203" s="1386"/>
      <c r="E1203" s="1418" t="str">
        <f>Translations!$B$1578</f>
        <v>Kriterium 3d: Har relativa tröskelvärden överskridits?</v>
      </c>
      <c r="F1203" s="1418"/>
      <c r="G1203" s="1418"/>
      <c r="H1203" s="1423" t="s">
        <v>1112</v>
      </c>
      <c r="I1203" s="1423"/>
      <c r="J1203" s="1420" t="str">
        <f>IF(L1136=42,INDEX(H_SpecialBM!V:V,MATCH($P1203,H_SpecialBM!$Q:$Q,0)),"")</f>
        <v/>
      </c>
      <c r="K1203" s="1421" t="str">
        <f>IF(L1136=42,INDEX(H_SpecialBM!W:W,MATCH($P1203,H_SpecialBM!$Q:$Q,0)),"")</f>
        <v/>
      </c>
      <c r="L1203" s="1421" t="str">
        <f>IF(L1136=42,INDEX(H_SpecialBM!X:X,MATCH($P1203,H_SpecialBM!$Q:$Q,0)),"")</f>
        <v/>
      </c>
      <c r="M1203" s="1421" t="str">
        <f>IF(L1136=42,INDEX(H_SpecialBM!Y:Y,MATCH($P1203,H_SpecialBM!$Q:$Q,0)),"")</f>
        <v/>
      </c>
      <c r="N1203" s="1422" t="str">
        <f>IF(L1136=42,INDEX(H_SpecialBM!Z:Z,MATCH($P1203,H_SpecialBM!$Q:$Q,0)),"")</f>
        <v/>
      </c>
      <c r="O1203" s="19"/>
      <c r="P1203" s="165" t="str">
        <f>P1202</f>
        <v>RelThresh_HVCprelim_</v>
      </c>
      <c r="Q1203" s="343"/>
      <c r="R1203" s="343"/>
      <c r="S1203" s="343"/>
      <c r="T1203" s="343"/>
      <c r="U1203" s="349"/>
      <c r="V1203" s="349"/>
    </row>
    <row r="1204" spans="1:22" s="534" customFormat="1" ht="12.75" customHeight="1" x14ac:dyDescent="0.3">
      <c r="A1204" s="343" t="str">
        <f>IF(P1204="","ausblenden","")</f>
        <v/>
      </c>
      <c r="B1204" s="15"/>
      <c r="C1204" s="17"/>
      <c r="D1204" s="1386"/>
      <c r="E1204" s="950" t="str">
        <f>Translations!$B$1568</f>
        <v>Preliminärt värde</v>
      </c>
      <c r="F1204" s="950"/>
      <c r="G1204" s="950"/>
      <c r="H1204" s="957" t="str">
        <f>EUconst_EUA</f>
        <v>EUA</v>
      </c>
      <c r="I1204" s="951"/>
      <c r="J1204" s="1381" t="str">
        <f>IF($L1136=42,INDEX(H_SpecialBM!J:J,MATCH($P1204,H_SpecialBM!$Q:$Q,0)),"")</f>
        <v/>
      </c>
      <c r="K1204" s="1382" t="str">
        <f>IF($L1136=42,INDEX(H_SpecialBM!K:K,MATCH($P1204,H_SpecialBM!$Q:$Q,0)),"")</f>
        <v/>
      </c>
      <c r="L1204" s="1382" t="str">
        <f>IF($L1136=42,INDEX(H_SpecialBM!L:L,MATCH($P1204,H_SpecialBM!$Q:$Q,0)),"")</f>
        <v/>
      </c>
      <c r="M1204" s="1382" t="str">
        <f>IF($L1136=42,INDEX(H_SpecialBM!M:M,MATCH($P1204,H_SpecialBM!$Q:$Q,0)),"")</f>
        <v/>
      </c>
      <c r="N1204" s="1396" t="str">
        <f>IF($L1136=42,INDEX(H_SpecialBM!N:N,MATCH($P1204,H_SpecialBM!$Q:$Q,0)),"")</f>
        <v/>
      </c>
      <c r="O1204" s="19"/>
      <c r="P1204" s="165" t="str">
        <f>EUconst_CNTR_HVCprelim</f>
        <v>HVCprelim_</v>
      </c>
      <c r="Q1204" s="343"/>
      <c r="R1204" s="343"/>
      <c r="S1204" s="343"/>
      <c r="T1204" s="343"/>
      <c r="U1204" s="349"/>
      <c r="V1204" s="349"/>
    </row>
    <row r="1205" spans="1:22" s="534" customFormat="1" ht="12.75" hidden="1" customHeight="1" x14ac:dyDescent="0.3">
      <c r="A1205" s="343" t="str">
        <f>IF(P1205="","ausblenden","")</f>
        <v>ausblenden</v>
      </c>
      <c r="B1205" s="15"/>
      <c r="C1205" s="17"/>
      <c r="D1205" s="1386"/>
      <c r="E1205" s="1376" t="s">
        <v>1526</v>
      </c>
      <c r="F1205" s="1376"/>
      <c r="G1205" s="1376"/>
      <c r="H1205" s="1378" t="s">
        <v>1112</v>
      </c>
      <c r="I1205" s="1377"/>
      <c r="J1205" s="1379" t="str">
        <f>J1151</f>
        <v/>
      </c>
      <c r="K1205" s="1380" t="str">
        <f t="shared" ref="K1205:K1206" si="195">J1246</f>
        <v/>
      </c>
      <c r="L1205" s="1380" t="str">
        <f t="shared" ref="L1205:L1206" si="196">K1246</f>
        <v/>
      </c>
      <c r="M1205" s="1380" t="str">
        <f t="shared" ref="M1205:M1206" si="197">L1246</f>
        <v/>
      </c>
      <c r="N1205" s="1397" t="str">
        <f t="shared" ref="N1205:N1206" si="198">M1246</f>
        <v/>
      </c>
      <c r="O1205" s="19"/>
      <c r="P1205" s="343"/>
      <c r="Q1205" s="343"/>
      <c r="R1205" s="343"/>
      <c r="S1205" s="343"/>
      <c r="T1205" s="343"/>
      <c r="U1205" s="349"/>
      <c r="V1205" s="349"/>
    </row>
    <row r="1206" spans="1:22" s="534" customFormat="1" ht="12.75" hidden="1" customHeight="1" x14ac:dyDescent="0.3">
      <c r="A1206" s="343" t="str">
        <f>IF(P1206="","ausblenden","")</f>
        <v>ausblenden</v>
      </c>
      <c r="B1206" s="15"/>
      <c r="C1206" s="17"/>
      <c r="D1206" s="1386"/>
      <c r="E1206" s="950" t="s">
        <v>1528</v>
      </c>
      <c r="F1206" s="950"/>
      <c r="G1206" s="950"/>
      <c r="H1206" s="957" t="s">
        <v>1112</v>
      </c>
      <c r="I1206" s="951"/>
      <c r="J1206" s="1213" t="str">
        <f>J1152</f>
        <v/>
      </c>
      <c r="K1206" s="1214" t="str">
        <f t="shared" si="195"/>
        <v/>
      </c>
      <c r="L1206" s="1214" t="str">
        <f t="shared" si="196"/>
        <v/>
      </c>
      <c r="M1206" s="1214" t="str">
        <f t="shared" si="197"/>
        <v/>
      </c>
      <c r="N1206" s="1393" t="str">
        <f t="shared" si="198"/>
        <v/>
      </c>
      <c r="O1206" s="19"/>
      <c r="P1206" s="343"/>
      <c r="Q1206" s="343"/>
      <c r="R1206" s="343"/>
      <c r="S1206" s="343"/>
      <c r="T1206" s="343"/>
      <c r="U1206" s="349"/>
      <c r="V1206" s="349"/>
    </row>
    <row r="1207" spans="1:22" s="534" customFormat="1" ht="12.75" customHeight="1" x14ac:dyDescent="0.3">
      <c r="A1207" s="343"/>
      <c r="B1207" s="15"/>
      <c r="C1207" s="17"/>
      <c r="D1207" s="1386"/>
      <c r="E1207" s="514" t="str">
        <f>Translations!$B$1565</f>
        <v>Preliminärt tilldelningsvärde</v>
      </c>
      <c r="F1207" s="514"/>
      <c r="G1207" s="514"/>
      <c r="H1207" s="129" t="str">
        <f>EUconst_EUA</f>
        <v>EUA</v>
      </c>
      <c r="I1207" s="1151"/>
      <c r="J1207" s="1131" t="str">
        <f>IF(J1204="","",MAX(0,ROUND((SUM($M1136)*SUM(J1198)*SUM(J1205)*SUM(J1206)-SUM(J1199)-SUM(J1200)+SUM(J1204))*IF($H1136=TRUE,1,J$2517),0)))</f>
        <v/>
      </c>
      <c r="K1207" s="421" t="str">
        <f>IF(K1204="","",MAX(0,ROUND((SUM($M1136)*SUM(K1198)*SUM(K1205)*SUM(K1206)-SUM(K1199)-SUM(K1200)+SUM(K1204))*IF($H1136=TRUE,1,K$2517),0)))</f>
        <v/>
      </c>
      <c r="L1207" s="421" t="str">
        <f>IF(L1204="","",MAX(0,ROUND((SUM($M1136)*SUM(L1198)*SUM(L1205)*SUM(L1206)-SUM(L1199)-SUM(L1200)+SUM(L1204))*IF($H1136=TRUE,1,L$2517),0)))</f>
        <v/>
      </c>
      <c r="M1207" s="421" t="str">
        <f>IF(M1204="","",MAX(0,ROUND((SUM($M1136)*SUM(M1198)*SUM(M1205)*SUM(M1206)-SUM(M1199)-SUM(M1200)+SUM(M1204))*IF($H1136=TRUE,1,M$2517),0)))</f>
        <v/>
      </c>
      <c r="N1207" s="967" t="str">
        <f>IF(N1204="","",MAX(0,ROUND((SUM($M1136)*SUM(N1198)*SUM(N1205)*SUM(N1206)-SUM(N1199)-SUM(N1200)+SUM(N1204))*IF($H1136=TRUE,1,N$2517),0)))</f>
        <v/>
      </c>
      <c r="O1207" s="19"/>
      <c r="P1207" s="343"/>
      <c r="Q1207" s="343"/>
      <c r="R1207" s="343"/>
      <c r="S1207" s="343"/>
      <c r="T1207" s="343"/>
      <c r="U1207" s="349"/>
      <c r="V1207" s="349"/>
    </row>
    <row r="1208" spans="1:22" s="534" customFormat="1" ht="12.75" customHeight="1" x14ac:dyDescent="0.3">
      <c r="A1208" s="343"/>
      <c r="B1208" s="15"/>
      <c r="C1208" s="17"/>
      <c r="D1208" s="1386"/>
      <c r="E1208" s="514" t="str">
        <f>Translations!$B$1569</f>
        <v>Skillnad i tilldelning</v>
      </c>
      <c r="F1208" s="514"/>
      <c r="G1208" s="514"/>
      <c r="H1208" s="129" t="str">
        <f>EUconst_EUA</f>
        <v>EUA</v>
      </c>
      <c r="I1208" s="1151"/>
      <c r="J1208" s="1131" t="str">
        <f>IF(J1207="","",ABS(SUM(J1207)-SUM(J1153)))</f>
        <v/>
      </c>
      <c r="K1208" s="421" t="str">
        <f>IF(K1207="","",ABS(SUM(K1207)-SUM(K1153)))</f>
        <v/>
      </c>
      <c r="L1208" s="421" t="str">
        <f>IF(L1207="","",ABS(SUM(L1207)-SUM(L1153)))</f>
        <v/>
      </c>
      <c r="M1208" s="421" t="str">
        <f>IF(M1207="","",ABS(SUM(M1207)-SUM(M1153)))</f>
        <v/>
      </c>
      <c r="N1208" s="967" t="str">
        <f>IF(N1207="","",ABS(SUM(N1207)-SUM(N1153)))</f>
        <v/>
      </c>
      <c r="O1208" s="19"/>
      <c r="P1208" s="343"/>
      <c r="Q1208" s="343"/>
      <c r="R1208" s="343"/>
      <c r="S1208" s="343"/>
      <c r="T1208" s="343"/>
      <c r="U1208" s="349"/>
      <c r="V1208" s="349"/>
    </row>
    <row r="1209" spans="1:22" s="534" customFormat="1" ht="12.75" customHeight="1" x14ac:dyDescent="0.3">
      <c r="A1209" s="343"/>
      <c r="B1209" s="15"/>
      <c r="C1209" s="17"/>
      <c r="D1209" s="1386"/>
      <c r="E1209" s="1419" t="str">
        <f>Translations!$B$1579</f>
        <v>Kriterium 4d: Är skillnaden minst 100 utsläppsrätter?</v>
      </c>
      <c r="F1209" s="514"/>
      <c r="G1209" s="514"/>
      <c r="H1209" s="1424" t="s">
        <v>1112</v>
      </c>
      <c r="I1209" s="1425"/>
      <c r="J1209" s="1426" t="str">
        <f>IF(J1208="","",J1208&gt;=100)</f>
        <v/>
      </c>
      <c r="K1209" s="1427" t="str">
        <f>IF(K1208="","",K1208&gt;=100)</f>
        <v/>
      </c>
      <c r="L1209" s="1427" t="str">
        <f>IF(L1208="","",L1208&gt;=100)</f>
        <v/>
      </c>
      <c r="M1209" s="1427" t="str">
        <f>IF(M1208="","",M1208&gt;=100)</f>
        <v/>
      </c>
      <c r="N1209" s="1428" t="str">
        <f>IF(N1208="","",N1208&gt;=100)</f>
        <v/>
      </c>
      <c r="O1209" s="19"/>
      <c r="P1209" s="165" t="str">
        <f>EUconst_CNTR_100EUA_HVC&amp;I1133</f>
        <v>EUA100HVC_</v>
      </c>
      <c r="Q1209" s="343"/>
      <c r="R1209" s="343"/>
      <c r="S1209" s="343"/>
      <c r="T1209" s="343"/>
      <c r="U1209" s="349"/>
      <c r="V1209" s="349"/>
    </row>
    <row r="1210" spans="1:22" s="534" customFormat="1" ht="5.15" customHeight="1" x14ac:dyDescent="0.3">
      <c r="A1210" s="343"/>
      <c r="B1210" s="15"/>
      <c r="C1210" s="17"/>
      <c r="D1210" s="1386"/>
      <c r="E1210" s="15"/>
      <c r="F1210" s="15"/>
      <c r="G1210" s="15"/>
      <c r="H1210" s="15"/>
      <c r="I1210" s="941"/>
      <c r="J1210" s="15"/>
      <c r="K1210" s="15"/>
      <c r="L1210" s="15"/>
      <c r="M1210" s="15"/>
      <c r="N1210" s="968"/>
      <c r="O1210" s="19"/>
      <c r="P1210" s="343"/>
      <c r="Q1210" s="343"/>
      <c r="R1210" s="343"/>
      <c r="S1210" s="343"/>
      <c r="T1210" s="343"/>
      <c r="U1210" s="349"/>
      <c r="V1210" s="349"/>
    </row>
    <row r="1211" spans="1:22" s="534" customFormat="1" ht="12.75" customHeight="1" x14ac:dyDescent="0.3">
      <c r="A1211" s="343"/>
      <c r="B1211" s="15"/>
      <c r="C1211" s="17"/>
      <c r="D1211" s="1386"/>
      <c r="E1211" s="42" t="str">
        <f>Translations!$B$1580</f>
        <v>Ändringar: VCM-korrigering</v>
      </c>
      <c r="F1211" s="188"/>
      <c r="G1211" s="188"/>
      <c r="H1211" s="30" t="str">
        <f>EUconst_Unit</f>
        <v>Enhet</v>
      </c>
      <c r="I1211" s="1157"/>
      <c r="J1211" s="1065">
        <f>J$2596</f>
        <v>2021</v>
      </c>
      <c r="K1211" s="350">
        <f>K$2596</f>
        <v>2022</v>
      </c>
      <c r="L1211" s="350">
        <f>L$2596</f>
        <v>2023</v>
      </c>
      <c r="M1211" s="350">
        <f>M$2596</f>
        <v>2024</v>
      </c>
      <c r="N1211" s="966">
        <f>N$2596</f>
        <v>2025</v>
      </c>
      <c r="O1211" s="19"/>
      <c r="P1211" s="343"/>
      <c r="Q1211" s="343"/>
      <c r="R1211" s="343"/>
      <c r="S1211" s="343"/>
      <c r="T1211" s="343"/>
      <c r="U1211" s="349"/>
      <c r="V1211" s="349"/>
    </row>
    <row r="1212" spans="1:22" s="534" customFormat="1" ht="12.75" hidden="1" customHeight="1" x14ac:dyDescent="0.3">
      <c r="A1212" s="343" t="str">
        <f>IF(P1212="","ausblenden","")</f>
        <v>ausblenden</v>
      </c>
      <c r="B1212" s="15"/>
      <c r="C1212" s="17"/>
      <c r="D1212" s="1386"/>
      <c r="E1212" s="514" t="s">
        <v>1918</v>
      </c>
      <c r="F1212" s="514"/>
      <c r="G1212" s="514"/>
      <c r="H1212" s="917" t="str">
        <f>H1198</f>
        <v>ton</v>
      </c>
      <c r="I1212" s="514"/>
      <c r="J1212" s="1152" t="str">
        <f>J1147</f>
        <v/>
      </c>
      <c r="K1212" s="943" t="str">
        <f t="shared" ref="K1212:K1216" si="199">J1242</f>
        <v/>
      </c>
      <c r="L1212" s="943" t="str">
        <f t="shared" ref="L1212:L1216" si="200">K1242</f>
        <v/>
      </c>
      <c r="M1212" s="943" t="str">
        <f t="shared" ref="M1212:M1216" si="201">L1242</f>
        <v/>
      </c>
      <c r="N1212" s="1389" t="str">
        <f t="shared" ref="N1212:N1216" si="202">M1242</f>
        <v/>
      </c>
      <c r="O1212" s="19"/>
      <c r="P1212" s="343"/>
      <c r="Q1212" s="343"/>
      <c r="R1212" s="343"/>
      <c r="S1212" s="343"/>
      <c r="T1212" s="343"/>
      <c r="U1212" s="349"/>
      <c r="V1212" s="349"/>
    </row>
    <row r="1213" spans="1:22" s="534" customFormat="1" ht="12.75" hidden="1" customHeight="1" x14ac:dyDescent="0.3">
      <c r="A1213" s="343" t="str">
        <f>IF(P1213="","ausblenden","")</f>
        <v>ausblenden</v>
      </c>
      <c r="B1213" s="15"/>
      <c r="C1213" s="17"/>
      <c r="D1213" s="1386"/>
      <c r="E1213" s="944" t="s">
        <v>339</v>
      </c>
      <c r="F1213" s="944"/>
      <c r="G1213" s="944"/>
      <c r="H1213" s="954" t="str">
        <f>EUconst_EUA</f>
        <v>EUA</v>
      </c>
      <c r="I1213" s="945"/>
      <c r="J1213" s="1209" t="str">
        <f>J1148</f>
        <v/>
      </c>
      <c r="K1213" s="1210" t="str">
        <f t="shared" si="199"/>
        <v/>
      </c>
      <c r="L1213" s="1210" t="str">
        <f t="shared" si="200"/>
        <v/>
      </c>
      <c r="M1213" s="1210" t="str">
        <f t="shared" si="201"/>
        <v/>
      </c>
      <c r="N1213" s="1390" t="str">
        <f t="shared" si="202"/>
        <v/>
      </c>
      <c r="O1213" s="19"/>
      <c r="P1213" s="343"/>
      <c r="Q1213" s="343"/>
      <c r="R1213" s="343"/>
      <c r="S1213" s="343"/>
      <c r="T1213" s="343"/>
      <c r="U1213" s="349"/>
      <c r="V1213" s="349"/>
    </row>
    <row r="1214" spans="1:22" s="534" customFormat="1" ht="12.75" hidden="1" customHeight="1" x14ac:dyDescent="0.3">
      <c r="A1214" s="343" t="str">
        <f>IF(P1214="","ausblenden","")</f>
        <v>ausblenden</v>
      </c>
      <c r="B1214" s="15"/>
      <c r="C1214" s="17"/>
      <c r="D1214" s="1386"/>
      <c r="E1214" s="947" t="s">
        <v>1560</v>
      </c>
      <c r="F1214" s="947"/>
      <c r="G1214" s="947"/>
      <c r="H1214" s="955" t="str">
        <f>EUconst_EUA</f>
        <v>EUA</v>
      </c>
      <c r="I1214" s="948"/>
      <c r="J1214" s="1165" t="str">
        <f>J1149</f>
        <v/>
      </c>
      <c r="K1214" s="975" t="str">
        <f t="shared" si="199"/>
        <v/>
      </c>
      <c r="L1214" s="975" t="str">
        <f t="shared" si="200"/>
        <v/>
      </c>
      <c r="M1214" s="975" t="str">
        <f t="shared" si="201"/>
        <v/>
      </c>
      <c r="N1214" s="1391" t="str">
        <f t="shared" si="202"/>
        <v/>
      </c>
      <c r="O1214" s="19"/>
      <c r="P1214" s="343"/>
      <c r="Q1214" s="343"/>
      <c r="R1214" s="343"/>
      <c r="S1214" s="343"/>
      <c r="T1214" s="343"/>
      <c r="U1214" s="349"/>
      <c r="V1214" s="349"/>
    </row>
    <row r="1215" spans="1:22" s="534" customFormat="1" ht="12.75" hidden="1" customHeight="1" x14ac:dyDescent="0.3">
      <c r="A1215" s="343" t="str">
        <f>IF(P1215="","ausblenden","")</f>
        <v>ausblenden</v>
      </c>
      <c r="B1215" s="15"/>
      <c r="C1215" s="17"/>
      <c r="D1215" s="1386"/>
      <c r="E1215" s="947" t="s">
        <v>1527</v>
      </c>
      <c r="F1215" s="947"/>
      <c r="G1215" s="947"/>
      <c r="H1215" s="955" t="str">
        <f>EUconst_EUA</f>
        <v>EUA</v>
      </c>
      <c r="I1215" s="948"/>
      <c r="J1215" s="1165" t="str">
        <f>J1150</f>
        <v/>
      </c>
      <c r="K1215" s="975" t="str">
        <f t="shared" si="199"/>
        <v/>
      </c>
      <c r="L1215" s="975" t="str">
        <f t="shared" si="200"/>
        <v/>
      </c>
      <c r="M1215" s="975" t="str">
        <f t="shared" si="201"/>
        <v/>
      </c>
      <c r="N1215" s="1391" t="str">
        <f t="shared" si="202"/>
        <v/>
      </c>
      <c r="O1215" s="19"/>
      <c r="P1215" s="343"/>
      <c r="Q1215" s="343"/>
      <c r="R1215" s="343"/>
      <c r="S1215" s="343"/>
      <c r="T1215" s="343"/>
      <c r="U1215" s="349"/>
      <c r="V1215" s="349"/>
    </row>
    <row r="1216" spans="1:22" s="534" customFormat="1" ht="12.75" hidden="1" customHeight="1" x14ac:dyDescent="0.3">
      <c r="A1216" s="343" t="str">
        <f>IF(P1216="","ausblenden","")</f>
        <v>ausblenden</v>
      </c>
      <c r="B1216" s="15"/>
      <c r="C1216" s="17"/>
      <c r="D1216" s="1386"/>
      <c r="E1216" s="1433" t="s">
        <v>1526</v>
      </c>
      <c r="F1216" s="1433"/>
      <c r="G1216" s="1433"/>
      <c r="H1216" s="1448" t="s">
        <v>1112</v>
      </c>
      <c r="I1216" s="1435"/>
      <c r="J1216" s="1449" t="str">
        <f>J1151</f>
        <v/>
      </c>
      <c r="K1216" s="1450" t="str">
        <f t="shared" si="199"/>
        <v/>
      </c>
      <c r="L1216" s="1450" t="str">
        <f t="shared" si="200"/>
        <v/>
      </c>
      <c r="M1216" s="1450" t="str">
        <f t="shared" si="201"/>
        <v/>
      </c>
      <c r="N1216" s="1451" t="str">
        <f t="shared" si="202"/>
        <v/>
      </c>
      <c r="O1216" s="19"/>
      <c r="P1216" s="343"/>
      <c r="Q1216" s="343"/>
      <c r="R1216" s="343"/>
      <c r="S1216" s="343"/>
      <c r="T1216" s="343"/>
      <c r="U1216" s="349"/>
      <c r="V1216" s="349"/>
    </row>
    <row r="1217" spans="1:22" s="534" customFormat="1" ht="12.75" customHeight="1" x14ac:dyDescent="0.3">
      <c r="A1217" s="343"/>
      <c r="B1217" s="15"/>
      <c r="C1217" s="17"/>
      <c r="D1217" s="1386"/>
      <c r="E1217" s="944" t="str">
        <f>Translations!$B$1482</f>
        <v>Genomsnittligt årligt värde</v>
      </c>
      <c r="F1217" s="944"/>
      <c r="G1217" s="944"/>
      <c r="H1217" s="627" t="s">
        <v>1112</v>
      </c>
      <c r="I1217" s="945"/>
      <c r="J1217" s="1439" t="str">
        <f>IF(L1136=47,INDEX(H_SpecialBM!J:J,MATCH($P1217,H_SpecialBM!$Q:$Q,0)),"")</f>
        <v/>
      </c>
      <c r="K1217" s="1440" t="str">
        <f>IF(L1136=47,INDEX(H_SpecialBM!K:K,MATCH($P1217,H_SpecialBM!$Q:$Q,0)),"")</f>
        <v/>
      </c>
      <c r="L1217" s="1440" t="str">
        <f>IF(L1136=47,INDEX(H_SpecialBM!L:L,MATCH($P1217,H_SpecialBM!$Q:$Q,0)),"")</f>
        <v/>
      </c>
      <c r="M1217" s="1440" t="str">
        <f>IF(L1136=47,INDEX(H_SpecialBM!M:M,MATCH($P1217,H_SpecialBM!$Q:$Q,0)),"")</f>
        <v/>
      </c>
      <c r="N1217" s="1441" t="str">
        <f>IF(L1136=47,INDEX(H_SpecialBM!N:N,MATCH($P1217,H_SpecialBM!$Q:$Q,0)),"")</f>
        <v/>
      </c>
      <c r="O1217" s="19"/>
      <c r="P1217" s="165" t="str">
        <f>EUconst_CNTR_VCMInitial &amp; INDEX(EUconst_BMlistNames,47)</f>
        <v>VCMIni_Vinylkloridmonomer</v>
      </c>
      <c r="Q1217" s="343"/>
      <c r="R1217" s="343"/>
      <c r="S1217" s="343"/>
      <c r="T1217" s="343"/>
      <c r="U1217" s="349"/>
      <c r="V1217" s="349"/>
    </row>
    <row r="1218" spans="1:22" s="534" customFormat="1" ht="12.75" customHeight="1" x14ac:dyDescent="0.3">
      <c r="A1218" s="343"/>
      <c r="B1218" s="15"/>
      <c r="C1218" s="17"/>
      <c r="D1218" s="1386"/>
      <c r="E1218" s="947" t="str">
        <f>Translations!$B$1571</f>
        <v>Ändring jämfört med värde enligt nationella genomförandeåtgärder</v>
      </c>
      <c r="F1218" s="947"/>
      <c r="G1218" s="947"/>
      <c r="H1218" s="1370" t="s">
        <v>1112</v>
      </c>
      <c r="I1218" s="1371"/>
      <c r="J1218" s="1415" t="str">
        <f>IF(L1136=47,INDEX(H_SpecialBM!J:J,MATCH($P1218,H_SpecialBM!$Q:$Q,0)),"")</f>
        <v/>
      </c>
      <c r="K1218" s="1416" t="str">
        <f>IF(L1136=47,INDEX(H_SpecialBM!K:K,MATCH($P1218,H_SpecialBM!$Q:$Q,0)),"")</f>
        <v/>
      </c>
      <c r="L1218" s="1416" t="str">
        <f>IF(L1136=47,INDEX(H_SpecialBM!L:L,MATCH($P1218,H_SpecialBM!$Q:$Q,0)),"")</f>
        <v/>
      </c>
      <c r="M1218" s="1416" t="str">
        <f>IF(L1136=47,INDEX(H_SpecialBM!M:M,MATCH($P1218,H_SpecialBM!$Q:$Q,0)),"")</f>
        <v/>
      </c>
      <c r="N1218" s="1417" t="str">
        <f>IF(L1136=47,INDEX(H_SpecialBM!N:N,MATCH($P1218,H_SpecialBM!$Q:$Q,0)),"")</f>
        <v/>
      </c>
      <c r="O1218" s="19"/>
      <c r="P1218" s="165" t="str">
        <f>EUconst_CNTR_RelThreshold &amp; P1220</f>
        <v>RelThresh_VCMprelim_</v>
      </c>
      <c r="Q1218" s="343"/>
      <c r="R1218" s="343"/>
      <c r="S1218" s="343"/>
      <c r="T1218" s="343"/>
      <c r="U1218" s="349"/>
      <c r="V1218" s="349"/>
    </row>
    <row r="1219" spans="1:22" s="534" customFormat="1" ht="12.75" customHeight="1" x14ac:dyDescent="0.3">
      <c r="A1219" s="343"/>
      <c r="B1219" s="15"/>
      <c r="C1219" s="17"/>
      <c r="D1219" s="1386"/>
      <c r="E1219" s="1418" t="str">
        <f>Translations!$B$1581</f>
        <v>Kriterium 3e: Har relativa tröskelvärden överskridits?</v>
      </c>
      <c r="F1219" s="1418"/>
      <c r="G1219" s="1418"/>
      <c r="H1219" s="1423" t="s">
        <v>1112</v>
      </c>
      <c r="I1219" s="1423"/>
      <c r="J1219" s="1420" t="str">
        <f>IF(L1136=47,INDEX(H_SpecialBM!V:V,MATCH($P1219,H_SpecialBM!$Q:$Q,0)),"")</f>
        <v/>
      </c>
      <c r="K1219" s="1421" t="str">
        <f>IF(L1136=47,INDEX(H_SpecialBM!W:W,MATCH($P1219,H_SpecialBM!$Q:$Q,0)),"")</f>
        <v/>
      </c>
      <c r="L1219" s="1421" t="str">
        <f>IF(L1136=47,INDEX(H_SpecialBM!X:X,MATCH($P1219,H_SpecialBM!$Q:$Q,0)),"")</f>
        <v/>
      </c>
      <c r="M1219" s="1421" t="str">
        <f>IF(L1136=47,INDEX(H_SpecialBM!Y:Y,MATCH($P1219,H_SpecialBM!$Q:$Q,0)),"")</f>
        <v/>
      </c>
      <c r="N1219" s="1422" t="str">
        <f>IF(L1136=47,INDEX(H_SpecialBM!Z:Z,MATCH($P1219,H_SpecialBM!$Q:$Q,0)),"")</f>
        <v/>
      </c>
      <c r="O1219" s="19"/>
      <c r="P1219" s="165" t="str">
        <f>P1218</f>
        <v>RelThresh_VCMprelim_</v>
      </c>
      <c r="Q1219" s="343"/>
      <c r="R1219" s="343"/>
      <c r="S1219" s="343"/>
      <c r="T1219" s="343"/>
      <c r="U1219" s="349"/>
      <c r="V1219" s="349"/>
    </row>
    <row r="1220" spans="1:22" s="534" customFormat="1" ht="12.75" customHeight="1" x14ac:dyDescent="0.3">
      <c r="A1220" s="343" t="str">
        <f>IF(P1220="","ausblenden","")</f>
        <v/>
      </c>
      <c r="B1220" s="15"/>
      <c r="C1220" s="17"/>
      <c r="D1220" s="1386"/>
      <c r="E1220" s="950" t="str">
        <f>Translations!$B$1568</f>
        <v>Preliminärt värde</v>
      </c>
      <c r="F1220" s="950"/>
      <c r="G1220" s="950"/>
      <c r="H1220" s="957" t="s">
        <v>1112</v>
      </c>
      <c r="I1220" s="951"/>
      <c r="J1220" s="1404" t="str">
        <f>IF($L1136=47,IF(ISNUMBER(INDEX(H_SpecialBM!J:J,MATCH($P1220,H_SpecialBM!$Q:$Q,0))),INDEX(H_SpecialBM!J:J,MATCH($P1220,H_SpecialBM!$Q:$Q,0)),1),"")</f>
        <v/>
      </c>
      <c r="K1220" s="1405" t="str">
        <f>IF($L1136=47,IF(ISNUMBER(INDEX(H_SpecialBM!K:K,MATCH($P1220,H_SpecialBM!$Q:$Q,0))),INDEX(H_SpecialBM!K:K,MATCH($P1220,H_SpecialBM!$Q:$Q,0)),1),"")</f>
        <v/>
      </c>
      <c r="L1220" s="1405" t="str">
        <f>IF($L1136=47,IF(ISNUMBER(INDEX(H_SpecialBM!L:L,MATCH($P1220,H_SpecialBM!$Q:$Q,0))),INDEX(H_SpecialBM!L:L,MATCH($P1220,H_SpecialBM!$Q:$Q,0)),1),"")</f>
        <v/>
      </c>
      <c r="M1220" s="1405" t="str">
        <f>IF($L1136=47,IF(ISNUMBER(INDEX(H_SpecialBM!M:M,MATCH($P1220,H_SpecialBM!$Q:$Q,0))),INDEX(H_SpecialBM!M:M,MATCH($P1220,H_SpecialBM!$Q:$Q,0)),1),"")</f>
        <v/>
      </c>
      <c r="N1220" s="1406" t="str">
        <f>IF($L1136=47,IF(ISNUMBER(INDEX(H_SpecialBM!N:N,MATCH($P1220,H_SpecialBM!$Q:$Q,0))),INDEX(H_SpecialBM!N:N,MATCH($P1220,H_SpecialBM!$Q:$Q,0)),1),"")</f>
        <v/>
      </c>
      <c r="O1220" s="19"/>
      <c r="P1220" s="165" t="str">
        <f>EUconst_CNTR_VCMprelim</f>
        <v>VCMprelim_</v>
      </c>
      <c r="Q1220" s="343"/>
      <c r="R1220" s="343"/>
      <c r="S1220" s="343"/>
      <c r="T1220" s="343"/>
      <c r="U1220" s="349"/>
      <c r="V1220" s="349"/>
    </row>
    <row r="1221" spans="1:22" s="534" customFormat="1" ht="12.75" customHeight="1" x14ac:dyDescent="0.3">
      <c r="A1221" s="343"/>
      <c r="B1221" s="15"/>
      <c r="C1221" s="17"/>
      <c r="D1221" s="1386"/>
      <c r="E1221" s="514" t="str">
        <f>Translations!$B$1565</f>
        <v>Preliminärt tilldelningsvärde</v>
      </c>
      <c r="F1221" s="514"/>
      <c r="G1221" s="514"/>
      <c r="H1221" s="129" t="str">
        <f>EUconst_EUA</f>
        <v>EUA</v>
      </c>
      <c r="I1221" s="1151"/>
      <c r="J1221" s="1131" t="str">
        <f>IF(J1220="","",MAX(0,ROUND((SUM($M1136)*SUM(J1212)*SUM(J1216)*SUM(J1220)-SUM(J1213)-SUM(J1214)+SUM(J1215))*IF($H1136=TRUE,1,J$2517),0)))</f>
        <v/>
      </c>
      <c r="K1221" s="421" t="str">
        <f>IF(K1220="","",MAX(0,ROUND((SUM($M1136)*SUM(K1212)*SUM(K1216)*SUM(K1220)-SUM(K1213)-SUM(K1214)+SUM(K1215))*IF($H1136=TRUE,1,K$2517),0)))</f>
        <v/>
      </c>
      <c r="L1221" s="421" t="str">
        <f>IF(L1220="","",MAX(0,ROUND((SUM($M1136)*SUM(L1212)*SUM(L1216)*SUM(L1220)-SUM(L1213)-SUM(L1214)+SUM(L1215))*IF($H1136=TRUE,1,L$2517),0)))</f>
        <v/>
      </c>
      <c r="M1221" s="421" t="str">
        <f>IF(M1220="","",MAX(0,ROUND((SUM($M1136)*SUM(M1212)*SUM(M1216)*SUM(M1220)-SUM(M1213)-SUM(M1214)+SUM(M1215))*IF($H1136=TRUE,1,M$2517),0)))</f>
        <v/>
      </c>
      <c r="N1221" s="967" t="str">
        <f>IF(N1220="","",MAX(0,ROUND((SUM($M1136)*SUM(N1212)*SUM(N1216)*SUM(N1220)-SUM(N1213)-SUM(N1214)+SUM(N1215))*IF($H1136=TRUE,1,N$2517),0)))</f>
        <v/>
      </c>
      <c r="O1221" s="19"/>
      <c r="P1221" s="343"/>
      <c r="Q1221" s="343"/>
      <c r="R1221" s="343"/>
      <c r="S1221" s="343"/>
      <c r="T1221" s="343"/>
      <c r="U1221" s="349"/>
      <c r="V1221" s="349"/>
    </row>
    <row r="1222" spans="1:22" s="534" customFormat="1" ht="12.75" customHeight="1" x14ac:dyDescent="0.3">
      <c r="A1222" s="343"/>
      <c r="B1222" s="15"/>
      <c r="C1222" s="17"/>
      <c r="D1222" s="1386"/>
      <c r="E1222" s="514" t="str">
        <f>Translations!$B$1569</f>
        <v>Skillnad i tilldelning</v>
      </c>
      <c r="F1222" s="514"/>
      <c r="G1222" s="514"/>
      <c r="H1222" s="129" t="str">
        <f>EUconst_EUA</f>
        <v>EUA</v>
      </c>
      <c r="I1222" s="1151"/>
      <c r="J1222" s="1131" t="str">
        <f>IF(J1221="","",ABS(SUM(J1221)-SUM(J1153)))</f>
        <v/>
      </c>
      <c r="K1222" s="421" t="str">
        <f>IF(K1221="","",ABS(SUM(K1221)-SUM(K1153)))</f>
        <v/>
      </c>
      <c r="L1222" s="421" t="str">
        <f>IF(L1221="","",ABS(SUM(L1221)-SUM(L1153)))</f>
        <v/>
      </c>
      <c r="M1222" s="421" t="str">
        <f>IF(M1221="","",ABS(SUM(M1221)-SUM(M1153)))</f>
        <v/>
      </c>
      <c r="N1222" s="967" t="str">
        <f>IF(N1221="","",ABS(SUM(N1221)-SUM(N1153)))</f>
        <v/>
      </c>
      <c r="O1222" s="19"/>
      <c r="P1222" s="343"/>
      <c r="Q1222" s="343"/>
      <c r="R1222" s="343"/>
      <c r="S1222" s="343"/>
      <c r="T1222" s="343"/>
      <c r="U1222" s="349"/>
      <c r="V1222" s="349"/>
    </row>
    <row r="1223" spans="1:22" s="534" customFormat="1" ht="12.75" customHeight="1" x14ac:dyDescent="0.3">
      <c r="A1223" s="343"/>
      <c r="B1223" s="15"/>
      <c r="C1223" s="17"/>
      <c r="D1223" s="1386"/>
      <c r="E1223" s="1419" t="str">
        <f>Translations!$B$1582</f>
        <v>Kriterium 4e: Är skillnaden minst 100 utsläppsrätter?</v>
      </c>
      <c r="F1223" s="514"/>
      <c r="G1223" s="514"/>
      <c r="H1223" s="1424" t="s">
        <v>1112</v>
      </c>
      <c r="I1223" s="1425"/>
      <c r="J1223" s="1426" t="str">
        <f>IF(J1222="","",J1222&gt;=100)</f>
        <v/>
      </c>
      <c r="K1223" s="1427" t="str">
        <f>IF(K1222="","",K1222&gt;=100)</f>
        <v/>
      </c>
      <c r="L1223" s="1427" t="str">
        <f>IF(L1222="","",L1222&gt;=100)</f>
        <v/>
      </c>
      <c r="M1223" s="1427" t="str">
        <f>IF(M1222="","",M1222&gt;=100)</f>
        <v/>
      </c>
      <c r="N1223" s="1428" t="str">
        <f>IF(N1222="","",N1222&gt;=100)</f>
        <v/>
      </c>
      <c r="O1223" s="19"/>
      <c r="P1223" s="165" t="str">
        <f>EUconst_CNTR_100EUA_VCM&amp;I1160</f>
        <v>EUA100VCM_</v>
      </c>
      <c r="Q1223" s="343"/>
      <c r="R1223" s="343"/>
      <c r="S1223" s="343"/>
      <c r="T1223" s="343"/>
      <c r="U1223" s="349"/>
      <c r="V1223" s="349"/>
    </row>
    <row r="1224" spans="1:22" s="534" customFormat="1" ht="5.15" customHeight="1" x14ac:dyDescent="0.3">
      <c r="A1224" s="343"/>
      <c r="B1224" s="15"/>
      <c r="C1224" s="17"/>
      <c r="D1224" s="1386"/>
      <c r="E1224" s="15"/>
      <c r="F1224" s="15"/>
      <c r="G1224" s="15"/>
      <c r="H1224" s="15"/>
      <c r="I1224" s="941"/>
      <c r="J1224" s="15"/>
      <c r="K1224" s="15"/>
      <c r="L1224" s="15"/>
      <c r="M1224" s="15"/>
      <c r="N1224" s="968"/>
      <c r="O1224" s="19"/>
      <c r="P1224" s="343"/>
      <c r="Q1224" s="343"/>
      <c r="R1224" s="343"/>
      <c r="S1224" s="343"/>
      <c r="T1224" s="343"/>
      <c r="U1224" s="349"/>
      <c r="V1224" s="349"/>
    </row>
    <row r="1225" spans="1:22" s="534" customFormat="1" ht="12.75" customHeight="1" x14ac:dyDescent="0.3">
      <c r="A1225" s="343"/>
      <c r="B1225" s="15"/>
      <c r="C1225" s="17"/>
      <c r="D1225" s="1386"/>
      <c r="E1225" s="42" t="str">
        <f>Translations!$B$1583</f>
        <v>Ändringar: Facklad restgas</v>
      </c>
      <c r="F1225" s="188"/>
      <c r="G1225" s="188"/>
      <c r="H1225" s="30" t="str">
        <f>EUconst_Unit</f>
        <v>Enhet</v>
      </c>
      <c r="I1225" s="1157"/>
      <c r="J1225" s="1065">
        <f>J$2596</f>
        <v>2021</v>
      </c>
      <c r="K1225" s="350">
        <f>K$2596</f>
        <v>2022</v>
      </c>
      <c r="L1225" s="350">
        <f>L$2596</f>
        <v>2023</v>
      </c>
      <c r="M1225" s="350">
        <f>M$2596</f>
        <v>2024</v>
      </c>
      <c r="N1225" s="966">
        <f>N$2596</f>
        <v>2025</v>
      </c>
      <c r="O1225" s="19"/>
      <c r="P1225" s="343"/>
      <c r="Q1225" s="343"/>
      <c r="R1225" s="343"/>
      <c r="S1225" s="343"/>
      <c r="T1225" s="343"/>
      <c r="U1225" s="349"/>
      <c r="V1225" s="349"/>
    </row>
    <row r="1226" spans="1:22" s="534" customFormat="1" ht="12.75" hidden="1" customHeight="1" x14ac:dyDescent="0.3">
      <c r="A1226" s="343" t="str">
        <f>IF(P1226="","ausblenden","")</f>
        <v>ausblenden</v>
      </c>
      <c r="B1226" s="15"/>
      <c r="C1226" s="17"/>
      <c r="D1226" s="1386"/>
      <c r="E1226" s="514" t="s">
        <v>1918</v>
      </c>
      <c r="F1226" s="514"/>
      <c r="G1226" s="514"/>
      <c r="H1226" s="917" t="str">
        <f>H1212</f>
        <v>ton</v>
      </c>
      <c r="I1226" s="514"/>
      <c r="J1226" s="1152" t="str">
        <f>J1147</f>
        <v/>
      </c>
      <c r="K1226" s="943" t="str">
        <f t="shared" ref="K1226:K1227" si="203">J1242</f>
        <v/>
      </c>
      <c r="L1226" s="943" t="str">
        <f t="shared" ref="L1226:L1227" si="204">K1242</f>
        <v/>
      </c>
      <c r="M1226" s="943" t="str">
        <f t="shared" ref="M1226:M1227" si="205">L1242</f>
        <v/>
      </c>
      <c r="N1226" s="1389" t="str">
        <f t="shared" ref="N1226:N1227" si="206">M1242</f>
        <v/>
      </c>
      <c r="O1226" s="19"/>
      <c r="P1226" s="343"/>
      <c r="Q1226" s="343"/>
      <c r="R1226" s="343"/>
      <c r="S1226" s="343"/>
      <c r="T1226" s="343"/>
      <c r="U1226" s="349"/>
      <c r="V1226" s="349"/>
    </row>
    <row r="1227" spans="1:22" s="534" customFormat="1" ht="12.75" hidden="1" customHeight="1" x14ac:dyDescent="0.3">
      <c r="A1227" s="343" t="str">
        <f>IF(P1227="","ausblenden","")</f>
        <v>ausblenden</v>
      </c>
      <c r="B1227" s="15"/>
      <c r="C1227" s="17"/>
      <c r="D1227" s="1386"/>
      <c r="E1227" s="944" t="s">
        <v>339</v>
      </c>
      <c r="F1227" s="944"/>
      <c r="G1227" s="944"/>
      <c r="H1227" s="954" t="str">
        <f>EUconst_EUA</f>
        <v>EUA</v>
      </c>
      <c r="I1227" s="945"/>
      <c r="J1227" s="1209" t="str">
        <f>J1148</f>
        <v/>
      </c>
      <c r="K1227" s="1210" t="str">
        <f t="shared" si="203"/>
        <v/>
      </c>
      <c r="L1227" s="1210" t="str">
        <f t="shared" si="204"/>
        <v/>
      </c>
      <c r="M1227" s="1210" t="str">
        <f t="shared" si="205"/>
        <v/>
      </c>
      <c r="N1227" s="1390" t="str">
        <f t="shared" si="206"/>
        <v/>
      </c>
      <c r="O1227" s="19"/>
      <c r="P1227" s="343"/>
      <c r="Q1227" s="343"/>
      <c r="R1227" s="343"/>
      <c r="S1227" s="343"/>
      <c r="T1227" s="343"/>
      <c r="U1227" s="349"/>
      <c r="V1227" s="349"/>
    </row>
    <row r="1228" spans="1:22" s="534" customFormat="1" ht="12.75" customHeight="1" x14ac:dyDescent="0.3">
      <c r="A1228" s="343"/>
      <c r="B1228" s="15"/>
      <c r="C1228" s="17"/>
      <c r="D1228" s="1386"/>
      <c r="E1228" s="944" t="str">
        <f>Translations!$B$1482</f>
        <v>Genomsnittligt årligt värde</v>
      </c>
      <c r="F1228" s="944"/>
      <c r="G1228" s="944"/>
      <c r="H1228" s="627" t="str">
        <f>EUconst_tCO2</f>
        <v>t CO2</v>
      </c>
      <c r="I1228" s="945"/>
      <c r="J1228" s="1161" t="str">
        <f>INDEX(F_ProductBM!J:J,MATCH($P1228,F_ProductBM!$Q:$Q,0))</f>
        <v/>
      </c>
      <c r="K1228" s="946" t="str">
        <f>INDEX(F_ProductBM!K:K,MATCH($P1228,F_ProductBM!$Q:$Q,0))</f>
        <v/>
      </c>
      <c r="L1228" s="946" t="str">
        <f>INDEX(F_ProductBM!L:L,MATCH($P1228,F_ProductBM!$Q:$Q,0))</f>
        <v/>
      </c>
      <c r="M1228" s="946" t="str">
        <f>INDEX(F_ProductBM!M:M,MATCH($P1228,F_ProductBM!$Q:$Q,0))</f>
        <v/>
      </c>
      <c r="N1228" s="1046" t="str">
        <f>INDEX(F_ProductBM!N:N,MATCH($P1228,F_ProductBM!$Q:$Q,0))</f>
        <v/>
      </c>
      <c r="O1228" s="19"/>
      <c r="P1228" s="165" t="str">
        <f>EUconst_CNTR_HALinitial &amp; EUconst_CNTR_WGFlared &amp; I1133</f>
        <v>HALini_WasteGasFlare_</v>
      </c>
      <c r="Q1228" s="343"/>
      <c r="R1228" s="343"/>
      <c r="S1228" s="343"/>
      <c r="T1228" s="343"/>
      <c r="U1228" s="349"/>
      <c r="V1228" s="349"/>
    </row>
    <row r="1229" spans="1:22" s="534" customFormat="1" ht="12.75" customHeight="1" x14ac:dyDescent="0.3">
      <c r="A1229" s="343"/>
      <c r="B1229" s="15"/>
      <c r="C1229" s="17"/>
      <c r="D1229" s="1386"/>
      <c r="E1229" s="947" t="str">
        <f>Translations!$B$1571</f>
        <v>Ändring jämfört med värde enligt nationella genomförandeåtgärder</v>
      </c>
      <c r="F1229" s="947"/>
      <c r="G1229" s="947"/>
      <c r="H1229" s="1442" t="s">
        <v>1112</v>
      </c>
      <c r="I1229" s="1371"/>
      <c r="J1229" s="1415" t="str">
        <f>INDEX(F_ProductBM!J:J,MATCH($P1229,F_ProductBM!$Q:$Q,0))</f>
        <v/>
      </c>
      <c r="K1229" s="1416" t="str">
        <f>INDEX(F_ProductBM!K:K,MATCH($P1229,F_ProductBM!$Q:$Q,0))</f>
        <v/>
      </c>
      <c r="L1229" s="1416" t="str">
        <f>INDEX(F_ProductBM!L:L,MATCH($P1229,F_ProductBM!$Q:$Q,0))</f>
        <v/>
      </c>
      <c r="M1229" s="1416" t="str">
        <f>INDEX(F_ProductBM!M:M,MATCH($P1229,F_ProductBM!$Q:$Q,0))</f>
        <v/>
      </c>
      <c r="N1229" s="1417" t="str">
        <f>INDEX(F_ProductBM!N:N,MATCH($P1229,F_ProductBM!$Q:$Q,0))</f>
        <v/>
      </c>
      <c r="O1229" s="19"/>
      <c r="P1229" s="165" t="str">
        <f>EUconst_CNTR_RelThreshold &amp; P1231</f>
        <v>RelThresh_HALprelim_WasteGasFlare_</v>
      </c>
      <c r="Q1229" s="343"/>
      <c r="R1229" s="343"/>
      <c r="S1229" s="343"/>
      <c r="T1229" s="343"/>
      <c r="U1229" s="349"/>
      <c r="V1229" s="349"/>
    </row>
    <row r="1230" spans="1:22" s="534" customFormat="1" ht="12.75" customHeight="1" x14ac:dyDescent="0.3">
      <c r="A1230" s="343"/>
      <c r="B1230" s="15"/>
      <c r="C1230" s="17"/>
      <c r="D1230" s="1386"/>
      <c r="E1230" s="1418" t="str">
        <f>Translations!$B$1584</f>
        <v>Kriterium 3f: Har relativa tröskelvärden överskridits?</v>
      </c>
      <c r="F1230" s="1418"/>
      <c r="G1230" s="1418"/>
      <c r="H1230" s="1444" t="s">
        <v>1112</v>
      </c>
      <c r="I1230" s="1423"/>
      <c r="J1230" s="1420" t="str">
        <f>INDEX(F_ProductBM!V:V,MATCH($P1230,F_ProductBM!$Q:$Q,0))</f>
        <v/>
      </c>
      <c r="K1230" s="1421" t="str">
        <f>INDEX(F_ProductBM!W:W,MATCH($P1230,F_ProductBM!$Q:$Q,0))</f>
        <v/>
      </c>
      <c r="L1230" s="1421" t="str">
        <f>INDEX(F_ProductBM!X:X,MATCH($P1230,F_ProductBM!$Q:$Q,0))</f>
        <v/>
      </c>
      <c r="M1230" s="1421" t="str">
        <f>INDEX(F_ProductBM!Y:Y,MATCH($P1230,F_ProductBM!$Q:$Q,0))</f>
        <v/>
      </c>
      <c r="N1230" s="1422" t="str">
        <f>INDEX(F_ProductBM!Z:Z,MATCH($P1230,F_ProductBM!$Q:$Q,0))</f>
        <v/>
      </c>
      <c r="O1230" s="19"/>
      <c r="P1230" s="165" t="str">
        <f>P1229</f>
        <v>RelThresh_HALprelim_WasteGasFlare_</v>
      </c>
      <c r="Q1230" s="343"/>
      <c r="R1230" s="343"/>
      <c r="S1230" s="343"/>
      <c r="T1230" s="343"/>
      <c r="U1230" s="349"/>
      <c r="V1230" s="349"/>
    </row>
    <row r="1231" spans="1:22" s="534" customFormat="1" ht="12.75" customHeight="1" x14ac:dyDescent="0.3">
      <c r="A1231" s="343" t="str">
        <f>IF(P1231="","ausblenden","")</f>
        <v/>
      </c>
      <c r="B1231" s="15"/>
      <c r="C1231" s="17"/>
      <c r="D1231" s="1386"/>
      <c r="E1231" s="950" t="str">
        <f>Translations!$B$1568</f>
        <v>Preliminärt värde</v>
      </c>
      <c r="F1231" s="950"/>
      <c r="G1231" s="950"/>
      <c r="H1231" s="957" t="str">
        <f>EUconst_tCO2</f>
        <v>t CO2</v>
      </c>
      <c r="I1231" s="951"/>
      <c r="J1231" s="1373" t="str">
        <f>IF(OR($I1133="",CNTR_SubPeriod=1),"",INDEX(F_ProductBM!J:J,MATCH($P1231,F_ProductBM!$Q:$Q,0)))</f>
        <v/>
      </c>
      <c r="K1231" s="1374" t="str">
        <f>IF(OR($I1133="",CNTR_SubPeriod=1),"",INDEX(F_ProductBM!K:K,MATCH($P1231,F_ProductBM!$Q:$Q,0)))</f>
        <v/>
      </c>
      <c r="L1231" s="1374" t="str">
        <f>IF(OR($I1133="",CNTR_SubPeriod=1),"",INDEX(F_ProductBM!L:L,MATCH($P1231,F_ProductBM!$Q:$Q,0)))</f>
        <v/>
      </c>
      <c r="M1231" s="1374" t="str">
        <f>IF(OR($I1133="",CNTR_SubPeriod=1),"",INDEX(F_ProductBM!M:M,MATCH($P1231,F_ProductBM!$Q:$Q,0)))</f>
        <v/>
      </c>
      <c r="N1231" s="1395" t="str">
        <f>IF(OR($I1133="",CNTR_SubPeriod=1),"",INDEX(F_ProductBM!N:N,MATCH($P1231,F_ProductBM!$Q:$Q,0)))</f>
        <v/>
      </c>
      <c r="O1231" s="19"/>
      <c r="P1231" s="165" t="str">
        <f>EUconst_CNTR_HALprelim&amp;EUconst_CNTR_WGFlared&amp;$I1133</f>
        <v>HALprelim_WasteGasFlare_</v>
      </c>
      <c r="Q1231" s="343"/>
      <c r="R1231" s="343"/>
      <c r="S1231" s="343"/>
      <c r="T1231" s="343"/>
      <c r="U1231" s="349"/>
      <c r="V1231" s="349"/>
    </row>
    <row r="1232" spans="1:22" s="534" customFormat="1" ht="12.75" hidden="1" customHeight="1" x14ac:dyDescent="0.3">
      <c r="A1232" s="343" t="str">
        <f>IF(P1232="","ausblenden","")</f>
        <v>ausblenden</v>
      </c>
      <c r="B1232" s="15"/>
      <c r="C1232" s="17"/>
      <c r="D1232" s="1386"/>
      <c r="E1232" s="947" t="s">
        <v>1527</v>
      </c>
      <c r="F1232" s="947"/>
      <c r="G1232" s="947"/>
      <c r="H1232" s="955" t="str">
        <f>EUconst_EUA</f>
        <v>EUA</v>
      </c>
      <c r="I1232" s="948"/>
      <c r="J1232" s="1165" t="str">
        <f>J1150</f>
        <v/>
      </c>
      <c r="K1232" s="975" t="str">
        <f t="shared" ref="K1232:K1234" si="207">J1245</f>
        <v/>
      </c>
      <c r="L1232" s="975" t="str">
        <f t="shared" ref="L1232:L1234" si="208">K1245</f>
        <v/>
      </c>
      <c r="M1232" s="975" t="str">
        <f t="shared" ref="M1232:M1234" si="209">L1245</f>
        <v/>
      </c>
      <c r="N1232" s="1391" t="str">
        <f t="shared" ref="N1232:N1234" si="210">M1245</f>
        <v/>
      </c>
      <c r="O1232" s="19"/>
      <c r="P1232" s="343"/>
      <c r="Q1232" s="343"/>
      <c r="R1232" s="343"/>
      <c r="S1232" s="343"/>
      <c r="T1232" s="343"/>
      <c r="U1232" s="349"/>
      <c r="V1232" s="349"/>
    </row>
    <row r="1233" spans="1:22" s="534" customFormat="1" ht="12.75" hidden="1" customHeight="1" x14ac:dyDescent="0.3">
      <c r="A1233" s="343" t="str">
        <f>IF(P1233="","ausblenden","")</f>
        <v>ausblenden</v>
      </c>
      <c r="B1233" s="15"/>
      <c r="C1233" s="17"/>
      <c r="D1233" s="1386"/>
      <c r="E1233" s="947" t="s">
        <v>1526</v>
      </c>
      <c r="F1233" s="947"/>
      <c r="G1233" s="947"/>
      <c r="H1233" s="956" t="s">
        <v>1112</v>
      </c>
      <c r="I1233" s="948"/>
      <c r="J1233" s="1211" t="str">
        <f>J1151</f>
        <v/>
      </c>
      <c r="K1233" s="1212" t="str">
        <f t="shared" si="207"/>
        <v/>
      </c>
      <c r="L1233" s="1212" t="str">
        <f t="shared" si="208"/>
        <v/>
      </c>
      <c r="M1233" s="1212" t="str">
        <f t="shared" si="209"/>
        <v/>
      </c>
      <c r="N1233" s="1392" t="str">
        <f t="shared" si="210"/>
        <v/>
      </c>
      <c r="O1233" s="19"/>
      <c r="P1233" s="343"/>
      <c r="Q1233" s="343"/>
      <c r="R1233" s="343"/>
      <c r="S1233" s="343"/>
      <c r="T1233" s="343"/>
      <c r="U1233" s="349"/>
      <c r="V1233" s="349"/>
    </row>
    <row r="1234" spans="1:22" s="534" customFormat="1" ht="12.75" hidden="1" customHeight="1" x14ac:dyDescent="0.3">
      <c r="A1234" s="343" t="str">
        <f>IF(P1234="","ausblenden","")</f>
        <v>ausblenden</v>
      </c>
      <c r="B1234" s="15"/>
      <c r="C1234" s="17"/>
      <c r="D1234" s="1386"/>
      <c r="E1234" s="950" t="s">
        <v>1528</v>
      </c>
      <c r="F1234" s="950"/>
      <c r="G1234" s="950"/>
      <c r="H1234" s="957" t="s">
        <v>1112</v>
      </c>
      <c r="I1234" s="951"/>
      <c r="J1234" s="1213" t="str">
        <f>J1152</f>
        <v/>
      </c>
      <c r="K1234" s="1214" t="str">
        <f t="shared" si="207"/>
        <v/>
      </c>
      <c r="L1234" s="1214" t="str">
        <f t="shared" si="208"/>
        <v/>
      </c>
      <c r="M1234" s="1214" t="str">
        <f t="shared" si="209"/>
        <v/>
      </c>
      <c r="N1234" s="1393" t="str">
        <f t="shared" si="210"/>
        <v/>
      </c>
      <c r="O1234" s="19"/>
      <c r="P1234" s="343"/>
      <c r="Q1234" s="343"/>
      <c r="R1234" s="343"/>
      <c r="S1234" s="343"/>
      <c r="T1234" s="343"/>
      <c r="U1234" s="349"/>
      <c r="V1234" s="349"/>
    </row>
    <row r="1235" spans="1:22" s="534" customFormat="1" ht="12.75" customHeight="1" x14ac:dyDescent="0.3">
      <c r="A1235" s="343"/>
      <c r="B1235" s="15"/>
      <c r="C1235" s="17"/>
      <c r="D1235" s="1386"/>
      <c r="E1235" s="514" t="str">
        <f>Translations!$B$1565</f>
        <v>Preliminärt tilldelningsvärde</v>
      </c>
      <c r="F1235" s="514"/>
      <c r="G1235" s="514"/>
      <c r="H1235" s="129" t="str">
        <f>EUconst_EUA</f>
        <v>EUA</v>
      </c>
      <c r="I1235" s="1151"/>
      <c r="J1235" s="1131" t="str">
        <f>IF(J1231="","",MAX(0,ROUND((SUM($M1136)*SUM(J1226)*SUM(J1233)*SUM(J1234)-SUM(J1227)-SUM(J1231)+SUM(J1232))*IF($H1136=TRUE,1,J$2517),0)))</f>
        <v/>
      </c>
      <c r="K1235" s="421" t="str">
        <f>IF(K1231="","",MAX(0,ROUND((SUM($M1136)*SUM(K1226)*SUM(K1233)*SUM(K1234)-SUM(K1227)-SUM(K1231)+SUM(K1232))*IF($H1136=TRUE,1,K$2517),0)))</f>
        <v/>
      </c>
      <c r="L1235" s="421" t="str">
        <f>IF(L1231="","",MAX(0,ROUND((SUM($M1136)*SUM(L1226)*SUM(L1233)*SUM(L1234)-SUM(L1227)-SUM(L1231)+SUM(L1232))*IF($H1136=TRUE,1,L$2517),0)))</f>
        <v/>
      </c>
      <c r="M1235" s="421" t="str">
        <f>IF(M1231="","",MAX(0,ROUND((SUM($M1136)*SUM(M1226)*SUM(M1233)*SUM(M1234)-SUM(M1227)-SUM(M1231)+SUM(M1232))*IF($H1136=TRUE,1,M$2517),0)))</f>
        <v/>
      </c>
      <c r="N1235" s="967" t="str">
        <f>IF(N1231="","",MAX(0,ROUND((SUM($M1136)*SUM(N1226)*SUM(N1233)*SUM(N1234)-SUM(N1227)-SUM(N1231)+SUM(N1232))*IF($H1136=TRUE,1,N$2517),0)))</f>
        <v/>
      </c>
      <c r="O1235" s="19"/>
      <c r="P1235" s="343"/>
      <c r="Q1235" s="343"/>
      <c r="R1235" s="343"/>
      <c r="S1235" s="343"/>
      <c r="T1235" s="343"/>
      <c r="U1235" s="349"/>
      <c r="V1235" s="349"/>
    </row>
    <row r="1236" spans="1:22" s="534" customFormat="1" ht="12.75" customHeight="1" x14ac:dyDescent="0.3">
      <c r="A1236" s="343"/>
      <c r="B1236" s="15"/>
      <c r="C1236" s="17"/>
      <c r="D1236" s="1386"/>
      <c r="E1236" s="514" t="str">
        <f>Translations!$B$1569</f>
        <v>Skillnad i tilldelning</v>
      </c>
      <c r="F1236" s="514"/>
      <c r="G1236" s="514"/>
      <c r="H1236" s="129" t="str">
        <f>EUconst_EUA</f>
        <v>EUA</v>
      </c>
      <c r="I1236" s="1151"/>
      <c r="J1236" s="1131" t="str">
        <f>IF(J1235="","",ABS(SUM(J1235)-SUM(J1153)))</f>
        <v/>
      </c>
      <c r="K1236" s="421" t="str">
        <f>IF(K1235="","",ABS(SUM(K1235)-SUM(K1153)))</f>
        <v/>
      </c>
      <c r="L1236" s="421" t="str">
        <f>IF(L1235="","",ABS(SUM(L1235)-SUM(L1153)))</f>
        <v/>
      </c>
      <c r="M1236" s="421" t="str">
        <f>IF(M1235="","",ABS(SUM(M1235)-SUM(M1153)))</f>
        <v/>
      </c>
      <c r="N1236" s="967" t="str">
        <f>IF(N1235="","",ABS(SUM(N1235)-SUM(N1153)))</f>
        <v/>
      </c>
      <c r="O1236" s="19"/>
      <c r="P1236" s="343"/>
      <c r="Q1236" s="343"/>
      <c r="R1236" s="343"/>
      <c r="S1236" s="343"/>
      <c r="T1236" s="343"/>
      <c r="U1236" s="349"/>
      <c r="V1236" s="349"/>
    </row>
    <row r="1237" spans="1:22" s="534" customFormat="1" ht="12.75" customHeight="1" x14ac:dyDescent="0.3">
      <c r="A1237" s="343"/>
      <c r="B1237" s="15"/>
      <c r="C1237" s="17"/>
      <c r="D1237" s="1386"/>
      <c r="E1237" s="1419" t="str">
        <f>Translations!$B$1585</f>
        <v>Kriterium 4f: Är skillnaden minst 100 utsläppsrätter?</v>
      </c>
      <c r="F1237" s="514"/>
      <c r="G1237" s="514"/>
      <c r="H1237" s="1424" t="s">
        <v>1112</v>
      </c>
      <c r="I1237" s="1425"/>
      <c r="J1237" s="1426" t="str">
        <f>IF(J1236="","",J1236&gt;=100)</f>
        <v/>
      </c>
      <c r="K1237" s="1427" t="str">
        <f>IF(K1236="","",K1236&gt;=100)</f>
        <v/>
      </c>
      <c r="L1237" s="1427" t="str">
        <f>IF(L1236="","",L1236&gt;=100)</f>
        <v/>
      </c>
      <c r="M1237" s="1427" t="str">
        <f>IF(M1236="","",M1236&gt;=100)</f>
        <v/>
      </c>
      <c r="N1237" s="1428" t="str">
        <f>IF(N1236="","",N1236&gt;=100)</f>
        <v/>
      </c>
      <c r="O1237" s="19"/>
      <c r="P1237" s="165" t="str">
        <f>EUconst_CNTR_100EUA_WGFlare&amp;I1133</f>
        <v>EUA100WGFlare_</v>
      </c>
      <c r="Q1237" s="343"/>
      <c r="R1237" s="343"/>
      <c r="S1237" s="343"/>
      <c r="T1237" s="343"/>
      <c r="U1237" s="349"/>
      <c r="V1237" s="349"/>
    </row>
    <row r="1238" spans="1:22" s="534" customFormat="1" ht="12.75" customHeight="1" thickBot="1" x14ac:dyDescent="0.35">
      <c r="A1238" s="343"/>
      <c r="B1238" s="15"/>
      <c r="C1238" s="17"/>
      <c r="D1238" s="1398"/>
      <c r="E1238" s="973"/>
      <c r="F1238" s="973"/>
      <c r="G1238" s="973"/>
      <c r="H1238" s="973"/>
      <c r="I1238" s="1399"/>
      <c r="J1238" s="973"/>
      <c r="K1238" s="973"/>
      <c r="L1238" s="973"/>
      <c r="M1238" s="973"/>
      <c r="N1238" s="974"/>
      <c r="O1238" s="19"/>
      <c r="P1238" s="343"/>
      <c r="Q1238" s="343"/>
      <c r="R1238" s="343"/>
      <c r="S1238" s="343"/>
      <c r="T1238" s="343"/>
      <c r="U1238" s="349"/>
      <c r="V1238" s="349"/>
    </row>
    <row r="1239" spans="1:22" s="534" customFormat="1" ht="5.15" customHeight="1" thickBot="1" x14ac:dyDescent="0.35">
      <c r="A1239" s="343"/>
      <c r="B1239" s="15"/>
      <c r="C1239" s="17"/>
      <c r="D1239" s="17"/>
      <c r="E1239" s="15"/>
      <c r="F1239" s="15"/>
      <c r="G1239" s="15"/>
      <c r="H1239" s="15"/>
      <c r="I1239" s="941"/>
      <c r="J1239" s="15"/>
      <c r="K1239" s="15"/>
      <c r="L1239" s="15"/>
      <c r="M1239" s="15"/>
      <c r="N1239" s="15"/>
      <c r="O1239" s="19"/>
      <c r="P1239" s="343"/>
      <c r="Q1239" s="343"/>
      <c r="R1239" s="343"/>
      <c r="S1239" s="343"/>
      <c r="T1239" s="343"/>
      <c r="U1239" s="349"/>
      <c r="V1239" s="349"/>
    </row>
    <row r="1240" spans="1:22" s="534" customFormat="1" ht="5.15" customHeight="1" x14ac:dyDescent="0.25">
      <c r="A1240" s="343"/>
      <c r="B1240" s="15"/>
      <c r="C1240" s="15"/>
      <c r="D1240" s="961"/>
      <c r="E1240" s="962"/>
      <c r="F1240" s="962"/>
      <c r="G1240" s="962"/>
      <c r="H1240" s="962"/>
      <c r="I1240" s="963"/>
      <c r="J1240" s="962"/>
      <c r="K1240" s="962"/>
      <c r="L1240" s="962"/>
      <c r="M1240" s="962"/>
      <c r="N1240" s="964"/>
      <c r="O1240" s="19"/>
      <c r="P1240" s="343"/>
      <c r="Q1240" s="343"/>
      <c r="R1240" s="343"/>
      <c r="S1240" s="343"/>
      <c r="T1240" s="7"/>
      <c r="U1240" s="349"/>
      <c r="V1240" s="349"/>
    </row>
    <row r="1241" spans="1:22" s="534" customFormat="1" ht="13" x14ac:dyDescent="0.25">
      <c r="A1241" s="343"/>
      <c r="B1241" s="15"/>
      <c r="C1241" s="15"/>
      <c r="D1241" s="965"/>
      <c r="E1241" s="39" t="str">
        <f>Translations!$B$1586</f>
        <v>Faktiska använda värden</v>
      </c>
      <c r="F1241" s="15"/>
      <c r="G1241" s="15"/>
      <c r="H1241" s="30" t="str">
        <f>EUconst_Unit</f>
        <v>Enhet</v>
      </c>
      <c r="I1241" s="1614" t="str">
        <f>Translations!$B$1510</f>
        <v>Basvärde</v>
      </c>
      <c r="J1241" s="1065">
        <f>J$2596</f>
        <v>2021</v>
      </c>
      <c r="K1241" s="350">
        <f>K$2596</f>
        <v>2022</v>
      </c>
      <c r="L1241" s="350">
        <f>L$2596</f>
        <v>2023</v>
      </c>
      <c r="M1241" s="350">
        <f>M$2596</f>
        <v>2024</v>
      </c>
      <c r="N1241" s="966">
        <f>N$2596</f>
        <v>2025</v>
      </c>
      <c r="O1241" s="19"/>
      <c r="P1241" s="343"/>
      <c r="Q1241" s="343"/>
      <c r="R1241" s="343"/>
      <c r="S1241" s="297" t="s">
        <v>1846</v>
      </c>
      <c r="T1241" s="7"/>
      <c r="U1241" s="349"/>
      <c r="V1241" s="349"/>
    </row>
    <row r="1242" spans="1:22" s="534" customFormat="1" x14ac:dyDescent="0.25">
      <c r="A1242" s="343"/>
      <c r="B1242" s="15"/>
      <c r="C1242" s="15"/>
      <c r="D1242" s="965"/>
      <c r="E1242" s="944" t="str">
        <f>Translations!$B$1587</f>
        <v>Verksamhetsnivå</v>
      </c>
      <c r="F1242" s="944"/>
      <c r="G1242" s="944"/>
      <c r="H1242" s="1443" t="str">
        <f>H1226</f>
        <v>ton</v>
      </c>
      <c r="I1242" s="1615" t="str">
        <f>IF($I1133="","",IF(T1248&gt;=$H$2595,0,S1242))</f>
        <v/>
      </c>
      <c r="J1242" s="1161" t="str">
        <f>IF($I1133="","",INDEX(F_ProductBM!J:J,MATCH($P1242,F_ProductBM!$Q:$Q,0)))</f>
        <v/>
      </c>
      <c r="K1242" s="946" t="str">
        <f>IF($I1133="","",INDEX(F_ProductBM!K:K,MATCH($P1242,F_ProductBM!$Q:$Q,0)))</f>
        <v/>
      </c>
      <c r="L1242" s="946" t="str">
        <f>IF($I1133="","",INDEX(F_ProductBM!L:L,MATCH($P1242,F_ProductBM!$Q:$Q,0)))</f>
        <v/>
      </c>
      <c r="M1242" s="946" t="str">
        <f>IF($I1133="","",INDEX(F_ProductBM!M:M,MATCH($P1242,F_ProductBM!$Q:$Q,0)))</f>
        <v/>
      </c>
      <c r="N1242" s="1046" t="str">
        <f>IF($I1133="","",INDEX(F_ProductBM!N:N,MATCH($P1242,F_ProductBM!$Q:$Q,0)))</f>
        <v/>
      </c>
      <c r="O1242" s="19"/>
      <c r="P1242" s="165" t="str">
        <f>EUconst_CNTR_HALfinal&amp;I1133</f>
        <v>HALfinal_</v>
      </c>
      <c r="Q1242" s="343"/>
      <c r="R1242" s="343"/>
      <c r="S1242" s="1691" t="str">
        <f>IF($I1133="","",INDEX(F_ProductBM!I:I,MATCH($P1242,F_ProductBM!$Q:$Q,0)))</f>
        <v/>
      </c>
      <c r="T1242" s="7"/>
      <c r="U1242" s="349"/>
      <c r="V1242" s="349"/>
    </row>
    <row r="1243" spans="1:22" s="534" customFormat="1" x14ac:dyDescent="0.25">
      <c r="A1243" s="343"/>
      <c r="B1243" s="15"/>
      <c r="C1243" s="15"/>
      <c r="D1243" s="965"/>
      <c r="E1243" s="1376" t="str">
        <f>Translations!$B$1036</f>
        <v>Värme utanför ETS</v>
      </c>
      <c r="F1243" s="1376"/>
      <c r="G1243" s="1376"/>
      <c r="H1243" s="1429" t="str">
        <f>EUconst_EUA</f>
        <v>EUA</v>
      </c>
      <c r="I1243" s="1616" t="str">
        <f>IF($I1133="","",IF(YEAR(J1136)&gt;=$H$2595-1,0,S1243))</f>
        <v/>
      </c>
      <c r="J1243" s="1430" t="str">
        <f>IF($I1133="","",INDEX(F_ProductBM!J:J,MATCH($P1243,F_ProductBM!$Q:$Q,0)))</f>
        <v/>
      </c>
      <c r="K1243" s="1431" t="str">
        <f>IF($I1133="","",INDEX(F_ProductBM!K:K,MATCH($P1243,F_ProductBM!$Q:$Q,0)))</f>
        <v/>
      </c>
      <c r="L1243" s="1431" t="str">
        <f>IF($I1133="","",INDEX(F_ProductBM!L:L,MATCH($P1243,F_ProductBM!$Q:$Q,0)))</f>
        <v/>
      </c>
      <c r="M1243" s="1431" t="str">
        <f>IF($I1133="","",INDEX(F_ProductBM!M:M,MATCH($P1243,F_ProductBM!$Q:$Q,0)))</f>
        <v/>
      </c>
      <c r="N1243" s="1432" t="str">
        <f>IF($I1133="","",INDEX(F_ProductBM!N:N,MATCH($P1243,F_ProductBM!$Q:$Q,0)))</f>
        <v/>
      </c>
      <c r="O1243" s="19"/>
      <c r="P1243" s="165" t="str">
        <f>EUconst_CNTR_HEATfinal&amp;I1133</f>
        <v>HEATfinal_</v>
      </c>
      <c r="Q1243" s="343"/>
      <c r="R1243" s="343"/>
      <c r="S1243" s="1692" t="str">
        <f>IF($I1133="","",INDEX(F_ProductBM!I:I,MATCH($P1243,F_ProductBM!$Q:$Q,0)))</f>
        <v/>
      </c>
      <c r="T1243" s="7"/>
      <c r="U1243" s="349"/>
      <c r="V1243" s="349"/>
    </row>
    <row r="1244" spans="1:22" s="534" customFormat="1" x14ac:dyDescent="0.25">
      <c r="A1244" s="343"/>
      <c r="B1244" s="15"/>
      <c r="C1244" s="15"/>
      <c r="D1244" s="965"/>
      <c r="E1244" s="947" t="str">
        <f>Translations!$B$1038</f>
        <v>Wgfacklad</v>
      </c>
      <c r="F1244" s="947"/>
      <c r="G1244" s="947"/>
      <c r="H1244" s="955" t="str">
        <f>EUconst_EUA</f>
        <v>EUA</v>
      </c>
      <c r="I1244" s="1617" t="str">
        <f>IF($I1133="","",IF(T1248&gt;=$H$2595,0,S1244))</f>
        <v/>
      </c>
      <c r="J1244" s="1162" t="str">
        <f>IF($I1133="","",INDEX(F_ProductBM!J:J,MATCH($P1244,F_ProductBM!$Q:$Q,0)))</f>
        <v/>
      </c>
      <c r="K1244" s="949" t="str">
        <f>IF($I1133="","",INDEX(F_ProductBM!K:K,MATCH($P1244,F_ProductBM!$Q:$Q,0)))</f>
        <v/>
      </c>
      <c r="L1244" s="949" t="str">
        <f>IF($I1133="","",INDEX(F_ProductBM!L:L,MATCH($P1244,F_ProductBM!$Q:$Q,0)))</f>
        <v/>
      </c>
      <c r="M1244" s="949" t="str">
        <f>IF($I1133="","",INDEX(F_ProductBM!M:M,MATCH($P1244,F_ProductBM!$Q:$Q,0)))</f>
        <v/>
      </c>
      <c r="N1244" s="969" t="str">
        <f>IF($I1133="","",INDEX(F_ProductBM!N:N,MATCH($P1244,F_ProductBM!$Q:$Q,0)))</f>
        <v/>
      </c>
      <c r="O1244" s="19"/>
      <c r="P1244" s="165" t="str">
        <f>EUconst_CNTR_HALfinal&amp;EUconst_CNTR_WGFlared&amp;$I1133</f>
        <v>HALfinal_WasteGasFlare_</v>
      </c>
      <c r="Q1244" s="343"/>
      <c r="R1244" s="343"/>
      <c r="S1244" s="1693" t="str">
        <f>IF($I1133="","",INDEX(F_ProductBM!I:I,MATCH($P1244,F_ProductBM!$Q:$Q,0)))</f>
        <v/>
      </c>
      <c r="T1244" s="7"/>
      <c r="U1244" s="349"/>
      <c r="V1244" s="349"/>
    </row>
    <row r="1245" spans="1:22" s="534" customFormat="1" x14ac:dyDescent="0.25">
      <c r="A1245" s="343"/>
      <c r="B1245" s="15"/>
      <c r="C1245" s="15"/>
      <c r="D1245" s="965"/>
      <c r="E1245" s="947" t="s">
        <v>1527</v>
      </c>
      <c r="F1245" s="947"/>
      <c r="G1245" s="947"/>
      <c r="H1245" s="955" t="str">
        <f>EUconst_EUA</f>
        <v>EUA</v>
      </c>
      <c r="I1245" s="1617" t="str">
        <f>IF($I1133="","",IF(T1248&gt;=$H$2595,0,IF(L1136=42,S1245,0)))</f>
        <v/>
      </c>
      <c r="J1245" s="1162" t="str">
        <f>IF($I1133="","",IF($L1136=42,INDEX(H_SpecialBM!J:J,MATCH($P1245,H_SpecialBM!$Q:$Q,0)),0))</f>
        <v/>
      </c>
      <c r="K1245" s="949" t="str">
        <f>IF($I1133="","",IF($L1136=42,INDEX(H_SpecialBM!K:K,MATCH($P1245,H_SpecialBM!$Q:$Q,0)),0))</f>
        <v/>
      </c>
      <c r="L1245" s="949" t="str">
        <f>IF($I1133="","",IF($L1136=42,INDEX(H_SpecialBM!L:L,MATCH($P1245,H_SpecialBM!$Q:$Q,0)),0))</f>
        <v/>
      </c>
      <c r="M1245" s="949" t="str">
        <f>IF($I1133="","",IF($L1136=42,INDEX(H_SpecialBM!M:M,MATCH($P1245,H_SpecialBM!$Q:$Q,0)),0))</f>
        <v/>
      </c>
      <c r="N1245" s="969" t="str">
        <f>IF($I1133="","",IF($L1136=42,INDEX(H_SpecialBM!N:N,MATCH($P1245,H_SpecialBM!$Q:$Q,0)),0))</f>
        <v/>
      </c>
      <c r="O1245" s="19"/>
      <c r="P1245" s="165" t="str">
        <f>EUconst_CNTR_HVCfinal</f>
        <v>HVCfinal_</v>
      </c>
      <c r="Q1245" s="343"/>
      <c r="R1245" s="343"/>
      <c r="S1245" s="1693" t="str">
        <f>IF($I1133="","",IF(L1136=42,INDEX(H_SpecialBM!I:I,MATCH($P1245,H_SpecialBM!$Q:$Q,0)),0))</f>
        <v/>
      </c>
      <c r="T1245" s="7"/>
      <c r="U1245" s="349"/>
      <c r="V1245" s="349"/>
    </row>
    <row r="1246" spans="1:22" s="534" customFormat="1" x14ac:dyDescent="0.25">
      <c r="A1246" s="343"/>
      <c r="B1246" s="15"/>
      <c r="C1246" s="15"/>
      <c r="D1246" s="965"/>
      <c r="E1246" s="947" t="s">
        <v>1526</v>
      </c>
      <c r="F1246" s="947"/>
      <c r="G1246" s="947"/>
      <c r="H1246" s="956" t="s">
        <v>1112</v>
      </c>
      <c r="I1246" s="1618" t="str">
        <f>IF(AND($I1133&lt;&gt;"",$I1136=TRUE),IF(T1248&gt;=$H$2595,1,S1246),IF($I1133="","",1))</f>
        <v/>
      </c>
      <c r="J1246" s="1163" t="str">
        <f>IF(AND($I1133&lt;&gt;"",$I1136=TRUE),INDEX(F_ProductBM!J:J,MATCH($P1246,F_ProductBM!$Q:$Q,0)),IF($I1133="","",1))</f>
        <v/>
      </c>
      <c r="K1246" s="959" t="str">
        <f>IF(AND($I1133&lt;&gt;"",$I1136=TRUE),INDEX(F_ProductBM!K:K,MATCH($P1246,F_ProductBM!$Q:$Q,0)),IF($I1133="","",1))</f>
        <v/>
      </c>
      <c r="L1246" s="959" t="str">
        <f>IF(AND($I1133&lt;&gt;"",$I1136=TRUE),INDEX(F_ProductBM!L:L,MATCH($P1246,F_ProductBM!$Q:$Q,0)),IF($I1133="","",1))</f>
        <v/>
      </c>
      <c r="M1246" s="959" t="str">
        <f>IF(AND($I1133&lt;&gt;"",$I1136=TRUE),INDEX(F_ProductBM!M:M,MATCH($P1246,F_ProductBM!$Q:$Q,0)),IF($I1133="","",1))</f>
        <v/>
      </c>
      <c r="N1246" s="970" t="str">
        <f>IF(AND($I1133&lt;&gt;"",$I1136=TRUE),INDEX(F_ProductBM!N:N,MATCH($P1246,F_ProductBM!$Q:$Q,0)),IF($I1133="","",1))</f>
        <v/>
      </c>
      <c r="O1246" s="19"/>
      <c r="P1246" s="165" t="str">
        <f>EUconst_CNTR_HALfinal&amp;EUconst_CNTR_ELEXCH&amp;$I1133</f>
        <v>HALfinal_ELEXCH_</v>
      </c>
      <c r="Q1246" s="343"/>
      <c r="R1246" s="343"/>
      <c r="S1246" s="1694" t="str">
        <f>IF(AND($I1133&lt;&gt;"",$I1136=TRUE),INDEX(F_ProductBM!I:I,MATCH($P1246,F_ProductBM!$Q:$Q,0)),IF($I1133="","",1))</f>
        <v/>
      </c>
      <c r="T1246" s="343"/>
      <c r="U1246" s="349"/>
      <c r="V1246" s="349"/>
    </row>
    <row r="1247" spans="1:22" s="534" customFormat="1" x14ac:dyDescent="0.25">
      <c r="A1247" s="343"/>
      <c r="B1247" s="15"/>
      <c r="C1247" s="15"/>
      <c r="D1247" s="965"/>
      <c r="E1247" s="950" t="s">
        <v>1528</v>
      </c>
      <c r="F1247" s="950"/>
      <c r="G1247" s="950"/>
      <c r="H1247" s="957" t="s">
        <v>1112</v>
      </c>
      <c r="I1247" s="1619" t="str">
        <f>IF($I1133="","",IF($L1136=47,IF(AND(ISNUMBER(S1247),YEAR(J1136)&lt;2021),S1247,1),1))</f>
        <v/>
      </c>
      <c r="J1247" s="1164" t="str">
        <f>IF($I1133="","",IF($L1136=47,IF(ISNUMBER(INDEX(H_SpecialBM!J:J,MATCH($P1247,H_SpecialBM!$Q:$Q,0))),INDEX(H_SpecialBM!J:J,MATCH($P1247,H_SpecialBM!$Q:$Q,0)),1),1))</f>
        <v/>
      </c>
      <c r="K1247" s="958" t="str">
        <f>IF($I1133="","",IF($L1136=47,IF(ISNUMBER(INDEX(H_SpecialBM!K:K,MATCH($P1247,H_SpecialBM!$Q:$Q,0))),INDEX(H_SpecialBM!K:K,MATCH($P1247,H_SpecialBM!$Q:$Q,0)),1),1))</f>
        <v/>
      </c>
      <c r="L1247" s="958" t="str">
        <f>IF($I1133="","",IF($L1136=47,IF(ISNUMBER(INDEX(H_SpecialBM!L:L,MATCH($P1247,H_SpecialBM!$Q:$Q,0))),INDEX(H_SpecialBM!L:L,MATCH($P1247,H_SpecialBM!$Q:$Q,0)),1),1))</f>
        <v/>
      </c>
      <c r="M1247" s="958" t="str">
        <f>IF($I1133="","",IF($L1136=47,IF(ISNUMBER(INDEX(H_SpecialBM!M:M,MATCH($P1247,H_SpecialBM!$Q:$Q,0))),INDEX(H_SpecialBM!M:M,MATCH($P1247,H_SpecialBM!$Q:$Q,0)),1),1))</f>
        <v/>
      </c>
      <c r="N1247" s="971" t="str">
        <f>IF($I1133="","",IF($L1136=47,IF(ISNUMBER(INDEX(H_SpecialBM!N:N,MATCH($P1247,H_SpecialBM!$Q:$Q,0))),INDEX(H_SpecialBM!N:N,MATCH($P1247,H_SpecialBM!$Q:$Q,0)),1),1))</f>
        <v/>
      </c>
      <c r="O1247" s="19"/>
      <c r="P1247" s="165" t="str">
        <f>EUconst_CNTR_VCMfinal</f>
        <v>VCMfinal_</v>
      </c>
      <c r="Q1247" s="343"/>
      <c r="R1247" s="343"/>
      <c r="S1247" s="1695" t="str">
        <f>IF($I1133="","",IF($L1136=47,IF(ISNUMBER(INDEX(H_SpecialBM!I:I,MATCH($P1247,H_SpecialBM!$Q:$Q,0))),INDEX(H_SpecialBM!I:I,MATCH($P1247,H_SpecialBM!$Q:$Q,0)),1),1))</f>
        <v/>
      </c>
      <c r="T1247" s="343"/>
      <c r="U1247" s="349"/>
      <c r="V1247" s="349"/>
    </row>
    <row r="1248" spans="1:22" s="534" customFormat="1" x14ac:dyDescent="0.25">
      <c r="A1248" s="343"/>
      <c r="B1248" s="15"/>
      <c r="C1248" s="15"/>
      <c r="D1248" s="965"/>
      <c r="E1248" s="514" t="str">
        <f>Translations!$B$956</f>
        <v>Preliminär tilldelning</v>
      </c>
      <c r="F1248" s="514"/>
      <c r="G1248" s="514"/>
      <c r="H1248" s="129" t="str">
        <f>EUconst_EUA</f>
        <v>EUA</v>
      </c>
      <c r="I1248" s="1620" t="str">
        <f>IF($I1133="","",MAX(0,ROUND((SUM($M1136)*SUM(I1242)*SUM(I1246)*SUM(I1247)-SUM(I1243)-SUM(I1244)+SUM(I1245))*IF($H1136=TRUE,1,J$2517),0)))</f>
        <v/>
      </c>
      <c r="J1248" s="1131" t="str">
        <f>IF($I1133="","",MAX(0,ROUND((SUM($M1136)*SUM(J1242)*SUM(J1246)*SUM(J1247)-SUM(J1243)-SUM(J1244)+SUM(J1245))*IF($H1136=TRUE,1,J$2517),0)))</f>
        <v/>
      </c>
      <c r="K1248" s="421" t="str">
        <f>IF($I1133="","",MAX(0,ROUND((SUM($M1136)*SUM(K1242)*SUM(K1246)*SUM(K1247)-SUM(K1243)-SUM(K1244)+SUM(K1245))*IF($H1136=TRUE,1,K$2517),0)))</f>
        <v/>
      </c>
      <c r="L1248" s="421" t="str">
        <f>IF($I1133="","",MAX(0,ROUND((SUM($M1136)*SUM(L1242)*SUM(L1246)*SUM(L1247)-SUM(L1243)-SUM(L1244)+SUM(L1245))*IF($H1136=TRUE,1,L$2517),0)))</f>
        <v/>
      </c>
      <c r="M1248" s="421" t="str">
        <f>IF($I1133="","",MAX(0,ROUND((SUM($M1136)*SUM(M1242)*SUM(M1246)*SUM(M1247)-SUM(M1243)-SUM(M1244)+SUM(M1245))*IF($H1136=TRUE,1,M$2517),0)))</f>
        <v/>
      </c>
      <c r="N1248" s="967" t="str">
        <f>IF($I1133="","",MAX(0,ROUND((SUM($M1136+IF(L1136=52,0.415,0))*SUM(N1242)*SUM(N1246)*SUM(N1247)-SUM(N1243)-SUM(N1244)+SUM(N1245))*IF($H1136=TRUE,1,N$2517),0)))</f>
        <v/>
      </c>
      <c r="O1248" s="19"/>
      <c r="P1248" s="165" t="str">
        <f>EUconst_AllocPrelim&amp;I1133</f>
        <v>AllocPrelim_</v>
      </c>
      <c r="Q1248" s="343"/>
      <c r="R1248" s="343"/>
      <c r="S1248" s="1696" t="str">
        <f>IF($I1133="","",MAX(0,ROUND((SUM($M1136)*SUM(S1242)*SUM(S1246)*SUM(S1247)-SUM(S1243)-SUM(S1244)+SUM(S1245))*IF($H1136=TRUE,1,J$2517),0)))</f>
        <v/>
      </c>
      <c r="T1248" s="663">
        <f>INDEX(F_ProductBM!V:V,MATCH(C1133,F_ProductBM!C:C,0))</f>
        <v>2005</v>
      </c>
      <c r="U1248" s="603" t="e">
        <f>OR(INDEX(I1248:N1248,CNTR_ReportingYear-$I$2596)&lt;&gt;INDEX(I1248:N1248,CNTR_ReportingYear-$H$2596),
(CNTR_ReportingYear-T1248)&lt;=1)</f>
        <v>#REF!</v>
      </c>
      <c r="V1248" s="355" t="b">
        <f ca="1">IF(I1248="",FALSE,COUNTIF(OFFSET(I1248,,,,MAX(1,CNTR_ReportingYear-$I$2596)),"&lt;&gt;" &amp; INDEX(I1248:N1248,CNTR_ReportingYear-$H$2596))&gt;0)</f>
        <v>0</v>
      </c>
    </row>
    <row r="1249" spans="1:22" s="534" customFormat="1" ht="5.15" customHeight="1" thickBot="1" x14ac:dyDescent="0.3">
      <c r="A1249" s="343"/>
      <c r="B1249" s="15"/>
      <c r="C1249" s="15"/>
      <c r="D1249" s="972"/>
      <c r="E1249" s="973"/>
      <c r="F1249" s="973"/>
      <c r="G1249" s="973"/>
      <c r="H1249" s="973"/>
      <c r="I1249" s="973"/>
      <c r="J1249" s="973"/>
      <c r="K1249" s="973"/>
      <c r="L1249" s="973"/>
      <c r="M1249" s="973"/>
      <c r="N1249" s="974"/>
      <c r="O1249" s="19"/>
      <c r="P1249" s="343"/>
      <c r="Q1249" s="343"/>
      <c r="R1249" s="343"/>
      <c r="S1249" s="343"/>
      <c r="T1249" s="343"/>
      <c r="U1249" s="349"/>
      <c r="V1249" s="349"/>
    </row>
    <row r="1250" spans="1:22" s="534" customFormat="1" ht="5.15" customHeight="1" thickBot="1" x14ac:dyDescent="0.3">
      <c r="A1250" s="343"/>
      <c r="B1250" s="15"/>
      <c r="C1250" s="15"/>
      <c r="E1250" s="289"/>
      <c r="F1250" s="15"/>
      <c r="G1250" s="15"/>
      <c r="H1250" s="15"/>
      <c r="I1250" s="15"/>
      <c r="J1250" s="15"/>
      <c r="K1250" s="15"/>
      <c r="L1250" s="15"/>
      <c r="M1250" s="15"/>
      <c r="N1250" s="15"/>
      <c r="O1250" s="19"/>
      <c r="P1250" s="343"/>
      <c r="Q1250" s="343"/>
      <c r="R1250" s="343"/>
      <c r="S1250" s="343"/>
      <c r="T1250" s="343"/>
      <c r="U1250" s="349"/>
      <c r="V1250" s="349"/>
    </row>
    <row r="1251" spans="1:22" s="534" customFormat="1" ht="12.75" customHeight="1" x14ac:dyDescent="0.25">
      <c r="A1251" s="343"/>
      <c r="B1251" s="15"/>
      <c r="C1251" s="15"/>
      <c r="D1251" s="1452"/>
      <c r="E1251" s="1453"/>
      <c r="F1251" s="1453"/>
      <c r="G1251" s="777"/>
      <c r="H1251" s="777"/>
      <c r="I1251" s="777"/>
      <c r="J1251" s="777"/>
      <c r="K1251" s="777"/>
      <c r="L1251" s="777"/>
      <c r="M1251" s="777"/>
      <c r="N1251" s="778"/>
      <c r="O1251" s="19"/>
      <c r="P1251" s="343"/>
      <c r="Q1251" s="343"/>
      <c r="R1251" s="343"/>
      <c r="S1251" s="343"/>
      <c r="T1251" s="343"/>
      <c r="U1251" s="349"/>
      <c r="V1251" s="349"/>
    </row>
    <row r="1252" spans="1:22" s="534" customFormat="1" ht="13.5" thickBot="1" x14ac:dyDescent="0.3">
      <c r="A1252" s="343"/>
      <c r="B1252" s="15"/>
      <c r="C1252" s="15"/>
      <c r="D1252" s="1454"/>
      <c r="E1252" s="416"/>
      <c r="F1252" s="416"/>
      <c r="G1252" s="415" t="str">
        <f>EUconst_Unit</f>
        <v>Enhet</v>
      </c>
      <c r="H1252" s="744">
        <f t="shared" ref="H1252:M1252" si="211">H$2596</f>
        <v>2019</v>
      </c>
      <c r="I1252" s="1155">
        <f t="shared" si="211"/>
        <v>2020</v>
      </c>
      <c r="J1252" s="1104">
        <f t="shared" si="211"/>
        <v>2021</v>
      </c>
      <c r="K1252" s="362">
        <f t="shared" si="211"/>
        <v>2022</v>
      </c>
      <c r="L1252" s="362">
        <f t="shared" si="211"/>
        <v>2023</v>
      </c>
      <c r="M1252" s="362">
        <f t="shared" si="211"/>
        <v>2024</v>
      </c>
      <c r="N1252" s="1141">
        <f>N$2596</f>
        <v>2025</v>
      </c>
      <c r="O1252" s="19"/>
      <c r="P1252" s="343"/>
      <c r="Q1252" s="343"/>
      <c r="R1252" s="343"/>
      <c r="S1252" s="343"/>
      <c r="T1252" s="7"/>
      <c r="U1252" s="349"/>
      <c r="V1252" s="349"/>
    </row>
    <row r="1253" spans="1:22" s="534" customFormat="1" ht="13.5" customHeight="1" thickBot="1" x14ac:dyDescent="0.3">
      <c r="A1253" s="343"/>
      <c r="B1253" s="15"/>
      <c r="C1253" s="15"/>
      <c r="D1253" s="1454"/>
      <c r="E1253" s="2747" t="str">
        <f>Translations!$B$1056</f>
        <v>Totala tillskrivna utsläpp</v>
      </c>
      <c r="F1253" s="2747"/>
      <c r="G1253" s="710" t="str">
        <f>EUconst_tCO2epa</f>
        <v>t CO2e/år</v>
      </c>
      <c r="H1253" s="735" t="str">
        <f t="shared" ref="H1253:N1253" si="212">INDEX(H$92:H$108,MATCH($I1133,$E$92:$E$108,0))</f>
        <v/>
      </c>
      <c r="I1253" s="1156" t="str">
        <f t="shared" si="212"/>
        <v/>
      </c>
      <c r="J1253" s="735" t="str">
        <f t="shared" si="212"/>
        <v/>
      </c>
      <c r="K1253" s="736" t="str">
        <f t="shared" si="212"/>
        <v/>
      </c>
      <c r="L1253" s="736" t="str">
        <f t="shared" si="212"/>
        <v/>
      </c>
      <c r="M1253" s="736" t="str">
        <f t="shared" si="212"/>
        <v/>
      </c>
      <c r="N1253" s="737" t="str">
        <f t="shared" si="212"/>
        <v/>
      </c>
      <c r="O1253" s="19"/>
      <c r="P1253" s="343"/>
      <c r="Q1253" s="343"/>
      <c r="R1253" s="343"/>
      <c r="S1253" s="343"/>
      <c r="T1253" s="7"/>
      <c r="U1253" s="349"/>
      <c r="V1253" s="349"/>
    </row>
    <row r="1254" spans="1:22" s="534" customFormat="1" ht="5.15" customHeight="1" x14ac:dyDescent="0.25">
      <c r="A1254" s="343"/>
      <c r="B1254" s="15"/>
      <c r="C1254" s="15"/>
      <c r="D1254" s="1454"/>
      <c r="E1254" s="899"/>
      <c r="F1254" s="899"/>
      <c r="G1254" s="416"/>
      <c r="H1254" s="738"/>
      <c r="I1254" s="738"/>
      <c r="J1254" s="738"/>
      <c r="K1254" s="738"/>
      <c r="L1254" s="738"/>
      <c r="M1254" s="738"/>
      <c r="N1254" s="1455"/>
      <c r="O1254" s="19"/>
      <c r="P1254" s="343"/>
      <c r="Q1254" s="343"/>
      <c r="R1254" s="343"/>
      <c r="S1254" s="343"/>
      <c r="T1254" s="7"/>
      <c r="U1254" s="349"/>
      <c r="V1254" s="349"/>
    </row>
    <row r="1255" spans="1:22" s="534" customFormat="1" ht="12.75" customHeight="1" x14ac:dyDescent="0.25">
      <c r="A1255" s="343"/>
      <c r="B1255" s="15"/>
      <c r="C1255" s="15"/>
      <c r="D1255" s="1454"/>
      <c r="E1255" s="2611" t="str">
        <f>Translations!$B$571</f>
        <v>Insatsbränsle</v>
      </c>
      <c r="F1255" s="2484"/>
      <c r="G1255" s="365" t="str">
        <f>EUconst_TJpa</f>
        <v>TJ / år</v>
      </c>
      <c r="H1255" s="739" t="str">
        <f>IF($I1133="","",IF(INDEX(F_ProductBM!H:H,MATCH($P1255,F_ProductBM!$Q:$Q,0))="","",INDEX(F_ProductBM!H:H,MATCH($P1255,F_ProductBM!$Q:$Q,0))))</f>
        <v/>
      </c>
      <c r="I1255" s="1153" t="str">
        <f>IF($I1133="","",IF(INDEX(F_ProductBM!I:I,MATCH($P1255,F_ProductBM!$Q:$Q,0))="","",INDEX(F_ProductBM!I:I,MATCH($P1255,F_ProductBM!$Q:$Q,0))))</f>
        <v/>
      </c>
      <c r="J1255" s="1159" t="str">
        <f>IF($I1133="","",IF(INDEX(F_ProductBM!J:J,MATCH($P1255,F_ProductBM!$Q:$Q,0))="","",INDEX(F_ProductBM!J:J,MATCH($P1255,F_ProductBM!$Q:$Q,0))))</f>
        <v/>
      </c>
      <c r="K1255" s="739" t="str">
        <f>IF($I1133="","",IF(INDEX(F_ProductBM!K:K,MATCH($P1255,F_ProductBM!$Q:$Q,0))="","",INDEX(F_ProductBM!K:K,MATCH($P1255,F_ProductBM!$Q:$Q,0))))</f>
        <v/>
      </c>
      <c r="L1255" s="739" t="str">
        <f>IF($I1133="","",IF(INDEX(F_ProductBM!L:L,MATCH($P1255,F_ProductBM!$Q:$Q,0))="","",INDEX(F_ProductBM!L:L,MATCH($P1255,F_ProductBM!$Q:$Q,0))))</f>
        <v/>
      </c>
      <c r="M1255" s="739" t="str">
        <f>IF($I1133="","",IF(INDEX(F_ProductBM!M:M,MATCH($P1255,F_ProductBM!$Q:$Q,0))="","",INDEX(F_ProductBM!M:M,MATCH($P1255,F_ProductBM!$Q:$Q,0))))</f>
        <v/>
      </c>
      <c r="N1255" s="1456" t="str">
        <f>IF($I1133="","",IF(INDEX(F_ProductBM!N:N,MATCH($P1255,F_ProductBM!$Q:$Q,0))="","",INDEX(F_ProductBM!N:N,MATCH($P1255,F_ProductBM!$Q:$Q,0))))</f>
        <v/>
      </c>
      <c r="O1255" s="19"/>
      <c r="P1255" s="622" t="str">
        <f>EUconst_CNTR_FuelInput &amp; I1133</f>
        <v>FuelInput_</v>
      </c>
      <c r="Q1255" s="343"/>
      <c r="R1255" s="343"/>
      <c r="S1255" s="343"/>
      <c r="T1255" s="7"/>
      <c r="U1255" s="349"/>
      <c r="V1255" s="349"/>
    </row>
    <row r="1256" spans="1:22" s="534" customFormat="1" ht="12.75" customHeight="1" x14ac:dyDescent="0.25">
      <c r="A1256" s="343"/>
      <c r="B1256" s="15"/>
      <c r="C1256" s="15"/>
      <c r="D1256" s="1454"/>
      <c r="E1256" s="2612" t="str">
        <f>Translations!$B$572</f>
        <v>Viktad emissionsfaktor</v>
      </c>
      <c r="F1256" s="2487"/>
      <c r="G1256" s="384" t="str">
        <f>EUconst_tCO2pTJ</f>
        <v>t CO2 / TJ</v>
      </c>
      <c r="H1256" s="740" t="str">
        <f>IF($I1133="","",IF(INDEX(F_ProductBM!H:H,MATCH($P1256,F_ProductBM!$Q:$Q,0))="","",INDEX(F_ProductBM!H:H,MATCH($P1256,F_ProductBM!$Q:$Q,0))))</f>
        <v/>
      </c>
      <c r="I1256" s="1154" t="str">
        <f>IF($I1133="","",IF(INDEX(F_ProductBM!I:I,MATCH($P1256,F_ProductBM!$Q:$Q,0))="","",INDEX(F_ProductBM!I:I,MATCH($P1256,F_ProductBM!$Q:$Q,0))))</f>
        <v/>
      </c>
      <c r="J1256" s="1160" t="str">
        <f>IF($I1133="","",IF(INDEX(F_ProductBM!J:J,MATCH($P1256,F_ProductBM!$Q:$Q,0))="","",INDEX(F_ProductBM!J:J,MATCH($P1256,F_ProductBM!$Q:$Q,0))))</f>
        <v/>
      </c>
      <c r="K1256" s="740" t="str">
        <f>IF($I1133="","",IF(INDEX(F_ProductBM!K:K,MATCH($P1256,F_ProductBM!$Q:$Q,0))="","",INDEX(F_ProductBM!K:K,MATCH($P1256,F_ProductBM!$Q:$Q,0))))</f>
        <v/>
      </c>
      <c r="L1256" s="740" t="str">
        <f>IF($I1133="","",IF(INDEX(F_ProductBM!L:L,MATCH($P1256,F_ProductBM!$Q:$Q,0))="","",INDEX(F_ProductBM!L:L,MATCH($P1256,F_ProductBM!$Q:$Q,0))))</f>
        <v/>
      </c>
      <c r="M1256" s="740" t="str">
        <f>IF($I1133="","",IF(INDEX(F_ProductBM!M:M,MATCH($P1256,F_ProductBM!$Q:$Q,0))="","",INDEX(F_ProductBM!M:M,MATCH($P1256,F_ProductBM!$Q:$Q,0))))</f>
        <v/>
      </c>
      <c r="N1256" s="1457" t="str">
        <f>IF($I1133="","",IF(INDEX(F_ProductBM!N:N,MATCH($P1256,F_ProductBM!$Q:$Q,0))="","",INDEX(F_ProductBM!N:N,MATCH($P1256,F_ProductBM!$Q:$Q,0))))</f>
        <v/>
      </c>
      <c r="O1256" s="19"/>
      <c r="P1256" s="298" t="str">
        <f>EUconst_CNTR_FuelEF &amp; I1133</f>
        <v>FuelEF_</v>
      </c>
      <c r="Q1256" s="343"/>
      <c r="R1256" s="343"/>
      <c r="S1256" s="343"/>
      <c r="T1256" s="7"/>
      <c r="U1256" s="349"/>
      <c r="V1256" s="349"/>
    </row>
    <row r="1257" spans="1:22" s="534" customFormat="1" ht="5.15" customHeight="1" x14ac:dyDescent="0.25">
      <c r="A1257" s="343"/>
      <c r="B1257" s="15"/>
      <c r="C1257" s="15"/>
      <c r="D1257" s="1454"/>
      <c r="E1257" s="899"/>
      <c r="F1257" s="899"/>
      <c r="G1257" s="623"/>
      <c r="H1257" s="741"/>
      <c r="I1257" s="741"/>
      <c r="J1257" s="741"/>
      <c r="K1257" s="741"/>
      <c r="L1257" s="741"/>
      <c r="M1257" s="741"/>
      <c r="N1257" s="1458"/>
      <c r="O1257" s="19"/>
      <c r="P1257" s="343"/>
      <c r="Q1257" s="343"/>
      <c r="R1257" s="343"/>
      <c r="S1257" s="343"/>
      <c r="T1257" s="7"/>
      <c r="U1257" s="349"/>
      <c r="V1257" s="349"/>
    </row>
    <row r="1258" spans="1:22" s="534" customFormat="1" ht="12.75" customHeight="1" x14ac:dyDescent="0.25">
      <c r="A1258" s="343"/>
      <c r="B1258" s="15"/>
      <c r="C1258" s="15"/>
      <c r="D1258" s="1454"/>
      <c r="E1258" s="2613" t="str">
        <f>Translations!$B$528</f>
        <v>Direkta utsläpp</v>
      </c>
      <c r="F1258" s="1997"/>
      <c r="G1258" s="364" t="str">
        <f>EUconst_tCO2pa</f>
        <v>t CO2 / år</v>
      </c>
      <c r="H1258" s="742" t="str">
        <f>IF($I1133="","",IF(INDEX(F_ProductBM!H:H,MATCH($P1258,F_ProductBM!$Q:$Q,0))="","",INDEX(F_ProductBM!H:H,MATCH($P1258,F_ProductBM!$Q:$Q,0))))</f>
        <v/>
      </c>
      <c r="I1258" s="1021" t="str">
        <f>IF($I1133="","",IF(INDEX(F_ProductBM!I:I,MATCH($P1258,F_ProductBM!$Q:$Q,0))="","",INDEX(F_ProductBM!I:I,MATCH($P1258,F_ProductBM!$Q:$Q,0))))</f>
        <v/>
      </c>
      <c r="J1258" s="1158" t="str">
        <f>IF($I1133="","",IF(INDEX(F_ProductBM!J:J,MATCH($P1258,F_ProductBM!$Q:$Q,0))="","",INDEX(F_ProductBM!J:J,MATCH($P1258,F_ProductBM!$Q:$Q,0))))</f>
        <v/>
      </c>
      <c r="K1258" s="742" t="str">
        <f>IF($I1133="","",IF(INDEX(F_ProductBM!K:K,MATCH($P1258,F_ProductBM!$Q:$Q,0))="","",INDEX(F_ProductBM!K:K,MATCH($P1258,F_ProductBM!$Q:$Q,0))))</f>
        <v/>
      </c>
      <c r="L1258" s="742" t="str">
        <f>IF($I1133="","",IF(INDEX(F_ProductBM!L:L,MATCH($P1258,F_ProductBM!$Q:$Q,0))="","",INDEX(F_ProductBM!L:L,MATCH($P1258,F_ProductBM!$Q:$Q,0))))</f>
        <v/>
      </c>
      <c r="M1258" s="742" t="str">
        <f>IF($I1133="","",IF(INDEX(F_ProductBM!M:M,MATCH($P1258,F_ProductBM!$Q:$Q,0))="","",INDEX(F_ProductBM!M:M,MATCH($P1258,F_ProductBM!$Q:$Q,0))))</f>
        <v/>
      </c>
      <c r="N1258" s="1459" t="str">
        <f>IF($I1133="","",IF(INDEX(F_ProductBM!N:N,MATCH($P1258,F_ProductBM!$Q:$Q,0))="","",INDEX(F_ProductBM!N:N,MATCH($P1258,F_ProductBM!$Q:$Q,0))))</f>
        <v/>
      </c>
      <c r="O1258" s="19"/>
      <c r="P1258" s="298" t="str">
        <f>EUconst_CNTR_Emissions &amp; I1133</f>
        <v>DirEmissions_</v>
      </c>
      <c r="Q1258" s="343"/>
      <c r="R1258" s="343"/>
      <c r="S1258" s="343"/>
      <c r="T1258" s="7"/>
      <c r="U1258" s="349"/>
      <c r="V1258" s="349"/>
    </row>
    <row r="1259" spans="1:22" s="534" customFormat="1" ht="12.75" customHeight="1" x14ac:dyDescent="0.25">
      <c r="A1259" s="343"/>
      <c r="B1259" s="15"/>
      <c r="C1259" s="15"/>
      <c r="D1259" s="1454"/>
      <c r="E1259" s="2613" t="str">
        <f>Translations!$B$582</f>
        <v>Andra bränsle-/materialmängder – 1</v>
      </c>
      <c r="F1259" s="1997"/>
      <c r="G1259" s="364" t="str">
        <f>EUconst_tCO2pa</f>
        <v>t CO2 / år</v>
      </c>
      <c r="H1259" s="742" t="str">
        <f>IF($I1133="","",IF(INDEX(F_ProductBM!H:H,MATCH($P1259,F_ProductBM!$Q:$Q,0))="","",INDEX(F_ProductBM!H:H,MATCH($P1259,F_ProductBM!$Q:$Q,0))))</f>
        <v/>
      </c>
      <c r="I1259" s="1021" t="str">
        <f>IF($I1133="","",IF(INDEX(F_ProductBM!I:I,MATCH($P1259,F_ProductBM!$Q:$Q,0))="","",INDEX(F_ProductBM!I:I,MATCH($P1259,F_ProductBM!$Q:$Q,0))))</f>
        <v/>
      </c>
      <c r="J1259" s="1158" t="str">
        <f>IF($I1133="","",IF(INDEX(F_ProductBM!J:J,MATCH($P1259,F_ProductBM!$Q:$Q,0))="","",INDEX(F_ProductBM!J:J,MATCH($P1259,F_ProductBM!$Q:$Q,0))))</f>
        <v/>
      </c>
      <c r="K1259" s="742" t="str">
        <f>IF($I1133="","",IF(INDEX(F_ProductBM!K:K,MATCH($P1259,F_ProductBM!$Q:$Q,0))="","",INDEX(F_ProductBM!K:K,MATCH($P1259,F_ProductBM!$Q:$Q,0))))</f>
        <v/>
      </c>
      <c r="L1259" s="742" t="str">
        <f>IF($I1133="","",IF(INDEX(F_ProductBM!L:L,MATCH($P1259,F_ProductBM!$Q:$Q,0))="","",INDEX(F_ProductBM!L:L,MATCH($P1259,F_ProductBM!$Q:$Q,0))))</f>
        <v/>
      </c>
      <c r="M1259" s="742" t="str">
        <f>IF($I1133="","",IF(INDEX(F_ProductBM!M:M,MATCH($P1259,F_ProductBM!$Q:$Q,0))="","",INDEX(F_ProductBM!M:M,MATCH($P1259,F_ProductBM!$Q:$Q,0))))</f>
        <v/>
      </c>
      <c r="N1259" s="1459" t="str">
        <f>IF($I1133="","",IF(INDEX(F_ProductBM!N:N,MATCH($P1259,F_ProductBM!$Q:$Q,0))="","",INDEX(F_ProductBM!N:N,MATCH($P1259,F_ProductBM!$Q:$Q,0))))</f>
        <v/>
      </c>
      <c r="O1259" s="19"/>
      <c r="P1259" s="298" t="str">
        <f>EUconst_CNTR_EmissionsIntSource1 &amp; I1133</f>
        <v>EmInternalSource1_</v>
      </c>
      <c r="Q1259" s="343"/>
      <c r="R1259" s="343"/>
      <c r="S1259" s="343"/>
      <c r="T1259" s="7"/>
      <c r="U1259" s="349"/>
      <c r="V1259" s="349"/>
    </row>
    <row r="1260" spans="1:22" s="534" customFormat="1" ht="12.75" customHeight="1" x14ac:dyDescent="0.25">
      <c r="A1260" s="343"/>
      <c r="B1260" s="15"/>
      <c r="C1260" s="15"/>
      <c r="D1260" s="1454"/>
      <c r="E1260" s="2613" t="str">
        <f>Translations!$B$592</f>
        <v>Andra bränsle-/materialmängder – 2</v>
      </c>
      <c r="F1260" s="1997"/>
      <c r="G1260" s="364" t="str">
        <f>EUconst_tCO2pa</f>
        <v>t CO2 / år</v>
      </c>
      <c r="H1260" s="742" t="str">
        <f>IF($I1133="","",IF(INDEX(F_ProductBM!H:H,MATCH($P1260,F_ProductBM!$Q:$Q,0))="","",INDEX(F_ProductBM!H:H,MATCH($P1260,F_ProductBM!$Q:$Q,0))))</f>
        <v/>
      </c>
      <c r="I1260" s="1021" t="str">
        <f>IF($I1133="","",IF(INDEX(F_ProductBM!I:I,MATCH($P1260,F_ProductBM!$Q:$Q,0))="","",INDEX(F_ProductBM!I:I,MATCH($P1260,F_ProductBM!$Q:$Q,0))))</f>
        <v/>
      </c>
      <c r="J1260" s="1158" t="str">
        <f>IF($I1133="","",IF(INDEX(F_ProductBM!J:J,MATCH($P1260,F_ProductBM!$Q:$Q,0))="","",INDEX(F_ProductBM!J:J,MATCH($P1260,F_ProductBM!$Q:$Q,0))))</f>
        <v/>
      </c>
      <c r="K1260" s="742" t="str">
        <f>IF($I1133="","",IF(INDEX(F_ProductBM!K:K,MATCH($P1260,F_ProductBM!$Q:$Q,0))="","",INDEX(F_ProductBM!K:K,MATCH($P1260,F_ProductBM!$Q:$Q,0))))</f>
        <v/>
      </c>
      <c r="L1260" s="742" t="str">
        <f>IF($I1133="","",IF(INDEX(F_ProductBM!L:L,MATCH($P1260,F_ProductBM!$Q:$Q,0))="","",INDEX(F_ProductBM!L:L,MATCH($P1260,F_ProductBM!$Q:$Q,0))))</f>
        <v/>
      </c>
      <c r="M1260" s="742" t="str">
        <f>IF($I1133="","",IF(INDEX(F_ProductBM!M:M,MATCH($P1260,F_ProductBM!$Q:$Q,0))="","",INDEX(F_ProductBM!M:M,MATCH($P1260,F_ProductBM!$Q:$Q,0))))</f>
        <v/>
      </c>
      <c r="N1260" s="1459" t="str">
        <f>IF($I1133="","",IF(INDEX(F_ProductBM!N:N,MATCH($P1260,F_ProductBM!$Q:$Q,0))="","",INDEX(F_ProductBM!N:N,MATCH($P1260,F_ProductBM!$Q:$Q,0))))</f>
        <v/>
      </c>
      <c r="O1260" s="19"/>
      <c r="P1260" s="298" t="str">
        <f>EUconst_CNTR_EmissionsIntSource2 &amp; I1133</f>
        <v>EmInternalSource2_</v>
      </c>
      <c r="Q1260" s="343"/>
      <c r="R1260" s="343"/>
      <c r="S1260" s="343"/>
      <c r="T1260" s="7"/>
      <c r="U1260" s="349"/>
      <c r="V1260" s="349"/>
    </row>
    <row r="1261" spans="1:22" s="534" customFormat="1" ht="12.75" customHeight="1" x14ac:dyDescent="0.25">
      <c r="A1261" s="343"/>
      <c r="B1261" s="15"/>
      <c r="C1261" s="15"/>
      <c r="D1261" s="1454"/>
      <c r="E1261" s="2613" t="str">
        <f>Translations!$B$596</f>
        <v>Importerade eller exporterade växthusgaser</v>
      </c>
      <c r="F1261" s="1997"/>
      <c r="G1261" s="364" t="str">
        <f>EUconst_tCO2epa</f>
        <v>t CO2e/år</v>
      </c>
      <c r="H1261" s="742" t="str">
        <f>IF($I1133="","",IF(INDEX(F_ProductBM!H:H,MATCH($P1261,F_ProductBM!$Q:$Q,0))="","",INDEX(F_ProductBM!H:H,MATCH($P1261,F_ProductBM!$Q:$Q,0))))</f>
        <v/>
      </c>
      <c r="I1261" s="1021" t="str">
        <f>IF($I1133="","",IF(INDEX(F_ProductBM!I:I,MATCH($P1261,F_ProductBM!$Q:$Q,0))="","",INDEX(F_ProductBM!I:I,MATCH($P1261,F_ProductBM!$Q:$Q,0))))</f>
        <v/>
      </c>
      <c r="J1261" s="1158" t="str">
        <f>IF($I1133="","",IF(INDEX(F_ProductBM!J:J,MATCH($P1261,F_ProductBM!$Q:$Q,0))="","",INDEX(F_ProductBM!J:J,MATCH($P1261,F_ProductBM!$Q:$Q,0))))</f>
        <v/>
      </c>
      <c r="K1261" s="742" t="str">
        <f>IF($I1133="","",IF(INDEX(F_ProductBM!K:K,MATCH($P1261,F_ProductBM!$Q:$Q,0))="","",INDEX(F_ProductBM!K:K,MATCH($P1261,F_ProductBM!$Q:$Q,0))))</f>
        <v/>
      </c>
      <c r="L1261" s="742" t="str">
        <f>IF($I1133="","",IF(INDEX(F_ProductBM!L:L,MATCH($P1261,F_ProductBM!$Q:$Q,0))="","",INDEX(F_ProductBM!L:L,MATCH($P1261,F_ProductBM!$Q:$Q,0))))</f>
        <v/>
      </c>
      <c r="M1261" s="742" t="str">
        <f>IF($I1133="","",IF(INDEX(F_ProductBM!M:M,MATCH($P1261,F_ProductBM!$Q:$Q,0))="","",INDEX(F_ProductBM!M:M,MATCH($P1261,F_ProductBM!$Q:$Q,0))))</f>
        <v/>
      </c>
      <c r="N1261" s="1459" t="str">
        <f>IF($I1133="","",IF(INDEX(F_ProductBM!N:N,MATCH($P1261,F_ProductBM!$Q:$Q,0))="","",INDEX(F_ProductBM!N:N,MATCH($P1261,F_ProductBM!$Q:$Q,0))))</f>
        <v/>
      </c>
      <c r="O1261" s="19"/>
      <c r="P1261" s="298" t="str">
        <f>EUconst_CNTR_CO2Feedstock &amp; I1133</f>
        <v>EmCO2Feedstock_</v>
      </c>
      <c r="Q1261" s="343"/>
      <c r="R1261" s="343"/>
      <c r="S1261" s="343"/>
      <c r="T1261" s="7"/>
      <c r="U1261" s="349"/>
      <c r="V1261" s="349"/>
    </row>
    <row r="1262" spans="1:22" s="534" customFormat="1" ht="5.15" customHeight="1" x14ac:dyDescent="0.25">
      <c r="A1262" s="343"/>
      <c r="B1262" s="15"/>
      <c r="C1262" s="15"/>
      <c r="D1262" s="1454"/>
      <c r="E1262" s="899"/>
      <c r="F1262" s="899"/>
      <c r="G1262" s="623"/>
      <c r="H1262" s="741"/>
      <c r="I1262" s="741"/>
      <c r="J1262" s="741"/>
      <c r="K1262" s="741"/>
      <c r="L1262" s="741"/>
      <c r="M1262" s="741"/>
      <c r="N1262" s="1458"/>
      <c r="O1262" s="19"/>
      <c r="P1262" s="343"/>
      <c r="Q1262" s="343"/>
      <c r="R1262" s="343"/>
      <c r="S1262" s="343"/>
      <c r="T1262" s="7"/>
      <c r="U1262" s="349"/>
      <c r="V1262" s="349"/>
    </row>
    <row r="1263" spans="1:22" s="534" customFormat="1" ht="12.75" customHeight="1" x14ac:dyDescent="0.25">
      <c r="A1263" s="343"/>
      <c r="B1263" s="15"/>
      <c r="C1263" s="15"/>
      <c r="D1263" s="1454"/>
      <c r="E1263" s="2611" t="str">
        <f>Translations!$B$604</f>
        <v>Nettomängd importerad värme</v>
      </c>
      <c r="F1263" s="2484"/>
      <c r="G1263" s="365" t="str">
        <f>EUconst_TJpa</f>
        <v>TJ / år</v>
      </c>
      <c r="H1263" s="739" t="str">
        <f>IF($I1133="","",IF(INDEX(F_ProductBM!H:H,MATCH($P1263,F_ProductBM!$Q:$Q,0))="","",INDEX(F_ProductBM!H:H,MATCH($P1263,F_ProductBM!$Q:$Q,0))))</f>
        <v/>
      </c>
      <c r="I1263" s="1153" t="str">
        <f>IF($I1133="","",IF(INDEX(F_ProductBM!I:I,MATCH($P1263,F_ProductBM!$Q:$Q,0))="","",INDEX(F_ProductBM!I:I,MATCH($P1263,F_ProductBM!$Q:$Q,0))))</f>
        <v/>
      </c>
      <c r="J1263" s="1159" t="str">
        <f>IF($I1133="","",IF(INDEX(F_ProductBM!J:J,MATCH($P1263,F_ProductBM!$Q:$Q,0))="","",INDEX(F_ProductBM!J:J,MATCH($P1263,F_ProductBM!$Q:$Q,0))))</f>
        <v/>
      </c>
      <c r="K1263" s="739" t="str">
        <f>IF($I1133="","",IF(INDEX(F_ProductBM!K:K,MATCH($P1263,F_ProductBM!$Q:$Q,0))="","",INDEX(F_ProductBM!K:K,MATCH($P1263,F_ProductBM!$Q:$Q,0))))</f>
        <v/>
      </c>
      <c r="L1263" s="739" t="str">
        <f>IF($I1133="","",IF(INDEX(F_ProductBM!L:L,MATCH($P1263,F_ProductBM!$Q:$Q,0))="","",INDEX(F_ProductBM!L:L,MATCH($P1263,F_ProductBM!$Q:$Q,0))))</f>
        <v/>
      </c>
      <c r="M1263" s="739" t="str">
        <f>IF($I1133="","",IF(INDEX(F_ProductBM!M:M,MATCH($P1263,F_ProductBM!$Q:$Q,0))="","",INDEX(F_ProductBM!M:M,MATCH($P1263,F_ProductBM!$Q:$Q,0))))</f>
        <v/>
      </c>
      <c r="N1263" s="1456" t="str">
        <f>IF($I1133="","",IF(INDEX(F_ProductBM!N:N,MATCH($P1263,F_ProductBM!$Q:$Q,0))="","",INDEX(F_ProductBM!N:N,MATCH($P1263,F_ProductBM!$Q:$Q,0))))</f>
        <v/>
      </c>
      <c r="O1263" s="19"/>
      <c r="P1263" s="298" t="str">
        <f>EUconst_CNTR_HeatImport &amp; I1133</f>
        <v>HeatIm_</v>
      </c>
      <c r="Q1263" s="343"/>
      <c r="R1263" s="343"/>
      <c r="S1263" s="343"/>
      <c r="T1263" s="7"/>
      <c r="U1263" s="349"/>
      <c r="V1263" s="349"/>
    </row>
    <row r="1264" spans="1:22" s="534" customFormat="1" ht="12.75" customHeight="1" x14ac:dyDescent="0.25">
      <c r="A1264" s="343"/>
      <c r="B1264" s="15"/>
      <c r="C1264" s="15"/>
      <c r="D1264" s="1454"/>
      <c r="E1264" s="2612" t="str">
        <f>Translations!$B$605</f>
        <v>Särskild emissionsfaktor (importerad värme)</v>
      </c>
      <c r="F1264" s="2487"/>
      <c r="G1264" s="384" t="str">
        <f>EUconst_tCO2pTJ</f>
        <v>t CO2 / TJ</v>
      </c>
      <c r="H1264" s="740" t="str">
        <f>IF($I1133="","",IF(INDEX(F_ProductBM!H:H,MATCH($P1264,F_ProductBM!$Q:$Q,0))="","",INDEX(F_ProductBM!H:H,MATCH($P1264,F_ProductBM!$Q:$Q,0))))</f>
        <v/>
      </c>
      <c r="I1264" s="1154" t="str">
        <f>IF($I1133="","",IF(INDEX(F_ProductBM!I:I,MATCH($P1264,F_ProductBM!$Q:$Q,0))="","",INDEX(F_ProductBM!I:I,MATCH($P1264,F_ProductBM!$Q:$Q,0))))</f>
        <v/>
      </c>
      <c r="J1264" s="1160" t="str">
        <f>IF($I1133="","",IF(INDEX(F_ProductBM!J:J,MATCH($P1264,F_ProductBM!$Q:$Q,0))="","",INDEX(F_ProductBM!J:J,MATCH($P1264,F_ProductBM!$Q:$Q,0))))</f>
        <v/>
      </c>
      <c r="K1264" s="740" t="str">
        <f>IF($I1133="","",IF(INDEX(F_ProductBM!K:K,MATCH($P1264,F_ProductBM!$Q:$Q,0))="","",INDEX(F_ProductBM!K:K,MATCH($P1264,F_ProductBM!$Q:$Q,0))))</f>
        <v/>
      </c>
      <c r="L1264" s="740" t="str">
        <f>IF($I1133="","",IF(INDEX(F_ProductBM!L:L,MATCH($P1264,F_ProductBM!$Q:$Q,0))="","",INDEX(F_ProductBM!L:L,MATCH($P1264,F_ProductBM!$Q:$Q,0))))</f>
        <v/>
      </c>
      <c r="M1264" s="740" t="str">
        <f>IF($I1133="","",IF(INDEX(F_ProductBM!M:M,MATCH($P1264,F_ProductBM!$Q:$Q,0))="","",INDEX(F_ProductBM!M:M,MATCH($P1264,F_ProductBM!$Q:$Q,0))))</f>
        <v/>
      </c>
      <c r="N1264" s="1457" t="str">
        <f>IF($I1133="","",IF(INDEX(F_ProductBM!N:N,MATCH($P1264,F_ProductBM!$Q:$Q,0))="","",INDEX(F_ProductBM!N:N,MATCH($P1264,F_ProductBM!$Q:$Q,0))))</f>
        <v/>
      </c>
      <c r="O1264" s="19"/>
      <c r="P1264" s="298" t="str">
        <f>EUconst_CNTR_HeatImportEF &amp; I1133</f>
        <v>HeatImEF_</v>
      </c>
      <c r="Q1264" s="343"/>
      <c r="R1264" s="343"/>
      <c r="S1264" s="343"/>
      <c r="T1264" s="7"/>
      <c r="U1264" s="349"/>
      <c r="V1264" s="349"/>
    </row>
    <row r="1265" spans="1:22" s="534" customFormat="1" ht="5.15" customHeight="1" x14ac:dyDescent="0.25">
      <c r="A1265" s="343"/>
      <c r="B1265" s="15"/>
      <c r="C1265" s="15"/>
      <c r="D1265" s="1454"/>
      <c r="E1265" s="899"/>
      <c r="F1265" s="899"/>
      <c r="G1265" s="623"/>
      <c r="H1265" s="741"/>
      <c r="I1265" s="741"/>
      <c r="J1265" s="741"/>
      <c r="K1265" s="741"/>
      <c r="L1265" s="741"/>
      <c r="M1265" s="741"/>
      <c r="N1265" s="1458"/>
      <c r="O1265" s="19"/>
      <c r="P1265" s="7"/>
      <c r="Q1265" s="343"/>
      <c r="R1265" s="343"/>
      <c r="S1265" s="343"/>
      <c r="T1265" s="7"/>
      <c r="U1265" s="349"/>
      <c r="V1265" s="349"/>
    </row>
    <row r="1266" spans="1:22" s="534" customFormat="1" ht="12.75" customHeight="1" x14ac:dyDescent="0.25">
      <c r="A1266" s="343"/>
      <c r="B1266" s="15"/>
      <c r="C1266" s="15"/>
      <c r="D1266" s="1454"/>
      <c r="E1266" s="2613" t="str">
        <f>Translations!$B$659</f>
        <v>Importerad nettovärme från massa</v>
      </c>
      <c r="F1266" s="1997"/>
      <c r="G1266" s="364" t="str">
        <f>EUconst_TJpa</f>
        <v>TJ / år</v>
      </c>
      <c r="H1266" s="742" t="str">
        <f>IF($I1133="","",IF(INDEX(F_ProductBM!H:H,MATCH($P1266,F_ProductBM!$Q:$Q,0))="","",INDEX(F_ProductBM!H:H,MATCH($P1266,F_ProductBM!$Q:$Q,0))))</f>
        <v/>
      </c>
      <c r="I1266" s="1021" t="str">
        <f>IF($I1133="","",IF(INDEX(F_ProductBM!I:I,MATCH($P1266,F_ProductBM!$Q:$Q,0))="","",INDEX(F_ProductBM!I:I,MATCH($P1266,F_ProductBM!$Q:$Q,0))))</f>
        <v/>
      </c>
      <c r="J1266" s="1158" t="str">
        <f>IF($I1133="","",IF(INDEX(F_ProductBM!J:J,MATCH($P1266,F_ProductBM!$Q:$Q,0))="","",INDEX(F_ProductBM!J:J,MATCH($P1266,F_ProductBM!$Q:$Q,0))))</f>
        <v/>
      </c>
      <c r="K1266" s="742" t="str">
        <f>IF($I1133="","",IF(INDEX(F_ProductBM!K:K,MATCH($P1266,F_ProductBM!$Q:$Q,0))="","",INDEX(F_ProductBM!K:K,MATCH($P1266,F_ProductBM!$Q:$Q,0))))</f>
        <v/>
      </c>
      <c r="L1266" s="742" t="str">
        <f>IF($I1133="","",IF(INDEX(F_ProductBM!L:L,MATCH($P1266,F_ProductBM!$Q:$Q,0))="","",INDEX(F_ProductBM!L:L,MATCH($P1266,F_ProductBM!$Q:$Q,0))))</f>
        <v/>
      </c>
      <c r="M1266" s="742" t="str">
        <f>IF($I1133="","",IF(INDEX(F_ProductBM!M:M,MATCH($P1266,F_ProductBM!$Q:$Q,0))="","",INDEX(F_ProductBM!M:M,MATCH($P1266,F_ProductBM!$Q:$Q,0))))</f>
        <v/>
      </c>
      <c r="N1266" s="1459" t="str">
        <f>IF($I1133="","",IF(INDEX(F_ProductBM!N:N,MATCH($P1266,F_ProductBM!$Q:$Q,0))="","",INDEX(F_ProductBM!N:N,MATCH($P1266,F_ProductBM!$Q:$Q,0))))</f>
        <v/>
      </c>
      <c r="O1266" s="19"/>
      <c r="P1266" s="298" t="str">
        <f>EUconst_CNTR_HeatImportPulp &amp; I1133</f>
        <v>HeatImPulp_</v>
      </c>
      <c r="Q1266" s="343"/>
      <c r="R1266" s="343"/>
      <c r="S1266" s="343"/>
      <c r="T1266" s="7"/>
      <c r="U1266" s="349"/>
      <c r="V1266" s="349"/>
    </row>
    <row r="1267" spans="1:22" s="534" customFormat="1" ht="12.75" customHeight="1" x14ac:dyDescent="0.25">
      <c r="A1267" s="343"/>
      <c r="B1267" s="15"/>
      <c r="C1267" s="15"/>
      <c r="D1267" s="1454"/>
      <c r="E1267" s="2613" t="str">
        <f>Translations!$B$608</f>
        <v>Nettomängd importerad värme från delanläggningar för salpetersyra</v>
      </c>
      <c r="F1267" s="1997"/>
      <c r="G1267" s="364" t="str">
        <f>EUconst_TJpa</f>
        <v>TJ / år</v>
      </c>
      <c r="H1267" s="742" t="str">
        <f>IF($I1133="","",IF(INDEX(F_ProductBM!H:H,MATCH($P1267,F_ProductBM!$Q:$Q,0))="","",INDEX(F_ProductBM!H:H,MATCH($P1267,F_ProductBM!$Q:$Q,0))))</f>
        <v/>
      </c>
      <c r="I1267" s="1021" t="str">
        <f>IF($I1133="","",IF(INDEX(F_ProductBM!I:I,MATCH($P1267,F_ProductBM!$Q:$Q,0))="","",INDEX(F_ProductBM!I:I,MATCH($P1267,F_ProductBM!$Q:$Q,0))))</f>
        <v/>
      </c>
      <c r="J1267" s="1158" t="str">
        <f>IF($I1133="","",IF(INDEX(F_ProductBM!J:J,MATCH($P1267,F_ProductBM!$Q:$Q,0))="","",INDEX(F_ProductBM!J:J,MATCH($P1267,F_ProductBM!$Q:$Q,0))))</f>
        <v/>
      </c>
      <c r="K1267" s="742" t="str">
        <f>IF($I1133="","",IF(INDEX(F_ProductBM!K:K,MATCH($P1267,F_ProductBM!$Q:$Q,0))="","",INDEX(F_ProductBM!K:K,MATCH($P1267,F_ProductBM!$Q:$Q,0))))</f>
        <v/>
      </c>
      <c r="L1267" s="742" t="str">
        <f>IF($I1133="","",IF(INDEX(F_ProductBM!L:L,MATCH($P1267,F_ProductBM!$Q:$Q,0))="","",INDEX(F_ProductBM!L:L,MATCH($P1267,F_ProductBM!$Q:$Q,0))))</f>
        <v/>
      </c>
      <c r="M1267" s="742" t="str">
        <f>IF($I1133="","",IF(INDEX(F_ProductBM!M:M,MATCH($P1267,F_ProductBM!$Q:$Q,0))="","",INDEX(F_ProductBM!M:M,MATCH($P1267,F_ProductBM!$Q:$Q,0))))</f>
        <v/>
      </c>
      <c r="N1267" s="1459" t="str">
        <f>IF($I1133="","",IF(INDEX(F_ProductBM!N:N,MATCH($P1267,F_ProductBM!$Q:$Q,0))="","",INDEX(F_ProductBM!N:N,MATCH($P1267,F_ProductBM!$Q:$Q,0))))</f>
        <v/>
      </c>
      <c r="O1267" s="19"/>
      <c r="P1267" s="298" t="str">
        <f>EUconst_CNTR_HeatImportNitric &amp; I1133</f>
        <v>HeatImNitric_</v>
      </c>
      <c r="Q1267" s="343"/>
      <c r="R1267" s="343"/>
      <c r="S1267" s="343"/>
      <c r="T1267" s="7"/>
      <c r="U1267" s="349"/>
      <c r="V1267" s="349"/>
    </row>
    <row r="1268" spans="1:22" s="534" customFormat="1" ht="5.15" customHeight="1" x14ac:dyDescent="0.25">
      <c r="A1268" s="343"/>
      <c r="B1268" s="15"/>
      <c r="C1268" s="15"/>
      <c r="D1268" s="1454"/>
      <c r="E1268" s="899"/>
      <c r="F1268" s="899"/>
      <c r="G1268" s="416"/>
      <c r="H1268" s="741"/>
      <c r="I1268" s="741"/>
      <c r="J1268" s="741"/>
      <c r="K1268" s="741"/>
      <c r="L1268" s="741"/>
      <c r="M1268" s="741"/>
      <c r="N1268" s="1458"/>
      <c r="O1268" s="19"/>
      <c r="P1268" s="7"/>
      <c r="Q1268" s="343"/>
      <c r="R1268" s="343"/>
      <c r="S1268" s="343"/>
      <c r="T1268" s="7"/>
      <c r="U1268" s="349"/>
      <c r="V1268" s="349"/>
    </row>
    <row r="1269" spans="1:22" s="534" customFormat="1" ht="12.75" customHeight="1" x14ac:dyDescent="0.25">
      <c r="A1269" s="343"/>
      <c r="B1269" s="15"/>
      <c r="C1269" s="15"/>
      <c r="D1269" s="1454"/>
      <c r="E1269" s="2611" t="str">
        <f>Translations!$B$610</f>
        <v>Nettomängd exporterad värme</v>
      </c>
      <c r="F1269" s="2484"/>
      <c r="G1269" s="365" t="str">
        <f>EUconst_TJpa</f>
        <v>TJ / år</v>
      </c>
      <c r="H1269" s="739" t="str">
        <f>IF($I1133="","",IF(INDEX(F_ProductBM!H:H,MATCH($P1269,F_ProductBM!$Q:$Q,0))="","",INDEX(F_ProductBM!H:H,MATCH($P1269,F_ProductBM!$Q:$Q,0))))</f>
        <v/>
      </c>
      <c r="I1269" s="1153" t="str">
        <f>IF($I1133="","",IF(INDEX(F_ProductBM!I:I,MATCH($P1269,F_ProductBM!$Q:$Q,0))="","",INDEX(F_ProductBM!I:I,MATCH($P1269,F_ProductBM!$Q:$Q,0))))</f>
        <v/>
      </c>
      <c r="J1269" s="1159" t="str">
        <f>IF($I1133="","",IF(INDEX(F_ProductBM!J:J,MATCH($P1269,F_ProductBM!$Q:$Q,0))="","",INDEX(F_ProductBM!J:J,MATCH($P1269,F_ProductBM!$Q:$Q,0))))</f>
        <v/>
      </c>
      <c r="K1269" s="739" t="str">
        <f>IF($I1133="","",IF(INDEX(F_ProductBM!K:K,MATCH($P1269,F_ProductBM!$Q:$Q,0))="","",INDEX(F_ProductBM!K:K,MATCH($P1269,F_ProductBM!$Q:$Q,0))))</f>
        <v/>
      </c>
      <c r="L1269" s="739" t="str">
        <f>IF($I1133="","",IF(INDEX(F_ProductBM!L:L,MATCH($P1269,F_ProductBM!$Q:$Q,0))="","",INDEX(F_ProductBM!L:L,MATCH($P1269,F_ProductBM!$Q:$Q,0))))</f>
        <v/>
      </c>
      <c r="M1269" s="739" t="str">
        <f>IF($I1133="","",IF(INDEX(F_ProductBM!M:M,MATCH($P1269,F_ProductBM!$Q:$Q,0))="","",INDEX(F_ProductBM!M:M,MATCH($P1269,F_ProductBM!$Q:$Q,0))))</f>
        <v/>
      </c>
      <c r="N1269" s="1456" t="str">
        <f>IF($I1133="","",IF(INDEX(F_ProductBM!N:N,MATCH($P1269,F_ProductBM!$Q:$Q,0))="","",INDEX(F_ProductBM!N:N,MATCH($P1269,F_ProductBM!$Q:$Q,0))))</f>
        <v/>
      </c>
      <c r="O1269" s="19"/>
      <c r="P1269" s="298" t="str">
        <f>EUconst_CNTR_HeatExport &amp; I1133</f>
        <v>HeatEx_</v>
      </c>
      <c r="Q1269" s="343"/>
      <c r="R1269" s="343"/>
      <c r="S1269" s="343"/>
      <c r="T1269" s="7"/>
      <c r="U1269" s="349"/>
      <c r="V1269" s="349"/>
    </row>
    <row r="1270" spans="1:22" s="534" customFormat="1" ht="12.75" customHeight="1" x14ac:dyDescent="0.25">
      <c r="A1270" s="343"/>
      <c r="B1270" s="15"/>
      <c r="C1270" s="15"/>
      <c r="D1270" s="1454"/>
      <c r="E1270" s="2612" t="str">
        <f>Translations!$B$611</f>
        <v>Särskild emissionsfaktor (exporterad värme)</v>
      </c>
      <c r="F1270" s="2487"/>
      <c r="G1270" s="384" t="str">
        <f>EUconst_tCO2pTJ</f>
        <v>t CO2 / TJ</v>
      </c>
      <c r="H1270" s="740" t="str">
        <f>IF($I1133="","",IF(INDEX(F_ProductBM!H:H,MATCH($P1270,F_ProductBM!$Q:$Q,0))="","",INDEX(F_ProductBM!H:H,MATCH($P1270,F_ProductBM!$Q:$Q,0))))</f>
        <v/>
      </c>
      <c r="I1270" s="1154" t="str">
        <f>IF($I1133="","",IF(INDEX(F_ProductBM!I:I,MATCH($P1270,F_ProductBM!$Q:$Q,0))="","",INDEX(F_ProductBM!I:I,MATCH($P1270,F_ProductBM!$Q:$Q,0))))</f>
        <v/>
      </c>
      <c r="J1270" s="1160" t="str">
        <f>IF($I1133="","",IF(INDEX(F_ProductBM!J:J,MATCH($P1270,F_ProductBM!$Q:$Q,0))="","",INDEX(F_ProductBM!J:J,MATCH($P1270,F_ProductBM!$Q:$Q,0))))</f>
        <v/>
      </c>
      <c r="K1270" s="740" t="str">
        <f>IF($I1133="","",IF(INDEX(F_ProductBM!K:K,MATCH($P1270,F_ProductBM!$Q:$Q,0))="","",INDEX(F_ProductBM!K:K,MATCH($P1270,F_ProductBM!$Q:$Q,0))))</f>
        <v/>
      </c>
      <c r="L1270" s="740" t="str">
        <f>IF($I1133="","",IF(INDEX(F_ProductBM!L:L,MATCH($P1270,F_ProductBM!$Q:$Q,0))="","",INDEX(F_ProductBM!L:L,MATCH($P1270,F_ProductBM!$Q:$Q,0))))</f>
        <v/>
      </c>
      <c r="M1270" s="740" t="str">
        <f>IF($I1133="","",IF(INDEX(F_ProductBM!M:M,MATCH($P1270,F_ProductBM!$Q:$Q,0))="","",INDEX(F_ProductBM!M:M,MATCH($P1270,F_ProductBM!$Q:$Q,0))))</f>
        <v/>
      </c>
      <c r="N1270" s="1457" t="str">
        <f>IF($I1133="","",IF(INDEX(F_ProductBM!N:N,MATCH($P1270,F_ProductBM!$Q:$Q,0))="","",INDEX(F_ProductBM!N:N,MATCH($P1270,F_ProductBM!$Q:$Q,0))))</f>
        <v/>
      </c>
      <c r="O1270" s="19"/>
      <c r="P1270" s="298" t="str">
        <f>EUconst_CNTR_HeatExportEF &amp; I1133</f>
        <v>HeatExEF_</v>
      </c>
      <c r="Q1270" s="343"/>
      <c r="R1270" s="343"/>
      <c r="S1270" s="343"/>
      <c r="T1270" s="7"/>
      <c r="U1270" s="349"/>
      <c r="V1270" s="349"/>
    </row>
    <row r="1271" spans="1:22" s="534" customFormat="1" ht="5.15" customHeight="1" x14ac:dyDescent="0.25">
      <c r="A1271" s="343"/>
      <c r="B1271" s="15"/>
      <c r="C1271" s="15"/>
      <c r="D1271" s="1454"/>
      <c r="E1271" s="899"/>
      <c r="F1271" s="899"/>
      <c r="G1271" s="416"/>
      <c r="H1271" s="741"/>
      <c r="I1271" s="741"/>
      <c r="J1271" s="741"/>
      <c r="K1271" s="741"/>
      <c r="L1271" s="741"/>
      <c r="M1271" s="741"/>
      <c r="N1271" s="1458"/>
      <c r="O1271" s="19"/>
      <c r="P1271" s="7"/>
      <c r="Q1271" s="343"/>
      <c r="R1271" s="343"/>
      <c r="S1271" s="343"/>
      <c r="T1271" s="7"/>
      <c r="U1271" s="349"/>
      <c r="V1271" s="349"/>
    </row>
    <row r="1272" spans="1:22" s="534" customFormat="1" ht="12.75" customHeight="1" x14ac:dyDescent="0.25">
      <c r="A1272" s="343"/>
      <c r="B1272" s="15"/>
      <c r="C1272" s="15"/>
      <c r="D1272" s="1454"/>
      <c r="E1272" s="2611" t="str">
        <f>Translations!$B$618</f>
        <v>Producerad restgas</v>
      </c>
      <c r="F1272" s="2484"/>
      <c r="G1272" s="365" t="str">
        <f>EUconst_TJpa</f>
        <v>TJ / år</v>
      </c>
      <c r="H1272" s="739" t="str">
        <f>IF($I1133="","",IF(INDEX(F_ProductBM!H:H,MATCH($P1272,F_ProductBM!$Q:$Q,0))="","",INDEX(F_ProductBM!H:H,MATCH($P1272,F_ProductBM!$Q:$Q,0))))</f>
        <v/>
      </c>
      <c r="I1272" s="1153" t="str">
        <f>IF($I1133="","",IF(INDEX(F_ProductBM!I:I,MATCH($P1272,F_ProductBM!$Q:$Q,0))="","",INDEX(F_ProductBM!I:I,MATCH($P1272,F_ProductBM!$Q:$Q,0))))</f>
        <v/>
      </c>
      <c r="J1272" s="1159" t="str">
        <f>IF($I1133="","",IF(INDEX(F_ProductBM!J:J,MATCH($P1272,F_ProductBM!$Q:$Q,0))="","",INDEX(F_ProductBM!J:J,MATCH($P1272,F_ProductBM!$Q:$Q,0))))</f>
        <v/>
      </c>
      <c r="K1272" s="739" t="str">
        <f>IF($I1133="","",IF(INDEX(F_ProductBM!K:K,MATCH($P1272,F_ProductBM!$Q:$Q,0))="","",INDEX(F_ProductBM!K:K,MATCH($P1272,F_ProductBM!$Q:$Q,0))))</f>
        <v/>
      </c>
      <c r="L1272" s="739" t="str">
        <f>IF($I1133="","",IF(INDEX(F_ProductBM!L:L,MATCH($P1272,F_ProductBM!$Q:$Q,0))="","",INDEX(F_ProductBM!L:L,MATCH($P1272,F_ProductBM!$Q:$Q,0))))</f>
        <v/>
      </c>
      <c r="M1272" s="739" t="str">
        <f>IF($I1133="","",IF(INDEX(F_ProductBM!M:M,MATCH($P1272,F_ProductBM!$Q:$Q,0))="","",INDEX(F_ProductBM!M:M,MATCH($P1272,F_ProductBM!$Q:$Q,0))))</f>
        <v/>
      </c>
      <c r="N1272" s="1456" t="str">
        <f>IF($I1133="","",IF(INDEX(F_ProductBM!N:N,MATCH($P1272,F_ProductBM!$Q:$Q,0))="","",INDEX(F_ProductBM!N:N,MATCH($P1272,F_ProductBM!$Q:$Q,0))))</f>
        <v/>
      </c>
      <c r="O1272" s="19"/>
      <c r="P1272" s="622" t="str">
        <f>EUconst_CNTR_WGProduced &amp; I1133</f>
        <v>WasteGasProd_</v>
      </c>
      <c r="Q1272" s="343"/>
      <c r="R1272" s="343"/>
      <c r="S1272" s="343"/>
      <c r="T1272" s="7"/>
      <c r="U1272" s="349"/>
      <c r="V1272" s="349"/>
    </row>
    <row r="1273" spans="1:22" s="534" customFormat="1" ht="12.75" customHeight="1" x14ac:dyDescent="0.25">
      <c r="A1273" s="343"/>
      <c r="B1273" s="15"/>
      <c r="C1273" s="15"/>
      <c r="D1273" s="1454"/>
      <c r="E1273" s="2612" t="str">
        <f>Translations!$B$619</f>
        <v>Särskild emissionsfaktor (producerad restgas)</v>
      </c>
      <c r="F1273" s="2487"/>
      <c r="G1273" s="384" t="str">
        <f>EUconst_tCO2pTJ</f>
        <v>t CO2 / TJ</v>
      </c>
      <c r="H1273" s="740" t="str">
        <f>IF($I1133="","",IF(INDEX(F_ProductBM!H:H,MATCH($P1273,F_ProductBM!$Q:$Q,0))="","",INDEX(F_ProductBM!H:H,MATCH($P1273,F_ProductBM!$Q:$Q,0))))</f>
        <v/>
      </c>
      <c r="I1273" s="1154" t="str">
        <f>IF($I1133="","",IF(INDEX(F_ProductBM!I:I,MATCH($P1273,F_ProductBM!$Q:$Q,0))="","",INDEX(F_ProductBM!I:I,MATCH($P1273,F_ProductBM!$Q:$Q,0))))</f>
        <v/>
      </c>
      <c r="J1273" s="1160" t="str">
        <f>IF($I1133="","",IF(INDEX(F_ProductBM!J:J,MATCH($P1273,F_ProductBM!$Q:$Q,0))="","",INDEX(F_ProductBM!J:J,MATCH($P1273,F_ProductBM!$Q:$Q,0))))</f>
        <v/>
      </c>
      <c r="K1273" s="740" t="str">
        <f>IF($I1133="","",IF(INDEX(F_ProductBM!K:K,MATCH($P1273,F_ProductBM!$Q:$Q,0))="","",INDEX(F_ProductBM!K:K,MATCH($P1273,F_ProductBM!$Q:$Q,0))))</f>
        <v/>
      </c>
      <c r="L1273" s="740" t="str">
        <f>IF($I1133="","",IF(INDEX(F_ProductBM!L:L,MATCH($P1273,F_ProductBM!$Q:$Q,0))="","",INDEX(F_ProductBM!L:L,MATCH($P1273,F_ProductBM!$Q:$Q,0))))</f>
        <v/>
      </c>
      <c r="M1273" s="740" t="str">
        <f>IF($I1133="","",IF(INDEX(F_ProductBM!M:M,MATCH($P1273,F_ProductBM!$Q:$Q,0))="","",INDEX(F_ProductBM!M:M,MATCH($P1273,F_ProductBM!$Q:$Q,0))))</f>
        <v/>
      </c>
      <c r="N1273" s="1457" t="str">
        <f>IF($I1133="","",IF(INDEX(F_ProductBM!N:N,MATCH($P1273,F_ProductBM!$Q:$Q,0))="","",INDEX(F_ProductBM!N:N,MATCH($P1273,F_ProductBM!$Q:$Q,0))))</f>
        <v/>
      </c>
      <c r="O1273" s="19"/>
      <c r="P1273" s="298" t="str">
        <f>EUconst_CNTR_WGProducedEF &amp; I1133</f>
        <v>WasteGasProdEF_</v>
      </c>
      <c r="Q1273" s="343"/>
      <c r="R1273" s="343"/>
      <c r="S1273" s="343"/>
      <c r="T1273" s="7"/>
      <c r="U1273" s="349"/>
      <c r="V1273" s="349"/>
    </row>
    <row r="1274" spans="1:22" s="534" customFormat="1" ht="12.75" customHeight="1" x14ac:dyDescent="0.25">
      <c r="A1274" s="343"/>
      <c r="B1274" s="15"/>
      <c r="C1274" s="15"/>
      <c r="D1274" s="1454"/>
      <c r="E1274" s="2611" t="str">
        <f>Translations!$B$623</f>
        <v>Förbrukad restgas</v>
      </c>
      <c r="F1274" s="2484"/>
      <c r="G1274" s="365" t="str">
        <f>EUconst_TJpa</f>
        <v>TJ / år</v>
      </c>
      <c r="H1274" s="739" t="str">
        <f>IF($I1133="","",IF(INDEX(F_ProductBM!H:H,MATCH($P1274,F_ProductBM!$Q:$Q,0))="","",INDEX(F_ProductBM!H:H,MATCH($P1274,F_ProductBM!$Q:$Q,0))))</f>
        <v/>
      </c>
      <c r="I1274" s="1153" t="str">
        <f>IF($I1133="","",IF(INDEX(F_ProductBM!I:I,MATCH($P1274,F_ProductBM!$Q:$Q,0))="","",INDEX(F_ProductBM!I:I,MATCH($P1274,F_ProductBM!$Q:$Q,0))))</f>
        <v/>
      </c>
      <c r="J1274" s="1159" t="str">
        <f>IF($I1133="","",IF(INDEX(F_ProductBM!J:J,MATCH($P1274,F_ProductBM!$Q:$Q,0))="","",INDEX(F_ProductBM!J:J,MATCH($P1274,F_ProductBM!$Q:$Q,0))))</f>
        <v/>
      </c>
      <c r="K1274" s="739" t="str">
        <f>IF($I1133="","",IF(INDEX(F_ProductBM!K:K,MATCH($P1274,F_ProductBM!$Q:$Q,0))="","",INDEX(F_ProductBM!K:K,MATCH($P1274,F_ProductBM!$Q:$Q,0))))</f>
        <v/>
      </c>
      <c r="L1274" s="739" t="str">
        <f>IF($I1133="","",IF(INDEX(F_ProductBM!L:L,MATCH($P1274,F_ProductBM!$Q:$Q,0))="","",INDEX(F_ProductBM!L:L,MATCH($P1274,F_ProductBM!$Q:$Q,0))))</f>
        <v/>
      </c>
      <c r="M1274" s="739" t="str">
        <f>IF($I1133="","",IF(INDEX(F_ProductBM!M:M,MATCH($P1274,F_ProductBM!$Q:$Q,0))="","",INDEX(F_ProductBM!M:M,MATCH($P1274,F_ProductBM!$Q:$Q,0))))</f>
        <v/>
      </c>
      <c r="N1274" s="1456" t="str">
        <f>IF($I1133="","",IF(INDEX(F_ProductBM!N:N,MATCH($P1274,F_ProductBM!$Q:$Q,0))="","",INDEX(F_ProductBM!N:N,MATCH($P1274,F_ProductBM!$Q:$Q,0))))</f>
        <v/>
      </c>
      <c r="O1274" s="19"/>
      <c r="P1274" s="298" t="str">
        <f>EUconst_CNTR_WGConsumed &amp; I1133</f>
        <v>WasteGasCons_</v>
      </c>
      <c r="Q1274" s="343"/>
      <c r="R1274" s="343"/>
      <c r="S1274" s="343"/>
      <c r="T1274" s="7"/>
      <c r="U1274" s="349"/>
      <c r="V1274" s="349"/>
    </row>
    <row r="1275" spans="1:22" s="534" customFormat="1" ht="12.75" customHeight="1" x14ac:dyDescent="0.25">
      <c r="A1275" s="343"/>
      <c r="B1275" s="15"/>
      <c r="C1275" s="15"/>
      <c r="D1275" s="1454"/>
      <c r="E1275" s="2612" t="str">
        <f>Translations!$B$624</f>
        <v>Särskild emissionsfaktor (förbrukad restgas)</v>
      </c>
      <c r="F1275" s="2487"/>
      <c r="G1275" s="384" t="str">
        <f>EUconst_tCO2pTJ</f>
        <v>t CO2 / TJ</v>
      </c>
      <c r="H1275" s="740" t="str">
        <f>IF($I1133="","",IF(INDEX(F_ProductBM!H:H,MATCH($P1275,F_ProductBM!$Q:$Q,0))="","",INDEX(F_ProductBM!H:H,MATCH($P1275,F_ProductBM!$Q:$Q,0))))</f>
        <v/>
      </c>
      <c r="I1275" s="1154" t="str">
        <f>IF($I1133="","",IF(INDEX(F_ProductBM!I:I,MATCH($P1275,F_ProductBM!$Q:$Q,0))="","",INDEX(F_ProductBM!I:I,MATCH($P1275,F_ProductBM!$Q:$Q,0))))</f>
        <v/>
      </c>
      <c r="J1275" s="1160" t="str">
        <f>IF($I1133="","",IF(INDEX(F_ProductBM!J:J,MATCH($P1275,F_ProductBM!$Q:$Q,0))="","",INDEX(F_ProductBM!J:J,MATCH($P1275,F_ProductBM!$Q:$Q,0))))</f>
        <v/>
      </c>
      <c r="K1275" s="740" t="str">
        <f>IF($I1133="","",IF(INDEX(F_ProductBM!K:K,MATCH($P1275,F_ProductBM!$Q:$Q,0))="","",INDEX(F_ProductBM!K:K,MATCH($P1275,F_ProductBM!$Q:$Q,0))))</f>
        <v/>
      </c>
      <c r="L1275" s="740" t="str">
        <f>IF($I1133="","",IF(INDEX(F_ProductBM!L:L,MATCH($P1275,F_ProductBM!$Q:$Q,0))="","",INDEX(F_ProductBM!L:L,MATCH($P1275,F_ProductBM!$Q:$Q,0))))</f>
        <v/>
      </c>
      <c r="M1275" s="740" t="str">
        <f>IF($I1133="","",IF(INDEX(F_ProductBM!M:M,MATCH($P1275,F_ProductBM!$Q:$Q,0))="","",INDEX(F_ProductBM!M:M,MATCH($P1275,F_ProductBM!$Q:$Q,0))))</f>
        <v/>
      </c>
      <c r="N1275" s="1457" t="str">
        <f>IF($I1133="","",IF(INDEX(F_ProductBM!N:N,MATCH($P1275,F_ProductBM!$Q:$Q,0))="","",INDEX(F_ProductBM!N:N,MATCH($P1275,F_ProductBM!$Q:$Q,0))))</f>
        <v/>
      </c>
      <c r="O1275" s="19"/>
      <c r="P1275" s="298" t="str">
        <f>EUconst_CNTR_WGConsumedEF &amp; I1133</f>
        <v>WasteGasConsEF_</v>
      </c>
      <c r="Q1275" s="343"/>
      <c r="R1275" s="343"/>
      <c r="S1275" s="343"/>
      <c r="T1275" s="7"/>
      <c r="U1275" s="349"/>
      <c r="V1275" s="349"/>
    </row>
    <row r="1276" spans="1:22" s="534" customFormat="1" ht="12.75" customHeight="1" x14ac:dyDescent="0.25">
      <c r="A1276" s="343"/>
      <c r="B1276" s="15"/>
      <c r="C1276" s="15"/>
      <c r="D1276" s="1454"/>
      <c r="E1276" s="2611" t="str">
        <f>Translations!$B$630</f>
        <v>Facklad restgas</v>
      </c>
      <c r="F1276" s="2484"/>
      <c r="G1276" s="365" t="str">
        <f>EUconst_TJpa</f>
        <v>TJ / år</v>
      </c>
      <c r="H1276" s="739" t="str">
        <f>IF($I1133="","",IF(INDEX(F_ProductBM!H:H,MATCH($P1276,F_ProductBM!$Q:$Q,0))="","",INDEX(F_ProductBM!H:H,MATCH($P1276,F_ProductBM!$Q:$Q,0))))</f>
        <v/>
      </c>
      <c r="I1276" s="1153" t="str">
        <f>IF($I1133="","",IF(INDEX(F_ProductBM!I:I,MATCH($P1276,F_ProductBM!$Q:$Q,0))="","",INDEX(F_ProductBM!I:I,MATCH($P1276,F_ProductBM!$Q:$Q,0))))</f>
        <v/>
      </c>
      <c r="J1276" s="1159" t="str">
        <f>IF($I1133="","",IF(INDEX(F_ProductBM!J:J,MATCH($P1276,F_ProductBM!$Q:$Q,0))="","",INDEX(F_ProductBM!J:J,MATCH($P1276,F_ProductBM!$Q:$Q,0))))</f>
        <v/>
      </c>
      <c r="K1276" s="739" t="str">
        <f>IF($I1133="","",IF(INDEX(F_ProductBM!K:K,MATCH($P1276,F_ProductBM!$Q:$Q,0))="","",INDEX(F_ProductBM!K:K,MATCH($P1276,F_ProductBM!$Q:$Q,0))))</f>
        <v/>
      </c>
      <c r="L1276" s="739" t="str">
        <f>IF($I1133="","",IF(INDEX(F_ProductBM!L:L,MATCH($P1276,F_ProductBM!$Q:$Q,0))="","",INDEX(F_ProductBM!L:L,MATCH($P1276,F_ProductBM!$Q:$Q,0))))</f>
        <v/>
      </c>
      <c r="M1276" s="739" t="str">
        <f>IF($I1133="","",IF(INDEX(F_ProductBM!M:M,MATCH($P1276,F_ProductBM!$Q:$Q,0))="","",INDEX(F_ProductBM!M:M,MATCH($P1276,F_ProductBM!$Q:$Q,0))))</f>
        <v/>
      </c>
      <c r="N1276" s="1456" t="str">
        <f>IF($I1133="","",IF(INDEX(F_ProductBM!N:N,MATCH($P1276,F_ProductBM!$Q:$Q,0))="","",INDEX(F_ProductBM!N:N,MATCH($P1276,F_ProductBM!$Q:$Q,0))))</f>
        <v/>
      </c>
      <c r="O1276" s="19"/>
      <c r="P1276" s="298" t="str">
        <f>EUconst_CNTR_WGFlared &amp; I1133</f>
        <v>WasteGasFlare_</v>
      </c>
      <c r="Q1276" s="343"/>
      <c r="R1276" s="343"/>
      <c r="S1276" s="343"/>
      <c r="T1276" s="7"/>
      <c r="U1276" s="349"/>
      <c r="V1276" s="349"/>
    </row>
    <row r="1277" spans="1:22" s="534" customFormat="1" ht="12.75" customHeight="1" x14ac:dyDescent="0.25">
      <c r="A1277" s="343"/>
      <c r="B1277" s="15"/>
      <c r="C1277" s="15"/>
      <c r="D1277" s="1454"/>
      <c r="E1277" s="2612" t="str">
        <f>Translations!$B$631</f>
        <v>Särskild emissionsfaktor (facklad restgas)</v>
      </c>
      <c r="F1277" s="2487"/>
      <c r="G1277" s="384" t="str">
        <f>EUconst_tCO2pTJ</f>
        <v>t CO2 / TJ</v>
      </c>
      <c r="H1277" s="740" t="str">
        <f>IF($I1133="","",IF(INDEX(F_ProductBM!H:H,MATCH($P1277,F_ProductBM!$Q:$Q,0))="","",INDEX(F_ProductBM!H:H,MATCH($P1277,F_ProductBM!$Q:$Q,0))))</f>
        <v/>
      </c>
      <c r="I1277" s="1154" t="str">
        <f>IF($I1133="","",IF(INDEX(F_ProductBM!I:I,MATCH($P1277,F_ProductBM!$Q:$Q,0))="","",INDEX(F_ProductBM!I:I,MATCH($P1277,F_ProductBM!$Q:$Q,0))))</f>
        <v/>
      </c>
      <c r="J1277" s="1160" t="str">
        <f>IF($I1133="","",IF(INDEX(F_ProductBM!J:J,MATCH($P1277,F_ProductBM!$Q:$Q,0))="","",INDEX(F_ProductBM!J:J,MATCH($P1277,F_ProductBM!$Q:$Q,0))))</f>
        <v/>
      </c>
      <c r="K1277" s="740" t="str">
        <f>IF($I1133="","",IF(INDEX(F_ProductBM!K:K,MATCH($P1277,F_ProductBM!$Q:$Q,0))="","",INDEX(F_ProductBM!K:K,MATCH($P1277,F_ProductBM!$Q:$Q,0))))</f>
        <v/>
      </c>
      <c r="L1277" s="740" t="str">
        <f>IF($I1133="","",IF(INDEX(F_ProductBM!L:L,MATCH($P1277,F_ProductBM!$Q:$Q,0))="","",INDEX(F_ProductBM!L:L,MATCH($P1277,F_ProductBM!$Q:$Q,0))))</f>
        <v/>
      </c>
      <c r="M1277" s="740" t="str">
        <f>IF($I1133="","",IF(INDEX(F_ProductBM!M:M,MATCH($P1277,F_ProductBM!$Q:$Q,0))="","",INDEX(F_ProductBM!M:M,MATCH($P1277,F_ProductBM!$Q:$Q,0))))</f>
        <v/>
      </c>
      <c r="N1277" s="1457" t="str">
        <f>IF($I1133="","",IF(INDEX(F_ProductBM!N:N,MATCH($P1277,F_ProductBM!$Q:$Q,0))="","",INDEX(F_ProductBM!N:N,MATCH($P1277,F_ProductBM!$Q:$Q,0))))</f>
        <v/>
      </c>
      <c r="O1277" s="19"/>
      <c r="P1277" s="298" t="str">
        <f>EUconst_CNTR_WGFlaredEF &amp; I1133</f>
        <v>WasteGasFlareEF_</v>
      </c>
      <c r="Q1277" s="343"/>
      <c r="R1277" s="343"/>
      <c r="S1277" s="343"/>
      <c r="T1277" s="7"/>
      <c r="U1277" s="349"/>
      <c r="V1277" s="349"/>
    </row>
    <row r="1278" spans="1:22" s="534" customFormat="1" ht="12.75" customHeight="1" x14ac:dyDescent="0.25">
      <c r="A1278" s="343"/>
      <c r="B1278" s="15"/>
      <c r="C1278" s="15"/>
      <c r="D1278" s="1454"/>
      <c r="E1278" s="2611" t="str">
        <f>Translations!$B$636</f>
        <v>Importerad restgas</v>
      </c>
      <c r="F1278" s="2484"/>
      <c r="G1278" s="365" t="str">
        <f>EUconst_TJpa</f>
        <v>TJ / år</v>
      </c>
      <c r="H1278" s="739" t="str">
        <f>IF($I1133="","",IF(INDEX(F_ProductBM!H:H,MATCH($P1278,F_ProductBM!$Q:$Q,0))="","",INDEX(F_ProductBM!H:H,MATCH($P1278,F_ProductBM!$Q:$Q,0))))</f>
        <v/>
      </c>
      <c r="I1278" s="1153" t="str">
        <f>IF($I1133="","",IF(INDEX(F_ProductBM!I:I,MATCH($P1278,F_ProductBM!$Q:$Q,0))="","",INDEX(F_ProductBM!I:I,MATCH($P1278,F_ProductBM!$Q:$Q,0))))</f>
        <v/>
      </c>
      <c r="J1278" s="1159" t="str">
        <f>IF($I1133="","",IF(INDEX(F_ProductBM!J:J,MATCH($P1278,F_ProductBM!$Q:$Q,0))="","",INDEX(F_ProductBM!J:J,MATCH($P1278,F_ProductBM!$Q:$Q,0))))</f>
        <v/>
      </c>
      <c r="K1278" s="739" t="str">
        <f>IF($I1133="","",IF(INDEX(F_ProductBM!K:K,MATCH($P1278,F_ProductBM!$Q:$Q,0))="","",INDEX(F_ProductBM!K:K,MATCH($P1278,F_ProductBM!$Q:$Q,0))))</f>
        <v/>
      </c>
      <c r="L1278" s="739" t="str">
        <f>IF($I1133="","",IF(INDEX(F_ProductBM!L:L,MATCH($P1278,F_ProductBM!$Q:$Q,0))="","",INDEX(F_ProductBM!L:L,MATCH($P1278,F_ProductBM!$Q:$Q,0))))</f>
        <v/>
      </c>
      <c r="M1278" s="739" t="str">
        <f>IF($I1133="","",IF(INDEX(F_ProductBM!M:M,MATCH($P1278,F_ProductBM!$Q:$Q,0))="","",INDEX(F_ProductBM!M:M,MATCH($P1278,F_ProductBM!$Q:$Q,0))))</f>
        <v/>
      </c>
      <c r="N1278" s="1456" t="str">
        <f>IF($I1133="","",IF(INDEX(F_ProductBM!N:N,MATCH($P1278,F_ProductBM!$Q:$Q,0))="","",INDEX(F_ProductBM!N:N,MATCH($P1278,F_ProductBM!$Q:$Q,0))))</f>
        <v/>
      </c>
      <c r="O1278" s="19"/>
      <c r="P1278" s="298" t="str">
        <f>EUconst_CNTR_WGImport &amp; I1133</f>
        <v>WasteGasIm_</v>
      </c>
      <c r="Q1278" s="343"/>
      <c r="R1278" s="343"/>
      <c r="S1278" s="343"/>
      <c r="T1278" s="7"/>
      <c r="U1278" s="349"/>
      <c r="V1278" s="349"/>
    </row>
    <row r="1279" spans="1:22" s="534" customFormat="1" ht="12.75" customHeight="1" x14ac:dyDescent="0.25">
      <c r="A1279" s="343"/>
      <c r="B1279" s="15"/>
      <c r="C1279" s="15"/>
      <c r="D1279" s="1454"/>
      <c r="E1279" s="1776" t="str">
        <f>Translations!$B$637</f>
        <v>Särskild emissionsfaktor (importerad restgas)</v>
      </c>
      <c r="F1279" s="1776"/>
      <c r="G1279" s="624" t="str">
        <f>EUconst_tCO2pTJ</f>
        <v>t CO2 / TJ</v>
      </c>
      <c r="H1279" s="740" t="str">
        <f>IF($I1133="","",IF(INDEX(F_ProductBM!H:H,MATCH($P1279,F_ProductBM!$Q:$Q,0))="","",INDEX(F_ProductBM!H:H,MATCH($P1279,F_ProductBM!$Q:$Q,0))))</f>
        <v/>
      </c>
      <c r="I1279" s="1154" t="str">
        <f>IF($I1133="","",IF(INDEX(F_ProductBM!I:I,MATCH($P1279,F_ProductBM!$Q:$Q,0))="","",INDEX(F_ProductBM!I:I,MATCH($P1279,F_ProductBM!$Q:$Q,0))))</f>
        <v/>
      </c>
      <c r="J1279" s="1160" t="str">
        <f>IF($I1133="","",IF(INDEX(F_ProductBM!J:J,MATCH($P1279,F_ProductBM!$Q:$Q,0))="","",INDEX(F_ProductBM!J:J,MATCH($P1279,F_ProductBM!$Q:$Q,0))))</f>
        <v/>
      </c>
      <c r="K1279" s="740" t="str">
        <f>IF($I1133="","",IF(INDEX(F_ProductBM!K:K,MATCH($P1279,F_ProductBM!$Q:$Q,0))="","",INDEX(F_ProductBM!K:K,MATCH($P1279,F_ProductBM!$Q:$Q,0))))</f>
        <v/>
      </c>
      <c r="L1279" s="740" t="str">
        <f>IF($I1133="","",IF(INDEX(F_ProductBM!L:L,MATCH($P1279,F_ProductBM!$Q:$Q,0))="","",INDEX(F_ProductBM!L:L,MATCH($P1279,F_ProductBM!$Q:$Q,0))))</f>
        <v/>
      </c>
      <c r="M1279" s="740" t="str">
        <f>IF($I1133="","",IF(INDEX(F_ProductBM!M:M,MATCH($P1279,F_ProductBM!$Q:$Q,0))="","",INDEX(F_ProductBM!M:M,MATCH($P1279,F_ProductBM!$Q:$Q,0))))</f>
        <v/>
      </c>
      <c r="N1279" s="1457" t="str">
        <f>IF($I1133="","",IF(INDEX(F_ProductBM!N:N,MATCH($P1279,F_ProductBM!$Q:$Q,0))="","",INDEX(F_ProductBM!N:N,MATCH($P1279,F_ProductBM!$Q:$Q,0))))</f>
        <v/>
      </c>
      <c r="O1279" s="19"/>
      <c r="P1279" s="298" t="str">
        <f>EUconst_CNTR_WGImportEF &amp; I1133</f>
        <v>WasteGasImEF_</v>
      </c>
      <c r="Q1279" s="343"/>
      <c r="R1279" s="343"/>
      <c r="S1279" s="343"/>
      <c r="T1279" s="7"/>
      <c r="U1279" s="349"/>
      <c r="V1279" s="349"/>
    </row>
    <row r="1280" spans="1:22" s="534" customFormat="1" ht="12.75" customHeight="1" x14ac:dyDescent="0.25">
      <c r="A1280" s="343"/>
      <c r="B1280" s="15"/>
      <c r="C1280" s="15"/>
      <c r="D1280" s="1454"/>
      <c r="E1280" s="2611" t="str">
        <f>Translations!$B$641</f>
        <v>Exporterad restgas</v>
      </c>
      <c r="F1280" s="2484"/>
      <c r="G1280" s="365" t="str">
        <f>EUconst_TJpa</f>
        <v>TJ / år</v>
      </c>
      <c r="H1280" s="739" t="str">
        <f>IF($I1133="","",IF(INDEX(F_ProductBM!H:H,MATCH($P1280,F_ProductBM!$Q:$Q,0))="","",INDEX(F_ProductBM!H:H,MATCH($P1280,F_ProductBM!$Q:$Q,0))))</f>
        <v/>
      </c>
      <c r="I1280" s="1153" t="str">
        <f>IF($I1133="","",IF(INDEX(F_ProductBM!I:I,MATCH($P1280,F_ProductBM!$Q:$Q,0))="","",INDEX(F_ProductBM!I:I,MATCH($P1280,F_ProductBM!$Q:$Q,0))))</f>
        <v/>
      </c>
      <c r="J1280" s="1159" t="str">
        <f>IF($I1133="","",IF(INDEX(F_ProductBM!J:J,MATCH($P1280,F_ProductBM!$Q:$Q,0))="","",INDEX(F_ProductBM!J:J,MATCH($P1280,F_ProductBM!$Q:$Q,0))))</f>
        <v/>
      </c>
      <c r="K1280" s="739" t="str">
        <f>IF($I1133="","",IF(INDEX(F_ProductBM!K:K,MATCH($P1280,F_ProductBM!$Q:$Q,0))="","",INDEX(F_ProductBM!K:K,MATCH($P1280,F_ProductBM!$Q:$Q,0))))</f>
        <v/>
      </c>
      <c r="L1280" s="739" t="str">
        <f>IF($I1133="","",IF(INDEX(F_ProductBM!L:L,MATCH($P1280,F_ProductBM!$Q:$Q,0))="","",INDEX(F_ProductBM!L:L,MATCH($P1280,F_ProductBM!$Q:$Q,0))))</f>
        <v/>
      </c>
      <c r="M1280" s="739" t="str">
        <f>IF($I1133="","",IF(INDEX(F_ProductBM!M:M,MATCH($P1280,F_ProductBM!$Q:$Q,0))="","",INDEX(F_ProductBM!M:M,MATCH($P1280,F_ProductBM!$Q:$Q,0))))</f>
        <v/>
      </c>
      <c r="N1280" s="1456" t="str">
        <f>IF($I1133="","",IF(INDEX(F_ProductBM!N:N,MATCH($P1280,F_ProductBM!$Q:$Q,0))="","",INDEX(F_ProductBM!N:N,MATCH($P1280,F_ProductBM!$Q:$Q,0))))</f>
        <v/>
      </c>
      <c r="O1280" s="19"/>
      <c r="P1280" s="298" t="str">
        <f>EUconst_CNTR_WGExport &amp; I1133</f>
        <v>WasteGasEx_</v>
      </c>
      <c r="Q1280" s="343"/>
      <c r="R1280" s="343"/>
      <c r="S1280" s="343"/>
      <c r="T1280" s="7"/>
      <c r="U1280" s="349"/>
      <c r="V1280" s="349"/>
    </row>
    <row r="1281" spans="1:22" s="534" customFormat="1" ht="12.75" customHeight="1" x14ac:dyDescent="0.25">
      <c r="A1281" s="343"/>
      <c r="B1281" s="15"/>
      <c r="C1281" s="15"/>
      <c r="D1281" s="1454"/>
      <c r="E1281" s="2612" t="str">
        <f>Translations!$B$642</f>
        <v>Särskild emissionsfaktor (exporterad restgas)</v>
      </c>
      <c r="F1281" s="2487"/>
      <c r="G1281" s="624" t="str">
        <f>EUconst_tCO2pTJ</f>
        <v>t CO2 / TJ</v>
      </c>
      <c r="H1281" s="740" t="str">
        <f>IF($I1133="","",IF(INDEX(F_ProductBM!H:H,MATCH($P1281,F_ProductBM!$Q:$Q,0))="","",INDEX(F_ProductBM!H:H,MATCH($P1281,F_ProductBM!$Q:$Q,0))))</f>
        <v/>
      </c>
      <c r="I1281" s="1154" t="str">
        <f>IF($I1133="","",IF(INDEX(F_ProductBM!I:I,MATCH($P1281,F_ProductBM!$Q:$Q,0))="","",INDEX(F_ProductBM!I:I,MATCH($P1281,F_ProductBM!$Q:$Q,0))))</f>
        <v/>
      </c>
      <c r="J1281" s="1160" t="str">
        <f>IF($I1133="","",IF(INDEX(F_ProductBM!J:J,MATCH($P1281,F_ProductBM!$Q:$Q,0))="","",INDEX(F_ProductBM!J:J,MATCH($P1281,F_ProductBM!$Q:$Q,0))))</f>
        <v/>
      </c>
      <c r="K1281" s="740" t="str">
        <f>IF($I1133="","",IF(INDEX(F_ProductBM!K:K,MATCH($P1281,F_ProductBM!$Q:$Q,0))="","",INDEX(F_ProductBM!K:K,MATCH($P1281,F_ProductBM!$Q:$Q,0))))</f>
        <v/>
      </c>
      <c r="L1281" s="740" t="str">
        <f>IF($I1133="","",IF(INDEX(F_ProductBM!L:L,MATCH($P1281,F_ProductBM!$Q:$Q,0))="","",INDEX(F_ProductBM!L:L,MATCH($P1281,F_ProductBM!$Q:$Q,0))))</f>
        <v/>
      </c>
      <c r="M1281" s="740" t="str">
        <f>IF($I1133="","",IF(INDEX(F_ProductBM!M:M,MATCH($P1281,F_ProductBM!$Q:$Q,0))="","",INDEX(F_ProductBM!M:M,MATCH($P1281,F_ProductBM!$Q:$Q,0))))</f>
        <v/>
      </c>
      <c r="N1281" s="1457" t="str">
        <f>IF($I1133="","",IF(INDEX(F_ProductBM!N:N,MATCH($P1281,F_ProductBM!$Q:$Q,0))="","",INDEX(F_ProductBM!N:N,MATCH($P1281,F_ProductBM!$Q:$Q,0))))</f>
        <v/>
      </c>
      <c r="O1281" s="19"/>
      <c r="P1281" s="298" t="str">
        <f>EUconst_CNTR_WGExportEF &amp; I1133</f>
        <v>WasteGasExEF_</v>
      </c>
      <c r="Q1281" s="343"/>
      <c r="R1281" s="343"/>
      <c r="S1281" s="343"/>
      <c r="T1281" s="7"/>
      <c r="U1281" s="349"/>
      <c r="V1281" s="349"/>
    </row>
    <row r="1282" spans="1:22" s="534" customFormat="1" ht="5.15" customHeight="1" x14ac:dyDescent="0.25">
      <c r="A1282" s="343"/>
      <c r="B1282" s="15"/>
      <c r="C1282" s="15"/>
      <c r="D1282" s="1454"/>
      <c r="E1282" s="899"/>
      <c r="F1282" s="899"/>
      <c r="G1282" s="416"/>
      <c r="H1282" s="741"/>
      <c r="I1282" s="741"/>
      <c r="J1282" s="741"/>
      <c r="K1282" s="741"/>
      <c r="L1282" s="741"/>
      <c r="M1282" s="741"/>
      <c r="N1282" s="1458"/>
      <c r="O1282" s="19"/>
      <c r="P1282" s="7"/>
      <c r="Q1282" s="343"/>
      <c r="R1282" s="343"/>
      <c r="S1282" s="343"/>
      <c r="T1282" s="7"/>
      <c r="U1282" s="349"/>
      <c r="V1282" s="349"/>
    </row>
    <row r="1283" spans="1:22" s="534" customFormat="1" ht="12.75" customHeight="1" x14ac:dyDescent="0.25">
      <c r="A1283" s="343"/>
      <c r="B1283" s="15"/>
      <c r="C1283" s="15"/>
      <c r="D1283" s="1454"/>
      <c r="E1283" s="2613" t="str">
        <f>Translations!$B$530</f>
        <v>Relevant elförbrukning</v>
      </c>
      <c r="F1283" s="1997"/>
      <c r="G1283" s="364" t="str">
        <f>EUconst_MWhpa</f>
        <v>MWh / år</v>
      </c>
      <c r="H1283" s="742" t="str">
        <f>IF($I1133="","",IF(INDEX(F_ProductBM!H:H,MATCH($P1283,F_ProductBM!$R:$R,0))="","",INDEX(F_ProductBM!H:H,MATCH($P1283,F_ProductBM!$R:$R,0))))</f>
        <v/>
      </c>
      <c r="I1283" s="1021" t="str">
        <f>IF($I1133="","",IF(INDEX(F_ProductBM!I:I,MATCH($P1283,F_ProductBM!$R:$R,0))="","",INDEX(F_ProductBM!I:I,MATCH($P1283,F_ProductBM!$R:$R,0))))</f>
        <v/>
      </c>
      <c r="J1283" s="1158" t="str">
        <f>IF($I1133="","",IF(INDEX(F_ProductBM!J:J,MATCH($P1283,F_ProductBM!$R:$R,0))="","",INDEX(F_ProductBM!J:J,MATCH($P1283,F_ProductBM!$R:$R,0))))</f>
        <v/>
      </c>
      <c r="K1283" s="742" t="str">
        <f>IF($I1133="","",IF(INDEX(F_ProductBM!K:K,MATCH($P1283,F_ProductBM!$R:$R,0))="","",INDEX(F_ProductBM!K:K,MATCH($P1283,F_ProductBM!$R:$R,0))))</f>
        <v/>
      </c>
      <c r="L1283" s="742" t="str">
        <f>IF($I1133="","",IF(INDEX(F_ProductBM!L:L,MATCH($P1283,F_ProductBM!$R:$R,0))="","",INDEX(F_ProductBM!L:L,MATCH($P1283,F_ProductBM!$R:$R,0))))</f>
        <v/>
      </c>
      <c r="M1283" s="742" t="str">
        <f>IF($I1133="","",IF(INDEX(F_ProductBM!M:M,MATCH($P1283,F_ProductBM!$R:$R,0))="","",INDEX(F_ProductBM!M:M,MATCH($P1283,F_ProductBM!$R:$R,0))))</f>
        <v/>
      </c>
      <c r="N1283" s="1459" t="str">
        <f>IF($I1133="","",IF(INDEX(F_ProductBM!N:N,MATCH($P1283,F_ProductBM!$R:$R,0))="","",INDEX(F_ProductBM!N:N,MATCH($P1283,F_ProductBM!$R:$R,0))))</f>
        <v/>
      </c>
      <c r="O1283" s="19"/>
      <c r="P1283" s="165" t="str">
        <f>EUconst_CNTR_HAL&amp;EUconst_CNTR_ELEXCH &amp; I1133</f>
        <v>HAL_ELEXCH_</v>
      </c>
      <c r="Q1283" s="343"/>
      <c r="R1283" s="343"/>
      <c r="S1283" s="343"/>
      <c r="T1283" s="7"/>
      <c r="U1283" s="349"/>
      <c r="V1283" s="349"/>
    </row>
    <row r="1284" spans="1:22" s="534" customFormat="1" ht="12.75" customHeight="1" x14ac:dyDescent="0.25">
      <c r="A1284" s="343"/>
      <c r="B1284" s="15"/>
      <c r="C1284" s="15"/>
      <c r="D1284" s="1454"/>
      <c r="E1284" s="2613" t="str">
        <f>Translations!$B$645</f>
        <v>Producerad el</v>
      </c>
      <c r="F1284" s="1997"/>
      <c r="G1284" s="364" t="str">
        <f>EUconst_MWhpa</f>
        <v>MWh / år</v>
      </c>
      <c r="H1284" s="742" t="str">
        <f>IF($I1133="","",IF(INDEX(F_ProductBM!H:H,MATCH($P1284,F_ProductBM!$Q:$Q,0))="","",INDEX(F_ProductBM!H:H,MATCH($P1284,F_ProductBM!$Q:$Q,0))))</f>
        <v/>
      </c>
      <c r="I1284" s="1021" t="str">
        <f>IF($I1133="","",IF(INDEX(F_ProductBM!I:I,MATCH($P1284,F_ProductBM!$Q:$Q,0))="","",INDEX(F_ProductBM!I:I,MATCH($P1284,F_ProductBM!$Q:$Q,0))))</f>
        <v/>
      </c>
      <c r="J1284" s="1158" t="str">
        <f>IF($I1133="","",IF(INDEX(F_ProductBM!J:J,MATCH($P1284,F_ProductBM!$Q:$Q,0))="","",INDEX(F_ProductBM!J:J,MATCH($P1284,F_ProductBM!$Q:$Q,0))))</f>
        <v/>
      </c>
      <c r="K1284" s="742" t="str">
        <f>IF($I1133="","",IF(INDEX(F_ProductBM!K:K,MATCH($P1284,F_ProductBM!$Q:$Q,0))="","",INDEX(F_ProductBM!K:K,MATCH($P1284,F_ProductBM!$Q:$Q,0))))</f>
        <v/>
      </c>
      <c r="L1284" s="742" t="str">
        <f>IF($I1133="","",IF(INDEX(F_ProductBM!L:L,MATCH($P1284,F_ProductBM!$Q:$Q,0))="","",INDEX(F_ProductBM!L:L,MATCH($P1284,F_ProductBM!$Q:$Q,0))))</f>
        <v/>
      </c>
      <c r="M1284" s="742" t="str">
        <f>IF($I1133="","",IF(INDEX(F_ProductBM!M:M,MATCH($P1284,F_ProductBM!$Q:$Q,0))="","",INDEX(F_ProductBM!M:M,MATCH($P1284,F_ProductBM!$Q:$Q,0))))</f>
        <v/>
      </c>
      <c r="N1284" s="1459" t="str">
        <f>IF($I1133="","",IF(INDEX(F_ProductBM!N:N,MATCH($P1284,F_ProductBM!$Q:$Q,0))="","",INDEX(F_ProductBM!N:N,MATCH($P1284,F_ProductBM!$Q:$Q,0))))</f>
        <v/>
      </c>
      <c r="O1284" s="19"/>
      <c r="P1284" s="298" t="str">
        <f>EUconst_CNTR_ElectricityExported &amp; I1133</f>
        <v>ElecEx_</v>
      </c>
      <c r="Q1284" s="343"/>
      <c r="R1284" s="343"/>
      <c r="S1284" s="343"/>
      <c r="T1284" s="7"/>
      <c r="U1284" s="349"/>
      <c r="V1284" s="349"/>
    </row>
    <row r="1285" spans="1:22" s="534" customFormat="1" ht="5.15" customHeight="1" x14ac:dyDescent="0.25">
      <c r="A1285" s="343"/>
      <c r="B1285" s="15"/>
      <c r="C1285" s="15"/>
      <c r="D1285" s="1454"/>
      <c r="E1285" s="899"/>
      <c r="F1285" s="899"/>
      <c r="G1285" s="416"/>
      <c r="H1285" s="741"/>
      <c r="I1285" s="741"/>
      <c r="J1285" s="741"/>
      <c r="K1285" s="741"/>
      <c r="L1285" s="741"/>
      <c r="M1285" s="741"/>
      <c r="N1285" s="1458"/>
      <c r="O1285" s="19"/>
      <c r="P1285" s="7"/>
      <c r="Q1285" s="343"/>
      <c r="R1285" s="343"/>
      <c r="S1285" s="343"/>
      <c r="T1285" s="7"/>
      <c r="U1285" s="349"/>
      <c r="V1285" s="349"/>
    </row>
    <row r="1286" spans="1:22" s="534" customFormat="1" ht="12.75" customHeight="1" x14ac:dyDescent="0.25">
      <c r="A1286" s="343"/>
      <c r="B1286" s="15"/>
      <c r="C1286" s="15"/>
      <c r="D1286" s="1454"/>
      <c r="E1286" s="2613" t="str">
        <f>Translations!$B$646</f>
        <v>Total producerad massamängd</v>
      </c>
      <c r="F1286" s="1997"/>
      <c r="G1286" s="364" t="str">
        <f>EUconst_Tons</f>
        <v>ton</v>
      </c>
      <c r="H1286" s="742" t="str">
        <f>IF($I1133="","",IF(INDEX(F_ProductBM!H:H,MATCH($P1286,F_ProductBM!$Q:$Q,0))="","",INDEX(F_ProductBM!H:H,MATCH($P1286,F_ProductBM!$Q:$Q,0))))</f>
        <v/>
      </c>
      <c r="I1286" s="1021" t="str">
        <f>IF($I1133="","",IF(INDEX(F_ProductBM!I:I,MATCH($P1286,F_ProductBM!$Q:$Q,0))="","",INDEX(F_ProductBM!I:I,MATCH($P1286,F_ProductBM!$Q:$Q,0))))</f>
        <v/>
      </c>
      <c r="J1286" s="1158" t="str">
        <f>IF($I1133="","",IF(INDEX(F_ProductBM!J:J,MATCH($P1286,F_ProductBM!$Q:$Q,0))="","",INDEX(F_ProductBM!J:J,MATCH($P1286,F_ProductBM!$Q:$Q,0))))</f>
        <v/>
      </c>
      <c r="K1286" s="742" t="str">
        <f>IF($I1133="","",IF(INDEX(F_ProductBM!K:K,MATCH($P1286,F_ProductBM!$Q:$Q,0))="","",INDEX(F_ProductBM!K:K,MATCH($P1286,F_ProductBM!$Q:$Q,0))))</f>
        <v/>
      </c>
      <c r="L1286" s="742" t="str">
        <f>IF($I1133="","",IF(INDEX(F_ProductBM!L:L,MATCH($P1286,F_ProductBM!$Q:$Q,0))="","",INDEX(F_ProductBM!L:L,MATCH($P1286,F_ProductBM!$Q:$Q,0))))</f>
        <v/>
      </c>
      <c r="M1286" s="742" t="str">
        <f>IF($I1133="","",IF(INDEX(F_ProductBM!M:M,MATCH($P1286,F_ProductBM!$Q:$Q,0))="","",INDEX(F_ProductBM!M:M,MATCH($P1286,F_ProductBM!$Q:$Q,0))))</f>
        <v/>
      </c>
      <c r="N1286" s="1459" t="str">
        <f>IF($I1133="","",IF(INDEX(F_ProductBM!N:N,MATCH($P1286,F_ProductBM!$Q:$Q,0))="","",INDEX(F_ProductBM!N:N,MATCH($P1286,F_ProductBM!$Q:$Q,0))))</f>
        <v/>
      </c>
      <c r="O1286" s="19"/>
      <c r="P1286" s="298" t="str">
        <f>EUconst_CNTR_HALPulpTotal &amp; I1133</f>
        <v>HALPulpTotal_</v>
      </c>
      <c r="Q1286" s="343"/>
      <c r="R1286" s="343"/>
      <c r="S1286" s="343"/>
      <c r="T1286" s="7"/>
      <c r="U1286" s="349"/>
      <c r="V1286" s="349"/>
    </row>
    <row r="1287" spans="1:22" s="534" customFormat="1" ht="5.15" customHeight="1" x14ac:dyDescent="0.25">
      <c r="A1287" s="343"/>
      <c r="B1287" s="15"/>
      <c r="C1287" s="15"/>
      <c r="D1287" s="1454"/>
      <c r="E1287" s="899"/>
      <c r="F1287" s="899"/>
      <c r="G1287" s="416"/>
      <c r="H1287" s="741"/>
      <c r="I1287" s="741"/>
      <c r="J1287" s="741"/>
      <c r="K1287" s="741"/>
      <c r="L1287" s="741"/>
      <c r="M1287" s="741"/>
      <c r="N1287" s="1458"/>
      <c r="O1287" s="19"/>
      <c r="P1287" s="7"/>
      <c r="Q1287" s="343"/>
      <c r="R1287" s="343"/>
      <c r="S1287" s="343"/>
      <c r="T1287" s="7"/>
      <c r="U1287" s="349"/>
      <c r="V1287" s="349"/>
    </row>
    <row r="1288" spans="1:22" s="534" customFormat="1" x14ac:dyDescent="0.25">
      <c r="A1288" s="343"/>
      <c r="B1288" s="15"/>
      <c r="C1288" s="15"/>
      <c r="D1288" s="1454"/>
      <c r="E1288" s="2785" t="str">
        <f>Translations!$B$1057</f>
        <v>Mellanimport:</v>
      </c>
      <c r="F1288" s="2497"/>
      <c r="G1288" s="416"/>
      <c r="H1288" s="741"/>
      <c r="I1288" s="741"/>
      <c r="J1288" s="741"/>
      <c r="K1288" s="741"/>
      <c r="L1288" s="741"/>
      <c r="M1288" s="741"/>
      <c r="N1288" s="1458"/>
      <c r="O1288" s="19"/>
      <c r="P1288" s="7"/>
      <c r="Q1288" s="343"/>
      <c r="R1288" s="343"/>
      <c r="S1288" s="343"/>
      <c r="T1288" s="7"/>
      <c r="U1288" s="349"/>
      <c r="V1288" s="349"/>
    </row>
    <row r="1289" spans="1:22" s="534" customFormat="1" x14ac:dyDescent="0.25">
      <c r="A1289" s="343"/>
      <c r="B1289" s="15"/>
      <c r="C1289" s="15"/>
      <c r="D1289" s="1454"/>
      <c r="E1289" s="2617" t="str">
        <f>IF(I1133="","",IF(INDEX(F_ProductBM!E:E,MATCH($P1289,F_ProductBM!$Q:$Q,0))="","",INDEX(F_ProductBM!E:E,MATCH($P1289,F_ProductBM!$Q:$Q,0))))</f>
        <v/>
      </c>
      <c r="F1289" s="1997"/>
      <c r="G1289" s="364" t="str">
        <f>EUconst_Tons</f>
        <v>ton</v>
      </c>
      <c r="H1289" s="742" t="str">
        <f>IF($I1133="","",IF(INDEX(F_ProductBM!H:H,MATCH($P1289,F_ProductBM!$Q:$Q,0))="","",INDEX(F_ProductBM!H:H,MATCH($P1289,F_ProductBM!$Q:$Q,0))))</f>
        <v/>
      </c>
      <c r="I1289" s="1021" t="str">
        <f>IF($I1133="","",IF(INDEX(F_ProductBM!I:I,MATCH($P1289,F_ProductBM!$Q:$Q,0))="","",INDEX(F_ProductBM!I:I,MATCH($P1289,F_ProductBM!$Q:$Q,0))))</f>
        <v/>
      </c>
      <c r="J1289" s="1158" t="str">
        <f>IF($I1133="","",IF(INDEX(F_ProductBM!J:J,MATCH($P1289,F_ProductBM!$Q:$Q,0))="","",INDEX(F_ProductBM!J:J,MATCH($P1289,F_ProductBM!$Q:$Q,0))))</f>
        <v/>
      </c>
      <c r="K1289" s="742" t="str">
        <f>IF($I1133="","",IF(INDEX(F_ProductBM!K:K,MATCH($P1289,F_ProductBM!$Q:$Q,0))="","",INDEX(F_ProductBM!K:K,MATCH($P1289,F_ProductBM!$Q:$Q,0))))</f>
        <v/>
      </c>
      <c r="L1289" s="742" t="str">
        <f>IF($I1133="","",IF(INDEX(F_ProductBM!L:L,MATCH($P1289,F_ProductBM!$Q:$Q,0))="","",INDEX(F_ProductBM!L:L,MATCH($P1289,F_ProductBM!$Q:$Q,0))))</f>
        <v/>
      </c>
      <c r="M1289" s="742" t="str">
        <f>IF($I1133="","",IF(INDEX(F_ProductBM!M:M,MATCH($P1289,F_ProductBM!$Q:$Q,0))="","",INDEX(F_ProductBM!M:M,MATCH($P1289,F_ProductBM!$Q:$Q,0))))</f>
        <v/>
      </c>
      <c r="N1289" s="1459" t="str">
        <f>IF($I1133="","",IF(INDEX(F_ProductBM!N:N,MATCH($P1289,F_ProductBM!$Q:$Q,0))="","",INDEX(F_ProductBM!N:N,MATCH($P1289,F_ProductBM!$Q:$Q,0))))</f>
        <v/>
      </c>
      <c r="O1289" s="19"/>
      <c r="P1289" s="298" t="str">
        <f>EUconst_CNTR_IntermediateImport &amp; R1289 &amp; "_" &amp; I1133</f>
        <v>IntImp_1_</v>
      </c>
      <c r="Q1289" s="343"/>
      <c r="R1289" s="663">
        <v>1</v>
      </c>
      <c r="S1289" s="343"/>
      <c r="T1289" s="7"/>
      <c r="U1289" s="349"/>
      <c r="V1289" s="349"/>
    </row>
    <row r="1290" spans="1:22" s="534" customFormat="1" x14ac:dyDescent="0.25">
      <c r="A1290" s="343"/>
      <c r="B1290" s="15"/>
      <c r="C1290" s="15"/>
      <c r="D1290" s="1454"/>
      <c r="E1290" s="2617" t="str">
        <f>IF(I1133="","",IF(INDEX(F_ProductBM!E:E,MATCH($P1290,F_ProductBM!$Q:$Q,0))="","",INDEX(F_ProductBM!E:E,MATCH($P1290,F_ProductBM!$Q:$Q,0))))</f>
        <v/>
      </c>
      <c r="F1290" s="1997"/>
      <c r="G1290" s="364" t="str">
        <f>EUconst_Tons</f>
        <v>ton</v>
      </c>
      <c r="H1290" s="742" t="str">
        <f>IF($I1133="","",IF(INDEX(F_ProductBM!H:H,MATCH($P1290,F_ProductBM!$Q:$Q,0))="","",INDEX(F_ProductBM!H:H,MATCH($P1290,F_ProductBM!$Q:$Q,0))))</f>
        <v/>
      </c>
      <c r="I1290" s="1021" t="str">
        <f>IF($I1133="","",IF(INDEX(F_ProductBM!I:I,MATCH($P1290,F_ProductBM!$Q:$Q,0))="","",INDEX(F_ProductBM!I:I,MATCH($P1290,F_ProductBM!$Q:$Q,0))))</f>
        <v/>
      </c>
      <c r="J1290" s="1158" t="str">
        <f>IF($I1133="","",IF(INDEX(F_ProductBM!J:J,MATCH($P1290,F_ProductBM!$Q:$Q,0))="","",INDEX(F_ProductBM!J:J,MATCH($P1290,F_ProductBM!$Q:$Q,0))))</f>
        <v/>
      </c>
      <c r="K1290" s="742" t="str">
        <f>IF($I1133="","",IF(INDEX(F_ProductBM!K:K,MATCH($P1290,F_ProductBM!$Q:$Q,0))="","",INDEX(F_ProductBM!K:K,MATCH($P1290,F_ProductBM!$Q:$Q,0))))</f>
        <v/>
      </c>
      <c r="L1290" s="742" t="str">
        <f>IF($I1133="","",IF(INDEX(F_ProductBM!L:L,MATCH($P1290,F_ProductBM!$Q:$Q,0))="","",INDEX(F_ProductBM!L:L,MATCH($P1290,F_ProductBM!$Q:$Q,0))))</f>
        <v/>
      </c>
      <c r="M1290" s="742" t="str">
        <f>IF($I1133="","",IF(INDEX(F_ProductBM!M:M,MATCH($P1290,F_ProductBM!$Q:$Q,0))="","",INDEX(F_ProductBM!M:M,MATCH($P1290,F_ProductBM!$Q:$Q,0))))</f>
        <v/>
      </c>
      <c r="N1290" s="1459" t="str">
        <f>IF($I1133="","",IF(INDEX(F_ProductBM!N:N,MATCH($P1290,F_ProductBM!$Q:$Q,0))="","",INDEX(F_ProductBM!N:N,MATCH($P1290,F_ProductBM!$Q:$Q,0))))</f>
        <v/>
      </c>
      <c r="O1290" s="19"/>
      <c r="P1290" s="298" t="str">
        <f>EUconst_CNTR_IntermediateImport &amp; R1290 &amp; "_" &amp; I1133</f>
        <v>IntImp_2_</v>
      </c>
      <c r="Q1290" s="343"/>
      <c r="R1290" s="663">
        <v>2</v>
      </c>
      <c r="S1290" s="343"/>
      <c r="T1290" s="7"/>
      <c r="U1290" s="349"/>
      <c r="V1290" s="349"/>
    </row>
    <row r="1291" spans="1:22" s="534" customFormat="1" x14ac:dyDescent="0.25">
      <c r="A1291" s="343"/>
      <c r="B1291" s="15"/>
      <c r="C1291" s="15"/>
      <c r="D1291" s="1454"/>
      <c r="E1291" s="2613" t="str">
        <f>Translations!$B$1058</f>
        <v>Mellanexport:</v>
      </c>
      <c r="F1291" s="1997"/>
      <c r="G1291" s="416"/>
      <c r="H1291" s="741"/>
      <c r="I1291" s="741"/>
      <c r="J1291" s="741"/>
      <c r="K1291" s="741"/>
      <c r="L1291" s="741"/>
      <c r="M1291" s="741"/>
      <c r="N1291" s="1458"/>
      <c r="O1291" s="19"/>
      <c r="P1291" s="7"/>
      <c r="Q1291" s="343"/>
      <c r="R1291" s="343"/>
      <c r="S1291" s="343"/>
      <c r="T1291" s="7"/>
      <c r="U1291" s="349"/>
      <c r="V1291" s="349"/>
    </row>
    <row r="1292" spans="1:22" s="534" customFormat="1" x14ac:dyDescent="0.25">
      <c r="A1292" s="343"/>
      <c r="B1292" s="15"/>
      <c r="C1292" s="15"/>
      <c r="D1292" s="1454"/>
      <c r="E1292" s="2617" t="str">
        <f>IF(I1133="","",IF(INDEX(F_ProductBM!E:E,MATCH($P1292,F_ProductBM!$Q:$Q,0))="","",INDEX(F_ProductBM!E:E,MATCH($P1292,F_ProductBM!$Q:$Q,0))))</f>
        <v/>
      </c>
      <c r="F1292" s="1997"/>
      <c r="G1292" s="364" t="str">
        <f>EUconst_Tons</f>
        <v>ton</v>
      </c>
      <c r="H1292" s="742" t="str">
        <f>IF($I1133="","",IF(INDEX(F_ProductBM!H:H,MATCH($P1292,F_ProductBM!$Q:$Q,0))="","",INDEX(F_ProductBM!H:H,MATCH($P1292,F_ProductBM!$Q:$Q,0))))</f>
        <v/>
      </c>
      <c r="I1292" s="1021" t="str">
        <f>IF($I1133="","",IF(INDEX(F_ProductBM!I:I,MATCH($P1292,F_ProductBM!$Q:$Q,0))="","",INDEX(F_ProductBM!I:I,MATCH($P1292,F_ProductBM!$Q:$Q,0))))</f>
        <v/>
      </c>
      <c r="J1292" s="1158" t="str">
        <f>IF($I1133="","",IF(INDEX(F_ProductBM!J:J,MATCH($P1292,F_ProductBM!$Q:$Q,0))="","",INDEX(F_ProductBM!J:J,MATCH($P1292,F_ProductBM!$Q:$Q,0))))</f>
        <v/>
      </c>
      <c r="K1292" s="742" t="str">
        <f>IF($I1133="","",IF(INDEX(F_ProductBM!K:K,MATCH($P1292,F_ProductBM!$Q:$Q,0))="","",INDEX(F_ProductBM!K:K,MATCH($P1292,F_ProductBM!$Q:$Q,0))))</f>
        <v/>
      </c>
      <c r="L1292" s="742" t="str">
        <f>IF($I1133="","",IF(INDEX(F_ProductBM!L:L,MATCH($P1292,F_ProductBM!$Q:$Q,0))="","",INDEX(F_ProductBM!L:L,MATCH($P1292,F_ProductBM!$Q:$Q,0))))</f>
        <v/>
      </c>
      <c r="M1292" s="742" t="str">
        <f>IF($I1133="","",IF(INDEX(F_ProductBM!M:M,MATCH($P1292,F_ProductBM!$Q:$Q,0))="","",INDEX(F_ProductBM!M:M,MATCH($P1292,F_ProductBM!$Q:$Q,0))))</f>
        <v/>
      </c>
      <c r="N1292" s="1459" t="str">
        <f>IF($I1133="","",IF(INDEX(F_ProductBM!N:N,MATCH($P1292,F_ProductBM!$Q:$Q,0))="","",INDEX(F_ProductBM!N:N,MATCH($P1292,F_ProductBM!$Q:$Q,0))))</f>
        <v/>
      </c>
      <c r="O1292" s="19"/>
      <c r="P1292" s="298" t="str">
        <f>EUconst_CNTR_IntermediateExport &amp; R1289 &amp; "_" &amp; I1133</f>
        <v>IntExp_1_</v>
      </c>
      <c r="Q1292" s="343"/>
      <c r="R1292" s="663">
        <v>1</v>
      </c>
      <c r="S1292" s="343"/>
      <c r="T1292" s="7"/>
      <c r="U1292" s="349"/>
      <c r="V1292" s="349"/>
    </row>
    <row r="1293" spans="1:22" s="534" customFormat="1" x14ac:dyDescent="0.25">
      <c r="A1293" s="343"/>
      <c r="B1293" s="15"/>
      <c r="C1293" s="15"/>
      <c r="D1293" s="1454"/>
      <c r="E1293" s="2617" t="str">
        <f>IF(I1133="","",IF(INDEX(F_ProductBM!E:E,MATCH($P1293,F_ProductBM!$Q:$Q,0))="","",INDEX(F_ProductBM!E:E,MATCH($P1293,F_ProductBM!$Q:$Q,0))))</f>
        <v/>
      </c>
      <c r="F1293" s="1997"/>
      <c r="G1293" s="364" t="str">
        <f>EUconst_Tons</f>
        <v>ton</v>
      </c>
      <c r="H1293" s="742" t="str">
        <f>IF($I1133="","",IF(INDEX(F_ProductBM!H:H,MATCH($P1293,F_ProductBM!$Q:$Q,0))="","",INDEX(F_ProductBM!H:H,MATCH($P1293,F_ProductBM!$Q:$Q,0))))</f>
        <v/>
      </c>
      <c r="I1293" s="1021" t="str">
        <f>IF($I1133="","",IF(INDEX(F_ProductBM!I:I,MATCH($P1293,F_ProductBM!$Q:$Q,0))="","",INDEX(F_ProductBM!I:I,MATCH($P1293,F_ProductBM!$Q:$Q,0))))</f>
        <v/>
      </c>
      <c r="J1293" s="1158" t="str">
        <f>IF($I1133="","",IF(INDEX(F_ProductBM!J:J,MATCH($P1293,F_ProductBM!$Q:$Q,0))="","",INDEX(F_ProductBM!J:J,MATCH($P1293,F_ProductBM!$Q:$Q,0))))</f>
        <v/>
      </c>
      <c r="K1293" s="742" t="str">
        <f>IF($I1133="","",IF(INDEX(F_ProductBM!K:K,MATCH($P1293,F_ProductBM!$Q:$Q,0))="","",INDEX(F_ProductBM!K:K,MATCH($P1293,F_ProductBM!$Q:$Q,0))))</f>
        <v/>
      </c>
      <c r="L1293" s="742" t="str">
        <f>IF($I1133="","",IF(INDEX(F_ProductBM!L:L,MATCH($P1293,F_ProductBM!$Q:$Q,0))="","",INDEX(F_ProductBM!L:L,MATCH($P1293,F_ProductBM!$Q:$Q,0))))</f>
        <v/>
      </c>
      <c r="M1293" s="742" t="str">
        <f>IF($I1133="","",IF(INDEX(F_ProductBM!M:M,MATCH($P1293,F_ProductBM!$Q:$Q,0))="","",INDEX(F_ProductBM!M:M,MATCH($P1293,F_ProductBM!$Q:$Q,0))))</f>
        <v/>
      </c>
      <c r="N1293" s="1459" t="str">
        <f>IF($I1133="","",IF(INDEX(F_ProductBM!N:N,MATCH($P1293,F_ProductBM!$Q:$Q,0))="","",INDEX(F_ProductBM!N:N,MATCH($P1293,F_ProductBM!$Q:$Q,0))))</f>
        <v/>
      </c>
      <c r="O1293" s="19"/>
      <c r="P1293" s="298" t="str">
        <f>EUconst_CNTR_IntermediateExport &amp; R1293 &amp; "_" &amp; I1133</f>
        <v>IntExp_2_</v>
      </c>
      <c r="Q1293" s="343"/>
      <c r="R1293" s="663">
        <v>2</v>
      </c>
      <c r="S1293" s="343"/>
      <c r="T1293" s="7"/>
      <c r="U1293" s="349"/>
      <c r="V1293" s="349"/>
    </row>
    <row r="1294" spans="1:22" s="534" customFormat="1" ht="12.75" customHeight="1" thickBot="1" x14ac:dyDescent="0.3">
      <c r="A1294" s="343"/>
      <c r="B1294" s="15"/>
      <c r="C1294" s="15"/>
      <c r="D1294" s="1460"/>
      <c r="E1294" s="1461"/>
      <c r="F1294" s="1461"/>
      <c r="G1294" s="1462"/>
      <c r="H1294" s="1462"/>
      <c r="I1294" s="783"/>
      <c r="J1294" s="783"/>
      <c r="K1294" s="783"/>
      <c r="L1294" s="783"/>
      <c r="M1294" s="783"/>
      <c r="N1294" s="784"/>
      <c r="O1294" s="19"/>
      <c r="P1294" s="7"/>
      <c r="Q1294" s="343"/>
      <c r="R1294" s="343"/>
      <c r="S1294" s="343"/>
      <c r="T1294" s="7"/>
      <c r="U1294" s="349"/>
      <c r="V1294" s="349"/>
    </row>
    <row r="1295" spans="1:22" s="534" customFormat="1" ht="5.15" customHeight="1" thickBot="1" x14ac:dyDescent="0.3">
      <c r="A1295" s="343"/>
      <c r="B1295" s="15"/>
      <c r="C1295" s="15"/>
      <c r="D1295" s="15"/>
      <c r="E1295" s="748"/>
      <c r="O1295" s="19"/>
      <c r="P1295" s="343"/>
      <c r="Q1295" s="343"/>
      <c r="R1295" s="343"/>
      <c r="S1295" s="343"/>
      <c r="T1295" s="343"/>
      <c r="U1295" s="349"/>
      <c r="V1295" s="349"/>
    </row>
    <row r="1296" spans="1:22" s="534" customFormat="1" ht="5.15" customHeight="1" thickBot="1" x14ac:dyDescent="0.3">
      <c r="A1296" s="343"/>
      <c r="B1296" s="3"/>
      <c r="C1296" s="230"/>
      <c r="D1296" s="230"/>
      <c r="E1296" s="230"/>
      <c r="F1296" s="230"/>
      <c r="G1296" s="230"/>
      <c r="H1296" s="230"/>
      <c r="I1296" s="230"/>
      <c r="J1296" s="230"/>
      <c r="K1296" s="230"/>
      <c r="L1296" s="230"/>
      <c r="M1296" s="230"/>
      <c r="N1296" s="230"/>
      <c r="O1296" s="19"/>
      <c r="P1296" s="343"/>
      <c r="Q1296" s="343"/>
      <c r="R1296" s="343"/>
      <c r="S1296" s="343"/>
      <c r="T1296" s="343"/>
      <c r="U1296" s="349"/>
      <c r="V1296" s="349"/>
    </row>
    <row r="1297" spans="1:22" s="534" customFormat="1" ht="15" customHeight="1" thickBot="1" x14ac:dyDescent="0.35">
      <c r="A1297" s="343"/>
      <c r="B1297" s="15"/>
      <c r="C1297" s="17">
        <f>C1133+1</f>
        <v>6</v>
      </c>
      <c r="D1297" s="2053" t="str">
        <f>CONCATENATE(EUconst_BMSubinst," ",C1297, ":")</f>
        <v>Delanläggning med produktriktmärke 6:</v>
      </c>
      <c r="E1297" s="2053"/>
      <c r="F1297" s="2053"/>
      <c r="G1297" s="2053"/>
      <c r="H1297" s="2081"/>
      <c r="I1297" s="2090" t="str">
        <f>IF(INDEX(CNTR_SubInstListIsProdBM,$C1297),INDEX(CNTR_SubInstListNames,$C1297),"")</f>
        <v/>
      </c>
      <c r="J1297" s="2091"/>
      <c r="K1297" s="2091"/>
      <c r="L1297" s="2091"/>
      <c r="M1297" s="2091"/>
      <c r="N1297" s="2092"/>
      <c r="O1297" s="19"/>
      <c r="P1297" s="343"/>
      <c r="Q1297" s="723">
        <f>C1297</f>
        <v>6</v>
      </c>
      <c r="R1297" s="722" t="str">
        <f>I1297</f>
        <v/>
      </c>
      <c r="S1297" s="343"/>
      <c r="T1297" s="343"/>
      <c r="U1297" s="349"/>
      <c r="V1297" s="349"/>
    </row>
    <row r="1298" spans="1:22" s="534" customFormat="1" ht="5.15" customHeight="1" x14ac:dyDescent="0.3">
      <c r="A1298" s="343"/>
      <c r="B1298" s="15"/>
      <c r="C1298" s="17"/>
      <c r="D1298" s="17"/>
      <c r="E1298" s="17"/>
      <c r="F1298" s="17"/>
      <c r="G1298" s="17"/>
      <c r="H1298" s="17"/>
      <c r="I1298" s="17"/>
      <c r="J1298" s="17"/>
      <c r="K1298" s="17"/>
      <c r="L1298" s="17"/>
      <c r="M1298" s="17"/>
      <c r="N1298" s="17"/>
      <c r="O1298" s="19"/>
      <c r="P1298" s="343"/>
      <c r="Q1298" s="343"/>
      <c r="R1298" s="343"/>
      <c r="S1298" s="343"/>
      <c r="T1298" s="343"/>
      <c r="U1298" s="349"/>
      <c r="V1298" s="349"/>
    </row>
    <row r="1299" spans="1:22" s="534" customFormat="1" ht="12.75" customHeight="1" x14ac:dyDescent="0.3">
      <c r="A1299" s="343"/>
      <c r="B1299" s="15"/>
      <c r="C1299" s="17"/>
      <c r="D1299" s="17"/>
      <c r="E1299" s="17"/>
      <c r="F1299" s="17"/>
      <c r="H1299" s="506" t="str">
        <f>Translations!$B$1022</f>
        <v>KL-risk</v>
      </c>
      <c r="I1299" s="506" t="s">
        <v>1380</v>
      </c>
      <c r="J1299" s="506" t="str">
        <f>Translations!$B$1026</f>
        <v>I drift</v>
      </c>
      <c r="K1299" s="506" t="str">
        <f>Translations!$B$1545</f>
        <v>Upphört</v>
      </c>
      <c r="L1299" s="952" t="str">
        <f>Translations!$B$1024</f>
        <v>RM-nummer</v>
      </c>
      <c r="M1299" s="2786" t="str">
        <f>Translations!$B$1028</f>
        <v>RM-värde</v>
      </c>
      <c r="N1299" s="2786"/>
      <c r="O1299" s="19"/>
      <c r="P1299" s="343"/>
      <c r="Q1299" s="343"/>
      <c r="R1299" s="343"/>
      <c r="S1299" s="343"/>
      <c r="T1299" s="940"/>
      <c r="U1299" s="349"/>
      <c r="V1299" s="349"/>
    </row>
    <row r="1300" spans="1:22" s="534" customFormat="1" ht="12.75" customHeight="1" x14ac:dyDescent="0.3">
      <c r="A1300" s="343"/>
      <c r="B1300" s="15"/>
      <c r="C1300" s="17"/>
      <c r="D1300" s="17"/>
      <c r="E1300" s="508" t="str">
        <f>I1297</f>
        <v/>
      </c>
      <c r="F1300" s="509"/>
      <c r="G1300" s="509"/>
      <c r="H1300" s="510" t="str">
        <f>IF(L1300=EUconst_NA,EUconst_NA,INDEX(EUconst_BMlistCLstatus,L1300))</f>
        <v>Ej tillämpligt</v>
      </c>
      <c r="I1300" s="510" t="str">
        <f>IF(I1297="","",INDEX(EUconst_BMlistElExchangability,L1300))</f>
        <v/>
      </c>
      <c r="J1300" s="1045" t="str">
        <f>IF($I1297="",EUconst_NA,INDEX(CNTR_SubInstStartDate,MATCH(I1297,CNTR_SubInstListNames,0)))</f>
        <v>Ej tillämpligt</v>
      </c>
      <c r="K1300" s="1045" t="str">
        <f>IF($I1297="",EUconst_NA,IF(INDEX(CNTR_SubInstCessationDate,MATCH(I1297,CNTR_SubInstListNames,0))=0,"",INDEX(CNTR_SubInstCessationDate,MATCH(I1297,CNTR_SubInstListNames,0))))</f>
        <v>Ej tillämpligt</v>
      </c>
      <c r="L1300" s="953" t="str">
        <f>IF($I1297="",EUconst_NA,MATCH(I1297,EUconst_BMlistNames,0))</f>
        <v>Ej tillämpligt</v>
      </c>
      <c r="M1300" s="1744" t="str">
        <f>IF(I1297="",EUconst_NA,INDEX(EUconst_BMlistBMvaluesMatrix,L1300,3))</f>
        <v>Ej tillämpligt</v>
      </c>
      <c r="N1300" s="1041" t="str">
        <f>EUconst_EUA &amp; "/" &amp; F1303</f>
        <v>EUA/ton</v>
      </c>
      <c r="O1300" s="19"/>
      <c r="P1300" s="343"/>
      <c r="Q1300" s="343"/>
      <c r="R1300" s="343"/>
      <c r="S1300" s="343"/>
      <c r="T1300" s="940"/>
      <c r="U1300" s="349"/>
      <c r="V1300" s="349"/>
    </row>
    <row r="1301" spans="1:22" s="534" customFormat="1" ht="5.15" customHeight="1" thickBot="1" x14ac:dyDescent="0.35">
      <c r="A1301" s="343"/>
      <c r="B1301" s="15"/>
      <c r="C1301" s="15"/>
      <c r="D1301" s="15"/>
      <c r="E1301" s="17"/>
      <c r="J1301" s="15"/>
      <c r="K1301" s="15"/>
      <c r="L1301" s="15"/>
      <c r="M1301" s="15"/>
      <c r="N1301" s="15"/>
      <c r="O1301" s="19"/>
      <c r="P1301" s="343"/>
      <c r="Q1301" s="343"/>
      <c r="R1301" s="343"/>
      <c r="S1301" s="343"/>
      <c r="T1301" s="7"/>
      <c r="U1301" s="349"/>
      <c r="V1301" s="349"/>
    </row>
    <row r="1302" spans="1:22" s="534" customFormat="1" ht="12.75" customHeight="1" x14ac:dyDescent="0.25">
      <c r="A1302" s="343"/>
      <c r="B1302" s="15"/>
      <c r="C1302" s="15"/>
      <c r="D1302" s="15"/>
      <c r="E1302" s="39"/>
      <c r="F1302" s="13" t="str">
        <f>EUconst_Unit</f>
        <v>Enhet</v>
      </c>
      <c r="G1302" s="1202" t="str">
        <f>Translations!$B$1432</f>
        <v>HAL</v>
      </c>
      <c r="H1302" s="987">
        <f t="shared" ref="H1302:N1302" si="213">H$2596</f>
        <v>2019</v>
      </c>
      <c r="I1302" s="342">
        <f t="shared" si="213"/>
        <v>2020</v>
      </c>
      <c r="J1302" s="987">
        <f t="shared" si="213"/>
        <v>2021</v>
      </c>
      <c r="K1302" s="320">
        <f t="shared" si="213"/>
        <v>2022</v>
      </c>
      <c r="L1302" s="320">
        <f t="shared" si="213"/>
        <v>2023</v>
      </c>
      <c r="M1302" s="320">
        <f t="shared" si="213"/>
        <v>2024</v>
      </c>
      <c r="N1302" s="320">
        <f t="shared" si="213"/>
        <v>2025</v>
      </c>
      <c r="O1302" s="19"/>
      <c r="P1302" s="343"/>
      <c r="Q1302" s="343" t="s">
        <v>2010</v>
      </c>
      <c r="R1302" s="1635">
        <f>J$2596</f>
        <v>2021</v>
      </c>
      <c r="S1302" s="1636">
        <f>K$2596</f>
        <v>2022</v>
      </c>
      <c r="T1302" s="1636">
        <f>L$2596</f>
        <v>2023</v>
      </c>
      <c r="U1302" s="1636">
        <f>M$2596</f>
        <v>2024</v>
      </c>
      <c r="V1302" s="1637">
        <f>N$2596</f>
        <v>2025</v>
      </c>
    </row>
    <row r="1303" spans="1:22" s="534" customFormat="1" ht="12.75" customHeight="1" thickBot="1" x14ac:dyDescent="0.3">
      <c r="A1303" s="343"/>
      <c r="B1303" s="15"/>
      <c r="C1303" s="15"/>
      <c r="D1303" s="15"/>
      <c r="E1303" s="514" t="str">
        <f>Translations!$B$1562</f>
        <v>Rapporterad verksamhetsnivå</v>
      </c>
      <c r="F1303" s="563" t="str">
        <f>IF(ISNUMBER(L1300),INDEX(EUconst_BMlistUnits,L1300),EUconst_Tons)</f>
        <v>ton</v>
      </c>
      <c r="G1303" s="943" t="str">
        <f>I1406</f>
        <v/>
      </c>
      <c r="H1303" s="1131" t="str">
        <f>IF($I1297="","",IF(H1302&gt;=CNTR_ReportingYear,"",INDEX(F_ProductBM!H:H,MATCH($P1303,F_ProductBM!$Q:$Q,0))))</f>
        <v/>
      </c>
      <c r="I1303" s="641" t="str">
        <f>IF($I1297="","",IF(I1302&gt;=CNTR_ReportingYear,"",INDEX(F_ProductBM!I:I,MATCH($P1303,F_ProductBM!$Q:$Q,0))))</f>
        <v/>
      </c>
      <c r="J1303" s="1131" t="str">
        <f>IF($I1297="","",IF(J1302&gt;=CNTR_ReportingYear,"",INDEX(F_ProductBM!J:J,MATCH($P1303,F_ProductBM!$Q:$Q,0))))</f>
        <v/>
      </c>
      <c r="K1303" s="421" t="str">
        <f>IF($I1297="","",IF(K1302&gt;=CNTR_ReportingYear,"",INDEX(F_ProductBM!K:K,MATCH($P1303,F_ProductBM!$Q:$Q,0))))</f>
        <v/>
      </c>
      <c r="L1303" s="421" t="str">
        <f>IF($I1297="","",IF(L1302&gt;=CNTR_ReportingYear,"",INDEX(F_ProductBM!L:L,MATCH($P1303,F_ProductBM!$Q:$Q,0))))</f>
        <v/>
      </c>
      <c r="M1303" s="421" t="str">
        <f>IF($I1297="","",IF(M1302&gt;=CNTR_ReportingYear,"",INDEX(F_ProductBM!M:M,MATCH($P1303,F_ProductBM!$Q:$Q,0))))</f>
        <v/>
      </c>
      <c r="N1303" s="421" t="str">
        <f>IF($I1297="","",IF(N1302&gt;=CNTR_ReportingYear,"",INDEX(F_ProductBM!N:N,MATCH($P1303,F_ProductBM!$Q:$Q,0))))</f>
        <v/>
      </c>
      <c r="O1303" s="19"/>
      <c r="P1303" s="165" t="str">
        <f>EUconst_CNTR_HAL&amp;I1297</f>
        <v>HAL_</v>
      </c>
      <c r="Q1303" s="343"/>
      <c r="R1303" s="1329" t="b">
        <f>AND($I1297&lt;&gt;"",R1302&lt;=CNTR_ReportingYear,IF($J1300&lt;&gt;EUconst_NA,R1302&gt;=YEAR($J1300),TRUE))</f>
        <v>0</v>
      </c>
      <c r="S1303" s="1330" t="b">
        <f>AND($I1297&lt;&gt;"",S1302&lt;=CNTR_ReportingYear,IF($J1300&lt;&gt;EUconst_NA,S1302&gt;=YEAR($J1300),TRUE))</f>
        <v>0</v>
      </c>
      <c r="T1303" s="1330" t="b">
        <f>AND($I1297&lt;&gt;"",T1302&lt;=CNTR_ReportingYear,IF($J1300&lt;&gt;EUconst_NA,T1302&gt;=YEAR($J1300),TRUE))</f>
        <v>0</v>
      </c>
      <c r="U1303" s="1330" t="b">
        <f>AND($I1297&lt;&gt;"",U1302&lt;=CNTR_ReportingYear,IF($J1300&lt;&gt;EUconst_NA,U1302&gt;=YEAR($J1300),TRUE))</f>
        <v>0</v>
      </c>
      <c r="V1303" s="1331" t="b">
        <f>AND($I1297&lt;&gt;"",V1302&lt;=CNTR_ReportingYear,IF($J1300&lt;&gt;EUconst_NA,V1302&gt;=YEAR($J1300),TRUE))</f>
        <v>0</v>
      </c>
    </row>
    <row r="1304" spans="1:22" s="534" customFormat="1" ht="5.15" customHeight="1" thickBot="1" x14ac:dyDescent="0.35">
      <c r="A1304" s="343"/>
      <c r="B1304" s="15"/>
      <c r="C1304" s="17"/>
      <c r="D1304" s="17"/>
      <c r="E1304" s="17"/>
      <c r="F1304" s="17"/>
      <c r="G1304" s="17"/>
      <c r="H1304" s="17"/>
      <c r="I1304" s="17"/>
      <c r="J1304" s="17"/>
      <c r="K1304" s="17"/>
      <c r="L1304" s="17"/>
      <c r="M1304" s="17"/>
      <c r="N1304" s="17"/>
      <c r="O1304" s="19"/>
      <c r="P1304" s="343"/>
      <c r="Q1304" s="343"/>
      <c r="R1304" s="343"/>
      <c r="S1304" s="343"/>
      <c r="T1304" s="343"/>
      <c r="U1304" s="349"/>
      <c r="V1304" s="349"/>
    </row>
    <row r="1305" spans="1:22" s="534" customFormat="1" ht="5.15" customHeight="1" x14ac:dyDescent="0.3">
      <c r="A1305" s="343"/>
      <c r="B1305" s="15"/>
      <c r="C1305" s="17"/>
      <c r="D1305" s="1383"/>
      <c r="E1305" s="1384"/>
      <c r="F1305" s="1384"/>
      <c r="G1305" s="1384"/>
      <c r="H1305" s="1384"/>
      <c r="I1305" s="1384"/>
      <c r="J1305" s="1384"/>
      <c r="K1305" s="1384"/>
      <c r="L1305" s="1384"/>
      <c r="M1305" s="1384"/>
      <c r="N1305" s="1385"/>
      <c r="O1305" s="19"/>
      <c r="P1305" s="343"/>
      <c r="Q1305" s="343"/>
      <c r="R1305" s="343"/>
      <c r="S1305" s="343"/>
      <c r="T1305" s="343"/>
      <c r="U1305" s="349"/>
      <c r="V1305" s="349"/>
    </row>
    <row r="1306" spans="1:22" s="534" customFormat="1" ht="12.75" customHeight="1" x14ac:dyDescent="0.3">
      <c r="A1306" s="343"/>
      <c r="B1306" s="15"/>
      <c r="C1306" s="17"/>
      <c r="D1306" s="1386"/>
      <c r="E1306" s="42" t="str">
        <f>Translations!$B$1563</f>
        <v>Tillämplighet av glidande medelvärde</v>
      </c>
      <c r="F1306" s="188"/>
      <c r="G1306" s="188"/>
      <c r="H1306" s="30"/>
      <c r="I1306" s="1157"/>
      <c r="J1306" s="1065">
        <f>J$2596</f>
        <v>2021</v>
      </c>
      <c r="K1306" s="350">
        <f>K$2596</f>
        <v>2022</v>
      </c>
      <c r="L1306" s="350">
        <f>L$2596</f>
        <v>2023</v>
      </c>
      <c r="M1306" s="350">
        <f>M$2596</f>
        <v>2024</v>
      </c>
      <c r="N1306" s="966">
        <f>N$2596</f>
        <v>2025</v>
      </c>
      <c r="O1306" s="19"/>
      <c r="P1306" s="343"/>
      <c r="Q1306" s="343"/>
      <c r="R1306" s="343"/>
      <c r="S1306" s="343"/>
      <c r="T1306" s="343"/>
      <c r="U1306" s="349"/>
      <c r="V1306" s="349"/>
    </row>
    <row r="1307" spans="1:22" s="534" customFormat="1" ht="12.75" customHeight="1" x14ac:dyDescent="0.3">
      <c r="A1307" s="343"/>
      <c r="B1307" s="15"/>
      <c r="C1307" s="17"/>
      <c r="D1307" s="1386"/>
      <c r="E1307" s="1477" t="str">
        <f>Translations!$B$1549</f>
        <v>Kriterium 1: Verksam &gt;2 år?</v>
      </c>
      <c r="F1307" s="1478"/>
      <c r="G1307" s="1478"/>
      <c r="H1307" s="1366"/>
      <c r="I1307" s="1478"/>
      <c r="J1307" s="1469" t="str">
        <f>IF(R1303,INDEX(F_ProductBM!V:V,MATCH($P1307,F_ProductBM!$Q:$Q,0))&gt;=3,"")</f>
        <v/>
      </c>
      <c r="K1307" s="1470" t="str">
        <f>IF(S1303,INDEX(F_ProductBM!W:W,MATCH($P1307,F_ProductBM!$Q:$Q,0))&gt;=3,"")</f>
        <v/>
      </c>
      <c r="L1307" s="1470" t="str">
        <f>IF(T1303,INDEX(F_ProductBM!X:X,MATCH($P1307,F_ProductBM!$Q:$Q,0))&gt;=3,"")</f>
        <v/>
      </c>
      <c r="M1307" s="1470" t="str">
        <f>IF(U1303,INDEX(F_ProductBM!Y:Y,MATCH($P1307,F_ProductBM!$Q:$Q,0))&gt;=3,"")</f>
        <v/>
      </c>
      <c r="N1307" s="1471" t="str">
        <f>IF(V1303,INDEX(F_ProductBM!Z:Z,MATCH($P1307,F_ProductBM!$Q:$Q,0))&gt;=3,"")</f>
        <v/>
      </c>
      <c r="O1307" s="19"/>
      <c r="P1307" s="165" t="str">
        <f>EUconst_CNTR_HALinitial&amp;I1297</f>
        <v>HALini_</v>
      </c>
      <c r="Q1307" s="343"/>
      <c r="R1307" s="343"/>
      <c r="S1307" s="343"/>
      <c r="T1307" s="343"/>
      <c r="U1307" s="349"/>
      <c r="V1307" s="349"/>
    </row>
    <row r="1308" spans="1:22" s="534" customFormat="1" ht="12.75" customHeight="1" x14ac:dyDescent="0.3">
      <c r="A1308" s="343"/>
      <c r="B1308" s="15"/>
      <c r="C1308" s="17"/>
      <c r="D1308" s="1386"/>
      <c r="E1308" s="1472" t="str">
        <f>Translations!$B$1551</f>
        <v>Kriterium 2: Upphörde inte föregående år?</v>
      </c>
      <c r="F1308" s="1479"/>
      <c r="G1308" s="1479"/>
      <c r="H1308" s="1473"/>
      <c r="I1308" s="1479"/>
      <c r="J1308" s="1474" t="str">
        <f>IF(R1303,IF($K1300="",2050,YEAR($K1300))&lt;&gt;(J1306-1),"")</f>
        <v/>
      </c>
      <c r="K1308" s="1475" t="str">
        <f>IF(S1303,IF($K1300="",2050,YEAR($K1300))&lt;&gt;(K1306-1),"")</f>
        <v/>
      </c>
      <c r="L1308" s="1475" t="str">
        <f>IF(T1303,IF($K1300="",2050,YEAR($K1300))&lt;&gt;(L1306-1),"")</f>
        <v/>
      </c>
      <c r="M1308" s="1475" t="str">
        <f>IF(U1303,IF($K1300="",2050,YEAR($K1300))&lt;&gt;(M1306-1),"")</f>
        <v/>
      </c>
      <c r="N1308" s="1476" t="str">
        <f>IF(V1303,IF($K1300="",2050,YEAR($K1300))&lt;&gt;(N1306-1),"")</f>
        <v/>
      </c>
      <c r="O1308" s="19"/>
      <c r="P1308" s="343"/>
      <c r="Q1308" s="343"/>
      <c r="R1308" s="343"/>
      <c r="S1308" s="343"/>
      <c r="T1308" s="343"/>
      <c r="U1308" s="349"/>
      <c r="V1308" s="349"/>
    </row>
    <row r="1309" spans="1:22" s="534" customFormat="1" ht="5.15" customHeight="1" x14ac:dyDescent="0.3">
      <c r="A1309" s="343"/>
      <c r="B1309" s="15"/>
      <c r="C1309" s="17"/>
      <c r="D1309" s="1386"/>
      <c r="E1309" s="17"/>
      <c r="F1309" s="17"/>
      <c r="G1309" s="17"/>
      <c r="H1309" s="17"/>
      <c r="I1309" s="17"/>
      <c r="J1309" s="17"/>
      <c r="K1309" s="17"/>
      <c r="L1309" s="17"/>
      <c r="M1309" s="17"/>
      <c r="N1309" s="1388"/>
      <c r="O1309" s="19"/>
      <c r="P1309" s="343"/>
      <c r="Q1309" s="343"/>
      <c r="R1309" s="343"/>
      <c r="S1309" s="343"/>
      <c r="T1309" s="343"/>
      <c r="U1309" s="349"/>
      <c r="V1309" s="349"/>
    </row>
    <row r="1310" spans="1:22" s="534" customFormat="1" ht="12.75" customHeight="1" x14ac:dyDescent="0.3">
      <c r="A1310" s="343"/>
      <c r="B1310" s="15"/>
      <c r="C1310" s="17"/>
      <c r="D1310" s="1386"/>
      <c r="E1310" s="39" t="str">
        <f>Translations!$B$1564</f>
        <v>Ändringar: Ingen ändring (bas)</v>
      </c>
      <c r="F1310" s="15"/>
      <c r="G1310" s="15"/>
      <c r="H1310" s="30" t="str">
        <f>EUconst_Unit</f>
        <v>Enhet</v>
      </c>
      <c r="I1310" s="1157"/>
      <c r="J1310" s="987">
        <f>J$2596</f>
        <v>2021</v>
      </c>
      <c r="K1310" s="320">
        <f>K$2596</f>
        <v>2022</v>
      </c>
      <c r="L1310" s="320">
        <f>L$2596</f>
        <v>2023</v>
      </c>
      <c r="M1310" s="320">
        <f>M$2596</f>
        <v>2024</v>
      </c>
      <c r="N1310" s="1387">
        <f>N$2596</f>
        <v>2025</v>
      </c>
      <c r="O1310" s="19"/>
      <c r="P1310" s="343"/>
      <c r="Q1310" s="343"/>
      <c r="R1310" s="343"/>
      <c r="S1310" s="343"/>
      <c r="T1310" s="343"/>
      <c r="U1310" s="349"/>
      <c r="V1310" s="349"/>
    </row>
    <row r="1311" spans="1:22" s="534" customFormat="1" ht="12.75" hidden="1" customHeight="1" x14ac:dyDescent="0.3">
      <c r="A1311" s="343" t="str">
        <f t="shared" ref="A1311:A1316" si="214">IF(P1311="","ausblenden","")</f>
        <v>ausblenden</v>
      </c>
      <c r="B1311" s="15"/>
      <c r="C1311" s="17"/>
      <c r="D1311" s="1386"/>
      <c r="E1311" s="514" t="s">
        <v>1918</v>
      </c>
      <c r="F1311" s="514"/>
      <c r="G1311" s="514"/>
      <c r="H1311" s="917" t="str">
        <f>F1303</f>
        <v>ton</v>
      </c>
      <c r="I1311" s="514"/>
      <c r="J1311" s="1152" t="str">
        <f>IF(T1412&gt;=$H$2595,S1406,I1406)</f>
        <v/>
      </c>
      <c r="K1311" s="943" t="str">
        <f t="shared" ref="K1311:K1316" si="215">J1406</f>
        <v/>
      </c>
      <c r="L1311" s="943" t="str">
        <f t="shared" ref="L1311:L1316" si="216">K1406</f>
        <v/>
      </c>
      <c r="M1311" s="943" t="str">
        <f t="shared" ref="M1311:M1316" si="217">L1406</f>
        <v/>
      </c>
      <c r="N1311" s="1389" t="str">
        <f t="shared" ref="N1311:N1316" si="218">M1406</f>
        <v/>
      </c>
      <c r="O1311" s="19"/>
      <c r="P1311" s="343"/>
      <c r="Q1311" s="343"/>
      <c r="R1311" s="343"/>
      <c r="S1311" s="343"/>
      <c r="T1311" s="343"/>
      <c r="U1311" s="349"/>
      <c r="V1311" s="349"/>
    </row>
    <row r="1312" spans="1:22" s="534" customFormat="1" ht="12.75" hidden="1" customHeight="1" x14ac:dyDescent="0.3">
      <c r="A1312" s="343" t="str">
        <f t="shared" si="214"/>
        <v>ausblenden</v>
      </c>
      <c r="B1312" s="15"/>
      <c r="C1312" s="17"/>
      <c r="D1312" s="1386"/>
      <c r="E1312" s="944" t="s">
        <v>339</v>
      </c>
      <c r="F1312" s="944"/>
      <c r="G1312" s="944"/>
      <c r="H1312" s="954" t="str">
        <f>EUconst_EUA</f>
        <v>EUA</v>
      </c>
      <c r="I1312" s="945"/>
      <c r="J1312" s="1209" t="str">
        <f>IF(T1412&gt;=$H$2595,S1407,I1407)</f>
        <v/>
      </c>
      <c r="K1312" s="1210" t="str">
        <f t="shared" si="215"/>
        <v/>
      </c>
      <c r="L1312" s="1210" t="str">
        <f t="shared" si="216"/>
        <v/>
      </c>
      <c r="M1312" s="1210" t="str">
        <f t="shared" si="217"/>
        <v/>
      </c>
      <c r="N1312" s="1390" t="str">
        <f t="shared" si="218"/>
        <v/>
      </c>
      <c r="O1312" s="19"/>
      <c r="P1312" s="343"/>
      <c r="Q1312" s="343"/>
      <c r="R1312" s="343"/>
      <c r="S1312" s="343"/>
      <c r="T1312" s="343"/>
      <c r="U1312" s="349"/>
      <c r="V1312" s="349"/>
    </row>
    <row r="1313" spans="1:22" s="534" customFormat="1" ht="12.75" hidden="1" customHeight="1" x14ac:dyDescent="0.3">
      <c r="A1313" s="343" t="str">
        <f t="shared" si="214"/>
        <v>ausblenden</v>
      </c>
      <c r="B1313" s="15"/>
      <c r="C1313" s="17"/>
      <c r="D1313" s="1386"/>
      <c r="E1313" s="947" t="s">
        <v>1560</v>
      </c>
      <c r="F1313" s="947"/>
      <c r="G1313" s="947"/>
      <c r="H1313" s="955" t="str">
        <f>EUconst_EUA</f>
        <v>EUA</v>
      </c>
      <c r="I1313" s="948"/>
      <c r="J1313" s="1165" t="str">
        <f>IF(T1412&gt;=$H$2595,S1408,I1408)</f>
        <v/>
      </c>
      <c r="K1313" s="975" t="str">
        <f t="shared" si="215"/>
        <v/>
      </c>
      <c r="L1313" s="975" t="str">
        <f t="shared" si="216"/>
        <v/>
      </c>
      <c r="M1313" s="975" t="str">
        <f t="shared" si="217"/>
        <v/>
      </c>
      <c r="N1313" s="1391" t="str">
        <f t="shared" si="218"/>
        <v/>
      </c>
      <c r="O1313" s="19"/>
      <c r="P1313" s="343"/>
      <c r="Q1313" s="343"/>
      <c r="R1313" s="343"/>
      <c r="S1313" s="343"/>
      <c r="T1313" s="343"/>
      <c r="U1313" s="349"/>
      <c r="V1313" s="349"/>
    </row>
    <row r="1314" spans="1:22" s="534" customFormat="1" ht="12.75" hidden="1" customHeight="1" x14ac:dyDescent="0.3">
      <c r="A1314" s="343" t="str">
        <f t="shared" si="214"/>
        <v>ausblenden</v>
      </c>
      <c r="B1314" s="15"/>
      <c r="C1314" s="17"/>
      <c r="D1314" s="1386"/>
      <c r="E1314" s="947" t="s">
        <v>1527</v>
      </c>
      <c r="F1314" s="947"/>
      <c r="G1314" s="947"/>
      <c r="H1314" s="955" t="str">
        <f>EUconst_EUA</f>
        <v>EUA</v>
      </c>
      <c r="I1314" s="948"/>
      <c r="J1314" s="1165" t="str">
        <f>IF(T1412&gt;=$H$2595,S1409,I1409)</f>
        <v/>
      </c>
      <c r="K1314" s="975" t="str">
        <f t="shared" si="215"/>
        <v/>
      </c>
      <c r="L1314" s="975" t="str">
        <f t="shared" si="216"/>
        <v/>
      </c>
      <c r="M1314" s="975" t="str">
        <f t="shared" si="217"/>
        <v/>
      </c>
      <c r="N1314" s="1391" t="str">
        <f t="shared" si="218"/>
        <v/>
      </c>
      <c r="O1314" s="19"/>
      <c r="P1314" s="343"/>
      <c r="Q1314" s="343"/>
      <c r="R1314" s="343"/>
      <c r="S1314" s="343"/>
      <c r="T1314" s="343"/>
      <c r="U1314" s="349"/>
      <c r="V1314" s="349"/>
    </row>
    <row r="1315" spans="1:22" s="534" customFormat="1" ht="12.75" hidden="1" customHeight="1" x14ac:dyDescent="0.3">
      <c r="A1315" s="343" t="str">
        <f t="shared" si="214"/>
        <v>ausblenden</v>
      </c>
      <c r="B1315" s="15"/>
      <c r="C1315" s="17"/>
      <c r="D1315" s="1386"/>
      <c r="E1315" s="947" t="s">
        <v>1526</v>
      </c>
      <c r="F1315" s="947"/>
      <c r="G1315" s="947"/>
      <c r="H1315" s="956" t="s">
        <v>1112</v>
      </c>
      <c r="I1315" s="948"/>
      <c r="J1315" s="1211" t="str">
        <f>IF(T1412&gt;=$H$2595,S1410,I1410)</f>
        <v/>
      </c>
      <c r="K1315" s="1212" t="str">
        <f t="shared" si="215"/>
        <v/>
      </c>
      <c r="L1315" s="1212" t="str">
        <f t="shared" si="216"/>
        <v/>
      </c>
      <c r="M1315" s="1212" t="str">
        <f t="shared" si="217"/>
        <v/>
      </c>
      <c r="N1315" s="1392" t="str">
        <f t="shared" si="218"/>
        <v/>
      </c>
      <c r="O1315" s="19"/>
      <c r="P1315" s="343"/>
      <c r="Q1315" s="343"/>
      <c r="R1315" s="343"/>
      <c r="S1315" s="343"/>
      <c r="T1315" s="343"/>
      <c r="U1315" s="349"/>
      <c r="V1315" s="349"/>
    </row>
    <row r="1316" spans="1:22" s="534" customFormat="1" ht="12.75" hidden="1" customHeight="1" x14ac:dyDescent="0.3">
      <c r="A1316" s="343" t="str">
        <f t="shared" si="214"/>
        <v>ausblenden</v>
      </c>
      <c r="B1316" s="15"/>
      <c r="C1316" s="17"/>
      <c r="D1316" s="1386"/>
      <c r="E1316" s="950" t="s">
        <v>1528</v>
      </c>
      <c r="F1316" s="950"/>
      <c r="G1316" s="950"/>
      <c r="H1316" s="957" t="s">
        <v>1112</v>
      </c>
      <c r="I1316" s="951"/>
      <c r="J1316" s="1213" t="str">
        <f>IF(T1412&gt;=$H$2595,S1411,I1411)</f>
        <v/>
      </c>
      <c r="K1316" s="1214" t="str">
        <f t="shared" si="215"/>
        <v/>
      </c>
      <c r="L1316" s="1214" t="str">
        <f t="shared" si="216"/>
        <v/>
      </c>
      <c r="M1316" s="1214" t="str">
        <f t="shared" si="217"/>
        <v/>
      </c>
      <c r="N1316" s="1393" t="str">
        <f t="shared" si="218"/>
        <v/>
      </c>
      <c r="O1316" s="19"/>
      <c r="P1316" s="343"/>
      <c r="Q1316" s="343"/>
      <c r="R1316" s="343"/>
      <c r="S1316" s="343"/>
      <c r="T1316" s="343"/>
      <c r="U1316" s="349"/>
      <c r="V1316" s="349"/>
    </row>
    <row r="1317" spans="1:22" s="534" customFormat="1" ht="12.75" customHeight="1" x14ac:dyDescent="0.3">
      <c r="A1317" s="343"/>
      <c r="B1317" s="15"/>
      <c r="C1317" s="17"/>
      <c r="D1317" s="1386"/>
      <c r="E1317" s="514" t="str">
        <f>Translations!$B$1565</f>
        <v>Preliminärt tilldelningsvärde</v>
      </c>
      <c r="F1317" s="514"/>
      <c r="G1317" s="514"/>
      <c r="H1317" s="129" t="str">
        <f>EUconst_EUA</f>
        <v>EUA</v>
      </c>
      <c r="I1317" s="1151"/>
      <c r="J1317" s="1131" t="str">
        <f>IF($I1297="","",MAX(0,ROUND((SUM($M1300)*SUM(J1311)*SUM(J1315)*SUM(J1316)-SUM(J1312)-SUM(J1313)+SUM(J1314))*IF($H1300=TRUE,1,J$2517),0)))</f>
        <v/>
      </c>
      <c r="K1317" s="421" t="str">
        <f>IF($I1297="","",MAX(0,ROUND((SUM($M1300)*SUM(K1311)*SUM(K1315)*SUM(K1316)-SUM(K1312)-SUM(K1313)+SUM(K1314))*IF($H1300=TRUE,1,K$2517),0)))</f>
        <v/>
      </c>
      <c r="L1317" s="421" t="str">
        <f>IF($I1297="","",MAX(0,ROUND((SUM($M1300)*SUM(L1311)*SUM(L1315)*SUM(L1316)-SUM(L1312)-SUM(L1313)+SUM(L1314))*IF($H1300=TRUE,1,L$2517),0)))</f>
        <v/>
      </c>
      <c r="M1317" s="421" t="str">
        <f>IF($I1297="","",MAX(0,ROUND((SUM($M1300)*SUM(M1311)*SUM(M1315)*SUM(M1316)-SUM(M1312)-SUM(M1313)+SUM(M1314))*IF($H1300=TRUE,1,M$2517),0)))</f>
        <v/>
      </c>
      <c r="N1317" s="967" t="str">
        <f>IF($I1297="","",MAX(0,ROUND((SUM($M1300+IF(L1300=52,0.415,0))*SUM(N1311)*SUM(N1315)*SUM(N1316)-SUM(N1312)-SUM(N1313)+SUM(N1314))*IF($H1300=TRUE,1,N$2517),0)))</f>
        <v/>
      </c>
      <c r="O1317" s="19"/>
      <c r="P1317" s="343"/>
      <c r="Q1317" s="343"/>
      <c r="R1317" s="343"/>
      <c r="S1317" s="343"/>
      <c r="T1317" s="343"/>
      <c r="U1317" s="349"/>
      <c r="V1317" s="349"/>
    </row>
    <row r="1318" spans="1:22" s="534" customFormat="1" ht="5.15" customHeight="1" x14ac:dyDescent="0.3">
      <c r="A1318" s="343"/>
      <c r="B1318" s="15"/>
      <c r="C1318" s="17"/>
      <c r="D1318" s="1386"/>
      <c r="E1318" s="17"/>
      <c r="F1318" s="17"/>
      <c r="G1318" s="17"/>
      <c r="H1318" s="17"/>
      <c r="I1318" s="17"/>
      <c r="J1318" s="17"/>
      <c r="K1318" s="17"/>
      <c r="L1318" s="17"/>
      <c r="M1318" s="17"/>
      <c r="N1318" s="1388"/>
      <c r="O1318" s="19"/>
      <c r="P1318" s="343"/>
      <c r="Q1318" s="343"/>
      <c r="R1318" s="343"/>
      <c r="S1318" s="343"/>
      <c r="T1318" s="343"/>
      <c r="U1318" s="349"/>
      <c r="V1318" s="349"/>
    </row>
    <row r="1319" spans="1:22" s="534" customFormat="1" ht="12.75" customHeight="1" x14ac:dyDescent="0.3">
      <c r="A1319" s="343"/>
      <c r="B1319" s="15"/>
      <c r="C1319" s="17"/>
      <c r="D1319" s="1386"/>
      <c r="E1319" s="42" t="str">
        <f>Translations!$B$1566</f>
        <v>Ändringar: Verksamhetsnivå</v>
      </c>
      <c r="F1319" s="188"/>
      <c r="G1319" s="188"/>
      <c r="H1319" s="30" t="str">
        <f>EUconst_Unit</f>
        <v>Enhet</v>
      </c>
      <c r="I1319" s="1157"/>
      <c r="J1319" s="1065">
        <f>J$2596</f>
        <v>2021</v>
      </c>
      <c r="K1319" s="350">
        <f>K$2596</f>
        <v>2022</v>
      </c>
      <c r="L1319" s="350">
        <f>L$2596</f>
        <v>2023</v>
      </c>
      <c r="M1319" s="350">
        <f>M$2596</f>
        <v>2024</v>
      </c>
      <c r="N1319" s="966">
        <f>N$2596</f>
        <v>2025</v>
      </c>
      <c r="O1319" s="19"/>
      <c r="P1319" s="343"/>
      <c r="Q1319" s="343"/>
      <c r="R1319" s="343"/>
      <c r="S1319" s="343"/>
      <c r="T1319" s="343"/>
      <c r="U1319" s="349"/>
      <c r="V1319" s="349"/>
    </row>
    <row r="1320" spans="1:22" s="534" customFormat="1" ht="12.75" customHeight="1" x14ac:dyDescent="0.3">
      <c r="A1320" s="343"/>
      <c r="B1320" s="15"/>
      <c r="C1320" s="17"/>
      <c r="D1320" s="1386"/>
      <c r="E1320" s="944" t="str">
        <f>Translations!$B$1482</f>
        <v>Genomsnittligt årligt värde</v>
      </c>
      <c r="F1320" s="944"/>
      <c r="G1320" s="944"/>
      <c r="H1320" s="1443" t="str">
        <f>H1311</f>
        <v>ton</v>
      </c>
      <c r="I1320" s="1367"/>
      <c r="J1320" s="1161" t="str">
        <f>INDEX(F_ProductBM!J:J,MATCH($P1320,F_ProductBM!$Q:$Q,0))</f>
        <v/>
      </c>
      <c r="K1320" s="946" t="str">
        <f>INDEX(F_ProductBM!K:K,MATCH($P1320,F_ProductBM!$Q:$Q,0))</f>
        <v/>
      </c>
      <c r="L1320" s="946" t="str">
        <f>INDEX(F_ProductBM!L:L,MATCH($P1320,F_ProductBM!$Q:$Q,0))</f>
        <v/>
      </c>
      <c r="M1320" s="946" t="str">
        <f>INDEX(F_ProductBM!M:M,MATCH($P1320,F_ProductBM!$Q:$Q,0))</f>
        <v/>
      </c>
      <c r="N1320" s="1046" t="str">
        <f>INDEX(F_ProductBM!N:N,MATCH($P1320,F_ProductBM!$Q:$Q,0))</f>
        <v/>
      </c>
      <c r="O1320" s="19"/>
      <c r="P1320" s="165" t="str">
        <f>EUconst_CNTR_HALinitial&amp;I1297</f>
        <v>HALini_</v>
      </c>
      <c r="Q1320" s="343"/>
      <c r="R1320" s="343"/>
      <c r="S1320" s="343"/>
      <c r="T1320" s="343"/>
      <c r="U1320" s="349"/>
      <c r="V1320" s="349"/>
    </row>
    <row r="1321" spans="1:22" s="534" customFormat="1" ht="12.75" customHeight="1" x14ac:dyDescent="0.3">
      <c r="A1321" s="343"/>
      <c r="B1321" s="15"/>
      <c r="C1321" s="17"/>
      <c r="D1321" s="1386"/>
      <c r="E1321" s="947" t="str">
        <f>Translations!$B$1567</f>
        <v>Ändring jämfört med historik verksamhetsnivå</v>
      </c>
      <c r="F1321" s="947"/>
      <c r="G1321" s="947"/>
      <c r="H1321" s="1442" t="s">
        <v>1112</v>
      </c>
      <c r="I1321" s="1371"/>
      <c r="J1321" s="1415" t="str">
        <f>INDEX(F_ProductBM!J:J,MATCH($P1321,F_ProductBM!$Q:$Q,0))</f>
        <v/>
      </c>
      <c r="K1321" s="1416" t="str">
        <f>INDEX(F_ProductBM!K:K,MATCH($P1321,F_ProductBM!$Q:$Q,0))</f>
        <v/>
      </c>
      <c r="L1321" s="1416" t="str">
        <f>INDEX(F_ProductBM!L:L,MATCH($P1321,F_ProductBM!$Q:$Q,0))</f>
        <v/>
      </c>
      <c r="M1321" s="1416" t="str">
        <f>INDEX(F_ProductBM!M:M,MATCH($P1321,F_ProductBM!$Q:$Q,0))</f>
        <v/>
      </c>
      <c r="N1321" s="1417" t="str">
        <f>INDEX(F_ProductBM!N:N,MATCH($P1321,F_ProductBM!$Q:$Q,0))</f>
        <v/>
      </c>
      <c r="O1321" s="19"/>
      <c r="P1321" s="165" t="str">
        <f>EUconst_CNTR_RelThreshold &amp; P1323</f>
        <v>RelThresh_HALprelim_</v>
      </c>
      <c r="Q1321" s="343"/>
      <c r="R1321" s="343"/>
      <c r="S1321" s="343"/>
      <c r="T1321" s="343"/>
      <c r="U1321" s="349"/>
      <c r="V1321" s="349"/>
    </row>
    <row r="1322" spans="1:22" s="534" customFormat="1" ht="12.75" customHeight="1" x14ac:dyDescent="0.3">
      <c r="A1322" s="343"/>
      <c r="B1322" s="15"/>
      <c r="C1322" s="17"/>
      <c r="D1322" s="1386"/>
      <c r="E1322" s="1418" t="str">
        <f>Translations!$B$1553</f>
        <v>Kriterium 3a: Har relativa tröskelvärden överskridits?</v>
      </c>
      <c r="F1322" s="1418"/>
      <c r="G1322" s="1418"/>
      <c r="H1322" s="1444" t="s">
        <v>1112</v>
      </c>
      <c r="I1322" s="1423"/>
      <c r="J1322" s="1420" t="str">
        <f>INDEX(F_ProductBM!V:V,MATCH($P1322,F_ProductBM!$Q:$Q,0)+1)</f>
        <v/>
      </c>
      <c r="K1322" s="1421" t="str">
        <f>INDEX(F_ProductBM!W:W,MATCH($P1322,F_ProductBM!$Q:$Q,0)+1)</f>
        <v/>
      </c>
      <c r="L1322" s="1421" t="str">
        <f>INDEX(F_ProductBM!X:X,MATCH($P1322,F_ProductBM!$Q:$Q,0)+1)</f>
        <v/>
      </c>
      <c r="M1322" s="1421" t="str">
        <f>INDEX(F_ProductBM!Y:Y,MATCH($P1322,F_ProductBM!$Q:$Q,0)+1)</f>
        <v/>
      </c>
      <c r="N1322" s="1422" t="str">
        <f>INDEX(F_ProductBM!Z:Z,MATCH($P1322,F_ProductBM!$Q:$Q,0)+1)</f>
        <v/>
      </c>
      <c r="O1322" s="19"/>
      <c r="P1322" s="165" t="str">
        <f>P1321</f>
        <v>RelThresh_HALprelim_</v>
      </c>
      <c r="Q1322" s="343"/>
      <c r="R1322" s="343"/>
      <c r="S1322" s="343"/>
      <c r="T1322" s="343"/>
      <c r="U1322" s="349"/>
      <c r="V1322" s="349"/>
    </row>
    <row r="1323" spans="1:22" s="534" customFormat="1" ht="12.75" customHeight="1" x14ac:dyDescent="0.3">
      <c r="A1323" s="343" t="str">
        <f t="shared" ref="A1323:A1328" si="219">IF(P1323="","ausblenden","")</f>
        <v/>
      </c>
      <c r="B1323" s="15"/>
      <c r="C1323" s="17"/>
      <c r="D1323" s="1386"/>
      <c r="E1323" s="950" t="str">
        <f>Translations!$B$1568</f>
        <v>Preliminärt värde</v>
      </c>
      <c r="F1323" s="950"/>
      <c r="G1323" s="950"/>
      <c r="H1323" s="1372" t="str">
        <f>F1303</f>
        <v>ton</v>
      </c>
      <c r="I1323" s="950"/>
      <c r="J1323" s="1373" t="str">
        <f>INDEX(F_ProductBM!J:J,MATCH($P1323,F_ProductBM!$Q:$Q,0))</f>
        <v/>
      </c>
      <c r="K1323" s="1374" t="str">
        <f>INDEX(F_ProductBM!K:K,MATCH($P1323,F_ProductBM!$Q:$Q,0))</f>
        <v/>
      </c>
      <c r="L1323" s="1374" t="str">
        <f>INDEX(F_ProductBM!L:L,MATCH($P1323,F_ProductBM!$Q:$Q,0))</f>
        <v/>
      </c>
      <c r="M1323" s="1374" t="str">
        <f>INDEX(F_ProductBM!M:M,MATCH($P1323,F_ProductBM!$Q:$Q,0))</f>
        <v/>
      </c>
      <c r="N1323" s="1395" t="str">
        <f>INDEX(F_ProductBM!N:N,MATCH($P1323,F_ProductBM!$Q:$Q,0))</f>
        <v/>
      </c>
      <c r="O1323" s="19"/>
      <c r="P1323" s="165" t="str">
        <f>EUconst_CNTR_HALprelim&amp;I1297</f>
        <v>HALprelim_</v>
      </c>
      <c r="Q1323" s="343"/>
      <c r="R1323" s="343"/>
      <c r="S1323" s="343"/>
      <c r="T1323" s="343"/>
      <c r="U1323" s="349"/>
      <c r="V1323" s="349"/>
    </row>
    <row r="1324" spans="1:22" s="534" customFormat="1" ht="12.75" hidden="1" customHeight="1" x14ac:dyDescent="0.3">
      <c r="A1324" s="343" t="str">
        <f t="shared" si="219"/>
        <v>ausblenden</v>
      </c>
      <c r="B1324" s="15"/>
      <c r="C1324" s="17"/>
      <c r="D1324" s="1386"/>
      <c r="E1324" s="944" t="s">
        <v>339</v>
      </c>
      <c r="F1324" s="944"/>
      <c r="G1324" s="944"/>
      <c r="H1324" s="954" t="str">
        <f>EUconst_EUA</f>
        <v>EUA</v>
      </c>
      <c r="I1324" s="945"/>
      <c r="J1324" s="1209" t="str">
        <f>J1312</f>
        <v/>
      </c>
      <c r="K1324" s="1210" t="str">
        <f t="shared" ref="K1324:K1328" si="220">J1407</f>
        <v/>
      </c>
      <c r="L1324" s="1210" t="str">
        <f t="shared" ref="L1324:L1328" si="221">K1407</f>
        <v/>
      </c>
      <c r="M1324" s="1210" t="str">
        <f t="shared" ref="M1324:M1328" si="222">L1407</f>
        <v/>
      </c>
      <c r="N1324" s="1390" t="str">
        <f t="shared" ref="N1324:N1328" si="223">M1407</f>
        <v/>
      </c>
      <c r="O1324" s="19"/>
      <c r="P1324" s="343"/>
      <c r="Q1324" s="343"/>
      <c r="R1324" s="343"/>
      <c r="S1324" s="343"/>
      <c r="T1324" s="343"/>
      <c r="U1324" s="349"/>
      <c r="V1324" s="349"/>
    </row>
    <row r="1325" spans="1:22" s="534" customFormat="1" ht="12.75" hidden="1" customHeight="1" x14ac:dyDescent="0.3">
      <c r="A1325" s="343" t="str">
        <f t="shared" si="219"/>
        <v>ausblenden</v>
      </c>
      <c r="B1325" s="15"/>
      <c r="C1325" s="17"/>
      <c r="D1325" s="1386"/>
      <c r="E1325" s="947" t="s">
        <v>1560</v>
      </c>
      <c r="F1325" s="947"/>
      <c r="G1325" s="947"/>
      <c r="H1325" s="955" t="str">
        <f>EUconst_EUA</f>
        <v>EUA</v>
      </c>
      <c r="I1325" s="948"/>
      <c r="J1325" s="1165" t="str">
        <f>J1313</f>
        <v/>
      </c>
      <c r="K1325" s="975" t="str">
        <f t="shared" si="220"/>
        <v/>
      </c>
      <c r="L1325" s="975" t="str">
        <f t="shared" si="221"/>
        <v/>
      </c>
      <c r="M1325" s="975" t="str">
        <f t="shared" si="222"/>
        <v/>
      </c>
      <c r="N1325" s="1391" t="str">
        <f t="shared" si="223"/>
        <v/>
      </c>
      <c r="O1325" s="19"/>
      <c r="P1325" s="343"/>
      <c r="Q1325" s="343"/>
      <c r="R1325" s="343"/>
      <c r="S1325" s="343"/>
      <c r="T1325" s="343"/>
      <c r="U1325" s="349"/>
      <c r="V1325" s="349"/>
    </row>
    <row r="1326" spans="1:22" s="534" customFormat="1" ht="12.75" hidden="1" customHeight="1" x14ac:dyDescent="0.3">
      <c r="A1326" s="343" t="str">
        <f t="shared" si="219"/>
        <v>ausblenden</v>
      </c>
      <c r="B1326" s="15"/>
      <c r="C1326" s="17"/>
      <c r="D1326" s="1386"/>
      <c r="E1326" s="947" t="s">
        <v>1527</v>
      </c>
      <c r="F1326" s="947"/>
      <c r="G1326" s="947"/>
      <c r="H1326" s="955" t="str">
        <f>EUconst_EUA</f>
        <v>EUA</v>
      </c>
      <c r="I1326" s="948"/>
      <c r="J1326" s="1165" t="str">
        <f>J1314</f>
        <v/>
      </c>
      <c r="K1326" s="975" t="str">
        <f t="shared" si="220"/>
        <v/>
      </c>
      <c r="L1326" s="975" t="str">
        <f t="shared" si="221"/>
        <v/>
      </c>
      <c r="M1326" s="975" t="str">
        <f t="shared" si="222"/>
        <v/>
      </c>
      <c r="N1326" s="1391" t="str">
        <f t="shared" si="223"/>
        <v/>
      </c>
      <c r="O1326" s="19"/>
      <c r="P1326" s="343"/>
      <c r="Q1326" s="343"/>
      <c r="R1326" s="343"/>
      <c r="S1326" s="343"/>
      <c r="T1326" s="343"/>
      <c r="U1326" s="349"/>
      <c r="V1326" s="349"/>
    </row>
    <row r="1327" spans="1:22" s="534" customFormat="1" ht="12.75" hidden="1" customHeight="1" x14ac:dyDescent="0.3">
      <c r="A1327" s="343" t="str">
        <f t="shared" si="219"/>
        <v>ausblenden</v>
      </c>
      <c r="B1327" s="15"/>
      <c r="C1327" s="17"/>
      <c r="D1327" s="1386"/>
      <c r="E1327" s="947" t="s">
        <v>1526</v>
      </c>
      <c r="F1327" s="947"/>
      <c r="G1327" s="947"/>
      <c r="H1327" s="956" t="s">
        <v>1112</v>
      </c>
      <c r="I1327" s="948"/>
      <c r="J1327" s="1211" t="str">
        <f>J1315</f>
        <v/>
      </c>
      <c r="K1327" s="1212" t="str">
        <f t="shared" si="220"/>
        <v/>
      </c>
      <c r="L1327" s="1212" t="str">
        <f t="shared" si="221"/>
        <v/>
      </c>
      <c r="M1327" s="1212" t="str">
        <f t="shared" si="222"/>
        <v/>
      </c>
      <c r="N1327" s="1392" t="str">
        <f t="shared" si="223"/>
        <v/>
      </c>
      <c r="O1327" s="19"/>
      <c r="P1327" s="343"/>
      <c r="Q1327" s="343"/>
      <c r="R1327" s="343"/>
      <c r="S1327" s="343"/>
      <c r="T1327" s="343"/>
      <c r="U1327" s="349"/>
      <c r="V1327" s="349"/>
    </row>
    <row r="1328" spans="1:22" s="534" customFormat="1" ht="12.75" hidden="1" customHeight="1" x14ac:dyDescent="0.3">
      <c r="A1328" s="343" t="str">
        <f t="shared" si="219"/>
        <v>ausblenden</v>
      </c>
      <c r="B1328" s="15"/>
      <c r="C1328" s="17"/>
      <c r="D1328" s="1386"/>
      <c r="E1328" s="950" t="s">
        <v>1528</v>
      </c>
      <c r="F1328" s="950"/>
      <c r="G1328" s="950"/>
      <c r="H1328" s="957" t="s">
        <v>1112</v>
      </c>
      <c r="I1328" s="951"/>
      <c r="J1328" s="1213" t="str">
        <f>J1316</f>
        <v/>
      </c>
      <c r="K1328" s="1214" t="str">
        <f t="shared" si="220"/>
        <v/>
      </c>
      <c r="L1328" s="1214" t="str">
        <f t="shared" si="221"/>
        <v/>
      </c>
      <c r="M1328" s="1214" t="str">
        <f t="shared" si="222"/>
        <v/>
      </c>
      <c r="N1328" s="1393" t="str">
        <f t="shared" si="223"/>
        <v/>
      </c>
      <c r="O1328" s="19"/>
      <c r="P1328" s="343"/>
      <c r="Q1328" s="343"/>
      <c r="R1328" s="343"/>
      <c r="S1328" s="343"/>
      <c r="T1328" s="343"/>
      <c r="U1328" s="349"/>
      <c r="V1328" s="349"/>
    </row>
    <row r="1329" spans="1:22" s="534" customFormat="1" ht="12.75" customHeight="1" x14ac:dyDescent="0.3">
      <c r="A1329" s="343"/>
      <c r="B1329" s="15"/>
      <c r="C1329" s="17"/>
      <c r="D1329" s="1386"/>
      <c r="E1329" s="514" t="str">
        <f>Translations!$B$1565</f>
        <v>Preliminärt tilldelningsvärde</v>
      </c>
      <c r="F1329" s="514"/>
      <c r="G1329" s="514"/>
      <c r="H1329" s="129" t="str">
        <f>EUconst_EUA</f>
        <v>EUA</v>
      </c>
      <c r="I1329" s="1151"/>
      <c r="J1329" s="1131" t="str">
        <f>IF($I1297="","",MAX(0,ROUND((SUM($M1300)*SUM(J1323)*SUM(J1327)*SUM(J1328)-SUM(J1324)-SUM(J1325)+SUM(J1326))*IF($H1300=TRUE,1,J$2517),0)))</f>
        <v/>
      </c>
      <c r="K1329" s="421" t="str">
        <f>IF($I1297="","",MAX(0,ROUND((SUM($M1300)*SUM(K1323)*SUM(K1327)*SUM(K1328)-SUM(K1324)-SUM(K1325)+SUM(K1326))*IF($H1300=TRUE,1,K$2517),0)))</f>
        <v/>
      </c>
      <c r="L1329" s="421" t="str">
        <f>IF($I1297="","",MAX(0,ROUND((SUM($M1300)*SUM(L1323)*SUM(L1327)*SUM(L1328)-SUM(L1324)-SUM(L1325)+SUM(L1326))*IF($H1300=TRUE,1,L$2517),0)))</f>
        <v/>
      </c>
      <c r="M1329" s="421" t="str">
        <f>IF($I1297="","",MAX(0,ROUND((SUM($M1300)*SUM(M1323)*SUM(M1327)*SUM(M1328)-SUM(M1324)-SUM(M1325)+SUM(M1326))*IF($H1300=TRUE,1,M$2517),0)))</f>
        <v/>
      </c>
      <c r="N1329" s="967" t="str">
        <f>IF($I1297="","",MAX(0,ROUND((SUM($M1300+IF(L1300=52,0.415,0))*SUM(N1323)*SUM(N1327)*SUM(N1328)-SUM(N1324)-SUM(N1325)+SUM(N1326))*IF($H1300=TRUE,1,N$2517),0)))</f>
        <v/>
      </c>
      <c r="O1329" s="19"/>
      <c r="P1329" s="343"/>
      <c r="Q1329" s="343"/>
      <c r="R1329" s="343"/>
      <c r="S1329" s="343"/>
      <c r="T1329" s="343"/>
      <c r="U1329" s="349"/>
      <c r="V1329" s="349"/>
    </row>
    <row r="1330" spans="1:22" s="534" customFormat="1" ht="12.75" customHeight="1" x14ac:dyDescent="0.3">
      <c r="A1330" s="343"/>
      <c r="B1330" s="15"/>
      <c r="C1330" s="17"/>
      <c r="D1330" s="1386"/>
      <c r="E1330" s="514" t="str">
        <f>Translations!$B$1569</f>
        <v>Skillnad i tilldelning</v>
      </c>
      <c r="F1330" s="514"/>
      <c r="G1330" s="514"/>
      <c r="H1330" s="129" t="str">
        <f>EUconst_EUA</f>
        <v>EUA</v>
      </c>
      <c r="I1330" s="1151"/>
      <c r="J1330" s="1131" t="str">
        <f>IF($I1297="","",ABS(SUM(J1329)-SUM(J1317)))</f>
        <v/>
      </c>
      <c r="K1330" s="421" t="str">
        <f>IF($I1297="","",ABS(SUM(K1329)-SUM(K1317)))</f>
        <v/>
      </c>
      <c r="L1330" s="421" t="str">
        <f>IF($I1297="","",ABS(SUM(L1329)-SUM(L1317)))</f>
        <v/>
      </c>
      <c r="M1330" s="421" t="str">
        <f>IF($I1297="","",ABS(SUM(M1329)-SUM(M1317)))</f>
        <v/>
      </c>
      <c r="N1330" s="967" t="str">
        <f>IF($I1297="","",ABS(SUM(N1329)-SUM(N1317)))</f>
        <v/>
      </c>
      <c r="O1330" s="19"/>
      <c r="P1330" s="343"/>
      <c r="Q1330" s="343"/>
      <c r="R1330" s="343"/>
      <c r="S1330" s="343"/>
      <c r="T1330" s="343"/>
      <c r="U1330" s="349"/>
      <c r="V1330" s="349"/>
    </row>
    <row r="1331" spans="1:22" s="534" customFormat="1" ht="12.75" customHeight="1" x14ac:dyDescent="0.3">
      <c r="A1331" s="343"/>
      <c r="B1331" s="15"/>
      <c r="C1331" s="17"/>
      <c r="D1331" s="1386"/>
      <c r="E1331" s="1419" t="str">
        <f>Translations!$B$1555</f>
        <v>Kriterium 4a: Är skillnaden minst 100 utsläppsrätter?</v>
      </c>
      <c r="F1331" s="1419"/>
      <c r="G1331" s="1419"/>
      <c r="H1331" s="1424" t="s">
        <v>1112</v>
      </c>
      <c r="I1331" s="1425"/>
      <c r="J1331" s="1426" t="str">
        <f>IF($I1297="","",J1330&gt;=100)</f>
        <v/>
      </c>
      <c r="K1331" s="1427" t="str">
        <f>IF($I1297="","",K1330&gt;=100)</f>
        <v/>
      </c>
      <c r="L1331" s="1427" t="str">
        <f>IF($I1297="","",L1330&gt;=100)</f>
        <v/>
      </c>
      <c r="M1331" s="1427" t="str">
        <f>IF($I1297="","",M1330&gt;=100)</f>
        <v/>
      </c>
      <c r="N1331" s="1428" t="str">
        <f>IF($I1297="","",N1330&gt;=100)</f>
        <v/>
      </c>
      <c r="O1331" s="19"/>
      <c r="P1331" s="165" t="str">
        <f>EUconst_CNTR_100EUA_ActivityLevel&amp;I1297</f>
        <v>EUA100AL_</v>
      </c>
      <c r="Q1331" s="343"/>
      <c r="R1331" s="343"/>
      <c r="S1331" s="343"/>
      <c r="T1331" s="343"/>
      <c r="U1331" s="349"/>
      <c r="V1331" s="349"/>
    </row>
    <row r="1332" spans="1:22" s="534" customFormat="1" ht="5.15" customHeight="1" x14ac:dyDescent="0.3">
      <c r="A1332" s="343"/>
      <c r="B1332" s="15"/>
      <c r="C1332" s="17"/>
      <c r="D1332" s="1386"/>
      <c r="E1332" s="15"/>
      <c r="F1332" s="15"/>
      <c r="G1332" s="15"/>
      <c r="H1332" s="15"/>
      <c r="I1332" s="941"/>
      <c r="J1332" s="15"/>
      <c r="K1332" s="15"/>
      <c r="L1332" s="15"/>
      <c r="M1332" s="15"/>
      <c r="N1332" s="968"/>
      <c r="O1332" s="19"/>
      <c r="P1332" s="343"/>
      <c r="Q1332" s="343"/>
      <c r="R1332" s="343"/>
      <c r="S1332" s="343"/>
      <c r="T1332" s="343"/>
      <c r="U1332" s="349"/>
      <c r="V1332" s="349"/>
    </row>
    <row r="1333" spans="1:22" s="534" customFormat="1" ht="12.75" customHeight="1" x14ac:dyDescent="0.3">
      <c r="A1333" s="343"/>
      <c r="B1333" s="15"/>
      <c r="C1333" s="17"/>
      <c r="D1333" s="1386"/>
      <c r="E1333" s="42" t="str">
        <f>Translations!$B$1570</f>
        <v>Ändringar: Utbytt el</v>
      </c>
      <c r="F1333" s="188"/>
      <c r="G1333" s="188"/>
      <c r="H1333" s="30" t="str">
        <f>EUconst_Unit</f>
        <v>Enhet</v>
      </c>
      <c r="I1333" s="1157"/>
      <c r="J1333" s="1065">
        <f>J$2596</f>
        <v>2021</v>
      </c>
      <c r="K1333" s="350">
        <f>K$2596</f>
        <v>2022</v>
      </c>
      <c r="L1333" s="350">
        <f>L$2596</f>
        <v>2023</v>
      </c>
      <c r="M1333" s="350">
        <f>M$2596</f>
        <v>2024</v>
      </c>
      <c r="N1333" s="966">
        <f>N$2596</f>
        <v>2025</v>
      </c>
      <c r="O1333" s="19"/>
      <c r="P1333" s="343"/>
      <c r="Q1333" s="343"/>
      <c r="R1333" s="343"/>
      <c r="S1333" s="343"/>
      <c r="T1333" s="343"/>
      <c r="U1333" s="349"/>
      <c r="V1333" s="349"/>
    </row>
    <row r="1334" spans="1:22" s="534" customFormat="1" ht="12.75" hidden="1" customHeight="1" x14ac:dyDescent="0.3">
      <c r="A1334" s="343" t="str">
        <f>IF(P1334="","ausblenden","")</f>
        <v>ausblenden</v>
      </c>
      <c r="B1334" s="15"/>
      <c r="C1334" s="17"/>
      <c r="D1334" s="1386"/>
      <c r="E1334" s="514" t="s">
        <v>1918</v>
      </c>
      <c r="F1334" s="514"/>
      <c r="G1334" s="514"/>
      <c r="H1334" s="917" t="str">
        <f>H1323</f>
        <v>ton</v>
      </c>
      <c r="I1334" s="514"/>
      <c r="J1334" s="1152" t="str">
        <f>J1311</f>
        <v/>
      </c>
      <c r="K1334" s="943" t="str">
        <f t="shared" ref="K1334:K1337" si="224">J1406</f>
        <v/>
      </c>
      <c r="L1334" s="943" t="str">
        <f t="shared" ref="L1334:L1337" si="225">K1406</f>
        <v/>
      </c>
      <c r="M1334" s="943" t="str">
        <f t="shared" ref="M1334:M1337" si="226">L1406</f>
        <v/>
      </c>
      <c r="N1334" s="1389" t="str">
        <f t="shared" ref="N1334:N1337" si="227">M1406</f>
        <v/>
      </c>
      <c r="O1334" s="19"/>
      <c r="P1334" s="343"/>
      <c r="Q1334" s="343"/>
      <c r="R1334" s="343"/>
      <c r="S1334" s="343"/>
      <c r="T1334" s="343"/>
      <c r="U1334" s="349"/>
      <c r="V1334" s="349"/>
    </row>
    <row r="1335" spans="1:22" s="534" customFormat="1" ht="12.75" hidden="1" customHeight="1" x14ac:dyDescent="0.3">
      <c r="A1335" s="343" t="str">
        <f>IF(P1335="","ausblenden","")</f>
        <v>ausblenden</v>
      </c>
      <c r="B1335" s="15"/>
      <c r="C1335" s="17"/>
      <c r="D1335" s="1386"/>
      <c r="E1335" s="944" t="s">
        <v>339</v>
      </c>
      <c r="F1335" s="944"/>
      <c r="G1335" s="944"/>
      <c r="H1335" s="954" t="str">
        <f>EUconst_EUA</f>
        <v>EUA</v>
      </c>
      <c r="I1335" s="945"/>
      <c r="J1335" s="1209" t="str">
        <f>J1312</f>
        <v/>
      </c>
      <c r="K1335" s="1210" t="str">
        <f t="shared" si="224"/>
        <v/>
      </c>
      <c r="L1335" s="1210" t="str">
        <f t="shared" si="225"/>
        <v/>
      </c>
      <c r="M1335" s="1210" t="str">
        <f t="shared" si="226"/>
        <v/>
      </c>
      <c r="N1335" s="1390" t="str">
        <f t="shared" si="227"/>
        <v/>
      </c>
      <c r="O1335" s="19"/>
      <c r="P1335" s="343"/>
      <c r="Q1335" s="343"/>
      <c r="R1335" s="343"/>
      <c r="S1335" s="343"/>
      <c r="T1335" s="343"/>
      <c r="U1335" s="349"/>
      <c r="V1335" s="349"/>
    </row>
    <row r="1336" spans="1:22" s="534" customFormat="1" ht="12.75" hidden="1" customHeight="1" x14ac:dyDescent="0.3">
      <c r="A1336" s="343" t="str">
        <f>IF(P1336="","ausblenden","")</f>
        <v>ausblenden</v>
      </c>
      <c r="B1336" s="15"/>
      <c r="C1336" s="17"/>
      <c r="D1336" s="1386"/>
      <c r="E1336" s="947" t="s">
        <v>1560</v>
      </c>
      <c r="F1336" s="947"/>
      <c r="G1336" s="947"/>
      <c r="H1336" s="955" t="str">
        <f>EUconst_EUA</f>
        <v>EUA</v>
      </c>
      <c r="I1336" s="948"/>
      <c r="J1336" s="1165" t="str">
        <f>J1313</f>
        <v/>
      </c>
      <c r="K1336" s="975" t="str">
        <f t="shared" si="224"/>
        <v/>
      </c>
      <c r="L1336" s="975" t="str">
        <f t="shared" si="225"/>
        <v/>
      </c>
      <c r="M1336" s="975" t="str">
        <f t="shared" si="226"/>
        <v/>
      </c>
      <c r="N1336" s="1391" t="str">
        <f t="shared" si="227"/>
        <v/>
      </c>
      <c r="O1336" s="19"/>
      <c r="P1336" s="343"/>
      <c r="Q1336" s="343"/>
      <c r="R1336" s="343"/>
      <c r="S1336" s="343"/>
      <c r="T1336" s="343"/>
      <c r="U1336" s="349"/>
      <c r="V1336" s="349"/>
    </row>
    <row r="1337" spans="1:22" s="534" customFormat="1" ht="12.75" hidden="1" customHeight="1" x14ac:dyDescent="0.3">
      <c r="A1337" s="343" t="str">
        <f>IF(P1337="","ausblenden","")</f>
        <v>ausblenden</v>
      </c>
      <c r="B1337" s="15"/>
      <c r="C1337" s="17"/>
      <c r="D1337" s="1386"/>
      <c r="E1337" s="1433" t="s">
        <v>1527</v>
      </c>
      <c r="F1337" s="1433"/>
      <c r="G1337" s="1433"/>
      <c r="H1337" s="1434" t="str">
        <f>EUconst_EUA</f>
        <v>EUA</v>
      </c>
      <c r="I1337" s="1435"/>
      <c r="J1337" s="1436" t="str">
        <f>J1314</f>
        <v/>
      </c>
      <c r="K1337" s="1437" t="str">
        <f t="shared" si="224"/>
        <v/>
      </c>
      <c r="L1337" s="1437" t="str">
        <f t="shared" si="225"/>
        <v/>
      </c>
      <c r="M1337" s="1437" t="str">
        <f t="shared" si="226"/>
        <v/>
      </c>
      <c r="N1337" s="1438" t="str">
        <f t="shared" si="227"/>
        <v/>
      </c>
      <c r="O1337" s="19"/>
      <c r="P1337" s="343"/>
      <c r="Q1337" s="343"/>
      <c r="R1337" s="343"/>
      <c r="S1337" s="343"/>
      <c r="T1337" s="343"/>
      <c r="U1337" s="349"/>
      <c r="V1337" s="349"/>
    </row>
    <row r="1338" spans="1:22" s="534" customFormat="1" ht="12.75" customHeight="1" x14ac:dyDescent="0.3">
      <c r="A1338" s="343"/>
      <c r="B1338" s="15"/>
      <c r="C1338" s="17"/>
      <c r="D1338" s="1386"/>
      <c r="E1338" s="944" t="str">
        <f>Translations!$B$1482</f>
        <v>Genomsnittligt årligt värde</v>
      </c>
      <c r="F1338" s="944"/>
      <c r="G1338" s="944"/>
      <c r="H1338" s="627" t="s">
        <v>1112</v>
      </c>
      <c r="I1338" s="945"/>
      <c r="J1338" s="1439" t="str">
        <f>INDEX(F_ProductBM!J:J,MATCH($P1338,F_ProductBM!$Q:$Q,0))</f>
        <v/>
      </c>
      <c r="K1338" s="1440" t="str">
        <f>INDEX(F_ProductBM!K:K,MATCH($P1338,F_ProductBM!$Q:$Q,0))</f>
        <v/>
      </c>
      <c r="L1338" s="1440" t="str">
        <f>INDEX(F_ProductBM!L:L,MATCH($P1338,F_ProductBM!$Q:$Q,0))</f>
        <v/>
      </c>
      <c r="M1338" s="1440" t="str">
        <f>INDEX(F_ProductBM!M:M,MATCH($P1338,F_ProductBM!$Q:$Q,0))</f>
        <v/>
      </c>
      <c r="N1338" s="1441" t="str">
        <f>INDEX(F_ProductBM!N:N,MATCH($P1338,F_ProductBM!$Q:$Q,0))</f>
        <v/>
      </c>
      <c r="O1338" s="19"/>
      <c r="P1338" s="165" t="str">
        <f>EUconst_CNTR_HAL &amp; EUconst_CNTR_ELEXCHInitial &amp; I1297</f>
        <v>HAL_ELEXCHIni_</v>
      </c>
      <c r="Q1338" s="343"/>
      <c r="R1338" s="343"/>
      <c r="S1338" s="343"/>
      <c r="T1338" s="343"/>
      <c r="U1338" s="349"/>
      <c r="V1338" s="349"/>
    </row>
    <row r="1339" spans="1:22" s="534" customFormat="1" ht="12.75" customHeight="1" x14ac:dyDescent="0.3">
      <c r="A1339" s="343"/>
      <c r="B1339" s="15"/>
      <c r="C1339" s="17"/>
      <c r="D1339" s="1386"/>
      <c r="E1339" s="947" t="str">
        <f>Translations!$B$1571</f>
        <v>Ändring jämfört med värde enligt nationella genomförandeåtgärder</v>
      </c>
      <c r="F1339" s="947"/>
      <c r="G1339" s="947"/>
      <c r="H1339" s="1442" t="s">
        <v>1112</v>
      </c>
      <c r="I1339" s="1371"/>
      <c r="J1339" s="1415" t="str">
        <f>INDEX(F_ProductBM!J:J,MATCH($P1339,F_ProductBM!$Q:$Q,0))</f>
        <v/>
      </c>
      <c r="K1339" s="1416" t="str">
        <f>INDEX(F_ProductBM!K:K,MATCH($P1339,F_ProductBM!$Q:$Q,0))</f>
        <v/>
      </c>
      <c r="L1339" s="1416" t="str">
        <f>INDEX(F_ProductBM!L:L,MATCH($P1339,F_ProductBM!$Q:$Q,0))</f>
        <v/>
      </c>
      <c r="M1339" s="1416" t="str">
        <f>INDEX(F_ProductBM!M:M,MATCH($P1339,F_ProductBM!$Q:$Q,0))</f>
        <v/>
      </c>
      <c r="N1339" s="1417" t="str">
        <f>INDEX(F_ProductBM!N:N,MATCH($P1339,F_ProductBM!$Q:$Q,0))</f>
        <v/>
      </c>
      <c r="O1339" s="19"/>
      <c r="P1339" s="165" t="str">
        <f>EUconst_CNTR_RelThreshold &amp; P1341</f>
        <v>RelThresh_HALprelim_ELEXCH_</v>
      </c>
      <c r="Q1339" s="343"/>
      <c r="R1339" s="343"/>
      <c r="S1339" s="343"/>
      <c r="T1339" s="343"/>
      <c r="U1339" s="349"/>
      <c r="V1339" s="349"/>
    </row>
    <row r="1340" spans="1:22" s="534" customFormat="1" ht="12.75" customHeight="1" x14ac:dyDescent="0.3">
      <c r="A1340" s="343"/>
      <c r="B1340" s="15"/>
      <c r="C1340" s="17"/>
      <c r="D1340" s="1386"/>
      <c r="E1340" s="1418" t="str">
        <f>Translations!$B$1572</f>
        <v>Kriterium 3b: Har relativa tröskelvärden överskridits?</v>
      </c>
      <c r="F1340" s="1418"/>
      <c r="G1340" s="1418"/>
      <c r="H1340" s="1444" t="s">
        <v>1112</v>
      </c>
      <c r="I1340" s="1423"/>
      <c r="J1340" s="1420" t="str">
        <f>INDEX(F_ProductBM!V:V,MATCH($P1340,F_ProductBM!$Q:$Q,0))</f>
        <v/>
      </c>
      <c r="K1340" s="1421" t="str">
        <f>INDEX(F_ProductBM!W:W,MATCH($P1340,F_ProductBM!$Q:$Q,0))</f>
        <v/>
      </c>
      <c r="L1340" s="1421" t="str">
        <f>INDEX(F_ProductBM!X:X,MATCH($P1340,F_ProductBM!$Q:$Q,0))</f>
        <v/>
      </c>
      <c r="M1340" s="1421" t="str">
        <f>INDEX(F_ProductBM!Y:Y,MATCH($P1340,F_ProductBM!$Q:$Q,0))</f>
        <v/>
      </c>
      <c r="N1340" s="1422" t="str">
        <f>INDEX(F_ProductBM!Z:Z,MATCH($P1340,F_ProductBM!$Q:$Q,0))</f>
        <v/>
      </c>
      <c r="O1340" s="19"/>
      <c r="P1340" s="165" t="str">
        <f>P1339</f>
        <v>RelThresh_HALprelim_ELEXCH_</v>
      </c>
      <c r="Q1340" s="343"/>
      <c r="R1340" s="343"/>
      <c r="S1340" s="343"/>
      <c r="T1340" s="343"/>
      <c r="U1340" s="349"/>
      <c r="V1340" s="349"/>
    </row>
    <row r="1341" spans="1:22" s="534" customFormat="1" ht="12.75" customHeight="1" x14ac:dyDescent="0.3">
      <c r="A1341" s="343" t="str">
        <f>IF(P1341="","ausblenden","")</f>
        <v/>
      </c>
      <c r="B1341" s="15"/>
      <c r="C1341" s="17"/>
      <c r="D1341" s="1386"/>
      <c r="E1341" s="950" t="str">
        <f>Translations!$B$1568</f>
        <v>Preliminärt värde</v>
      </c>
      <c r="F1341" s="950"/>
      <c r="G1341" s="950"/>
      <c r="H1341" s="629" t="s">
        <v>1112</v>
      </c>
      <c r="I1341" s="950"/>
      <c r="J1341" s="1404" t="str">
        <f>IF($I1300=TRUE,INDEX(F_ProductBM!J:J,MATCH($P1341,F_ProductBM!$Q:$Q,0)),"")</f>
        <v/>
      </c>
      <c r="K1341" s="1405" t="str">
        <f>IF($I1300=TRUE,INDEX(F_ProductBM!K:K,MATCH($P1341,F_ProductBM!$Q:$Q,0)),"")</f>
        <v/>
      </c>
      <c r="L1341" s="1405" t="str">
        <f>IF($I1300=TRUE,INDEX(F_ProductBM!L:L,MATCH($P1341,F_ProductBM!$Q:$Q,0)),"")</f>
        <v/>
      </c>
      <c r="M1341" s="1405" t="str">
        <f>IF($I1300=TRUE,INDEX(F_ProductBM!M:M,MATCH($P1341,F_ProductBM!$Q:$Q,0)),"")</f>
        <v/>
      </c>
      <c r="N1341" s="1406" t="str">
        <f>IF($I1300=TRUE,INDEX(F_ProductBM!N:N,MATCH($P1341,F_ProductBM!$Q:$Q,0)),"")</f>
        <v/>
      </c>
      <c r="O1341" s="19"/>
      <c r="P1341" s="165" t="str">
        <f>EUconst_CNTR_HALprelim&amp;EUconst_CNTR_ELEXCH&amp;$I1297</f>
        <v>HALprelim_ELEXCH_</v>
      </c>
      <c r="Q1341" s="343"/>
      <c r="R1341" s="343"/>
      <c r="S1341" s="343"/>
      <c r="T1341" s="343"/>
      <c r="U1341" s="349"/>
      <c r="V1341" s="349"/>
    </row>
    <row r="1342" spans="1:22" s="534" customFormat="1" ht="12.75" hidden="1" customHeight="1" x14ac:dyDescent="0.3">
      <c r="A1342" s="343" t="str">
        <f>IF(P1342="","ausblenden","")</f>
        <v>ausblenden</v>
      </c>
      <c r="B1342" s="15"/>
      <c r="C1342" s="17"/>
      <c r="D1342" s="1386"/>
      <c r="E1342" s="950" t="s">
        <v>1528</v>
      </c>
      <c r="F1342" s="950"/>
      <c r="G1342" s="950"/>
      <c r="H1342" s="1375" t="s">
        <v>1112</v>
      </c>
      <c r="I1342" s="951"/>
      <c r="J1342" s="1213" t="str">
        <f>J1316</f>
        <v/>
      </c>
      <c r="K1342" s="1214" t="str">
        <f>J1411</f>
        <v/>
      </c>
      <c r="L1342" s="1214" t="str">
        <f>K1411</f>
        <v/>
      </c>
      <c r="M1342" s="1214" t="str">
        <f>L1411</f>
        <v/>
      </c>
      <c r="N1342" s="1393" t="str">
        <f>M1411</f>
        <v/>
      </c>
      <c r="O1342" s="19"/>
      <c r="P1342" s="343"/>
      <c r="Q1342" s="343"/>
      <c r="R1342" s="343"/>
      <c r="S1342" s="343"/>
      <c r="T1342" s="343"/>
      <c r="U1342" s="349"/>
      <c r="V1342" s="349"/>
    </row>
    <row r="1343" spans="1:22" s="534" customFormat="1" ht="12.75" customHeight="1" x14ac:dyDescent="0.3">
      <c r="A1343" s="343"/>
      <c r="B1343" s="15"/>
      <c r="C1343" s="17"/>
      <c r="D1343" s="1386"/>
      <c r="E1343" s="514" t="str">
        <f>Translations!$B$1565</f>
        <v>Preliminärt tilldelningsvärde</v>
      </c>
      <c r="F1343" s="514"/>
      <c r="G1343" s="514"/>
      <c r="H1343" s="129" t="str">
        <f>EUconst_EUA</f>
        <v>EUA</v>
      </c>
      <c r="I1343" s="1151"/>
      <c r="J1343" s="1131" t="str">
        <f>IF($I1300=TRUE,MAX(0,ROUND((SUM($M1300)*SUM(J1334)*SUM(J1341)*SUM(J1342)-SUM(J1335)-SUM(J1336)+SUM(J1337))*IF($H1300=TRUE,1,J$2517),0)),"")</f>
        <v/>
      </c>
      <c r="K1343" s="421" t="str">
        <f>IF($I1300=TRUE,MAX(0,ROUND((SUM($M1300)*SUM(K1334)*SUM(K1341)*SUM(K1342)-SUM(K1335)-SUM(K1336)+SUM(K1337))*IF($H1300=TRUE,1,K$2517),0)),"")</f>
        <v/>
      </c>
      <c r="L1343" s="421" t="str">
        <f>IF($I1300=TRUE,MAX(0,ROUND((SUM($M1300)*SUM(L1334)*SUM(L1341)*SUM(L1342)-SUM(L1335)-SUM(L1336)+SUM(L1337))*IF($H1300=TRUE,1,L$2517),0)),"")</f>
        <v/>
      </c>
      <c r="M1343" s="421" t="str">
        <f>IF($I1300=TRUE,MAX(0,ROUND((SUM($M1300)*SUM(M1334)*SUM(M1341)*SUM(M1342)-SUM(M1335)-SUM(M1336)+SUM(M1337))*IF($H1300=TRUE,1,M$2517),0)),"")</f>
        <v/>
      </c>
      <c r="N1343" s="967" t="str">
        <f>IF($I1300=TRUE,MAX(0,ROUND((SUM($M1300)*SUM(N1334)*SUM(N1341)*SUM(N1342)-SUM(N1335)-SUM(N1336)+SUM(N1337))*IF($H1300=TRUE,1,N$2517),0)),"")</f>
        <v/>
      </c>
      <c r="O1343" s="19"/>
      <c r="P1343" s="343"/>
      <c r="Q1343" s="343"/>
      <c r="R1343" s="343"/>
      <c r="S1343" s="343"/>
      <c r="T1343" s="343"/>
      <c r="U1343" s="349"/>
      <c r="V1343" s="349"/>
    </row>
    <row r="1344" spans="1:22" s="534" customFormat="1" ht="12.75" customHeight="1" x14ac:dyDescent="0.3">
      <c r="A1344" s="343"/>
      <c r="B1344" s="15"/>
      <c r="C1344" s="17"/>
      <c r="D1344" s="1386"/>
      <c r="E1344" s="514" t="str">
        <f>Translations!$B$1569</f>
        <v>Skillnad i tilldelning</v>
      </c>
      <c r="F1344" s="514"/>
      <c r="G1344" s="514"/>
      <c r="H1344" s="129" t="str">
        <f>EUconst_EUA</f>
        <v>EUA</v>
      </c>
      <c r="I1344" s="1151"/>
      <c r="J1344" s="1131" t="str">
        <f>IF($I1300=TRUE,ABS(SUM(J1343)-SUM(J1317)),"")</f>
        <v/>
      </c>
      <c r="K1344" s="421" t="str">
        <f>IF($I1300=TRUE,ABS(SUM(K1343)-SUM(K1317)),"")</f>
        <v/>
      </c>
      <c r="L1344" s="421" t="str">
        <f>IF($I1300=TRUE,ABS(SUM(L1343)-SUM(L1317)),"")</f>
        <v/>
      </c>
      <c r="M1344" s="421" t="str">
        <f>IF($I1300=TRUE,ABS(SUM(M1343)-SUM(M1317)),"")</f>
        <v/>
      </c>
      <c r="N1344" s="967" t="str">
        <f>IF($I1300=TRUE,ABS(SUM(N1343)-SUM(N1317)),"")</f>
        <v/>
      </c>
      <c r="O1344" s="19"/>
      <c r="P1344" s="343"/>
      <c r="Q1344" s="343"/>
      <c r="R1344" s="343"/>
      <c r="S1344" s="343"/>
      <c r="T1344" s="343"/>
      <c r="U1344" s="349"/>
      <c r="V1344" s="349"/>
    </row>
    <row r="1345" spans="1:22" s="534" customFormat="1" ht="12.75" customHeight="1" x14ac:dyDescent="0.3">
      <c r="A1345" s="343"/>
      <c r="B1345" s="15"/>
      <c r="C1345" s="17"/>
      <c r="D1345" s="1386"/>
      <c r="E1345" s="1419" t="str">
        <f>Translations!$B$1573</f>
        <v>Kriterium 4b: Är skillnaden minst 100 utsläppsrätter?</v>
      </c>
      <c r="F1345" s="1419"/>
      <c r="G1345" s="1419"/>
      <c r="H1345" s="1424" t="s">
        <v>1112</v>
      </c>
      <c r="I1345" s="1425"/>
      <c r="J1345" s="1426" t="str">
        <f>IF($I1300=TRUE,J1344&gt;=100,"")</f>
        <v/>
      </c>
      <c r="K1345" s="1427" t="str">
        <f>IF($I1300=TRUE,K1344&gt;=100,"")</f>
        <v/>
      </c>
      <c r="L1345" s="1427" t="str">
        <f>IF($I1300=TRUE,L1344&gt;=100,"")</f>
        <v/>
      </c>
      <c r="M1345" s="1427" t="str">
        <f>IF($I1300=TRUE,M1344&gt;=100,"")</f>
        <v/>
      </c>
      <c r="N1345" s="1428" t="str">
        <f>IF($I1300=TRUE,N1344&gt;=100,"")</f>
        <v/>
      </c>
      <c r="O1345" s="19"/>
      <c r="P1345" s="165" t="str">
        <f>EUconst_CNTR_100EUA_ElExch&amp;I1297</f>
        <v>EUA100ElExch_</v>
      </c>
      <c r="Q1345" s="343"/>
      <c r="R1345" s="343"/>
      <c r="S1345" s="343"/>
      <c r="T1345" s="343"/>
      <c r="U1345" s="349"/>
      <c r="V1345" s="349"/>
    </row>
    <row r="1346" spans="1:22" s="534" customFormat="1" ht="5.15" customHeight="1" x14ac:dyDescent="0.3">
      <c r="A1346" s="343"/>
      <c r="B1346" s="15"/>
      <c r="C1346" s="17"/>
      <c r="D1346" s="1386"/>
      <c r="E1346" s="15"/>
      <c r="F1346" s="15"/>
      <c r="G1346" s="15"/>
      <c r="H1346" s="15"/>
      <c r="I1346" s="941"/>
      <c r="J1346" s="15"/>
      <c r="K1346" s="15"/>
      <c r="L1346" s="15"/>
      <c r="M1346" s="15"/>
      <c r="N1346" s="968"/>
      <c r="O1346" s="19"/>
      <c r="P1346" s="343"/>
      <c r="Q1346" s="343"/>
      <c r="R1346" s="343"/>
      <c r="S1346" s="343"/>
      <c r="T1346" s="343"/>
      <c r="U1346" s="349"/>
      <c r="V1346" s="349"/>
    </row>
    <row r="1347" spans="1:22" s="534" customFormat="1" ht="12.75" customHeight="1" x14ac:dyDescent="0.3">
      <c r="A1347" s="343"/>
      <c r="B1347" s="15"/>
      <c r="C1347" s="17"/>
      <c r="D1347" s="1386"/>
      <c r="E1347" s="42" t="str">
        <f>Translations!$B$1574</f>
        <v>Ändringar: Värme från icke-ETS</v>
      </c>
      <c r="F1347" s="188"/>
      <c r="G1347" s="188"/>
      <c r="H1347" s="30" t="str">
        <f>EUconst_Unit</f>
        <v>Enhet</v>
      </c>
      <c r="I1347" s="1157"/>
      <c r="J1347" s="1065">
        <f>J$2596</f>
        <v>2021</v>
      </c>
      <c r="K1347" s="350">
        <f>K$2596</f>
        <v>2022</v>
      </c>
      <c r="L1347" s="350">
        <f>L$2596</f>
        <v>2023</v>
      </c>
      <c r="M1347" s="350">
        <f>M$2596</f>
        <v>2024</v>
      </c>
      <c r="N1347" s="966">
        <f>N$2596</f>
        <v>2025</v>
      </c>
      <c r="O1347" s="19"/>
      <c r="P1347" s="343"/>
      <c r="Q1347" s="343"/>
      <c r="R1347" s="343"/>
      <c r="S1347" s="343"/>
      <c r="T1347" s="343"/>
      <c r="U1347" s="349"/>
      <c r="V1347" s="349"/>
    </row>
    <row r="1348" spans="1:22" s="534" customFormat="1" ht="12.75" hidden="1" customHeight="1" x14ac:dyDescent="0.3">
      <c r="A1348" s="343" t="str">
        <f>IF(P1348="","ausblenden","")</f>
        <v>ausblenden</v>
      </c>
      <c r="B1348" s="15"/>
      <c r="C1348" s="17"/>
      <c r="D1348" s="1386"/>
      <c r="E1348" s="514" t="s">
        <v>1918</v>
      </c>
      <c r="F1348" s="514"/>
      <c r="G1348" s="514"/>
      <c r="H1348" s="917" t="str">
        <f>H1334</f>
        <v>ton</v>
      </c>
      <c r="I1348" s="514"/>
      <c r="J1348" s="1152" t="str">
        <f>J1311</f>
        <v/>
      </c>
      <c r="K1348" s="943" t="str">
        <f>J1406</f>
        <v/>
      </c>
      <c r="L1348" s="943" t="str">
        <f>K1406</f>
        <v/>
      </c>
      <c r="M1348" s="943" t="str">
        <f>L1406</f>
        <v/>
      </c>
      <c r="N1348" s="1389" t="str">
        <f>M1406</f>
        <v/>
      </c>
      <c r="O1348" s="19"/>
      <c r="P1348" s="343"/>
      <c r="Q1348" s="343"/>
      <c r="R1348" s="343"/>
      <c r="S1348" s="343"/>
      <c r="T1348" s="343"/>
      <c r="U1348" s="349"/>
      <c r="V1348" s="349"/>
    </row>
    <row r="1349" spans="1:22" s="534" customFormat="1" ht="12.75" customHeight="1" x14ac:dyDescent="0.3">
      <c r="A1349" s="343"/>
      <c r="B1349" s="15"/>
      <c r="C1349" s="17"/>
      <c r="D1349" s="1386"/>
      <c r="E1349" s="944" t="str">
        <f>Translations!$B$1482</f>
        <v>Genomsnittligt årligt värde</v>
      </c>
      <c r="F1349" s="944"/>
      <c r="G1349" s="944"/>
      <c r="H1349" s="627" t="str">
        <f>EUconst_EUA</f>
        <v>EUA</v>
      </c>
      <c r="I1349" s="945"/>
      <c r="J1349" s="1161" t="str">
        <f>IF(R1303,SUM(INDEX(F_ProductBM!J:J,MATCH($P1349,F_ProductBM!$Q:$Q,0))),"")</f>
        <v/>
      </c>
      <c r="K1349" s="946" t="str">
        <f>IF(S1303,SUM(INDEX(F_ProductBM!K:K,MATCH($P1349,F_ProductBM!$Q:$Q,0))),"")</f>
        <v/>
      </c>
      <c r="L1349" s="946" t="str">
        <f>IF(T1303,SUM(INDEX(F_ProductBM!L:L,MATCH($P1349,F_ProductBM!$Q:$Q,0))),"")</f>
        <v/>
      </c>
      <c r="M1349" s="946" t="str">
        <f>IF(U1303,SUM(INDEX(F_ProductBM!M:M,MATCH($P1349,F_ProductBM!$Q:$Q,0))),"")</f>
        <v/>
      </c>
      <c r="N1349" s="1046" t="str">
        <f>IF(V1303,SUM(INDEX(F_ProductBM!N:N,MATCH($P1349,F_ProductBM!$Q:$Q,0))),"")</f>
        <v/>
      </c>
      <c r="O1349" s="19"/>
      <c r="P1349" s="165" t="str">
        <f>EUconst_CNTR_HEATInitial &amp; I1297</f>
        <v>HEATIni_</v>
      </c>
      <c r="Q1349" s="343"/>
      <c r="R1349" s="343"/>
      <c r="S1349" s="343"/>
      <c r="T1349" s="343"/>
      <c r="U1349" s="349"/>
      <c r="V1349" s="349"/>
    </row>
    <row r="1350" spans="1:22" s="534" customFormat="1" ht="12.75" customHeight="1" x14ac:dyDescent="0.3">
      <c r="A1350" s="343"/>
      <c r="B1350" s="15"/>
      <c r="C1350" s="17"/>
      <c r="D1350" s="1386"/>
      <c r="E1350" s="947" t="str">
        <f>Translations!$B$1571</f>
        <v>Ändring jämfört med värde enligt nationella genomförandeåtgärder</v>
      </c>
      <c r="F1350" s="947"/>
      <c r="G1350" s="947"/>
      <c r="H1350" s="1442" t="s">
        <v>1112</v>
      </c>
      <c r="I1350" s="1371"/>
      <c r="J1350" s="1415" t="str">
        <f>INDEX(F_ProductBM!J:J,MATCH($P1350,F_ProductBM!$Q:$Q,0))</f>
        <v/>
      </c>
      <c r="K1350" s="1416" t="str">
        <f>INDEX(F_ProductBM!K:K,MATCH($P1350,F_ProductBM!$Q:$Q,0))</f>
        <v/>
      </c>
      <c r="L1350" s="1416" t="str">
        <f>INDEX(F_ProductBM!L:L,MATCH($P1350,F_ProductBM!$Q:$Q,0))</f>
        <v/>
      </c>
      <c r="M1350" s="1416" t="str">
        <f>INDEX(F_ProductBM!M:M,MATCH($P1350,F_ProductBM!$Q:$Q,0))</f>
        <v/>
      </c>
      <c r="N1350" s="1417" t="str">
        <f>INDEX(F_ProductBM!N:N,MATCH($P1350,F_ProductBM!$Q:$Q,0))</f>
        <v/>
      </c>
      <c r="O1350" s="19"/>
      <c r="P1350" s="165" t="str">
        <f>EUconst_CNTR_RelThreshold &amp; P1352</f>
        <v>RelThresh_HEATprelim_</v>
      </c>
      <c r="Q1350" s="343"/>
      <c r="R1350" s="343"/>
      <c r="S1350" s="343"/>
      <c r="T1350" s="343"/>
      <c r="U1350" s="349"/>
      <c r="V1350" s="349"/>
    </row>
    <row r="1351" spans="1:22" s="534" customFormat="1" ht="12.75" customHeight="1" x14ac:dyDescent="0.3">
      <c r="A1351" s="343"/>
      <c r="B1351" s="15"/>
      <c r="C1351" s="17"/>
      <c r="D1351" s="1386"/>
      <c r="E1351" s="1418" t="str">
        <f>Translations!$B$1575</f>
        <v>Kriterium 3c: Har relativa tröskelvärden överskridits?</v>
      </c>
      <c r="F1351" s="1418"/>
      <c r="G1351" s="1418"/>
      <c r="H1351" s="1444" t="s">
        <v>1112</v>
      </c>
      <c r="I1351" s="1423"/>
      <c r="J1351" s="1420" t="str">
        <f>INDEX(F_ProductBM!V:V,MATCH($P1351,F_ProductBM!$Q:$Q,0))</f>
        <v/>
      </c>
      <c r="K1351" s="1421" t="str">
        <f>INDEX(F_ProductBM!W:W,MATCH($P1351,F_ProductBM!$Q:$Q,0))</f>
        <v/>
      </c>
      <c r="L1351" s="1421" t="str">
        <f>INDEX(F_ProductBM!X:X,MATCH($P1351,F_ProductBM!$Q:$Q,0))</f>
        <v/>
      </c>
      <c r="M1351" s="1421" t="str">
        <f>INDEX(F_ProductBM!Y:Y,MATCH($P1351,F_ProductBM!$Q:$Q,0))</f>
        <v/>
      </c>
      <c r="N1351" s="1422" t="str">
        <f>INDEX(F_ProductBM!Z:Z,MATCH($P1351,F_ProductBM!$Q:$Q,0))</f>
        <v/>
      </c>
      <c r="O1351" s="19"/>
      <c r="P1351" s="165" t="str">
        <f>P1350</f>
        <v>RelThresh_HEATprelim_</v>
      </c>
      <c r="Q1351" s="343"/>
      <c r="R1351" s="343"/>
      <c r="S1351" s="343"/>
      <c r="T1351" s="343"/>
      <c r="U1351" s="349"/>
      <c r="V1351" s="349"/>
    </row>
    <row r="1352" spans="1:22" s="534" customFormat="1" ht="12.75" customHeight="1" x14ac:dyDescent="0.3">
      <c r="A1352" s="343" t="str">
        <f>IF(P1352="","ausblenden","")</f>
        <v/>
      </c>
      <c r="B1352" s="15"/>
      <c r="C1352" s="17"/>
      <c r="D1352" s="1386"/>
      <c r="E1352" s="950" t="str">
        <f>Translations!$B$1568</f>
        <v>Preliminärt värde</v>
      </c>
      <c r="F1352" s="950"/>
      <c r="G1352" s="950"/>
      <c r="H1352" s="629" t="str">
        <f>EUconst_EUA</f>
        <v>EUA</v>
      </c>
      <c r="I1352" s="950"/>
      <c r="J1352" s="1373" t="str">
        <f>IF($I1297="","",INDEX(F_ProductBM!J:J,MATCH($P1352,F_ProductBM!$Q:$Q,0)))</f>
        <v/>
      </c>
      <c r="K1352" s="1374" t="str">
        <f>IF($I1297="","",INDEX(F_ProductBM!K:K,MATCH($P1352,F_ProductBM!$Q:$Q,0)))</f>
        <v/>
      </c>
      <c r="L1352" s="1374" t="str">
        <f>IF($I1297="","",INDEX(F_ProductBM!L:L,MATCH($P1352,F_ProductBM!$Q:$Q,0)))</f>
        <v/>
      </c>
      <c r="M1352" s="1374" t="str">
        <f>IF($I1297="","",INDEX(F_ProductBM!M:M,MATCH($P1352,F_ProductBM!$Q:$Q,0)))</f>
        <v/>
      </c>
      <c r="N1352" s="1395" t="str">
        <f>IF($I1297="","",INDEX(F_ProductBM!N:N,MATCH($P1352,F_ProductBM!$Q:$Q,0)))</f>
        <v/>
      </c>
      <c r="O1352" s="19"/>
      <c r="P1352" s="165" t="str">
        <f>EUconst_CNTR_HEATprelim&amp;I1297</f>
        <v>HEATprelim_</v>
      </c>
      <c r="Q1352" s="343"/>
      <c r="R1352" s="343"/>
      <c r="S1352" s="343"/>
      <c r="T1352" s="343"/>
      <c r="U1352" s="349"/>
      <c r="V1352" s="349"/>
    </row>
    <row r="1353" spans="1:22" s="534" customFormat="1" ht="12.75" hidden="1" customHeight="1" x14ac:dyDescent="0.3">
      <c r="A1353" s="343" t="str">
        <f>IF(P1353="","ausblenden","")</f>
        <v>ausblenden</v>
      </c>
      <c r="B1353" s="15"/>
      <c r="C1353" s="17"/>
      <c r="D1353" s="1386"/>
      <c r="E1353" s="947" t="s">
        <v>1560</v>
      </c>
      <c r="F1353" s="947"/>
      <c r="G1353" s="947"/>
      <c r="H1353" s="955" t="str">
        <f>EUconst_EUA</f>
        <v>EUA</v>
      </c>
      <c r="I1353" s="948"/>
      <c r="J1353" s="1165" t="str">
        <f>J1313</f>
        <v/>
      </c>
      <c r="K1353" s="975" t="str">
        <f t="shared" ref="K1353:K1356" si="228">J1408</f>
        <v/>
      </c>
      <c r="L1353" s="975" t="str">
        <f t="shared" ref="L1353:L1356" si="229">K1408</f>
        <v/>
      </c>
      <c r="M1353" s="975" t="str">
        <f t="shared" ref="M1353:M1356" si="230">L1408</f>
        <v/>
      </c>
      <c r="N1353" s="1391" t="str">
        <f t="shared" ref="N1353:N1356" si="231">M1408</f>
        <v/>
      </c>
      <c r="O1353" s="19"/>
      <c r="P1353" s="343"/>
      <c r="Q1353" s="343"/>
      <c r="R1353" s="343"/>
      <c r="S1353" s="343"/>
      <c r="T1353" s="343"/>
      <c r="U1353" s="349"/>
      <c r="V1353" s="349"/>
    </row>
    <row r="1354" spans="1:22" s="534" customFormat="1" ht="12.75" hidden="1" customHeight="1" x14ac:dyDescent="0.3">
      <c r="A1354" s="343" t="str">
        <f>IF(P1354="","ausblenden","")</f>
        <v>ausblenden</v>
      </c>
      <c r="B1354" s="15"/>
      <c r="C1354" s="17"/>
      <c r="D1354" s="1386"/>
      <c r="E1354" s="947" t="s">
        <v>1527</v>
      </c>
      <c r="F1354" s="947"/>
      <c r="G1354" s="947"/>
      <c r="H1354" s="955" t="str">
        <f>EUconst_EUA</f>
        <v>EUA</v>
      </c>
      <c r="I1354" s="948"/>
      <c r="J1354" s="1165" t="str">
        <f>J1314</f>
        <v/>
      </c>
      <c r="K1354" s="975" t="str">
        <f t="shared" si="228"/>
        <v/>
      </c>
      <c r="L1354" s="975" t="str">
        <f t="shared" si="229"/>
        <v/>
      </c>
      <c r="M1354" s="975" t="str">
        <f t="shared" si="230"/>
        <v/>
      </c>
      <c r="N1354" s="1391" t="str">
        <f t="shared" si="231"/>
        <v/>
      </c>
      <c r="O1354" s="19"/>
      <c r="P1354" s="343"/>
      <c r="Q1354" s="343"/>
      <c r="R1354" s="343"/>
      <c r="S1354" s="343"/>
      <c r="T1354" s="343"/>
      <c r="U1354" s="349"/>
      <c r="V1354" s="349"/>
    </row>
    <row r="1355" spans="1:22" s="534" customFormat="1" ht="12.75" hidden="1" customHeight="1" x14ac:dyDescent="0.3">
      <c r="A1355" s="343" t="str">
        <f>IF(P1355="","ausblenden","")</f>
        <v>ausblenden</v>
      </c>
      <c r="B1355" s="15"/>
      <c r="C1355" s="17"/>
      <c r="D1355" s="1386"/>
      <c r="E1355" s="947" t="s">
        <v>1526</v>
      </c>
      <c r="F1355" s="947"/>
      <c r="G1355" s="947"/>
      <c r="H1355" s="956" t="s">
        <v>1112</v>
      </c>
      <c r="I1355" s="948"/>
      <c r="J1355" s="1211" t="str">
        <f>J1315</f>
        <v/>
      </c>
      <c r="K1355" s="1212" t="str">
        <f t="shared" si="228"/>
        <v/>
      </c>
      <c r="L1355" s="1212" t="str">
        <f t="shared" si="229"/>
        <v/>
      </c>
      <c r="M1355" s="1212" t="str">
        <f t="shared" si="230"/>
        <v/>
      </c>
      <c r="N1355" s="1392" t="str">
        <f t="shared" si="231"/>
        <v/>
      </c>
      <c r="O1355" s="19"/>
      <c r="P1355" s="343"/>
      <c r="Q1355" s="343"/>
      <c r="R1355" s="343"/>
      <c r="S1355" s="343"/>
      <c r="T1355" s="343"/>
      <c r="U1355" s="349"/>
      <c r="V1355" s="349"/>
    </row>
    <row r="1356" spans="1:22" s="534" customFormat="1" ht="12.75" hidden="1" customHeight="1" x14ac:dyDescent="0.3">
      <c r="A1356" s="343" t="str">
        <f>IF(P1356="","ausblenden","")</f>
        <v>ausblenden</v>
      </c>
      <c r="B1356" s="15"/>
      <c r="C1356" s="17"/>
      <c r="D1356" s="1386"/>
      <c r="E1356" s="950" t="s">
        <v>1528</v>
      </c>
      <c r="F1356" s="950"/>
      <c r="G1356" s="950"/>
      <c r="H1356" s="957" t="s">
        <v>1112</v>
      </c>
      <c r="I1356" s="951"/>
      <c r="J1356" s="1213" t="str">
        <f>J1316</f>
        <v/>
      </c>
      <c r="K1356" s="1214" t="str">
        <f t="shared" si="228"/>
        <v/>
      </c>
      <c r="L1356" s="1214" t="str">
        <f t="shared" si="229"/>
        <v/>
      </c>
      <c r="M1356" s="1214" t="str">
        <f t="shared" si="230"/>
        <v/>
      </c>
      <c r="N1356" s="1393" t="str">
        <f t="shared" si="231"/>
        <v/>
      </c>
      <c r="O1356" s="19"/>
      <c r="P1356" s="343"/>
      <c r="Q1356" s="343"/>
      <c r="R1356" s="343"/>
      <c r="S1356" s="343"/>
      <c r="T1356" s="343"/>
      <c r="U1356" s="349"/>
      <c r="V1356" s="349"/>
    </row>
    <row r="1357" spans="1:22" s="534" customFormat="1" ht="12.75" customHeight="1" x14ac:dyDescent="0.3">
      <c r="A1357" s="343"/>
      <c r="B1357" s="15"/>
      <c r="C1357" s="17"/>
      <c r="D1357" s="1386"/>
      <c r="E1357" s="514" t="str">
        <f>Translations!$B$1565</f>
        <v>Preliminärt tilldelningsvärde</v>
      </c>
      <c r="F1357" s="514"/>
      <c r="G1357" s="514"/>
      <c r="H1357" s="129" t="str">
        <f>EUconst_EUA</f>
        <v>EUA</v>
      </c>
      <c r="I1357" s="1151"/>
      <c r="J1357" s="1131" t="str">
        <f>IF($I1297="","",MAX(0,ROUND((SUM($M1300)*SUM(J1348)*SUM(J1355)*SUM(J1356)-SUM(J1352)-SUM(J1353)+SUM(J1354))*IF($H1300=TRUE,1,J$2517),0)))</f>
        <v/>
      </c>
      <c r="K1357" s="421" t="str">
        <f>IF($I1297="","",MAX(0,ROUND((SUM($M1300)*SUM(K1348)*SUM(K1355)*SUM(K1356)-SUM(K1352)-SUM(K1353)+SUM(K1354))*IF($H1300=TRUE,1,K$2517),0)))</f>
        <v/>
      </c>
      <c r="L1357" s="421" t="str">
        <f>IF($I1297="","",MAX(0,ROUND((SUM($M1300)*SUM(L1348)*SUM(L1355)*SUM(L1356)-SUM(L1352)-SUM(L1353)+SUM(L1354))*IF($H1300=TRUE,1,L$2517),0)))</f>
        <v/>
      </c>
      <c r="M1357" s="421" t="str">
        <f>IF($I1297="","",MAX(0,ROUND((SUM($M1300)*SUM(M1348)*SUM(M1355)*SUM(M1356)-SUM(M1352)-SUM(M1353)+SUM(M1354))*IF($H1300=TRUE,1,M$2517),0)))</f>
        <v/>
      </c>
      <c r="N1357" s="967" t="str">
        <f>IF($I1297="","",MAX(0,ROUND((SUM($M1300+IF(L1300=52,0.415,0))*SUM(N1348)*SUM(N1355)*SUM(N1356)-SUM(N1352)-SUM(N1353)+SUM(N1354))*IF($H1300=TRUE,1,N$2517),0)))</f>
        <v/>
      </c>
      <c r="O1357" s="19"/>
      <c r="P1357" s="343"/>
      <c r="Q1357" s="343"/>
      <c r="R1357" s="343"/>
      <c r="S1357" s="343"/>
      <c r="T1357" s="343"/>
      <c r="U1357" s="349"/>
      <c r="V1357" s="349"/>
    </row>
    <row r="1358" spans="1:22" s="534" customFormat="1" ht="12.75" customHeight="1" x14ac:dyDescent="0.3">
      <c r="A1358" s="343"/>
      <c r="B1358" s="15"/>
      <c r="C1358" s="17"/>
      <c r="D1358" s="1386"/>
      <c r="E1358" s="514" t="str">
        <f>Translations!$B$1569</f>
        <v>Skillnad i tilldelning</v>
      </c>
      <c r="F1358" s="514"/>
      <c r="G1358" s="514"/>
      <c r="H1358" s="129" t="str">
        <f>EUconst_EUA</f>
        <v>EUA</v>
      </c>
      <c r="I1358" s="1151"/>
      <c r="J1358" s="1131" t="str">
        <f>IF($I1297="","",ABS(SUM(J1357)-SUM(J1317)))</f>
        <v/>
      </c>
      <c r="K1358" s="421" t="str">
        <f>IF($I1297="","",ABS(SUM(K1357)-SUM(K1317)))</f>
        <v/>
      </c>
      <c r="L1358" s="421" t="str">
        <f>IF($I1297="","",ABS(SUM(L1357)-SUM(L1317)))</f>
        <v/>
      </c>
      <c r="M1358" s="421" t="str">
        <f>IF($I1297="","",ABS(SUM(M1357)-SUM(M1317)))</f>
        <v/>
      </c>
      <c r="N1358" s="967" t="str">
        <f>IF($I1297="","",ABS(SUM(N1357)-SUM(N1317)))</f>
        <v/>
      </c>
      <c r="O1358" s="19"/>
      <c r="P1358" s="343"/>
      <c r="Q1358" s="343"/>
      <c r="R1358" s="343"/>
      <c r="S1358" s="343"/>
      <c r="T1358" s="343"/>
      <c r="U1358" s="349"/>
      <c r="V1358" s="349"/>
    </row>
    <row r="1359" spans="1:22" s="534" customFormat="1" ht="12.75" customHeight="1" x14ac:dyDescent="0.3">
      <c r="A1359" s="343"/>
      <c r="B1359" s="15"/>
      <c r="C1359" s="17"/>
      <c r="D1359" s="1386"/>
      <c r="E1359" s="1419" t="str">
        <f>Translations!$B$1576</f>
        <v>Kriterium 4c: Är skillnaden minst 100 utsläppsrätter?</v>
      </c>
      <c r="F1359" s="1419"/>
      <c r="G1359" s="1419"/>
      <c r="H1359" s="1424" t="s">
        <v>1112</v>
      </c>
      <c r="I1359" s="1425"/>
      <c r="J1359" s="1426" t="str">
        <f>IF($I1297="","",J1358&gt;=100)</f>
        <v/>
      </c>
      <c r="K1359" s="1427" t="str">
        <f>IF($I1297="","",K1358&gt;=100)</f>
        <v/>
      </c>
      <c r="L1359" s="1427" t="str">
        <f>IF($I1297="","",L1358&gt;=100)</f>
        <v/>
      </c>
      <c r="M1359" s="1427" t="str">
        <f>IF($I1297="","",M1358&gt;=100)</f>
        <v/>
      </c>
      <c r="N1359" s="1428" t="str">
        <f>IF($I1297="","",N1358&gt;=100)</f>
        <v/>
      </c>
      <c r="O1359" s="19"/>
      <c r="P1359" s="165" t="str">
        <f>EUconst_CNTR_100EUA_HEAT&amp;I1297</f>
        <v>EUA100HEAT_</v>
      </c>
      <c r="Q1359" s="343"/>
      <c r="R1359" s="343"/>
      <c r="S1359" s="343"/>
      <c r="T1359" s="343"/>
      <c r="U1359" s="349"/>
      <c r="V1359" s="349"/>
    </row>
    <row r="1360" spans="1:22" s="534" customFormat="1" ht="5.15" customHeight="1" x14ac:dyDescent="0.3">
      <c r="A1360" s="343"/>
      <c r="B1360" s="15"/>
      <c r="C1360" s="17"/>
      <c r="D1360" s="1386"/>
      <c r="E1360" s="15"/>
      <c r="F1360" s="15"/>
      <c r="G1360" s="15"/>
      <c r="H1360" s="15"/>
      <c r="I1360" s="941"/>
      <c r="J1360" s="15"/>
      <c r="K1360" s="15"/>
      <c r="L1360" s="15"/>
      <c r="M1360" s="15"/>
      <c r="N1360" s="968"/>
      <c r="O1360" s="19"/>
      <c r="P1360" s="343"/>
      <c r="Q1360" s="343"/>
      <c r="R1360" s="343"/>
      <c r="S1360" s="343"/>
      <c r="T1360" s="343"/>
      <c r="U1360" s="349"/>
      <c r="V1360" s="349"/>
    </row>
    <row r="1361" spans="1:22" s="534" customFormat="1" ht="12.75" customHeight="1" x14ac:dyDescent="0.3">
      <c r="A1361" s="343"/>
      <c r="B1361" s="15"/>
      <c r="C1361" s="17"/>
      <c r="D1361" s="1386"/>
      <c r="E1361" s="42" t="str">
        <f>Translations!$B$1577</f>
        <v>Ändringar: HVC-korrigering</v>
      </c>
      <c r="F1361" s="188"/>
      <c r="G1361" s="188"/>
      <c r="H1361" s="30" t="str">
        <f>EUconst_Unit</f>
        <v>Enhet</v>
      </c>
      <c r="I1361" s="1157"/>
      <c r="J1361" s="1065">
        <f>J$2596</f>
        <v>2021</v>
      </c>
      <c r="K1361" s="350">
        <f>K$2596</f>
        <v>2022</v>
      </c>
      <c r="L1361" s="350">
        <f>L$2596</f>
        <v>2023</v>
      </c>
      <c r="M1361" s="350">
        <f>M$2596</f>
        <v>2024</v>
      </c>
      <c r="N1361" s="966">
        <f>N$2596</f>
        <v>2025</v>
      </c>
      <c r="O1361" s="19"/>
      <c r="P1361" s="343"/>
      <c r="Q1361" s="343"/>
      <c r="R1361" s="343"/>
      <c r="S1361" s="343"/>
      <c r="T1361" s="343"/>
      <c r="U1361" s="349"/>
      <c r="V1361" s="349"/>
    </row>
    <row r="1362" spans="1:22" s="534" customFormat="1" ht="12.75" hidden="1" customHeight="1" x14ac:dyDescent="0.3">
      <c r="A1362" s="343" t="str">
        <f>IF(P1362="","ausblenden","")</f>
        <v>ausblenden</v>
      </c>
      <c r="B1362" s="15"/>
      <c r="C1362" s="17"/>
      <c r="D1362" s="1386"/>
      <c r="E1362" s="514" t="s">
        <v>1918</v>
      </c>
      <c r="F1362" s="514"/>
      <c r="G1362" s="514"/>
      <c r="H1362" s="917" t="str">
        <f>H1348</f>
        <v>ton</v>
      </c>
      <c r="I1362" s="514"/>
      <c r="J1362" s="1152" t="str">
        <f>J1311</f>
        <v/>
      </c>
      <c r="K1362" s="943" t="str">
        <f t="shared" ref="K1362:K1364" si="232">J1406</f>
        <v/>
      </c>
      <c r="L1362" s="943" t="str">
        <f t="shared" ref="L1362:L1364" si="233">K1406</f>
        <v/>
      </c>
      <c r="M1362" s="943" t="str">
        <f t="shared" ref="M1362:M1364" si="234">L1406</f>
        <v/>
      </c>
      <c r="N1362" s="1389" t="str">
        <f t="shared" ref="N1362:N1364" si="235">M1406</f>
        <v/>
      </c>
      <c r="O1362" s="19"/>
      <c r="P1362" s="343"/>
      <c r="Q1362" s="343"/>
      <c r="R1362" s="343"/>
      <c r="S1362" s="343"/>
      <c r="T1362" s="343"/>
      <c r="U1362" s="349"/>
      <c r="V1362" s="349"/>
    </row>
    <row r="1363" spans="1:22" s="534" customFormat="1" ht="12.75" hidden="1" customHeight="1" x14ac:dyDescent="0.3">
      <c r="A1363" s="343" t="str">
        <f>IF(P1363="","ausblenden","")</f>
        <v>ausblenden</v>
      </c>
      <c r="B1363" s="15"/>
      <c r="C1363" s="17"/>
      <c r="D1363" s="1386"/>
      <c r="E1363" s="944" t="s">
        <v>339</v>
      </c>
      <c r="F1363" s="944"/>
      <c r="G1363" s="944"/>
      <c r="H1363" s="954" t="str">
        <f>EUconst_EUA</f>
        <v>EUA</v>
      </c>
      <c r="I1363" s="945"/>
      <c r="J1363" s="1209" t="str">
        <f>J1312</f>
        <v/>
      </c>
      <c r="K1363" s="1210" t="str">
        <f t="shared" si="232"/>
        <v/>
      </c>
      <c r="L1363" s="1210" t="str">
        <f t="shared" si="233"/>
        <v/>
      </c>
      <c r="M1363" s="1210" t="str">
        <f t="shared" si="234"/>
        <v/>
      </c>
      <c r="N1363" s="1390" t="str">
        <f t="shared" si="235"/>
        <v/>
      </c>
      <c r="O1363" s="19"/>
      <c r="P1363" s="343"/>
      <c r="Q1363" s="343"/>
      <c r="R1363" s="343"/>
      <c r="S1363" s="343"/>
      <c r="T1363" s="343"/>
      <c r="U1363" s="349"/>
      <c r="V1363" s="349"/>
    </row>
    <row r="1364" spans="1:22" s="534" customFormat="1" ht="12.75" hidden="1" customHeight="1" x14ac:dyDescent="0.3">
      <c r="A1364" s="343" t="str">
        <f>IF(P1364="","ausblenden","")</f>
        <v>ausblenden</v>
      </c>
      <c r="B1364" s="15"/>
      <c r="C1364" s="17"/>
      <c r="D1364" s="1386"/>
      <c r="E1364" s="1433" t="s">
        <v>1560</v>
      </c>
      <c r="F1364" s="1433"/>
      <c r="G1364" s="1433"/>
      <c r="H1364" s="1434" t="str">
        <f>EUconst_EUA</f>
        <v>EUA</v>
      </c>
      <c r="I1364" s="1435"/>
      <c r="J1364" s="1436" t="str">
        <f>J1313</f>
        <v/>
      </c>
      <c r="K1364" s="1437" t="str">
        <f t="shared" si="232"/>
        <v/>
      </c>
      <c r="L1364" s="1437" t="str">
        <f t="shared" si="233"/>
        <v/>
      </c>
      <c r="M1364" s="1437" t="str">
        <f t="shared" si="234"/>
        <v/>
      </c>
      <c r="N1364" s="1438" t="str">
        <f t="shared" si="235"/>
        <v/>
      </c>
      <c r="O1364" s="19"/>
      <c r="P1364" s="343"/>
      <c r="Q1364" s="343"/>
      <c r="R1364" s="343"/>
      <c r="S1364" s="343"/>
      <c r="T1364" s="343"/>
      <c r="U1364" s="349"/>
      <c r="V1364" s="349"/>
    </row>
    <row r="1365" spans="1:22" s="534" customFormat="1" ht="12.75" customHeight="1" x14ac:dyDescent="0.3">
      <c r="A1365" s="343"/>
      <c r="B1365" s="15"/>
      <c r="C1365" s="17"/>
      <c r="D1365" s="1386"/>
      <c r="E1365" s="944" t="str">
        <f>Translations!$B$1482</f>
        <v>Genomsnittligt årligt värde</v>
      </c>
      <c r="F1365" s="944"/>
      <c r="G1365" s="944"/>
      <c r="H1365" s="954" t="str">
        <f>EUconst_EUA</f>
        <v>EUA</v>
      </c>
      <c r="I1365" s="945"/>
      <c r="J1365" s="1445" t="str">
        <f>IF(L1300=42,INDEX(H_SpecialBM!J:J,MATCH($P1365,H_SpecialBM!$Q:$Q,0)),"")</f>
        <v/>
      </c>
      <c r="K1365" s="1446" t="str">
        <f>IF(L1300=42,INDEX(H_SpecialBM!K:K,MATCH($P1365,H_SpecialBM!$Q:$Q,0)),"")</f>
        <v/>
      </c>
      <c r="L1365" s="1446" t="str">
        <f>IF(L1300=42,INDEX(H_SpecialBM!L:L,MATCH($P1365,H_SpecialBM!$Q:$Q,0)),"")</f>
        <v/>
      </c>
      <c r="M1365" s="1446" t="str">
        <f>IF(L1300=42,INDEX(H_SpecialBM!M:M,MATCH($P1365,H_SpecialBM!$Q:$Q,0)),"")</f>
        <v/>
      </c>
      <c r="N1365" s="1447" t="str">
        <f>IF(L1300=42,INDEX(H_SpecialBM!N:N,MATCH($P1365,H_SpecialBM!$Q:$Q,0)),"")</f>
        <v/>
      </c>
      <c r="O1365" s="19"/>
      <c r="P1365" s="165" t="str">
        <f>EUconst_CNTR_HVCInitial &amp; INDEX(EUconst_BMlistNames,42)</f>
        <v>HVCIni_Ångkrackning</v>
      </c>
      <c r="Q1365" s="343"/>
      <c r="R1365" s="343"/>
      <c r="S1365" s="343"/>
      <c r="T1365" s="343"/>
      <c r="U1365" s="349"/>
      <c r="V1365" s="349"/>
    </row>
    <row r="1366" spans="1:22" s="534" customFormat="1" ht="12.75" customHeight="1" x14ac:dyDescent="0.3">
      <c r="A1366" s="343"/>
      <c r="B1366" s="15"/>
      <c r="C1366" s="17"/>
      <c r="D1366" s="1386"/>
      <c r="E1366" s="947" t="str">
        <f>Translations!$B$1571</f>
        <v>Ändring jämfört med värde enligt nationella genomförandeåtgärder</v>
      </c>
      <c r="F1366" s="947"/>
      <c r="G1366" s="947"/>
      <c r="H1366" s="1370" t="s">
        <v>1112</v>
      </c>
      <c r="I1366" s="1371"/>
      <c r="J1366" s="1415" t="str">
        <f>IF(L1300=42,INDEX(H_SpecialBM!J:J,MATCH($P1366,H_SpecialBM!$Q:$Q,0)),"")</f>
        <v/>
      </c>
      <c r="K1366" s="1416" t="str">
        <f>IF(L1300=42,INDEX(H_SpecialBM!K:K,MATCH($P1366,H_SpecialBM!$Q:$Q,0)),"")</f>
        <v/>
      </c>
      <c r="L1366" s="1416" t="str">
        <f>IF(L1300=42,INDEX(H_SpecialBM!L:L,MATCH($P1366,H_SpecialBM!$Q:$Q,0)),"")</f>
        <v/>
      </c>
      <c r="M1366" s="1416" t="str">
        <f>IF(L1300=42,INDEX(H_SpecialBM!M:M,MATCH($P1366,H_SpecialBM!$Q:$Q,0)),"")</f>
        <v/>
      </c>
      <c r="N1366" s="1417" t="str">
        <f>IF(L1300=42,INDEX(H_SpecialBM!N:N,MATCH($P1366,H_SpecialBM!$Q:$Q,0)),"")</f>
        <v/>
      </c>
      <c r="O1366" s="19"/>
      <c r="P1366" s="165" t="str">
        <f>EUconst_CNTR_RelThreshold &amp; P1368</f>
        <v>RelThresh_HVCprelim_</v>
      </c>
      <c r="Q1366" s="343"/>
      <c r="R1366" s="343"/>
      <c r="S1366" s="343"/>
      <c r="T1366" s="343"/>
      <c r="U1366" s="349"/>
      <c r="V1366" s="349"/>
    </row>
    <row r="1367" spans="1:22" s="534" customFormat="1" ht="12.75" customHeight="1" x14ac:dyDescent="0.3">
      <c r="A1367" s="343"/>
      <c r="B1367" s="15"/>
      <c r="C1367" s="17"/>
      <c r="D1367" s="1386"/>
      <c r="E1367" s="1418" t="str">
        <f>Translations!$B$1578</f>
        <v>Kriterium 3d: Har relativa tröskelvärden överskridits?</v>
      </c>
      <c r="F1367" s="1418"/>
      <c r="G1367" s="1418"/>
      <c r="H1367" s="1423" t="s">
        <v>1112</v>
      </c>
      <c r="I1367" s="1423"/>
      <c r="J1367" s="1420" t="str">
        <f>IF(L1300=42,INDEX(H_SpecialBM!V:V,MATCH($P1367,H_SpecialBM!$Q:$Q,0)),"")</f>
        <v/>
      </c>
      <c r="K1367" s="1421" t="str">
        <f>IF(L1300=42,INDEX(H_SpecialBM!W:W,MATCH($P1367,H_SpecialBM!$Q:$Q,0)),"")</f>
        <v/>
      </c>
      <c r="L1367" s="1421" t="str">
        <f>IF(L1300=42,INDEX(H_SpecialBM!X:X,MATCH($P1367,H_SpecialBM!$Q:$Q,0)),"")</f>
        <v/>
      </c>
      <c r="M1367" s="1421" t="str">
        <f>IF(L1300=42,INDEX(H_SpecialBM!Y:Y,MATCH($P1367,H_SpecialBM!$Q:$Q,0)),"")</f>
        <v/>
      </c>
      <c r="N1367" s="1422" t="str">
        <f>IF(L1300=42,INDEX(H_SpecialBM!Z:Z,MATCH($P1367,H_SpecialBM!$Q:$Q,0)),"")</f>
        <v/>
      </c>
      <c r="O1367" s="19"/>
      <c r="P1367" s="165" t="str">
        <f>P1366</f>
        <v>RelThresh_HVCprelim_</v>
      </c>
      <c r="Q1367" s="343"/>
      <c r="R1367" s="343"/>
      <c r="S1367" s="343"/>
      <c r="T1367" s="343"/>
      <c r="U1367" s="349"/>
      <c r="V1367" s="349"/>
    </row>
    <row r="1368" spans="1:22" s="534" customFormat="1" ht="12.75" customHeight="1" x14ac:dyDescent="0.3">
      <c r="A1368" s="343" t="str">
        <f>IF(P1368="","ausblenden","")</f>
        <v/>
      </c>
      <c r="B1368" s="15"/>
      <c r="C1368" s="17"/>
      <c r="D1368" s="1386"/>
      <c r="E1368" s="950" t="str">
        <f>Translations!$B$1568</f>
        <v>Preliminärt värde</v>
      </c>
      <c r="F1368" s="950"/>
      <c r="G1368" s="950"/>
      <c r="H1368" s="957" t="str">
        <f>EUconst_EUA</f>
        <v>EUA</v>
      </c>
      <c r="I1368" s="951"/>
      <c r="J1368" s="1381" t="str">
        <f>IF($L1300=42,INDEX(H_SpecialBM!J:J,MATCH($P1368,H_SpecialBM!$Q:$Q,0)),"")</f>
        <v/>
      </c>
      <c r="K1368" s="1382" t="str">
        <f>IF($L1300=42,INDEX(H_SpecialBM!K:K,MATCH($P1368,H_SpecialBM!$Q:$Q,0)),"")</f>
        <v/>
      </c>
      <c r="L1368" s="1382" t="str">
        <f>IF($L1300=42,INDEX(H_SpecialBM!L:L,MATCH($P1368,H_SpecialBM!$Q:$Q,0)),"")</f>
        <v/>
      </c>
      <c r="M1368" s="1382" t="str">
        <f>IF($L1300=42,INDEX(H_SpecialBM!M:M,MATCH($P1368,H_SpecialBM!$Q:$Q,0)),"")</f>
        <v/>
      </c>
      <c r="N1368" s="1396" t="str">
        <f>IF($L1300=42,INDEX(H_SpecialBM!N:N,MATCH($P1368,H_SpecialBM!$Q:$Q,0)),"")</f>
        <v/>
      </c>
      <c r="O1368" s="19"/>
      <c r="P1368" s="165" t="str">
        <f>EUconst_CNTR_HVCprelim</f>
        <v>HVCprelim_</v>
      </c>
      <c r="Q1368" s="343"/>
      <c r="R1368" s="343"/>
      <c r="S1368" s="343"/>
      <c r="T1368" s="343"/>
      <c r="U1368" s="349"/>
      <c r="V1368" s="349"/>
    </row>
    <row r="1369" spans="1:22" s="534" customFormat="1" ht="12.75" hidden="1" customHeight="1" x14ac:dyDescent="0.3">
      <c r="A1369" s="343" t="str">
        <f>IF(P1369="","ausblenden","")</f>
        <v>ausblenden</v>
      </c>
      <c r="B1369" s="15"/>
      <c r="C1369" s="17"/>
      <c r="D1369" s="1386"/>
      <c r="E1369" s="1376" t="s">
        <v>1526</v>
      </c>
      <c r="F1369" s="1376"/>
      <c r="G1369" s="1376"/>
      <c r="H1369" s="1378" t="s">
        <v>1112</v>
      </c>
      <c r="I1369" s="1377"/>
      <c r="J1369" s="1379" t="str">
        <f>J1315</f>
        <v/>
      </c>
      <c r="K1369" s="1380" t="str">
        <f t="shared" ref="K1369:K1370" si="236">J1410</f>
        <v/>
      </c>
      <c r="L1369" s="1380" t="str">
        <f t="shared" ref="L1369:L1370" si="237">K1410</f>
        <v/>
      </c>
      <c r="M1369" s="1380" t="str">
        <f t="shared" ref="M1369:M1370" si="238">L1410</f>
        <v/>
      </c>
      <c r="N1369" s="1397" t="str">
        <f t="shared" ref="N1369:N1370" si="239">M1410</f>
        <v/>
      </c>
      <c r="O1369" s="19"/>
      <c r="P1369" s="343"/>
      <c r="Q1369" s="343"/>
      <c r="R1369" s="343"/>
      <c r="S1369" s="343"/>
      <c r="T1369" s="343"/>
      <c r="U1369" s="349"/>
      <c r="V1369" s="349"/>
    </row>
    <row r="1370" spans="1:22" s="534" customFormat="1" ht="12.75" hidden="1" customHeight="1" x14ac:dyDescent="0.3">
      <c r="A1370" s="343" t="str">
        <f>IF(P1370="","ausblenden","")</f>
        <v>ausblenden</v>
      </c>
      <c r="B1370" s="15"/>
      <c r="C1370" s="17"/>
      <c r="D1370" s="1386"/>
      <c r="E1370" s="950" t="s">
        <v>1528</v>
      </c>
      <c r="F1370" s="950"/>
      <c r="G1370" s="950"/>
      <c r="H1370" s="957" t="s">
        <v>1112</v>
      </c>
      <c r="I1370" s="951"/>
      <c r="J1370" s="1213" t="str">
        <f>J1316</f>
        <v/>
      </c>
      <c r="K1370" s="1214" t="str">
        <f t="shared" si="236"/>
        <v/>
      </c>
      <c r="L1370" s="1214" t="str">
        <f t="shared" si="237"/>
        <v/>
      </c>
      <c r="M1370" s="1214" t="str">
        <f t="shared" si="238"/>
        <v/>
      </c>
      <c r="N1370" s="1393" t="str">
        <f t="shared" si="239"/>
        <v/>
      </c>
      <c r="O1370" s="19"/>
      <c r="P1370" s="343"/>
      <c r="Q1370" s="343"/>
      <c r="R1370" s="343"/>
      <c r="S1370" s="343"/>
      <c r="T1370" s="343"/>
      <c r="U1370" s="349"/>
      <c r="V1370" s="349"/>
    </row>
    <row r="1371" spans="1:22" s="534" customFormat="1" ht="12.75" customHeight="1" x14ac:dyDescent="0.3">
      <c r="A1371" s="343"/>
      <c r="B1371" s="15"/>
      <c r="C1371" s="17"/>
      <c r="D1371" s="1386"/>
      <c r="E1371" s="514" t="str">
        <f>Translations!$B$1565</f>
        <v>Preliminärt tilldelningsvärde</v>
      </c>
      <c r="F1371" s="514"/>
      <c r="G1371" s="514"/>
      <c r="H1371" s="129" t="str">
        <f>EUconst_EUA</f>
        <v>EUA</v>
      </c>
      <c r="I1371" s="1151"/>
      <c r="J1371" s="1131" t="str">
        <f>IF(J1368="","",MAX(0,ROUND((SUM($M1300)*SUM(J1362)*SUM(J1369)*SUM(J1370)-SUM(J1363)-SUM(J1364)+SUM(J1368))*IF($H1300=TRUE,1,J$2517),0)))</f>
        <v/>
      </c>
      <c r="K1371" s="421" t="str">
        <f>IF(K1368="","",MAX(0,ROUND((SUM($M1300)*SUM(K1362)*SUM(K1369)*SUM(K1370)-SUM(K1363)-SUM(K1364)+SUM(K1368))*IF($H1300=TRUE,1,K$2517),0)))</f>
        <v/>
      </c>
      <c r="L1371" s="421" t="str">
        <f>IF(L1368="","",MAX(0,ROUND((SUM($M1300)*SUM(L1362)*SUM(L1369)*SUM(L1370)-SUM(L1363)-SUM(L1364)+SUM(L1368))*IF($H1300=TRUE,1,L$2517),0)))</f>
        <v/>
      </c>
      <c r="M1371" s="421" t="str">
        <f>IF(M1368="","",MAX(0,ROUND((SUM($M1300)*SUM(M1362)*SUM(M1369)*SUM(M1370)-SUM(M1363)-SUM(M1364)+SUM(M1368))*IF($H1300=TRUE,1,M$2517),0)))</f>
        <v/>
      </c>
      <c r="N1371" s="967" t="str">
        <f>IF(N1368="","",MAX(0,ROUND((SUM($M1300)*SUM(N1362)*SUM(N1369)*SUM(N1370)-SUM(N1363)-SUM(N1364)+SUM(N1368))*IF($H1300=TRUE,1,N$2517),0)))</f>
        <v/>
      </c>
      <c r="O1371" s="19"/>
      <c r="P1371" s="343"/>
      <c r="Q1371" s="343"/>
      <c r="R1371" s="343"/>
      <c r="S1371" s="343"/>
      <c r="T1371" s="343"/>
      <c r="U1371" s="349"/>
      <c r="V1371" s="349"/>
    </row>
    <row r="1372" spans="1:22" s="534" customFormat="1" ht="12.75" customHeight="1" x14ac:dyDescent="0.3">
      <c r="A1372" s="343"/>
      <c r="B1372" s="15"/>
      <c r="C1372" s="17"/>
      <c r="D1372" s="1386"/>
      <c r="E1372" s="514" t="str">
        <f>Translations!$B$1569</f>
        <v>Skillnad i tilldelning</v>
      </c>
      <c r="F1372" s="514"/>
      <c r="G1372" s="514"/>
      <c r="H1372" s="129" t="str">
        <f>EUconst_EUA</f>
        <v>EUA</v>
      </c>
      <c r="I1372" s="1151"/>
      <c r="J1372" s="1131" t="str">
        <f>IF(J1371="","",ABS(SUM(J1371)-SUM(J1317)))</f>
        <v/>
      </c>
      <c r="K1372" s="421" t="str">
        <f>IF(K1371="","",ABS(SUM(K1371)-SUM(K1317)))</f>
        <v/>
      </c>
      <c r="L1372" s="421" t="str">
        <f>IF(L1371="","",ABS(SUM(L1371)-SUM(L1317)))</f>
        <v/>
      </c>
      <c r="M1372" s="421" t="str">
        <f>IF(M1371="","",ABS(SUM(M1371)-SUM(M1317)))</f>
        <v/>
      </c>
      <c r="N1372" s="967" t="str">
        <f>IF(N1371="","",ABS(SUM(N1371)-SUM(N1317)))</f>
        <v/>
      </c>
      <c r="O1372" s="19"/>
      <c r="P1372" s="343"/>
      <c r="Q1372" s="343"/>
      <c r="R1372" s="343"/>
      <c r="S1372" s="343"/>
      <c r="T1372" s="343"/>
      <c r="U1372" s="349"/>
      <c r="V1372" s="349"/>
    </row>
    <row r="1373" spans="1:22" s="534" customFormat="1" ht="12.75" customHeight="1" x14ac:dyDescent="0.3">
      <c r="A1373" s="343"/>
      <c r="B1373" s="15"/>
      <c r="C1373" s="17"/>
      <c r="D1373" s="1386"/>
      <c r="E1373" s="1419" t="str">
        <f>Translations!$B$1579</f>
        <v>Kriterium 4d: Är skillnaden minst 100 utsläppsrätter?</v>
      </c>
      <c r="F1373" s="514"/>
      <c r="G1373" s="514"/>
      <c r="H1373" s="1424" t="s">
        <v>1112</v>
      </c>
      <c r="I1373" s="1425"/>
      <c r="J1373" s="1426" t="str">
        <f>IF(J1372="","",J1372&gt;=100)</f>
        <v/>
      </c>
      <c r="K1373" s="1427" t="str">
        <f>IF(K1372="","",K1372&gt;=100)</f>
        <v/>
      </c>
      <c r="L1373" s="1427" t="str">
        <f>IF(L1372="","",L1372&gt;=100)</f>
        <v/>
      </c>
      <c r="M1373" s="1427" t="str">
        <f>IF(M1372="","",M1372&gt;=100)</f>
        <v/>
      </c>
      <c r="N1373" s="1428" t="str">
        <f>IF(N1372="","",N1372&gt;=100)</f>
        <v/>
      </c>
      <c r="O1373" s="19"/>
      <c r="P1373" s="165" t="str">
        <f>EUconst_CNTR_100EUA_HVC&amp;I1297</f>
        <v>EUA100HVC_</v>
      </c>
      <c r="Q1373" s="343"/>
      <c r="R1373" s="343"/>
      <c r="S1373" s="343"/>
      <c r="T1373" s="343"/>
      <c r="U1373" s="349"/>
      <c r="V1373" s="349"/>
    </row>
    <row r="1374" spans="1:22" s="534" customFormat="1" ht="5.15" customHeight="1" x14ac:dyDescent="0.3">
      <c r="A1374" s="343"/>
      <c r="B1374" s="15"/>
      <c r="C1374" s="17"/>
      <c r="D1374" s="1386"/>
      <c r="E1374" s="15"/>
      <c r="F1374" s="15"/>
      <c r="G1374" s="15"/>
      <c r="H1374" s="15"/>
      <c r="I1374" s="941"/>
      <c r="J1374" s="15"/>
      <c r="K1374" s="15"/>
      <c r="L1374" s="15"/>
      <c r="M1374" s="15"/>
      <c r="N1374" s="968"/>
      <c r="O1374" s="19"/>
      <c r="P1374" s="343"/>
      <c r="Q1374" s="343"/>
      <c r="R1374" s="343"/>
      <c r="S1374" s="343"/>
      <c r="T1374" s="343"/>
      <c r="U1374" s="349"/>
      <c r="V1374" s="349"/>
    </row>
    <row r="1375" spans="1:22" s="534" customFormat="1" ht="12.75" customHeight="1" x14ac:dyDescent="0.3">
      <c r="A1375" s="343"/>
      <c r="B1375" s="15"/>
      <c r="C1375" s="17"/>
      <c r="D1375" s="1386"/>
      <c r="E1375" s="42" t="str">
        <f>Translations!$B$1580</f>
        <v>Ändringar: VCM-korrigering</v>
      </c>
      <c r="F1375" s="188"/>
      <c r="G1375" s="188"/>
      <c r="H1375" s="30" t="str">
        <f>EUconst_Unit</f>
        <v>Enhet</v>
      </c>
      <c r="I1375" s="1157"/>
      <c r="J1375" s="1065">
        <f>J$2596</f>
        <v>2021</v>
      </c>
      <c r="K1375" s="350">
        <f>K$2596</f>
        <v>2022</v>
      </c>
      <c r="L1375" s="350">
        <f>L$2596</f>
        <v>2023</v>
      </c>
      <c r="M1375" s="350">
        <f>M$2596</f>
        <v>2024</v>
      </c>
      <c r="N1375" s="966">
        <f>N$2596</f>
        <v>2025</v>
      </c>
      <c r="O1375" s="19"/>
      <c r="P1375" s="343"/>
      <c r="Q1375" s="343"/>
      <c r="R1375" s="343"/>
      <c r="S1375" s="343"/>
      <c r="T1375" s="343"/>
      <c r="U1375" s="349"/>
      <c r="V1375" s="349"/>
    </row>
    <row r="1376" spans="1:22" s="534" customFormat="1" ht="12.75" hidden="1" customHeight="1" x14ac:dyDescent="0.3">
      <c r="A1376" s="343" t="str">
        <f>IF(P1376="","ausblenden","")</f>
        <v>ausblenden</v>
      </c>
      <c r="B1376" s="15"/>
      <c r="C1376" s="17"/>
      <c r="D1376" s="1386"/>
      <c r="E1376" s="514" t="s">
        <v>1918</v>
      </c>
      <c r="F1376" s="514"/>
      <c r="G1376" s="514"/>
      <c r="H1376" s="917" t="str">
        <f>H1362</f>
        <v>ton</v>
      </c>
      <c r="I1376" s="514"/>
      <c r="J1376" s="1152" t="str">
        <f>J1311</f>
        <v/>
      </c>
      <c r="K1376" s="943" t="str">
        <f t="shared" ref="K1376:K1380" si="240">J1406</f>
        <v/>
      </c>
      <c r="L1376" s="943" t="str">
        <f t="shared" ref="L1376:L1380" si="241">K1406</f>
        <v/>
      </c>
      <c r="M1376" s="943" t="str">
        <f t="shared" ref="M1376:M1380" si="242">L1406</f>
        <v/>
      </c>
      <c r="N1376" s="1389" t="str">
        <f t="shared" ref="N1376:N1380" si="243">M1406</f>
        <v/>
      </c>
      <c r="O1376" s="19"/>
      <c r="P1376" s="343"/>
      <c r="Q1376" s="343"/>
      <c r="R1376" s="343"/>
      <c r="S1376" s="343"/>
      <c r="T1376" s="343"/>
      <c r="U1376" s="349"/>
      <c r="V1376" s="349"/>
    </row>
    <row r="1377" spans="1:22" s="534" customFormat="1" ht="12.75" hidden="1" customHeight="1" x14ac:dyDescent="0.3">
      <c r="A1377" s="343" t="str">
        <f>IF(P1377="","ausblenden","")</f>
        <v>ausblenden</v>
      </c>
      <c r="B1377" s="15"/>
      <c r="C1377" s="17"/>
      <c r="D1377" s="1386"/>
      <c r="E1377" s="944" t="s">
        <v>339</v>
      </c>
      <c r="F1377" s="944"/>
      <c r="G1377" s="944"/>
      <c r="H1377" s="954" t="str">
        <f>EUconst_EUA</f>
        <v>EUA</v>
      </c>
      <c r="I1377" s="945"/>
      <c r="J1377" s="1209" t="str">
        <f>J1312</f>
        <v/>
      </c>
      <c r="K1377" s="1210" t="str">
        <f t="shared" si="240"/>
        <v/>
      </c>
      <c r="L1377" s="1210" t="str">
        <f t="shared" si="241"/>
        <v/>
      </c>
      <c r="M1377" s="1210" t="str">
        <f t="shared" si="242"/>
        <v/>
      </c>
      <c r="N1377" s="1390" t="str">
        <f t="shared" si="243"/>
        <v/>
      </c>
      <c r="O1377" s="19"/>
      <c r="P1377" s="343"/>
      <c r="Q1377" s="343"/>
      <c r="R1377" s="343"/>
      <c r="S1377" s="343"/>
      <c r="T1377" s="343"/>
      <c r="U1377" s="349"/>
      <c r="V1377" s="349"/>
    </row>
    <row r="1378" spans="1:22" s="534" customFormat="1" ht="12.75" hidden="1" customHeight="1" x14ac:dyDescent="0.3">
      <c r="A1378" s="343" t="str">
        <f>IF(P1378="","ausblenden","")</f>
        <v>ausblenden</v>
      </c>
      <c r="B1378" s="15"/>
      <c r="C1378" s="17"/>
      <c r="D1378" s="1386"/>
      <c r="E1378" s="947" t="s">
        <v>1560</v>
      </c>
      <c r="F1378" s="947"/>
      <c r="G1378" s="947"/>
      <c r="H1378" s="955" t="str">
        <f>EUconst_EUA</f>
        <v>EUA</v>
      </c>
      <c r="I1378" s="948"/>
      <c r="J1378" s="1165" t="str">
        <f>J1313</f>
        <v/>
      </c>
      <c r="K1378" s="975" t="str">
        <f t="shared" si="240"/>
        <v/>
      </c>
      <c r="L1378" s="975" t="str">
        <f t="shared" si="241"/>
        <v/>
      </c>
      <c r="M1378" s="975" t="str">
        <f t="shared" si="242"/>
        <v/>
      </c>
      <c r="N1378" s="1391" t="str">
        <f t="shared" si="243"/>
        <v/>
      </c>
      <c r="O1378" s="19"/>
      <c r="P1378" s="343"/>
      <c r="Q1378" s="343"/>
      <c r="R1378" s="343"/>
      <c r="S1378" s="343"/>
      <c r="T1378" s="343"/>
      <c r="U1378" s="349"/>
      <c r="V1378" s="349"/>
    </row>
    <row r="1379" spans="1:22" s="534" customFormat="1" ht="12.75" hidden="1" customHeight="1" x14ac:dyDescent="0.3">
      <c r="A1379" s="343" t="str">
        <f>IF(P1379="","ausblenden","")</f>
        <v>ausblenden</v>
      </c>
      <c r="B1379" s="15"/>
      <c r="C1379" s="17"/>
      <c r="D1379" s="1386"/>
      <c r="E1379" s="947" t="s">
        <v>1527</v>
      </c>
      <c r="F1379" s="947"/>
      <c r="G1379" s="947"/>
      <c r="H1379" s="955" t="str">
        <f>EUconst_EUA</f>
        <v>EUA</v>
      </c>
      <c r="I1379" s="948"/>
      <c r="J1379" s="1165" t="str">
        <f>J1314</f>
        <v/>
      </c>
      <c r="K1379" s="975" t="str">
        <f t="shared" si="240"/>
        <v/>
      </c>
      <c r="L1379" s="975" t="str">
        <f t="shared" si="241"/>
        <v/>
      </c>
      <c r="M1379" s="975" t="str">
        <f t="shared" si="242"/>
        <v/>
      </c>
      <c r="N1379" s="1391" t="str">
        <f t="shared" si="243"/>
        <v/>
      </c>
      <c r="O1379" s="19"/>
      <c r="P1379" s="343"/>
      <c r="Q1379" s="343"/>
      <c r="R1379" s="343"/>
      <c r="S1379" s="343"/>
      <c r="T1379" s="343"/>
      <c r="U1379" s="349"/>
      <c r="V1379" s="349"/>
    </row>
    <row r="1380" spans="1:22" s="534" customFormat="1" ht="12.75" hidden="1" customHeight="1" x14ac:dyDescent="0.3">
      <c r="A1380" s="343" t="str">
        <f>IF(P1380="","ausblenden","")</f>
        <v>ausblenden</v>
      </c>
      <c r="B1380" s="15"/>
      <c r="C1380" s="17"/>
      <c r="D1380" s="1386"/>
      <c r="E1380" s="1433" t="s">
        <v>1526</v>
      </c>
      <c r="F1380" s="1433"/>
      <c r="G1380" s="1433"/>
      <c r="H1380" s="1448" t="s">
        <v>1112</v>
      </c>
      <c r="I1380" s="1435"/>
      <c r="J1380" s="1449" t="str">
        <f>J1315</f>
        <v/>
      </c>
      <c r="K1380" s="1450" t="str">
        <f t="shared" si="240"/>
        <v/>
      </c>
      <c r="L1380" s="1450" t="str">
        <f t="shared" si="241"/>
        <v/>
      </c>
      <c r="M1380" s="1450" t="str">
        <f t="shared" si="242"/>
        <v/>
      </c>
      <c r="N1380" s="1451" t="str">
        <f t="shared" si="243"/>
        <v/>
      </c>
      <c r="O1380" s="19"/>
      <c r="P1380" s="343"/>
      <c r="Q1380" s="343"/>
      <c r="R1380" s="343"/>
      <c r="S1380" s="343"/>
      <c r="T1380" s="343"/>
      <c r="U1380" s="349"/>
      <c r="V1380" s="349"/>
    </row>
    <row r="1381" spans="1:22" s="534" customFormat="1" ht="12.75" customHeight="1" x14ac:dyDescent="0.3">
      <c r="A1381" s="343"/>
      <c r="B1381" s="15"/>
      <c r="C1381" s="17"/>
      <c r="D1381" s="1386"/>
      <c r="E1381" s="944" t="str">
        <f>Translations!$B$1482</f>
        <v>Genomsnittligt årligt värde</v>
      </c>
      <c r="F1381" s="944"/>
      <c r="G1381" s="944"/>
      <c r="H1381" s="627" t="s">
        <v>1112</v>
      </c>
      <c r="I1381" s="945"/>
      <c r="J1381" s="1439" t="str">
        <f>IF(L1300=47,INDEX(H_SpecialBM!J:J,MATCH($P1381,H_SpecialBM!$Q:$Q,0)),"")</f>
        <v/>
      </c>
      <c r="K1381" s="1440" t="str">
        <f>IF(L1300=47,INDEX(H_SpecialBM!K:K,MATCH($P1381,H_SpecialBM!$Q:$Q,0)),"")</f>
        <v/>
      </c>
      <c r="L1381" s="1440" t="str">
        <f>IF(L1300=47,INDEX(H_SpecialBM!L:L,MATCH($P1381,H_SpecialBM!$Q:$Q,0)),"")</f>
        <v/>
      </c>
      <c r="M1381" s="1440" t="str">
        <f>IF(L1300=47,INDEX(H_SpecialBM!M:M,MATCH($P1381,H_SpecialBM!$Q:$Q,0)),"")</f>
        <v/>
      </c>
      <c r="N1381" s="1441" t="str">
        <f>IF(L1300=47,INDEX(H_SpecialBM!N:N,MATCH($P1381,H_SpecialBM!$Q:$Q,0)),"")</f>
        <v/>
      </c>
      <c r="O1381" s="19"/>
      <c r="P1381" s="165" t="str">
        <f>EUconst_CNTR_VCMInitial &amp; INDEX(EUconst_BMlistNames,47)</f>
        <v>VCMIni_Vinylkloridmonomer</v>
      </c>
      <c r="Q1381" s="343"/>
      <c r="R1381" s="343"/>
      <c r="S1381" s="343"/>
      <c r="T1381" s="343"/>
      <c r="U1381" s="349"/>
      <c r="V1381" s="349"/>
    </row>
    <row r="1382" spans="1:22" s="534" customFormat="1" ht="12.75" customHeight="1" x14ac:dyDescent="0.3">
      <c r="A1382" s="343"/>
      <c r="B1382" s="15"/>
      <c r="C1382" s="17"/>
      <c r="D1382" s="1386"/>
      <c r="E1382" s="947" t="str">
        <f>Translations!$B$1571</f>
        <v>Ändring jämfört med värde enligt nationella genomförandeåtgärder</v>
      </c>
      <c r="F1382" s="947"/>
      <c r="G1382" s="947"/>
      <c r="H1382" s="1370" t="s">
        <v>1112</v>
      </c>
      <c r="I1382" s="1371"/>
      <c r="J1382" s="1415" t="str">
        <f>IF(L1300=47,INDEX(H_SpecialBM!J:J,MATCH($P1382,H_SpecialBM!$Q:$Q,0)),"")</f>
        <v/>
      </c>
      <c r="K1382" s="1416" t="str">
        <f>IF(L1300=47,INDEX(H_SpecialBM!K:K,MATCH($P1382,H_SpecialBM!$Q:$Q,0)),"")</f>
        <v/>
      </c>
      <c r="L1382" s="1416" t="str">
        <f>IF(L1300=47,INDEX(H_SpecialBM!L:L,MATCH($P1382,H_SpecialBM!$Q:$Q,0)),"")</f>
        <v/>
      </c>
      <c r="M1382" s="1416" t="str">
        <f>IF(L1300=47,INDEX(H_SpecialBM!M:M,MATCH($P1382,H_SpecialBM!$Q:$Q,0)),"")</f>
        <v/>
      </c>
      <c r="N1382" s="1417" t="str">
        <f>IF(L1300=47,INDEX(H_SpecialBM!N:N,MATCH($P1382,H_SpecialBM!$Q:$Q,0)),"")</f>
        <v/>
      </c>
      <c r="O1382" s="19"/>
      <c r="P1382" s="165" t="str">
        <f>EUconst_CNTR_RelThreshold &amp; P1384</f>
        <v>RelThresh_VCMprelim_</v>
      </c>
      <c r="Q1382" s="343"/>
      <c r="R1382" s="343"/>
      <c r="S1382" s="343"/>
      <c r="T1382" s="343"/>
      <c r="U1382" s="349"/>
      <c r="V1382" s="349"/>
    </row>
    <row r="1383" spans="1:22" s="534" customFormat="1" ht="12.75" customHeight="1" x14ac:dyDescent="0.3">
      <c r="A1383" s="343"/>
      <c r="B1383" s="15"/>
      <c r="C1383" s="17"/>
      <c r="D1383" s="1386"/>
      <c r="E1383" s="1418" t="str">
        <f>Translations!$B$1581</f>
        <v>Kriterium 3e: Har relativa tröskelvärden överskridits?</v>
      </c>
      <c r="F1383" s="1418"/>
      <c r="G1383" s="1418"/>
      <c r="H1383" s="1423" t="s">
        <v>1112</v>
      </c>
      <c r="I1383" s="1423"/>
      <c r="J1383" s="1420" t="str">
        <f>IF(L1300=47,INDEX(H_SpecialBM!V:V,MATCH($P1383,H_SpecialBM!$Q:$Q,0)),"")</f>
        <v/>
      </c>
      <c r="K1383" s="1421" t="str">
        <f>IF(L1300=47,INDEX(H_SpecialBM!W:W,MATCH($P1383,H_SpecialBM!$Q:$Q,0)),"")</f>
        <v/>
      </c>
      <c r="L1383" s="1421" t="str">
        <f>IF(L1300=47,INDEX(H_SpecialBM!X:X,MATCH($P1383,H_SpecialBM!$Q:$Q,0)),"")</f>
        <v/>
      </c>
      <c r="M1383" s="1421" t="str">
        <f>IF(L1300=47,INDEX(H_SpecialBM!Y:Y,MATCH($P1383,H_SpecialBM!$Q:$Q,0)),"")</f>
        <v/>
      </c>
      <c r="N1383" s="1422" t="str">
        <f>IF(L1300=47,INDEX(H_SpecialBM!Z:Z,MATCH($P1383,H_SpecialBM!$Q:$Q,0)),"")</f>
        <v/>
      </c>
      <c r="O1383" s="19"/>
      <c r="P1383" s="165" t="str">
        <f>P1382</f>
        <v>RelThresh_VCMprelim_</v>
      </c>
      <c r="Q1383" s="343"/>
      <c r="R1383" s="343"/>
      <c r="S1383" s="343"/>
      <c r="T1383" s="343"/>
      <c r="U1383" s="349"/>
      <c r="V1383" s="349"/>
    </row>
    <row r="1384" spans="1:22" s="534" customFormat="1" ht="12.75" customHeight="1" x14ac:dyDescent="0.3">
      <c r="A1384" s="343" t="str">
        <f>IF(P1384="","ausblenden","")</f>
        <v/>
      </c>
      <c r="B1384" s="15"/>
      <c r="C1384" s="17"/>
      <c r="D1384" s="1386"/>
      <c r="E1384" s="950" t="str">
        <f>Translations!$B$1568</f>
        <v>Preliminärt värde</v>
      </c>
      <c r="F1384" s="950"/>
      <c r="G1384" s="950"/>
      <c r="H1384" s="957" t="s">
        <v>1112</v>
      </c>
      <c r="I1384" s="951"/>
      <c r="J1384" s="1404" t="str">
        <f>IF($L1300=47,IF(ISNUMBER(INDEX(H_SpecialBM!J:J,MATCH($P1384,H_SpecialBM!$Q:$Q,0))),INDEX(H_SpecialBM!J:J,MATCH($P1384,H_SpecialBM!$Q:$Q,0)),1),"")</f>
        <v/>
      </c>
      <c r="K1384" s="1405" t="str">
        <f>IF($L1300=47,IF(ISNUMBER(INDEX(H_SpecialBM!K:K,MATCH($P1384,H_SpecialBM!$Q:$Q,0))),INDEX(H_SpecialBM!K:K,MATCH($P1384,H_SpecialBM!$Q:$Q,0)),1),"")</f>
        <v/>
      </c>
      <c r="L1384" s="1405" t="str">
        <f>IF($L1300=47,IF(ISNUMBER(INDEX(H_SpecialBM!L:L,MATCH($P1384,H_SpecialBM!$Q:$Q,0))),INDEX(H_SpecialBM!L:L,MATCH($P1384,H_SpecialBM!$Q:$Q,0)),1),"")</f>
        <v/>
      </c>
      <c r="M1384" s="1405" t="str">
        <f>IF($L1300=47,IF(ISNUMBER(INDEX(H_SpecialBM!M:M,MATCH($P1384,H_SpecialBM!$Q:$Q,0))),INDEX(H_SpecialBM!M:M,MATCH($P1384,H_SpecialBM!$Q:$Q,0)),1),"")</f>
        <v/>
      </c>
      <c r="N1384" s="1406" t="str">
        <f>IF($L1300=47,IF(ISNUMBER(INDEX(H_SpecialBM!N:N,MATCH($P1384,H_SpecialBM!$Q:$Q,0))),INDEX(H_SpecialBM!N:N,MATCH($P1384,H_SpecialBM!$Q:$Q,0)),1),"")</f>
        <v/>
      </c>
      <c r="O1384" s="19"/>
      <c r="P1384" s="165" t="str">
        <f>EUconst_CNTR_VCMprelim</f>
        <v>VCMprelim_</v>
      </c>
      <c r="Q1384" s="343"/>
      <c r="R1384" s="343"/>
      <c r="S1384" s="343"/>
      <c r="T1384" s="343"/>
      <c r="U1384" s="349"/>
      <c r="V1384" s="349"/>
    </row>
    <row r="1385" spans="1:22" s="534" customFormat="1" ht="12.75" customHeight="1" x14ac:dyDescent="0.3">
      <c r="A1385" s="343"/>
      <c r="B1385" s="15"/>
      <c r="C1385" s="17"/>
      <c r="D1385" s="1386"/>
      <c r="E1385" s="514" t="str">
        <f>Translations!$B$1565</f>
        <v>Preliminärt tilldelningsvärde</v>
      </c>
      <c r="F1385" s="514"/>
      <c r="G1385" s="514"/>
      <c r="H1385" s="129" t="str">
        <f>EUconst_EUA</f>
        <v>EUA</v>
      </c>
      <c r="I1385" s="1151"/>
      <c r="J1385" s="1131" t="str">
        <f>IF(J1384="","",MAX(0,ROUND((SUM($M1300)*SUM(J1376)*SUM(J1380)*SUM(J1384)-SUM(J1377)-SUM(J1378)+SUM(J1379))*IF($H1300=TRUE,1,J$2517),0)))</f>
        <v/>
      </c>
      <c r="K1385" s="421" t="str">
        <f>IF(K1384="","",MAX(0,ROUND((SUM($M1300)*SUM(K1376)*SUM(K1380)*SUM(K1384)-SUM(K1377)-SUM(K1378)+SUM(K1379))*IF($H1300=TRUE,1,K$2517),0)))</f>
        <v/>
      </c>
      <c r="L1385" s="421" t="str">
        <f>IF(L1384="","",MAX(0,ROUND((SUM($M1300)*SUM(L1376)*SUM(L1380)*SUM(L1384)-SUM(L1377)-SUM(L1378)+SUM(L1379))*IF($H1300=TRUE,1,L$2517),0)))</f>
        <v/>
      </c>
      <c r="M1385" s="421" t="str">
        <f>IF(M1384="","",MAX(0,ROUND((SUM($M1300)*SUM(M1376)*SUM(M1380)*SUM(M1384)-SUM(M1377)-SUM(M1378)+SUM(M1379))*IF($H1300=TRUE,1,M$2517),0)))</f>
        <v/>
      </c>
      <c r="N1385" s="967" t="str">
        <f>IF(N1384="","",MAX(0,ROUND((SUM($M1300)*SUM(N1376)*SUM(N1380)*SUM(N1384)-SUM(N1377)-SUM(N1378)+SUM(N1379))*IF($H1300=TRUE,1,N$2517),0)))</f>
        <v/>
      </c>
      <c r="O1385" s="19"/>
      <c r="P1385" s="343"/>
      <c r="Q1385" s="343"/>
      <c r="R1385" s="343"/>
      <c r="S1385" s="343"/>
      <c r="T1385" s="343"/>
      <c r="U1385" s="349"/>
      <c r="V1385" s="349"/>
    </row>
    <row r="1386" spans="1:22" s="534" customFormat="1" ht="12.75" customHeight="1" x14ac:dyDescent="0.3">
      <c r="A1386" s="343"/>
      <c r="B1386" s="15"/>
      <c r="C1386" s="17"/>
      <c r="D1386" s="1386"/>
      <c r="E1386" s="514" t="str">
        <f>Translations!$B$1569</f>
        <v>Skillnad i tilldelning</v>
      </c>
      <c r="F1386" s="514"/>
      <c r="G1386" s="514"/>
      <c r="H1386" s="129" t="str">
        <f>EUconst_EUA</f>
        <v>EUA</v>
      </c>
      <c r="I1386" s="1151"/>
      <c r="J1386" s="1131" t="str">
        <f>IF(J1385="","",ABS(SUM(J1385)-SUM(J1317)))</f>
        <v/>
      </c>
      <c r="K1386" s="421" t="str">
        <f>IF(K1385="","",ABS(SUM(K1385)-SUM(K1317)))</f>
        <v/>
      </c>
      <c r="L1386" s="421" t="str">
        <f>IF(L1385="","",ABS(SUM(L1385)-SUM(L1317)))</f>
        <v/>
      </c>
      <c r="M1386" s="421" t="str">
        <f>IF(M1385="","",ABS(SUM(M1385)-SUM(M1317)))</f>
        <v/>
      </c>
      <c r="N1386" s="967" t="str">
        <f>IF(N1385="","",ABS(SUM(N1385)-SUM(N1317)))</f>
        <v/>
      </c>
      <c r="O1386" s="19"/>
      <c r="P1386" s="343"/>
      <c r="Q1386" s="343"/>
      <c r="R1386" s="343"/>
      <c r="S1386" s="343"/>
      <c r="T1386" s="343"/>
      <c r="U1386" s="349"/>
      <c r="V1386" s="349"/>
    </row>
    <row r="1387" spans="1:22" s="534" customFormat="1" ht="12.75" customHeight="1" x14ac:dyDescent="0.3">
      <c r="A1387" s="343"/>
      <c r="B1387" s="15"/>
      <c r="C1387" s="17"/>
      <c r="D1387" s="1386"/>
      <c r="E1387" s="1419" t="str">
        <f>Translations!$B$1582</f>
        <v>Kriterium 4e: Är skillnaden minst 100 utsläppsrätter?</v>
      </c>
      <c r="F1387" s="514"/>
      <c r="G1387" s="514"/>
      <c r="H1387" s="1424" t="s">
        <v>1112</v>
      </c>
      <c r="I1387" s="1425"/>
      <c r="J1387" s="1426" t="str">
        <f>IF(J1386="","",J1386&gt;=100)</f>
        <v/>
      </c>
      <c r="K1387" s="1427" t="str">
        <f>IF(K1386="","",K1386&gt;=100)</f>
        <v/>
      </c>
      <c r="L1387" s="1427" t="str">
        <f>IF(L1386="","",L1386&gt;=100)</f>
        <v/>
      </c>
      <c r="M1387" s="1427" t="str">
        <f>IF(M1386="","",M1386&gt;=100)</f>
        <v/>
      </c>
      <c r="N1387" s="1428" t="str">
        <f>IF(N1386="","",N1386&gt;=100)</f>
        <v/>
      </c>
      <c r="O1387" s="19"/>
      <c r="P1387" s="165" t="str">
        <f>EUconst_CNTR_100EUA_VCM&amp;I1324</f>
        <v>EUA100VCM_</v>
      </c>
      <c r="Q1387" s="343"/>
      <c r="R1387" s="343"/>
      <c r="S1387" s="343"/>
      <c r="T1387" s="343"/>
      <c r="U1387" s="349"/>
      <c r="V1387" s="349"/>
    </row>
    <row r="1388" spans="1:22" s="534" customFormat="1" ht="5.15" customHeight="1" x14ac:dyDescent="0.3">
      <c r="A1388" s="343"/>
      <c r="B1388" s="15"/>
      <c r="C1388" s="17"/>
      <c r="D1388" s="1386"/>
      <c r="E1388" s="15"/>
      <c r="F1388" s="15"/>
      <c r="G1388" s="15"/>
      <c r="H1388" s="15"/>
      <c r="I1388" s="941"/>
      <c r="J1388" s="15"/>
      <c r="K1388" s="15"/>
      <c r="L1388" s="15"/>
      <c r="M1388" s="15"/>
      <c r="N1388" s="968"/>
      <c r="O1388" s="19"/>
      <c r="P1388" s="343"/>
      <c r="Q1388" s="343"/>
      <c r="R1388" s="343"/>
      <c r="S1388" s="343"/>
      <c r="T1388" s="343"/>
      <c r="U1388" s="349"/>
      <c r="V1388" s="349"/>
    </row>
    <row r="1389" spans="1:22" s="534" customFormat="1" ht="12.75" customHeight="1" x14ac:dyDescent="0.3">
      <c r="A1389" s="343"/>
      <c r="B1389" s="15"/>
      <c r="C1389" s="17"/>
      <c r="D1389" s="1386"/>
      <c r="E1389" s="42" t="str">
        <f>Translations!$B$1583</f>
        <v>Ändringar: Facklad restgas</v>
      </c>
      <c r="F1389" s="188"/>
      <c r="G1389" s="188"/>
      <c r="H1389" s="30" t="str">
        <f>EUconst_Unit</f>
        <v>Enhet</v>
      </c>
      <c r="I1389" s="1157"/>
      <c r="J1389" s="1065">
        <f>J$2596</f>
        <v>2021</v>
      </c>
      <c r="K1389" s="350">
        <f>K$2596</f>
        <v>2022</v>
      </c>
      <c r="L1389" s="350">
        <f>L$2596</f>
        <v>2023</v>
      </c>
      <c r="M1389" s="350">
        <f>M$2596</f>
        <v>2024</v>
      </c>
      <c r="N1389" s="966">
        <f>N$2596</f>
        <v>2025</v>
      </c>
      <c r="O1389" s="19"/>
      <c r="P1389" s="343"/>
      <c r="Q1389" s="343"/>
      <c r="R1389" s="343"/>
      <c r="S1389" s="343"/>
      <c r="T1389" s="343"/>
      <c r="U1389" s="349"/>
      <c r="V1389" s="349"/>
    </row>
    <row r="1390" spans="1:22" s="534" customFormat="1" ht="12.75" hidden="1" customHeight="1" x14ac:dyDescent="0.3">
      <c r="A1390" s="343" t="str">
        <f>IF(P1390="","ausblenden","")</f>
        <v>ausblenden</v>
      </c>
      <c r="B1390" s="15"/>
      <c r="C1390" s="17"/>
      <c r="D1390" s="1386"/>
      <c r="E1390" s="514" t="s">
        <v>1918</v>
      </c>
      <c r="F1390" s="514"/>
      <c r="G1390" s="514"/>
      <c r="H1390" s="917" t="str">
        <f>H1376</f>
        <v>ton</v>
      </c>
      <c r="I1390" s="514"/>
      <c r="J1390" s="1152" t="str">
        <f>J1311</f>
        <v/>
      </c>
      <c r="K1390" s="943" t="str">
        <f t="shared" ref="K1390:K1391" si="244">J1406</f>
        <v/>
      </c>
      <c r="L1390" s="943" t="str">
        <f t="shared" ref="L1390:L1391" si="245">K1406</f>
        <v/>
      </c>
      <c r="M1390" s="943" t="str">
        <f t="shared" ref="M1390:M1391" si="246">L1406</f>
        <v/>
      </c>
      <c r="N1390" s="1389" t="str">
        <f t="shared" ref="N1390:N1391" si="247">M1406</f>
        <v/>
      </c>
      <c r="O1390" s="19"/>
      <c r="P1390" s="343"/>
      <c r="Q1390" s="343"/>
      <c r="R1390" s="343"/>
      <c r="S1390" s="343"/>
      <c r="T1390" s="343"/>
      <c r="U1390" s="349"/>
      <c r="V1390" s="349"/>
    </row>
    <row r="1391" spans="1:22" s="534" customFormat="1" ht="12.75" hidden="1" customHeight="1" x14ac:dyDescent="0.3">
      <c r="A1391" s="343" t="str">
        <f>IF(P1391="","ausblenden","")</f>
        <v>ausblenden</v>
      </c>
      <c r="B1391" s="15"/>
      <c r="C1391" s="17"/>
      <c r="D1391" s="1386"/>
      <c r="E1391" s="944" t="s">
        <v>339</v>
      </c>
      <c r="F1391" s="944"/>
      <c r="G1391" s="944"/>
      <c r="H1391" s="954" t="str">
        <f>EUconst_EUA</f>
        <v>EUA</v>
      </c>
      <c r="I1391" s="945"/>
      <c r="J1391" s="1209" t="str">
        <f>J1312</f>
        <v/>
      </c>
      <c r="K1391" s="1210" t="str">
        <f t="shared" si="244"/>
        <v/>
      </c>
      <c r="L1391" s="1210" t="str">
        <f t="shared" si="245"/>
        <v/>
      </c>
      <c r="M1391" s="1210" t="str">
        <f t="shared" si="246"/>
        <v/>
      </c>
      <c r="N1391" s="1390" t="str">
        <f t="shared" si="247"/>
        <v/>
      </c>
      <c r="O1391" s="19"/>
      <c r="P1391" s="343"/>
      <c r="Q1391" s="343"/>
      <c r="R1391" s="343"/>
      <c r="S1391" s="343"/>
      <c r="T1391" s="343"/>
      <c r="U1391" s="349"/>
      <c r="V1391" s="349"/>
    </row>
    <row r="1392" spans="1:22" s="534" customFormat="1" ht="12.75" customHeight="1" x14ac:dyDescent="0.3">
      <c r="A1392" s="343"/>
      <c r="B1392" s="15"/>
      <c r="C1392" s="17"/>
      <c r="D1392" s="1386"/>
      <c r="E1392" s="944" t="str">
        <f>Translations!$B$1482</f>
        <v>Genomsnittligt årligt värde</v>
      </c>
      <c r="F1392" s="944"/>
      <c r="G1392" s="944"/>
      <c r="H1392" s="627" t="str">
        <f>EUconst_tCO2</f>
        <v>t CO2</v>
      </c>
      <c r="I1392" s="945"/>
      <c r="J1392" s="1161" t="str">
        <f>INDEX(F_ProductBM!J:J,MATCH($P1392,F_ProductBM!$Q:$Q,0))</f>
        <v/>
      </c>
      <c r="K1392" s="946" t="str">
        <f>INDEX(F_ProductBM!K:K,MATCH($P1392,F_ProductBM!$Q:$Q,0))</f>
        <v/>
      </c>
      <c r="L1392" s="946" t="str">
        <f>INDEX(F_ProductBM!L:L,MATCH($P1392,F_ProductBM!$Q:$Q,0))</f>
        <v/>
      </c>
      <c r="M1392" s="946" t="str">
        <f>INDEX(F_ProductBM!M:M,MATCH($P1392,F_ProductBM!$Q:$Q,0))</f>
        <v/>
      </c>
      <c r="N1392" s="1046" t="str">
        <f>INDEX(F_ProductBM!N:N,MATCH($P1392,F_ProductBM!$Q:$Q,0))</f>
        <v/>
      </c>
      <c r="O1392" s="19"/>
      <c r="P1392" s="165" t="str">
        <f>EUconst_CNTR_HALinitial &amp; EUconst_CNTR_WGFlared &amp; I1297</f>
        <v>HALini_WasteGasFlare_</v>
      </c>
      <c r="Q1392" s="343"/>
      <c r="R1392" s="343"/>
      <c r="S1392" s="343"/>
      <c r="T1392" s="343"/>
      <c r="U1392" s="349"/>
      <c r="V1392" s="349"/>
    </row>
    <row r="1393" spans="1:22" s="534" customFormat="1" ht="12.75" customHeight="1" x14ac:dyDescent="0.3">
      <c r="A1393" s="343"/>
      <c r="B1393" s="15"/>
      <c r="C1393" s="17"/>
      <c r="D1393" s="1386"/>
      <c r="E1393" s="947" t="str">
        <f>Translations!$B$1571</f>
        <v>Ändring jämfört med värde enligt nationella genomförandeåtgärder</v>
      </c>
      <c r="F1393" s="947"/>
      <c r="G1393" s="947"/>
      <c r="H1393" s="1442" t="s">
        <v>1112</v>
      </c>
      <c r="I1393" s="1371"/>
      <c r="J1393" s="1415" t="str">
        <f>INDEX(F_ProductBM!J:J,MATCH($P1393,F_ProductBM!$Q:$Q,0))</f>
        <v/>
      </c>
      <c r="K1393" s="1416" t="str">
        <f>INDEX(F_ProductBM!K:K,MATCH($P1393,F_ProductBM!$Q:$Q,0))</f>
        <v/>
      </c>
      <c r="L1393" s="1416" t="str">
        <f>INDEX(F_ProductBM!L:L,MATCH($P1393,F_ProductBM!$Q:$Q,0))</f>
        <v/>
      </c>
      <c r="M1393" s="1416" t="str">
        <f>INDEX(F_ProductBM!M:M,MATCH($P1393,F_ProductBM!$Q:$Q,0))</f>
        <v/>
      </c>
      <c r="N1393" s="1417" t="str">
        <f>INDEX(F_ProductBM!N:N,MATCH($P1393,F_ProductBM!$Q:$Q,0))</f>
        <v/>
      </c>
      <c r="O1393" s="19"/>
      <c r="P1393" s="165" t="str">
        <f>EUconst_CNTR_RelThreshold &amp; P1395</f>
        <v>RelThresh_HALprelim_WasteGasFlare_</v>
      </c>
      <c r="Q1393" s="343"/>
      <c r="R1393" s="343"/>
      <c r="S1393" s="343"/>
      <c r="T1393" s="343"/>
      <c r="U1393" s="349"/>
      <c r="V1393" s="349"/>
    </row>
    <row r="1394" spans="1:22" s="534" customFormat="1" ht="12.75" customHeight="1" x14ac:dyDescent="0.3">
      <c r="A1394" s="343"/>
      <c r="B1394" s="15"/>
      <c r="C1394" s="17"/>
      <c r="D1394" s="1386"/>
      <c r="E1394" s="1418" t="str">
        <f>Translations!$B$1584</f>
        <v>Kriterium 3f: Har relativa tröskelvärden överskridits?</v>
      </c>
      <c r="F1394" s="1418"/>
      <c r="G1394" s="1418"/>
      <c r="H1394" s="1444" t="s">
        <v>1112</v>
      </c>
      <c r="I1394" s="1423"/>
      <c r="J1394" s="1420" t="str">
        <f>INDEX(F_ProductBM!V:V,MATCH($P1394,F_ProductBM!$Q:$Q,0))</f>
        <v/>
      </c>
      <c r="K1394" s="1421" t="str">
        <f>INDEX(F_ProductBM!W:W,MATCH($P1394,F_ProductBM!$Q:$Q,0))</f>
        <v/>
      </c>
      <c r="L1394" s="1421" t="str">
        <f>INDEX(F_ProductBM!X:X,MATCH($P1394,F_ProductBM!$Q:$Q,0))</f>
        <v/>
      </c>
      <c r="M1394" s="1421" t="str">
        <f>INDEX(F_ProductBM!Y:Y,MATCH($P1394,F_ProductBM!$Q:$Q,0))</f>
        <v/>
      </c>
      <c r="N1394" s="1422" t="str">
        <f>INDEX(F_ProductBM!Z:Z,MATCH($P1394,F_ProductBM!$Q:$Q,0))</f>
        <v/>
      </c>
      <c r="O1394" s="19"/>
      <c r="P1394" s="165" t="str">
        <f>P1393</f>
        <v>RelThresh_HALprelim_WasteGasFlare_</v>
      </c>
      <c r="Q1394" s="343"/>
      <c r="R1394" s="343"/>
      <c r="S1394" s="343"/>
      <c r="T1394" s="343"/>
      <c r="U1394" s="349"/>
      <c r="V1394" s="349"/>
    </row>
    <row r="1395" spans="1:22" s="534" customFormat="1" ht="12.75" customHeight="1" x14ac:dyDescent="0.3">
      <c r="A1395" s="343" t="str">
        <f>IF(P1395="","ausblenden","")</f>
        <v/>
      </c>
      <c r="B1395" s="15"/>
      <c r="C1395" s="17"/>
      <c r="D1395" s="1386"/>
      <c r="E1395" s="950" t="str">
        <f>Translations!$B$1568</f>
        <v>Preliminärt värde</v>
      </c>
      <c r="F1395" s="950"/>
      <c r="G1395" s="950"/>
      <c r="H1395" s="957" t="str">
        <f>EUconst_tCO2</f>
        <v>t CO2</v>
      </c>
      <c r="I1395" s="951"/>
      <c r="J1395" s="1373" t="str">
        <f>IF(OR($I1297="",CNTR_SubPeriod=1),"",INDEX(F_ProductBM!J:J,MATCH($P1395,F_ProductBM!$Q:$Q,0)))</f>
        <v/>
      </c>
      <c r="K1395" s="1374" t="str">
        <f>IF(OR($I1297="",CNTR_SubPeriod=1),"",INDEX(F_ProductBM!K:K,MATCH($P1395,F_ProductBM!$Q:$Q,0)))</f>
        <v/>
      </c>
      <c r="L1395" s="1374" t="str">
        <f>IF(OR($I1297="",CNTR_SubPeriod=1),"",INDEX(F_ProductBM!L:L,MATCH($P1395,F_ProductBM!$Q:$Q,0)))</f>
        <v/>
      </c>
      <c r="M1395" s="1374" t="str">
        <f>IF(OR($I1297="",CNTR_SubPeriod=1),"",INDEX(F_ProductBM!M:M,MATCH($P1395,F_ProductBM!$Q:$Q,0)))</f>
        <v/>
      </c>
      <c r="N1395" s="1395" t="str">
        <f>IF(OR($I1297="",CNTR_SubPeriod=1),"",INDEX(F_ProductBM!N:N,MATCH($P1395,F_ProductBM!$Q:$Q,0)))</f>
        <v/>
      </c>
      <c r="O1395" s="19"/>
      <c r="P1395" s="165" t="str">
        <f>EUconst_CNTR_HALprelim&amp;EUconst_CNTR_WGFlared&amp;$I1297</f>
        <v>HALprelim_WasteGasFlare_</v>
      </c>
      <c r="Q1395" s="343"/>
      <c r="R1395" s="343"/>
      <c r="S1395" s="343"/>
      <c r="T1395" s="343"/>
      <c r="U1395" s="349"/>
      <c r="V1395" s="349"/>
    </row>
    <row r="1396" spans="1:22" s="534" customFormat="1" ht="12.75" hidden="1" customHeight="1" x14ac:dyDescent="0.3">
      <c r="A1396" s="343" t="str">
        <f>IF(P1396="","ausblenden","")</f>
        <v>ausblenden</v>
      </c>
      <c r="B1396" s="15"/>
      <c r="C1396" s="17"/>
      <c r="D1396" s="1386"/>
      <c r="E1396" s="947" t="s">
        <v>1527</v>
      </c>
      <c r="F1396" s="947"/>
      <c r="G1396" s="947"/>
      <c r="H1396" s="955" t="str">
        <f>EUconst_EUA</f>
        <v>EUA</v>
      </c>
      <c r="I1396" s="948"/>
      <c r="J1396" s="1165" t="str">
        <f>J1314</f>
        <v/>
      </c>
      <c r="K1396" s="975" t="str">
        <f t="shared" ref="K1396:K1398" si="248">J1409</f>
        <v/>
      </c>
      <c r="L1396" s="975" t="str">
        <f t="shared" ref="L1396:L1398" si="249">K1409</f>
        <v/>
      </c>
      <c r="M1396" s="975" t="str">
        <f t="shared" ref="M1396:M1398" si="250">L1409</f>
        <v/>
      </c>
      <c r="N1396" s="1391" t="str">
        <f t="shared" ref="N1396:N1398" si="251">M1409</f>
        <v/>
      </c>
      <c r="O1396" s="19"/>
      <c r="P1396" s="343"/>
      <c r="Q1396" s="343"/>
      <c r="R1396" s="343"/>
      <c r="S1396" s="343"/>
      <c r="T1396" s="343"/>
      <c r="U1396" s="349"/>
      <c r="V1396" s="349"/>
    </row>
    <row r="1397" spans="1:22" s="534" customFormat="1" ht="12.75" hidden="1" customHeight="1" x14ac:dyDescent="0.3">
      <c r="A1397" s="343" t="str">
        <f>IF(P1397="","ausblenden","")</f>
        <v>ausblenden</v>
      </c>
      <c r="B1397" s="15"/>
      <c r="C1397" s="17"/>
      <c r="D1397" s="1386"/>
      <c r="E1397" s="947" t="s">
        <v>1526</v>
      </c>
      <c r="F1397" s="947"/>
      <c r="G1397" s="947"/>
      <c r="H1397" s="956" t="s">
        <v>1112</v>
      </c>
      <c r="I1397" s="948"/>
      <c r="J1397" s="1211" t="str">
        <f>J1315</f>
        <v/>
      </c>
      <c r="K1397" s="1212" t="str">
        <f t="shared" si="248"/>
        <v/>
      </c>
      <c r="L1397" s="1212" t="str">
        <f t="shared" si="249"/>
        <v/>
      </c>
      <c r="M1397" s="1212" t="str">
        <f t="shared" si="250"/>
        <v/>
      </c>
      <c r="N1397" s="1392" t="str">
        <f t="shared" si="251"/>
        <v/>
      </c>
      <c r="O1397" s="19"/>
      <c r="P1397" s="343"/>
      <c r="Q1397" s="343"/>
      <c r="R1397" s="343"/>
      <c r="S1397" s="343"/>
      <c r="T1397" s="343"/>
      <c r="U1397" s="349"/>
      <c r="V1397" s="349"/>
    </row>
    <row r="1398" spans="1:22" s="534" customFormat="1" ht="12.75" hidden="1" customHeight="1" x14ac:dyDescent="0.3">
      <c r="A1398" s="343" t="str">
        <f>IF(P1398="","ausblenden","")</f>
        <v>ausblenden</v>
      </c>
      <c r="B1398" s="15"/>
      <c r="C1398" s="17"/>
      <c r="D1398" s="1386"/>
      <c r="E1398" s="950" t="s">
        <v>1528</v>
      </c>
      <c r="F1398" s="950"/>
      <c r="G1398" s="950"/>
      <c r="H1398" s="957" t="s">
        <v>1112</v>
      </c>
      <c r="I1398" s="951"/>
      <c r="J1398" s="1213" t="str">
        <f>J1316</f>
        <v/>
      </c>
      <c r="K1398" s="1214" t="str">
        <f t="shared" si="248"/>
        <v/>
      </c>
      <c r="L1398" s="1214" t="str">
        <f t="shared" si="249"/>
        <v/>
      </c>
      <c r="M1398" s="1214" t="str">
        <f t="shared" si="250"/>
        <v/>
      </c>
      <c r="N1398" s="1393" t="str">
        <f t="shared" si="251"/>
        <v/>
      </c>
      <c r="O1398" s="19"/>
      <c r="P1398" s="343"/>
      <c r="Q1398" s="343"/>
      <c r="R1398" s="343"/>
      <c r="S1398" s="343"/>
      <c r="T1398" s="343"/>
      <c r="U1398" s="349"/>
      <c r="V1398" s="349"/>
    </row>
    <row r="1399" spans="1:22" s="534" customFormat="1" ht="12.75" customHeight="1" x14ac:dyDescent="0.3">
      <c r="A1399" s="343"/>
      <c r="B1399" s="15"/>
      <c r="C1399" s="17"/>
      <c r="D1399" s="1386"/>
      <c r="E1399" s="514" t="str">
        <f>Translations!$B$1565</f>
        <v>Preliminärt tilldelningsvärde</v>
      </c>
      <c r="F1399" s="514"/>
      <c r="G1399" s="514"/>
      <c r="H1399" s="129" t="str">
        <f>EUconst_EUA</f>
        <v>EUA</v>
      </c>
      <c r="I1399" s="1151"/>
      <c r="J1399" s="1131" t="str">
        <f>IF(J1395="","",MAX(0,ROUND((SUM($M1300)*SUM(J1390)*SUM(J1397)*SUM(J1398)-SUM(J1391)-SUM(J1395)+SUM(J1396))*IF($H1300=TRUE,1,J$2517),0)))</f>
        <v/>
      </c>
      <c r="K1399" s="421" t="str">
        <f>IF(K1395="","",MAX(0,ROUND((SUM($M1300)*SUM(K1390)*SUM(K1397)*SUM(K1398)-SUM(K1391)-SUM(K1395)+SUM(K1396))*IF($H1300=TRUE,1,K$2517),0)))</f>
        <v/>
      </c>
      <c r="L1399" s="421" t="str">
        <f>IF(L1395="","",MAX(0,ROUND((SUM($M1300)*SUM(L1390)*SUM(L1397)*SUM(L1398)-SUM(L1391)-SUM(L1395)+SUM(L1396))*IF($H1300=TRUE,1,L$2517),0)))</f>
        <v/>
      </c>
      <c r="M1399" s="421" t="str">
        <f>IF(M1395="","",MAX(0,ROUND((SUM($M1300)*SUM(M1390)*SUM(M1397)*SUM(M1398)-SUM(M1391)-SUM(M1395)+SUM(M1396))*IF($H1300=TRUE,1,M$2517),0)))</f>
        <v/>
      </c>
      <c r="N1399" s="967" t="str">
        <f>IF(N1395="","",MAX(0,ROUND((SUM($M1300)*SUM(N1390)*SUM(N1397)*SUM(N1398)-SUM(N1391)-SUM(N1395)+SUM(N1396))*IF($H1300=TRUE,1,N$2517),0)))</f>
        <v/>
      </c>
      <c r="O1399" s="19"/>
      <c r="P1399" s="343"/>
      <c r="Q1399" s="343"/>
      <c r="R1399" s="343"/>
      <c r="S1399" s="343"/>
      <c r="T1399" s="343"/>
      <c r="U1399" s="349"/>
      <c r="V1399" s="349"/>
    </row>
    <row r="1400" spans="1:22" s="534" customFormat="1" ht="12.75" customHeight="1" x14ac:dyDescent="0.3">
      <c r="A1400" s="343"/>
      <c r="B1400" s="15"/>
      <c r="C1400" s="17"/>
      <c r="D1400" s="1386"/>
      <c r="E1400" s="514" t="str">
        <f>Translations!$B$1569</f>
        <v>Skillnad i tilldelning</v>
      </c>
      <c r="F1400" s="514"/>
      <c r="G1400" s="514"/>
      <c r="H1400" s="129" t="str">
        <f>EUconst_EUA</f>
        <v>EUA</v>
      </c>
      <c r="I1400" s="1151"/>
      <c r="J1400" s="1131" t="str">
        <f>IF(J1399="","",ABS(SUM(J1399)-SUM(J1317)))</f>
        <v/>
      </c>
      <c r="K1400" s="421" t="str">
        <f>IF(K1399="","",ABS(SUM(K1399)-SUM(K1317)))</f>
        <v/>
      </c>
      <c r="L1400" s="421" t="str">
        <f>IF(L1399="","",ABS(SUM(L1399)-SUM(L1317)))</f>
        <v/>
      </c>
      <c r="M1400" s="421" t="str">
        <f>IF(M1399="","",ABS(SUM(M1399)-SUM(M1317)))</f>
        <v/>
      </c>
      <c r="N1400" s="967" t="str">
        <f>IF(N1399="","",ABS(SUM(N1399)-SUM(N1317)))</f>
        <v/>
      </c>
      <c r="O1400" s="19"/>
      <c r="P1400" s="343"/>
      <c r="Q1400" s="343"/>
      <c r="R1400" s="343"/>
      <c r="S1400" s="343"/>
      <c r="T1400" s="343"/>
      <c r="U1400" s="349"/>
      <c r="V1400" s="349"/>
    </row>
    <row r="1401" spans="1:22" s="534" customFormat="1" ht="12.75" customHeight="1" x14ac:dyDescent="0.3">
      <c r="A1401" s="343"/>
      <c r="B1401" s="15"/>
      <c r="C1401" s="17"/>
      <c r="D1401" s="1386"/>
      <c r="E1401" s="1419" t="str">
        <f>Translations!$B$1585</f>
        <v>Kriterium 4f: Är skillnaden minst 100 utsläppsrätter?</v>
      </c>
      <c r="F1401" s="514"/>
      <c r="G1401" s="514"/>
      <c r="H1401" s="1424" t="s">
        <v>1112</v>
      </c>
      <c r="I1401" s="1425"/>
      <c r="J1401" s="1426" t="str">
        <f>IF(J1400="","",J1400&gt;=100)</f>
        <v/>
      </c>
      <c r="K1401" s="1427" t="str">
        <f>IF(K1400="","",K1400&gt;=100)</f>
        <v/>
      </c>
      <c r="L1401" s="1427" t="str">
        <f>IF(L1400="","",L1400&gt;=100)</f>
        <v/>
      </c>
      <c r="M1401" s="1427" t="str">
        <f>IF(M1400="","",M1400&gt;=100)</f>
        <v/>
      </c>
      <c r="N1401" s="1428" t="str">
        <f>IF(N1400="","",N1400&gt;=100)</f>
        <v/>
      </c>
      <c r="O1401" s="19"/>
      <c r="P1401" s="165" t="str">
        <f>EUconst_CNTR_100EUA_WGFlare&amp;I1297</f>
        <v>EUA100WGFlare_</v>
      </c>
      <c r="Q1401" s="343"/>
      <c r="R1401" s="343"/>
      <c r="S1401" s="343"/>
      <c r="T1401" s="343"/>
      <c r="U1401" s="349"/>
      <c r="V1401" s="349"/>
    </row>
    <row r="1402" spans="1:22" s="534" customFormat="1" ht="12.75" customHeight="1" thickBot="1" x14ac:dyDescent="0.35">
      <c r="A1402" s="343"/>
      <c r="B1402" s="15"/>
      <c r="C1402" s="17"/>
      <c r="D1402" s="1398"/>
      <c r="E1402" s="973"/>
      <c r="F1402" s="973"/>
      <c r="G1402" s="973"/>
      <c r="H1402" s="973"/>
      <c r="I1402" s="1399"/>
      <c r="J1402" s="973"/>
      <c r="K1402" s="973"/>
      <c r="L1402" s="973"/>
      <c r="M1402" s="973"/>
      <c r="N1402" s="974"/>
      <c r="O1402" s="19"/>
      <c r="P1402" s="343"/>
      <c r="Q1402" s="343"/>
      <c r="R1402" s="343"/>
      <c r="S1402" s="343"/>
      <c r="T1402" s="343"/>
      <c r="U1402" s="349"/>
      <c r="V1402" s="349"/>
    </row>
    <row r="1403" spans="1:22" s="534" customFormat="1" ht="5.15" customHeight="1" thickBot="1" x14ac:dyDescent="0.35">
      <c r="A1403" s="343"/>
      <c r="B1403" s="15"/>
      <c r="C1403" s="17"/>
      <c r="D1403" s="17"/>
      <c r="E1403" s="15"/>
      <c r="F1403" s="15"/>
      <c r="G1403" s="15"/>
      <c r="H1403" s="15"/>
      <c r="I1403" s="941"/>
      <c r="J1403" s="15"/>
      <c r="K1403" s="15"/>
      <c r="L1403" s="15"/>
      <c r="M1403" s="15"/>
      <c r="N1403" s="15"/>
      <c r="O1403" s="19"/>
      <c r="P1403" s="343"/>
      <c r="Q1403" s="343"/>
      <c r="R1403" s="343"/>
      <c r="S1403" s="343"/>
      <c r="T1403" s="343"/>
      <c r="U1403" s="349"/>
      <c r="V1403" s="349"/>
    </row>
    <row r="1404" spans="1:22" s="534" customFormat="1" ht="5.15" customHeight="1" x14ac:dyDescent="0.25">
      <c r="A1404" s="343"/>
      <c r="B1404" s="15"/>
      <c r="C1404" s="15"/>
      <c r="D1404" s="961"/>
      <c r="E1404" s="962"/>
      <c r="F1404" s="962"/>
      <c r="G1404" s="962"/>
      <c r="H1404" s="962"/>
      <c r="I1404" s="963"/>
      <c r="J1404" s="962"/>
      <c r="K1404" s="962"/>
      <c r="L1404" s="962"/>
      <c r="M1404" s="962"/>
      <c r="N1404" s="964"/>
      <c r="O1404" s="19"/>
      <c r="P1404" s="343"/>
      <c r="Q1404" s="343"/>
      <c r="R1404" s="343"/>
      <c r="S1404" s="343"/>
      <c r="T1404" s="7"/>
      <c r="U1404" s="349"/>
      <c r="V1404" s="349"/>
    </row>
    <row r="1405" spans="1:22" s="534" customFormat="1" ht="13" x14ac:dyDescent="0.25">
      <c r="A1405" s="343"/>
      <c r="B1405" s="15"/>
      <c r="C1405" s="15"/>
      <c r="D1405" s="965"/>
      <c r="E1405" s="39" t="str">
        <f>Translations!$B$1586</f>
        <v>Faktiska använda värden</v>
      </c>
      <c r="F1405" s="15"/>
      <c r="G1405" s="15"/>
      <c r="H1405" s="30" t="str">
        <f>EUconst_Unit</f>
        <v>Enhet</v>
      </c>
      <c r="I1405" s="1614" t="str">
        <f>Translations!$B$1510</f>
        <v>Basvärde</v>
      </c>
      <c r="J1405" s="1065">
        <f>J$2596</f>
        <v>2021</v>
      </c>
      <c r="K1405" s="350">
        <f>K$2596</f>
        <v>2022</v>
      </c>
      <c r="L1405" s="350">
        <f>L$2596</f>
        <v>2023</v>
      </c>
      <c r="M1405" s="350">
        <f>M$2596</f>
        <v>2024</v>
      </c>
      <c r="N1405" s="966">
        <f>N$2596</f>
        <v>2025</v>
      </c>
      <c r="O1405" s="19"/>
      <c r="P1405" s="343"/>
      <c r="Q1405" s="343"/>
      <c r="R1405" s="343"/>
      <c r="S1405" s="297" t="s">
        <v>1846</v>
      </c>
      <c r="T1405" s="7"/>
      <c r="U1405" s="349"/>
      <c r="V1405" s="349"/>
    </row>
    <row r="1406" spans="1:22" s="534" customFormat="1" x14ac:dyDescent="0.25">
      <c r="A1406" s="343"/>
      <c r="B1406" s="15"/>
      <c r="C1406" s="15"/>
      <c r="D1406" s="965"/>
      <c r="E1406" s="944" t="str">
        <f>Translations!$B$1587</f>
        <v>Verksamhetsnivå</v>
      </c>
      <c r="F1406" s="944"/>
      <c r="G1406" s="944"/>
      <c r="H1406" s="1443" t="str">
        <f>H1390</f>
        <v>ton</v>
      </c>
      <c r="I1406" s="1615" t="str">
        <f>IF($I1297="","",IF(T1412&gt;=$H$2595,0,S1406))</f>
        <v/>
      </c>
      <c r="J1406" s="1161" t="str">
        <f>IF($I1297="","",INDEX(F_ProductBM!J:J,MATCH($P1406,F_ProductBM!$Q:$Q,0)))</f>
        <v/>
      </c>
      <c r="K1406" s="946" t="str">
        <f>IF($I1297="","",INDEX(F_ProductBM!K:K,MATCH($P1406,F_ProductBM!$Q:$Q,0)))</f>
        <v/>
      </c>
      <c r="L1406" s="946" t="str">
        <f>IF($I1297="","",INDEX(F_ProductBM!L:L,MATCH($P1406,F_ProductBM!$Q:$Q,0)))</f>
        <v/>
      </c>
      <c r="M1406" s="946" t="str">
        <f>IF($I1297="","",INDEX(F_ProductBM!M:M,MATCH($P1406,F_ProductBM!$Q:$Q,0)))</f>
        <v/>
      </c>
      <c r="N1406" s="1046" t="str">
        <f>IF($I1297="","",INDEX(F_ProductBM!N:N,MATCH($P1406,F_ProductBM!$Q:$Q,0)))</f>
        <v/>
      </c>
      <c r="O1406" s="19"/>
      <c r="P1406" s="165" t="str">
        <f>EUconst_CNTR_HALfinal&amp;I1297</f>
        <v>HALfinal_</v>
      </c>
      <c r="Q1406" s="343"/>
      <c r="R1406" s="343"/>
      <c r="S1406" s="1691" t="str">
        <f>IF($I1297="","",INDEX(F_ProductBM!I:I,MATCH($P1406,F_ProductBM!$Q:$Q,0)))</f>
        <v/>
      </c>
      <c r="T1406" s="7"/>
      <c r="U1406" s="349"/>
      <c r="V1406" s="349"/>
    </row>
    <row r="1407" spans="1:22" s="534" customFormat="1" x14ac:dyDescent="0.25">
      <c r="A1407" s="343"/>
      <c r="B1407" s="15"/>
      <c r="C1407" s="15"/>
      <c r="D1407" s="965"/>
      <c r="E1407" s="1376" t="str">
        <f>Translations!$B$1036</f>
        <v>Värme utanför ETS</v>
      </c>
      <c r="F1407" s="1376"/>
      <c r="G1407" s="1376"/>
      <c r="H1407" s="1429" t="str">
        <f>EUconst_EUA</f>
        <v>EUA</v>
      </c>
      <c r="I1407" s="1616" t="str">
        <f>IF($I1297="","",IF(YEAR(J1300)&gt;=$H$2595-1,0,S1407))</f>
        <v/>
      </c>
      <c r="J1407" s="1430" t="str">
        <f>IF($I1297="","",INDEX(F_ProductBM!J:J,MATCH($P1407,F_ProductBM!$Q:$Q,0)))</f>
        <v/>
      </c>
      <c r="K1407" s="1431" t="str">
        <f>IF($I1297="","",INDEX(F_ProductBM!K:K,MATCH($P1407,F_ProductBM!$Q:$Q,0)))</f>
        <v/>
      </c>
      <c r="L1407" s="1431" t="str">
        <f>IF($I1297="","",INDEX(F_ProductBM!L:L,MATCH($P1407,F_ProductBM!$Q:$Q,0)))</f>
        <v/>
      </c>
      <c r="M1407" s="1431" t="str">
        <f>IF($I1297="","",INDEX(F_ProductBM!M:M,MATCH($P1407,F_ProductBM!$Q:$Q,0)))</f>
        <v/>
      </c>
      <c r="N1407" s="1432" t="str">
        <f>IF($I1297="","",INDEX(F_ProductBM!N:N,MATCH($P1407,F_ProductBM!$Q:$Q,0)))</f>
        <v/>
      </c>
      <c r="O1407" s="19"/>
      <c r="P1407" s="165" t="str">
        <f>EUconst_CNTR_HEATfinal&amp;I1297</f>
        <v>HEATfinal_</v>
      </c>
      <c r="Q1407" s="343"/>
      <c r="R1407" s="343"/>
      <c r="S1407" s="1692" t="str">
        <f>IF($I1297="","",INDEX(F_ProductBM!I:I,MATCH($P1407,F_ProductBM!$Q:$Q,0)))</f>
        <v/>
      </c>
      <c r="T1407" s="7"/>
      <c r="U1407" s="349"/>
      <c r="V1407" s="349"/>
    </row>
    <row r="1408" spans="1:22" s="534" customFormat="1" x14ac:dyDescent="0.25">
      <c r="A1408" s="343"/>
      <c r="B1408" s="15"/>
      <c r="C1408" s="15"/>
      <c r="D1408" s="965"/>
      <c r="E1408" s="947" t="str">
        <f>Translations!$B$1038</f>
        <v>Wgfacklad</v>
      </c>
      <c r="F1408" s="947"/>
      <c r="G1408" s="947"/>
      <c r="H1408" s="955" t="str">
        <f>EUconst_EUA</f>
        <v>EUA</v>
      </c>
      <c r="I1408" s="1617" t="str">
        <f>IF($I1297="","",IF(T1412&gt;=$H$2595,0,S1408))</f>
        <v/>
      </c>
      <c r="J1408" s="1162" t="str">
        <f>IF($I1297="","",INDEX(F_ProductBM!J:J,MATCH($P1408,F_ProductBM!$Q:$Q,0)))</f>
        <v/>
      </c>
      <c r="K1408" s="949" t="str">
        <f>IF($I1297="","",INDEX(F_ProductBM!K:K,MATCH($P1408,F_ProductBM!$Q:$Q,0)))</f>
        <v/>
      </c>
      <c r="L1408" s="949" t="str">
        <f>IF($I1297="","",INDEX(F_ProductBM!L:L,MATCH($P1408,F_ProductBM!$Q:$Q,0)))</f>
        <v/>
      </c>
      <c r="M1408" s="949" t="str">
        <f>IF($I1297="","",INDEX(F_ProductBM!M:M,MATCH($P1408,F_ProductBM!$Q:$Q,0)))</f>
        <v/>
      </c>
      <c r="N1408" s="969" t="str">
        <f>IF($I1297="","",INDEX(F_ProductBM!N:N,MATCH($P1408,F_ProductBM!$Q:$Q,0)))</f>
        <v/>
      </c>
      <c r="O1408" s="19"/>
      <c r="P1408" s="165" t="str">
        <f>EUconst_CNTR_HALfinal&amp;EUconst_CNTR_WGFlared&amp;$I1297</f>
        <v>HALfinal_WasteGasFlare_</v>
      </c>
      <c r="Q1408" s="343"/>
      <c r="R1408" s="343"/>
      <c r="S1408" s="1693" t="str">
        <f>IF($I1297="","",INDEX(F_ProductBM!I:I,MATCH($P1408,F_ProductBM!$Q:$Q,0)))</f>
        <v/>
      </c>
      <c r="T1408" s="7"/>
      <c r="U1408" s="349"/>
      <c r="V1408" s="349"/>
    </row>
    <row r="1409" spans="1:22" s="534" customFormat="1" x14ac:dyDescent="0.25">
      <c r="A1409" s="343"/>
      <c r="B1409" s="15"/>
      <c r="C1409" s="15"/>
      <c r="D1409" s="965"/>
      <c r="E1409" s="947" t="s">
        <v>1527</v>
      </c>
      <c r="F1409" s="947"/>
      <c r="G1409" s="947"/>
      <c r="H1409" s="955" t="str">
        <f>EUconst_EUA</f>
        <v>EUA</v>
      </c>
      <c r="I1409" s="1617" t="str">
        <f>IF($I1297="","",IF(T1412&gt;=$H$2595,0,IF(L1300=42,S1409,0)))</f>
        <v/>
      </c>
      <c r="J1409" s="1162" t="str">
        <f>IF($I1297="","",IF($L1300=42,INDEX(H_SpecialBM!J:J,MATCH($P1409,H_SpecialBM!$Q:$Q,0)),0))</f>
        <v/>
      </c>
      <c r="K1409" s="949" t="str">
        <f>IF($I1297="","",IF($L1300=42,INDEX(H_SpecialBM!K:K,MATCH($P1409,H_SpecialBM!$Q:$Q,0)),0))</f>
        <v/>
      </c>
      <c r="L1409" s="949" t="str">
        <f>IF($I1297="","",IF($L1300=42,INDEX(H_SpecialBM!L:L,MATCH($P1409,H_SpecialBM!$Q:$Q,0)),0))</f>
        <v/>
      </c>
      <c r="M1409" s="949" t="str">
        <f>IF($I1297="","",IF($L1300=42,INDEX(H_SpecialBM!M:M,MATCH($P1409,H_SpecialBM!$Q:$Q,0)),0))</f>
        <v/>
      </c>
      <c r="N1409" s="969" t="str">
        <f>IF($I1297="","",IF($L1300=42,INDEX(H_SpecialBM!N:N,MATCH($P1409,H_SpecialBM!$Q:$Q,0)),0))</f>
        <v/>
      </c>
      <c r="O1409" s="19"/>
      <c r="P1409" s="165" t="str">
        <f>EUconst_CNTR_HVCfinal</f>
        <v>HVCfinal_</v>
      </c>
      <c r="Q1409" s="343"/>
      <c r="R1409" s="343"/>
      <c r="S1409" s="1693" t="str">
        <f>IF($I1297="","",IF(L1300=42,INDEX(H_SpecialBM!I:I,MATCH($P1409,H_SpecialBM!$Q:$Q,0)),0))</f>
        <v/>
      </c>
      <c r="T1409" s="7"/>
      <c r="U1409" s="349"/>
      <c r="V1409" s="349"/>
    </row>
    <row r="1410" spans="1:22" s="534" customFormat="1" x14ac:dyDescent="0.25">
      <c r="A1410" s="343"/>
      <c r="B1410" s="15"/>
      <c r="C1410" s="15"/>
      <c r="D1410" s="965"/>
      <c r="E1410" s="947" t="s">
        <v>1526</v>
      </c>
      <c r="F1410" s="947"/>
      <c r="G1410" s="947"/>
      <c r="H1410" s="956" t="s">
        <v>1112</v>
      </c>
      <c r="I1410" s="1618" t="str">
        <f>IF(AND($I1297&lt;&gt;"",$I1300=TRUE),IF(T1412&gt;=$H$2595,1,S1410),IF($I1297="","",1))</f>
        <v/>
      </c>
      <c r="J1410" s="1163" t="str">
        <f>IF(AND($I1297&lt;&gt;"",$I1300=TRUE),INDEX(F_ProductBM!J:J,MATCH($P1410,F_ProductBM!$Q:$Q,0)),IF($I1297="","",1))</f>
        <v/>
      </c>
      <c r="K1410" s="959" t="str">
        <f>IF(AND($I1297&lt;&gt;"",$I1300=TRUE),INDEX(F_ProductBM!K:K,MATCH($P1410,F_ProductBM!$Q:$Q,0)),IF($I1297="","",1))</f>
        <v/>
      </c>
      <c r="L1410" s="959" t="str">
        <f>IF(AND($I1297&lt;&gt;"",$I1300=TRUE),INDEX(F_ProductBM!L:L,MATCH($P1410,F_ProductBM!$Q:$Q,0)),IF($I1297="","",1))</f>
        <v/>
      </c>
      <c r="M1410" s="959" t="str">
        <f>IF(AND($I1297&lt;&gt;"",$I1300=TRUE),INDEX(F_ProductBM!M:M,MATCH($P1410,F_ProductBM!$Q:$Q,0)),IF($I1297="","",1))</f>
        <v/>
      </c>
      <c r="N1410" s="970" t="str">
        <f>IF(AND($I1297&lt;&gt;"",$I1300=TRUE),INDEX(F_ProductBM!N:N,MATCH($P1410,F_ProductBM!$Q:$Q,0)),IF($I1297="","",1))</f>
        <v/>
      </c>
      <c r="O1410" s="19"/>
      <c r="P1410" s="165" t="str">
        <f>EUconst_CNTR_HALfinal&amp;EUconst_CNTR_ELEXCH&amp;$I1297</f>
        <v>HALfinal_ELEXCH_</v>
      </c>
      <c r="Q1410" s="343"/>
      <c r="R1410" s="343"/>
      <c r="S1410" s="1694" t="str">
        <f>IF(AND($I1297&lt;&gt;"",$I1300=TRUE),INDEX(F_ProductBM!I:I,MATCH($P1410,F_ProductBM!$Q:$Q,0)),IF($I1297="","",1))</f>
        <v/>
      </c>
      <c r="T1410" s="343"/>
      <c r="U1410" s="349"/>
      <c r="V1410" s="349"/>
    </row>
    <row r="1411" spans="1:22" s="534" customFormat="1" x14ac:dyDescent="0.25">
      <c r="A1411" s="343"/>
      <c r="B1411" s="15"/>
      <c r="C1411" s="15"/>
      <c r="D1411" s="965"/>
      <c r="E1411" s="950" t="s">
        <v>1528</v>
      </c>
      <c r="F1411" s="950"/>
      <c r="G1411" s="950"/>
      <c r="H1411" s="957" t="s">
        <v>1112</v>
      </c>
      <c r="I1411" s="1619" t="str">
        <f>IF($I1297="","",IF($L1300=47,IF(AND(ISNUMBER(S1411),YEAR(J1300)&lt;2021),S1411,1),1))</f>
        <v/>
      </c>
      <c r="J1411" s="1164" t="str">
        <f>IF($I1297="","",IF($L1300=47,IF(ISNUMBER(INDEX(H_SpecialBM!J:J,MATCH($P1411,H_SpecialBM!$Q:$Q,0))),INDEX(H_SpecialBM!J:J,MATCH($P1411,H_SpecialBM!$Q:$Q,0)),1),1))</f>
        <v/>
      </c>
      <c r="K1411" s="958" t="str">
        <f>IF($I1297="","",IF($L1300=47,IF(ISNUMBER(INDEX(H_SpecialBM!K:K,MATCH($P1411,H_SpecialBM!$Q:$Q,0))),INDEX(H_SpecialBM!K:K,MATCH($P1411,H_SpecialBM!$Q:$Q,0)),1),1))</f>
        <v/>
      </c>
      <c r="L1411" s="958" t="str">
        <f>IF($I1297="","",IF($L1300=47,IF(ISNUMBER(INDEX(H_SpecialBM!L:L,MATCH($P1411,H_SpecialBM!$Q:$Q,0))),INDEX(H_SpecialBM!L:L,MATCH($P1411,H_SpecialBM!$Q:$Q,0)),1),1))</f>
        <v/>
      </c>
      <c r="M1411" s="958" t="str">
        <f>IF($I1297="","",IF($L1300=47,IF(ISNUMBER(INDEX(H_SpecialBM!M:M,MATCH($P1411,H_SpecialBM!$Q:$Q,0))),INDEX(H_SpecialBM!M:M,MATCH($P1411,H_SpecialBM!$Q:$Q,0)),1),1))</f>
        <v/>
      </c>
      <c r="N1411" s="971" t="str">
        <f>IF($I1297="","",IF($L1300=47,IF(ISNUMBER(INDEX(H_SpecialBM!N:N,MATCH($P1411,H_SpecialBM!$Q:$Q,0))),INDEX(H_SpecialBM!N:N,MATCH($P1411,H_SpecialBM!$Q:$Q,0)),1),1))</f>
        <v/>
      </c>
      <c r="O1411" s="19"/>
      <c r="P1411" s="165" t="str">
        <f>EUconst_CNTR_VCMfinal</f>
        <v>VCMfinal_</v>
      </c>
      <c r="Q1411" s="343"/>
      <c r="R1411" s="343"/>
      <c r="S1411" s="1695" t="str">
        <f>IF($I1297="","",IF($L1300=47,IF(ISNUMBER(INDEX(H_SpecialBM!I:I,MATCH($P1411,H_SpecialBM!$Q:$Q,0))),INDEX(H_SpecialBM!I:I,MATCH($P1411,H_SpecialBM!$Q:$Q,0)),1),1))</f>
        <v/>
      </c>
      <c r="T1411" s="343"/>
      <c r="U1411" s="349"/>
      <c r="V1411" s="349"/>
    </row>
    <row r="1412" spans="1:22" s="534" customFormat="1" x14ac:dyDescent="0.25">
      <c r="A1412" s="343"/>
      <c r="B1412" s="15"/>
      <c r="C1412" s="15"/>
      <c r="D1412" s="965"/>
      <c r="E1412" s="514" t="str">
        <f>Translations!$B$956</f>
        <v>Preliminär tilldelning</v>
      </c>
      <c r="F1412" s="514"/>
      <c r="G1412" s="514"/>
      <c r="H1412" s="129" t="str">
        <f>EUconst_EUA</f>
        <v>EUA</v>
      </c>
      <c r="I1412" s="1620" t="str">
        <f>IF($I1297="","",MAX(0,ROUND((SUM($M1300)*SUM(I1406)*SUM(I1410)*SUM(I1411)-SUM(I1407)-SUM(I1408)+SUM(I1409))*IF($H1300=TRUE,1,J$2517),0)))</f>
        <v/>
      </c>
      <c r="J1412" s="1131" t="str">
        <f>IF($I1297="","",MAX(0,ROUND((SUM($M1300)*SUM(J1406)*SUM(J1410)*SUM(J1411)-SUM(J1407)-SUM(J1408)+SUM(J1409))*IF($H1300=TRUE,1,J$2517),0)))</f>
        <v/>
      </c>
      <c r="K1412" s="421" t="str">
        <f>IF($I1297="","",MAX(0,ROUND((SUM($M1300)*SUM(K1406)*SUM(K1410)*SUM(K1411)-SUM(K1407)-SUM(K1408)+SUM(K1409))*IF($H1300=TRUE,1,K$2517),0)))</f>
        <v/>
      </c>
      <c r="L1412" s="421" t="str">
        <f>IF($I1297="","",MAX(0,ROUND((SUM($M1300)*SUM(L1406)*SUM(L1410)*SUM(L1411)-SUM(L1407)-SUM(L1408)+SUM(L1409))*IF($H1300=TRUE,1,L$2517),0)))</f>
        <v/>
      </c>
      <c r="M1412" s="421" t="str">
        <f>IF($I1297="","",MAX(0,ROUND((SUM($M1300)*SUM(M1406)*SUM(M1410)*SUM(M1411)-SUM(M1407)-SUM(M1408)+SUM(M1409))*IF($H1300=TRUE,1,M$2517),0)))</f>
        <v/>
      </c>
      <c r="N1412" s="967" t="str">
        <f>IF($I1297="","",MAX(0,ROUND((SUM($M1300+IF(L1300=52,0.415,0))*SUM(N1406)*SUM(N1410)*SUM(N1411)-SUM(N1407)-SUM(N1408)+SUM(N1409))*IF($H1300=TRUE,1,N$2517),0)))</f>
        <v/>
      </c>
      <c r="O1412" s="19"/>
      <c r="P1412" s="165" t="str">
        <f>EUconst_AllocPrelim&amp;I1297</f>
        <v>AllocPrelim_</v>
      </c>
      <c r="Q1412" s="343"/>
      <c r="R1412" s="343"/>
      <c r="S1412" s="1696" t="str">
        <f>IF($I1297="","",MAX(0,ROUND((SUM($M1300)*SUM(S1406)*SUM(S1410)*SUM(S1411)-SUM(S1407)-SUM(S1408)+SUM(S1409))*IF($H1300=TRUE,1,J$2517),0)))</f>
        <v/>
      </c>
      <c r="T1412" s="663">
        <f>INDEX(F_ProductBM!V:V,MATCH(C1297,F_ProductBM!C:C,0))</f>
        <v>2005</v>
      </c>
      <c r="U1412" s="603" t="e">
        <f>OR(INDEX(I1412:N1412,CNTR_ReportingYear-$I$2596)&lt;&gt;INDEX(I1412:N1412,CNTR_ReportingYear-$H$2596),
(CNTR_ReportingYear-T1412)&lt;=1)</f>
        <v>#REF!</v>
      </c>
      <c r="V1412" s="355" t="b">
        <f ca="1">IF(I1412="",FALSE,COUNTIF(OFFSET(I1412,,,,MAX(1,CNTR_ReportingYear-$I$2596)),"&lt;&gt;" &amp; INDEX(I1412:N1412,CNTR_ReportingYear-$H$2596))&gt;0)</f>
        <v>0</v>
      </c>
    </row>
    <row r="1413" spans="1:22" s="534" customFormat="1" ht="5.15" customHeight="1" thickBot="1" x14ac:dyDescent="0.3">
      <c r="A1413" s="343"/>
      <c r="B1413" s="15"/>
      <c r="C1413" s="15"/>
      <c r="D1413" s="972"/>
      <c r="E1413" s="973"/>
      <c r="F1413" s="973"/>
      <c r="G1413" s="973"/>
      <c r="H1413" s="973"/>
      <c r="I1413" s="973"/>
      <c r="J1413" s="973"/>
      <c r="K1413" s="973"/>
      <c r="L1413" s="973"/>
      <c r="M1413" s="973"/>
      <c r="N1413" s="974"/>
      <c r="O1413" s="19"/>
      <c r="P1413" s="343"/>
      <c r="Q1413" s="343"/>
      <c r="R1413" s="343"/>
      <c r="S1413" s="343"/>
      <c r="T1413" s="343"/>
      <c r="U1413" s="349"/>
      <c r="V1413" s="349"/>
    </row>
    <row r="1414" spans="1:22" s="534" customFormat="1" ht="5.15" customHeight="1" thickBot="1" x14ac:dyDescent="0.3">
      <c r="A1414" s="343"/>
      <c r="B1414" s="15"/>
      <c r="C1414" s="15"/>
      <c r="E1414" s="289"/>
      <c r="F1414" s="15"/>
      <c r="G1414" s="15"/>
      <c r="H1414" s="15"/>
      <c r="I1414" s="15"/>
      <c r="J1414" s="15"/>
      <c r="K1414" s="15"/>
      <c r="L1414" s="15"/>
      <c r="M1414" s="15"/>
      <c r="N1414" s="15"/>
      <c r="O1414" s="19"/>
      <c r="P1414" s="343"/>
      <c r="Q1414" s="343"/>
      <c r="R1414" s="343"/>
      <c r="S1414" s="343"/>
      <c r="T1414" s="343"/>
      <c r="U1414" s="349"/>
      <c r="V1414" s="349"/>
    </row>
    <row r="1415" spans="1:22" s="534" customFormat="1" ht="12.75" customHeight="1" x14ac:dyDescent="0.25">
      <c r="A1415" s="343"/>
      <c r="B1415" s="15"/>
      <c r="C1415" s="15"/>
      <c r="D1415" s="1452"/>
      <c r="E1415" s="1453"/>
      <c r="F1415" s="1453"/>
      <c r="G1415" s="777"/>
      <c r="H1415" s="777"/>
      <c r="I1415" s="777"/>
      <c r="J1415" s="777"/>
      <c r="K1415" s="777"/>
      <c r="L1415" s="777"/>
      <c r="M1415" s="777"/>
      <c r="N1415" s="778"/>
      <c r="O1415" s="19"/>
      <c r="P1415" s="343"/>
      <c r="Q1415" s="343"/>
      <c r="R1415" s="343"/>
      <c r="S1415" s="343"/>
      <c r="T1415" s="343"/>
      <c r="U1415" s="349"/>
      <c r="V1415" s="349"/>
    </row>
    <row r="1416" spans="1:22" s="534" customFormat="1" ht="13.5" thickBot="1" x14ac:dyDescent="0.3">
      <c r="A1416" s="343"/>
      <c r="B1416" s="15"/>
      <c r="C1416" s="15"/>
      <c r="D1416" s="1454"/>
      <c r="E1416" s="416"/>
      <c r="F1416" s="416"/>
      <c r="G1416" s="415" t="str">
        <f>EUconst_Unit</f>
        <v>Enhet</v>
      </c>
      <c r="H1416" s="744">
        <f t="shared" ref="H1416:M1416" si="252">H$2596</f>
        <v>2019</v>
      </c>
      <c r="I1416" s="1155">
        <f t="shared" si="252"/>
        <v>2020</v>
      </c>
      <c r="J1416" s="1104">
        <f t="shared" si="252"/>
        <v>2021</v>
      </c>
      <c r="K1416" s="362">
        <f t="shared" si="252"/>
        <v>2022</v>
      </c>
      <c r="L1416" s="362">
        <f t="shared" si="252"/>
        <v>2023</v>
      </c>
      <c r="M1416" s="362">
        <f t="shared" si="252"/>
        <v>2024</v>
      </c>
      <c r="N1416" s="1141">
        <f>N$2596</f>
        <v>2025</v>
      </c>
      <c r="O1416" s="19"/>
      <c r="P1416" s="343"/>
      <c r="Q1416" s="343"/>
      <c r="R1416" s="343"/>
      <c r="S1416" s="343"/>
      <c r="T1416" s="7"/>
      <c r="U1416" s="349"/>
      <c r="V1416" s="349"/>
    </row>
    <row r="1417" spans="1:22" s="534" customFormat="1" ht="13.5" customHeight="1" thickBot="1" x14ac:dyDescent="0.3">
      <c r="A1417" s="343"/>
      <c r="B1417" s="15"/>
      <c r="C1417" s="15"/>
      <c r="D1417" s="1454"/>
      <c r="E1417" s="2747" t="str">
        <f>Translations!$B$1056</f>
        <v>Totala tillskrivna utsläpp</v>
      </c>
      <c r="F1417" s="2747"/>
      <c r="G1417" s="710" t="str">
        <f>EUconst_tCO2epa</f>
        <v>t CO2e/år</v>
      </c>
      <c r="H1417" s="735" t="str">
        <f t="shared" ref="H1417:N1417" si="253">INDEX(H$92:H$108,MATCH($I1297,$E$92:$E$108,0))</f>
        <v/>
      </c>
      <c r="I1417" s="1156" t="str">
        <f t="shared" si="253"/>
        <v/>
      </c>
      <c r="J1417" s="735" t="str">
        <f t="shared" si="253"/>
        <v/>
      </c>
      <c r="K1417" s="736" t="str">
        <f t="shared" si="253"/>
        <v/>
      </c>
      <c r="L1417" s="736" t="str">
        <f t="shared" si="253"/>
        <v/>
      </c>
      <c r="M1417" s="736" t="str">
        <f t="shared" si="253"/>
        <v/>
      </c>
      <c r="N1417" s="737" t="str">
        <f t="shared" si="253"/>
        <v/>
      </c>
      <c r="O1417" s="19"/>
      <c r="P1417" s="343"/>
      <c r="Q1417" s="343"/>
      <c r="R1417" s="343"/>
      <c r="S1417" s="343"/>
      <c r="T1417" s="7"/>
      <c r="U1417" s="349"/>
      <c r="V1417" s="349"/>
    </row>
    <row r="1418" spans="1:22" s="534" customFormat="1" ht="5.15" customHeight="1" x14ac:dyDescent="0.25">
      <c r="A1418" s="343"/>
      <c r="B1418" s="15"/>
      <c r="C1418" s="15"/>
      <c r="D1418" s="1454"/>
      <c r="E1418" s="899"/>
      <c r="F1418" s="899"/>
      <c r="G1418" s="416"/>
      <c r="H1418" s="738"/>
      <c r="I1418" s="738"/>
      <c r="J1418" s="738"/>
      <c r="K1418" s="738"/>
      <c r="L1418" s="738"/>
      <c r="M1418" s="738"/>
      <c r="N1418" s="1455"/>
      <c r="O1418" s="19"/>
      <c r="P1418" s="343"/>
      <c r="Q1418" s="343"/>
      <c r="R1418" s="343"/>
      <c r="S1418" s="343"/>
      <c r="T1418" s="7"/>
      <c r="U1418" s="349"/>
      <c r="V1418" s="349"/>
    </row>
    <row r="1419" spans="1:22" s="534" customFormat="1" ht="12.75" customHeight="1" x14ac:dyDescent="0.25">
      <c r="A1419" s="343"/>
      <c r="B1419" s="15"/>
      <c r="C1419" s="15"/>
      <c r="D1419" s="1454"/>
      <c r="E1419" s="2611" t="str">
        <f>Translations!$B$571</f>
        <v>Insatsbränsle</v>
      </c>
      <c r="F1419" s="2484"/>
      <c r="G1419" s="365" t="str">
        <f>EUconst_TJpa</f>
        <v>TJ / år</v>
      </c>
      <c r="H1419" s="739" t="str">
        <f>IF($I1297="","",IF(INDEX(F_ProductBM!H:H,MATCH($P1419,F_ProductBM!$Q:$Q,0))="","",INDEX(F_ProductBM!H:H,MATCH($P1419,F_ProductBM!$Q:$Q,0))))</f>
        <v/>
      </c>
      <c r="I1419" s="1153" t="str">
        <f>IF($I1297="","",IF(INDEX(F_ProductBM!I:I,MATCH($P1419,F_ProductBM!$Q:$Q,0))="","",INDEX(F_ProductBM!I:I,MATCH($P1419,F_ProductBM!$Q:$Q,0))))</f>
        <v/>
      </c>
      <c r="J1419" s="1159" t="str">
        <f>IF($I1297="","",IF(INDEX(F_ProductBM!J:J,MATCH($P1419,F_ProductBM!$Q:$Q,0))="","",INDEX(F_ProductBM!J:J,MATCH($P1419,F_ProductBM!$Q:$Q,0))))</f>
        <v/>
      </c>
      <c r="K1419" s="739" t="str">
        <f>IF($I1297="","",IF(INDEX(F_ProductBM!K:K,MATCH($P1419,F_ProductBM!$Q:$Q,0))="","",INDEX(F_ProductBM!K:K,MATCH($P1419,F_ProductBM!$Q:$Q,0))))</f>
        <v/>
      </c>
      <c r="L1419" s="739" t="str">
        <f>IF($I1297="","",IF(INDEX(F_ProductBM!L:L,MATCH($P1419,F_ProductBM!$Q:$Q,0))="","",INDEX(F_ProductBM!L:L,MATCH($P1419,F_ProductBM!$Q:$Q,0))))</f>
        <v/>
      </c>
      <c r="M1419" s="739" t="str">
        <f>IF($I1297="","",IF(INDEX(F_ProductBM!M:M,MATCH($P1419,F_ProductBM!$Q:$Q,0))="","",INDEX(F_ProductBM!M:M,MATCH($P1419,F_ProductBM!$Q:$Q,0))))</f>
        <v/>
      </c>
      <c r="N1419" s="1456" t="str">
        <f>IF($I1297="","",IF(INDEX(F_ProductBM!N:N,MATCH($P1419,F_ProductBM!$Q:$Q,0))="","",INDEX(F_ProductBM!N:N,MATCH($P1419,F_ProductBM!$Q:$Q,0))))</f>
        <v/>
      </c>
      <c r="O1419" s="19"/>
      <c r="P1419" s="622" t="str">
        <f>EUconst_CNTR_FuelInput &amp; I1297</f>
        <v>FuelInput_</v>
      </c>
      <c r="Q1419" s="343"/>
      <c r="R1419" s="343"/>
      <c r="S1419" s="343"/>
      <c r="T1419" s="7"/>
      <c r="U1419" s="349"/>
      <c r="V1419" s="349"/>
    </row>
    <row r="1420" spans="1:22" s="534" customFormat="1" ht="12.75" customHeight="1" x14ac:dyDescent="0.25">
      <c r="A1420" s="343"/>
      <c r="B1420" s="15"/>
      <c r="C1420" s="15"/>
      <c r="D1420" s="1454"/>
      <c r="E1420" s="2612" t="str">
        <f>Translations!$B$572</f>
        <v>Viktad emissionsfaktor</v>
      </c>
      <c r="F1420" s="2487"/>
      <c r="G1420" s="384" t="str">
        <f>EUconst_tCO2pTJ</f>
        <v>t CO2 / TJ</v>
      </c>
      <c r="H1420" s="740" t="str">
        <f>IF($I1297="","",IF(INDEX(F_ProductBM!H:H,MATCH($P1420,F_ProductBM!$Q:$Q,0))="","",INDEX(F_ProductBM!H:H,MATCH($P1420,F_ProductBM!$Q:$Q,0))))</f>
        <v/>
      </c>
      <c r="I1420" s="1154" t="str">
        <f>IF($I1297="","",IF(INDEX(F_ProductBM!I:I,MATCH($P1420,F_ProductBM!$Q:$Q,0))="","",INDEX(F_ProductBM!I:I,MATCH($P1420,F_ProductBM!$Q:$Q,0))))</f>
        <v/>
      </c>
      <c r="J1420" s="1160" t="str">
        <f>IF($I1297="","",IF(INDEX(F_ProductBM!J:J,MATCH($P1420,F_ProductBM!$Q:$Q,0))="","",INDEX(F_ProductBM!J:J,MATCH($P1420,F_ProductBM!$Q:$Q,0))))</f>
        <v/>
      </c>
      <c r="K1420" s="740" t="str">
        <f>IF($I1297="","",IF(INDEX(F_ProductBM!K:K,MATCH($P1420,F_ProductBM!$Q:$Q,0))="","",INDEX(F_ProductBM!K:K,MATCH($P1420,F_ProductBM!$Q:$Q,0))))</f>
        <v/>
      </c>
      <c r="L1420" s="740" t="str">
        <f>IF($I1297="","",IF(INDEX(F_ProductBM!L:L,MATCH($P1420,F_ProductBM!$Q:$Q,0))="","",INDEX(F_ProductBM!L:L,MATCH($P1420,F_ProductBM!$Q:$Q,0))))</f>
        <v/>
      </c>
      <c r="M1420" s="740" t="str">
        <f>IF($I1297="","",IF(INDEX(F_ProductBM!M:M,MATCH($P1420,F_ProductBM!$Q:$Q,0))="","",INDEX(F_ProductBM!M:M,MATCH($P1420,F_ProductBM!$Q:$Q,0))))</f>
        <v/>
      </c>
      <c r="N1420" s="1457" t="str">
        <f>IF($I1297="","",IF(INDEX(F_ProductBM!N:N,MATCH($P1420,F_ProductBM!$Q:$Q,0))="","",INDEX(F_ProductBM!N:N,MATCH($P1420,F_ProductBM!$Q:$Q,0))))</f>
        <v/>
      </c>
      <c r="O1420" s="19"/>
      <c r="P1420" s="298" t="str">
        <f>EUconst_CNTR_FuelEF &amp; I1297</f>
        <v>FuelEF_</v>
      </c>
      <c r="Q1420" s="343"/>
      <c r="R1420" s="343"/>
      <c r="S1420" s="343"/>
      <c r="T1420" s="7"/>
      <c r="U1420" s="349"/>
      <c r="V1420" s="349"/>
    </row>
    <row r="1421" spans="1:22" s="534" customFormat="1" ht="5.15" customHeight="1" x14ac:dyDescent="0.25">
      <c r="A1421" s="343"/>
      <c r="B1421" s="15"/>
      <c r="C1421" s="15"/>
      <c r="D1421" s="1454"/>
      <c r="E1421" s="899"/>
      <c r="F1421" s="899"/>
      <c r="G1421" s="623"/>
      <c r="H1421" s="741"/>
      <c r="I1421" s="741"/>
      <c r="J1421" s="741"/>
      <c r="K1421" s="741"/>
      <c r="L1421" s="741"/>
      <c r="M1421" s="741"/>
      <c r="N1421" s="1458"/>
      <c r="O1421" s="19"/>
      <c r="P1421" s="343"/>
      <c r="Q1421" s="343"/>
      <c r="R1421" s="343"/>
      <c r="S1421" s="343"/>
      <c r="T1421" s="7"/>
      <c r="U1421" s="349"/>
      <c r="V1421" s="349"/>
    </row>
    <row r="1422" spans="1:22" s="534" customFormat="1" ht="12.75" customHeight="1" x14ac:dyDescent="0.25">
      <c r="A1422" s="343"/>
      <c r="B1422" s="15"/>
      <c r="C1422" s="15"/>
      <c r="D1422" s="1454"/>
      <c r="E1422" s="2613" t="str">
        <f>Translations!$B$528</f>
        <v>Direkta utsläpp</v>
      </c>
      <c r="F1422" s="1997"/>
      <c r="G1422" s="364" t="str">
        <f>EUconst_tCO2pa</f>
        <v>t CO2 / år</v>
      </c>
      <c r="H1422" s="742" t="str">
        <f>IF($I1297="","",IF(INDEX(F_ProductBM!H:H,MATCH($P1422,F_ProductBM!$Q:$Q,0))="","",INDEX(F_ProductBM!H:H,MATCH($P1422,F_ProductBM!$Q:$Q,0))))</f>
        <v/>
      </c>
      <c r="I1422" s="1021" t="str">
        <f>IF($I1297="","",IF(INDEX(F_ProductBM!I:I,MATCH($P1422,F_ProductBM!$Q:$Q,0))="","",INDEX(F_ProductBM!I:I,MATCH($P1422,F_ProductBM!$Q:$Q,0))))</f>
        <v/>
      </c>
      <c r="J1422" s="1158" t="str">
        <f>IF($I1297="","",IF(INDEX(F_ProductBM!J:J,MATCH($P1422,F_ProductBM!$Q:$Q,0))="","",INDEX(F_ProductBM!J:J,MATCH($P1422,F_ProductBM!$Q:$Q,0))))</f>
        <v/>
      </c>
      <c r="K1422" s="742" t="str">
        <f>IF($I1297="","",IF(INDEX(F_ProductBM!K:K,MATCH($P1422,F_ProductBM!$Q:$Q,0))="","",INDEX(F_ProductBM!K:K,MATCH($P1422,F_ProductBM!$Q:$Q,0))))</f>
        <v/>
      </c>
      <c r="L1422" s="742" t="str">
        <f>IF($I1297="","",IF(INDEX(F_ProductBM!L:L,MATCH($P1422,F_ProductBM!$Q:$Q,0))="","",INDEX(F_ProductBM!L:L,MATCH($P1422,F_ProductBM!$Q:$Q,0))))</f>
        <v/>
      </c>
      <c r="M1422" s="742" t="str">
        <f>IF($I1297="","",IF(INDEX(F_ProductBM!M:M,MATCH($P1422,F_ProductBM!$Q:$Q,0))="","",INDEX(F_ProductBM!M:M,MATCH($P1422,F_ProductBM!$Q:$Q,0))))</f>
        <v/>
      </c>
      <c r="N1422" s="1459" t="str">
        <f>IF($I1297="","",IF(INDEX(F_ProductBM!N:N,MATCH($P1422,F_ProductBM!$Q:$Q,0))="","",INDEX(F_ProductBM!N:N,MATCH($P1422,F_ProductBM!$Q:$Q,0))))</f>
        <v/>
      </c>
      <c r="O1422" s="19"/>
      <c r="P1422" s="298" t="str">
        <f>EUconst_CNTR_Emissions &amp; I1297</f>
        <v>DirEmissions_</v>
      </c>
      <c r="Q1422" s="343"/>
      <c r="R1422" s="343"/>
      <c r="S1422" s="343"/>
      <c r="T1422" s="7"/>
      <c r="U1422" s="349"/>
      <c r="V1422" s="349"/>
    </row>
    <row r="1423" spans="1:22" s="534" customFormat="1" ht="12.75" customHeight="1" x14ac:dyDescent="0.25">
      <c r="A1423" s="343"/>
      <c r="B1423" s="15"/>
      <c r="C1423" s="15"/>
      <c r="D1423" s="1454"/>
      <c r="E1423" s="2613" t="str">
        <f>Translations!$B$582</f>
        <v>Andra bränsle-/materialmängder – 1</v>
      </c>
      <c r="F1423" s="1997"/>
      <c r="G1423" s="364" t="str">
        <f>EUconst_tCO2pa</f>
        <v>t CO2 / år</v>
      </c>
      <c r="H1423" s="742" t="str">
        <f>IF($I1297="","",IF(INDEX(F_ProductBM!H:H,MATCH($P1423,F_ProductBM!$Q:$Q,0))="","",INDEX(F_ProductBM!H:H,MATCH($P1423,F_ProductBM!$Q:$Q,0))))</f>
        <v/>
      </c>
      <c r="I1423" s="1021" t="str">
        <f>IF($I1297="","",IF(INDEX(F_ProductBM!I:I,MATCH($P1423,F_ProductBM!$Q:$Q,0))="","",INDEX(F_ProductBM!I:I,MATCH($P1423,F_ProductBM!$Q:$Q,0))))</f>
        <v/>
      </c>
      <c r="J1423" s="1158" t="str">
        <f>IF($I1297="","",IF(INDEX(F_ProductBM!J:J,MATCH($P1423,F_ProductBM!$Q:$Q,0))="","",INDEX(F_ProductBM!J:J,MATCH($P1423,F_ProductBM!$Q:$Q,0))))</f>
        <v/>
      </c>
      <c r="K1423" s="742" t="str">
        <f>IF($I1297="","",IF(INDEX(F_ProductBM!K:K,MATCH($P1423,F_ProductBM!$Q:$Q,0))="","",INDEX(F_ProductBM!K:K,MATCH($P1423,F_ProductBM!$Q:$Q,0))))</f>
        <v/>
      </c>
      <c r="L1423" s="742" t="str">
        <f>IF($I1297="","",IF(INDEX(F_ProductBM!L:L,MATCH($P1423,F_ProductBM!$Q:$Q,0))="","",INDEX(F_ProductBM!L:L,MATCH($P1423,F_ProductBM!$Q:$Q,0))))</f>
        <v/>
      </c>
      <c r="M1423" s="742" t="str">
        <f>IF($I1297="","",IF(INDEX(F_ProductBM!M:M,MATCH($P1423,F_ProductBM!$Q:$Q,0))="","",INDEX(F_ProductBM!M:M,MATCH($P1423,F_ProductBM!$Q:$Q,0))))</f>
        <v/>
      </c>
      <c r="N1423" s="1459" t="str">
        <f>IF($I1297="","",IF(INDEX(F_ProductBM!N:N,MATCH($P1423,F_ProductBM!$Q:$Q,0))="","",INDEX(F_ProductBM!N:N,MATCH($P1423,F_ProductBM!$Q:$Q,0))))</f>
        <v/>
      </c>
      <c r="O1423" s="19"/>
      <c r="P1423" s="298" t="str">
        <f>EUconst_CNTR_EmissionsIntSource1 &amp; I1297</f>
        <v>EmInternalSource1_</v>
      </c>
      <c r="Q1423" s="343"/>
      <c r="R1423" s="343"/>
      <c r="S1423" s="343"/>
      <c r="T1423" s="7"/>
      <c r="U1423" s="349"/>
      <c r="V1423" s="349"/>
    </row>
    <row r="1424" spans="1:22" s="534" customFormat="1" ht="12.75" customHeight="1" x14ac:dyDescent="0.25">
      <c r="A1424" s="343"/>
      <c r="B1424" s="15"/>
      <c r="C1424" s="15"/>
      <c r="D1424" s="1454"/>
      <c r="E1424" s="2613" t="str">
        <f>Translations!$B$592</f>
        <v>Andra bränsle-/materialmängder – 2</v>
      </c>
      <c r="F1424" s="1997"/>
      <c r="G1424" s="364" t="str">
        <f>EUconst_tCO2pa</f>
        <v>t CO2 / år</v>
      </c>
      <c r="H1424" s="742" t="str">
        <f>IF($I1297="","",IF(INDEX(F_ProductBM!H:H,MATCH($P1424,F_ProductBM!$Q:$Q,0))="","",INDEX(F_ProductBM!H:H,MATCH($P1424,F_ProductBM!$Q:$Q,0))))</f>
        <v/>
      </c>
      <c r="I1424" s="1021" t="str">
        <f>IF($I1297="","",IF(INDEX(F_ProductBM!I:I,MATCH($P1424,F_ProductBM!$Q:$Q,0))="","",INDEX(F_ProductBM!I:I,MATCH($P1424,F_ProductBM!$Q:$Q,0))))</f>
        <v/>
      </c>
      <c r="J1424" s="1158" t="str">
        <f>IF($I1297="","",IF(INDEX(F_ProductBM!J:J,MATCH($P1424,F_ProductBM!$Q:$Q,0))="","",INDEX(F_ProductBM!J:J,MATCH($P1424,F_ProductBM!$Q:$Q,0))))</f>
        <v/>
      </c>
      <c r="K1424" s="742" t="str">
        <f>IF($I1297="","",IF(INDEX(F_ProductBM!K:K,MATCH($P1424,F_ProductBM!$Q:$Q,0))="","",INDEX(F_ProductBM!K:K,MATCH($P1424,F_ProductBM!$Q:$Q,0))))</f>
        <v/>
      </c>
      <c r="L1424" s="742" t="str">
        <f>IF($I1297="","",IF(INDEX(F_ProductBM!L:L,MATCH($P1424,F_ProductBM!$Q:$Q,0))="","",INDEX(F_ProductBM!L:L,MATCH($P1424,F_ProductBM!$Q:$Q,0))))</f>
        <v/>
      </c>
      <c r="M1424" s="742" t="str">
        <f>IF($I1297="","",IF(INDEX(F_ProductBM!M:M,MATCH($P1424,F_ProductBM!$Q:$Q,0))="","",INDEX(F_ProductBM!M:M,MATCH($P1424,F_ProductBM!$Q:$Q,0))))</f>
        <v/>
      </c>
      <c r="N1424" s="1459" t="str">
        <f>IF($I1297="","",IF(INDEX(F_ProductBM!N:N,MATCH($P1424,F_ProductBM!$Q:$Q,0))="","",INDEX(F_ProductBM!N:N,MATCH($P1424,F_ProductBM!$Q:$Q,0))))</f>
        <v/>
      </c>
      <c r="O1424" s="19"/>
      <c r="P1424" s="298" t="str">
        <f>EUconst_CNTR_EmissionsIntSource2 &amp; I1297</f>
        <v>EmInternalSource2_</v>
      </c>
      <c r="Q1424" s="343"/>
      <c r="R1424" s="343"/>
      <c r="S1424" s="343"/>
      <c r="T1424" s="7"/>
      <c r="U1424" s="349"/>
      <c r="V1424" s="349"/>
    </row>
    <row r="1425" spans="1:22" s="534" customFormat="1" ht="12.75" customHeight="1" x14ac:dyDescent="0.25">
      <c r="A1425" s="343"/>
      <c r="B1425" s="15"/>
      <c r="C1425" s="15"/>
      <c r="D1425" s="1454"/>
      <c r="E1425" s="2613" t="str">
        <f>Translations!$B$596</f>
        <v>Importerade eller exporterade växthusgaser</v>
      </c>
      <c r="F1425" s="1997"/>
      <c r="G1425" s="364" t="str">
        <f>EUconst_tCO2epa</f>
        <v>t CO2e/år</v>
      </c>
      <c r="H1425" s="742" t="str">
        <f>IF($I1297="","",IF(INDEX(F_ProductBM!H:H,MATCH($P1425,F_ProductBM!$Q:$Q,0))="","",INDEX(F_ProductBM!H:H,MATCH($P1425,F_ProductBM!$Q:$Q,0))))</f>
        <v/>
      </c>
      <c r="I1425" s="1021" t="str">
        <f>IF($I1297="","",IF(INDEX(F_ProductBM!I:I,MATCH($P1425,F_ProductBM!$Q:$Q,0))="","",INDEX(F_ProductBM!I:I,MATCH($P1425,F_ProductBM!$Q:$Q,0))))</f>
        <v/>
      </c>
      <c r="J1425" s="1158" t="str">
        <f>IF($I1297="","",IF(INDEX(F_ProductBM!J:J,MATCH($P1425,F_ProductBM!$Q:$Q,0))="","",INDEX(F_ProductBM!J:J,MATCH($P1425,F_ProductBM!$Q:$Q,0))))</f>
        <v/>
      </c>
      <c r="K1425" s="742" t="str">
        <f>IF($I1297="","",IF(INDEX(F_ProductBM!K:K,MATCH($P1425,F_ProductBM!$Q:$Q,0))="","",INDEX(F_ProductBM!K:K,MATCH($P1425,F_ProductBM!$Q:$Q,0))))</f>
        <v/>
      </c>
      <c r="L1425" s="742" t="str">
        <f>IF($I1297="","",IF(INDEX(F_ProductBM!L:L,MATCH($P1425,F_ProductBM!$Q:$Q,0))="","",INDEX(F_ProductBM!L:L,MATCH($P1425,F_ProductBM!$Q:$Q,0))))</f>
        <v/>
      </c>
      <c r="M1425" s="742" t="str">
        <f>IF($I1297="","",IF(INDEX(F_ProductBM!M:M,MATCH($P1425,F_ProductBM!$Q:$Q,0))="","",INDEX(F_ProductBM!M:M,MATCH($P1425,F_ProductBM!$Q:$Q,0))))</f>
        <v/>
      </c>
      <c r="N1425" s="1459" t="str">
        <f>IF($I1297="","",IF(INDEX(F_ProductBM!N:N,MATCH($P1425,F_ProductBM!$Q:$Q,0))="","",INDEX(F_ProductBM!N:N,MATCH($P1425,F_ProductBM!$Q:$Q,0))))</f>
        <v/>
      </c>
      <c r="O1425" s="19"/>
      <c r="P1425" s="298" t="str">
        <f>EUconst_CNTR_CO2Feedstock &amp; I1297</f>
        <v>EmCO2Feedstock_</v>
      </c>
      <c r="Q1425" s="343"/>
      <c r="R1425" s="343"/>
      <c r="S1425" s="343"/>
      <c r="T1425" s="7"/>
      <c r="U1425" s="349"/>
      <c r="V1425" s="349"/>
    </row>
    <row r="1426" spans="1:22" s="534" customFormat="1" ht="5.15" customHeight="1" x14ac:dyDescent="0.25">
      <c r="A1426" s="343"/>
      <c r="B1426" s="15"/>
      <c r="C1426" s="15"/>
      <c r="D1426" s="1454"/>
      <c r="E1426" s="899"/>
      <c r="F1426" s="899"/>
      <c r="G1426" s="623"/>
      <c r="H1426" s="741"/>
      <c r="I1426" s="741"/>
      <c r="J1426" s="741"/>
      <c r="K1426" s="741"/>
      <c r="L1426" s="741"/>
      <c r="M1426" s="741"/>
      <c r="N1426" s="1458"/>
      <c r="O1426" s="19"/>
      <c r="P1426" s="343"/>
      <c r="Q1426" s="343"/>
      <c r="R1426" s="343"/>
      <c r="S1426" s="343"/>
      <c r="T1426" s="7"/>
      <c r="U1426" s="349"/>
      <c r="V1426" s="349"/>
    </row>
    <row r="1427" spans="1:22" s="534" customFormat="1" ht="12.75" customHeight="1" x14ac:dyDescent="0.25">
      <c r="A1427" s="343"/>
      <c r="B1427" s="15"/>
      <c r="C1427" s="15"/>
      <c r="D1427" s="1454"/>
      <c r="E1427" s="2611" t="str">
        <f>Translations!$B$604</f>
        <v>Nettomängd importerad värme</v>
      </c>
      <c r="F1427" s="2484"/>
      <c r="G1427" s="365" t="str">
        <f>EUconst_TJpa</f>
        <v>TJ / år</v>
      </c>
      <c r="H1427" s="739" t="str">
        <f>IF($I1297="","",IF(INDEX(F_ProductBM!H:H,MATCH($P1427,F_ProductBM!$Q:$Q,0))="","",INDEX(F_ProductBM!H:H,MATCH($P1427,F_ProductBM!$Q:$Q,0))))</f>
        <v/>
      </c>
      <c r="I1427" s="1153" t="str">
        <f>IF($I1297="","",IF(INDEX(F_ProductBM!I:I,MATCH($P1427,F_ProductBM!$Q:$Q,0))="","",INDEX(F_ProductBM!I:I,MATCH($P1427,F_ProductBM!$Q:$Q,0))))</f>
        <v/>
      </c>
      <c r="J1427" s="1159" t="str">
        <f>IF($I1297="","",IF(INDEX(F_ProductBM!J:J,MATCH($P1427,F_ProductBM!$Q:$Q,0))="","",INDEX(F_ProductBM!J:J,MATCH($P1427,F_ProductBM!$Q:$Q,0))))</f>
        <v/>
      </c>
      <c r="K1427" s="739" t="str">
        <f>IF($I1297="","",IF(INDEX(F_ProductBM!K:K,MATCH($P1427,F_ProductBM!$Q:$Q,0))="","",INDEX(F_ProductBM!K:K,MATCH($P1427,F_ProductBM!$Q:$Q,0))))</f>
        <v/>
      </c>
      <c r="L1427" s="739" t="str">
        <f>IF($I1297="","",IF(INDEX(F_ProductBM!L:L,MATCH($P1427,F_ProductBM!$Q:$Q,0))="","",INDEX(F_ProductBM!L:L,MATCH($P1427,F_ProductBM!$Q:$Q,0))))</f>
        <v/>
      </c>
      <c r="M1427" s="739" t="str">
        <f>IF($I1297="","",IF(INDEX(F_ProductBM!M:M,MATCH($P1427,F_ProductBM!$Q:$Q,0))="","",INDEX(F_ProductBM!M:M,MATCH($P1427,F_ProductBM!$Q:$Q,0))))</f>
        <v/>
      </c>
      <c r="N1427" s="1456" t="str">
        <f>IF($I1297="","",IF(INDEX(F_ProductBM!N:N,MATCH($P1427,F_ProductBM!$Q:$Q,0))="","",INDEX(F_ProductBM!N:N,MATCH($P1427,F_ProductBM!$Q:$Q,0))))</f>
        <v/>
      </c>
      <c r="O1427" s="19"/>
      <c r="P1427" s="298" t="str">
        <f>EUconst_CNTR_HeatImport &amp; I1297</f>
        <v>HeatIm_</v>
      </c>
      <c r="Q1427" s="343"/>
      <c r="R1427" s="343"/>
      <c r="S1427" s="343"/>
      <c r="T1427" s="7"/>
      <c r="U1427" s="349"/>
      <c r="V1427" s="349"/>
    </row>
    <row r="1428" spans="1:22" s="534" customFormat="1" ht="12.75" customHeight="1" x14ac:dyDescent="0.25">
      <c r="A1428" s="343"/>
      <c r="B1428" s="15"/>
      <c r="C1428" s="15"/>
      <c r="D1428" s="1454"/>
      <c r="E1428" s="2612" t="str">
        <f>Translations!$B$605</f>
        <v>Särskild emissionsfaktor (importerad värme)</v>
      </c>
      <c r="F1428" s="2487"/>
      <c r="G1428" s="384" t="str">
        <f>EUconst_tCO2pTJ</f>
        <v>t CO2 / TJ</v>
      </c>
      <c r="H1428" s="740" t="str">
        <f>IF($I1297="","",IF(INDEX(F_ProductBM!H:H,MATCH($P1428,F_ProductBM!$Q:$Q,0))="","",INDEX(F_ProductBM!H:H,MATCH($P1428,F_ProductBM!$Q:$Q,0))))</f>
        <v/>
      </c>
      <c r="I1428" s="1154" t="str">
        <f>IF($I1297="","",IF(INDEX(F_ProductBM!I:I,MATCH($P1428,F_ProductBM!$Q:$Q,0))="","",INDEX(F_ProductBM!I:I,MATCH($P1428,F_ProductBM!$Q:$Q,0))))</f>
        <v/>
      </c>
      <c r="J1428" s="1160" t="str">
        <f>IF($I1297="","",IF(INDEX(F_ProductBM!J:J,MATCH($P1428,F_ProductBM!$Q:$Q,0))="","",INDEX(F_ProductBM!J:J,MATCH($P1428,F_ProductBM!$Q:$Q,0))))</f>
        <v/>
      </c>
      <c r="K1428" s="740" t="str">
        <f>IF($I1297="","",IF(INDEX(F_ProductBM!K:K,MATCH($P1428,F_ProductBM!$Q:$Q,0))="","",INDEX(F_ProductBM!K:K,MATCH($P1428,F_ProductBM!$Q:$Q,0))))</f>
        <v/>
      </c>
      <c r="L1428" s="740" t="str">
        <f>IF($I1297="","",IF(INDEX(F_ProductBM!L:L,MATCH($P1428,F_ProductBM!$Q:$Q,0))="","",INDEX(F_ProductBM!L:L,MATCH($P1428,F_ProductBM!$Q:$Q,0))))</f>
        <v/>
      </c>
      <c r="M1428" s="740" t="str">
        <f>IF($I1297="","",IF(INDEX(F_ProductBM!M:M,MATCH($P1428,F_ProductBM!$Q:$Q,0))="","",INDEX(F_ProductBM!M:M,MATCH($P1428,F_ProductBM!$Q:$Q,0))))</f>
        <v/>
      </c>
      <c r="N1428" s="1457" t="str">
        <f>IF($I1297="","",IF(INDEX(F_ProductBM!N:N,MATCH($P1428,F_ProductBM!$Q:$Q,0))="","",INDEX(F_ProductBM!N:N,MATCH($P1428,F_ProductBM!$Q:$Q,0))))</f>
        <v/>
      </c>
      <c r="O1428" s="19"/>
      <c r="P1428" s="298" t="str">
        <f>EUconst_CNTR_HeatImportEF &amp; I1297</f>
        <v>HeatImEF_</v>
      </c>
      <c r="Q1428" s="343"/>
      <c r="R1428" s="343"/>
      <c r="S1428" s="343"/>
      <c r="T1428" s="7"/>
      <c r="U1428" s="349"/>
      <c r="V1428" s="349"/>
    </row>
    <row r="1429" spans="1:22" s="534" customFormat="1" ht="5.15" customHeight="1" x14ac:dyDescent="0.25">
      <c r="A1429" s="343"/>
      <c r="B1429" s="15"/>
      <c r="C1429" s="15"/>
      <c r="D1429" s="1454"/>
      <c r="E1429" s="899"/>
      <c r="F1429" s="899"/>
      <c r="G1429" s="623"/>
      <c r="H1429" s="741"/>
      <c r="I1429" s="741"/>
      <c r="J1429" s="741"/>
      <c r="K1429" s="741"/>
      <c r="L1429" s="741"/>
      <c r="M1429" s="741"/>
      <c r="N1429" s="1458"/>
      <c r="O1429" s="19"/>
      <c r="P1429" s="7"/>
      <c r="Q1429" s="343"/>
      <c r="R1429" s="343"/>
      <c r="S1429" s="343"/>
      <c r="T1429" s="7"/>
      <c r="U1429" s="349"/>
      <c r="V1429" s="349"/>
    </row>
    <row r="1430" spans="1:22" s="534" customFormat="1" ht="12.75" customHeight="1" x14ac:dyDescent="0.25">
      <c r="A1430" s="343"/>
      <c r="B1430" s="15"/>
      <c r="C1430" s="15"/>
      <c r="D1430" s="1454"/>
      <c r="E1430" s="2613" t="str">
        <f>Translations!$B$659</f>
        <v>Importerad nettovärme från massa</v>
      </c>
      <c r="F1430" s="1997"/>
      <c r="G1430" s="364" t="str">
        <f>EUconst_TJpa</f>
        <v>TJ / år</v>
      </c>
      <c r="H1430" s="742" t="str">
        <f>IF($I1297="","",IF(INDEX(F_ProductBM!H:H,MATCH($P1430,F_ProductBM!$Q:$Q,0))="","",INDEX(F_ProductBM!H:H,MATCH($P1430,F_ProductBM!$Q:$Q,0))))</f>
        <v/>
      </c>
      <c r="I1430" s="1021" t="str">
        <f>IF($I1297="","",IF(INDEX(F_ProductBM!I:I,MATCH($P1430,F_ProductBM!$Q:$Q,0))="","",INDEX(F_ProductBM!I:I,MATCH($P1430,F_ProductBM!$Q:$Q,0))))</f>
        <v/>
      </c>
      <c r="J1430" s="1158" t="str">
        <f>IF($I1297="","",IF(INDEX(F_ProductBM!J:J,MATCH($P1430,F_ProductBM!$Q:$Q,0))="","",INDEX(F_ProductBM!J:J,MATCH($P1430,F_ProductBM!$Q:$Q,0))))</f>
        <v/>
      </c>
      <c r="K1430" s="742" t="str">
        <f>IF($I1297="","",IF(INDEX(F_ProductBM!K:K,MATCH($P1430,F_ProductBM!$Q:$Q,0))="","",INDEX(F_ProductBM!K:K,MATCH($P1430,F_ProductBM!$Q:$Q,0))))</f>
        <v/>
      </c>
      <c r="L1430" s="742" t="str">
        <f>IF($I1297="","",IF(INDEX(F_ProductBM!L:L,MATCH($P1430,F_ProductBM!$Q:$Q,0))="","",INDEX(F_ProductBM!L:L,MATCH($P1430,F_ProductBM!$Q:$Q,0))))</f>
        <v/>
      </c>
      <c r="M1430" s="742" t="str">
        <f>IF($I1297="","",IF(INDEX(F_ProductBM!M:M,MATCH($P1430,F_ProductBM!$Q:$Q,0))="","",INDEX(F_ProductBM!M:M,MATCH($P1430,F_ProductBM!$Q:$Q,0))))</f>
        <v/>
      </c>
      <c r="N1430" s="1459" t="str">
        <f>IF($I1297="","",IF(INDEX(F_ProductBM!N:N,MATCH($P1430,F_ProductBM!$Q:$Q,0))="","",INDEX(F_ProductBM!N:N,MATCH($P1430,F_ProductBM!$Q:$Q,0))))</f>
        <v/>
      </c>
      <c r="O1430" s="19"/>
      <c r="P1430" s="298" t="str">
        <f>EUconst_CNTR_HeatImportPulp &amp; I1297</f>
        <v>HeatImPulp_</v>
      </c>
      <c r="Q1430" s="343"/>
      <c r="R1430" s="343"/>
      <c r="S1430" s="343"/>
      <c r="T1430" s="7"/>
      <c r="U1430" s="349"/>
      <c r="V1430" s="349"/>
    </row>
    <row r="1431" spans="1:22" s="534" customFormat="1" ht="12.75" customHeight="1" x14ac:dyDescent="0.25">
      <c r="A1431" s="343"/>
      <c r="B1431" s="15"/>
      <c r="C1431" s="15"/>
      <c r="D1431" s="1454"/>
      <c r="E1431" s="2613" t="str">
        <f>Translations!$B$608</f>
        <v>Nettomängd importerad värme från delanläggningar för salpetersyra</v>
      </c>
      <c r="F1431" s="1997"/>
      <c r="G1431" s="364" t="str">
        <f>EUconst_TJpa</f>
        <v>TJ / år</v>
      </c>
      <c r="H1431" s="742" t="str">
        <f>IF($I1297="","",IF(INDEX(F_ProductBM!H:H,MATCH($P1431,F_ProductBM!$Q:$Q,0))="","",INDEX(F_ProductBM!H:H,MATCH($P1431,F_ProductBM!$Q:$Q,0))))</f>
        <v/>
      </c>
      <c r="I1431" s="1021" t="str">
        <f>IF($I1297="","",IF(INDEX(F_ProductBM!I:I,MATCH($P1431,F_ProductBM!$Q:$Q,0))="","",INDEX(F_ProductBM!I:I,MATCH($P1431,F_ProductBM!$Q:$Q,0))))</f>
        <v/>
      </c>
      <c r="J1431" s="1158" t="str">
        <f>IF($I1297="","",IF(INDEX(F_ProductBM!J:J,MATCH($P1431,F_ProductBM!$Q:$Q,0))="","",INDEX(F_ProductBM!J:J,MATCH($P1431,F_ProductBM!$Q:$Q,0))))</f>
        <v/>
      </c>
      <c r="K1431" s="742" t="str">
        <f>IF($I1297="","",IF(INDEX(F_ProductBM!K:K,MATCH($P1431,F_ProductBM!$Q:$Q,0))="","",INDEX(F_ProductBM!K:K,MATCH($P1431,F_ProductBM!$Q:$Q,0))))</f>
        <v/>
      </c>
      <c r="L1431" s="742" t="str">
        <f>IF($I1297="","",IF(INDEX(F_ProductBM!L:L,MATCH($P1431,F_ProductBM!$Q:$Q,0))="","",INDEX(F_ProductBM!L:L,MATCH($P1431,F_ProductBM!$Q:$Q,0))))</f>
        <v/>
      </c>
      <c r="M1431" s="742" t="str">
        <f>IF($I1297="","",IF(INDEX(F_ProductBM!M:M,MATCH($P1431,F_ProductBM!$Q:$Q,0))="","",INDEX(F_ProductBM!M:M,MATCH($P1431,F_ProductBM!$Q:$Q,0))))</f>
        <v/>
      </c>
      <c r="N1431" s="1459" t="str">
        <f>IF($I1297="","",IF(INDEX(F_ProductBM!N:N,MATCH($P1431,F_ProductBM!$Q:$Q,0))="","",INDEX(F_ProductBM!N:N,MATCH($P1431,F_ProductBM!$Q:$Q,0))))</f>
        <v/>
      </c>
      <c r="O1431" s="19"/>
      <c r="P1431" s="298" t="str">
        <f>EUconst_CNTR_HeatImportNitric &amp; I1297</f>
        <v>HeatImNitric_</v>
      </c>
      <c r="Q1431" s="343"/>
      <c r="R1431" s="343"/>
      <c r="S1431" s="343"/>
      <c r="T1431" s="7"/>
      <c r="U1431" s="349"/>
      <c r="V1431" s="349"/>
    </row>
    <row r="1432" spans="1:22" s="534" customFormat="1" ht="5.15" customHeight="1" x14ac:dyDescent="0.25">
      <c r="A1432" s="343"/>
      <c r="B1432" s="15"/>
      <c r="C1432" s="15"/>
      <c r="D1432" s="1454"/>
      <c r="E1432" s="899"/>
      <c r="F1432" s="899"/>
      <c r="G1432" s="416"/>
      <c r="H1432" s="741"/>
      <c r="I1432" s="741"/>
      <c r="J1432" s="741"/>
      <c r="K1432" s="741"/>
      <c r="L1432" s="741"/>
      <c r="M1432" s="741"/>
      <c r="N1432" s="1458"/>
      <c r="O1432" s="19"/>
      <c r="P1432" s="7"/>
      <c r="Q1432" s="343"/>
      <c r="R1432" s="343"/>
      <c r="S1432" s="343"/>
      <c r="T1432" s="7"/>
      <c r="U1432" s="349"/>
      <c r="V1432" s="349"/>
    </row>
    <row r="1433" spans="1:22" s="534" customFormat="1" ht="12.75" customHeight="1" x14ac:dyDescent="0.25">
      <c r="A1433" s="343"/>
      <c r="B1433" s="15"/>
      <c r="C1433" s="15"/>
      <c r="D1433" s="1454"/>
      <c r="E1433" s="2611" t="str">
        <f>Translations!$B$610</f>
        <v>Nettomängd exporterad värme</v>
      </c>
      <c r="F1433" s="2484"/>
      <c r="G1433" s="365" t="str">
        <f>EUconst_TJpa</f>
        <v>TJ / år</v>
      </c>
      <c r="H1433" s="739" t="str">
        <f>IF($I1297="","",IF(INDEX(F_ProductBM!H:H,MATCH($P1433,F_ProductBM!$Q:$Q,0))="","",INDEX(F_ProductBM!H:H,MATCH($P1433,F_ProductBM!$Q:$Q,0))))</f>
        <v/>
      </c>
      <c r="I1433" s="1153" t="str">
        <f>IF($I1297="","",IF(INDEX(F_ProductBM!I:I,MATCH($P1433,F_ProductBM!$Q:$Q,0))="","",INDEX(F_ProductBM!I:I,MATCH($P1433,F_ProductBM!$Q:$Q,0))))</f>
        <v/>
      </c>
      <c r="J1433" s="1159" t="str">
        <f>IF($I1297="","",IF(INDEX(F_ProductBM!J:J,MATCH($P1433,F_ProductBM!$Q:$Q,0))="","",INDEX(F_ProductBM!J:J,MATCH($P1433,F_ProductBM!$Q:$Q,0))))</f>
        <v/>
      </c>
      <c r="K1433" s="739" t="str">
        <f>IF($I1297="","",IF(INDEX(F_ProductBM!K:K,MATCH($P1433,F_ProductBM!$Q:$Q,0))="","",INDEX(F_ProductBM!K:K,MATCH($P1433,F_ProductBM!$Q:$Q,0))))</f>
        <v/>
      </c>
      <c r="L1433" s="739" t="str">
        <f>IF($I1297="","",IF(INDEX(F_ProductBM!L:L,MATCH($P1433,F_ProductBM!$Q:$Q,0))="","",INDEX(F_ProductBM!L:L,MATCH($P1433,F_ProductBM!$Q:$Q,0))))</f>
        <v/>
      </c>
      <c r="M1433" s="739" t="str">
        <f>IF($I1297="","",IF(INDEX(F_ProductBM!M:M,MATCH($P1433,F_ProductBM!$Q:$Q,0))="","",INDEX(F_ProductBM!M:M,MATCH($P1433,F_ProductBM!$Q:$Q,0))))</f>
        <v/>
      </c>
      <c r="N1433" s="1456" t="str">
        <f>IF($I1297="","",IF(INDEX(F_ProductBM!N:N,MATCH($P1433,F_ProductBM!$Q:$Q,0))="","",INDEX(F_ProductBM!N:N,MATCH($P1433,F_ProductBM!$Q:$Q,0))))</f>
        <v/>
      </c>
      <c r="O1433" s="19"/>
      <c r="P1433" s="298" t="str">
        <f>EUconst_CNTR_HeatExport &amp; I1297</f>
        <v>HeatEx_</v>
      </c>
      <c r="Q1433" s="343"/>
      <c r="R1433" s="343"/>
      <c r="S1433" s="343"/>
      <c r="T1433" s="7"/>
      <c r="U1433" s="349"/>
      <c r="V1433" s="349"/>
    </row>
    <row r="1434" spans="1:22" s="534" customFormat="1" ht="12.75" customHeight="1" x14ac:dyDescent="0.25">
      <c r="A1434" s="343"/>
      <c r="B1434" s="15"/>
      <c r="C1434" s="15"/>
      <c r="D1434" s="1454"/>
      <c r="E1434" s="2612" t="str">
        <f>Translations!$B$611</f>
        <v>Särskild emissionsfaktor (exporterad värme)</v>
      </c>
      <c r="F1434" s="2487"/>
      <c r="G1434" s="384" t="str">
        <f>EUconst_tCO2pTJ</f>
        <v>t CO2 / TJ</v>
      </c>
      <c r="H1434" s="740" t="str">
        <f>IF($I1297="","",IF(INDEX(F_ProductBM!H:H,MATCH($P1434,F_ProductBM!$Q:$Q,0))="","",INDEX(F_ProductBM!H:H,MATCH($P1434,F_ProductBM!$Q:$Q,0))))</f>
        <v/>
      </c>
      <c r="I1434" s="1154" t="str">
        <f>IF($I1297="","",IF(INDEX(F_ProductBM!I:I,MATCH($P1434,F_ProductBM!$Q:$Q,0))="","",INDEX(F_ProductBM!I:I,MATCH($P1434,F_ProductBM!$Q:$Q,0))))</f>
        <v/>
      </c>
      <c r="J1434" s="1160" t="str">
        <f>IF($I1297="","",IF(INDEX(F_ProductBM!J:J,MATCH($P1434,F_ProductBM!$Q:$Q,0))="","",INDEX(F_ProductBM!J:J,MATCH($P1434,F_ProductBM!$Q:$Q,0))))</f>
        <v/>
      </c>
      <c r="K1434" s="740" t="str">
        <f>IF($I1297="","",IF(INDEX(F_ProductBM!K:K,MATCH($P1434,F_ProductBM!$Q:$Q,0))="","",INDEX(F_ProductBM!K:K,MATCH($P1434,F_ProductBM!$Q:$Q,0))))</f>
        <v/>
      </c>
      <c r="L1434" s="740" t="str">
        <f>IF($I1297="","",IF(INDEX(F_ProductBM!L:L,MATCH($P1434,F_ProductBM!$Q:$Q,0))="","",INDEX(F_ProductBM!L:L,MATCH($P1434,F_ProductBM!$Q:$Q,0))))</f>
        <v/>
      </c>
      <c r="M1434" s="740" t="str">
        <f>IF($I1297="","",IF(INDEX(F_ProductBM!M:M,MATCH($P1434,F_ProductBM!$Q:$Q,0))="","",INDEX(F_ProductBM!M:M,MATCH($P1434,F_ProductBM!$Q:$Q,0))))</f>
        <v/>
      </c>
      <c r="N1434" s="1457" t="str">
        <f>IF($I1297="","",IF(INDEX(F_ProductBM!N:N,MATCH($P1434,F_ProductBM!$Q:$Q,0))="","",INDEX(F_ProductBM!N:N,MATCH($P1434,F_ProductBM!$Q:$Q,0))))</f>
        <v/>
      </c>
      <c r="O1434" s="19"/>
      <c r="P1434" s="298" t="str">
        <f>EUconst_CNTR_HeatExportEF &amp; I1297</f>
        <v>HeatExEF_</v>
      </c>
      <c r="Q1434" s="343"/>
      <c r="R1434" s="343"/>
      <c r="S1434" s="343"/>
      <c r="T1434" s="7"/>
      <c r="U1434" s="349"/>
      <c r="V1434" s="349"/>
    </row>
    <row r="1435" spans="1:22" s="534" customFormat="1" ht="5.15" customHeight="1" x14ac:dyDescent="0.25">
      <c r="A1435" s="343"/>
      <c r="B1435" s="15"/>
      <c r="C1435" s="15"/>
      <c r="D1435" s="1454"/>
      <c r="E1435" s="899"/>
      <c r="F1435" s="899"/>
      <c r="G1435" s="416"/>
      <c r="H1435" s="741"/>
      <c r="I1435" s="741"/>
      <c r="J1435" s="741"/>
      <c r="K1435" s="741"/>
      <c r="L1435" s="741"/>
      <c r="M1435" s="741"/>
      <c r="N1435" s="1458"/>
      <c r="O1435" s="19"/>
      <c r="P1435" s="7"/>
      <c r="Q1435" s="343"/>
      <c r="R1435" s="343"/>
      <c r="S1435" s="343"/>
      <c r="T1435" s="7"/>
      <c r="U1435" s="349"/>
      <c r="V1435" s="349"/>
    </row>
    <row r="1436" spans="1:22" s="534" customFormat="1" ht="12.75" customHeight="1" x14ac:dyDescent="0.25">
      <c r="A1436" s="343"/>
      <c r="B1436" s="15"/>
      <c r="C1436" s="15"/>
      <c r="D1436" s="1454"/>
      <c r="E1436" s="2611" t="str">
        <f>Translations!$B$618</f>
        <v>Producerad restgas</v>
      </c>
      <c r="F1436" s="2484"/>
      <c r="G1436" s="365" t="str">
        <f>EUconst_TJpa</f>
        <v>TJ / år</v>
      </c>
      <c r="H1436" s="739" t="str">
        <f>IF($I1297="","",IF(INDEX(F_ProductBM!H:H,MATCH($P1436,F_ProductBM!$Q:$Q,0))="","",INDEX(F_ProductBM!H:H,MATCH($P1436,F_ProductBM!$Q:$Q,0))))</f>
        <v/>
      </c>
      <c r="I1436" s="1153" t="str">
        <f>IF($I1297="","",IF(INDEX(F_ProductBM!I:I,MATCH($P1436,F_ProductBM!$Q:$Q,0))="","",INDEX(F_ProductBM!I:I,MATCH($P1436,F_ProductBM!$Q:$Q,0))))</f>
        <v/>
      </c>
      <c r="J1436" s="1159" t="str">
        <f>IF($I1297="","",IF(INDEX(F_ProductBM!J:J,MATCH($P1436,F_ProductBM!$Q:$Q,0))="","",INDEX(F_ProductBM!J:J,MATCH($P1436,F_ProductBM!$Q:$Q,0))))</f>
        <v/>
      </c>
      <c r="K1436" s="739" t="str">
        <f>IF($I1297="","",IF(INDEX(F_ProductBM!K:K,MATCH($P1436,F_ProductBM!$Q:$Q,0))="","",INDEX(F_ProductBM!K:K,MATCH($P1436,F_ProductBM!$Q:$Q,0))))</f>
        <v/>
      </c>
      <c r="L1436" s="739" t="str">
        <f>IF($I1297="","",IF(INDEX(F_ProductBM!L:L,MATCH($P1436,F_ProductBM!$Q:$Q,0))="","",INDEX(F_ProductBM!L:L,MATCH($P1436,F_ProductBM!$Q:$Q,0))))</f>
        <v/>
      </c>
      <c r="M1436" s="739" t="str">
        <f>IF($I1297="","",IF(INDEX(F_ProductBM!M:M,MATCH($P1436,F_ProductBM!$Q:$Q,0))="","",INDEX(F_ProductBM!M:M,MATCH($P1436,F_ProductBM!$Q:$Q,0))))</f>
        <v/>
      </c>
      <c r="N1436" s="1456" t="str">
        <f>IF($I1297="","",IF(INDEX(F_ProductBM!N:N,MATCH($P1436,F_ProductBM!$Q:$Q,0))="","",INDEX(F_ProductBM!N:N,MATCH($P1436,F_ProductBM!$Q:$Q,0))))</f>
        <v/>
      </c>
      <c r="O1436" s="19"/>
      <c r="P1436" s="622" t="str">
        <f>EUconst_CNTR_WGProduced &amp; I1297</f>
        <v>WasteGasProd_</v>
      </c>
      <c r="Q1436" s="343"/>
      <c r="R1436" s="343"/>
      <c r="S1436" s="343"/>
      <c r="T1436" s="7"/>
      <c r="U1436" s="349"/>
      <c r="V1436" s="349"/>
    </row>
    <row r="1437" spans="1:22" s="534" customFormat="1" ht="12.75" customHeight="1" x14ac:dyDescent="0.25">
      <c r="A1437" s="343"/>
      <c r="B1437" s="15"/>
      <c r="C1437" s="15"/>
      <c r="D1437" s="1454"/>
      <c r="E1437" s="2612" t="str">
        <f>Translations!$B$619</f>
        <v>Särskild emissionsfaktor (producerad restgas)</v>
      </c>
      <c r="F1437" s="2487"/>
      <c r="G1437" s="384" t="str">
        <f>EUconst_tCO2pTJ</f>
        <v>t CO2 / TJ</v>
      </c>
      <c r="H1437" s="740" t="str">
        <f>IF($I1297="","",IF(INDEX(F_ProductBM!H:H,MATCH($P1437,F_ProductBM!$Q:$Q,0))="","",INDEX(F_ProductBM!H:H,MATCH($P1437,F_ProductBM!$Q:$Q,0))))</f>
        <v/>
      </c>
      <c r="I1437" s="1154" t="str">
        <f>IF($I1297="","",IF(INDEX(F_ProductBM!I:I,MATCH($P1437,F_ProductBM!$Q:$Q,0))="","",INDEX(F_ProductBM!I:I,MATCH($P1437,F_ProductBM!$Q:$Q,0))))</f>
        <v/>
      </c>
      <c r="J1437" s="1160" t="str">
        <f>IF($I1297="","",IF(INDEX(F_ProductBM!J:J,MATCH($P1437,F_ProductBM!$Q:$Q,0))="","",INDEX(F_ProductBM!J:J,MATCH($P1437,F_ProductBM!$Q:$Q,0))))</f>
        <v/>
      </c>
      <c r="K1437" s="740" t="str">
        <f>IF($I1297="","",IF(INDEX(F_ProductBM!K:K,MATCH($P1437,F_ProductBM!$Q:$Q,0))="","",INDEX(F_ProductBM!K:K,MATCH($P1437,F_ProductBM!$Q:$Q,0))))</f>
        <v/>
      </c>
      <c r="L1437" s="740" t="str">
        <f>IF($I1297="","",IF(INDEX(F_ProductBM!L:L,MATCH($P1437,F_ProductBM!$Q:$Q,0))="","",INDEX(F_ProductBM!L:L,MATCH($P1437,F_ProductBM!$Q:$Q,0))))</f>
        <v/>
      </c>
      <c r="M1437" s="740" t="str">
        <f>IF($I1297="","",IF(INDEX(F_ProductBM!M:M,MATCH($P1437,F_ProductBM!$Q:$Q,0))="","",INDEX(F_ProductBM!M:M,MATCH($P1437,F_ProductBM!$Q:$Q,0))))</f>
        <v/>
      </c>
      <c r="N1437" s="1457" t="str">
        <f>IF($I1297="","",IF(INDEX(F_ProductBM!N:N,MATCH($P1437,F_ProductBM!$Q:$Q,0))="","",INDEX(F_ProductBM!N:N,MATCH($P1437,F_ProductBM!$Q:$Q,0))))</f>
        <v/>
      </c>
      <c r="O1437" s="19"/>
      <c r="P1437" s="298" t="str">
        <f>EUconst_CNTR_WGProducedEF &amp; I1297</f>
        <v>WasteGasProdEF_</v>
      </c>
      <c r="Q1437" s="343"/>
      <c r="R1437" s="343"/>
      <c r="S1437" s="343"/>
      <c r="T1437" s="7"/>
      <c r="U1437" s="349"/>
      <c r="V1437" s="349"/>
    </row>
    <row r="1438" spans="1:22" s="534" customFormat="1" ht="12.75" customHeight="1" x14ac:dyDescent="0.25">
      <c r="A1438" s="343"/>
      <c r="B1438" s="15"/>
      <c r="C1438" s="15"/>
      <c r="D1438" s="1454"/>
      <c r="E1438" s="2611" t="str">
        <f>Translations!$B$623</f>
        <v>Förbrukad restgas</v>
      </c>
      <c r="F1438" s="2484"/>
      <c r="G1438" s="365" t="str">
        <f>EUconst_TJpa</f>
        <v>TJ / år</v>
      </c>
      <c r="H1438" s="739" t="str">
        <f>IF($I1297="","",IF(INDEX(F_ProductBM!H:H,MATCH($P1438,F_ProductBM!$Q:$Q,0))="","",INDEX(F_ProductBM!H:H,MATCH($P1438,F_ProductBM!$Q:$Q,0))))</f>
        <v/>
      </c>
      <c r="I1438" s="1153" t="str">
        <f>IF($I1297="","",IF(INDEX(F_ProductBM!I:I,MATCH($P1438,F_ProductBM!$Q:$Q,0))="","",INDEX(F_ProductBM!I:I,MATCH($P1438,F_ProductBM!$Q:$Q,0))))</f>
        <v/>
      </c>
      <c r="J1438" s="1159" t="str">
        <f>IF($I1297="","",IF(INDEX(F_ProductBM!J:J,MATCH($P1438,F_ProductBM!$Q:$Q,0))="","",INDEX(F_ProductBM!J:J,MATCH($P1438,F_ProductBM!$Q:$Q,0))))</f>
        <v/>
      </c>
      <c r="K1438" s="739" t="str">
        <f>IF($I1297="","",IF(INDEX(F_ProductBM!K:K,MATCH($P1438,F_ProductBM!$Q:$Q,0))="","",INDEX(F_ProductBM!K:K,MATCH($P1438,F_ProductBM!$Q:$Q,0))))</f>
        <v/>
      </c>
      <c r="L1438" s="739" t="str">
        <f>IF($I1297="","",IF(INDEX(F_ProductBM!L:L,MATCH($P1438,F_ProductBM!$Q:$Q,0))="","",INDEX(F_ProductBM!L:L,MATCH($P1438,F_ProductBM!$Q:$Q,0))))</f>
        <v/>
      </c>
      <c r="M1438" s="739" t="str">
        <f>IF($I1297="","",IF(INDEX(F_ProductBM!M:M,MATCH($P1438,F_ProductBM!$Q:$Q,0))="","",INDEX(F_ProductBM!M:M,MATCH($P1438,F_ProductBM!$Q:$Q,0))))</f>
        <v/>
      </c>
      <c r="N1438" s="1456" t="str">
        <f>IF($I1297="","",IF(INDEX(F_ProductBM!N:N,MATCH($P1438,F_ProductBM!$Q:$Q,0))="","",INDEX(F_ProductBM!N:N,MATCH($P1438,F_ProductBM!$Q:$Q,0))))</f>
        <v/>
      </c>
      <c r="O1438" s="19"/>
      <c r="P1438" s="298" t="str">
        <f>EUconst_CNTR_WGConsumed &amp; I1297</f>
        <v>WasteGasCons_</v>
      </c>
      <c r="Q1438" s="343"/>
      <c r="R1438" s="343"/>
      <c r="S1438" s="343"/>
      <c r="T1438" s="7"/>
      <c r="U1438" s="349"/>
      <c r="V1438" s="349"/>
    </row>
    <row r="1439" spans="1:22" s="534" customFormat="1" ht="12.75" customHeight="1" x14ac:dyDescent="0.25">
      <c r="A1439" s="343"/>
      <c r="B1439" s="15"/>
      <c r="C1439" s="15"/>
      <c r="D1439" s="1454"/>
      <c r="E1439" s="2612" t="str">
        <f>Translations!$B$624</f>
        <v>Särskild emissionsfaktor (förbrukad restgas)</v>
      </c>
      <c r="F1439" s="2487"/>
      <c r="G1439" s="384" t="str">
        <f>EUconst_tCO2pTJ</f>
        <v>t CO2 / TJ</v>
      </c>
      <c r="H1439" s="740" t="str">
        <f>IF($I1297="","",IF(INDEX(F_ProductBM!H:H,MATCH($P1439,F_ProductBM!$Q:$Q,0))="","",INDEX(F_ProductBM!H:H,MATCH($P1439,F_ProductBM!$Q:$Q,0))))</f>
        <v/>
      </c>
      <c r="I1439" s="1154" t="str">
        <f>IF($I1297="","",IF(INDEX(F_ProductBM!I:I,MATCH($P1439,F_ProductBM!$Q:$Q,0))="","",INDEX(F_ProductBM!I:I,MATCH($P1439,F_ProductBM!$Q:$Q,0))))</f>
        <v/>
      </c>
      <c r="J1439" s="1160" t="str">
        <f>IF($I1297="","",IF(INDEX(F_ProductBM!J:J,MATCH($P1439,F_ProductBM!$Q:$Q,0))="","",INDEX(F_ProductBM!J:J,MATCH($P1439,F_ProductBM!$Q:$Q,0))))</f>
        <v/>
      </c>
      <c r="K1439" s="740" t="str">
        <f>IF($I1297="","",IF(INDEX(F_ProductBM!K:K,MATCH($P1439,F_ProductBM!$Q:$Q,0))="","",INDEX(F_ProductBM!K:K,MATCH($P1439,F_ProductBM!$Q:$Q,0))))</f>
        <v/>
      </c>
      <c r="L1439" s="740" t="str">
        <f>IF($I1297="","",IF(INDEX(F_ProductBM!L:L,MATCH($P1439,F_ProductBM!$Q:$Q,0))="","",INDEX(F_ProductBM!L:L,MATCH($P1439,F_ProductBM!$Q:$Q,0))))</f>
        <v/>
      </c>
      <c r="M1439" s="740" t="str">
        <f>IF($I1297="","",IF(INDEX(F_ProductBM!M:M,MATCH($P1439,F_ProductBM!$Q:$Q,0))="","",INDEX(F_ProductBM!M:M,MATCH($P1439,F_ProductBM!$Q:$Q,0))))</f>
        <v/>
      </c>
      <c r="N1439" s="1457" t="str">
        <f>IF($I1297="","",IF(INDEX(F_ProductBM!N:N,MATCH($P1439,F_ProductBM!$Q:$Q,0))="","",INDEX(F_ProductBM!N:N,MATCH($P1439,F_ProductBM!$Q:$Q,0))))</f>
        <v/>
      </c>
      <c r="O1439" s="19"/>
      <c r="P1439" s="298" t="str">
        <f>EUconst_CNTR_WGConsumedEF &amp; I1297</f>
        <v>WasteGasConsEF_</v>
      </c>
      <c r="Q1439" s="343"/>
      <c r="R1439" s="343"/>
      <c r="S1439" s="343"/>
      <c r="T1439" s="7"/>
      <c r="U1439" s="349"/>
      <c r="V1439" s="349"/>
    </row>
    <row r="1440" spans="1:22" s="534" customFormat="1" ht="12.75" customHeight="1" x14ac:dyDescent="0.25">
      <c r="A1440" s="343"/>
      <c r="B1440" s="15"/>
      <c r="C1440" s="15"/>
      <c r="D1440" s="1454"/>
      <c r="E1440" s="2611" t="str">
        <f>Translations!$B$630</f>
        <v>Facklad restgas</v>
      </c>
      <c r="F1440" s="2484"/>
      <c r="G1440" s="365" t="str">
        <f>EUconst_TJpa</f>
        <v>TJ / år</v>
      </c>
      <c r="H1440" s="739" t="str">
        <f>IF($I1297="","",IF(INDEX(F_ProductBM!H:H,MATCH($P1440,F_ProductBM!$Q:$Q,0))="","",INDEX(F_ProductBM!H:H,MATCH($P1440,F_ProductBM!$Q:$Q,0))))</f>
        <v/>
      </c>
      <c r="I1440" s="1153" t="str">
        <f>IF($I1297="","",IF(INDEX(F_ProductBM!I:I,MATCH($P1440,F_ProductBM!$Q:$Q,0))="","",INDEX(F_ProductBM!I:I,MATCH($P1440,F_ProductBM!$Q:$Q,0))))</f>
        <v/>
      </c>
      <c r="J1440" s="1159" t="str">
        <f>IF($I1297="","",IF(INDEX(F_ProductBM!J:J,MATCH($P1440,F_ProductBM!$Q:$Q,0))="","",INDEX(F_ProductBM!J:J,MATCH($P1440,F_ProductBM!$Q:$Q,0))))</f>
        <v/>
      </c>
      <c r="K1440" s="739" t="str">
        <f>IF($I1297="","",IF(INDEX(F_ProductBM!K:K,MATCH($P1440,F_ProductBM!$Q:$Q,0))="","",INDEX(F_ProductBM!K:K,MATCH($P1440,F_ProductBM!$Q:$Q,0))))</f>
        <v/>
      </c>
      <c r="L1440" s="739" t="str">
        <f>IF($I1297="","",IF(INDEX(F_ProductBM!L:L,MATCH($P1440,F_ProductBM!$Q:$Q,0))="","",INDEX(F_ProductBM!L:L,MATCH($P1440,F_ProductBM!$Q:$Q,0))))</f>
        <v/>
      </c>
      <c r="M1440" s="739" t="str">
        <f>IF($I1297="","",IF(INDEX(F_ProductBM!M:M,MATCH($P1440,F_ProductBM!$Q:$Q,0))="","",INDEX(F_ProductBM!M:M,MATCH($P1440,F_ProductBM!$Q:$Q,0))))</f>
        <v/>
      </c>
      <c r="N1440" s="1456" t="str">
        <f>IF($I1297="","",IF(INDEX(F_ProductBM!N:N,MATCH($P1440,F_ProductBM!$Q:$Q,0))="","",INDEX(F_ProductBM!N:N,MATCH($P1440,F_ProductBM!$Q:$Q,0))))</f>
        <v/>
      </c>
      <c r="O1440" s="19"/>
      <c r="P1440" s="298" t="str">
        <f>EUconst_CNTR_WGFlared &amp; I1297</f>
        <v>WasteGasFlare_</v>
      </c>
      <c r="Q1440" s="343"/>
      <c r="R1440" s="343"/>
      <c r="S1440" s="343"/>
      <c r="T1440" s="7"/>
      <c r="U1440" s="349"/>
      <c r="V1440" s="349"/>
    </row>
    <row r="1441" spans="1:22" s="534" customFormat="1" ht="12.75" customHeight="1" x14ac:dyDescent="0.25">
      <c r="A1441" s="343"/>
      <c r="B1441" s="15"/>
      <c r="C1441" s="15"/>
      <c r="D1441" s="1454"/>
      <c r="E1441" s="2612" t="str">
        <f>Translations!$B$631</f>
        <v>Särskild emissionsfaktor (facklad restgas)</v>
      </c>
      <c r="F1441" s="2487"/>
      <c r="G1441" s="384" t="str">
        <f>EUconst_tCO2pTJ</f>
        <v>t CO2 / TJ</v>
      </c>
      <c r="H1441" s="740" t="str">
        <f>IF($I1297="","",IF(INDEX(F_ProductBM!H:H,MATCH($P1441,F_ProductBM!$Q:$Q,0))="","",INDEX(F_ProductBM!H:H,MATCH($P1441,F_ProductBM!$Q:$Q,0))))</f>
        <v/>
      </c>
      <c r="I1441" s="1154" t="str">
        <f>IF($I1297="","",IF(INDEX(F_ProductBM!I:I,MATCH($P1441,F_ProductBM!$Q:$Q,0))="","",INDEX(F_ProductBM!I:I,MATCH($P1441,F_ProductBM!$Q:$Q,0))))</f>
        <v/>
      </c>
      <c r="J1441" s="1160" t="str">
        <f>IF($I1297="","",IF(INDEX(F_ProductBM!J:J,MATCH($P1441,F_ProductBM!$Q:$Q,0))="","",INDEX(F_ProductBM!J:J,MATCH($P1441,F_ProductBM!$Q:$Q,0))))</f>
        <v/>
      </c>
      <c r="K1441" s="740" t="str">
        <f>IF($I1297="","",IF(INDEX(F_ProductBM!K:K,MATCH($P1441,F_ProductBM!$Q:$Q,0))="","",INDEX(F_ProductBM!K:K,MATCH($P1441,F_ProductBM!$Q:$Q,0))))</f>
        <v/>
      </c>
      <c r="L1441" s="740" t="str">
        <f>IF($I1297="","",IF(INDEX(F_ProductBM!L:L,MATCH($P1441,F_ProductBM!$Q:$Q,0))="","",INDEX(F_ProductBM!L:L,MATCH($P1441,F_ProductBM!$Q:$Q,0))))</f>
        <v/>
      </c>
      <c r="M1441" s="740" t="str">
        <f>IF($I1297="","",IF(INDEX(F_ProductBM!M:M,MATCH($P1441,F_ProductBM!$Q:$Q,0))="","",INDEX(F_ProductBM!M:M,MATCH($P1441,F_ProductBM!$Q:$Q,0))))</f>
        <v/>
      </c>
      <c r="N1441" s="1457" t="str">
        <f>IF($I1297="","",IF(INDEX(F_ProductBM!N:N,MATCH($P1441,F_ProductBM!$Q:$Q,0))="","",INDEX(F_ProductBM!N:N,MATCH($P1441,F_ProductBM!$Q:$Q,0))))</f>
        <v/>
      </c>
      <c r="O1441" s="19"/>
      <c r="P1441" s="298" t="str">
        <f>EUconst_CNTR_WGFlaredEF &amp; I1297</f>
        <v>WasteGasFlareEF_</v>
      </c>
      <c r="Q1441" s="343"/>
      <c r="R1441" s="343"/>
      <c r="S1441" s="343"/>
      <c r="T1441" s="7"/>
      <c r="U1441" s="349"/>
      <c r="V1441" s="349"/>
    </row>
    <row r="1442" spans="1:22" s="534" customFormat="1" ht="12.75" customHeight="1" x14ac:dyDescent="0.25">
      <c r="A1442" s="343"/>
      <c r="B1442" s="15"/>
      <c r="C1442" s="15"/>
      <c r="D1442" s="1454"/>
      <c r="E1442" s="2611" t="str">
        <f>Translations!$B$636</f>
        <v>Importerad restgas</v>
      </c>
      <c r="F1442" s="2484"/>
      <c r="G1442" s="365" t="str">
        <f>EUconst_TJpa</f>
        <v>TJ / år</v>
      </c>
      <c r="H1442" s="739" t="str">
        <f>IF($I1297="","",IF(INDEX(F_ProductBM!H:H,MATCH($P1442,F_ProductBM!$Q:$Q,0))="","",INDEX(F_ProductBM!H:H,MATCH($P1442,F_ProductBM!$Q:$Q,0))))</f>
        <v/>
      </c>
      <c r="I1442" s="1153" t="str">
        <f>IF($I1297="","",IF(INDEX(F_ProductBM!I:I,MATCH($P1442,F_ProductBM!$Q:$Q,0))="","",INDEX(F_ProductBM!I:I,MATCH($P1442,F_ProductBM!$Q:$Q,0))))</f>
        <v/>
      </c>
      <c r="J1442" s="1159" t="str">
        <f>IF($I1297="","",IF(INDEX(F_ProductBM!J:J,MATCH($P1442,F_ProductBM!$Q:$Q,0))="","",INDEX(F_ProductBM!J:J,MATCH($P1442,F_ProductBM!$Q:$Q,0))))</f>
        <v/>
      </c>
      <c r="K1442" s="739" t="str">
        <f>IF($I1297="","",IF(INDEX(F_ProductBM!K:K,MATCH($P1442,F_ProductBM!$Q:$Q,0))="","",INDEX(F_ProductBM!K:K,MATCH($P1442,F_ProductBM!$Q:$Q,0))))</f>
        <v/>
      </c>
      <c r="L1442" s="739" t="str">
        <f>IF($I1297="","",IF(INDEX(F_ProductBM!L:L,MATCH($P1442,F_ProductBM!$Q:$Q,0))="","",INDEX(F_ProductBM!L:L,MATCH($P1442,F_ProductBM!$Q:$Q,0))))</f>
        <v/>
      </c>
      <c r="M1442" s="739" t="str">
        <f>IF($I1297="","",IF(INDEX(F_ProductBM!M:M,MATCH($P1442,F_ProductBM!$Q:$Q,0))="","",INDEX(F_ProductBM!M:M,MATCH($P1442,F_ProductBM!$Q:$Q,0))))</f>
        <v/>
      </c>
      <c r="N1442" s="1456" t="str">
        <f>IF($I1297="","",IF(INDEX(F_ProductBM!N:N,MATCH($P1442,F_ProductBM!$Q:$Q,0))="","",INDEX(F_ProductBM!N:N,MATCH($P1442,F_ProductBM!$Q:$Q,0))))</f>
        <v/>
      </c>
      <c r="O1442" s="19"/>
      <c r="P1442" s="298" t="str">
        <f>EUconst_CNTR_WGImport &amp; I1297</f>
        <v>WasteGasIm_</v>
      </c>
      <c r="Q1442" s="343"/>
      <c r="R1442" s="343"/>
      <c r="S1442" s="343"/>
      <c r="T1442" s="7"/>
      <c r="U1442" s="349"/>
      <c r="V1442" s="349"/>
    </row>
    <row r="1443" spans="1:22" s="534" customFormat="1" ht="12.75" customHeight="1" x14ac:dyDescent="0.25">
      <c r="A1443" s="343"/>
      <c r="B1443" s="15"/>
      <c r="C1443" s="15"/>
      <c r="D1443" s="1454"/>
      <c r="E1443" s="1776" t="str">
        <f>Translations!$B$637</f>
        <v>Särskild emissionsfaktor (importerad restgas)</v>
      </c>
      <c r="F1443" s="1776"/>
      <c r="G1443" s="624" t="str">
        <f>EUconst_tCO2pTJ</f>
        <v>t CO2 / TJ</v>
      </c>
      <c r="H1443" s="740" t="str">
        <f>IF($I1297="","",IF(INDEX(F_ProductBM!H:H,MATCH($P1443,F_ProductBM!$Q:$Q,0))="","",INDEX(F_ProductBM!H:H,MATCH($P1443,F_ProductBM!$Q:$Q,0))))</f>
        <v/>
      </c>
      <c r="I1443" s="1154" t="str">
        <f>IF($I1297="","",IF(INDEX(F_ProductBM!I:I,MATCH($P1443,F_ProductBM!$Q:$Q,0))="","",INDEX(F_ProductBM!I:I,MATCH($P1443,F_ProductBM!$Q:$Q,0))))</f>
        <v/>
      </c>
      <c r="J1443" s="1160" t="str">
        <f>IF($I1297="","",IF(INDEX(F_ProductBM!J:J,MATCH($P1443,F_ProductBM!$Q:$Q,0))="","",INDEX(F_ProductBM!J:J,MATCH($P1443,F_ProductBM!$Q:$Q,0))))</f>
        <v/>
      </c>
      <c r="K1443" s="740" t="str">
        <f>IF($I1297="","",IF(INDEX(F_ProductBM!K:K,MATCH($P1443,F_ProductBM!$Q:$Q,0))="","",INDEX(F_ProductBM!K:K,MATCH($P1443,F_ProductBM!$Q:$Q,0))))</f>
        <v/>
      </c>
      <c r="L1443" s="740" t="str">
        <f>IF($I1297="","",IF(INDEX(F_ProductBM!L:L,MATCH($P1443,F_ProductBM!$Q:$Q,0))="","",INDEX(F_ProductBM!L:L,MATCH($P1443,F_ProductBM!$Q:$Q,0))))</f>
        <v/>
      </c>
      <c r="M1443" s="740" t="str">
        <f>IF($I1297="","",IF(INDEX(F_ProductBM!M:M,MATCH($P1443,F_ProductBM!$Q:$Q,0))="","",INDEX(F_ProductBM!M:M,MATCH($P1443,F_ProductBM!$Q:$Q,0))))</f>
        <v/>
      </c>
      <c r="N1443" s="1457" t="str">
        <f>IF($I1297="","",IF(INDEX(F_ProductBM!N:N,MATCH($P1443,F_ProductBM!$Q:$Q,0))="","",INDEX(F_ProductBM!N:N,MATCH($P1443,F_ProductBM!$Q:$Q,0))))</f>
        <v/>
      </c>
      <c r="O1443" s="19"/>
      <c r="P1443" s="298" t="str">
        <f>EUconst_CNTR_WGImportEF &amp; I1297</f>
        <v>WasteGasImEF_</v>
      </c>
      <c r="Q1443" s="343"/>
      <c r="R1443" s="343"/>
      <c r="S1443" s="343"/>
      <c r="T1443" s="7"/>
      <c r="U1443" s="349"/>
      <c r="V1443" s="349"/>
    </row>
    <row r="1444" spans="1:22" s="534" customFormat="1" ht="12.75" customHeight="1" x14ac:dyDescent="0.25">
      <c r="A1444" s="343"/>
      <c r="B1444" s="15"/>
      <c r="C1444" s="15"/>
      <c r="D1444" s="1454"/>
      <c r="E1444" s="2611" t="str">
        <f>Translations!$B$641</f>
        <v>Exporterad restgas</v>
      </c>
      <c r="F1444" s="2484"/>
      <c r="G1444" s="365" t="str">
        <f>EUconst_TJpa</f>
        <v>TJ / år</v>
      </c>
      <c r="H1444" s="739" t="str">
        <f>IF($I1297="","",IF(INDEX(F_ProductBM!H:H,MATCH($P1444,F_ProductBM!$Q:$Q,0))="","",INDEX(F_ProductBM!H:H,MATCH($P1444,F_ProductBM!$Q:$Q,0))))</f>
        <v/>
      </c>
      <c r="I1444" s="1153" t="str">
        <f>IF($I1297="","",IF(INDEX(F_ProductBM!I:I,MATCH($P1444,F_ProductBM!$Q:$Q,0))="","",INDEX(F_ProductBM!I:I,MATCH($P1444,F_ProductBM!$Q:$Q,0))))</f>
        <v/>
      </c>
      <c r="J1444" s="1159" t="str">
        <f>IF($I1297="","",IF(INDEX(F_ProductBM!J:J,MATCH($P1444,F_ProductBM!$Q:$Q,0))="","",INDEX(F_ProductBM!J:J,MATCH($P1444,F_ProductBM!$Q:$Q,0))))</f>
        <v/>
      </c>
      <c r="K1444" s="739" t="str">
        <f>IF($I1297="","",IF(INDEX(F_ProductBM!K:K,MATCH($P1444,F_ProductBM!$Q:$Q,0))="","",INDEX(F_ProductBM!K:K,MATCH($P1444,F_ProductBM!$Q:$Q,0))))</f>
        <v/>
      </c>
      <c r="L1444" s="739" t="str">
        <f>IF($I1297="","",IF(INDEX(F_ProductBM!L:L,MATCH($P1444,F_ProductBM!$Q:$Q,0))="","",INDEX(F_ProductBM!L:L,MATCH($P1444,F_ProductBM!$Q:$Q,0))))</f>
        <v/>
      </c>
      <c r="M1444" s="739" t="str">
        <f>IF($I1297="","",IF(INDEX(F_ProductBM!M:M,MATCH($P1444,F_ProductBM!$Q:$Q,0))="","",INDEX(F_ProductBM!M:M,MATCH($P1444,F_ProductBM!$Q:$Q,0))))</f>
        <v/>
      </c>
      <c r="N1444" s="1456" t="str">
        <f>IF($I1297="","",IF(INDEX(F_ProductBM!N:N,MATCH($P1444,F_ProductBM!$Q:$Q,0))="","",INDEX(F_ProductBM!N:N,MATCH($P1444,F_ProductBM!$Q:$Q,0))))</f>
        <v/>
      </c>
      <c r="O1444" s="19"/>
      <c r="P1444" s="298" t="str">
        <f>EUconst_CNTR_WGExport &amp; I1297</f>
        <v>WasteGasEx_</v>
      </c>
      <c r="Q1444" s="343"/>
      <c r="R1444" s="343"/>
      <c r="S1444" s="343"/>
      <c r="T1444" s="7"/>
      <c r="U1444" s="349"/>
      <c r="V1444" s="349"/>
    </row>
    <row r="1445" spans="1:22" s="534" customFormat="1" ht="12.75" customHeight="1" x14ac:dyDescent="0.25">
      <c r="A1445" s="343"/>
      <c r="B1445" s="15"/>
      <c r="C1445" s="15"/>
      <c r="D1445" s="1454"/>
      <c r="E1445" s="2612" t="str">
        <f>Translations!$B$642</f>
        <v>Särskild emissionsfaktor (exporterad restgas)</v>
      </c>
      <c r="F1445" s="2487"/>
      <c r="G1445" s="624" t="str">
        <f>EUconst_tCO2pTJ</f>
        <v>t CO2 / TJ</v>
      </c>
      <c r="H1445" s="740" t="str">
        <f>IF($I1297="","",IF(INDEX(F_ProductBM!H:H,MATCH($P1445,F_ProductBM!$Q:$Q,0))="","",INDEX(F_ProductBM!H:H,MATCH($P1445,F_ProductBM!$Q:$Q,0))))</f>
        <v/>
      </c>
      <c r="I1445" s="1154" t="str">
        <f>IF($I1297="","",IF(INDEX(F_ProductBM!I:I,MATCH($P1445,F_ProductBM!$Q:$Q,0))="","",INDEX(F_ProductBM!I:I,MATCH($P1445,F_ProductBM!$Q:$Q,0))))</f>
        <v/>
      </c>
      <c r="J1445" s="1160" t="str">
        <f>IF($I1297="","",IF(INDEX(F_ProductBM!J:J,MATCH($P1445,F_ProductBM!$Q:$Q,0))="","",INDEX(F_ProductBM!J:J,MATCH($P1445,F_ProductBM!$Q:$Q,0))))</f>
        <v/>
      </c>
      <c r="K1445" s="740" t="str">
        <f>IF($I1297="","",IF(INDEX(F_ProductBM!K:K,MATCH($P1445,F_ProductBM!$Q:$Q,0))="","",INDEX(F_ProductBM!K:K,MATCH($P1445,F_ProductBM!$Q:$Q,0))))</f>
        <v/>
      </c>
      <c r="L1445" s="740" t="str">
        <f>IF($I1297="","",IF(INDEX(F_ProductBM!L:L,MATCH($P1445,F_ProductBM!$Q:$Q,0))="","",INDEX(F_ProductBM!L:L,MATCH($P1445,F_ProductBM!$Q:$Q,0))))</f>
        <v/>
      </c>
      <c r="M1445" s="740" t="str">
        <f>IF($I1297="","",IF(INDEX(F_ProductBM!M:M,MATCH($P1445,F_ProductBM!$Q:$Q,0))="","",INDEX(F_ProductBM!M:M,MATCH($P1445,F_ProductBM!$Q:$Q,0))))</f>
        <v/>
      </c>
      <c r="N1445" s="1457" t="str">
        <f>IF($I1297="","",IF(INDEX(F_ProductBM!N:N,MATCH($P1445,F_ProductBM!$Q:$Q,0))="","",INDEX(F_ProductBM!N:N,MATCH($P1445,F_ProductBM!$Q:$Q,0))))</f>
        <v/>
      </c>
      <c r="O1445" s="19"/>
      <c r="P1445" s="298" t="str">
        <f>EUconst_CNTR_WGExportEF &amp; I1297</f>
        <v>WasteGasExEF_</v>
      </c>
      <c r="Q1445" s="343"/>
      <c r="R1445" s="343"/>
      <c r="S1445" s="343"/>
      <c r="T1445" s="7"/>
      <c r="U1445" s="349"/>
      <c r="V1445" s="349"/>
    </row>
    <row r="1446" spans="1:22" s="534" customFormat="1" ht="5.15" customHeight="1" x14ac:dyDescent="0.25">
      <c r="A1446" s="343"/>
      <c r="B1446" s="15"/>
      <c r="C1446" s="15"/>
      <c r="D1446" s="1454"/>
      <c r="E1446" s="899"/>
      <c r="F1446" s="899"/>
      <c r="G1446" s="416"/>
      <c r="H1446" s="741"/>
      <c r="I1446" s="741"/>
      <c r="J1446" s="741"/>
      <c r="K1446" s="741"/>
      <c r="L1446" s="741"/>
      <c r="M1446" s="741"/>
      <c r="N1446" s="1458"/>
      <c r="O1446" s="19"/>
      <c r="P1446" s="7"/>
      <c r="Q1446" s="343"/>
      <c r="R1446" s="343"/>
      <c r="S1446" s="343"/>
      <c r="T1446" s="7"/>
      <c r="U1446" s="349"/>
      <c r="V1446" s="349"/>
    </row>
    <row r="1447" spans="1:22" s="534" customFormat="1" ht="12.75" customHeight="1" x14ac:dyDescent="0.25">
      <c r="A1447" s="343"/>
      <c r="B1447" s="15"/>
      <c r="C1447" s="15"/>
      <c r="D1447" s="1454"/>
      <c r="E1447" s="2613" t="str">
        <f>Translations!$B$530</f>
        <v>Relevant elförbrukning</v>
      </c>
      <c r="F1447" s="1997"/>
      <c r="G1447" s="364" t="str">
        <f>EUconst_MWhpa</f>
        <v>MWh / år</v>
      </c>
      <c r="H1447" s="742" t="str">
        <f>IF($I1297="","",IF(INDEX(F_ProductBM!H:H,MATCH($P1447,F_ProductBM!$R:$R,0))="","",INDEX(F_ProductBM!H:H,MATCH($P1447,F_ProductBM!$R:$R,0))))</f>
        <v/>
      </c>
      <c r="I1447" s="1021" t="str">
        <f>IF($I1297="","",IF(INDEX(F_ProductBM!I:I,MATCH($P1447,F_ProductBM!$R:$R,0))="","",INDEX(F_ProductBM!I:I,MATCH($P1447,F_ProductBM!$R:$R,0))))</f>
        <v/>
      </c>
      <c r="J1447" s="1158" t="str">
        <f>IF($I1297="","",IF(INDEX(F_ProductBM!J:J,MATCH($P1447,F_ProductBM!$R:$R,0))="","",INDEX(F_ProductBM!J:J,MATCH($P1447,F_ProductBM!$R:$R,0))))</f>
        <v/>
      </c>
      <c r="K1447" s="742" t="str">
        <f>IF($I1297="","",IF(INDEX(F_ProductBM!K:K,MATCH($P1447,F_ProductBM!$R:$R,0))="","",INDEX(F_ProductBM!K:K,MATCH($P1447,F_ProductBM!$R:$R,0))))</f>
        <v/>
      </c>
      <c r="L1447" s="742" t="str">
        <f>IF($I1297="","",IF(INDEX(F_ProductBM!L:L,MATCH($P1447,F_ProductBM!$R:$R,0))="","",INDEX(F_ProductBM!L:L,MATCH($P1447,F_ProductBM!$R:$R,0))))</f>
        <v/>
      </c>
      <c r="M1447" s="742" t="str">
        <f>IF($I1297="","",IF(INDEX(F_ProductBM!M:M,MATCH($P1447,F_ProductBM!$R:$R,0))="","",INDEX(F_ProductBM!M:M,MATCH($P1447,F_ProductBM!$R:$R,0))))</f>
        <v/>
      </c>
      <c r="N1447" s="1459" t="str">
        <f>IF($I1297="","",IF(INDEX(F_ProductBM!N:N,MATCH($P1447,F_ProductBM!$R:$R,0))="","",INDEX(F_ProductBM!N:N,MATCH($P1447,F_ProductBM!$R:$R,0))))</f>
        <v/>
      </c>
      <c r="O1447" s="19"/>
      <c r="P1447" s="165" t="str">
        <f>EUconst_CNTR_HAL&amp;EUconst_CNTR_ELEXCH &amp; I1297</f>
        <v>HAL_ELEXCH_</v>
      </c>
      <c r="Q1447" s="343"/>
      <c r="R1447" s="343"/>
      <c r="S1447" s="343"/>
      <c r="T1447" s="7"/>
      <c r="U1447" s="349"/>
      <c r="V1447" s="349"/>
    </row>
    <row r="1448" spans="1:22" s="534" customFormat="1" ht="12.75" customHeight="1" x14ac:dyDescent="0.25">
      <c r="A1448" s="343"/>
      <c r="B1448" s="15"/>
      <c r="C1448" s="15"/>
      <c r="D1448" s="1454"/>
      <c r="E1448" s="2613" t="str">
        <f>Translations!$B$645</f>
        <v>Producerad el</v>
      </c>
      <c r="F1448" s="1997"/>
      <c r="G1448" s="364" t="str">
        <f>EUconst_MWhpa</f>
        <v>MWh / år</v>
      </c>
      <c r="H1448" s="742" t="str">
        <f>IF($I1297="","",IF(INDEX(F_ProductBM!H:H,MATCH($P1448,F_ProductBM!$Q:$Q,0))="","",INDEX(F_ProductBM!H:H,MATCH($P1448,F_ProductBM!$Q:$Q,0))))</f>
        <v/>
      </c>
      <c r="I1448" s="1021" t="str">
        <f>IF($I1297="","",IF(INDEX(F_ProductBM!I:I,MATCH($P1448,F_ProductBM!$Q:$Q,0))="","",INDEX(F_ProductBM!I:I,MATCH($P1448,F_ProductBM!$Q:$Q,0))))</f>
        <v/>
      </c>
      <c r="J1448" s="1158" t="str">
        <f>IF($I1297="","",IF(INDEX(F_ProductBM!J:J,MATCH($P1448,F_ProductBM!$Q:$Q,0))="","",INDEX(F_ProductBM!J:J,MATCH($P1448,F_ProductBM!$Q:$Q,0))))</f>
        <v/>
      </c>
      <c r="K1448" s="742" t="str">
        <f>IF($I1297="","",IF(INDEX(F_ProductBM!K:K,MATCH($P1448,F_ProductBM!$Q:$Q,0))="","",INDEX(F_ProductBM!K:K,MATCH($P1448,F_ProductBM!$Q:$Q,0))))</f>
        <v/>
      </c>
      <c r="L1448" s="742" t="str">
        <f>IF($I1297="","",IF(INDEX(F_ProductBM!L:L,MATCH($P1448,F_ProductBM!$Q:$Q,0))="","",INDEX(F_ProductBM!L:L,MATCH($P1448,F_ProductBM!$Q:$Q,0))))</f>
        <v/>
      </c>
      <c r="M1448" s="742" t="str">
        <f>IF($I1297="","",IF(INDEX(F_ProductBM!M:M,MATCH($P1448,F_ProductBM!$Q:$Q,0))="","",INDEX(F_ProductBM!M:M,MATCH($P1448,F_ProductBM!$Q:$Q,0))))</f>
        <v/>
      </c>
      <c r="N1448" s="1459" t="str">
        <f>IF($I1297="","",IF(INDEX(F_ProductBM!N:N,MATCH($P1448,F_ProductBM!$Q:$Q,0))="","",INDEX(F_ProductBM!N:N,MATCH($P1448,F_ProductBM!$Q:$Q,0))))</f>
        <v/>
      </c>
      <c r="O1448" s="19"/>
      <c r="P1448" s="298" t="str">
        <f>EUconst_CNTR_ElectricityExported &amp; I1297</f>
        <v>ElecEx_</v>
      </c>
      <c r="Q1448" s="343"/>
      <c r="R1448" s="343"/>
      <c r="S1448" s="343"/>
      <c r="T1448" s="7"/>
      <c r="U1448" s="349"/>
      <c r="V1448" s="349"/>
    </row>
    <row r="1449" spans="1:22" s="534" customFormat="1" ht="5.15" customHeight="1" x14ac:dyDescent="0.25">
      <c r="A1449" s="343"/>
      <c r="B1449" s="15"/>
      <c r="C1449" s="15"/>
      <c r="D1449" s="1454"/>
      <c r="E1449" s="899"/>
      <c r="F1449" s="899"/>
      <c r="G1449" s="416"/>
      <c r="H1449" s="741"/>
      <c r="I1449" s="741"/>
      <c r="J1449" s="741"/>
      <c r="K1449" s="741"/>
      <c r="L1449" s="741"/>
      <c r="M1449" s="741"/>
      <c r="N1449" s="1458"/>
      <c r="O1449" s="19"/>
      <c r="P1449" s="7"/>
      <c r="Q1449" s="343"/>
      <c r="R1449" s="343"/>
      <c r="S1449" s="343"/>
      <c r="T1449" s="7"/>
      <c r="U1449" s="349"/>
      <c r="V1449" s="349"/>
    </row>
    <row r="1450" spans="1:22" s="534" customFormat="1" ht="12.75" customHeight="1" x14ac:dyDescent="0.25">
      <c r="A1450" s="343"/>
      <c r="B1450" s="15"/>
      <c r="C1450" s="15"/>
      <c r="D1450" s="1454"/>
      <c r="E1450" s="2613" t="str">
        <f>Translations!$B$646</f>
        <v>Total producerad massamängd</v>
      </c>
      <c r="F1450" s="1997"/>
      <c r="G1450" s="364" t="str">
        <f>EUconst_Tons</f>
        <v>ton</v>
      </c>
      <c r="H1450" s="742" t="str">
        <f>IF($I1297="","",IF(INDEX(F_ProductBM!H:H,MATCH($P1450,F_ProductBM!$Q:$Q,0))="","",INDEX(F_ProductBM!H:H,MATCH($P1450,F_ProductBM!$Q:$Q,0))))</f>
        <v/>
      </c>
      <c r="I1450" s="1021" t="str">
        <f>IF($I1297="","",IF(INDEX(F_ProductBM!I:I,MATCH($P1450,F_ProductBM!$Q:$Q,0))="","",INDEX(F_ProductBM!I:I,MATCH($P1450,F_ProductBM!$Q:$Q,0))))</f>
        <v/>
      </c>
      <c r="J1450" s="1158" t="str">
        <f>IF($I1297="","",IF(INDEX(F_ProductBM!J:J,MATCH($P1450,F_ProductBM!$Q:$Q,0))="","",INDEX(F_ProductBM!J:J,MATCH($P1450,F_ProductBM!$Q:$Q,0))))</f>
        <v/>
      </c>
      <c r="K1450" s="742" t="str">
        <f>IF($I1297="","",IF(INDEX(F_ProductBM!K:K,MATCH($P1450,F_ProductBM!$Q:$Q,0))="","",INDEX(F_ProductBM!K:K,MATCH($P1450,F_ProductBM!$Q:$Q,0))))</f>
        <v/>
      </c>
      <c r="L1450" s="742" t="str">
        <f>IF($I1297="","",IF(INDEX(F_ProductBM!L:L,MATCH($P1450,F_ProductBM!$Q:$Q,0))="","",INDEX(F_ProductBM!L:L,MATCH($P1450,F_ProductBM!$Q:$Q,0))))</f>
        <v/>
      </c>
      <c r="M1450" s="742" t="str">
        <f>IF($I1297="","",IF(INDEX(F_ProductBM!M:M,MATCH($P1450,F_ProductBM!$Q:$Q,0))="","",INDEX(F_ProductBM!M:M,MATCH($P1450,F_ProductBM!$Q:$Q,0))))</f>
        <v/>
      </c>
      <c r="N1450" s="1459" t="str">
        <f>IF($I1297="","",IF(INDEX(F_ProductBM!N:N,MATCH($P1450,F_ProductBM!$Q:$Q,0))="","",INDEX(F_ProductBM!N:N,MATCH($P1450,F_ProductBM!$Q:$Q,0))))</f>
        <v/>
      </c>
      <c r="O1450" s="19"/>
      <c r="P1450" s="298" t="str">
        <f>EUconst_CNTR_HALPulpTotal &amp; I1297</f>
        <v>HALPulpTotal_</v>
      </c>
      <c r="Q1450" s="343"/>
      <c r="R1450" s="343"/>
      <c r="S1450" s="343"/>
      <c r="T1450" s="7"/>
      <c r="U1450" s="349"/>
      <c r="V1450" s="349"/>
    </row>
    <row r="1451" spans="1:22" s="534" customFormat="1" ht="5.15" customHeight="1" x14ac:dyDescent="0.25">
      <c r="A1451" s="343"/>
      <c r="B1451" s="15"/>
      <c r="C1451" s="15"/>
      <c r="D1451" s="1454"/>
      <c r="E1451" s="899"/>
      <c r="F1451" s="899"/>
      <c r="G1451" s="416"/>
      <c r="H1451" s="741"/>
      <c r="I1451" s="741"/>
      <c r="J1451" s="741"/>
      <c r="K1451" s="741"/>
      <c r="L1451" s="741"/>
      <c r="M1451" s="741"/>
      <c r="N1451" s="1458"/>
      <c r="O1451" s="19"/>
      <c r="P1451" s="7"/>
      <c r="Q1451" s="343"/>
      <c r="R1451" s="343"/>
      <c r="S1451" s="343"/>
      <c r="T1451" s="7"/>
      <c r="U1451" s="349"/>
      <c r="V1451" s="349"/>
    </row>
    <row r="1452" spans="1:22" s="534" customFormat="1" x14ac:dyDescent="0.25">
      <c r="A1452" s="343"/>
      <c r="B1452" s="15"/>
      <c r="C1452" s="15"/>
      <c r="D1452" s="1454"/>
      <c r="E1452" s="2785" t="str">
        <f>Translations!$B$1057</f>
        <v>Mellanimport:</v>
      </c>
      <c r="F1452" s="2497"/>
      <c r="G1452" s="416"/>
      <c r="H1452" s="741"/>
      <c r="I1452" s="741"/>
      <c r="J1452" s="741"/>
      <c r="K1452" s="741"/>
      <c r="L1452" s="741"/>
      <c r="M1452" s="741"/>
      <c r="N1452" s="1458"/>
      <c r="O1452" s="19"/>
      <c r="P1452" s="7"/>
      <c r="Q1452" s="343"/>
      <c r="R1452" s="343"/>
      <c r="S1452" s="343"/>
      <c r="T1452" s="7"/>
      <c r="U1452" s="349"/>
      <c r="V1452" s="349"/>
    </row>
    <row r="1453" spans="1:22" s="534" customFormat="1" x14ac:dyDescent="0.25">
      <c r="A1453" s="343"/>
      <c r="B1453" s="15"/>
      <c r="C1453" s="15"/>
      <c r="D1453" s="1454"/>
      <c r="E1453" s="2617" t="str">
        <f>IF(I1297="","",IF(INDEX(F_ProductBM!E:E,MATCH($P1453,F_ProductBM!$Q:$Q,0))="","",INDEX(F_ProductBM!E:E,MATCH($P1453,F_ProductBM!$Q:$Q,0))))</f>
        <v/>
      </c>
      <c r="F1453" s="1997"/>
      <c r="G1453" s="364" t="str">
        <f>EUconst_Tons</f>
        <v>ton</v>
      </c>
      <c r="H1453" s="742" t="str">
        <f>IF($I1297="","",IF(INDEX(F_ProductBM!H:H,MATCH($P1453,F_ProductBM!$Q:$Q,0))="","",INDEX(F_ProductBM!H:H,MATCH($P1453,F_ProductBM!$Q:$Q,0))))</f>
        <v/>
      </c>
      <c r="I1453" s="1021" t="str">
        <f>IF($I1297="","",IF(INDEX(F_ProductBM!I:I,MATCH($P1453,F_ProductBM!$Q:$Q,0))="","",INDEX(F_ProductBM!I:I,MATCH($P1453,F_ProductBM!$Q:$Q,0))))</f>
        <v/>
      </c>
      <c r="J1453" s="1158" t="str">
        <f>IF($I1297="","",IF(INDEX(F_ProductBM!J:J,MATCH($P1453,F_ProductBM!$Q:$Q,0))="","",INDEX(F_ProductBM!J:J,MATCH($P1453,F_ProductBM!$Q:$Q,0))))</f>
        <v/>
      </c>
      <c r="K1453" s="742" t="str">
        <f>IF($I1297="","",IF(INDEX(F_ProductBM!K:K,MATCH($P1453,F_ProductBM!$Q:$Q,0))="","",INDEX(F_ProductBM!K:K,MATCH($P1453,F_ProductBM!$Q:$Q,0))))</f>
        <v/>
      </c>
      <c r="L1453" s="742" t="str">
        <f>IF($I1297="","",IF(INDEX(F_ProductBM!L:L,MATCH($P1453,F_ProductBM!$Q:$Q,0))="","",INDEX(F_ProductBM!L:L,MATCH($P1453,F_ProductBM!$Q:$Q,0))))</f>
        <v/>
      </c>
      <c r="M1453" s="742" t="str">
        <f>IF($I1297="","",IF(INDEX(F_ProductBM!M:M,MATCH($P1453,F_ProductBM!$Q:$Q,0))="","",INDEX(F_ProductBM!M:M,MATCH($P1453,F_ProductBM!$Q:$Q,0))))</f>
        <v/>
      </c>
      <c r="N1453" s="1459" t="str">
        <f>IF($I1297="","",IF(INDEX(F_ProductBM!N:N,MATCH($P1453,F_ProductBM!$Q:$Q,0))="","",INDEX(F_ProductBM!N:N,MATCH($P1453,F_ProductBM!$Q:$Q,0))))</f>
        <v/>
      </c>
      <c r="O1453" s="19"/>
      <c r="P1453" s="298" t="str">
        <f>EUconst_CNTR_IntermediateImport &amp; R1453 &amp; "_" &amp; I1297</f>
        <v>IntImp_1_</v>
      </c>
      <c r="Q1453" s="343"/>
      <c r="R1453" s="663">
        <v>1</v>
      </c>
      <c r="S1453" s="343"/>
      <c r="T1453" s="7"/>
      <c r="U1453" s="349"/>
      <c r="V1453" s="349"/>
    </row>
    <row r="1454" spans="1:22" s="534" customFormat="1" x14ac:dyDescent="0.25">
      <c r="A1454" s="343"/>
      <c r="B1454" s="15"/>
      <c r="C1454" s="15"/>
      <c r="D1454" s="1454"/>
      <c r="E1454" s="2617" t="str">
        <f>IF(I1297="","",IF(INDEX(F_ProductBM!E:E,MATCH($P1454,F_ProductBM!$Q:$Q,0))="","",INDEX(F_ProductBM!E:E,MATCH($P1454,F_ProductBM!$Q:$Q,0))))</f>
        <v/>
      </c>
      <c r="F1454" s="1997"/>
      <c r="G1454" s="364" t="str">
        <f>EUconst_Tons</f>
        <v>ton</v>
      </c>
      <c r="H1454" s="742" t="str">
        <f>IF($I1297="","",IF(INDEX(F_ProductBM!H:H,MATCH($P1454,F_ProductBM!$Q:$Q,0))="","",INDEX(F_ProductBM!H:H,MATCH($P1454,F_ProductBM!$Q:$Q,0))))</f>
        <v/>
      </c>
      <c r="I1454" s="1021" t="str">
        <f>IF($I1297="","",IF(INDEX(F_ProductBM!I:I,MATCH($P1454,F_ProductBM!$Q:$Q,0))="","",INDEX(F_ProductBM!I:I,MATCH($P1454,F_ProductBM!$Q:$Q,0))))</f>
        <v/>
      </c>
      <c r="J1454" s="1158" t="str">
        <f>IF($I1297="","",IF(INDEX(F_ProductBM!J:J,MATCH($P1454,F_ProductBM!$Q:$Q,0))="","",INDEX(F_ProductBM!J:J,MATCH($P1454,F_ProductBM!$Q:$Q,0))))</f>
        <v/>
      </c>
      <c r="K1454" s="742" t="str">
        <f>IF($I1297="","",IF(INDEX(F_ProductBM!K:K,MATCH($P1454,F_ProductBM!$Q:$Q,0))="","",INDEX(F_ProductBM!K:K,MATCH($P1454,F_ProductBM!$Q:$Q,0))))</f>
        <v/>
      </c>
      <c r="L1454" s="742" t="str">
        <f>IF($I1297="","",IF(INDEX(F_ProductBM!L:L,MATCH($P1454,F_ProductBM!$Q:$Q,0))="","",INDEX(F_ProductBM!L:L,MATCH($P1454,F_ProductBM!$Q:$Q,0))))</f>
        <v/>
      </c>
      <c r="M1454" s="742" t="str">
        <f>IF($I1297="","",IF(INDEX(F_ProductBM!M:M,MATCH($P1454,F_ProductBM!$Q:$Q,0))="","",INDEX(F_ProductBM!M:M,MATCH($P1454,F_ProductBM!$Q:$Q,0))))</f>
        <v/>
      </c>
      <c r="N1454" s="1459" t="str">
        <f>IF($I1297="","",IF(INDEX(F_ProductBM!N:N,MATCH($P1454,F_ProductBM!$Q:$Q,0))="","",INDEX(F_ProductBM!N:N,MATCH($P1454,F_ProductBM!$Q:$Q,0))))</f>
        <v/>
      </c>
      <c r="O1454" s="19"/>
      <c r="P1454" s="298" t="str">
        <f>EUconst_CNTR_IntermediateImport &amp; R1454 &amp; "_" &amp; I1297</f>
        <v>IntImp_2_</v>
      </c>
      <c r="Q1454" s="343"/>
      <c r="R1454" s="663">
        <v>2</v>
      </c>
      <c r="S1454" s="343"/>
      <c r="T1454" s="7"/>
      <c r="U1454" s="349"/>
      <c r="V1454" s="349"/>
    </row>
    <row r="1455" spans="1:22" s="534" customFormat="1" x14ac:dyDescent="0.25">
      <c r="A1455" s="343"/>
      <c r="B1455" s="15"/>
      <c r="C1455" s="15"/>
      <c r="D1455" s="1454"/>
      <c r="E1455" s="2613" t="str">
        <f>Translations!$B$1058</f>
        <v>Mellanexport:</v>
      </c>
      <c r="F1455" s="1997"/>
      <c r="G1455" s="416"/>
      <c r="H1455" s="741"/>
      <c r="I1455" s="741"/>
      <c r="J1455" s="741"/>
      <c r="K1455" s="741"/>
      <c r="L1455" s="741"/>
      <c r="M1455" s="741"/>
      <c r="N1455" s="1458"/>
      <c r="O1455" s="19"/>
      <c r="P1455" s="7"/>
      <c r="Q1455" s="343"/>
      <c r="R1455" s="343"/>
      <c r="S1455" s="343"/>
      <c r="T1455" s="7"/>
      <c r="U1455" s="349"/>
      <c r="V1455" s="349"/>
    </row>
    <row r="1456" spans="1:22" s="534" customFormat="1" x14ac:dyDescent="0.25">
      <c r="A1456" s="343"/>
      <c r="B1456" s="15"/>
      <c r="C1456" s="15"/>
      <c r="D1456" s="1454"/>
      <c r="E1456" s="2617" t="str">
        <f>IF(I1297="","",IF(INDEX(F_ProductBM!E:E,MATCH($P1456,F_ProductBM!$Q:$Q,0))="","",INDEX(F_ProductBM!E:E,MATCH($P1456,F_ProductBM!$Q:$Q,0))))</f>
        <v/>
      </c>
      <c r="F1456" s="1997"/>
      <c r="G1456" s="364" t="str">
        <f>EUconst_Tons</f>
        <v>ton</v>
      </c>
      <c r="H1456" s="742" t="str">
        <f>IF($I1297="","",IF(INDEX(F_ProductBM!H:H,MATCH($P1456,F_ProductBM!$Q:$Q,0))="","",INDEX(F_ProductBM!H:H,MATCH($P1456,F_ProductBM!$Q:$Q,0))))</f>
        <v/>
      </c>
      <c r="I1456" s="1021" t="str">
        <f>IF($I1297="","",IF(INDEX(F_ProductBM!I:I,MATCH($P1456,F_ProductBM!$Q:$Q,0))="","",INDEX(F_ProductBM!I:I,MATCH($P1456,F_ProductBM!$Q:$Q,0))))</f>
        <v/>
      </c>
      <c r="J1456" s="1158" t="str">
        <f>IF($I1297="","",IF(INDEX(F_ProductBM!J:J,MATCH($P1456,F_ProductBM!$Q:$Q,0))="","",INDEX(F_ProductBM!J:J,MATCH($P1456,F_ProductBM!$Q:$Q,0))))</f>
        <v/>
      </c>
      <c r="K1456" s="742" t="str">
        <f>IF($I1297="","",IF(INDEX(F_ProductBM!K:K,MATCH($P1456,F_ProductBM!$Q:$Q,0))="","",INDEX(F_ProductBM!K:K,MATCH($P1456,F_ProductBM!$Q:$Q,0))))</f>
        <v/>
      </c>
      <c r="L1456" s="742" t="str">
        <f>IF($I1297="","",IF(INDEX(F_ProductBM!L:L,MATCH($P1456,F_ProductBM!$Q:$Q,0))="","",INDEX(F_ProductBM!L:L,MATCH($P1456,F_ProductBM!$Q:$Q,0))))</f>
        <v/>
      </c>
      <c r="M1456" s="742" t="str">
        <f>IF($I1297="","",IF(INDEX(F_ProductBM!M:M,MATCH($P1456,F_ProductBM!$Q:$Q,0))="","",INDEX(F_ProductBM!M:M,MATCH($P1456,F_ProductBM!$Q:$Q,0))))</f>
        <v/>
      </c>
      <c r="N1456" s="1459" t="str">
        <f>IF($I1297="","",IF(INDEX(F_ProductBM!N:N,MATCH($P1456,F_ProductBM!$Q:$Q,0))="","",INDEX(F_ProductBM!N:N,MATCH($P1456,F_ProductBM!$Q:$Q,0))))</f>
        <v/>
      </c>
      <c r="O1456" s="19"/>
      <c r="P1456" s="298" t="str">
        <f>EUconst_CNTR_IntermediateExport &amp; R1453 &amp; "_" &amp; I1297</f>
        <v>IntExp_1_</v>
      </c>
      <c r="Q1456" s="343"/>
      <c r="R1456" s="663">
        <v>1</v>
      </c>
      <c r="S1456" s="343"/>
      <c r="T1456" s="7"/>
      <c r="U1456" s="349"/>
      <c r="V1456" s="349"/>
    </row>
    <row r="1457" spans="1:22" s="534" customFormat="1" x14ac:dyDescent="0.25">
      <c r="A1457" s="343"/>
      <c r="B1457" s="15"/>
      <c r="C1457" s="15"/>
      <c r="D1457" s="1454"/>
      <c r="E1457" s="2617" t="str">
        <f>IF(I1297="","",IF(INDEX(F_ProductBM!E:E,MATCH($P1457,F_ProductBM!$Q:$Q,0))="","",INDEX(F_ProductBM!E:E,MATCH($P1457,F_ProductBM!$Q:$Q,0))))</f>
        <v/>
      </c>
      <c r="F1457" s="1997"/>
      <c r="G1457" s="364" t="str">
        <f>EUconst_Tons</f>
        <v>ton</v>
      </c>
      <c r="H1457" s="742" t="str">
        <f>IF($I1297="","",IF(INDEX(F_ProductBM!H:H,MATCH($P1457,F_ProductBM!$Q:$Q,0))="","",INDEX(F_ProductBM!H:H,MATCH($P1457,F_ProductBM!$Q:$Q,0))))</f>
        <v/>
      </c>
      <c r="I1457" s="1021" t="str">
        <f>IF($I1297="","",IF(INDEX(F_ProductBM!I:I,MATCH($P1457,F_ProductBM!$Q:$Q,0))="","",INDEX(F_ProductBM!I:I,MATCH($P1457,F_ProductBM!$Q:$Q,0))))</f>
        <v/>
      </c>
      <c r="J1457" s="1158" t="str">
        <f>IF($I1297="","",IF(INDEX(F_ProductBM!J:J,MATCH($P1457,F_ProductBM!$Q:$Q,0))="","",INDEX(F_ProductBM!J:J,MATCH($P1457,F_ProductBM!$Q:$Q,0))))</f>
        <v/>
      </c>
      <c r="K1457" s="742" t="str">
        <f>IF($I1297="","",IF(INDEX(F_ProductBM!K:K,MATCH($P1457,F_ProductBM!$Q:$Q,0))="","",INDEX(F_ProductBM!K:K,MATCH($P1457,F_ProductBM!$Q:$Q,0))))</f>
        <v/>
      </c>
      <c r="L1457" s="742" t="str">
        <f>IF($I1297="","",IF(INDEX(F_ProductBM!L:L,MATCH($P1457,F_ProductBM!$Q:$Q,0))="","",INDEX(F_ProductBM!L:L,MATCH($P1457,F_ProductBM!$Q:$Q,0))))</f>
        <v/>
      </c>
      <c r="M1457" s="742" t="str">
        <f>IF($I1297="","",IF(INDEX(F_ProductBM!M:M,MATCH($P1457,F_ProductBM!$Q:$Q,0))="","",INDEX(F_ProductBM!M:M,MATCH($P1457,F_ProductBM!$Q:$Q,0))))</f>
        <v/>
      </c>
      <c r="N1457" s="1459" t="str">
        <f>IF($I1297="","",IF(INDEX(F_ProductBM!N:N,MATCH($P1457,F_ProductBM!$Q:$Q,0))="","",INDEX(F_ProductBM!N:N,MATCH($P1457,F_ProductBM!$Q:$Q,0))))</f>
        <v/>
      </c>
      <c r="O1457" s="19"/>
      <c r="P1457" s="298" t="str">
        <f>EUconst_CNTR_IntermediateExport &amp; R1457 &amp; "_" &amp; I1297</f>
        <v>IntExp_2_</v>
      </c>
      <c r="Q1457" s="343"/>
      <c r="R1457" s="663">
        <v>2</v>
      </c>
      <c r="S1457" s="343"/>
      <c r="T1457" s="7"/>
      <c r="U1457" s="349"/>
      <c r="V1457" s="349"/>
    </row>
    <row r="1458" spans="1:22" s="534" customFormat="1" ht="12.75" customHeight="1" thickBot="1" x14ac:dyDescent="0.3">
      <c r="A1458" s="343"/>
      <c r="B1458" s="15"/>
      <c r="C1458" s="15"/>
      <c r="D1458" s="1460"/>
      <c r="E1458" s="1461"/>
      <c r="F1458" s="1461"/>
      <c r="G1458" s="1462"/>
      <c r="H1458" s="1462"/>
      <c r="I1458" s="783"/>
      <c r="J1458" s="783"/>
      <c r="K1458" s="783"/>
      <c r="L1458" s="783"/>
      <c r="M1458" s="783"/>
      <c r="N1458" s="784"/>
      <c r="O1458" s="19"/>
      <c r="P1458" s="7"/>
      <c r="Q1458" s="343"/>
      <c r="R1458" s="343"/>
      <c r="S1458" s="343"/>
      <c r="T1458" s="7"/>
      <c r="U1458" s="349"/>
      <c r="V1458" s="349"/>
    </row>
    <row r="1459" spans="1:22" s="534" customFormat="1" ht="5.15" customHeight="1" thickBot="1" x14ac:dyDescent="0.3">
      <c r="A1459" s="343"/>
      <c r="B1459" s="15"/>
      <c r="C1459" s="15"/>
      <c r="D1459" s="15"/>
      <c r="E1459" s="748"/>
      <c r="O1459" s="19"/>
      <c r="P1459" s="343"/>
      <c r="Q1459" s="343"/>
      <c r="R1459" s="343"/>
      <c r="S1459" s="343"/>
      <c r="T1459" s="343"/>
      <c r="U1459" s="349"/>
      <c r="V1459" s="349"/>
    </row>
    <row r="1460" spans="1:22" s="534" customFormat="1" ht="5.15" customHeight="1" thickBot="1" x14ac:dyDescent="0.3">
      <c r="A1460" s="343"/>
      <c r="B1460" s="3"/>
      <c r="C1460" s="230"/>
      <c r="D1460" s="230"/>
      <c r="E1460" s="230"/>
      <c r="F1460" s="230"/>
      <c r="G1460" s="230"/>
      <c r="H1460" s="230"/>
      <c r="I1460" s="230"/>
      <c r="J1460" s="230"/>
      <c r="K1460" s="230"/>
      <c r="L1460" s="230"/>
      <c r="M1460" s="230"/>
      <c r="N1460" s="230"/>
      <c r="O1460" s="19"/>
      <c r="P1460" s="343"/>
      <c r="Q1460" s="343"/>
      <c r="R1460" s="343"/>
      <c r="S1460" s="343"/>
      <c r="T1460" s="343"/>
      <c r="U1460" s="349"/>
      <c r="V1460" s="349"/>
    </row>
    <row r="1461" spans="1:22" s="534" customFormat="1" ht="15" customHeight="1" thickBot="1" x14ac:dyDescent="0.35">
      <c r="A1461" s="343"/>
      <c r="B1461" s="15"/>
      <c r="C1461" s="17">
        <f>C1297+1</f>
        <v>7</v>
      </c>
      <c r="D1461" s="2053" t="str">
        <f>CONCATENATE(EUconst_BMSubinst," ",C1461, ":")</f>
        <v>Delanläggning med produktriktmärke 7:</v>
      </c>
      <c r="E1461" s="2053"/>
      <c r="F1461" s="2053"/>
      <c r="G1461" s="2053"/>
      <c r="H1461" s="2081"/>
      <c r="I1461" s="2090" t="str">
        <f>IF(INDEX(CNTR_SubInstListIsProdBM,$C1461),INDEX(CNTR_SubInstListNames,$C1461),"")</f>
        <v/>
      </c>
      <c r="J1461" s="2091"/>
      <c r="K1461" s="2091"/>
      <c r="L1461" s="2091"/>
      <c r="M1461" s="2091"/>
      <c r="N1461" s="2092"/>
      <c r="O1461" s="19"/>
      <c r="P1461" s="343"/>
      <c r="Q1461" s="723">
        <f>C1461</f>
        <v>7</v>
      </c>
      <c r="R1461" s="722" t="str">
        <f>I1461</f>
        <v/>
      </c>
      <c r="S1461" s="343"/>
      <c r="T1461" s="343"/>
      <c r="U1461" s="349"/>
      <c r="V1461" s="349"/>
    </row>
    <row r="1462" spans="1:22" s="534" customFormat="1" ht="5.15" customHeight="1" x14ac:dyDescent="0.3">
      <c r="A1462" s="343"/>
      <c r="B1462" s="15"/>
      <c r="C1462" s="17"/>
      <c r="D1462" s="17"/>
      <c r="E1462" s="17"/>
      <c r="F1462" s="17"/>
      <c r="G1462" s="17"/>
      <c r="H1462" s="17"/>
      <c r="I1462" s="17"/>
      <c r="J1462" s="17"/>
      <c r="K1462" s="17"/>
      <c r="L1462" s="17"/>
      <c r="M1462" s="17"/>
      <c r="N1462" s="17"/>
      <c r="O1462" s="19"/>
      <c r="P1462" s="343"/>
      <c r="Q1462" s="343"/>
      <c r="R1462" s="343"/>
      <c r="S1462" s="343"/>
      <c r="T1462" s="343"/>
      <c r="U1462" s="349"/>
      <c r="V1462" s="349"/>
    </row>
    <row r="1463" spans="1:22" s="534" customFormat="1" ht="12.75" customHeight="1" x14ac:dyDescent="0.3">
      <c r="A1463" s="343"/>
      <c r="B1463" s="15"/>
      <c r="C1463" s="17"/>
      <c r="D1463" s="17"/>
      <c r="E1463" s="17"/>
      <c r="F1463" s="17"/>
      <c r="H1463" s="506" t="str">
        <f>Translations!$B$1022</f>
        <v>KL-risk</v>
      </c>
      <c r="I1463" s="506" t="s">
        <v>1380</v>
      </c>
      <c r="J1463" s="506" t="str">
        <f>Translations!$B$1026</f>
        <v>I drift</v>
      </c>
      <c r="K1463" s="506" t="str">
        <f>Translations!$B$1545</f>
        <v>Upphört</v>
      </c>
      <c r="L1463" s="952" t="str">
        <f>Translations!$B$1024</f>
        <v>RM-nummer</v>
      </c>
      <c r="M1463" s="2786" t="str">
        <f>Translations!$B$1028</f>
        <v>RM-värde</v>
      </c>
      <c r="N1463" s="2786"/>
      <c r="O1463" s="19"/>
      <c r="P1463" s="343"/>
      <c r="Q1463" s="343"/>
      <c r="R1463" s="343"/>
      <c r="S1463" s="343"/>
      <c r="T1463" s="940"/>
      <c r="U1463" s="349"/>
      <c r="V1463" s="349"/>
    </row>
    <row r="1464" spans="1:22" s="534" customFormat="1" ht="12.75" customHeight="1" x14ac:dyDescent="0.3">
      <c r="A1464" s="343"/>
      <c r="B1464" s="15"/>
      <c r="C1464" s="17"/>
      <c r="D1464" s="17"/>
      <c r="E1464" s="508" t="str">
        <f>I1461</f>
        <v/>
      </c>
      <c r="F1464" s="509"/>
      <c r="G1464" s="509"/>
      <c r="H1464" s="510" t="str">
        <f>IF(L1464=EUconst_NA,EUconst_NA,INDEX(EUconst_BMlistCLstatus,L1464))</f>
        <v>Ej tillämpligt</v>
      </c>
      <c r="I1464" s="510" t="str">
        <f>IF(I1461="","",INDEX(EUconst_BMlistElExchangability,L1464))</f>
        <v/>
      </c>
      <c r="J1464" s="1045" t="str">
        <f>IF($I1461="",EUconst_NA,INDEX(CNTR_SubInstStartDate,MATCH(I1461,CNTR_SubInstListNames,0)))</f>
        <v>Ej tillämpligt</v>
      </c>
      <c r="K1464" s="1045" t="str">
        <f>IF($I1461="",EUconst_NA,IF(INDEX(CNTR_SubInstCessationDate,MATCH(I1461,CNTR_SubInstListNames,0))=0,"",INDEX(CNTR_SubInstCessationDate,MATCH(I1461,CNTR_SubInstListNames,0))))</f>
        <v>Ej tillämpligt</v>
      </c>
      <c r="L1464" s="953" t="str">
        <f>IF($I1461="",EUconst_NA,MATCH(I1461,EUconst_BMlistNames,0))</f>
        <v>Ej tillämpligt</v>
      </c>
      <c r="M1464" s="1744" t="str">
        <f>IF(I1461="",EUconst_NA,INDEX(EUconst_BMlistBMvaluesMatrix,L1464,3))</f>
        <v>Ej tillämpligt</v>
      </c>
      <c r="N1464" s="1041" t="str">
        <f>EUconst_EUA &amp; "/" &amp; F1467</f>
        <v>EUA/ton</v>
      </c>
      <c r="O1464" s="19"/>
      <c r="P1464" s="343"/>
      <c r="Q1464" s="343"/>
      <c r="R1464" s="343"/>
      <c r="S1464" s="343"/>
      <c r="T1464" s="940"/>
      <c r="U1464" s="349"/>
      <c r="V1464" s="349"/>
    </row>
    <row r="1465" spans="1:22" s="534" customFormat="1" ht="5.15" customHeight="1" thickBot="1" x14ac:dyDescent="0.35">
      <c r="A1465" s="343"/>
      <c r="B1465" s="15"/>
      <c r="C1465" s="15"/>
      <c r="D1465" s="15"/>
      <c r="E1465" s="17"/>
      <c r="J1465" s="15"/>
      <c r="K1465" s="15"/>
      <c r="L1465" s="15"/>
      <c r="M1465" s="15"/>
      <c r="N1465" s="15"/>
      <c r="O1465" s="19"/>
      <c r="P1465" s="343"/>
      <c r="Q1465" s="343"/>
      <c r="R1465" s="343"/>
      <c r="S1465" s="343"/>
      <c r="T1465" s="7"/>
      <c r="U1465" s="349"/>
      <c r="V1465" s="349"/>
    </row>
    <row r="1466" spans="1:22" s="534" customFormat="1" ht="12.75" customHeight="1" x14ac:dyDescent="0.25">
      <c r="A1466" s="343"/>
      <c r="B1466" s="15"/>
      <c r="C1466" s="15"/>
      <c r="D1466" s="15"/>
      <c r="E1466" s="39"/>
      <c r="F1466" s="13" t="str">
        <f>EUconst_Unit</f>
        <v>Enhet</v>
      </c>
      <c r="G1466" s="1202" t="str">
        <f>Translations!$B$1432</f>
        <v>HAL</v>
      </c>
      <c r="H1466" s="987">
        <f t="shared" ref="H1466:N1466" si="254">H$2596</f>
        <v>2019</v>
      </c>
      <c r="I1466" s="342">
        <f t="shared" si="254"/>
        <v>2020</v>
      </c>
      <c r="J1466" s="987">
        <f t="shared" si="254"/>
        <v>2021</v>
      </c>
      <c r="K1466" s="320">
        <f t="shared" si="254"/>
        <v>2022</v>
      </c>
      <c r="L1466" s="320">
        <f t="shared" si="254"/>
        <v>2023</v>
      </c>
      <c r="M1466" s="320">
        <f t="shared" si="254"/>
        <v>2024</v>
      </c>
      <c r="N1466" s="320">
        <f t="shared" si="254"/>
        <v>2025</v>
      </c>
      <c r="O1466" s="19"/>
      <c r="P1466" s="343"/>
      <c r="Q1466" s="343" t="s">
        <v>2010</v>
      </c>
      <c r="R1466" s="1635">
        <f>J$2596</f>
        <v>2021</v>
      </c>
      <c r="S1466" s="1636">
        <f>K$2596</f>
        <v>2022</v>
      </c>
      <c r="T1466" s="1636">
        <f>L$2596</f>
        <v>2023</v>
      </c>
      <c r="U1466" s="1636">
        <f>M$2596</f>
        <v>2024</v>
      </c>
      <c r="V1466" s="1637">
        <f>N$2596</f>
        <v>2025</v>
      </c>
    </row>
    <row r="1467" spans="1:22" s="534" customFormat="1" ht="12.75" customHeight="1" thickBot="1" x14ac:dyDescent="0.3">
      <c r="A1467" s="343"/>
      <c r="B1467" s="15"/>
      <c r="C1467" s="15"/>
      <c r="D1467" s="15"/>
      <c r="E1467" s="514" t="str">
        <f>Translations!$B$1562</f>
        <v>Rapporterad verksamhetsnivå</v>
      </c>
      <c r="F1467" s="563" t="str">
        <f>IF(ISNUMBER(L1464),INDEX(EUconst_BMlistUnits,L1464),EUconst_Tons)</f>
        <v>ton</v>
      </c>
      <c r="G1467" s="943" t="str">
        <f>I1570</f>
        <v/>
      </c>
      <c r="H1467" s="1131" t="str">
        <f>IF($I1461="","",IF(H1466&gt;=CNTR_ReportingYear,"",INDEX(F_ProductBM!H:H,MATCH($P1467,F_ProductBM!$Q:$Q,0))))</f>
        <v/>
      </c>
      <c r="I1467" s="641" t="str">
        <f>IF($I1461="","",IF(I1466&gt;=CNTR_ReportingYear,"",INDEX(F_ProductBM!I:I,MATCH($P1467,F_ProductBM!$Q:$Q,0))))</f>
        <v/>
      </c>
      <c r="J1467" s="1131" t="str">
        <f>IF($I1461="","",IF(J1466&gt;=CNTR_ReportingYear,"",INDEX(F_ProductBM!J:J,MATCH($P1467,F_ProductBM!$Q:$Q,0))))</f>
        <v/>
      </c>
      <c r="K1467" s="421" t="str">
        <f>IF($I1461="","",IF(K1466&gt;=CNTR_ReportingYear,"",INDEX(F_ProductBM!K:K,MATCH($P1467,F_ProductBM!$Q:$Q,0))))</f>
        <v/>
      </c>
      <c r="L1467" s="421" t="str">
        <f>IF($I1461="","",IF(L1466&gt;=CNTR_ReportingYear,"",INDEX(F_ProductBM!L:L,MATCH($P1467,F_ProductBM!$Q:$Q,0))))</f>
        <v/>
      </c>
      <c r="M1467" s="421" t="str">
        <f>IF($I1461="","",IF(M1466&gt;=CNTR_ReportingYear,"",INDEX(F_ProductBM!M:M,MATCH($P1467,F_ProductBM!$Q:$Q,0))))</f>
        <v/>
      </c>
      <c r="N1467" s="421" t="str">
        <f>IF($I1461="","",IF(N1466&gt;=CNTR_ReportingYear,"",INDEX(F_ProductBM!N:N,MATCH($P1467,F_ProductBM!$Q:$Q,0))))</f>
        <v/>
      </c>
      <c r="O1467" s="19"/>
      <c r="P1467" s="165" t="str">
        <f>EUconst_CNTR_HAL&amp;I1461</f>
        <v>HAL_</v>
      </c>
      <c r="Q1467" s="343"/>
      <c r="R1467" s="1329" t="b">
        <f>AND($I1461&lt;&gt;"",R1466&lt;=CNTR_ReportingYear,IF($J1464&lt;&gt;EUconst_NA,R1466&gt;=YEAR($J1464),TRUE))</f>
        <v>0</v>
      </c>
      <c r="S1467" s="1330" t="b">
        <f>AND($I1461&lt;&gt;"",S1466&lt;=CNTR_ReportingYear,IF($J1464&lt;&gt;EUconst_NA,S1466&gt;=YEAR($J1464),TRUE))</f>
        <v>0</v>
      </c>
      <c r="T1467" s="1330" t="b">
        <f>AND($I1461&lt;&gt;"",T1466&lt;=CNTR_ReportingYear,IF($J1464&lt;&gt;EUconst_NA,T1466&gt;=YEAR($J1464),TRUE))</f>
        <v>0</v>
      </c>
      <c r="U1467" s="1330" t="b">
        <f>AND($I1461&lt;&gt;"",U1466&lt;=CNTR_ReportingYear,IF($J1464&lt;&gt;EUconst_NA,U1466&gt;=YEAR($J1464),TRUE))</f>
        <v>0</v>
      </c>
      <c r="V1467" s="1331" t="b">
        <f>AND($I1461&lt;&gt;"",V1466&lt;=CNTR_ReportingYear,IF($J1464&lt;&gt;EUconst_NA,V1466&gt;=YEAR($J1464),TRUE))</f>
        <v>0</v>
      </c>
    </row>
    <row r="1468" spans="1:22" s="534" customFormat="1" ht="5.15" customHeight="1" thickBot="1" x14ac:dyDescent="0.35">
      <c r="A1468" s="343"/>
      <c r="B1468" s="15"/>
      <c r="C1468" s="17"/>
      <c r="D1468" s="17"/>
      <c r="E1468" s="17"/>
      <c r="F1468" s="17"/>
      <c r="G1468" s="17"/>
      <c r="H1468" s="17"/>
      <c r="I1468" s="17"/>
      <c r="J1468" s="17"/>
      <c r="K1468" s="17"/>
      <c r="L1468" s="17"/>
      <c r="M1468" s="17"/>
      <c r="N1468" s="17"/>
      <c r="O1468" s="19"/>
      <c r="P1468" s="343"/>
      <c r="Q1468" s="343"/>
      <c r="R1468" s="343"/>
      <c r="S1468" s="343"/>
      <c r="T1468" s="343"/>
      <c r="U1468" s="349"/>
      <c r="V1468" s="349"/>
    </row>
    <row r="1469" spans="1:22" s="534" customFormat="1" ht="5.15" customHeight="1" x14ac:dyDescent="0.3">
      <c r="A1469" s="343"/>
      <c r="B1469" s="15"/>
      <c r="C1469" s="17"/>
      <c r="D1469" s="1383"/>
      <c r="E1469" s="1384"/>
      <c r="F1469" s="1384"/>
      <c r="G1469" s="1384"/>
      <c r="H1469" s="1384"/>
      <c r="I1469" s="1384"/>
      <c r="J1469" s="1384"/>
      <c r="K1469" s="1384"/>
      <c r="L1469" s="1384"/>
      <c r="M1469" s="1384"/>
      <c r="N1469" s="1385"/>
      <c r="O1469" s="19"/>
      <c r="P1469" s="343"/>
      <c r="Q1469" s="343"/>
      <c r="R1469" s="343"/>
      <c r="S1469" s="343"/>
      <c r="T1469" s="343"/>
      <c r="U1469" s="349"/>
      <c r="V1469" s="349"/>
    </row>
    <row r="1470" spans="1:22" s="534" customFormat="1" ht="12.75" customHeight="1" x14ac:dyDescent="0.3">
      <c r="A1470" s="343"/>
      <c r="B1470" s="15"/>
      <c r="C1470" s="17"/>
      <c r="D1470" s="1386"/>
      <c r="E1470" s="42" t="str">
        <f>Translations!$B$1563</f>
        <v>Tillämplighet av glidande medelvärde</v>
      </c>
      <c r="F1470" s="188"/>
      <c r="G1470" s="188"/>
      <c r="H1470" s="30"/>
      <c r="I1470" s="1157"/>
      <c r="J1470" s="1065">
        <f>J$2596</f>
        <v>2021</v>
      </c>
      <c r="K1470" s="350">
        <f>K$2596</f>
        <v>2022</v>
      </c>
      <c r="L1470" s="350">
        <f>L$2596</f>
        <v>2023</v>
      </c>
      <c r="M1470" s="350">
        <f>M$2596</f>
        <v>2024</v>
      </c>
      <c r="N1470" s="966">
        <f>N$2596</f>
        <v>2025</v>
      </c>
      <c r="O1470" s="19"/>
      <c r="P1470" s="343"/>
      <c r="Q1470" s="343"/>
      <c r="R1470" s="343"/>
      <c r="S1470" s="343"/>
      <c r="T1470" s="343"/>
      <c r="U1470" s="349"/>
      <c r="V1470" s="349"/>
    </row>
    <row r="1471" spans="1:22" s="534" customFormat="1" ht="12.75" customHeight="1" x14ac:dyDescent="0.3">
      <c r="A1471" s="343"/>
      <c r="B1471" s="15"/>
      <c r="C1471" s="17"/>
      <c r="D1471" s="1386"/>
      <c r="E1471" s="1477" t="str">
        <f>Translations!$B$1549</f>
        <v>Kriterium 1: Verksam &gt;2 år?</v>
      </c>
      <c r="F1471" s="1478"/>
      <c r="G1471" s="1478"/>
      <c r="H1471" s="1366"/>
      <c r="I1471" s="1478"/>
      <c r="J1471" s="1469" t="str">
        <f>IF(R1467,INDEX(F_ProductBM!V:V,MATCH($P1471,F_ProductBM!$Q:$Q,0))&gt;=3,"")</f>
        <v/>
      </c>
      <c r="K1471" s="1470" t="str">
        <f>IF(S1467,INDEX(F_ProductBM!W:W,MATCH($P1471,F_ProductBM!$Q:$Q,0))&gt;=3,"")</f>
        <v/>
      </c>
      <c r="L1471" s="1470" t="str">
        <f>IF(T1467,INDEX(F_ProductBM!X:X,MATCH($P1471,F_ProductBM!$Q:$Q,0))&gt;=3,"")</f>
        <v/>
      </c>
      <c r="M1471" s="1470" t="str">
        <f>IF(U1467,INDEX(F_ProductBM!Y:Y,MATCH($P1471,F_ProductBM!$Q:$Q,0))&gt;=3,"")</f>
        <v/>
      </c>
      <c r="N1471" s="1471" t="str">
        <f>IF(V1467,INDEX(F_ProductBM!Z:Z,MATCH($P1471,F_ProductBM!$Q:$Q,0))&gt;=3,"")</f>
        <v/>
      </c>
      <c r="O1471" s="19"/>
      <c r="P1471" s="165" t="str">
        <f>EUconst_CNTR_HALinitial&amp;I1461</f>
        <v>HALini_</v>
      </c>
      <c r="Q1471" s="343"/>
      <c r="R1471" s="343"/>
      <c r="S1471" s="343"/>
      <c r="T1471" s="343"/>
      <c r="U1471" s="349"/>
      <c r="V1471" s="349"/>
    </row>
    <row r="1472" spans="1:22" s="534" customFormat="1" ht="12.75" customHeight="1" x14ac:dyDescent="0.3">
      <c r="A1472" s="343"/>
      <c r="B1472" s="15"/>
      <c r="C1472" s="17"/>
      <c r="D1472" s="1386"/>
      <c r="E1472" s="1472" t="str">
        <f>Translations!$B$1551</f>
        <v>Kriterium 2: Upphörde inte föregående år?</v>
      </c>
      <c r="F1472" s="1479"/>
      <c r="G1472" s="1479"/>
      <c r="H1472" s="1473"/>
      <c r="I1472" s="1479"/>
      <c r="J1472" s="1474" t="str">
        <f>IF(R1467,IF($K1464="",2050,YEAR($K1464))&lt;&gt;(J1470-1),"")</f>
        <v/>
      </c>
      <c r="K1472" s="1475" t="str">
        <f>IF(S1467,IF($K1464="",2050,YEAR($K1464))&lt;&gt;(K1470-1),"")</f>
        <v/>
      </c>
      <c r="L1472" s="1475" t="str">
        <f>IF(T1467,IF($K1464="",2050,YEAR($K1464))&lt;&gt;(L1470-1),"")</f>
        <v/>
      </c>
      <c r="M1472" s="1475" t="str">
        <f>IF(U1467,IF($K1464="",2050,YEAR($K1464))&lt;&gt;(M1470-1),"")</f>
        <v/>
      </c>
      <c r="N1472" s="1476" t="str">
        <f>IF(V1467,IF($K1464="",2050,YEAR($K1464))&lt;&gt;(N1470-1),"")</f>
        <v/>
      </c>
      <c r="O1472" s="19"/>
      <c r="P1472" s="343"/>
      <c r="Q1472" s="343"/>
      <c r="R1472" s="343"/>
      <c r="S1472" s="343"/>
      <c r="T1472" s="343"/>
      <c r="U1472" s="349"/>
      <c r="V1472" s="349"/>
    </row>
    <row r="1473" spans="1:22" s="534" customFormat="1" ht="5.15" customHeight="1" x14ac:dyDescent="0.3">
      <c r="A1473" s="343"/>
      <c r="B1473" s="15"/>
      <c r="C1473" s="17"/>
      <c r="D1473" s="1386"/>
      <c r="E1473" s="17"/>
      <c r="F1473" s="17"/>
      <c r="G1473" s="17"/>
      <c r="H1473" s="17"/>
      <c r="I1473" s="17"/>
      <c r="J1473" s="17"/>
      <c r="K1473" s="17"/>
      <c r="L1473" s="17"/>
      <c r="M1473" s="17"/>
      <c r="N1473" s="1388"/>
      <c r="O1473" s="19"/>
      <c r="P1473" s="343"/>
      <c r="Q1473" s="343"/>
      <c r="R1473" s="343"/>
      <c r="S1473" s="343"/>
      <c r="T1473" s="343"/>
      <c r="U1473" s="349"/>
      <c r="V1473" s="349"/>
    </row>
    <row r="1474" spans="1:22" s="534" customFormat="1" ht="12.75" customHeight="1" x14ac:dyDescent="0.3">
      <c r="A1474" s="343"/>
      <c r="B1474" s="15"/>
      <c r="C1474" s="17"/>
      <c r="D1474" s="1386"/>
      <c r="E1474" s="39" t="str">
        <f>Translations!$B$1564</f>
        <v>Ändringar: Ingen ändring (bas)</v>
      </c>
      <c r="F1474" s="15"/>
      <c r="G1474" s="15"/>
      <c r="H1474" s="30" t="str">
        <f>EUconst_Unit</f>
        <v>Enhet</v>
      </c>
      <c r="I1474" s="1157"/>
      <c r="J1474" s="987">
        <f>J$2596</f>
        <v>2021</v>
      </c>
      <c r="K1474" s="320">
        <f>K$2596</f>
        <v>2022</v>
      </c>
      <c r="L1474" s="320">
        <f>L$2596</f>
        <v>2023</v>
      </c>
      <c r="M1474" s="320">
        <f>M$2596</f>
        <v>2024</v>
      </c>
      <c r="N1474" s="1387">
        <f>N$2596</f>
        <v>2025</v>
      </c>
      <c r="O1474" s="19"/>
      <c r="P1474" s="343"/>
      <c r="Q1474" s="343"/>
      <c r="R1474" s="343"/>
      <c r="S1474" s="343"/>
      <c r="T1474" s="343"/>
      <c r="U1474" s="349"/>
      <c r="V1474" s="349"/>
    </row>
    <row r="1475" spans="1:22" s="534" customFormat="1" ht="12.75" hidden="1" customHeight="1" x14ac:dyDescent="0.3">
      <c r="A1475" s="343" t="str">
        <f t="shared" ref="A1475:A1480" si="255">IF(P1475="","ausblenden","")</f>
        <v>ausblenden</v>
      </c>
      <c r="B1475" s="15"/>
      <c r="C1475" s="17"/>
      <c r="D1475" s="1386"/>
      <c r="E1475" s="514" t="s">
        <v>1918</v>
      </c>
      <c r="F1475" s="514"/>
      <c r="G1475" s="514"/>
      <c r="H1475" s="917" t="str">
        <f>F1467</f>
        <v>ton</v>
      </c>
      <c r="I1475" s="514"/>
      <c r="J1475" s="1152" t="str">
        <f>IF(T1576&gt;=$H$2595,S1570,I1570)</f>
        <v/>
      </c>
      <c r="K1475" s="943" t="str">
        <f t="shared" ref="K1475:K1480" si="256">J1570</f>
        <v/>
      </c>
      <c r="L1475" s="943" t="str">
        <f t="shared" ref="L1475:L1480" si="257">K1570</f>
        <v/>
      </c>
      <c r="M1475" s="943" t="str">
        <f t="shared" ref="M1475:M1480" si="258">L1570</f>
        <v/>
      </c>
      <c r="N1475" s="1389" t="str">
        <f t="shared" ref="N1475:N1480" si="259">M1570</f>
        <v/>
      </c>
      <c r="O1475" s="19"/>
      <c r="P1475" s="343"/>
      <c r="Q1475" s="343"/>
      <c r="R1475" s="343"/>
      <c r="S1475" s="343"/>
      <c r="T1475" s="343"/>
      <c r="U1475" s="349"/>
      <c r="V1475" s="349"/>
    </row>
    <row r="1476" spans="1:22" s="534" customFormat="1" ht="12.75" hidden="1" customHeight="1" x14ac:dyDescent="0.3">
      <c r="A1476" s="343" t="str">
        <f t="shared" si="255"/>
        <v>ausblenden</v>
      </c>
      <c r="B1476" s="15"/>
      <c r="C1476" s="17"/>
      <c r="D1476" s="1386"/>
      <c r="E1476" s="944" t="s">
        <v>339</v>
      </c>
      <c r="F1476" s="944"/>
      <c r="G1476" s="944"/>
      <c r="H1476" s="954" t="str">
        <f>EUconst_EUA</f>
        <v>EUA</v>
      </c>
      <c r="I1476" s="945"/>
      <c r="J1476" s="1209" t="str">
        <f>IF(T1576&gt;=$H$2595,S1571,I1571)</f>
        <v/>
      </c>
      <c r="K1476" s="1210" t="str">
        <f t="shared" si="256"/>
        <v/>
      </c>
      <c r="L1476" s="1210" t="str">
        <f t="shared" si="257"/>
        <v/>
      </c>
      <c r="M1476" s="1210" t="str">
        <f t="shared" si="258"/>
        <v/>
      </c>
      <c r="N1476" s="1390" t="str">
        <f t="shared" si="259"/>
        <v/>
      </c>
      <c r="O1476" s="19"/>
      <c r="P1476" s="343"/>
      <c r="Q1476" s="343"/>
      <c r="R1476" s="343"/>
      <c r="S1476" s="343"/>
      <c r="T1476" s="343"/>
      <c r="U1476" s="349"/>
      <c r="V1476" s="349"/>
    </row>
    <row r="1477" spans="1:22" s="534" customFormat="1" ht="12.75" hidden="1" customHeight="1" x14ac:dyDescent="0.3">
      <c r="A1477" s="343" t="str">
        <f t="shared" si="255"/>
        <v>ausblenden</v>
      </c>
      <c r="B1477" s="15"/>
      <c r="C1477" s="17"/>
      <c r="D1477" s="1386"/>
      <c r="E1477" s="947" t="s">
        <v>1560</v>
      </c>
      <c r="F1477" s="947"/>
      <c r="G1477" s="947"/>
      <c r="H1477" s="955" t="str">
        <f>EUconst_EUA</f>
        <v>EUA</v>
      </c>
      <c r="I1477" s="948"/>
      <c r="J1477" s="1165" t="str">
        <f>IF(T1576&gt;=$H$2595,S1572,I1572)</f>
        <v/>
      </c>
      <c r="K1477" s="975" t="str">
        <f t="shared" si="256"/>
        <v/>
      </c>
      <c r="L1477" s="975" t="str">
        <f t="shared" si="257"/>
        <v/>
      </c>
      <c r="M1477" s="975" t="str">
        <f t="shared" si="258"/>
        <v/>
      </c>
      <c r="N1477" s="1391" t="str">
        <f t="shared" si="259"/>
        <v/>
      </c>
      <c r="O1477" s="19"/>
      <c r="P1477" s="343"/>
      <c r="Q1477" s="343"/>
      <c r="R1477" s="343"/>
      <c r="S1477" s="343"/>
      <c r="T1477" s="343"/>
      <c r="U1477" s="349"/>
      <c r="V1477" s="349"/>
    </row>
    <row r="1478" spans="1:22" s="534" customFormat="1" ht="12.75" hidden="1" customHeight="1" x14ac:dyDescent="0.3">
      <c r="A1478" s="343" t="str">
        <f t="shared" si="255"/>
        <v>ausblenden</v>
      </c>
      <c r="B1478" s="15"/>
      <c r="C1478" s="17"/>
      <c r="D1478" s="1386"/>
      <c r="E1478" s="947" t="s">
        <v>1527</v>
      </c>
      <c r="F1478" s="947"/>
      <c r="G1478" s="947"/>
      <c r="H1478" s="955" t="str">
        <f>EUconst_EUA</f>
        <v>EUA</v>
      </c>
      <c r="I1478" s="948"/>
      <c r="J1478" s="1165" t="str">
        <f>IF(T1576&gt;=$H$2595,S1573,I1573)</f>
        <v/>
      </c>
      <c r="K1478" s="975" t="str">
        <f t="shared" si="256"/>
        <v/>
      </c>
      <c r="L1478" s="975" t="str">
        <f t="shared" si="257"/>
        <v/>
      </c>
      <c r="M1478" s="975" t="str">
        <f t="shared" si="258"/>
        <v/>
      </c>
      <c r="N1478" s="1391" t="str">
        <f t="shared" si="259"/>
        <v/>
      </c>
      <c r="O1478" s="19"/>
      <c r="P1478" s="343"/>
      <c r="Q1478" s="343"/>
      <c r="R1478" s="343"/>
      <c r="S1478" s="343"/>
      <c r="T1478" s="343"/>
      <c r="U1478" s="349"/>
      <c r="V1478" s="349"/>
    </row>
    <row r="1479" spans="1:22" s="534" customFormat="1" ht="12.75" hidden="1" customHeight="1" x14ac:dyDescent="0.3">
      <c r="A1479" s="343" t="str">
        <f t="shared" si="255"/>
        <v>ausblenden</v>
      </c>
      <c r="B1479" s="15"/>
      <c r="C1479" s="17"/>
      <c r="D1479" s="1386"/>
      <c r="E1479" s="947" t="s">
        <v>1526</v>
      </c>
      <c r="F1479" s="947"/>
      <c r="G1479" s="947"/>
      <c r="H1479" s="956" t="s">
        <v>1112</v>
      </c>
      <c r="I1479" s="948"/>
      <c r="J1479" s="1211" t="str">
        <f>IF(T1576&gt;=$H$2595,S1574,I1574)</f>
        <v/>
      </c>
      <c r="K1479" s="1212" t="str">
        <f t="shared" si="256"/>
        <v/>
      </c>
      <c r="L1479" s="1212" t="str">
        <f t="shared" si="257"/>
        <v/>
      </c>
      <c r="M1479" s="1212" t="str">
        <f t="shared" si="258"/>
        <v/>
      </c>
      <c r="N1479" s="1392" t="str">
        <f t="shared" si="259"/>
        <v/>
      </c>
      <c r="O1479" s="19"/>
      <c r="P1479" s="343"/>
      <c r="Q1479" s="343"/>
      <c r="R1479" s="343"/>
      <c r="S1479" s="343"/>
      <c r="T1479" s="343"/>
      <c r="U1479" s="349"/>
      <c r="V1479" s="349"/>
    </row>
    <row r="1480" spans="1:22" s="534" customFormat="1" ht="12.75" hidden="1" customHeight="1" x14ac:dyDescent="0.3">
      <c r="A1480" s="343" t="str">
        <f t="shared" si="255"/>
        <v>ausblenden</v>
      </c>
      <c r="B1480" s="15"/>
      <c r="C1480" s="17"/>
      <c r="D1480" s="1386"/>
      <c r="E1480" s="950" t="s">
        <v>1528</v>
      </c>
      <c r="F1480" s="950"/>
      <c r="G1480" s="950"/>
      <c r="H1480" s="957" t="s">
        <v>1112</v>
      </c>
      <c r="I1480" s="951"/>
      <c r="J1480" s="1213" t="str">
        <f>IF(T1576&gt;=$H$2595,S1575,I1575)</f>
        <v/>
      </c>
      <c r="K1480" s="1214" t="str">
        <f t="shared" si="256"/>
        <v/>
      </c>
      <c r="L1480" s="1214" t="str">
        <f t="shared" si="257"/>
        <v/>
      </c>
      <c r="M1480" s="1214" t="str">
        <f t="shared" si="258"/>
        <v/>
      </c>
      <c r="N1480" s="1393" t="str">
        <f t="shared" si="259"/>
        <v/>
      </c>
      <c r="O1480" s="19"/>
      <c r="P1480" s="343"/>
      <c r="Q1480" s="343"/>
      <c r="R1480" s="343"/>
      <c r="S1480" s="343"/>
      <c r="T1480" s="343"/>
      <c r="U1480" s="349"/>
      <c r="V1480" s="349"/>
    </row>
    <row r="1481" spans="1:22" s="534" customFormat="1" ht="12.75" customHeight="1" x14ac:dyDescent="0.3">
      <c r="A1481" s="343"/>
      <c r="B1481" s="15"/>
      <c r="C1481" s="17"/>
      <c r="D1481" s="1386"/>
      <c r="E1481" s="514" t="str">
        <f>Translations!$B$1565</f>
        <v>Preliminärt tilldelningsvärde</v>
      </c>
      <c r="F1481" s="514"/>
      <c r="G1481" s="514"/>
      <c r="H1481" s="129" t="str">
        <f>EUconst_EUA</f>
        <v>EUA</v>
      </c>
      <c r="I1481" s="1151"/>
      <c r="J1481" s="1131" t="str">
        <f>IF($I1461="","",MAX(0,ROUND((SUM($M1464)*SUM(J1475)*SUM(J1479)*SUM(J1480)-SUM(J1476)-SUM(J1477)+SUM(J1478))*IF($H1464=TRUE,1,J$2517),0)))</f>
        <v/>
      </c>
      <c r="K1481" s="421" t="str">
        <f>IF($I1461="","",MAX(0,ROUND((SUM($M1464)*SUM(K1475)*SUM(K1479)*SUM(K1480)-SUM(K1476)-SUM(K1477)+SUM(K1478))*IF($H1464=TRUE,1,K$2517),0)))</f>
        <v/>
      </c>
      <c r="L1481" s="421" t="str">
        <f>IF($I1461="","",MAX(0,ROUND((SUM($M1464)*SUM(L1475)*SUM(L1479)*SUM(L1480)-SUM(L1476)-SUM(L1477)+SUM(L1478))*IF($H1464=TRUE,1,L$2517),0)))</f>
        <v/>
      </c>
      <c r="M1481" s="421" t="str">
        <f>IF($I1461="","",MAX(0,ROUND((SUM($M1464)*SUM(M1475)*SUM(M1479)*SUM(M1480)-SUM(M1476)-SUM(M1477)+SUM(M1478))*IF($H1464=TRUE,1,M$2517),0)))</f>
        <v/>
      </c>
      <c r="N1481" s="967" t="str">
        <f>IF($I1461="","",MAX(0,ROUND((SUM($M1464+IF(L1464=52,0.415,0))*SUM(N1475)*SUM(N1479)*SUM(N1480)-SUM(N1476)-SUM(N1477)+SUM(N1478))*IF($H1464=TRUE,1,N$2517),0)))</f>
        <v/>
      </c>
      <c r="O1481" s="19"/>
      <c r="P1481" s="343"/>
      <c r="Q1481" s="343"/>
      <c r="R1481" s="343"/>
      <c r="S1481" s="343"/>
      <c r="T1481" s="343"/>
      <c r="U1481" s="349"/>
      <c r="V1481" s="349"/>
    </row>
    <row r="1482" spans="1:22" s="534" customFormat="1" ht="5.15" customHeight="1" x14ac:dyDescent="0.3">
      <c r="A1482" s="343"/>
      <c r="B1482" s="15"/>
      <c r="C1482" s="17"/>
      <c r="D1482" s="1386"/>
      <c r="E1482" s="17"/>
      <c r="F1482" s="17"/>
      <c r="G1482" s="17"/>
      <c r="H1482" s="17"/>
      <c r="I1482" s="17"/>
      <c r="J1482" s="17"/>
      <c r="K1482" s="17"/>
      <c r="L1482" s="17"/>
      <c r="M1482" s="17"/>
      <c r="N1482" s="1388"/>
      <c r="O1482" s="19"/>
      <c r="P1482" s="343"/>
      <c r="Q1482" s="343"/>
      <c r="R1482" s="343"/>
      <c r="S1482" s="343"/>
      <c r="T1482" s="343"/>
      <c r="U1482" s="349"/>
      <c r="V1482" s="349"/>
    </row>
    <row r="1483" spans="1:22" s="534" customFormat="1" ht="12.75" customHeight="1" x14ac:dyDescent="0.3">
      <c r="A1483" s="343"/>
      <c r="B1483" s="15"/>
      <c r="C1483" s="17"/>
      <c r="D1483" s="1386"/>
      <c r="E1483" s="42" t="str">
        <f>Translations!$B$1566</f>
        <v>Ändringar: Verksamhetsnivå</v>
      </c>
      <c r="F1483" s="188"/>
      <c r="G1483" s="188"/>
      <c r="H1483" s="30" t="str">
        <f>EUconst_Unit</f>
        <v>Enhet</v>
      </c>
      <c r="I1483" s="1157"/>
      <c r="J1483" s="1065">
        <f>J$2596</f>
        <v>2021</v>
      </c>
      <c r="K1483" s="350">
        <f>K$2596</f>
        <v>2022</v>
      </c>
      <c r="L1483" s="350">
        <f>L$2596</f>
        <v>2023</v>
      </c>
      <c r="M1483" s="350">
        <f>M$2596</f>
        <v>2024</v>
      </c>
      <c r="N1483" s="966">
        <f>N$2596</f>
        <v>2025</v>
      </c>
      <c r="O1483" s="19"/>
      <c r="P1483" s="343"/>
      <c r="Q1483" s="343"/>
      <c r="R1483" s="343"/>
      <c r="S1483" s="343"/>
      <c r="T1483" s="343"/>
      <c r="U1483" s="349"/>
      <c r="V1483" s="349"/>
    </row>
    <row r="1484" spans="1:22" s="534" customFormat="1" ht="12.75" customHeight="1" x14ac:dyDescent="0.3">
      <c r="A1484" s="343"/>
      <c r="B1484" s="15"/>
      <c r="C1484" s="17"/>
      <c r="D1484" s="1386"/>
      <c r="E1484" s="944" t="str">
        <f>Translations!$B$1482</f>
        <v>Genomsnittligt årligt värde</v>
      </c>
      <c r="F1484" s="944"/>
      <c r="G1484" s="944"/>
      <c r="H1484" s="1443" t="str">
        <f>H1475</f>
        <v>ton</v>
      </c>
      <c r="I1484" s="1367"/>
      <c r="J1484" s="1161" t="str">
        <f>INDEX(F_ProductBM!J:J,MATCH($P1484,F_ProductBM!$Q:$Q,0))</f>
        <v/>
      </c>
      <c r="K1484" s="946" t="str">
        <f>INDEX(F_ProductBM!K:K,MATCH($P1484,F_ProductBM!$Q:$Q,0))</f>
        <v/>
      </c>
      <c r="L1484" s="946" t="str">
        <f>INDEX(F_ProductBM!L:L,MATCH($P1484,F_ProductBM!$Q:$Q,0))</f>
        <v/>
      </c>
      <c r="M1484" s="946" t="str">
        <f>INDEX(F_ProductBM!M:M,MATCH($P1484,F_ProductBM!$Q:$Q,0))</f>
        <v/>
      </c>
      <c r="N1484" s="1046" t="str">
        <f>INDEX(F_ProductBM!N:N,MATCH($P1484,F_ProductBM!$Q:$Q,0))</f>
        <v/>
      </c>
      <c r="O1484" s="19"/>
      <c r="P1484" s="165" t="str">
        <f>EUconst_CNTR_HALinitial&amp;I1461</f>
        <v>HALini_</v>
      </c>
      <c r="Q1484" s="343"/>
      <c r="R1484" s="343"/>
      <c r="S1484" s="343"/>
      <c r="T1484" s="343"/>
      <c r="U1484" s="349"/>
      <c r="V1484" s="349"/>
    </row>
    <row r="1485" spans="1:22" s="534" customFormat="1" ht="12.75" customHeight="1" x14ac:dyDescent="0.3">
      <c r="A1485" s="343"/>
      <c r="B1485" s="15"/>
      <c r="C1485" s="17"/>
      <c r="D1485" s="1386"/>
      <c r="E1485" s="947" t="str">
        <f>Translations!$B$1567</f>
        <v>Ändring jämfört med historik verksamhetsnivå</v>
      </c>
      <c r="F1485" s="947"/>
      <c r="G1485" s="947"/>
      <c r="H1485" s="1442" t="s">
        <v>1112</v>
      </c>
      <c r="I1485" s="1371"/>
      <c r="J1485" s="1415" t="str">
        <f>INDEX(F_ProductBM!J:J,MATCH($P1485,F_ProductBM!$Q:$Q,0))</f>
        <v/>
      </c>
      <c r="K1485" s="1416" t="str">
        <f>INDEX(F_ProductBM!K:K,MATCH($P1485,F_ProductBM!$Q:$Q,0))</f>
        <v/>
      </c>
      <c r="L1485" s="1416" t="str">
        <f>INDEX(F_ProductBM!L:L,MATCH($P1485,F_ProductBM!$Q:$Q,0))</f>
        <v/>
      </c>
      <c r="M1485" s="1416" t="str">
        <f>INDEX(F_ProductBM!M:M,MATCH($P1485,F_ProductBM!$Q:$Q,0))</f>
        <v/>
      </c>
      <c r="N1485" s="1417" t="str">
        <f>INDEX(F_ProductBM!N:N,MATCH($P1485,F_ProductBM!$Q:$Q,0))</f>
        <v/>
      </c>
      <c r="O1485" s="19"/>
      <c r="P1485" s="165" t="str">
        <f>EUconst_CNTR_RelThreshold &amp; P1487</f>
        <v>RelThresh_HALprelim_</v>
      </c>
      <c r="Q1485" s="343"/>
      <c r="R1485" s="343"/>
      <c r="S1485" s="343"/>
      <c r="T1485" s="343"/>
      <c r="U1485" s="349"/>
      <c r="V1485" s="349"/>
    </row>
    <row r="1486" spans="1:22" s="534" customFormat="1" ht="12.75" customHeight="1" x14ac:dyDescent="0.3">
      <c r="A1486" s="343"/>
      <c r="B1486" s="15"/>
      <c r="C1486" s="17"/>
      <c r="D1486" s="1386"/>
      <c r="E1486" s="1418" t="str">
        <f>Translations!$B$1553</f>
        <v>Kriterium 3a: Har relativa tröskelvärden överskridits?</v>
      </c>
      <c r="F1486" s="1418"/>
      <c r="G1486" s="1418"/>
      <c r="H1486" s="1444" t="s">
        <v>1112</v>
      </c>
      <c r="I1486" s="1423"/>
      <c r="J1486" s="1420" t="str">
        <f>INDEX(F_ProductBM!V:V,MATCH($P1486,F_ProductBM!$Q:$Q,0)+1)</f>
        <v/>
      </c>
      <c r="K1486" s="1421" t="str">
        <f>INDEX(F_ProductBM!W:W,MATCH($P1486,F_ProductBM!$Q:$Q,0)+1)</f>
        <v/>
      </c>
      <c r="L1486" s="1421" t="str">
        <f>INDEX(F_ProductBM!X:X,MATCH($P1486,F_ProductBM!$Q:$Q,0)+1)</f>
        <v/>
      </c>
      <c r="M1486" s="1421" t="str">
        <f>INDEX(F_ProductBM!Y:Y,MATCH($P1486,F_ProductBM!$Q:$Q,0)+1)</f>
        <v/>
      </c>
      <c r="N1486" s="1422" t="str">
        <f>INDEX(F_ProductBM!Z:Z,MATCH($P1486,F_ProductBM!$Q:$Q,0)+1)</f>
        <v/>
      </c>
      <c r="O1486" s="19"/>
      <c r="P1486" s="165" t="str">
        <f>P1485</f>
        <v>RelThresh_HALprelim_</v>
      </c>
      <c r="Q1486" s="343"/>
      <c r="R1486" s="343"/>
      <c r="S1486" s="343"/>
      <c r="T1486" s="343"/>
      <c r="U1486" s="349"/>
      <c r="V1486" s="349"/>
    </row>
    <row r="1487" spans="1:22" s="534" customFormat="1" ht="12.75" customHeight="1" x14ac:dyDescent="0.3">
      <c r="A1487" s="343" t="str">
        <f t="shared" ref="A1487:A1492" si="260">IF(P1487="","ausblenden","")</f>
        <v/>
      </c>
      <c r="B1487" s="15"/>
      <c r="C1487" s="17"/>
      <c r="D1487" s="1386"/>
      <c r="E1487" s="950" t="str">
        <f>Translations!$B$1568</f>
        <v>Preliminärt värde</v>
      </c>
      <c r="F1487" s="950"/>
      <c r="G1487" s="950"/>
      <c r="H1487" s="1372" t="str">
        <f>F1467</f>
        <v>ton</v>
      </c>
      <c r="I1487" s="950"/>
      <c r="J1487" s="1373" t="str">
        <f>INDEX(F_ProductBM!J:J,MATCH($P1487,F_ProductBM!$Q:$Q,0))</f>
        <v/>
      </c>
      <c r="K1487" s="1374" t="str">
        <f>INDEX(F_ProductBM!K:K,MATCH($P1487,F_ProductBM!$Q:$Q,0))</f>
        <v/>
      </c>
      <c r="L1487" s="1374" t="str">
        <f>INDEX(F_ProductBM!L:L,MATCH($P1487,F_ProductBM!$Q:$Q,0))</f>
        <v/>
      </c>
      <c r="M1487" s="1374" t="str">
        <f>INDEX(F_ProductBM!M:M,MATCH($P1487,F_ProductBM!$Q:$Q,0))</f>
        <v/>
      </c>
      <c r="N1487" s="1395" t="str">
        <f>INDEX(F_ProductBM!N:N,MATCH($P1487,F_ProductBM!$Q:$Q,0))</f>
        <v/>
      </c>
      <c r="O1487" s="19"/>
      <c r="P1487" s="165" t="str">
        <f>EUconst_CNTR_HALprelim&amp;I1461</f>
        <v>HALprelim_</v>
      </c>
      <c r="Q1487" s="343"/>
      <c r="R1487" s="343"/>
      <c r="S1487" s="343"/>
      <c r="T1487" s="343"/>
      <c r="U1487" s="349"/>
      <c r="V1487" s="349"/>
    </row>
    <row r="1488" spans="1:22" s="534" customFormat="1" ht="12.75" hidden="1" customHeight="1" x14ac:dyDescent="0.3">
      <c r="A1488" s="343" t="str">
        <f t="shared" si="260"/>
        <v>ausblenden</v>
      </c>
      <c r="B1488" s="15"/>
      <c r="C1488" s="17"/>
      <c r="D1488" s="1386"/>
      <c r="E1488" s="944" t="s">
        <v>339</v>
      </c>
      <c r="F1488" s="944"/>
      <c r="G1488" s="944"/>
      <c r="H1488" s="954" t="str">
        <f>EUconst_EUA</f>
        <v>EUA</v>
      </c>
      <c r="I1488" s="945"/>
      <c r="J1488" s="1209" t="str">
        <f>J1476</f>
        <v/>
      </c>
      <c r="K1488" s="1210" t="str">
        <f t="shared" ref="K1488:K1492" si="261">J1571</f>
        <v/>
      </c>
      <c r="L1488" s="1210" t="str">
        <f t="shared" ref="L1488:L1492" si="262">K1571</f>
        <v/>
      </c>
      <c r="M1488" s="1210" t="str">
        <f t="shared" ref="M1488:M1492" si="263">L1571</f>
        <v/>
      </c>
      <c r="N1488" s="1390" t="str">
        <f t="shared" ref="N1488:N1492" si="264">M1571</f>
        <v/>
      </c>
      <c r="O1488" s="19"/>
      <c r="P1488" s="343"/>
      <c r="Q1488" s="343"/>
      <c r="R1488" s="343"/>
      <c r="S1488" s="343"/>
      <c r="T1488" s="343"/>
      <c r="U1488" s="349"/>
      <c r="V1488" s="349"/>
    </row>
    <row r="1489" spans="1:22" s="534" customFormat="1" ht="12.75" hidden="1" customHeight="1" x14ac:dyDescent="0.3">
      <c r="A1489" s="343" t="str">
        <f t="shared" si="260"/>
        <v>ausblenden</v>
      </c>
      <c r="B1489" s="15"/>
      <c r="C1489" s="17"/>
      <c r="D1489" s="1386"/>
      <c r="E1489" s="947" t="s">
        <v>1560</v>
      </c>
      <c r="F1489" s="947"/>
      <c r="G1489" s="947"/>
      <c r="H1489" s="955" t="str">
        <f>EUconst_EUA</f>
        <v>EUA</v>
      </c>
      <c r="I1489" s="948"/>
      <c r="J1489" s="1165" t="str">
        <f>J1477</f>
        <v/>
      </c>
      <c r="K1489" s="975" t="str">
        <f t="shared" si="261"/>
        <v/>
      </c>
      <c r="L1489" s="975" t="str">
        <f t="shared" si="262"/>
        <v/>
      </c>
      <c r="M1489" s="975" t="str">
        <f t="shared" si="263"/>
        <v/>
      </c>
      <c r="N1489" s="1391" t="str">
        <f t="shared" si="264"/>
        <v/>
      </c>
      <c r="O1489" s="19"/>
      <c r="P1489" s="343"/>
      <c r="Q1489" s="343"/>
      <c r="R1489" s="343"/>
      <c r="S1489" s="343"/>
      <c r="T1489" s="343"/>
      <c r="U1489" s="349"/>
      <c r="V1489" s="349"/>
    </row>
    <row r="1490" spans="1:22" s="534" customFormat="1" ht="12.75" hidden="1" customHeight="1" x14ac:dyDescent="0.3">
      <c r="A1490" s="343" t="str">
        <f t="shared" si="260"/>
        <v>ausblenden</v>
      </c>
      <c r="B1490" s="15"/>
      <c r="C1490" s="17"/>
      <c r="D1490" s="1386"/>
      <c r="E1490" s="947" t="s">
        <v>1527</v>
      </c>
      <c r="F1490" s="947"/>
      <c r="G1490" s="947"/>
      <c r="H1490" s="955" t="str">
        <f>EUconst_EUA</f>
        <v>EUA</v>
      </c>
      <c r="I1490" s="948"/>
      <c r="J1490" s="1165" t="str">
        <f>J1478</f>
        <v/>
      </c>
      <c r="K1490" s="975" t="str">
        <f t="shared" si="261"/>
        <v/>
      </c>
      <c r="L1490" s="975" t="str">
        <f t="shared" si="262"/>
        <v/>
      </c>
      <c r="M1490" s="975" t="str">
        <f t="shared" si="263"/>
        <v/>
      </c>
      <c r="N1490" s="1391" t="str">
        <f t="shared" si="264"/>
        <v/>
      </c>
      <c r="O1490" s="19"/>
      <c r="P1490" s="343"/>
      <c r="Q1490" s="343"/>
      <c r="R1490" s="343"/>
      <c r="S1490" s="343"/>
      <c r="T1490" s="343"/>
      <c r="U1490" s="349"/>
      <c r="V1490" s="349"/>
    </row>
    <row r="1491" spans="1:22" s="534" customFormat="1" ht="12.75" hidden="1" customHeight="1" x14ac:dyDescent="0.3">
      <c r="A1491" s="343" t="str">
        <f t="shared" si="260"/>
        <v>ausblenden</v>
      </c>
      <c r="B1491" s="15"/>
      <c r="C1491" s="17"/>
      <c r="D1491" s="1386"/>
      <c r="E1491" s="947" t="s">
        <v>1526</v>
      </c>
      <c r="F1491" s="947"/>
      <c r="G1491" s="947"/>
      <c r="H1491" s="956" t="s">
        <v>1112</v>
      </c>
      <c r="I1491" s="948"/>
      <c r="J1491" s="1211" t="str">
        <f>J1479</f>
        <v/>
      </c>
      <c r="K1491" s="1212" t="str">
        <f t="shared" si="261"/>
        <v/>
      </c>
      <c r="L1491" s="1212" t="str">
        <f t="shared" si="262"/>
        <v/>
      </c>
      <c r="M1491" s="1212" t="str">
        <f t="shared" si="263"/>
        <v/>
      </c>
      <c r="N1491" s="1392" t="str">
        <f t="shared" si="264"/>
        <v/>
      </c>
      <c r="O1491" s="19"/>
      <c r="P1491" s="343"/>
      <c r="Q1491" s="343"/>
      <c r="R1491" s="343"/>
      <c r="S1491" s="343"/>
      <c r="T1491" s="343"/>
      <c r="U1491" s="349"/>
      <c r="V1491" s="349"/>
    </row>
    <row r="1492" spans="1:22" s="534" customFormat="1" ht="12.75" hidden="1" customHeight="1" x14ac:dyDescent="0.3">
      <c r="A1492" s="343" t="str">
        <f t="shared" si="260"/>
        <v>ausblenden</v>
      </c>
      <c r="B1492" s="15"/>
      <c r="C1492" s="17"/>
      <c r="D1492" s="1386"/>
      <c r="E1492" s="950" t="s">
        <v>1528</v>
      </c>
      <c r="F1492" s="950"/>
      <c r="G1492" s="950"/>
      <c r="H1492" s="957" t="s">
        <v>1112</v>
      </c>
      <c r="I1492" s="951"/>
      <c r="J1492" s="1213" t="str">
        <f>J1480</f>
        <v/>
      </c>
      <c r="K1492" s="1214" t="str">
        <f t="shared" si="261"/>
        <v/>
      </c>
      <c r="L1492" s="1214" t="str">
        <f t="shared" si="262"/>
        <v/>
      </c>
      <c r="M1492" s="1214" t="str">
        <f t="shared" si="263"/>
        <v/>
      </c>
      <c r="N1492" s="1393" t="str">
        <f t="shared" si="264"/>
        <v/>
      </c>
      <c r="O1492" s="19"/>
      <c r="P1492" s="343"/>
      <c r="Q1492" s="343"/>
      <c r="R1492" s="343"/>
      <c r="S1492" s="343"/>
      <c r="T1492" s="343"/>
      <c r="U1492" s="349"/>
      <c r="V1492" s="349"/>
    </row>
    <row r="1493" spans="1:22" s="534" customFormat="1" ht="12.75" customHeight="1" x14ac:dyDescent="0.3">
      <c r="A1493" s="343"/>
      <c r="B1493" s="15"/>
      <c r="C1493" s="17"/>
      <c r="D1493" s="1386"/>
      <c r="E1493" s="514" t="str">
        <f>Translations!$B$1565</f>
        <v>Preliminärt tilldelningsvärde</v>
      </c>
      <c r="F1493" s="514"/>
      <c r="G1493" s="514"/>
      <c r="H1493" s="129" t="str">
        <f>EUconst_EUA</f>
        <v>EUA</v>
      </c>
      <c r="I1493" s="1151"/>
      <c r="J1493" s="1131" t="str">
        <f>IF($I1461="","",MAX(0,ROUND((SUM($M1464)*SUM(J1487)*SUM(J1491)*SUM(J1492)-SUM(J1488)-SUM(J1489)+SUM(J1490))*IF($H1464=TRUE,1,J$2517),0)))</f>
        <v/>
      </c>
      <c r="K1493" s="421" t="str">
        <f>IF($I1461="","",MAX(0,ROUND((SUM($M1464)*SUM(K1487)*SUM(K1491)*SUM(K1492)-SUM(K1488)-SUM(K1489)+SUM(K1490))*IF($H1464=TRUE,1,K$2517),0)))</f>
        <v/>
      </c>
      <c r="L1493" s="421" t="str">
        <f>IF($I1461="","",MAX(0,ROUND((SUM($M1464)*SUM(L1487)*SUM(L1491)*SUM(L1492)-SUM(L1488)-SUM(L1489)+SUM(L1490))*IF($H1464=TRUE,1,L$2517),0)))</f>
        <v/>
      </c>
      <c r="M1493" s="421" t="str">
        <f>IF($I1461="","",MAX(0,ROUND((SUM($M1464)*SUM(M1487)*SUM(M1491)*SUM(M1492)-SUM(M1488)-SUM(M1489)+SUM(M1490))*IF($H1464=TRUE,1,M$2517),0)))</f>
        <v/>
      </c>
      <c r="N1493" s="967" t="str">
        <f>IF($I1461="","",MAX(0,ROUND((SUM($M1464+IF(L1464=52,0.415,0))*SUM(N1487)*SUM(N1491)*SUM(N1492)-SUM(N1488)-SUM(N1489)+SUM(N1490))*IF($H1464=TRUE,1,N$2517),0)))</f>
        <v/>
      </c>
      <c r="O1493" s="19"/>
      <c r="P1493" s="343"/>
      <c r="Q1493" s="343"/>
      <c r="R1493" s="343"/>
      <c r="S1493" s="343"/>
      <c r="T1493" s="343"/>
      <c r="U1493" s="349"/>
      <c r="V1493" s="349"/>
    </row>
    <row r="1494" spans="1:22" s="534" customFormat="1" ht="12.75" customHeight="1" x14ac:dyDescent="0.3">
      <c r="A1494" s="343"/>
      <c r="B1494" s="15"/>
      <c r="C1494" s="17"/>
      <c r="D1494" s="1386"/>
      <c r="E1494" s="514" t="str">
        <f>Translations!$B$1569</f>
        <v>Skillnad i tilldelning</v>
      </c>
      <c r="F1494" s="514"/>
      <c r="G1494" s="514"/>
      <c r="H1494" s="129" t="str">
        <f>EUconst_EUA</f>
        <v>EUA</v>
      </c>
      <c r="I1494" s="1151"/>
      <c r="J1494" s="1131" t="str">
        <f>IF($I1461="","",ABS(SUM(J1493)-SUM(J1481)))</f>
        <v/>
      </c>
      <c r="K1494" s="421" t="str">
        <f>IF($I1461="","",ABS(SUM(K1493)-SUM(K1481)))</f>
        <v/>
      </c>
      <c r="L1494" s="421" t="str">
        <f>IF($I1461="","",ABS(SUM(L1493)-SUM(L1481)))</f>
        <v/>
      </c>
      <c r="M1494" s="421" t="str">
        <f>IF($I1461="","",ABS(SUM(M1493)-SUM(M1481)))</f>
        <v/>
      </c>
      <c r="N1494" s="967" t="str">
        <f>IF($I1461="","",ABS(SUM(N1493)-SUM(N1481)))</f>
        <v/>
      </c>
      <c r="O1494" s="19"/>
      <c r="P1494" s="343"/>
      <c r="Q1494" s="343"/>
      <c r="R1494" s="343"/>
      <c r="S1494" s="343"/>
      <c r="T1494" s="343"/>
      <c r="U1494" s="349"/>
      <c r="V1494" s="349"/>
    </row>
    <row r="1495" spans="1:22" s="534" customFormat="1" ht="12.75" customHeight="1" x14ac:dyDescent="0.3">
      <c r="A1495" s="343"/>
      <c r="B1495" s="15"/>
      <c r="C1495" s="17"/>
      <c r="D1495" s="1386"/>
      <c r="E1495" s="1419" t="str">
        <f>Translations!$B$1555</f>
        <v>Kriterium 4a: Är skillnaden minst 100 utsläppsrätter?</v>
      </c>
      <c r="F1495" s="1419"/>
      <c r="G1495" s="1419"/>
      <c r="H1495" s="1424" t="s">
        <v>1112</v>
      </c>
      <c r="I1495" s="1425"/>
      <c r="J1495" s="1426" t="str">
        <f>IF($I1461="","",J1494&gt;=100)</f>
        <v/>
      </c>
      <c r="K1495" s="1427" t="str">
        <f>IF($I1461="","",K1494&gt;=100)</f>
        <v/>
      </c>
      <c r="L1495" s="1427" t="str">
        <f>IF($I1461="","",L1494&gt;=100)</f>
        <v/>
      </c>
      <c r="M1495" s="1427" t="str">
        <f>IF($I1461="","",M1494&gt;=100)</f>
        <v/>
      </c>
      <c r="N1495" s="1428" t="str">
        <f>IF($I1461="","",N1494&gt;=100)</f>
        <v/>
      </c>
      <c r="O1495" s="19"/>
      <c r="P1495" s="165" t="str">
        <f>EUconst_CNTR_100EUA_ActivityLevel&amp;I1461</f>
        <v>EUA100AL_</v>
      </c>
      <c r="Q1495" s="343"/>
      <c r="R1495" s="343"/>
      <c r="S1495" s="343"/>
      <c r="T1495" s="343"/>
      <c r="U1495" s="349"/>
      <c r="V1495" s="349"/>
    </row>
    <row r="1496" spans="1:22" s="534" customFormat="1" ht="5.15" customHeight="1" x14ac:dyDescent="0.3">
      <c r="A1496" s="343"/>
      <c r="B1496" s="15"/>
      <c r="C1496" s="17"/>
      <c r="D1496" s="1386"/>
      <c r="E1496" s="15"/>
      <c r="F1496" s="15"/>
      <c r="G1496" s="15"/>
      <c r="H1496" s="15"/>
      <c r="I1496" s="941"/>
      <c r="J1496" s="15"/>
      <c r="K1496" s="15"/>
      <c r="L1496" s="15"/>
      <c r="M1496" s="15"/>
      <c r="N1496" s="968"/>
      <c r="O1496" s="19"/>
      <c r="P1496" s="343"/>
      <c r="Q1496" s="343"/>
      <c r="R1496" s="343"/>
      <c r="S1496" s="343"/>
      <c r="T1496" s="343"/>
      <c r="U1496" s="349"/>
      <c r="V1496" s="349"/>
    </row>
    <row r="1497" spans="1:22" s="534" customFormat="1" ht="12.75" customHeight="1" x14ac:dyDescent="0.3">
      <c r="A1497" s="343"/>
      <c r="B1497" s="15"/>
      <c r="C1497" s="17"/>
      <c r="D1497" s="1386"/>
      <c r="E1497" s="42" t="str">
        <f>Translations!$B$1570</f>
        <v>Ändringar: Utbytt el</v>
      </c>
      <c r="F1497" s="188"/>
      <c r="G1497" s="188"/>
      <c r="H1497" s="30" t="str">
        <f>EUconst_Unit</f>
        <v>Enhet</v>
      </c>
      <c r="I1497" s="1157"/>
      <c r="J1497" s="1065">
        <f>J$2596</f>
        <v>2021</v>
      </c>
      <c r="K1497" s="350">
        <f>K$2596</f>
        <v>2022</v>
      </c>
      <c r="L1497" s="350">
        <f>L$2596</f>
        <v>2023</v>
      </c>
      <c r="M1497" s="350">
        <f>M$2596</f>
        <v>2024</v>
      </c>
      <c r="N1497" s="966">
        <f>N$2596</f>
        <v>2025</v>
      </c>
      <c r="O1497" s="19"/>
      <c r="P1497" s="343"/>
      <c r="Q1497" s="343"/>
      <c r="R1497" s="343"/>
      <c r="S1497" s="343"/>
      <c r="T1497" s="343"/>
      <c r="U1497" s="349"/>
      <c r="V1497" s="349"/>
    </row>
    <row r="1498" spans="1:22" s="534" customFormat="1" ht="12.75" hidden="1" customHeight="1" x14ac:dyDescent="0.3">
      <c r="A1498" s="343" t="str">
        <f>IF(P1498="","ausblenden","")</f>
        <v>ausblenden</v>
      </c>
      <c r="B1498" s="15"/>
      <c r="C1498" s="17"/>
      <c r="D1498" s="1386"/>
      <c r="E1498" s="514" t="s">
        <v>1918</v>
      </c>
      <c r="F1498" s="514"/>
      <c r="G1498" s="514"/>
      <c r="H1498" s="917" t="str">
        <f>H1487</f>
        <v>ton</v>
      </c>
      <c r="I1498" s="514"/>
      <c r="J1498" s="1152" t="str">
        <f>J1475</f>
        <v/>
      </c>
      <c r="K1498" s="943" t="str">
        <f t="shared" ref="K1498:K1501" si="265">J1570</f>
        <v/>
      </c>
      <c r="L1498" s="943" t="str">
        <f t="shared" ref="L1498:L1501" si="266">K1570</f>
        <v/>
      </c>
      <c r="M1498" s="943" t="str">
        <f t="shared" ref="M1498:M1501" si="267">L1570</f>
        <v/>
      </c>
      <c r="N1498" s="1389" t="str">
        <f t="shared" ref="N1498:N1501" si="268">M1570</f>
        <v/>
      </c>
      <c r="O1498" s="19"/>
      <c r="P1498" s="343"/>
      <c r="Q1498" s="343"/>
      <c r="R1498" s="343"/>
      <c r="S1498" s="343"/>
      <c r="T1498" s="343"/>
      <c r="U1498" s="349"/>
      <c r="V1498" s="349"/>
    </row>
    <row r="1499" spans="1:22" s="534" customFormat="1" ht="12.75" hidden="1" customHeight="1" x14ac:dyDescent="0.3">
      <c r="A1499" s="343" t="str">
        <f>IF(P1499="","ausblenden","")</f>
        <v>ausblenden</v>
      </c>
      <c r="B1499" s="15"/>
      <c r="C1499" s="17"/>
      <c r="D1499" s="1386"/>
      <c r="E1499" s="944" t="s">
        <v>339</v>
      </c>
      <c r="F1499" s="944"/>
      <c r="G1499" s="944"/>
      <c r="H1499" s="954" t="str">
        <f>EUconst_EUA</f>
        <v>EUA</v>
      </c>
      <c r="I1499" s="945"/>
      <c r="J1499" s="1209" t="str">
        <f>J1476</f>
        <v/>
      </c>
      <c r="K1499" s="1210" t="str">
        <f t="shared" si="265"/>
        <v/>
      </c>
      <c r="L1499" s="1210" t="str">
        <f t="shared" si="266"/>
        <v/>
      </c>
      <c r="M1499" s="1210" t="str">
        <f t="shared" si="267"/>
        <v/>
      </c>
      <c r="N1499" s="1390" t="str">
        <f t="shared" si="268"/>
        <v/>
      </c>
      <c r="O1499" s="19"/>
      <c r="P1499" s="343"/>
      <c r="Q1499" s="343"/>
      <c r="R1499" s="343"/>
      <c r="S1499" s="343"/>
      <c r="T1499" s="343"/>
      <c r="U1499" s="349"/>
      <c r="V1499" s="349"/>
    </row>
    <row r="1500" spans="1:22" s="534" customFormat="1" ht="12.75" hidden="1" customHeight="1" x14ac:dyDescent="0.3">
      <c r="A1500" s="343" t="str">
        <f>IF(P1500="","ausblenden","")</f>
        <v>ausblenden</v>
      </c>
      <c r="B1500" s="15"/>
      <c r="C1500" s="17"/>
      <c r="D1500" s="1386"/>
      <c r="E1500" s="947" t="s">
        <v>1560</v>
      </c>
      <c r="F1500" s="947"/>
      <c r="G1500" s="947"/>
      <c r="H1500" s="955" t="str">
        <f>EUconst_EUA</f>
        <v>EUA</v>
      </c>
      <c r="I1500" s="948"/>
      <c r="J1500" s="1165" t="str">
        <f>J1477</f>
        <v/>
      </c>
      <c r="K1500" s="975" t="str">
        <f t="shared" si="265"/>
        <v/>
      </c>
      <c r="L1500" s="975" t="str">
        <f t="shared" si="266"/>
        <v/>
      </c>
      <c r="M1500" s="975" t="str">
        <f t="shared" si="267"/>
        <v/>
      </c>
      <c r="N1500" s="1391" t="str">
        <f t="shared" si="268"/>
        <v/>
      </c>
      <c r="O1500" s="19"/>
      <c r="P1500" s="343"/>
      <c r="Q1500" s="343"/>
      <c r="R1500" s="343"/>
      <c r="S1500" s="343"/>
      <c r="T1500" s="343"/>
      <c r="U1500" s="349"/>
      <c r="V1500" s="349"/>
    </row>
    <row r="1501" spans="1:22" s="534" customFormat="1" ht="12.75" hidden="1" customHeight="1" x14ac:dyDescent="0.3">
      <c r="A1501" s="343" t="str">
        <f>IF(P1501="","ausblenden","")</f>
        <v>ausblenden</v>
      </c>
      <c r="B1501" s="15"/>
      <c r="C1501" s="17"/>
      <c r="D1501" s="1386"/>
      <c r="E1501" s="1433" t="s">
        <v>1527</v>
      </c>
      <c r="F1501" s="1433"/>
      <c r="G1501" s="1433"/>
      <c r="H1501" s="1434" t="str">
        <f>EUconst_EUA</f>
        <v>EUA</v>
      </c>
      <c r="I1501" s="1435"/>
      <c r="J1501" s="1436" t="str">
        <f>J1478</f>
        <v/>
      </c>
      <c r="K1501" s="1437" t="str">
        <f t="shared" si="265"/>
        <v/>
      </c>
      <c r="L1501" s="1437" t="str">
        <f t="shared" si="266"/>
        <v/>
      </c>
      <c r="M1501" s="1437" t="str">
        <f t="shared" si="267"/>
        <v/>
      </c>
      <c r="N1501" s="1438" t="str">
        <f t="shared" si="268"/>
        <v/>
      </c>
      <c r="O1501" s="19"/>
      <c r="P1501" s="343"/>
      <c r="Q1501" s="343"/>
      <c r="R1501" s="343"/>
      <c r="S1501" s="343"/>
      <c r="T1501" s="343"/>
      <c r="U1501" s="349"/>
      <c r="V1501" s="349"/>
    </row>
    <row r="1502" spans="1:22" s="534" customFormat="1" ht="12.75" customHeight="1" x14ac:dyDescent="0.3">
      <c r="A1502" s="343"/>
      <c r="B1502" s="15"/>
      <c r="C1502" s="17"/>
      <c r="D1502" s="1386"/>
      <c r="E1502" s="944" t="str">
        <f>Translations!$B$1482</f>
        <v>Genomsnittligt årligt värde</v>
      </c>
      <c r="F1502" s="944"/>
      <c r="G1502" s="944"/>
      <c r="H1502" s="627" t="s">
        <v>1112</v>
      </c>
      <c r="I1502" s="945"/>
      <c r="J1502" s="1439" t="str">
        <f>INDEX(F_ProductBM!J:J,MATCH($P1502,F_ProductBM!$Q:$Q,0))</f>
        <v/>
      </c>
      <c r="K1502" s="1440" t="str">
        <f>INDEX(F_ProductBM!K:K,MATCH($P1502,F_ProductBM!$Q:$Q,0))</f>
        <v/>
      </c>
      <c r="L1502" s="1440" t="str">
        <f>INDEX(F_ProductBM!L:L,MATCH($P1502,F_ProductBM!$Q:$Q,0))</f>
        <v/>
      </c>
      <c r="M1502" s="1440" t="str">
        <f>INDEX(F_ProductBM!M:M,MATCH($P1502,F_ProductBM!$Q:$Q,0))</f>
        <v/>
      </c>
      <c r="N1502" s="1441" t="str">
        <f>INDEX(F_ProductBM!N:N,MATCH($P1502,F_ProductBM!$Q:$Q,0))</f>
        <v/>
      </c>
      <c r="O1502" s="19"/>
      <c r="P1502" s="165" t="str">
        <f>EUconst_CNTR_HAL &amp; EUconst_CNTR_ELEXCHInitial &amp; I1461</f>
        <v>HAL_ELEXCHIni_</v>
      </c>
      <c r="Q1502" s="343"/>
      <c r="R1502" s="343"/>
      <c r="S1502" s="343"/>
      <c r="T1502" s="343"/>
      <c r="U1502" s="349"/>
      <c r="V1502" s="349"/>
    </row>
    <row r="1503" spans="1:22" s="534" customFormat="1" ht="12.75" customHeight="1" x14ac:dyDescent="0.3">
      <c r="A1503" s="343"/>
      <c r="B1503" s="15"/>
      <c r="C1503" s="17"/>
      <c r="D1503" s="1386"/>
      <c r="E1503" s="947" t="str">
        <f>Translations!$B$1571</f>
        <v>Ändring jämfört med värde enligt nationella genomförandeåtgärder</v>
      </c>
      <c r="F1503" s="947"/>
      <c r="G1503" s="947"/>
      <c r="H1503" s="1442" t="s">
        <v>1112</v>
      </c>
      <c r="I1503" s="1371"/>
      <c r="J1503" s="1415" t="str">
        <f>INDEX(F_ProductBM!J:J,MATCH($P1503,F_ProductBM!$Q:$Q,0))</f>
        <v/>
      </c>
      <c r="K1503" s="1416" t="str">
        <f>INDEX(F_ProductBM!K:K,MATCH($P1503,F_ProductBM!$Q:$Q,0))</f>
        <v/>
      </c>
      <c r="L1503" s="1416" t="str">
        <f>INDEX(F_ProductBM!L:L,MATCH($P1503,F_ProductBM!$Q:$Q,0))</f>
        <v/>
      </c>
      <c r="M1503" s="1416" t="str">
        <f>INDEX(F_ProductBM!M:M,MATCH($P1503,F_ProductBM!$Q:$Q,0))</f>
        <v/>
      </c>
      <c r="N1503" s="1417" t="str">
        <f>INDEX(F_ProductBM!N:N,MATCH($P1503,F_ProductBM!$Q:$Q,0))</f>
        <v/>
      </c>
      <c r="O1503" s="19"/>
      <c r="P1503" s="165" t="str">
        <f>EUconst_CNTR_RelThreshold &amp; P1505</f>
        <v>RelThresh_HALprelim_ELEXCH_</v>
      </c>
      <c r="Q1503" s="343"/>
      <c r="R1503" s="343"/>
      <c r="S1503" s="343"/>
      <c r="T1503" s="343"/>
      <c r="U1503" s="349"/>
      <c r="V1503" s="349"/>
    </row>
    <row r="1504" spans="1:22" s="534" customFormat="1" ht="12.75" customHeight="1" x14ac:dyDescent="0.3">
      <c r="A1504" s="343"/>
      <c r="B1504" s="15"/>
      <c r="C1504" s="17"/>
      <c r="D1504" s="1386"/>
      <c r="E1504" s="1418" t="str">
        <f>Translations!$B$1572</f>
        <v>Kriterium 3b: Har relativa tröskelvärden överskridits?</v>
      </c>
      <c r="F1504" s="1418"/>
      <c r="G1504" s="1418"/>
      <c r="H1504" s="1444" t="s">
        <v>1112</v>
      </c>
      <c r="I1504" s="1423"/>
      <c r="J1504" s="1420" t="str">
        <f>INDEX(F_ProductBM!V:V,MATCH($P1504,F_ProductBM!$Q:$Q,0))</f>
        <v/>
      </c>
      <c r="K1504" s="1421" t="str">
        <f>INDEX(F_ProductBM!W:W,MATCH($P1504,F_ProductBM!$Q:$Q,0))</f>
        <v/>
      </c>
      <c r="L1504" s="1421" t="str">
        <f>INDEX(F_ProductBM!X:X,MATCH($P1504,F_ProductBM!$Q:$Q,0))</f>
        <v/>
      </c>
      <c r="M1504" s="1421" t="str">
        <f>INDEX(F_ProductBM!Y:Y,MATCH($P1504,F_ProductBM!$Q:$Q,0))</f>
        <v/>
      </c>
      <c r="N1504" s="1422" t="str">
        <f>INDEX(F_ProductBM!Z:Z,MATCH($P1504,F_ProductBM!$Q:$Q,0))</f>
        <v/>
      </c>
      <c r="O1504" s="19"/>
      <c r="P1504" s="165" t="str">
        <f>P1503</f>
        <v>RelThresh_HALprelim_ELEXCH_</v>
      </c>
      <c r="Q1504" s="343"/>
      <c r="R1504" s="343"/>
      <c r="S1504" s="343"/>
      <c r="T1504" s="343"/>
      <c r="U1504" s="349"/>
      <c r="V1504" s="349"/>
    </row>
    <row r="1505" spans="1:22" s="534" customFormat="1" ht="12.75" customHeight="1" x14ac:dyDescent="0.3">
      <c r="A1505" s="343" t="str">
        <f>IF(P1505="","ausblenden","")</f>
        <v/>
      </c>
      <c r="B1505" s="15"/>
      <c r="C1505" s="17"/>
      <c r="D1505" s="1386"/>
      <c r="E1505" s="950" t="str">
        <f>Translations!$B$1568</f>
        <v>Preliminärt värde</v>
      </c>
      <c r="F1505" s="950"/>
      <c r="G1505" s="950"/>
      <c r="H1505" s="629" t="s">
        <v>1112</v>
      </c>
      <c r="I1505" s="950"/>
      <c r="J1505" s="1404" t="str">
        <f>IF($I1464=TRUE,INDEX(F_ProductBM!J:J,MATCH($P1505,F_ProductBM!$Q:$Q,0)),"")</f>
        <v/>
      </c>
      <c r="K1505" s="1405" t="str">
        <f>IF($I1464=TRUE,INDEX(F_ProductBM!K:K,MATCH($P1505,F_ProductBM!$Q:$Q,0)),"")</f>
        <v/>
      </c>
      <c r="L1505" s="1405" t="str">
        <f>IF($I1464=TRUE,INDEX(F_ProductBM!L:L,MATCH($P1505,F_ProductBM!$Q:$Q,0)),"")</f>
        <v/>
      </c>
      <c r="M1505" s="1405" t="str">
        <f>IF($I1464=TRUE,INDEX(F_ProductBM!M:M,MATCH($P1505,F_ProductBM!$Q:$Q,0)),"")</f>
        <v/>
      </c>
      <c r="N1505" s="1406" t="str">
        <f>IF($I1464=TRUE,INDEX(F_ProductBM!N:N,MATCH($P1505,F_ProductBM!$Q:$Q,0)),"")</f>
        <v/>
      </c>
      <c r="O1505" s="19"/>
      <c r="P1505" s="165" t="str">
        <f>EUconst_CNTR_HALprelim&amp;EUconst_CNTR_ELEXCH&amp;$I1461</f>
        <v>HALprelim_ELEXCH_</v>
      </c>
      <c r="Q1505" s="343"/>
      <c r="R1505" s="343"/>
      <c r="S1505" s="343"/>
      <c r="T1505" s="343"/>
      <c r="U1505" s="349"/>
      <c r="V1505" s="349"/>
    </row>
    <row r="1506" spans="1:22" s="534" customFormat="1" ht="12.75" hidden="1" customHeight="1" x14ac:dyDescent="0.3">
      <c r="A1506" s="343" t="str">
        <f>IF(P1506="","ausblenden","")</f>
        <v>ausblenden</v>
      </c>
      <c r="B1506" s="15"/>
      <c r="C1506" s="17"/>
      <c r="D1506" s="1386"/>
      <c r="E1506" s="950" t="s">
        <v>1528</v>
      </c>
      <c r="F1506" s="950"/>
      <c r="G1506" s="950"/>
      <c r="H1506" s="1375" t="s">
        <v>1112</v>
      </c>
      <c r="I1506" s="951"/>
      <c r="J1506" s="1213" t="str">
        <f>J1480</f>
        <v/>
      </c>
      <c r="K1506" s="1214" t="str">
        <f>J1575</f>
        <v/>
      </c>
      <c r="L1506" s="1214" t="str">
        <f>K1575</f>
        <v/>
      </c>
      <c r="M1506" s="1214" t="str">
        <f>L1575</f>
        <v/>
      </c>
      <c r="N1506" s="1393" t="str">
        <f>M1575</f>
        <v/>
      </c>
      <c r="O1506" s="19"/>
      <c r="P1506" s="343"/>
      <c r="Q1506" s="343"/>
      <c r="R1506" s="343"/>
      <c r="S1506" s="343"/>
      <c r="T1506" s="343"/>
      <c r="U1506" s="349"/>
      <c r="V1506" s="349"/>
    </row>
    <row r="1507" spans="1:22" s="534" customFormat="1" ht="12.75" customHeight="1" x14ac:dyDescent="0.3">
      <c r="A1507" s="343"/>
      <c r="B1507" s="15"/>
      <c r="C1507" s="17"/>
      <c r="D1507" s="1386"/>
      <c r="E1507" s="514" t="str">
        <f>Translations!$B$1565</f>
        <v>Preliminärt tilldelningsvärde</v>
      </c>
      <c r="F1507" s="514"/>
      <c r="G1507" s="514"/>
      <c r="H1507" s="129" t="str">
        <f>EUconst_EUA</f>
        <v>EUA</v>
      </c>
      <c r="I1507" s="1151"/>
      <c r="J1507" s="1131" t="str">
        <f>IF($I1464=TRUE,MAX(0,ROUND((SUM($M1464)*SUM(J1498)*SUM(J1505)*SUM(J1506)-SUM(J1499)-SUM(J1500)+SUM(J1501))*IF($H1464=TRUE,1,J$2517),0)),"")</f>
        <v/>
      </c>
      <c r="K1507" s="421" t="str">
        <f>IF($I1464=TRUE,MAX(0,ROUND((SUM($M1464)*SUM(K1498)*SUM(K1505)*SUM(K1506)-SUM(K1499)-SUM(K1500)+SUM(K1501))*IF($H1464=TRUE,1,K$2517),0)),"")</f>
        <v/>
      </c>
      <c r="L1507" s="421" t="str">
        <f>IF($I1464=TRUE,MAX(0,ROUND((SUM($M1464)*SUM(L1498)*SUM(L1505)*SUM(L1506)-SUM(L1499)-SUM(L1500)+SUM(L1501))*IF($H1464=TRUE,1,L$2517),0)),"")</f>
        <v/>
      </c>
      <c r="M1507" s="421" t="str">
        <f>IF($I1464=TRUE,MAX(0,ROUND((SUM($M1464)*SUM(M1498)*SUM(M1505)*SUM(M1506)-SUM(M1499)-SUM(M1500)+SUM(M1501))*IF($H1464=TRUE,1,M$2517),0)),"")</f>
        <v/>
      </c>
      <c r="N1507" s="967" t="str">
        <f>IF($I1464=TRUE,MAX(0,ROUND((SUM($M1464)*SUM(N1498)*SUM(N1505)*SUM(N1506)-SUM(N1499)-SUM(N1500)+SUM(N1501))*IF($H1464=TRUE,1,N$2517),0)),"")</f>
        <v/>
      </c>
      <c r="O1507" s="19"/>
      <c r="P1507" s="343"/>
      <c r="Q1507" s="343"/>
      <c r="R1507" s="343"/>
      <c r="S1507" s="343"/>
      <c r="T1507" s="343"/>
      <c r="U1507" s="349"/>
      <c r="V1507" s="349"/>
    </row>
    <row r="1508" spans="1:22" s="534" customFormat="1" ht="12.75" customHeight="1" x14ac:dyDescent="0.3">
      <c r="A1508" s="343"/>
      <c r="B1508" s="15"/>
      <c r="C1508" s="17"/>
      <c r="D1508" s="1386"/>
      <c r="E1508" s="514" t="str">
        <f>Translations!$B$1569</f>
        <v>Skillnad i tilldelning</v>
      </c>
      <c r="F1508" s="514"/>
      <c r="G1508" s="514"/>
      <c r="H1508" s="129" t="str">
        <f>EUconst_EUA</f>
        <v>EUA</v>
      </c>
      <c r="I1508" s="1151"/>
      <c r="J1508" s="1131" t="str">
        <f>IF($I1464=TRUE,ABS(SUM(J1507)-SUM(J1481)),"")</f>
        <v/>
      </c>
      <c r="K1508" s="421" t="str">
        <f>IF($I1464=TRUE,ABS(SUM(K1507)-SUM(K1481)),"")</f>
        <v/>
      </c>
      <c r="L1508" s="421" t="str">
        <f>IF($I1464=TRUE,ABS(SUM(L1507)-SUM(L1481)),"")</f>
        <v/>
      </c>
      <c r="M1508" s="421" t="str">
        <f>IF($I1464=TRUE,ABS(SUM(M1507)-SUM(M1481)),"")</f>
        <v/>
      </c>
      <c r="N1508" s="967" t="str">
        <f>IF($I1464=TRUE,ABS(SUM(N1507)-SUM(N1481)),"")</f>
        <v/>
      </c>
      <c r="O1508" s="19"/>
      <c r="P1508" s="343"/>
      <c r="Q1508" s="343"/>
      <c r="R1508" s="343"/>
      <c r="S1508" s="343"/>
      <c r="T1508" s="343"/>
      <c r="U1508" s="349"/>
      <c r="V1508" s="349"/>
    </row>
    <row r="1509" spans="1:22" s="534" customFormat="1" ht="12.75" customHeight="1" x14ac:dyDescent="0.3">
      <c r="A1509" s="343"/>
      <c r="B1509" s="15"/>
      <c r="C1509" s="17"/>
      <c r="D1509" s="1386"/>
      <c r="E1509" s="1419" t="str">
        <f>Translations!$B$1573</f>
        <v>Kriterium 4b: Är skillnaden minst 100 utsläppsrätter?</v>
      </c>
      <c r="F1509" s="1419"/>
      <c r="G1509" s="1419"/>
      <c r="H1509" s="1424" t="s">
        <v>1112</v>
      </c>
      <c r="I1509" s="1425"/>
      <c r="J1509" s="1426" t="str">
        <f>IF($I1464=TRUE,J1508&gt;=100,"")</f>
        <v/>
      </c>
      <c r="K1509" s="1427" t="str">
        <f>IF($I1464=TRUE,K1508&gt;=100,"")</f>
        <v/>
      </c>
      <c r="L1509" s="1427" t="str">
        <f>IF($I1464=TRUE,L1508&gt;=100,"")</f>
        <v/>
      </c>
      <c r="M1509" s="1427" t="str">
        <f>IF($I1464=TRUE,M1508&gt;=100,"")</f>
        <v/>
      </c>
      <c r="N1509" s="1428" t="str">
        <f>IF($I1464=TRUE,N1508&gt;=100,"")</f>
        <v/>
      </c>
      <c r="O1509" s="19"/>
      <c r="P1509" s="165" t="str">
        <f>EUconst_CNTR_100EUA_ElExch&amp;I1461</f>
        <v>EUA100ElExch_</v>
      </c>
      <c r="Q1509" s="343"/>
      <c r="R1509" s="343"/>
      <c r="S1509" s="343"/>
      <c r="T1509" s="343"/>
      <c r="U1509" s="349"/>
      <c r="V1509" s="349"/>
    </row>
    <row r="1510" spans="1:22" s="534" customFormat="1" ht="5.15" customHeight="1" x14ac:dyDescent="0.3">
      <c r="A1510" s="343"/>
      <c r="B1510" s="15"/>
      <c r="C1510" s="17"/>
      <c r="D1510" s="1386"/>
      <c r="E1510" s="15"/>
      <c r="F1510" s="15"/>
      <c r="G1510" s="15"/>
      <c r="H1510" s="15"/>
      <c r="I1510" s="941"/>
      <c r="J1510" s="15"/>
      <c r="K1510" s="15"/>
      <c r="L1510" s="15"/>
      <c r="M1510" s="15"/>
      <c r="N1510" s="968"/>
      <c r="O1510" s="19"/>
      <c r="P1510" s="343"/>
      <c r="Q1510" s="343"/>
      <c r="R1510" s="343"/>
      <c r="S1510" s="343"/>
      <c r="T1510" s="343"/>
      <c r="U1510" s="349"/>
      <c r="V1510" s="349"/>
    </row>
    <row r="1511" spans="1:22" s="534" customFormat="1" ht="12.75" customHeight="1" x14ac:dyDescent="0.3">
      <c r="A1511" s="343"/>
      <c r="B1511" s="15"/>
      <c r="C1511" s="17"/>
      <c r="D1511" s="1386"/>
      <c r="E1511" s="42" t="str">
        <f>Translations!$B$1574</f>
        <v>Ändringar: Värme från icke-ETS</v>
      </c>
      <c r="F1511" s="188"/>
      <c r="G1511" s="188"/>
      <c r="H1511" s="30" t="str">
        <f>EUconst_Unit</f>
        <v>Enhet</v>
      </c>
      <c r="I1511" s="1157"/>
      <c r="J1511" s="1065">
        <f>J$2596</f>
        <v>2021</v>
      </c>
      <c r="K1511" s="350">
        <f>K$2596</f>
        <v>2022</v>
      </c>
      <c r="L1511" s="350">
        <f>L$2596</f>
        <v>2023</v>
      </c>
      <c r="M1511" s="350">
        <f>M$2596</f>
        <v>2024</v>
      </c>
      <c r="N1511" s="966">
        <f>N$2596</f>
        <v>2025</v>
      </c>
      <c r="O1511" s="19"/>
      <c r="P1511" s="343"/>
      <c r="Q1511" s="343"/>
      <c r="R1511" s="343"/>
      <c r="S1511" s="343"/>
      <c r="T1511" s="343"/>
      <c r="U1511" s="349"/>
      <c r="V1511" s="349"/>
    </row>
    <row r="1512" spans="1:22" s="534" customFormat="1" ht="12.75" hidden="1" customHeight="1" x14ac:dyDescent="0.3">
      <c r="A1512" s="343" t="str">
        <f>IF(P1512="","ausblenden","")</f>
        <v>ausblenden</v>
      </c>
      <c r="B1512" s="15"/>
      <c r="C1512" s="17"/>
      <c r="D1512" s="1386"/>
      <c r="E1512" s="514" t="s">
        <v>1918</v>
      </c>
      <c r="F1512" s="514"/>
      <c r="G1512" s="514"/>
      <c r="H1512" s="917" t="str">
        <f>H1498</f>
        <v>ton</v>
      </c>
      <c r="I1512" s="514"/>
      <c r="J1512" s="1152" t="str">
        <f>J1475</f>
        <v/>
      </c>
      <c r="K1512" s="943" t="str">
        <f>J1570</f>
        <v/>
      </c>
      <c r="L1512" s="943" t="str">
        <f>K1570</f>
        <v/>
      </c>
      <c r="M1512" s="943" t="str">
        <f>L1570</f>
        <v/>
      </c>
      <c r="N1512" s="1389" t="str">
        <f>M1570</f>
        <v/>
      </c>
      <c r="O1512" s="19"/>
      <c r="P1512" s="343"/>
      <c r="Q1512" s="343"/>
      <c r="R1512" s="343"/>
      <c r="S1512" s="343"/>
      <c r="T1512" s="343"/>
      <c r="U1512" s="349"/>
      <c r="V1512" s="349"/>
    </row>
    <row r="1513" spans="1:22" s="534" customFormat="1" ht="12.75" customHeight="1" x14ac:dyDescent="0.3">
      <c r="A1513" s="343"/>
      <c r="B1513" s="15"/>
      <c r="C1513" s="17"/>
      <c r="D1513" s="1386"/>
      <c r="E1513" s="944" t="str">
        <f>Translations!$B$1482</f>
        <v>Genomsnittligt årligt värde</v>
      </c>
      <c r="F1513" s="944"/>
      <c r="G1513" s="944"/>
      <c r="H1513" s="627" t="str">
        <f>EUconst_EUA</f>
        <v>EUA</v>
      </c>
      <c r="I1513" s="945"/>
      <c r="J1513" s="1161" t="str">
        <f>IF(R1467,SUM(INDEX(F_ProductBM!J:J,MATCH($P1513,F_ProductBM!$Q:$Q,0))),"")</f>
        <v/>
      </c>
      <c r="K1513" s="946" t="str">
        <f>IF(S1467,SUM(INDEX(F_ProductBM!K:K,MATCH($P1513,F_ProductBM!$Q:$Q,0))),"")</f>
        <v/>
      </c>
      <c r="L1513" s="946" t="str">
        <f>IF(T1467,SUM(INDEX(F_ProductBM!L:L,MATCH($P1513,F_ProductBM!$Q:$Q,0))),"")</f>
        <v/>
      </c>
      <c r="M1513" s="946" t="str">
        <f>IF(U1467,SUM(INDEX(F_ProductBM!M:M,MATCH($P1513,F_ProductBM!$Q:$Q,0))),"")</f>
        <v/>
      </c>
      <c r="N1513" s="1046" t="str">
        <f>IF(V1467,SUM(INDEX(F_ProductBM!N:N,MATCH($P1513,F_ProductBM!$Q:$Q,0))),"")</f>
        <v/>
      </c>
      <c r="O1513" s="19"/>
      <c r="P1513" s="165" t="str">
        <f>EUconst_CNTR_HEATInitial &amp; I1461</f>
        <v>HEATIni_</v>
      </c>
      <c r="Q1513" s="343"/>
      <c r="R1513" s="343"/>
      <c r="S1513" s="343"/>
      <c r="T1513" s="343"/>
      <c r="U1513" s="349"/>
      <c r="V1513" s="349"/>
    </row>
    <row r="1514" spans="1:22" s="534" customFormat="1" ht="12.75" customHeight="1" x14ac:dyDescent="0.3">
      <c r="A1514" s="343"/>
      <c r="B1514" s="15"/>
      <c r="C1514" s="17"/>
      <c r="D1514" s="1386"/>
      <c r="E1514" s="947" t="str">
        <f>Translations!$B$1571</f>
        <v>Ändring jämfört med värde enligt nationella genomförandeåtgärder</v>
      </c>
      <c r="F1514" s="947"/>
      <c r="G1514" s="947"/>
      <c r="H1514" s="1442" t="s">
        <v>1112</v>
      </c>
      <c r="I1514" s="1371"/>
      <c r="J1514" s="1415" t="str">
        <f>INDEX(F_ProductBM!J:J,MATCH($P1514,F_ProductBM!$Q:$Q,0))</f>
        <v/>
      </c>
      <c r="K1514" s="1416" t="str">
        <f>INDEX(F_ProductBM!K:K,MATCH($P1514,F_ProductBM!$Q:$Q,0))</f>
        <v/>
      </c>
      <c r="L1514" s="1416" t="str">
        <f>INDEX(F_ProductBM!L:L,MATCH($P1514,F_ProductBM!$Q:$Q,0))</f>
        <v/>
      </c>
      <c r="M1514" s="1416" t="str">
        <f>INDEX(F_ProductBM!M:M,MATCH($P1514,F_ProductBM!$Q:$Q,0))</f>
        <v/>
      </c>
      <c r="N1514" s="1417" t="str">
        <f>INDEX(F_ProductBM!N:N,MATCH($P1514,F_ProductBM!$Q:$Q,0))</f>
        <v/>
      </c>
      <c r="O1514" s="19"/>
      <c r="P1514" s="165" t="str">
        <f>EUconst_CNTR_RelThreshold &amp; P1516</f>
        <v>RelThresh_HEATprelim_</v>
      </c>
      <c r="Q1514" s="343"/>
      <c r="R1514" s="343"/>
      <c r="S1514" s="343"/>
      <c r="T1514" s="343"/>
      <c r="U1514" s="349"/>
      <c r="V1514" s="349"/>
    </row>
    <row r="1515" spans="1:22" s="534" customFormat="1" ht="12.75" customHeight="1" x14ac:dyDescent="0.3">
      <c r="A1515" s="343"/>
      <c r="B1515" s="15"/>
      <c r="C1515" s="17"/>
      <c r="D1515" s="1386"/>
      <c r="E1515" s="1418" t="str">
        <f>Translations!$B$1575</f>
        <v>Kriterium 3c: Har relativa tröskelvärden överskridits?</v>
      </c>
      <c r="F1515" s="1418"/>
      <c r="G1515" s="1418"/>
      <c r="H1515" s="1444" t="s">
        <v>1112</v>
      </c>
      <c r="I1515" s="1423"/>
      <c r="J1515" s="1420" t="str">
        <f>INDEX(F_ProductBM!V:V,MATCH($P1515,F_ProductBM!$Q:$Q,0))</f>
        <v/>
      </c>
      <c r="K1515" s="1421" t="str">
        <f>INDEX(F_ProductBM!W:W,MATCH($P1515,F_ProductBM!$Q:$Q,0))</f>
        <v/>
      </c>
      <c r="L1515" s="1421" t="str">
        <f>INDEX(F_ProductBM!X:X,MATCH($P1515,F_ProductBM!$Q:$Q,0))</f>
        <v/>
      </c>
      <c r="M1515" s="1421" t="str">
        <f>INDEX(F_ProductBM!Y:Y,MATCH($P1515,F_ProductBM!$Q:$Q,0))</f>
        <v/>
      </c>
      <c r="N1515" s="1422" t="str">
        <f>INDEX(F_ProductBM!Z:Z,MATCH($P1515,F_ProductBM!$Q:$Q,0))</f>
        <v/>
      </c>
      <c r="O1515" s="19"/>
      <c r="P1515" s="165" t="str">
        <f>P1514</f>
        <v>RelThresh_HEATprelim_</v>
      </c>
      <c r="Q1515" s="343"/>
      <c r="R1515" s="343"/>
      <c r="S1515" s="343"/>
      <c r="T1515" s="343"/>
      <c r="U1515" s="349"/>
      <c r="V1515" s="349"/>
    </row>
    <row r="1516" spans="1:22" s="534" customFormat="1" ht="12.75" customHeight="1" x14ac:dyDescent="0.3">
      <c r="A1516" s="343" t="str">
        <f>IF(P1516="","ausblenden","")</f>
        <v/>
      </c>
      <c r="B1516" s="15"/>
      <c r="C1516" s="17"/>
      <c r="D1516" s="1386"/>
      <c r="E1516" s="950" t="str">
        <f>Translations!$B$1568</f>
        <v>Preliminärt värde</v>
      </c>
      <c r="F1516" s="950"/>
      <c r="G1516" s="950"/>
      <c r="H1516" s="629" t="str">
        <f>EUconst_EUA</f>
        <v>EUA</v>
      </c>
      <c r="I1516" s="950"/>
      <c r="J1516" s="1373" t="str">
        <f>IF($I1461="","",INDEX(F_ProductBM!J:J,MATCH($P1516,F_ProductBM!$Q:$Q,0)))</f>
        <v/>
      </c>
      <c r="K1516" s="1374" t="str">
        <f>IF($I1461="","",INDEX(F_ProductBM!K:K,MATCH($P1516,F_ProductBM!$Q:$Q,0)))</f>
        <v/>
      </c>
      <c r="L1516" s="1374" t="str">
        <f>IF($I1461="","",INDEX(F_ProductBM!L:L,MATCH($P1516,F_ProductBM!$Q:$Q,0)))</f>
        <v/>
      </c>
      <c r="M1516" s="1374" t="str">
        <f>IF($I1461="","",INDEX(F_ProductBM!M:M,MATCH($P1516,F_ProductBM!$Q:$Q,0)))</f>
        <v/>
      </c>
      <c r="N1516" s="1395" t="str">
        <f>IF($I1461="","",INDEX(F_ProductBM!N:N,MATCH($P1516,F_ProductBM!$Q:$Q,0)))</f>
        <v/>
      </c>
      <c r="O1516" s="19"/>
      <c r="P1516" s="165" t="str">
        <f>EUconst_CNTR_HEATprelim&amp;I1461</f>
        <v>HEATprelim_</v>
      </c>
      <c r="Q1516" s="343"/>
      <c r="R1516" s="343"/>
      <c r="S1516" s="343"/>
      <c r="T1516" s="343"/>
      <c r="U1516" s="349"/>
      <c r="V1516" s="349"/>
    </row>
    <row r="1517" spans="1:22" s="534" customFormat="1" ht="12.75" hidden="1" customHeight="1" x14ac:dyDescent="0.3">
      <c r="A1517" s="343" t="str">
        <f>IF(P1517="","ausblenden","")</f>
        <v>ausblenden</v>
      </c>
      <c r="B1517" s="15"/>
      <c r="C1517" s="17"/>
      <c r="D1517" s="1386"/>
      <c r="E1517" s="947" t="s">
        <v>1560</v>
      </c>
      <c r="F1517" s="947"/>
      <c r="G1517" s="947"/>
      <c r="H1517" s="955" t="str">
        <f>EUconst_EUA</f>
        <v>EUA</v>
      </c>
      <c r="I1517" s="948"/>
      <c r="J1517" s="1165" t="str">
        <f>J1477</f>
        <v/>
      </c>
      <c r="K1517" s="975" t="str">
        <f t="shared" ref="K1517:K1520" si="269">J1572</f>
        <v/>
      </c>
      <c r="L1517" s="975" t="str">
        <f t="shared" ref="L1517:L1520" si="270">K1572</f>
        <v/>
      </c>
      <c r="M1517" s="975" t="str">
        <f t="shared" ref="M1517:M1520" si="271">L1572</f>
        <v/>
      </c>
      <c r="N1517" s="1391" t="str">
        <f t="shared" ref="N1517:N1520" si="272">M1572</f>
        <v/>
      </c>
      <c r="O1517" s="19"/>
      <c r="P1517" s="343"/>
      <c r="Q1517" s="343"/>
      <c r="R1517" s="343"/>
      <c r="S1517" s="343"/>
      <c r="T1517" s="343"/>
      <c r="U1517" s="349"/>
      <c r="V1517" s="349"/>
    </row>
    <row r="1518" spans="1:22" s="534" customFormat="1" ht="12.75" hidden="1" customHeight="1" x14ac:dyDescent="0.3">
      <c r="A1518" s="343" t="str">
        <f>IF(P1518="","ausblenden","")</f>
        <v>ausblenden</v>
      </c>
      <c r="B1518" s="15"/>
      <c r="C1518" s="17"/>
      <c r="D1518" s="1386"/>
      <c r="E1518" s="947" t="s">
        <v>1527</v>
      </c>
      <c r="F1518" s="947"/>
      <c r="G1518" s="947"/>
      <c r="H1518" s="955" t="str">
        <f>EUconst_EUA</f>
        <v>EUA</v>
      </c>
      <c r="I1518" s="948"/>
      <c r="J1518" s="1165" t="str">
        <f>J1478</f>
        <v/>
      </c>
      <c r="K1518" s="975" t="str">
        <f t="shared" si="269"/>
        <v/>
      </c>
      <c r="L1518" s="975" t="str">
        <f t="shared" si="270"/>
        <v/>
      </c>
      <c r="M1518" s="975" t="str">
        <f t="shared" si="271"/>
        <v/>
      </c>
      <c r="N1518" s="1391" t="str">
        <f t="shared" si="272"/>
        <v/>
      </c>
      <c r="O1518" s="19"/>
      <c r="P1518" s="343"/>
      <c r="Q1518" s="343"/>
      <c r="R1518" s="343"/>
      <c r="S1518" s="343"/>
      <c r="T1518" s="343"/>
      <c r="U1518" s="349"/>
      <c r="V1518" s="349"/>
    </row>
    <row r="1519" spans="1:22" s="534" customFormat="1" ht="12.75" hidden="1" customHeight="1" x14ac:dyDescent="0.3">
      <c r="A1519" s="343" t="str">
        <f>IF(P1519="","ausblenden","")</f>
        <v>ausblenden</v>
      </c>
      <c r="B1519" s="15"/>
      <c r="C1519" s="17"/>
      <c r="D1519" s="1386"/>
      <c r="E1519" s="947" t="s">
        <v>1526</v>
      </c>
      <c r="F1519" s="947"/>
      <c r="G1519" s="947"/>
      <c r="H1519" s="956" t="s">
        <v>1112</v>
      </c>
      <c r="I1519" s="948"/>
      <c r="J1519" s="1211" t="str">
        <f>J1479</f>
        <v/>
      </c>
      <c r="K1519" s="1212" t="str">
        <f t="shared" si="269"/>
        <v/>
      </c>
      <c r="L1519" s="1212" t="str">
        <f t="shared" si="270"/>
        <v/>
      </c>
      <c r="M1519" s="1212" t="str">
        <f t="shared" si="271"/>
        <v/>
      </c>
      <c r="N1519" s="1392" t="str">
        <f t="shared" si="272"/>
        <v/>
      </c>
      <c r="O1519" s="19"/>
      <c r="P1519" s="343"/>
      <c r="Q1519" s="343"/>
      <c r="R1519" s="343"/>
      <c r="S1519" s="343"/>
      <c r="T1519" s="343"/>
      <c r="U1519" s="349"/>
      <c r="V1519" s="349"/>
    </row>
    <row r="1520" spans="1:22" s="534" customFormat="1" ht="12.75" hidden="1" customHeight="1" x14ac:dyDescent="0.3">
      <c r="A1520" s="343" t="str">
        <f>IF(P1520="","ausblenden","")</f>
        <v>ausblenden</v>
      </c>
      <c r="B1520" s="15"/>
      <c r="C1520" s="17"/>
      <c r="D1520" s="1386"/>
      <c r="E1520" s="950" t="s">
        <v>1528</v>
      </c>
      <c r="F1520" s="950"/>
      <c r="G1520" s="950"/>
      <c r="H1520" s="957" t="s">
        <v>1112</v>
      </c>
      <c r="I1520" s="951"/>
      <c r="J1520" s="1213" t="str">
        <f>J1480</f>
        <v/>
      </c>
      <c r="K1520" s="1214" t="str">
        <f t="shared" si="269"/>
        <v/>
      </c>
      <c r="L1520" s="1214" t="str">
        <f t="shared" si="270"/>
        <v/>
      </c>
      <c r="M1520" s="1214" t="str">
        <f t="shared" si="271"/>
        <v/>
      </c>
      <c r="N1520" s="1393" t="str">
        <f t="shared" si="272"/>
        <v/>
      </c>
      <c r="O1520" s="19"/>
      <c r="P1520" s="343"/>
      <c r="Q1520" s="343"/>
      <c r="R1520" s="343"/>
      <c r="S1520" s="343"/>
      <c r="T1520" s="343"/>
      <c r="U1520" s="349"/>
      <c r="V1520" s="349"/>
    </row>
    <row r="1521" spans="1:22" s="534" customFormat="1" ht="12.75" customHeight="1" x14ac:dyDescent="0.3">
      <c r="A1521" s="343"/>
      <c r="B1521" s="15"/>
      <c r="C1521" s="17"/>
      <c r="D1521" s="1386"/>
      <c r="E1521" s="514" t="str">
        <f>Translations!$B$1565</f>
        <v>Preliminärt tilldelningsvärde</v>
      </c>
      <c r="F1521" s="514"/>
      <c r="G1521" s="514"/>
      <c r="H1521" s="129" t="str">
        <f>EUconst_EUA</f>
        <v>EUA</v>
      </c>
      <c r="I1521" s="1151"/>
      <c r="J1521" s="1131" t="str">
        <f>IF($I1461="","",MAX(0,ROUND((SUM($M1464)*SUM(J1512)*SUM(J1519)*SUM(J1520)-SUM(J1516)-SUM(J1517)+SUM(J1518))*IF($H1464=TRUE,1,J$2517),0)))</f>
        <v/>
      </c>
      <c r="K1521" s="421" t="str">
        <f>IF($I1461="","",MAX(0,ROUND((SUM($M1464)*SUM(K1512)*SUM(K1519)*SUM(K1520)-SUM(K1516)-SUM(K1517)+SUM(K1518))*IF($H1464=TRUE,1,K$2517),0)))</f>
        <v/>
      </c>
      <c r="L1521" s="421" t="str">
        <f>IF($I1461="","",MAX(0,ROUND((SUM($M1464)*SUM(L1512)*SUM(L1519)*SUM(L1520)-SUM(L1516)-SUM(L1517)+SUM(L1518))*IF($H1464=TRUE,1,L$2517),0)))</f>
        <v/>
      </c>
      <c r="M1521" s="421" t="str">
        <f>IF($I1461="","",MAX(0,ROUND((SUM($M1464)*SUM(M1512)*SUM(M1519)*SUM(M1520)-SUM(M1516)-SUM(M1517)+SUM(M1518))*IF($H1464=TRUE,1,M$2517),0)))</f>
        <v/>
      </c>
      <c r="N1521" s="967" t="str">
        <f>IF($I1461="","",MAX(0,ROUND((SUM($M1464+IF(L1464=52,0.415,0))*SUM(N1512)*SUM(N1519)*SUM(N1520)-SUM(N1516)-SUM(N1517)+SUM(N1518))*IF($H1464=TRUE,1,N$2517),0)))</f>
        <v/>
      </c>
      <c r="O1521" s="19"/>
      <c r="P1521" s="343"/>
      <c r="Q1521" s="343"/>
      <c r="R1521" s="343"/>
      <c r="S1521" s="343"/>
      <c r="T1521" s="343"/>
      <c r="U1521" s="349"/>
      <c r="V1521" s="349"/>
    </row>
    <row r="1522" spans="1:22" s="534" customFormat="1" ht="12.75" customHeight="1" x14ac:dyDescent="0.3">
      <c r="A1522" s="343"/>
      <c r="B1522" s="15"/>
      <c r="C1522" s="17"/>
      <c r="D1522" s="1386"/>
      <c r="E1522" s="514" t="str">
        <f>Translations!$B$1569</f>
        <v>Skillnad i tilldelning</v>
      </c>
      <c r="F1522" s="514"/>
      <c r="G1522" s="514"/>
      <c r="H1522" s="129" t="str">
        <f>EUconst_EUA</f>
        <v>EUA</v>
      </c>
      <c r="I1522" s="1151"/>
      <c r="J1522" s="1131" t="str">
        <f>IF($I1461="","",ABS(SUM(J1521)-SUM(J1481)))</f>
        <v/>
      </c>
      <c r="K1522" s="421" t="str">
        <f>IF($I1461="","",ABS(SUM(K1521)-SUM(K1481)))</f>
        <v/>
      </c>
      <c r="L1522" s="421" t="str">
        <f>IF($I1461="","",ABS(SUM(L1521)-SUM(L1481)))</f>
        <v/>
      </c>
      <c r="M1522" s="421" t="str">
        <f>IF($I1461="","",ABS(SUM(M1521)-SUM(M1481)))</f>
        <v/>
      </c>
      <c r="N1522" s="967" t="str">
        <f>IF($I1461="","",ABS(SUM(N1521)-SUM(N1481)))</f>
        <v/>
      </c>
      <c r="O1522" s="19"/>
      <c r="P1522" s="343"/>
      <c r="Q1522" s="343"/>
      <c r="R1522" s="343"/>
      <c r="S1522" s="343"/>
      <c r="T1522" s="343"/>
      <c r="U1522" s="349"/>
      <c r="V1522" s="349"/>
    </row>
    <row r="1523" spans="1:22" s="534" customFormat="1" ht="12.75" customHeight="1" x14ac:dyDescent="0.3">
      <c r="A1523" s="343"/>
      <c r="B1523" s="15"/>
      <c r="C1523" s="17"/>
      <c r="D1523" s="1386"/>
      <c r="E1523" s="1419" t="str">
        <f>Translations!$B$1576</f>
        <v>Kriterium 4c: Är skillnaden minst 100 utsläppsrätter?</v>
      </c>
      <c r="F1523" s="1419"/>
      <c r="G1523" s="1419"/>
      <c r="H1523" s="1424" t="s">
        <v>1112</v>
      </c>
      <c r="I1523" s="1425"/>
      <c r="J1523" s="1426" t="str">
        <f>IF($I1461="","",J1522&gt;=100)</f>
        <v/>
      </c>
      <c r="K1523" s="1427" t="str">
        <f>IF($I1461="","",K1522&gt;=100)</f>
        <v/>
      </c>
      <c r="L1523" s="1427" t="str">
        <f>IF($I1461="","",L1522&gt;=100)</f>
        <v/>
      </c>
      <c r="M1523" s="1427" t="str">
        <f>IF($I1461="","",M1522&gt;=100)</f>
        <v/>
      </c>
      <c r="N1523" s="1428" t="str">
        <f>IF($I1461="","",N1522&gt;=100)</f>
        <v/>
      </c>
      <c r="O1523" s="19"/>
      <c r="P1523" s="165" t="str">
        <f>EUconst_CNTR_100EUA_HEAT&amp;I1461</f>
        <v>EUA100HEAT_</v>
      </c>
      <c r="Q1523" s="343"/>
      <c r="R1523" s="343"/>
      <c r="S1523" s="343"/>
      <c r="T1523" s="343"/>
      <c r="U1523" s="349"/>
      <c r="V1523" s="349"/>
    </row>
    <row r="1524" spans="1:22" s="534" customFormat="1" ht="5.15" customHeight="1" x14ac:dyDescent="0.3">
      <c r="A1524" s="343"/>
      <c r="B1524" s="15"/>
      <c r="C1524" s="17"/>
      <c r="D1524" s="1386"/>
      <c r="E1524" s="15"/>
      <c r="F1524" s="15"/>
      <c r="G1524" s="15"/>
      <c r="H1524" s="15"/>
      <c r="I1524" s="941"/>
      <c r="J1524" s="15"/>
      <c r="K1524" s="15"/>
      <c r="L1524" s="15"/>
      <c r="M1524" s="15"/>
      <c r="N1524" s="968"/>
      <c r="O1524" s="19"/>
      <c r="P1524" s="343"/>
      <c r="Q1524" s="343"/>
      <c r="R1524" s="343"/>
      <c r="S1524" s="343"/>
      <c r="T1524" s="343"/>
      <c r="U1524" s="349"/>
      <c r="V1524" s="349"/>
    </row>
    <row r="1525" spans="1:22" s="534" customFormat="1" ht="12.75" customHeight="1" x14ac:dyDescent="0.3">
      <c r="A1525" s="343"/>
      <c r="B1525" s="15"/>
      <c r="C1525" s="17"/>
      <c r="D1525" s="1386"/>
      <c r="E1525" s="42" t="str">
        <f>Translations!$B$1577</f>
        <v>Ändringar: HVC-korrigering</v>
      </c>
      <c r="F1525" s="188"/>
      <c r="G1525" s="188"/>
      <c r="H1525" s="30" t="str">
        <f>EUconst_Unit</f>
        <v>Enhet</v>
      </c>
      <c r="I1525" s="1157"/>
      <c r="J1525" s="1065">
        <f>J$2596</f>
        <v>2021</v>
      </c>
      <c r="K1525" s="350">
        <f>K$2596</f>
        <v>2022</v>
      </c>
      <c r="L1525" s="350">
        <f>L$2596</f>
        <v>2023</v>
      </c>
      <c r="M1525" s="350">
        <f>M$2596</f>
        <v>2024</v>
      </c>
      <c r="N1525" s="966">
        <f>N$2596</f>
        <v>2025</v>
      </c>
      <c r="O1525" s="19"/>
      <c r="P1525" s="343"/>
      <c r="Q1525" s="343"/>
      <c r="R1525" s="343"/>
      <c r="S1525" s="343"/>
      <c r="T1525" s="343"/>
      <c r="U1525" s="349"/>
      <c r="V1525" s="349"/>
    </row>
    <row r="1526" spans="1:22" s="534" customFormat="1" ht="12.75" hidden="1" customHeight="1" x14ac:dyDescent="0.3">
      <c r="A1526" s="343" t="str">
        <f>IF(P1526="","ausblenden","")</f>
        <v>ausblenden</v>
      </c>
      <c r="B1526" s="15"/>
      <c r="C1526" s="17"/>
      <c r="D1526" s="1386"/>
      <c r="E1526" s="514" t="s">
        <v>1918</v>
      </c>
      <c r="F1526" s="514"/>
      <c r="G1526" s="514"/>
      <c r="H1526" s="917" t="str">
        <f>H1512</f>
        <v>ton</v>
      </c>
      <c r="I1526" s="514"/>
      <c r="J1526" s="1152" t="str">
        <f>J1475</f>
        <v/>
      </c>
      <c r="K1526" s="943" t="str">
        <f t="shared" ref="K1526:K1528" si="273">J1570</f>
        <v/>
      </c>
      <c r="L1526" s="943" t="str">
        <f t="shared" ref="L1526:L1528" si="274">K1570</f>
        <v/>
      </c>
      <c r="M1526" s="943" t="str">
        <f t="shared" ref="M1526:M1528" si="275">L1570</f>
        <v/>
      </c>
      <c r="N1526" s="1389" t="str">
        <f t="shared" ref="N1526:N1528" si="276">M1570</f>
        <v/>
      </c>
      <c r="O1526" s="19"/>
      <c r="P1526" s="343"/>
      <c r="Q1526" s="343"/>
      <c r="R1526" s="343"/>
      <c r="S1526" s="343"/>
      <c r="T1526" s="343"/>
      <c r="U1526" s="349"/>
      <c r="V1526" s="349"/>
    </row>
    <row r="1527" spans="1:22" s="534" customFormat="1" ht="12.75" hidden="1" customHeight="1" x14ac:dyDescent="0.3">
      <c r="A1527" s="343" t="str">
        <f>IF(P1527="","ausblenden","")</f>
        <v>ausblenden</v>
      </c>
      <c r="B1527" s="15"/>
      <c r="C1527" s="17"/>
      <c r="D1527" s="1386"/>
      <c r="E1527" s="944" t="s">
        <v>339</v>
      </c>
      <c r="F1527" s="944"/>
      <c r="G1527" s="944"/>
      <c r="H1527" s="954" t="str">
        <f>EUconst_EUA</f>
        <v>EUA</v>
      </c>
      <c r="I1527" s="945"/>
      <c r="J1527" s="1209" t="str">
        <f>J1476</f>
        <v/>
      </c>
      <c r="K1527" s="1210" t="str">
        <f t="shared" si="273"/>
        <v/>
      </c>
      <c r="L1527" s="1210" t="str">
        <f t="shared" si="274"/>
        <v/>
      </c>
      <c r="M1527" s="1210" t="str">
        <f t="shared" si="275"/>
        <v/>
      </c>
      <c r="N1527" s="1390" t="str">
        <f t="shared" si="276"/>
        <v/>
      </c>
      <c r="O1527" s="19"/>
      <c r="P1527" s="343"/>
      <c r="Q1527" s="343"/>
      <c r="R1527" s="343"/>
      <c r="S1527" s="343"/>
      <c r="T1527" s="343"/>
      <c r="U1527" s="349"/>
      <c r="V1527" s="349"/>
    </row>
    <row r="1528" spans="1:22" s="534" customFormat="1" ht="12.75" hidden="1" customHeight="1" x14ac:dyDescent="0.3">
      <c r="A1528" s="343" t="str">
        <f>IF(P1528="","ausblenden","")</f>
        <v>ausblenden</v>
      </c>
      <c r="B1528" s="15"/>
      <c r="C1528" s="17"/>
      <c r="D1528" s="1386"/>
      <c r="E1528" s="1433" t="s">
        <v>1560</v>
      </c>
      <c r="F1528" s="1433"/>
      <c r="G1528" s="1433"/>
      <c r="H1528" s="1434" t="str">
        <f>EUconst_EUA</f>
        <v>EUA</v>
      </c>
      <c r="I1528" s="1435"/>
      <c r="J1528" s="1436" t="str">
        <f>J1477</f>
        <v/>
      </c>
      <c r="K1528" s="1437" t="str">
        <f t="shared" si="273"/>
        <v/>
      </c>
      <c r="L1528" s="1437" t="str">
        <f t="shared" si="274"/>
        <v/>
      </c>
      <c r="M1528" s="1437" t="str">
        <f t="shared" si="275"/>
        <v/>
      </c>
      <c r="N1528" s="1438" t="str">
        <f t="shared" si="276"/>
        <v/>
      </c>
      <c r="O1528" s="19"/>
      <c r="P1528" s="343"/>
      <c r="Q1528" s="343"/>
      <c r="R1528" s="343"/>
      <c r="S1528" s="343"/>
      <c r="T1528" s="343"/>
      <c r="U1528" s="349"/>
      <c r="V1528" s="349"/>
    </row>
    <row r="1529" spans="1:22" s="534" customFormat="1" ht="12.75" customHeight="1" x14ac:dyDescent="0.3">
      <c r="A1529" s="343"/>
      <c r="B1529" s="15"/>
      <c r="C1529" s="17"/>
      <c r="D1529" s="1386"/>
      <c r="E1529" s="944" t="str">
        <f>Translations!$B$1482</f>
        <v>Genomsnittligt årligt värde</v>
      </c>
      <c r="F1529" s="944"/>
      <c r="G1529" s="944"/>
      <c r="H1529" s="954" t="str">
        <f>EUconst_EUA</f>
        <v>EUA</v>
      </c>
      <c r="I1529" s="945"/>
      <c r="J1529" s="1445" t="str">
        <f>IF(L1464=42,INDEX(H_SpecialBM!J:J,MATCH($P1529,H_SpecialBM!$Q:$Q,0)),"")</f>
        <v/>
      </c>
      <c r="K1529" s="1446" t="str">
        <f>IF(L1464=42,INDEX(H_SpecialBM!K:K,MATCH($P1529,H_SpecialBM!$Q:$Q,0)),"")</f>
        <v/>
      </c>
      <c r="L1529" s="1446" t="str">
        <f>IF(L1464=42,INDEX(H_SpecialBM!L:L,MATCH($P1529,H_SpecialBM!$Q:$Q,0)),"")</f>
        <v/>
      </c>
      <c r="M1529" s="1446" t="str">
        <f>IF(L1464=42,INDEX(H_SpecialBM!M:M,MATCH($P1529,H_SpecialBM!$Q:$Q,0)),"")</f>
        <v/>
      </c>
      <c r="N1529" s="1447" t="str">
        <f>IF(L1464=42,INDEX(H_SpecialBM!N:N,MATCH($P1529,H_SpecialBM!$Q:$Q,0)),"")</f>
        <v/>
      </c>
      <c r="O1529" s="19"/>
      <c r="P1529" s="165" t="str">
        <f>EUconst_CNTR_HVCInitial &amp; INDEX(EUconst_BMlistNames,42)</f>
        <v>HVCIni_Ångkrackning</v>
      </c>
      <c r="Q1529" s="343"/>
      <c r="R1529" s="343"/>
      <c r="S1529" s="343"/>
      <c r="T1529" s="343"/>
      <c r="U1529" s="349"/>
      <c r="V1529" s="349"/>
    </row>
    <row r="1530" spans="1:22" s="534" customFormat="1" ht="12.75" customHeight="1" x14ac:dyDescent="0.3">
      <c r="A1530" s="343"/>
      <c r="B1530" s="15"/>
      <c r="C1530" s="17"/>
      <c r="D1530" s="1386"/>
      <c r="E1530" s="947" t="str">
        <f>Translations!$B$1571</f>
        <v>Ändring jämfört med värde enligt nationella genomförandeåtgärder</v>
      </c>
      <c r="F1530" s="947"/>
      <c r="G1530" s="947"/>
      <c r="H1530" s="1370" t="s">
        <v>1112</v>
      </c>
      <c r="I1530" s="1371"/>
      <c r="J1530" s="1415" t="str">
        <f>IF(L1464=42,INDEX(H_SpecialBM!J:J,MATCH($P1530,H_SpecialBM!$Q:$Q,0)),"")</f>
        <v/>
      </c>
      <c r="K1530" s="1416" t="str">
        <f>IF(L1464=42,INDEX(H_SpecialBM!K:K,MATCH($P1530,H_SpecialBM!$Q:$Q,0)),"")</f>
        <v/>
      </c>
      <c r="L1530" s="1416" t="str">
        <f>IF(L1464=42,INDEX(H_SpecialBM!L:L,MATCH($P1530,H_SpecialBM!$Q:$Q,0)),"")</f>
        <v/>
      </c>
      <c r="M1530" s="1416" t="str">
        <f>IF(L1464=42,INDEX(H_SpecialBM!M:M,MATCH($P1530,H_SpecialBM!$Q:$Q,0)),"")</f>
        <v/>
      </c>
      <c r="N1530" s="1417" t="str">
        <f>IF(L1464=42,INDEX(H_SpecialBM!N:N,MATCH($P1530,H_SpecialBM!$Q:$Q,0)),"")</f>
        <v/>
      </c>
      <c r="O1530" s="19"/>
      <c r="P1530" s="165" t="str">
        <f>EUconst_CNTR_RelThreshold &amp; P1532</f>
        <v>RelThresh_HVCprelim_</v>
      </c>
      <c r="Q1530" s="343"/>
      <c r="R1530" s="343"/>
      <c r="S1530" s="343"/>
      <c r="T1530" s="343"/>
      <c r="U1530" s="349"/>
      <c r="V1530" s="349"/>
    </row>
    <row r="1531" spans="1:22" s="534" customFormat="1" ht="12.75" customHeight="1" x14ac:dyDescent="0.3">
      <c r="A1531" s="343"/>
      <c r="B1531" s="15"/>
      <c r="C1531" s="17"/>
      <c r="D1531" s="1386"/>
      <c r="E1531" s="1418" t="str">
        <f>Translations!$B$1578</f>
        <v>Kriterium 3d: Har relativa tröskelvärden överskridits?</v>
      </c>
      <c r="F1531" s="1418"/>
      <c r="G1531" s="1418"/>
      <c r="H1531" s="1423" t="s">
        <v>1112</v>
      </c>
      <c r="I1531" s="1423"/>
      <c r="J1531" s="1420" t="str">
        <f>IF(L1464=42,INDEX(H_SpecialBM!V:V,MATCH($P1531,H_SpecialBM!$Q:$Q,0)),"")</f>
        <v/>
      </c>
      <c r="K1531" s="1421" t="str">
        <f>IF(L1464=42,INDEX(H_SpecialBM!W:W,MATCH($P1531,H_SpecialBM!$Q:$Q,0)),"")</f>
        <v/>
      </c>
      <c r="L1531" s="1421" t="str">
        <f>IF(L1464=42,INDEX(H_SpecialBM!X:X,MATCH($P1531,H_SpecialBM!$Q:$Q,0)),"")</f>
        <v/>
      </c>
      <c r="M1531" s="1421" t="str">
        <f>IF(L1464=42,INDEX(H_SpecialBM!Y:Y,MATCH($P1531,H_SpecialBM!$Q:$Q,0)),"")</f>
        <v/>
      </c>
      <c r="N1531" s="1422" t="str">
        <f>IF(L1464=42,INDEX(H_SpecialBM!Z:Z,MATCH($P1531,H_SpecialBM!$Q:$Q,0)),"")</f>
        <v/>
      </c>
      <c r="O1531" s="19"/>
      <c r="P1531" s="165" t="str">
        <f>P1530</f>
        <v>RelThresh_HVCprelim_</v>
      </c>
      <c r="Q1531" s="343"/>
      <c r="R1531" s="343"/>
      <c r="S1531" s="343"/>
      <c r="T1531" s="343"/>
      <c r="U1531" s="349"/>
      <c r="V1531" s="349"/>
    </row>
    <row r="1532" spans="1:22" s="534" customFormat="1" ht="12.75" customHeight="1" x14ac:dyDescent="0.3">
      <c r="A1532" s="343" t="str">
        <f>IF(P1532="","ausblenden","")</f>
        <v/>
      </c>
      <c r="B1532" s="15"/>
      <c r="C1532" s="17"/>
      <c r="D1532" s="1386"/>
      <c r="E1532" s="950" t="str">
        <f>Translations!$B$1568</f>
        <v>Preliminärt värde</v>
      </c>
      <c r="F1532" s="950"/>
      <c r="G1532" s="950"/>
      <c r="H1532" s="957" t="str">
        <f>EUconst_EUA</f>
        <v>EUA</v>
      </c>
      <c r="I1532" s="951"/>
      <c r="J1532" s="1381" t="str">
        <f>IF($L1464=42,INDEX(H_SpecialBM!J:J,MATCH($P1532,H_SpecialBM!$Q:$Q,0)),"")</f>
        <v/>
      </c>
      <c r="K1532" s="1382" t="str">
        <f>IF($L1464=42,INDEX(H_SpecialBM!K:K,MATCH($P1532,H_SpecialBM!$Q:$Q,0)),"")</f>
        <v/>
      </c>
      <c r="L1532" s="1382" t="str">
        <f>IF($L1464=42,INDEX(H_SpecialBM!L:L,MATCH($P1532,H_SpecialBM!$Q:$Q,0)),"")</f>
        <v/>
      </c>
      <c r="M1532" s="1382" t="str">
        <f>IF($L1464=42,INDEX(H_SpecialBM!M:M,MATCH($P1532,H_SpecialBM!$Q:$Q,0)),"")</f>
        <v/>
      </c>
      <c r="N1532" s="1396" t="str">
        <f>IF($L1464=42,INDEX(H_SpecialBM!N:N,MATCH($P1532,H_SpecialBM!$Q:$Q,0)),"")</f>
        <v/>
      </c>
      <c r="O1532" s="19"/>
      <c r="P1532" s="165" t="str">
        <f>EUconst_CNTR_HVCprelim</f>
        <v>HVCprelim_</v>
      </c>
      <c r="Q1532" s="343"/>
      <c r="R1532" s="343"/>
      <c r="S1532" s="343"/>
      <c r="T1532" s="343"/>
      <c r="U1532" s="349"/>
      <c r="V1532" s="349"/>
    </row>
    <row r="1533" spans="1:22" s="534" customFormat="1" ht="12.75" hidden="1" customHeight="1" x14ac:dyDescent="0.3">
      <c r="A1533" s="343" t="str">
        <f>IF(P1533="","ausblenden","")</f>
        <v>ausblenden</v>
      </c>
      <c r="B1533" s="15"/>
      <c r="C1533" s="17"/>
      <c r="D1533" s="1386"/>
      <c r="E1533" s="1376" t="s">
        <v>1526</v>
      </c>
      <c r="F1533" s="1376"/>
      <c r="G1533" s="1376"/>
      <c r="H1533" s="1378" t="s">
        <v>1112</v>
      </c>
      <c r="I1533" s="1377"/>
      <c r="J1533" s="1379" t="str">
        <f>J1479</f>
        <v/>
      </c>
      <c r="K1533" s="1380" t="str">
        <f t="shared" ref="K1533:K1534" si="277">J1574</f>
        <v/>
      </c>
      <c r="L1533" s="1380" t="str">
        <f t="shared" ref="L1533:L1534" si="278">K1574</f>
        <v/>
      </c>
      <c r="M1533" s="1380" t="str">
        <f t="shared" ref="M1533:M1534" si="279">L1574</f>
        <v/>
      </c>
      <c r="N1533" s="1397" t="str">
        <f t="shared" ref="N1533:N1534" si="280">M1574</f>
        <v/>
      </c>
      <c r="O1533" s="19"/>
      <c r="P1533" s="343"/>
      <c r="Q1533" s="343"/>
      <c r="R1533" s="343"/>
      <c r="S1533" s="343"/>
      <c r="T1533" s="343"/>
      <c r="U1533" s="349"/>
      <c r="V1533" s="349"/>
    </row>
    <row r="1534" spans="1:22" s="534" customFormat="1" ht="12.75" hidden="1" customHeight="1" x14ac:dyDescent="0.3">
      <c r="A1534" s="343" t="str">
        <f>IF(P1534="","ausblenden","")</f>
        <v>ausblenden</v>
      </c>
      <c r="B1534" s="15"/>
      <c r="C1534" s="17"/>
      <c r="D1534" s="1386"/>
      <c r="E1534" s="950" t="s">
        <v>1528</v>
      </c>
      <c r="F1534" s="950"/>
      <c r="G1534" s="950"/>
      <c r="H1534" s="957" t="s">
        <v>1112</v>
      </c>
      <c r="I1534" s="951"/>
      <c r="J1534" s="1213" t="str">
        <f>J1480</f>
        <v/>
      </c>
      <c r="K1534" s="1214" t="str">
        <f t="shared" si="277"/>
        <v/>
      </c>
      <c r="L1534" s="1214" t="str">
        <f t="shared" si="278"/>
        <v/>
      </c>
      <c r="M1534" s="1214" t="str">
        <f t="shared" si="279"/>
        <v/>
      </c>
      <c r="N1534" s="1393" t="str">
        <f t="shared" si="280"/>
        <v/>
      </c>
      <c r="O1534" s="19"/>
      <c r="P1534" s="343"/>
      <c r="Q1534" s="343"/>
      <c r="R1534" s="343"/>
      <c r="S1534" s="343"/>
      <c r="T1534" s="343"/>
      <c r="U1534" s="349"/>
      <c r="V1534" s="349"/>
    </row>
    <row r="1535" spans="1:22" s="534" customFormat="1" ht="12.75" customHeight="1" x14ac:dyDescent="0.3">
      <c r="A1535" s="343"/>
      <c r="B1535" s="15"/>
      <c r="C1535" s="17"/>
      <c r="D1535" s="1386"/>
      <c r="E1535" s="514" t="str">
        <f>Translations!$B$1565</f>
        <v>Preliminärt tilldelningsvärde</v>
      </c>
      <c r="F1535" s="514"/>
      <c r="G1535" s="514"/>
      <c r="H1535" s="129" t="str">
        <f>EUconst_EUA</f>
        <v>EUA</v>
      </c>
      <c r="I1535" s="1151"/>
      <c r="J1535" s="1131" t="str">
        <f>IF(J1532="","",MAX(0,ROUND((SUM($M1464)*SUM(J1526)*SUM(J1533)*SUM(J1534)-SUM(J1527)-SUM(J1528)+SUM(J1532))*IF($H1464=TRUE,1,J$2517),0)))</f>
        <v/>
      </c>
      <c r="K1535" s="421" t="str">
        <f>IF(K1532="","",MAX(0,ROUND((SUM($M1464)*SUM(K1526)*SUM(K1533)*SUM(K1534)-SUM(K1527)-SUM(K1528)+SUM(K1532))*IF($H1464=TRUE,1,K$2517),0)))</f>
        <v/>
      </c>
      <c r="L1535" s="421" t="str">
        <f>IF(L1532="","",MAX(0,ROUND((SUM($M1464)*SUM(L1526)*SUM(L1533)*SUM(L1534)-SUM(L1527)-SUM(L1528)+SUM(L1532))*IF($H1464=TRUE,1,L$2517),0)))</f>
        <v/>
      </c>
      <c r="M1535" s="421" t="str">
        <f>IF(M1532="","",MAX(0,ROUND((SUM($M1464)*SUM(M1526)*SUM(M1533)*SUM(M1534)-SUM(M1527)-SUM(M1528)+SUM(M1532))*IF($H1464=TRUE,1,M$2517),0)))</f>
        <v/>
      </c>
      <c r="N1535" s="967" t="str">
        <f>IF(N1532="","",MAX(0,ROUND((SUM($M1464)*SUM(N1526)*SUM(N1533)*SUM(N1534)-SUM(N1527)-SUM(N1528)+SUM(N1532))*IF($H1464=TRUE,1,N$2517),0)))</f>
        <v/>
      </c>
      <c r="O1535" s="19"/>
      <c r="P1535" s="343"/>
      <c r="Q1535" s="343"/>
      <c r="R1535" s="343"/>
      <c r="S1535" s="343"/>
      <c r="T1535" s="343"/>
      <c r="U1535" s="349"/>
      <c r="V1535" s="349"/>
    </row>
    <row r="1536" spans="1:22" s="534" customFormat="1" ht="12.75" customHeight="1" x14ac:dyDescent="0.3">
      <c r="A1536" s="343"/>
      <c r="B1536" s="15"/>
      <c r="C1536" s="17"/>
      <c r="D1536" s="1386"/>
      <c r="E1536" s="514" t="str">
        <f>Translations!$B$1569</f>
        <v>Skillnad i tilldelning</v>
      </c>
      <c r="F1536" s="514"/>
      <c r="G1536" s="514"/>
      <c r="H1536" s="129" t="str">
        <f>EUconst_EUA</f>
        <v>EUA</v>
      </c>
      <c r="I1536" s="1151"/>
      <c r="J1536" s="1131" t="str">
        <f>IF(J1535="","",ABS(SUM(J1535)-SUM(J1481)))</f>
        <v/>
      </c>
      <c r="K1536" s="421" t="str">
        <f>IF(K1535="","",ABS(SUM(K1535)-SUM(K1481)))</f>
        <v/>
      </c>
      <c r="L1536" s="421" t="str">
        <f>IF(L1535="","",ABS(SUM(L1535)-SUM(L1481)))</f>
        <v/>
      </c>
      <c r="M1536" s="421" t="str">
        <f>IF(M1535="","",ABS(SUM(M1535)-SUM(M1481)))</f>
        <v/>
      </c>
      <c r="N1536" s="967" t="str">
        <f>IF(N1535="","",ABS(SUM(N1535)-SUM(N1481)))</f>
        <v/>
      </c>
      <c r="O1536" s="19"/>
      <c r="P1536" s="343"/>
      <c r="Q1536" s="343"/>
      <c r="R1536" s="343"/>
      <c r="S1536" s="343"/>
      <c r="T1536" s="343"/>
      <c r="U1536" s="349"/>
      <c r="V1536" s="349"/>
    </row>
    <row r="1537" spans="1:22" s="534" customFormat="1" ht="12.75" customHeight="1" x14ac:dyDescent="0.3">
      <c r="A1537" s="343"/>
      <c r="B1537" s="15"/>
      <c r="C1537" s="17"/>
      <c r="D1537" s="1386"/>
      <c r="E1537" s="1419" t="str">
        <f>Translations!$B$1579</f>
        <v>Kriterium 4d: Är skillnaden minst 100 utsläppsrätter?</v>
      </c>
      <c r="F1537" s="514"/>
      <c r="G1537" s="514"/>
      <c r="H1537" s="1424" t="s">
        <v>1112</v>
      </c>
      <c r="I1537" s="1425"/>
      <c r="J1537" s="1426" t="str">
        <f>IF(J1536="","",J1536&gt;=100)</f>
        <v/>
      </c>
      <c r="K1537" s="1427" t="str">
        <f>IF(K1536="","",K1536&gt;=100)</f>
        <v/>
      </c>
      <c r="L1537" s="1427" t="str">
        <f>IF(L1536="","",L1536&gt;=100)</f>
        <v/>
      </c>
      <c r="M1537" s="1427" t="str">
        <f>IF(M1536="","",M1536&gt;=100)</f>
        <v/>
      </c>
      <c r="N1537" s="1428" t="str">
        <f>IF(N1536="","",N1536&gt;=100)</f>
        <v/>
      </c>
      <c r="O1537" s="19"/>
      <c r="P1537" s="165" t="str">
        <f>EUconst_CNTR_100EUA_HVC&amp;I1461</f>
        <v>EUA100HVC_</v>
      </c>
      <c r="Q1537" s="343"/>
      <c r="R1537" s="343"/>
      <c r="S1537" s="343"/>
      <c r="T1537" s="343"/>
      <c r="U1537" s="349"/>
      <c r="V1537" s="349"/>
    </row>
    <row r="1538" spans="1:22" s="534" customFormat="1" ht="5.15" customHeight="1" x14ac:dyDescent="0.3">
      <c r="A1538" s="343"/>
      <c r="B1538" s="15"/>
      <c r="C1538" s="17"/>
      <c r="D1538" s="1386"/>
      <c r="E1538" s="15"/>
      <c r="F1538" s="15"/>
      <c r="G1538" s="15"/>
      <c r="H1538" s="15"/>
      <c r="I1538" s="941"/>
      <c r="J1538" s="15"/>
      <c r="K1538" s="15"/>
      <c r="L1538" s="15"/>
      <c r="M1538" s="15"/>
      <c r="N1538" s="968"/>
      <c r="O1538" s="19"/>
      <c r="P1538" s="343"/>
      <c r="Q1538" s="343"/>
      <c r="R1538" s="343"/>
      <c r="S1538" s="343"/>
      <c r="T1538" s="343"/>
      <c r="U1538" s="349"/>
      <c r="V1538" s="349"/>
    </row>
    <row r="1539" spans="1:22" s="534" customFormat="1" ht="12.75" customHeight="1" x14ac:dyDescent="0.3">
      <c r="A1539" s="343"/>
      <c r="B1539" s="15"/>
      <c r="C1539" s="17"/>
      <c r="D1539" s="1386"/>
      <c r="E1539" s="42" t="str">
        <f>Translations!$B$1580</f>
        <v>Ändringar: VCM-korrigering</v>
      </c>
      <c r="F1539" s="188"/>
      <c r="G1539" s="188"/>
      <c r="H1539" s="30" t="str">
        <f>EUconst_Unit</f>
        <v>Enhet</v>
      </c>
      <c r="I1539" s="1157"/>
      <c r="J1539" s="1065">
        <f>J$2596</f>
        <v>2021</v>
      </c>
      <c r="K1539" s="350">
        <f>K$2596</f>
        <v>2022</v>
      </c>
      <c r="L1539" s="350">
        <f>L$2596</f>
        <v>2023</v>
      </c>
      <c r="M1539" s="350">
        <f>M$2596</f>
        <v>2024</v>
      </c>
      <c r="N1539" s="966">
        <f>N$2596</f>
        <v>2025</v>
      </c>
      <c r="O1539" s="19"/>
      <c r="P1539" s="343"/>
      <c r="Q1539" s="343"/>
      <c r="R1539" s="343"/>
      <c r="S1539" s="343"/>
      <c r="T1539" s="343"/>
      <c r="U1539" s="349"/>
      <c r="V1539" s="349"/>
    </row>
    <row r="1540" spans="1:22" s="534" customFormat="1" ht="12.75" hidden="1" customHeight="1" x14ac:dyDescent="0.3">
      <c r="A1540" s="343" t="str">
        <f>IF(P1540="","ausblenden","")</f>
        <v>ausblenden</v>
      </c>
      <c r="B1540" s="15"/>
      <c r="C1540" s="17"/>
      <c r="D1540" s="1386"/>
      <c r="E1540" s="514" t="s">
        <v>1918</v>
      </c>
      <c r="F1540" s="514"/>
      <c r="G1540" s="514"/>
      <c r="H1540" s="917" t="str">
        <f>H1526</f>
        <v>ton</v>
      </c>
      <c r="I1540" s="514"/>
      <c r="J1540" s="1152" t="str">
        <f>J1475</f>
        <v/>
      </c>
      <c r="K1540" s="943" t="str">
        <f t="shared" ref="K1540:K1544" si="281">J1570</f>
        <v/>
      </c>
      <c r="L1540" s="943" t="str">
        <f t="shared" ref="L1540:L1544" si="282">K1570</f>
        <v/>
      </c>
      <c r="M1540" s="943" t="str">
        <f t="shared" ref="M1540:M1544" si="283">L1570</f>
        <v/>
      </c>
      <c r="N1540" s="1389" t="str">
        <f t="shared" ref="N1540:N1544" si="284">M1570</f>
        <v/>
      </c>
      <c r="O1540" s="19"/>
      <c r="P1540" s="343"/>
      <c r="Q1540" s="343"/>
      <c r="R1540" s="343"/>
      <c r="S1540" s="343"/>
      <c r="T1540" s="343"/>
      <c r="U1540" s="349"/>
      <c r="V1540" s="349"/>
    </row>
    <row r="1541" spans="1:22" s="534" customFormat="1" ht="12.75" hidden="1" customHeight="1" x14ac:dyDescent="0.3">
      <c r="A1541" s="343" t="str">
        <f>IF(P1541="","ausblenden","")</f>
        <v>ausblenden</v>
      </c>
      <c r="B1541" s="15"/>
      <c r="C1541" s="17"/>
      <c r="D1541" s="1386"/>
      <c r="E1541" s="944" t="s">
        <v>339</v>
      </c>
      <c r="F1541" s="944"/>
      <c r="G1541" s="944"/>
      <c r="H1541" s="954" t="str">
        <f>EUconst_EUA</f>
        <v>EUA</v>
      </c>
      <c r="I1541" s="945"/>
      <c r="J1541" s="1209" t="str">
        <f>J1476</f>
        <v/>
      </c>
      <c r="K1541" s="1210" t="str">
        <f t="shared" si="281"/>
        <v/>
      </c>
      <c r="L1541" s="1210" t="str">
        <f t="shared" si="282"/>
        <v/>
      </c>
      <c r="M1541" s="1210" t="str">
        <f t="shared" si="283"/>
        <v/>
      </c>
      <c r="N1541" s="1390" t="str">
        <f t="shared" si="284"/>
        <v/>
      </c>
      <c r="O1541" s="19"/>
      <c r="P1541" s="343"/>
      <c r="Q1541" s="343"/>
      <c r="R1541" s="343"/>
      <c r="S1541" s="343"/>
      <c r="T1541" s="343"/>
      <c r="U1541" s="349"/>
      <c r="V1541" s="349"/>
    </row>
    <row r="1542" spans="1:22" s="534" customFormat="1" ht="12.75" hidden="1" customHeight="1" x14ac:dyDescent="0.3">
      <c r="A1542" s="343" t="str">
        <f>IF(P1542="","ausblenden","")</f>
        <v>ausblenden</v>
      </c>
      <c r="B1542" s="15"/>
      <c r="C1542" s="17"/>
      <c r="D1542" s="1386"/>
      <c r="E1542" s="947" t="s">
        <v>1560</v>
      </c>
      <c r="F1542" s="947"/>
      <c r="G1542" s="947"/>
      <c r="H1542" s="955" t="str">
        <f>EUconst_EUA</f>
        <v>EUA</v>
      </c>
      <c r="I1542" s="948"/>
      <c r="J1542" s="1165" t="str">
        <f>J1477</f>
        <v/>
      </c>
      <c r="K1542" s="975" t="str">
        <f t="shared" si="281"/>
        <v/>
      </c>
      <c r="L1542" s="975" t="str">
        <f t="shared" si="282"/>
        <v/>
      </c>
      <c r="M1542" s="975" t="str">
        <f t="shared" si="283"/>
        <v/>
      </c>
      <c r="N1542" s="1391" t="str">
        <f t="shared" si="284"/>
        <v/>
      </c>
      <c r="O1542" s="19"/>
      <c r="P1542" s="343"/>
      <c r="Q1542" s="343"/>
      <c r="R1542" s="343"/>
      <c r="S1542" s="343"/>
      <c r="T1542" s="343"/>
      <c r="U1542" s="349"/>
      <c r="V1542" s="349"/>
    </row>
    <row r="1543" spans="1:22" s="534" customFormat="1" ht="12.75" hidden="1" customHeight="1" x14ac:dyDescent="0.3">
      <c r="A1543" s="343" t="str">
        <f>IF(P1543="","ausblenden","")</f>
        <v>ausblenden</v>
      </c>
      <c r="B1543" s="15"/>
      <c r="C1543" s="17"/>
      <c r="D1543" s="1386"/>
      <c r="E1543" s="947" t="s">
        <v>1527</v>
      </c>
      <c r="F1543" s="947"/>
      <c r="G1543" s="947"/>
      <c r="H1543" s="955" t="str">
        <f>EUconst_EUA</f>
        <v>EUA</v>
      </c>
      <c r="I1543" s="948"/>
      <c r="J1543" s="1165" t="str">
        <f>J1478</f>
        <v/>
      </c>
      <c r="K1543" s="975" t="str">
        <f t="shared" si="281"/>
        <v/>
      </c>
      <c r="L1543" s="975" t="str">
        <f t="shared" si="282"/>
        <v/>
      </c>
      <c r="M1543" s="975" t="str">
        <f t="shared" si="283"/>
        <v/>
      </c>
      <c r="N1543" s="1391" t="str">
        <f t="shared" si="284"/>
        <v/>
      </c>
      <c r="O1543" s="19"/>
      <c r="P1543" s="343"/>
      <c r="Q1543" s="343"/>
      <c r="R1543" s="343"/>
      <c r="S1543" s="343"/>
      <c r="T1543" s="343"/>
      <c r="U1543" s="349"/>
      <c r="V1543" s="349"/>
    </row>
    <row r="1544" spans="1:22" s="534" customFormat="1" ht="12.75" hidden="1" customHeight="1" x14ac:dyDescent="0.3">
      <c r="A1544" s="343" t="str">
        <f>IF(P1544="","ausblenden","")</f>
        <v>ausblenden</v>
      </c>
      <c r="B1544" s="15"/>
      <c r="C1544" s="17"/>
      <c r="D1544" s="1386"/>
      <c r="E1544" s="1433" t="s">
        <v>1526</v>
      </c>
      <c r="F1544" s="1433"/>
      <c r="G1544" s="1433"/>
      <c r="H1544" s="1448" t="s">
        <v>1112</v>
      </c>
      <c r="I1544" s="1435"/>
      <c r="J1544" s="1449" t="str">
        <f>J1479</f>
        <v/>
      </c>
      <c r="K1544" s="1450" t="str">
        <f t="shared" si="281"/>
        <v/>
      </c>
      <c r="L1544" s="1450" t="str">
        <f t="shared" si="282"/>
        <v/>
      </c>
      <c r="M1544" s="1450" t="str">
        <f t="shared" si="283"/>
        <v/>
      </c>
      <c r="N1544" s="1451" t="str">
        <f t="shared" si="284"/>
        <v/>
      </c>
      <c r="O1544" s="19"/>
      <c r="P1544" s="343"/>
      <c r="Q1544" s="343"/>
      <c r="R1544" s="343"/>
      <c r="S1544" s="343"/>
      <c r="T1544" s="343"/>
      <c r="U1544" s="349"/>
      <c r="V1544" s="349"/>
    </row>
    <row r="1545" spans="1:22" s="534" customFormat="1" ht="12.75" customHeight="1" x14ac:dyDescent="0.3">
      <c r="A1545" s="343"/>
      <c r="B1545" s="15"/>
      <c r="C1545" s="17"/>
      <c r="D1545" s="1386"/>
      <c r="E1545" s="944" t="str">
        <f>Translations!$B$1482</f>
        <v>Genomsnittligt årligt värde</v>
      </c>
      <c r="F1545" s="944"/>
      <c r="G1545" s="944"/>
      <c r="H1545" s="627" t="s">
        <v>1112</v>
      </c>
      <c r="I1545" s="945"/>
      <c r="J1545" s="1439" t="str">
        <f>IF(L1464=47,INDEX(H_SpecialBM!J:J,MATCH($P1545,H_SpecialBM!$Q:$Q,0)),"")</f>
        <v/>
      </c>
      <c r="K1545" s="1440" t="str">
        <f>IF(L1464=47,INDEX(H_SpecialBM!K:K,MATCH($P1545,H_SpecialBM!$Q:$Q,0)),"")</f>
        <v/>
      </c>
      <c r="L1545" s="1440" t="str">
        <f>IF(L1464=47,INDEX(H_SpecialBM!L:L,MATCH($P1545,H_SpecialBM!$Q:$Q,0)),"")</f>
        <v/>
      </c>
      <c r="M1545" s="1440" t="str">
        <f>IF(L1464=47,INDEX(H_SpecialBM!M:M,MATCH($P1545,H_SpecialBM!$Q:$Q,0)),"")</f>
        <v/>
      </c>
      <c r="N1545" s="1441" t="str">
        <f>IF(L1464=47,INDEX(H_SpecialBM!N:N,MATCH($P1545,H_SpecialBM!$Q:$Q,0)),"")</f>
        <v/>
      </c>
      <c r="O1545" s="19"/>
      <c r="P1545" s="165" t="str">
        <f>EUconst_CNTR_VCMInitial &amp; INDEX(EUconst_BMlistNames,47)</f>
        <v>VCMIni_Vinylkloridmonomer</v>
      </c>
      <c r="Q1545" s="343"/>
      <c r="R1545" s="343"/>
      <c r="S1545" s="343"/>
      <c r="T1545" s="343"/>
      <c r="U1545" s="349"/>
      <c r="V1545" s="349"/>
    </row>
    <row r="1546" spans="1:22" s="534" customFormat="1" ht="12.75" customHeight="1" x14ac:dyDescent="0.3">
      <c r="A1546" s="343"/>
      <c r="B1546" s="15"/>
      <c r="C1546" s="17"/>
      <c r="D1546" s="1386"/>
      <c r="E1546" s="947" t="str">
        <f>Translations!$B$1571</f>
        <v>Ändring jämfört med värde enligt nationella genomförandeåtgärder</v>
      </c>
      <c r="F1546" s="947"/>
      <c r="G1546" s="947"/>
      <c r="H1546" s="1370" t="s">
        <v>1112</v>
      </c>
      <c r="I1546" s="1371"/>
      <c r="J1546" s="1415" t="str">
        <f>IF(L1464=47,INDEX(H_SpecialBM!J:J,MATCH($P1546,H_SpecialBM!$Q:$Q,0)),"")</f>
        <v/>
      </c>
      <c r="K1546" s="1416" t="str">
        <f>IF(L1464=47,INDEX(H_SpecialBM!K:K,MATCH($P1546,H_SpecialBM!$Q:$Q,0)),"")</f>
        <v/>
      </c>
      <c r="L1546" s="1416" t="str">
        <f>IF(L1464=47,INDEX(H_SpecialBM!L:L,MATCH($P1546,H_SpecialBM!$Q:$Q,0)),"")</f>
        <v/>
      </c>
      <c r="M1546" s="1416" t="str">
        <f>IF(L1464=47,INDEX(H_SpecialBM!M:M,MATCH($P1546,H_SpecialBM!$Q:$Q,0)),"")</f>
        <v/>
      </c>
      <c r="N1546" s="1417" t="str">
        <f>IF(L1464=47,INDEX(H_SpecialBM!N:N,MATCH($P1546,H_SpecialBM!$Q:$Q,0)),"")</f>
        <v/>
      </c>
      <c r="O1546" s="19"/>
      <c r="P1546" s="165" t="str">
        <f>EUconst_CNTR_RelThreshold &amp; P1548</f>
        <v>RelThresh_VCMprelim_</v>
      </c>
      <c r="Q1546" s="343"/>
      <c r="R1546" s="343"/>
      <c r="S1546" s="343"/>
      <c r="T1546" s="343"/>
      <c r="U1546" s="349"/>
      <c r="V1546" s="349"/>
    </row>
    <row r="1547" spans="1:22" s="534" customFormat="1" ht="12.75" customHeight="1" x14ac:dyDescent="0.3">
      <c r="A1547" s="343"/>
      <c r="B1547" s="15"/>
      <c r="C1547" s="17"/>
      <c r="D1547" s="1386"/>
      <c r="E1547" s="1418" t="str">
        <f>Translations!$B$1581</f>
        <v>Kriterium 3e: Har relativa tröskelvärden överskridits?</v>
      </c>
      <c r="F1547" s="1418"/>
      <c r="G1547" s="1418"/>
      <c r="H1547" s="1423" t="s">
        <v>1112</v>
      </c>
      <c r="I1547" s="1423"/>
      <c r="J1547" s="1420" t="str">
        <f>IF(L1464=47,INDEX(H_SpecialBM!V:V,MATCH($P1547,H_SpecialBM!$Q:$Q,0)),"")</f>
        <v/>
      </c>
      <c r="K1547" s="1421" t="str">
        <f>IF(L1464=47,INDEX(H_SpecialBM!W:W,MATCH($P1547,H_SpecialBM!$Q:$Q,0)),"")</f>
        <v/>
      </c>
      <c r="L1547" s="1421" t="str">
        <f>IF(L1464=47,INDEX(H_SpecialBM!X:X,MATCH($P1547,H_SpecialBM!$Q:$Q,0)),"")</f>
        <v/>
      </c>
      <c r="M1547" s="1421" t="str">
        <f>IF(L1464=47,INDEX(H_SpecialBM!Y:Y,MATCH($P1547,H_SpecialBM!$Q:$Q,0)),"")</f>
        <v/>
      </c>
      <c r="N1547" s="1422" t="str">
        <f>IF(L1464=47,INDEX(H_SpecialBM!Z:Z,MATCH($P1547,H_SpecialBM!$Q:$Q,0)),"")</f>
        <v/>
      </c>
      <c r="O1547" s="19"/>
      <c r="P1547" s="165" t="str">
        <f>P1546</f>
        <v>RelThresh_VCMprelim_</v>
      </c>
      <c r="Q1547" s="343"/>
      <c r="R1547" s="343"/>
      <c r="S1547" s="343"/>
      <c r="T1547" s="343"/>
      <c r="U1547" s="349"/>
      <c r="V1547" s="349"/>
    </row>
    <row r="1548" spans="1:22" s="534" customFormat="1" ht="12.75" customHeight="1" x14ac:dyDescent="0.3">
      <c r="A1548" s="343" t="str">
        <f>IF(P1548="","ausblenden","")</f>
        <v/>
      </c>
      <c r="B1548" s="15"/>
      <c r="C1548" s="17"/>
      <c r="D1548" s="1386"/>
      <c r="E1548" s="950" t="str">
        <f>Translations!$B$1568</f>
        <v>Preliminärt värde</v>
      </c>
      <c r="F1548" s="950"/>
      <c r="G1548" s="950"/>
      <c r="H1548" s="957" t="s">
        <v>1112</v>
      </c>
      <c r="I1548" s="951"/>
      <c r="J1548" s="1404" t="str">
        <f>IF($L1464=47,IF(ISNUMBER(INDEX(H_SpecialBM!J:J,MATCH($P1548,H_SpecialBM!$Q:$Q,0))),INDEX(H_SpecialBM!J:J,MATCH($P1548,H_SpecialBM!$Q:$Q,0)),1),"")</f>
        <v/>
      </c>
      <c r="K1548" s="1405" t="str">
        <f>IF($L1464=47,IF(ISNUMBER(INDEX(H_SpecialBM!K:K,MATCH($P1548,H_SpecialBM!$Q:$Q,0))),INDEX(H_SpecialBM!K:K,MATCH($P1548,H_SpecialBM!$Q:$Q,0)),1),"")</f>
        <v/>
      </c>
      <c r="L1548" s="1405" t="str">
        <f>IF($L1464=47,IF(ISNUMBER(INDEX(H_SpecialBM!L:L,MATCH($P1548,H_SpecialBM!$Q:$Q,0))),INDEX(H_SpecialBM!L:L,MATCH($P1548,H_SpecialBM!$Q:$Q,0)),1),"")</f>
        <v/>
      </c>
      <c r="M1548" s="1405" t="str">
        <f>IF($L1464=47,IF(ISNUMBER(INDEX(H_SpecialBM!M:M,MATCH($P1548,H_SpecialBM!$Q:$Q,0))),INDEX(H_SpecialBM!M:M,MATCH($P1548,H_SpecialBM!$Q:$Q,0)),1),"")</f>
        <v/>
      </c>
      <c r="N1548" s="1406" t="str">
        <f>IF($L1464=47,IF(ISNUMBER(INDEX(H_SpecialBM!N:N,MATCH($P1548,H_SpecialBM!$Q:$Q,0))),INDEX(H_SpecialBM!N:N,MATCH($P1548,H_SpecialBM!$Q:$Q,0)),1),"")</f>
        <v/>
      </c>
      <c r="O1548" s="19"/>
      <c r="P1548" s="165" t="str">
        <f>EUconst_CNTR_VCMprelim</f>
        <v>VCMprelim_</v>
      </c>
      <c r="Q1548" s="343"/>
      <c r="R1548" s="343"/>
      <c r="S1548" s="343"/>
      <c r="T1548" s="343"/>
      <c r="U1548" s="349"/>
      <c r="V1548" s="349"/>
    </row>
    <row r="1549" spans="1:22" s="534" customFormat="1" ht="12.75" customHeight="1" x14ac:dyDescent="0.3">
      <c r="A1549" s="343"/>
      <c r="B1549" s="15"/>
      <c r="C1549" s="17"/>
      <c r="D1549" s="1386"/>
      <c r="E1549" s="514" t="str">
        <f>Translations!$B$1565</f>
        <v>Preliminärt tilldelningsvärde</v>
      </c>
      <c r="F1549" s="514"/>
      <c r="G1549" s="514"/>
      <c r="H1549" s="129" t="str">
        <f>EUconst_EUA</f>
        <v>EUA</v>
      </c>
      <c r="I1549" s="1151"/>
      <c r="J1549" s="1131" t="str">
        <f>IF(J1548="","",MAX(0,ROUND((SUM($M1464)*SUM(J1540)*SUM(J1544)*SUM(J1548)-SUM(J1541)-SUM(J1542)+SUM(J1543))*IF($H1464=TRUE,1,J$2517),0)))</f>
        <v/>
      </c>
      <c r="K1549" s="421" t="str">
        <f>IF(K1548="","",MAX(0,ROUND((SUM($M1464)*SUM(K1540)*SUM(K1544)*SUM(K1548)-SUM(K1541)-SUM(K1542)+SUM(K1543))*IF($H1464=TRUE,1,K$2517),0)))</f>
        <v/>
      </c>
      <c r="L1549" s="421" t="str">
        <f>IF(L1548="","",MAX(0,ROUND((SUM($M1464)*SUM(L1540)*SUM(L1544)*SUM(L1548)-SUM(L1541)-SUM(L1542)+SUM(L1543))*IF($H1464=TRUE,1,L$2517),0)))</f>
        <v/>
      </c>
      <c r="M1549" s="421" t="str">
        <f>IF(M1548="","",MAX(0,ROUND((SUM($M1464)*SUM(M1540)*SUM(M1544)*SUM(M1548)-SUM(M1541)-SUM(M1542)+SUM(M1543))*IF($H1464=TRUE,1,M$2517),0)))</f>
        <v/>
      </c>
      <c r="N1549" s="967" t="str">
        <f>IF(N1548="","",MAX(0,ROUND((SUM($M1464)*SUM(N1540)*SUM(N1544)*SUM(N1548)-SUM(N1541)-SUM(N1542)+SUM(N1543))*IF($H1464=TRUE,1,N$2517),0)))</f>
        <v/>
      </c>
      <c r="O1549" s="19"/>
      <c r="P1549" s="343"/>
      <c r="Q1549" s="343"/>
      <c r="R1549" s="343"/>
      <c r="S1549" s="343"/>
      <c r="T1549" s="343"/>
      <c r="U1549" s="349"/>
      <c r="V1549" s="349"/>
    </row>
    <row r="1550" spans="1:22" s="534" customFormat="1" ht="12.75" customHeight="1" x14ac:dyDescent="0.3">
      <c r="A1550" s="343"/>
      <c r="B1550" s="15"/>
      <c r="C1550" s="17"/>
      <c r="D1550" s="1386"/>
      <c r="E1550" s="514" t="str">
        <f>Translations!$B$1569</f>
        <v>Skillnad i tilldelning</v>
      </c>
      <c r="F1550" s="514"/>
      <c r="G1550" s="514"/>
      <c r="H1550" s="129" t="str">
        <f>EUconst_EUA</f>
        <v>EUA</v>
      </c>
      <c r="I1550" s="1151"/>
      <c r="J1550" s="1131" t="str">
        <f>IF(J1549="","",ABS(SUM(J1549)-SUM(J1481)))</f>
        <v/>
      </c>
      <c r="K1550" s="421" t="str">
        <f>IF(K1549="","",ABS(SUM(K1549)-SUM(K1481)))</f>
        <v/>
      </c>
      <c r="L1550" s="421" t="str">
        <f>IF(L1549="","",ABS(SUM(L1549)-SUM(L1481)))</f>
        <v/>
      </c>
      <c r="M1550" s="421" t="str">
        <f>IF(M1549="","",ABS(SUM(M1549)-SUM(M1481)))</f>
        <v/>
      </c>
      <c r="N1550" s="967" t="str">
        <f>IF(N1549="","",ABS(SUM(N1549)-SUM(N1481)))</f>
        <v/>
      </c>
      <c r="O1550" s="19"/>
      <c r="P1550" s="343"/>
      <c r="Q1550" s="343"/>
      <c r="R1550" s="343"/>
      <c r="S1550" s="343"/>
      <c r="T1550" s="343"/>
      <c r="U1550" s="349"/>
      <c r="V1550" s="349"/>
    </row>
    <row r="1551" spans="1:22" s="534" customFormat="1" ht="12.75" customHeight="1" x14ac:dyDescent="0.3">
      <c r="A1551" s="343"/>
      <c r="B1551" s="15"/>
      <c r="C1551" s="17"/>
      <c r="D1551" s="1386"/>
      <c r="E1551" s="1419" t="str">
        <f>Translations!$B$1582</f>
        <v>Kriterium 4e: Är skillnaden minst 100 utsläppsrätter?</v>
      </c>
      <c r="F1551" s="514"/>
      <c r="G1551" s="514"/>
      <c r="H1551" s="1424" t="s">
        <v>1112</v>
      </c>
      <c r="I1551" s="1425"/>
      <c r="J1551" s="1426" t="str">
        <f>IF(J1550="","",J1550&gt;=100)</f>
        <v/>
      </c>
      <c r="K1551" s="1427" t="str">
        <f>IF(K1550="","",K1550&gt;=100)</f>
        <v/>
      </c>
      <c r="L1551" s="1427" t="str">
        <f>IF(L1550="","",L1550&gt;=100)</f>
        <v/>
      </c>
      <c r="M1551" s="1427" t="str">
        <f>IF(M1550="","",M1550&gt;=100)</f>
        <v/>
      </c>
      <c r="N1551" s="1428" t="str">
        <f>IF(N1550="","",N1550&gt;=100)</f>
        <v/>
      </c>
      <c r="O1551" s="19"/>
      <c r="P1551" s="165" t="str">
        <f>EUconst_CNTR_100EUA_VCM&amp;I1488</f>
        <v>EUA100VCM_</v>
      </c>
      <c r="Q1551" s="343"/>
      <c r="R1551" s="343"/>
      <c r="S1551" s="343"/>
      <c r="T1551" s="343"/>
      <c r="U1551" s="349"/>
      <c r="V1551" s="349"/>
    </row>
    <row r="1552" spans="1:22" s="534" customFormat="1" ht="5.15" customHeight="1" x14ac:dyDescent="0.3">
      <c r="A1552" s="343"/>
      <c r="B1552" s="15"/>
      <c r="C1552" s="17"/>
      <c r="D1552" s="1386"/>
      <c r="E1552" s="15"/>
      <c r="F1552" s="15"/>
      <c r="G1552" s="15"/>
      <c r="H1552" s="15"/>
      <c r="I1552" s="941"/>
      <c r="J1552" s="15"/>
      <c r="K1552" s="15"/>
      <c r="L1552" s="15"/>
      <c r="M1552" s="15"/>
      <c r="N1552" s="968"/>
      <c r="O1552" s="19"/>
      <c r="P1552" s="343"/>
      <c r="Q1552" s="343"/>
      <c r="R1552" s="343"/>
      <c r="S1552" s="343"/>
      <c r="T1552" s="343"/>
      <c r="U1552" s="349"/>
      <c r="V1552" s="349"/>
    </row>
    <row r="1553" spans="1:22" s="534" customFormat="1" ht="12.75" customHeight="1" x14ac:dyDescent="0.3">
      <c r="A1553" s="343"/>
      <c r="B1553" s="15"/>
      <c r="C1553" s="17"/>
      <c r="D1553" s="1386"/>
      <c r="E1553" s="42" t="str">
        <f>Translations!$B$1583</f>
        <v>Ändringar: Facklad restgas</v>
      </c>
      <c r="F1553" s="188"/>
      <c r="G1553" s="188"/>
      <c r="H1553" s="30" t="str">
        <f>EUconst_Unit</f>
        <v>Enhet</v>
      </c>
      <c r="I1553" s="1157"/>
      <c r="J1553" s="1065">
        <f>J$2596</f>
        <v>2021</v>
      </c>
      <c r="K1553" s="350">
        <f>K$2596</f>
        <v>2022</v>
      </c>
      <c r="L1553" s="350">
        <f>L$2596</f>
        <v>2023</v>
      </c>
      <c r="M1553" s="350">
        <f>M$2596</f>
        <v>2024</v>
      </c>
      <c r="N1553" s="966">
        <f>N$2596</f>
        <v>2025</v>
      </c>
      <c r="O1553" s="19"/>
      <c r="P1553" s="343"/>
      <c r="Q1553" s="343"/>
      <c r="R1553" s="343"/>
      <c r="S1553" s="343"/>
      <c r="T1553" s="343"/>
      <c r="U1553" s="349"/>
      <c r="V1553" s="349"/>
    </row>
    <row r="1554" spans="1:22" s="534" customFormat="1" ht="12.75" hidden="1" customHeight="1" x14ac:dyDescent="0.3">
      <c r="A1554" s="343" t="str">
        <f>IF(P1554="","ausblenden","")</f>
        <v>ausblenden</v>
      </c>
      <c r="B1554" s="15"/>
      <c r="C1554" s="17"/>
      <c r="D1554" s="1386"/>
      <c r="E1554" s="514" t="s">
        <v>1918</v>
      </c>
      <c r="F1554" s="514"/>
      <c r="G1554" s="514"/>
      <c r="H1554" s="917" t="str">
        <f>H1540</f>
        <v>ton</v>
      </c>
      <c r="I1554" s="514"/>
      <c r="J1554" s="1152" t="str">
        <f>J1475</f>
        <v/>
      </c>
      <c r="K1554" s="943" t="str">
        <f t="shared" ref="K1554:K1555" si="285">J1570</f>
        <v/>
      </c>
      <c r="L1554" s="943" t="str">
        <f t="shared" ref="L1554:L1555" si="286">K1570</f>
        <v/>
      </c>
      <c r="M1554" s="943" t="str">
        <f t="shared" ref="M1554:M1555" si="287">L1570</f>
        <v/>
      </c>
      <c r="N1554" s="1389" t="str">
        <f t="shared" ref="N1554:N1555" si="288">M1570</f>
        <v/>
      </c>
      <c r="O1554" s="19"/>
      <c r="P1554" s="343"/>
      <c r="Q1554" s="343"/>
      <c r="R1554" s="343"/>
      <c r="S1554" s="343"/>
      <c r="T1554" s="343"/>
      <c r="U1554" s="349"/>
      <c r="V1554" s="349"/>
    </row>
    <row r="1555" spans="1:22" s="534" customFormat="1" ht="12.75" hidden="1" customHeight="1" x14ac:dyDescent="0.3">
      <c r="A1555" s="343" t="str">
        <f>IF(P1555="","ausblenden","")</f>
        <v>ausblenden</v>
      </c>
      <c r="B1555" s="15"/>
      <c r="C1555" s="17"/>
      <c r="D1555" s="1386"/>
      <c r="E1555" s="944" t="s">
        <v>339</v>
      </c>
      <c r="F1555" s="944"/>
      <c r="G1555" s="944"/>
      <c r="H1555" s="954" t="str">
        <f>EUconst_EUA</f>
        <v>EUA</v>
      </c>
      <c r="I1555" s="945"/>
      <c r="J1555" s="1209" t="str">
        <f>J1476</f>
        <v/>
      </c>
      <c r="K1555" s="1210" t="str">
        <f t="shared" si="285"/>
        <v/>
      </c>
      <c r="L1555" s="1210" t="str">
        <f t="shared" si="286"/>
        <v/>
      </c>
      <c r="M1555" s="1210" t="str">
        <f t="shared" si="287"/>
        <v/>
      </c>
      <c r="N1555" s="1390" t="str">
        <f t="shared" si="288"/>
        <v/>
      </c>
      <c r="O1555" s="19"/>
      <c r="P1555" s="343"/>
      <c r="Q1555" s="343"/>
      <c r="R1555" s="343"/>
      <c r="S1555" s="343"/>
      <c r="T1555" s="343"/>
      <c r="U1555" s="349"/>
      <c r="V1555" s="349"/>
    </row>
    <row r="1556" spans="1:22" s="534" customFormat="1" ht="12.75" customHeight="1" x14ac:dyDescent="0.3">
      <c r="A1556" s="343"/>
      <c r="B1556" s="15"/>
      <c r="C1556" s="17"/>
      <c r="D1556" s="1386"/>
      <c r="E1556" s="944" t="str">
        <f>Translations!$B$1482</f>
        <v>Genomsnittligt årligt värde</v>
      </c>
      <c r="F1556" s="944"/>
      <c r="G1556" s="944"/>
      <c r="H1556" s="627" t="str">
        <f>EUconst_tCO2</f>
        <v>t CO2</v>
      </c>
      <c r="I1556" s="945"/>
      <c r="J1556" s="1161" t="str">
        <f>INDEX(F_ProductBM!J:J,MATCH($P1556,F_ProductBM!$Q:$Q,0))</f>
        <v/>
      </c>
      <c r="K1556" s="946" t="str">
        <f>INDEX(F_ProductBM!K:K,MATCH($P1556,F_ProductBM!$Q:$Q,0))</f>
        <v/>
      </c>
      <c r="L1556" s="946" t="str">
        <f>INDEX(F_ProductBM!L:L,MATCH($P1556,F_ProductBM!$Q:$Q,0))</f>
        <v/>
      </c>
      <c r="M1556" s="946" t="str">
        <f>INDEX(F_ProductBM!M:M,MATCH($P1556,F_ProductBM!$Q:$Q,0))</f>
        <v/>
      </c>
      <c r="N1556" s="1046" t="str">
        <f>INDEX(F_ProductBM!N:N,MATCH($P1556,F_ProductBM!$Q:$Q,0))</f>
        <v/>
      </c>
      <c r="O1556" s="19"/>
      <c r="P1556" s="165" t="str">
        <f>EUconst_CNTR_HALinitial &amp; EUconst_CNTR_WGFlared &amp; I1461</f>
        <v>HALini_WasteGasFlare_</v>
      </c>
      <c r="Q1556" s="343"/>
      <c r="R1556" s="343"/>
      <c r="S1556" s="343"/>
      <c r="T1556" s="343"/>
      <c r="U1556" s="349"/>
      <c r="V1556" s="349"/>
    </row>
    <row r="1557" spans="1:22" s="534" customFormat="1" ht="12.75" customHeight="1" x14ac:dyDescent="0.3">
      <c r="A1557" s="343"/>
      <c r="B1557" s="15"/>
      <c r="C1557" s="17"/>
      <c r="D1557" s="1386"/>
      <c r="E1557" s="947" t="str">
        <f>Translations!$B$1571</f>
        <v>Ändring jämfört med värde enligt nationella genomförandeåtgärder</v>
      </c>
      <c r="F1557" s="947"/>
      <c r="G1557" s="947"/>
      <c r="H1557" s="1442" t="s">
        <v>1112</v>
      </c>
      <c r="I1557" s="1371"/>
      <c r="J1557" s="1415" t="str">
        <f>INDEX(F_ProductBM!J:J,MATCH($P1557,F_ProductBM!$Q:$Q,0))</f>
        <v/>
      </c>
      <c r="K1557" s="1416" t="str">
        <f>INDEX(F_ProductBM!K:K,MATCH($P1557,F_ProductBM!$Q:$Q,0))</f>
        <v/>
      </c>
      <c r="L1557" s="1416" t="str">
        <f>INDEX(F_ProductBM!L:L,MATCH($P1557,F_ProductBM!$Q:$Q,0))</f>
        <v/>
      </c>
      <c r="M1557" s="1416" t="str">
        <f>INDEX(F_ProductBM!M:M,MATCH($P1557,F_ProductBM!$Q:$Q,0))</f>
        <v/>
      </c>
      <c r="N1557" s="1417" t="str">
        <f>INDEX(F_ProductBM!N:N,MATCH($P1557,F_ProductBM!$Q:$Q,0))</f>
        <v/>
      </c>
      <c r="O1557" s="19"/>
      <c r="P1557" s="165" t="str">
        <f>EUconst_CNTR_RelThreshold &amp; P1559</f>
        <v>RelThresh_HALprelim_WasteGasFlare_</v>
      </c>
      <c r="Q1557" s="343"/>
      <c r="R1557" s="343"/>
      <c r="S1557" s="343"/>
      <c r="T1557" s="343"/>
      <c r="U1557" s="349"/>
      <c r="V1557" s="349"/>
    </row>
    <row r="1558" spans="1:22" s="534" customFormat="1" ht="12.75" customHeight="1" x14ac:dyDescent="0.3">
      <c r="A1558" s="343"/>
      <c r="B1558" s="15"/>
      <c r="C1558" s="17"/>
      <c r="D1558" s="1386"/>
      <c r="E1558" s="1418" t="str">
        <f>Translations!$B$1584</f>
        <v>Kriterium 3f: Har relativa tröskelvärden överskridits?</v>
      </c>
      <c r="F1558" s="1418"/>
      <c r="G1558" s="1418"/>
      <c r="H1558" s="1444" t="s">
        <v>1112</v>
      </c>
      <c r="I1558" s="1423"/>
      <c r="J1558" s="1420" t="str">
        <f>INDEX(F_ProductBM!V:V,MATCH($P1558,F_ProductBM!$Q:$Q,0))</f>
        <v/>
      </c>
      <c r="K1558" s="1421" t="str">
        <f>INDEX(F_ProductBM!W:W,MATCH($P1558,F_ProductBM!$Q:$Q,0))</f>
        <v/>
      </c>
      <c r="L1558" s="1421" t="str">
        <f>INDEX(F_ProductBM!X:X,MATCH($P1558,F_ProductBM!$Q:$Q,0))</f>
        <v/>
      </c>
      <c r="M1558" s="1421" t="str">
        <f>INDEX(F_ProductBM!Y:Y,MATCH($P1558,F_ProductBM!$Q:$Q,0))</f>
        <v/>
      </c>
      <c r="N1558" s="1422" t="str">
        <f>INDEX(F_ProductBM!Z:Z,MATCH($P1558,F_ProductBM!$Q:$Q,0))</f>
        <v/>
      </c>
      <c r="O1558" s="19"/>
      <c r="P1558" s="165" t="str">
        <f>P1557</f>
        <v>RelThresh_HALprelim_WasteGasFlare_</v>
      </c>
      <c r="Q1558" s="343"/>
      <c r="R1558" s="343"/>
      <c r="S1558" s="343"/>
      <c r="T1558" s="343"/>
      <c r="U1558" s="349"/>
      <c r="V1558" s="349"/>
    </row>
    <row r="1559" spans="1:22" s="534" customFormat="1" ht="12.75" customHeight="1" x14ac:dyDescent="0.3">
      <c r="A1559" s="343" t="str">
        <f>IF(P1559="","ausblenden","")</f>
        <v/>
      </c>
      <c r="B1559" s="15"/>
      <c r="C1559" s="17"/>
      <c r="D1559" s="1386"/>
      <c r="E1559" s="950" t="str">
        <f>Translations!$B$1568</f>
        <v>Preliminärt värde</v>
      </c>
      <c r="F1559" s="950"/>
      <c r="G1559" s="950"/>
      <c r="H1559" s="957" t="str">
        <f>EUconst_tCO2</f>
        <v>t CO2</v>
      </c>
      <c r="I1559" s="951"/>
      <c r="J1559" s="1373" t="str">
        <f>IF(OR($I1461="",CNTR_SubPeriod=1),"",INDEX(F_ProductBM!J:J,MATCH($P1559,F_ProductBM!$Q:$Q,0)))</f>
        <v/>
      </c>
      <c r="K1559" s="1374" t="str">
        <f>IF(OR($I1461="",CNTR_SubPeriod=1),"",INDEX(F_ProductBM!K:K,MATCH($P1559,F_ProductBM!$Q:$Q,0)))</f>
        <v/>
      </c>
      <c r="L1559" s="1374" t="str">
        <f>IF(OR($I1461="",CNTR_SubPeriod=1),"",INDEX(F_ProductBM!L:L,MATCH($P1559,F_ProductBM!$Q:$Q,0)))</f>
        <v/>
      </c>
      <c r="M1559" s="1374" t="str">
        <f>IF(OR($I1461="",CNTR_SubPeriod=1),"",INDEX(F_ProductBM!M:M,MATCH($P1559,F_ProductBM!$Q:$Q,0)))</f>
        <v/>
      </c>
      <c r="N1559" s="1395" t="str">
        <f>IF(OR($I1461="",CNTR_SubPeriod=1),"",INDEX(F_ProductBM!N:N,MATCH($P1559,F_ProductBM!$Q:$Q,0)))</f>
        <v/>
      </c>
      <c r="O1559" s="19"/>
      <c r="P1559" s="165" t="str">
        <f>EUconst_CNTR_HALprelim&amp;EUconst_CNTR_WGFlared&amp;$I1461</f>
        <v>HALprelim_WasteGasFlare_</v>
      </c>
      <c r="Q1559" s="343"/>
      <c r="R1559" s="343"/>
      <c r="S1559" s="343"/>
      <c r="T1559" s="343"/>
      <c r="U1559" s="349"/>
      <c r="V1559" s="349"/>
    </row>
    <row r="1560" spans="1:22" s="534" customFormat="1" ht="12.75" hidden="1" customHeight="1" x14ac:dyDescent="0.3">
      <c r="A1560" s="343" t="str">
        <f>IF(P1560="","ausblenden","")</f>
        <v>ausblenden</v>
      </c>
      <c r="B1560" s="15"/>
      <c r="C1560" s="17"/>
      <c r="D1560" s="1386"/>
      <c r="E1560" s="947" t="s">
        <v>1527</v>
      </c>
      <c r="F1560" s="947"/>
      <c r="G1560" s="947"/>
      <c r="H1560" s="955" t="str">
        <f>EUconst_EUA</f>
        <v>EUA</v>
      </c>
      <c r="I1560" s="948"/>
      <c r="J1560" s="1165" t="str">
        <f>J1478</f>
        <v/>
      </c>
      <c r="K1560" s="975" t="str">
        <f t="shared" ref="K1560:K1562" si="289">J1573</f>
        <v/>
      </c>
      <c r="L1560" s="975" t="str">
        <f t="shared" ref="L1560:L1562" si="290">K1573</f>
        <v/>
      </c>
      <c r="M1560" s="975" t="str">
        <f t="shared" ref="M1560:M1562" si="291">L1573</f>
        <v/>
      </c>
      <c r="N1560" s="1391" t="str">
        <f t="shared" ref="N1560:N1562" si="292">M1573</f>
        <v/>
      </c>
      <c r="O1560" s="19"/>
      <c r="P1560" s="343"/>
      <c r="Q1560" s="343"/>
      <c r="R1560" s="343"/>
      <c r="S1560" s="343"/>
      <c r="T1560" s="343"/>
      <c r="U1560" s="349"/>
      <c r="V1560" s="349"/>
    </row>
    <row r="1561" spans="1:22" s="534" customFormat="1" ht="12.75" hidden="1" customHeight="1" x14ac:dyDescent="0.3">
      <c r="A1561" s="343" t="str">
        <f>IF(P1561="","ausblenden","")</f>
        <v>ausblenden</v>
      </c>
      <c r="B1561" s="15"/>
      <c r="C1561" s="17"/>
      <c r="D1561" s="1386"/>
      <c r="E1561" s="947" t="s">
        <v>1526</v>
      </c>
      <c r="F1561" s="947"/>
      <c r="G1561" s="947"/>
      <c r="H1561" s="956" t="s">
        <v>1112</v>
      </c>
      <c r="I1561" s="948"/>
      <c r="J1561" s="1211" t="str">
        <f>J1479</f>
        <v/>
      </c>
      <c r="K1561" s="1212" t="str">
        <f t="shared" si="289"/>
        <v/>
      </c>
      <c r="L1561" s="1212" t="str">
        <f t="shared" si="290"/>
        <v/>
      </c>
      <c r="M1561" s="1212" t="str">
        <f t="shared" si="291"/>
        <v/>
      </c>
      <c r="N1561" s="1392" t="str">
        <f t="shared" si="292"/>
        <v/>
      </c>
      <c r="O1561" s="19"/>
      <c r="P1561" s="343"/>
      <c r="Q1561" s="343"/>
      <c r="R1561" s="343"/>
      <c r="S1561" s="343"/>
      <c r="T1561" s="343"/>
      <c r="U1561" s="349"/>
      <c r="V1561" s="349"/>
    </row>
    <row r="1562" spans="1:22" s="534" customFormat="1" ht="12.75" hidden="1" customHeight="1" x14ac:dyDescent="0.3">
      <c r="A1562" s="343" t="str">
        <f>IF(P1562="","ausblenden","")</f>
        <v>ausblenden</v>
      </c>
      <c r="B1562" s="15"/>
      <c r="C1562" s="17"/>
      <c r="D1562" s="1386"/>
      <c r="E1562" s="950" t="s">
        <v>1528</v>
      </c>
      <c r="F1562" s="950"/>
      <c r="G1562" s="950"/>
      <c r="H1562" s="957" t="s">
        <v>1112</v>
      </c>
      <c r="I1562" s="951"/>
      <c r="J1562" s="1213" t="str">
        <f>J1480</f>
        <v/>
      </c>
      <c r="K1562" s="1214" t="str">
        <f t="shared" si="289"/>
        <v/>
      </c>
      <c r="L1562" s="1214" t="str">
        <f t="shared" si="290"/>
        <v/>
      </c>
      <c r="M1562" s="1214" t="str">
        <f t="shared" si="291"/>
        <v/>
      </c>
      <c r="N1562" s="1393" t="str">
        <f t="shared" si="292"/>
        <v/>
      </c>
      <c r="O1562" s="19"/>
      <c r="P1562" s="343"/>
      <c r="Q1562" s="343"/>
      <c r="R1562" s="343"/>
      <c r="S1562" s="343"/>
      <c r="T1562" s="343"/>
      <c r="U1562" s="349"/>
      <c r="V1562" s="349"/>
    </row>
    <row r="1563" spans="1:22" s="534" customFormat="1" ht="12.75" customHeight="1" x14ac:dyDescent="0.3">
      <c r="A1563" s="343"/>
      <c r="B1563" s="15"/>
      <c r="C1563" s="17"/>
      <c r="D1563" s="1386"/>
      <c r="E1563" s="514" t="str">
        <f>Translations!$B$1565</f>
        <v>Preliminärt tilldelningsvärde</v>
      </c>
      <c r="F1563" s="514"/>
      <c r="G1563" s="514"/>
      <c r="H1563" s="129" t="str">
        <f>EUconst_EUA</f>
        <v>EUA</v>
      </c>
      <c r="I1563" s="1151"/>
      <c r="J1563" s="1131" t="str">
        <f>IF(J1559="","",MAX(0,ROUND((SUM($M1464)*SUM(J1554)*SUM(J1561)*SUM(J1562)-SUM(J1555)-SUM(J1559)+SUM(J1560))*IF($H1464=TRUE,1,J$2517),0)))</f>
        <v/>
      </c>
      <c r="K1563" s="421" t="str">
        <f>IF(K1559="","",MAX(0,ROUND((SUM($M1464)*SUM(K1554)*SUM(K1561)*SUM(K1562)-SUM(K1555)-SUM(K1559)+SUM(K1560))*IF($H1464=TRUE,1,K$2517),0)))</f>
        <v/>
      </c>
      <c r="L1563" s="421" t="str">
        <f>IF(L1559="","",MAX(0,ROUND((SUM($M1464)*SUM(L1554)*SUM(L1561)*SUM(L1562)-SUM(L1555)-SUM(L1559)+SUM(L1560))*IF($H1464=TRUE,1,L$2517),0)))</f>
        <v/>
      </c>
      <c r="M1563" s="421" t="str">
        <f>IF(M1559="","",MAX(0,ROUND((SUM($M1464)*SUM(M1554)*SUM(M1561)*SUM(M1562)-SUM(M1555)-SUM(M1559)+SUM(M1560))*IF($H1464=TRUE,1,M$2517),0)))</f>
        <v/>
      </c>
      <c r="N1563" s="967" t="str">
        <f>IF(N1559="","",MAX(0,ROUND((SUM($M1464)*SUM(N1554)*SUM(N1561)*SUM(N1562)-SUM(N1555)-SUM(N1559)+SUM(N1560))*IF($H1464=TRUE,1,N$2517),0)))</f>
        <v/>
      </c>
      <c r="O1563" s="19"/>
      <c r="P1563" s="343"/>
      <c r="Q1563" s="343"/>
      <c r="R1563" s="343"/>
      <c r="S1563" s="343"/>
      <c r="T1563" s="343"/>
      <c r="U1563" s="349"/>
      <c r="V1563" s="349"/>
    </row>
    <row r="1564" spans="1:22" s="534" customFormat="1" ht="12.75" customHeight="1" x14ac:dyDescent="0.3">
      <c r="A1564" s="343"/>
      <c r="B1564" s="15"/>
      <c r="C1564" s="17"/>
      <c r="D1564" s="1386"/>
      <c r="E1564" s="514" t="str">
        <f>Translations!$B$1569</f>
        <v>Skillnad i tilldelning</v>
      </c>
      <c r="F1564" s="514"/>
      <c r="G1564" s="514"/>
      <c r="H1564" s="129" t="str">
        <f>EUconst_EUA</f>
        <v>EUA</v>
      </c>
      <c r="I1564" s="1151"/>
      <c r="J1564" s="1131" t="str">
        <f>IF(J1563="","",ABS(SUM(J1563)-SUM(J1481)))</f>
        <v/>
      </c>
      <c r="K1564" s="421" t="str">
        <f>IF(K1563="","",ABS(SUM(K1563)-SUM(K1481)))</f>
        <v/>
      </c>
      <c r="L1564" s="421" t="str">
        <f>IF(L1563="","",ABS(SUM(L1563)-SUM(L1481)))</f>
        <v/>
      </c>
      <c r="M1564" s="421" t="str">
        <f>IF(M1563="","",ABS(SUM(M1563)-SUM(M1481)))</f>
        <v/>
      </c>
      <c r="N1564" s="967" t="str">
        <f>IF(N1563="","",ABS(SUM(N1563)-SUM(N1481)))</f>
        <v/>
      </c>
      <c r="O1564" s="19"/>
      <c r="P1564" s="343"/>
      <c r="Q1564" s="343"/>
      <c r="R1564" s="343"/>
      <c r="S1564" s="343"/>
      <c r="T1564" s="343"/>
      <c r="U1564" s="349"/>
      <c r="V1564" s="349"/>
    </row>
    <row r="1565" spans="1:22" s="534" customFormat="1" ht="12.75" customHeight="1" x14ac:dyDescent="0.3">
      <c r="A1565" s="343"/>
      <c r="B1565" s="15"/>
      <c r="C1565" s="17"/>
      <c r="D1565" s="1386"/>
      <c r="E1565" s="1419" t="str">
        <f>Translations!$B$1585</f>
        <v>Kriterium 4f: Är skillnaden minst 100 utsläppsrätter?</v>
      </c>
      <c r="F1565" s="514"/>
      <c r="G1565" s="514"/>
      <c r="H1565" s="1424" t="s">
        <v>1112</v>
      </c>
      <c r="I1565" s="1425"/>
      <c r="J1565" s="1426" t="str">
        <f>IF(J1564="","",J1564&gt;=100)</f>
        <v/>
      </c>
      <c r="K1565" s="1427" t="str">
        <f>IF(K1564="","",K1564&gt;=100)</f>
        <v/>
      </c>
      <c r="L1565" s="1427" t="str">
        <f>IF(L1564="","",L1564&gt;=100)</f>
        <v/>
      </c>
      <c r="M1565" s="1427" t="str">
        <f>IF(M1564="","",M1564&gt;=100)</f>
        <v/>
      </c>
      <c r="N1565" s="1428" t="str">
        <f>IF(N1564="","",N1564&gt;=100)</f>
        <v/>
      </c>
      <c r="O1565" s="19"/>
      <c r="P1565" s="165" t="str">
        <f>EUconst_CNTR_100EUA_WGFlare&amp;I1461</f>
        <v>EUA100WGFlare_</v>
      </c>
      <c r="Q1565" s="343"/>
      <c r="R1565" s="343"/>
      <c r="S1565" s="343"/>
      <c r="T1565" s="343"/>
      <c r="U1565" s="349"/>
      <c r="V1565" s="349"/>
    </row>
    <row r="1566" spans="1:22" s="534" customFormat="1" ht="12.75" customHeight="1" thickBot="1" x14ac:dyDescent="0.35">
      <c r="A1566" s="343"/>
      <c r="B1566" s="15"/>
      <c r="C1566" s="17"/>
      <c r="D1566" s="1398"/>
      <c r="E1566" s="973"/>
      <c r="F1566" s="973"/>
      <c r="G1566" s="973"/>
      <c r="H1566" s="973"/>
      <c r="I1566" s="1399"/>
      <c r="J1566" s="973"/>
      <c r="K1566" s="973"/>
      <c r="L1566" s="973"/>
      <c r="M1566" s="973"/>
      <c r="N1566" s="974"/>
      <c r="O1566" s="19"/>
      <c r="P1566" s="343"/>
      <c r="Q1566" s="343"/>
      <c r="R1566" s="343"/>
      <c r="S1566" s="343"/>
      <c r="T1566" s="343"/>
      <c r="U1566" s="349"/>
      <c r="V1566" s="349"/>
    </row>
    <row r="1567" spans="1:22" s="534" customFormat="1" ht="5.15" customHeight="1" thickBot="1" x14ac:dyDescent="0.35">
      <c r="A1567" s="343"/>
      <c r="B1567" s="15"/>
      <c r="C1567" s="17"/>
      <c r="D1567" s="17"/>
      <c r="E1567" s="15"/>
      <c r="F1567" s="15"/>
      <c r="G1567" s="15"/>
      <c r="H1567" s="15"/>
      <c r="I1567" s="941"/>
      <c r="J1567" s="15"/>
      <c r="K1567" s="15"/>
      <c r="L1567" s="15"/>
      <c r="M1567" s="15"/>
      <c r="N1567" s="15"/>
      <c r="O1567" s="19"/>
      <c r="P1567" s="343"/>
      <c r="Q1567" s="343"/>
      <c r="R1567" s="343"/>
      <c r="S1567" s="343"/>
      <c r="T1567" s="343"/>
      <c r="U1567" s="349"/>
      <c r="V1567" s="349"/>
    </row>
    <row r="1568" spans="1:22" s="534" customFormat="1" ht="5.15" customHeight="1" x14ac:dyDescent="0.25">
      <c r="A1568" s="343"/>
      <c r="B1568" s="15"/>
      <c r="C1568" s="15"/>
      <c r="D1568" s="961"/>
      <c r="E1568" s="962"/>
      <c r="F1568" s="962"/>
      <c r="G1568" s="962"/>
      <c r="H1568" s="962"/>
      <c r="I1568" s="963"/>
      <c r="J1568" s="962"/>
      <c r="K1568" s="962"/>
      <c r="L1568" s="962"/>
      <c r="M1568" s="962"/>
      <c r="N1568" s="964"/>
      <c r="O1568" s="19"/>
      <c r="P1568" s="343"/>
      <c r="Q1568" s="343"/>
      <c r="R1568" s="343"/>
      <c r="S1568" s="343"/>
      <c r="T1568" s="7"/>
      <c r="U1568" s="349"/>
      <c r="V1568" s="349"/>
    </row>
    <row r="1569" spans="1:22" s="534" customFormat="1" ht="13" x14ac:dyDescent="0.25">
      <c r="A1569" s="343"/>
      <c r="B1569" s="15"/>
      <c r="C1569" s="15"/>
      <c r="D1569" s="965"/>
      <c r="E1569" s="39" t="str">
        <f>Translations!$B$1586</f>
        <v>Faktiska använda värden</v>
      </c>
      <c r="F1569" s="15"/>
      <c r="G1569" s="15"/>
      <c r="H1569" s="30" t="str">
        <f>EUconst_Unit</f>
        <v>Enhet</v>
      </c>
      <c r="I1569" s="1614" t="str">
        <f>Translations!$B$1510</f>
        <v>Basvärde</v>
      </c>
      <c r="J1569" s="1065">
        <f>J$2596</f>
        <v>2021</v>
      </c>
      <c r="K1569" s="350">
        <f>K$2596</f>
        <v>2022</v>
      </c>
      <c r="L1569" s="350">
        <f>L$2596</f>
        <v>2023</v>
      </c>
      <c r="M1569" s="350">
        <f>M$2596</f>
        <v>2024</v>
      </c>
      <c r="N1569" s="966">
        <f>N$2596</f>
        <v>2025</v>
      </c>
      <c r="O1569" s="19"/>
      <c r="P1569" s="343"/>
      <c r="Q1569" s="343"/>
      <c r="R1569" s="343"/>
      <c r="S1569" s="297" t="s">
        <v>1846</v>
      </c>
      <c r="T1569" s="7"/>
      <c r="U1569" s="349"/>
      <c r="V1569" s="349"/>
    </row>
    <row r="1570" spans="1:22" s="534" customFormat="1" x14ac:dyDescent="0.25">
      <c r="A1570" s="343"/>
      <c r="B1570" s="15"/>
      <c r="C1570" s="15"/>
      <c r="D1570" s="965"/>
      <c r="E1570" s="944" t="str">
        <f>Translations!$B$1587</f>
        <v>Verksamhetsnivå</v>
      </c>
      <c r="F1570" s="944"/>
      <c r="G1570" s="944"/>
      <c r="H1570" s="1443" t="str">
        <f>H1554</f>
        <v>ton</v>
      </c>
      <c r="I1570" s="1615" t="str">
        <f>IF($I1461="","",IF(T1576&gt;=$H$2595,0,S1570))</f>
        <v/>
      </c>
      <c r="J1570" s="1161" t="str">
        <f>IF($I1461="","",INDEX(F_ProductBM!J:J,MATCH($P1570,F_ProductBM!$Q:$Q,0)))</f>
        <v/>
      </c>
      <c r="K1570" s="946" t="str">
        <f>IF($I1461="","",INDEX(F_ProductBM!K:K,MATCH($P1570,F_ProductBM!$Q:$Q,0)))</f>
        <v/>
      </c>
      <c r="L1570" s="946" t="str">
        <f>IF($I1461="","",INDEX(F_ProductBM!L:L,MATCH($P1570,F_ProductBM!$Q:$Q,0)))</f>
        <v/>
      </c>
      <c r="M1570" s="946" t="str">
        <f>IF($I1461="","",INDEX(F_ProductBM!M:M,MATCH($P1570,F_ProductBM!$Q:$Q,0)))</f>
        <v/>
      </c>
      <c r="N1570" s="1046" t="str">
        <f>IF($I1461="","",INDEX(F_ProductBM!N:N,MATCH($P1570,F_ProductBM!$Q:$Q,0)))</f>
        <v/>
      </c>
      <c r="O1570" s="19"/>
      <c r="P1570" s="165" t="str">
        <f>EUconst_CNTR_HALfinal&amp;I1461</f>
        <v>HALfinal_</v>
      </c>
      <c r="Q1570" s="343"/>
      <c r="R1570" s="343"/>
      <c r="S1570" s="1691" t="str">
        <f>IF($I1461="","",INDEX(F_ProductBM!I:I,MATCH($P1570,F_ProductBM!$Q:$Q,0)))</f>
        <v/>
      </c>
      <c r="T1570" s="7"/>
      <c r="U1570" s="349"/>
      <c r="V1570" s="349"/>
    </row>
    <row r="1571" spans="1:22" s="534" customFormat="1" x14ac:dyDescent="0.25">
      <c r="A1571" s="343"/>
      <c r="B1571" s="15"/>
      <c r="C1571" s="15"/>
      <c r="D1571" s="965"/>
      <c r="E1571" s="1376" t="str">
        <f>Translations!$B$1036</f>
        <v>Värme utanför ETS</v>
      </c>
      <c r="F1571" s="1376"/>
      <c r="G1571" s="1376"/>
      <c r="H1571" s="1429" t="str">
        <f>EUconst_EUA</f>
        <v>EUA</v>
      </c>
      <c r="I1571" s="1616" t="str">
        <f>IF($I1461="","",IF(YEAR(J1464)&gt;=$H$2595-1,0,S1571))</f>
        <v/>
      </c>
      <c r="J1571" s="1430" t="str">
        <f>IF($I1461="","",INDEX(F_ProductBM!J:J,MATCH($P1571,F_ProductBM!$Q:$Q,0)))</f>
        <v/>
      </c>
      <c r="K1571" s="1431" t="str">
        <f>IF($I1461="","",INDEX(F_ProductBM!K:K,MATCH($P1571,F_ProductBM!$Q:$Q,0)))</f>
        <v/>
      </c>
      <c r="L1571" s="1431" t="str">
        <f>IF($I1461="","",INDEX(F_ProductBM!L:L,MATCH($P1571,F_ProductBM!$Q:$Q,0)))</f>
        <v/>
      </c>
      <c r="M1571" s="1431" t="str">
        <f>IF($I1461="","",INDEX(F_ProductBM!M:M,MATCH($P1571,F_ProductBM!$Q:$Q,0)))</f>
        <v/>
      </c>
      <c r="N1571" s="1432" t="str">
        <f>IF($I1461="","",INDEX(F_ProductBM!N:N,MATCH($P1571,F_ProductBM!$Q:$Q,0)))</f>
        <v/>
      </c>
      <c r="O1571" s="19"/>
      <c r="P1571" s="165" t="str">
        <f>EUconst_CNTR_HEATfinal&amp;I1461</f>
        <v>HEATfinal_</v>
      </c>
      <c r="Q1571" s="343"/>
      <c r="R1571" s="343"/>
      <c r="S1571" s="1692" t="str">
        <f>IF($I1461="","",INDEX(F_ProductBM!I:I,MATCH($P1571,F_ProductBM!$Q:$Q,0)))</f>
        <v/>
      </c>
      <c r="T1571" s="7"/>
      <c r="U1571" s="349"/>
      <c r="V1571" s="349"/>
    </row>
    <row r="1572" spans="1:22" s="534" customFormat="1" x14ac:dyDescent="0.25">
      <c r="A1572" s="343"/>
      <c r="B1572" s="15"/>
      <c r="C1572" s="15"/>
      <c r="D1572" s="965"/>
      <c r="E1572" s="947" t="str">
        <f>Translations!$B$1038</f>
        <v>Wgfacklad</v>
      </c>
      <c r="F1572" s="947"/>
      <c r="G1572" s="947"/>
      <c r="H1572" s="955" t="str">
        <f>EUconst_EUA</f>
        <v>EUA</v>
      </c>
      <c r="I1572" s="1617" t="str">
        <f>IF($I1461="","",IF(T1576&gt;=$H$2595,0,S1572))</f>
        <v/>
      </c>
      <c r="J1572" s="1162" t="str">
        <f>IF($I1461="","",INDEX(F_ProductBM!J:J,MATCH($P1572,F_ProductBM!$Q:$Q,0)))</f>
        <v/>
      </c>
      <c r="K1572" s="949" t="str">
        <f>IF($I1461="","",INDEX(F_ProductBM!K:K,MATCH($P1572,F_ProductBM!$Q:$Q,0)))</f>
        <v/>
      </c>
      <c r="L1572" s="949" t="str">
        <f>IF($I1461="","",INDEX(F_ProductBM!L:L,MATCH($P1572,F_ProductBM!$Q:$Q,0)))</f>
        <v/>
      </c>
      <c r="M1572" s="949" t="str">
        <f>IF($I1461="","",INDEX(F_ProductBM!M:M,MATCH($P1572,F_ProductBM!$Q:$Q,0)))</f>
        <v/>
      </c>
      <c r="N1572" s="969" t="str">
        <f>IF($I1461="","",INDEX(F_ProductBM!N:N,MATCH($P1572,F_ProductBM!$Q:$Q,0)))</f>
        <v/>
      </c>
      <c r="O1572" s="19"/>
      <c r="P1572" s="165" t="str">
        <f>EUconst_CNTR_HALfinal&amp;EUconst_CNTR_WGFlared&amp;$I1461</f>
        <v>HALfinal_WasteGasFlare_</v>
      </c>
      <c r="Q1572" s="343"/>
      <c r="R1572" s="343"/>
      <c r="S1572" s="1693" t="str">
        <f>IF($I1461="","",INDEX(F_ProductBM!I:I,MATCH($P1572,F_ProductBM!$Q:$Q,0)))</f>
        <v/>
      </c>
      <c r="T1572" s="7"/>
      <c r="U1572" s="349"/>
      <c r="V1572" s="349"/>
    </row>
    <row r="1573" spans="1:22" s="534" customFormat="1" x14ac:dyDescent="0.25">
      <c r="A1573" s="343"/>
      <c r="B1573" s="15"/>
      <c r="C1573" s="15"/>
      <c r="D1573" s="965"/>
      <c r="E1573" s="947" t="s">
        <v>1527</v>
      </c>
      <c r="F1573" s="947"/>
      <c r="G1573" s="947"/>
      <c r="H1573" s="955" t="str">
        <f>EUconst_EUA</f>
        <v>EUA</v>
      </c>
      <c r="I1573" s="1617" t="str">
        <f>IF($I1461="","",IF(T1576&gt;=$H$2595,0,IF(L1464=42,S1573,0)))</f>
        <v/>
      </c>
      <c r="J1573" s="1162" t="str">
        <f>IF($I1461="","",IF($L1464=42,INDEX(H_SpecialBM!J:J,MATCH($P1573,H_SpecialBM!$Q:$Q,0)),0))</f>
        <v/>
      </c>
      <c r="K1573" s="949" t="str">
        <f>IF($I1461="","",IF($L1464=42,INDEX(H_SpecialBM!K:K,MATCH($P1573,H_SpecialBM!$Q:$Q,0)),0))</f>
        <v/>
      </c>
      <c r="L1573" s="949" t="str">
        <f>IF($I1461="","",IF($L1464=42,INDEX(H_SpecialBM!L:L,MATCH($P1573,H_SpecialBM!$Q:$Q,0)),0))</f>
        <v/>
      </c>
      <c r="M1573" s="949" t="str">
        <f>IF($I1461="","",IF($L1464=42,INDEX(H_SpecialBM!M:M,MATCH($P1573,H_SpecialBM!$Q:$Q,0)),0))</f>
        <v/>
      </c>
      <c r="N1573" s="969" t="str">
        <f>IF($I1461="","",IF($L1464=42,INDEX(H_SpecialBM!N:N,MATCH($P1573,H_SpecialBM!$Q:$Q,0)),0))</f>
        <v/>
      </c>
      <c r="O1573" s="19"/>
      <c r="P1573" s="165" t="str">
        <f>EUconst_CNTR_HVCfinal</f>
        <v>HVCfinal_</v>
      </c>
      <c r="Q1573" s="343"/>
      <c r="R1573" s="343"/>
      <c r="S1573" s="1693" t="str">
        <f>IF($I1461="","",IF(L1464=42,INDEX(H_SpecialBM!I:I,MATCH($P1573,H_SpecialBM!$Q:$Q,0)),0))</f>
        <v/>
      </c>
      <c r="T1573" s="7"/>
      <c r="U1573" s="349"/>
      <c r="V1573" s="349"/>
    </row>
    <row r="1574" spans="1:22" s="534" customFormat="1" x14ac:dyDescent="0.25">
      <c r="A1574" s="343"/>
      <c r="B1574" s="15"/>
      <c r="C1574" s="15"/>
      <c r="D1574" s="965"/>
      <c r="E1574" s="947" t="s">
        <v>1526</v>
      </c>
      <c r="F1574" s="947"/>
      <c r="G1574" s="947"/>
      <c r="H1574" s="956" t="s">
        <v>1112</v>
      </c>
      <c r="I1574" s="1618" t="str">
        <f>IF(AND($I1461&lt;&gt;"",$I1464=TRUE),IF(T1576&gt;=$H$2595,1,S1574),IF($I1461="","",1))</f>
        <v/>
      </c>
      <c r="J1574" s="1163" t="str">
        <f>IF(AND($I1461&lt;&gt;"",$I1464=TRUE),INDEX(F_ProductBM!J:J,MATCH($P1574,F_ProductBM!$Q:$Q,0)),IF($I1461="","",1))</f>
        <v/>
      </c>
      <c r="K1574" s="959" t="str">
        <f>IF(AND($I1461&lt;&gt;"",$I1464=TRUE),INDEX(F_ProductBM!K:K,MATCH($P1574,F_ProductBM!$Q:$Q,0)),IF($I1461="","",1))</f>
        <v/>
      </c>
      <c r="L1574" s="959" t="str">
        <f>IF(AND($I1461&lt;&gt;"",$I1464=TRUE),INDEX(F_ProductBM!L:L,MATCH($P1574,F_ProductBM!$Q:$Q,0)),IF($I1461="","",1))</f>
        <v/>
      </c>
      <c r="M1574" s="959" t="str">
        <f>IF(AND($I1461&lt;&gt;"",$I1464=TRUE),INDEX(F_ProductBM!M:M,MATCH($P1574,F_ProductBM!$Q:$Q,0)),IF($I1461="","",1))</f>
        <v/>
      </c>
      <c r="N1574" s="970" t="str">
        <f>IF(AND($I1461&lt;&gt;"",$I1464=TRUE),INDEX(F_ProductBM!N:N,MATCH($P1574,F_ProductBM!$Q:$Q,0)),IF($I1461="","",1))</f>
        <v/>
      </c>
      <c r="O1574" s="19"/>
      <c r="P1574" s="165" t="str">
        <f>EUconst_CNTR_HALfinal&amp;EUconst_CNTR_ELEXCH&amp;$I1461</f>
        <v>HALfinal_ELEXCH_</v>
      </c>
      <c r="Q1574" s="343"/>
      <c r="R1574" s="343"/>
      <c r="S1574" s="1694" t="str">
        <f>IF(AND($I1461&lt;&gt;"",$I1464=TRUE),INDEX(F_ProductBM!I:I,MATCH($P1574,F_ProductBM!$Q:$Q,0)),IF($I1461="","",1))</f>
        <v/>
      </c>
      <c r="T1574" s="343"/>
      <c r="U1574" s="349"/>
      <c r="V1574" s="349"/>
    </row>
    <row r="1575" spans="1:22" s="534" customFormat="1" x14ac:dyDescent="0.25">
      <c r="A1575" s="343"/>
      <c r="B1575" s="15"/>
      <c r="C1575" s="15"/>
      <c r="D1575" s="965"/>
      <c r="E1575" s="950" t="s">
        <v>1528</v>
      </c>
      <c r="F1575" s="950"/>
      <c r="G1575" s="950"/>
      <c r="H1575" s="957" t="s">
        <v>1112</v>
      </c>
      <c r="I1575" s="1619" t="str">
        <f>IF($I1461="","",IF($L1464=47,IF(AND(ISNUMBER(S1575),YEAR(J1464)&lt;2021),S1575,1),1))</f>
        <v/>
      </c>
      <c r="J1575" s="1164" t="str">
        <f>IF($I1461="","",IF($L1464=47,IF(ISNUMBER(INDEX(H_SpecialBM!J:J,MATCH($P1575,H_SpecialBM!$Q:$Q,0))),INDEX(H_SpecialBM!J:J,MATCH($P1575,H_SpecialBM!$Q:$Q,0)),1),1))</f>
        <v/>
      </c>
      <c r="K1575" s="958" t="str">
        <f>IF($I1461="","",IF($L1464=47,IF(ISNUMBER(INDEX(H_SpecialBM!K:K,MATCH($P1575,H_SpecialBM!$Q:$Q,0))),INDEX(H_SpecialBM!K:K,MATCH($P1575,H_SpecialBM!$Q:$Q,0)),1),1))</f>
        <v/>
      </c>
      <c r="L1575" s="958" t="str">
        <f>IF($I1461="","",IF($L1464=47,IF(ISNUMBER(INDEX(H_SpecialBM!L:L,MATCH($P1575,H_SpecialBM!$Q:$Q,0))),INDEX(H_SpecialBM!L:L,MATCH($P1575,H_SpecialBM!$Q:$Q,0)),1),1))</f>
        <v/>
      </c>
      <c r="M1575" s="958" t="str">
        <f>IF($I1461="","",IF($L1464=47,IF(ISNUMBER(INDEX(H_SpecialBM!M:M,MATCH($P1575,H_SpecialBM!$Q:$Q,0))),INDEX(H_SpecialBM!M:M,MATCH($P1575,H_SpecialBM!$Q:$Q,0)),1),1))</f>
        <v/>
      </c>
      <c r="N1575" s="971" t="str">
        <f>IF($I1461="","",IF($L1464=47,IF(ISNUMBER(INDEX(H_SpecialBM!N:N,MATCH($P1575,H_SpecialBM!$Q:$Q,0))),INDEX(H_SpecialBM!N:N,MATCH($P1575,H_SpecialBM!$Q:$Q,0)),1),1))</f>
        <v/>
      </c>
      <c r="O1575" s="19"/>
      <c r="P1575" s="165" t="str">
        <f>EUconst_CNTR_VCMfinal</f>
        <v>VCMfinal_</v>
      </c>
      <c r="Q1575" s="343"/>
      <c r="R1575" s="343"/>
      <c r="S1575" s="1695" t="str">
        <f>IF($I1461="","",IF($L1464=47,IF(ISNUMBER(INDEX(H_SpecialBM!I:I,MATCH($P1575,H_SpecialBM!$Q:$Q,0))),INDEX(H_SpecialBM!I:I,MATCH($P1575,H_SpecialBM!$Q:$Q,0)),1),1))</f>
        <v/>
      </c>
      <c r="T1575" s="343"/>
      <c r="U1575" s="349"/>
      <c r="V1575" s="349"/>
    </row>
    <row r="1576" spans="1:22" s="534" customFormat="1" x14ac:dyDescent="0.25">
      <c r="A1576" s="343"/>
      <c r="B1576" s="15"/>
      <c r="C1576" s="15"/>
      <c r="D1576" s="965"/>
      <c r="E1576" s="514" t="str">
        <f>Translations!$B$956</f>
        <v>Preliminär tilldelning</v>
      </c>
      <c r="F1576" s="514"/>
      <c r="G1576" s="514"/>
      <c r="H1576" s="129" t="str">
        <f>EUconst_EUA</f>
        <v>EUA</v>
      </c>
      <c r="I1576" s="1620" t="str">
        <f>IF($I1461="","",MAX(0,ROUND((SUM($M1464)*SUM(I1570)*SUM(I1574)*SUM(I1575)-SUM(I1571)-SUM(I1572)+SUM(I1573))*IF($H1464=TRUE,1,J$2517),0)))</f>
        <v/>
      </c>
      <c r="J1576" s="1131" t="str">
        <f>IF($I1461="","",MAX(0,ROUND((SUM($M1464)*SUM(J1570)*SUM(J1574)*SUM(J1575)-SUM(J1571)-SUM(J1572)+SUM(J1573))*IF($H1464=TRUE,1,J$2517),0)))</f>
        <v/>
      </c>
      <c r="K1576" s="421" t="str">
        <f>IF($I1461="","",MAX(0,ROUND((SUM($M1464)*SUM(K1570)*SUM(K1574)*SUM(K1575)-SUM(K1571)-SUM(K1572)+SUM(K1573))*IF($H1464=TRUE,1,K$2517),0)))</f>
        <v/>
      </c>
      <c r="L1576" s="421" t="str">
        <f>IF($I1461="","",MAX(0,ROUND((SUM($M1464)*SUM(L1570)*SUM(L1574)*SUM(L1575)-SUM(L1571)-SUM(L1572)+SUM(L1573))*IF($H1464=TRUE,1,L$2517),0)))</f>
        <v/>
      </c>
      <c r="M1576" s="421" t="str">
        <f>IF($I1461="","",MAX(0,ROUND((SUM($M1464)*SUM(M1570)*SUM(M1574)*SUM(M1575)-SUM(M1571)-SUM(M1572)+SUM(M1573))*IF($H1464=TRUE,1,M$2517),0)))</f>
        <v/>
      </c>
      <c r="N1576" s="967" t="str">
        <f>IF($I1461="","",MAX(0,ROUND((SUM($M1464+IF(L1464=52,0.415,0))*SUM(N1570)*SUM(N1574)*SUM(N1575)-SUM(N1571)-SUM(N1572)+SUM(N1573))*IF($H1464=TRUE,1,N$2517),0)))</f>
        <v/>
      </c>
      <c r="O1576" s="19"/>
      <c r="P1576" s="165" t="str">
        <f>EUconst_AllocPrelim&amp;I1461</f>
        <v>AllocPrelim_</v>
      </c>
      <c r="Q1576" s="343"/>
      <c r="R1576" s="343"/>
      <c r="S1576" s="1696" t="str">
        <f>IF($I1461="","",MAX(0,ROUND((SUM($M1464)*SUM(S1570)*SUM(S1574)*SUM(S1575)-SUM(S1571)-SUM(S1572)+SUM(S1573))*IF($H1464=TRUE,1,J$2517),0)))</f>
        <v/>
      </c>
      <c r="T1576" s="663">
        <f>INDEX(F_ProductBM!V:V,MATCH(C1461,F_ProductBM!C:C,0))</f>
        <v>2005</v>
      </c>
      <c r="U1576" s="603" t="e">
        <f>OR(INDEX(I1576:N1576,CNTR_ReportingYear-$I$2596)&lt;&gt;INDEX(I1576:N1576,CNTR_ReportingYear-$H$2596),
(CNTR_ReportingYear-T1576)&lt;=1)</f>
        <v>#REF!</v>
      </c>
      <c r="V1576" s="355" t="b">
        <f ca="1">IF(I1576="",FALSE,COUNTIF(OFFSET(I1576,,,,MAX(1,CNTR_ReportingYear-$I$2596)),"&lt;&gt;" &amp; INDEX(I1576:N1576,CNTR_ReportingYear-$H$2596))&gt;0)</f>
        <v>0</v>
      </c>
    </row>
    <row r="1577" spans="1:22" s="534" customFormat="1" ht="5.15" customHeight="1" thickBot="1" x14ac:dyDescent="0.3">
      <c r="A1577" s="343"/>
      <c r="B1577" s="15"/>
      <c r="C1577" s="15"/>
      <c r="D1577" s="972"/>
      <c r="E1577" s="973"/>
      <c r="F1577" s="973"/>
      <c r="G1577" s="973"/>
      <c r="H1577" s="973"/>
      <c r="I1577" s="973"/>
      <c r="J1577" s="973"/>
      <c r="K1577" s="973"/>
      <c r="L1577" s="973"/>
      <c r="M1577" s="973"/>
      <c r="N1577" s="974"/>
      <c r="O1577" s="19"/>
      <c r="P1577" s="343"/>
      <c r="Q1577" s="343"/>
      <c r="R1577" s="343"/>
      <c r="S1577" s="343"/>
      <c r="T1577" s="343"/>
      <c r="U1577" s="349"/>
      <c r="V1577" s="349"/>
    </row>
    <row r="1578" spans="1:22" s="534" customFormat="1" ht="5.15" customHeight="1" thickBot="1" x14ac:dyDescent="0.3">
      <c r="A1578" s="343"/>
      <c r="B1578" s="15"/>
      <c r="C1578" s="15"/>
      <c r="E1578" s="289"/>
      <c r="F1578" s="15"/>
      <c r="G1578" s="15"/>
      <c r="H1578" s="15"/>
      <c r="I1578" s="15"/>
      <c r="J1578" s="15"/>
      <c r="K1578" s="15"/>
      <c r="L1578" s="15"/>
      <c r="M1578" s="15"/>
      <c r="N1578" s="15"/>
      <c r="O1578" s="19"/>
      <c r="P1578" s="343"/>
      <c r="Q1578" s="343"/>
      <c r="R1578" s="343"/>
      <c r="S1578" s="343"/>
      <c r="T1578" s="343"/>
      <c r="U1578" s="349"/>
      <c r="V1578" s="349"/>
    </row>
    <row r="1579" spans="1:22" s="534" customFormat="1" ht="12.75" customHeight="1" x14ac:dyDescent="0.25">
      <c r="A1579" s="343"/>
      <c r="B1579" s="15"/>
      <c r="C1579" s="15"/>
      <c r="D1579" s="1452"/>
      <c r="E1579" s="1453"/>
      <c r="F1579" s="1453"/>
      <c r="G1579" s="777"/>
      <c r="H1579" s="777"/>
      <c r="I1579" s="777"/>
      <c r="J1579" s="777"/>
      <c r="K1579" s="777"/>
      <c r="L1579" s="777"/>
      <c r="M1579" s="777"/>
      <c r="N1579" s="778"/>
      <c r="O1579" s="19"/>
      <c r="P1579" s="343"/>
      <c r="Q1579" s="343"/>
      <c r="R1579" s="343"/>
      <c r="S1579" s="343"/>
      <c r="T1579" s="343"/>
      <c r="U1579" s="349"/>
      <c r="V1579" s="349"/>
    </row>
    <row r="1580" spans="1:22" s="534" customFormat="1" ht="13.5" thickBot="1" x14ac:dyDescent="0.3">
      <c r="A1580" s="343"/>
      <c r="B1580" s="15"/>
      <c r="C1580" s="15"/>
      <c r="D1580" s="1454"/>
      <c r="E1580" s="416"/>
      <c r="F1580" s="416"/>
      <c r="G1580" s="415" t="str">
        <f>EUconst_Unit</f>
        <v>Enhet</v>
      </c>
      <c r="H1580" s="744">
        <f t="shared" ref="H1580:M1580" si="293">H$2596</f>
        <v>2019</v>
      </c>
      <c r="I1580" s="1155">
        <f t="shared" si="293"/>
        <v>2020</v>
      </c>
      <c r="J1580" s="1104">
        <f t="shared" si="293"/>
        <v>2021</v>
      </c>
      <c r="K1580" s="362">
        <f t="shared" si="293"/>
        <v>2022</v>
      </c>
      <c r="L1580" s="362">
        <f t="shared" si="293"/>
        <v>2023</v>
      </c>
      <c r="M1580" s="362">
        <f t="shared" si="293"/>
        <v>2024</v>
      </c>
      <c r="N1580" s="1141">
        <f>N$2596</f>
        <v>2025</v>
      </c>
      <c r="O1580" s="19"/>
      <c r="P1580" s="343"/>
      <c r="Q1580" s="343"/>
      <c r="R1580" s="343"/>
      <c r="S1580" s="343"/>
      <c r="T1580" s="7"/>
      <c r="U1580" s="349"/>
      <c r="V1580" s="349"/>
    </row>
    <row r="1581" spans="1:22" s="534" customFormat="1" ht="13.5" customHeight="1" thickBot="1" x14ac:dyDescent="0.3">
      <c r="A1581" s="343"/>
      <c r="B1581" s="15"/>
      <c r="C1581" s="15"/>
      <c r="D1581" s="1454"/>
      <c r="E1581" s="2747" t="str">
        <f>Translations!$B$1056</f>
        <v>Totala tillskrivna utsläpp</v>
      </c>
      <c r="F1581" s="2747"/>
      <c r="G1581" s="710" t="str">
        <f>EUconst_tCO2epa</f>
        <v>t CO2e/år</v>
      </c>
      <c r="H1581" s="735" t="str">
        <f t="shared" ref="H1581:N1581" si="294">INDEX(H$92:H$108,MATCH($I1461,$E$92:$E$108,0))</f>
        <v/>
      </c>
      <c r="I1581" s="1156" t="str">
        <f t="shared" si="294"/>
        <v/>
      </c>
      <c r="J1581" s="735" t="str">
        <f t="shared" si="294"/>
        <v/>
      </c>
      <c r="K1581" s="736" t="str">
        <f t="shared" si="294"/>
        <v/>
      </c>
      <c r="L1581" s="736" t="str">
        <f t="shared" si="294"/>
        <v/>
      </c>
      <c r="M1581" s="736" t="str">
        <f t="shared" si="294"/>
        <v/>
      </c>
      <c r="N1581" s="737" t="str">
        <f t="shared" si="294"/>
        <v/>
      </c>
      <c r="O1581" s="19"/>
      <c r="P1581" s="343"/>
      <c r="Q1581" s="343"/>
      <c r="R1581" s="343"/>
      <c r="S1581" s="343"/>
      <c r="T1581" s="7"/>
      <c r="U1581" s="349"/>
      <c r="V1581" s="349"/>
    </row>
    <row r="1582" spans="1:22" s="534" customFormat="1" ht="5.15" customHeight="1" x14ac:dyDescent="0.25">
      <c r="A1582" s="343"/>
      <c r="B1582" s="15"/>
      <c r="C1582" s="15"/>
      <c r="D1582" s="1454"/>
      <c r="E1582" s="899"/>
      <c r="F1582" s="899"/>
      <c r="G1582" s="416"/>
      <c r="H1582" s="738"/>
      <c r="I1582" s="738"/>
      <c r="J1582" s="738"/>
      <c r="K1582" s="738"/>
      <c r="L1582" s="738"/>
      <c r="M1582" s="738"/>
      <c r="N1582" s="1455"/>
      <c r="O1582" s="19"/>
      <c r="P1582" s="343"/>
      <c r="Q1582" s="343"/>
      <c r="R1582" s="343"/>
      <c r="S1582" s="343"/>
      <c r="T1582" s="7"/>
      <c r="U1582" s="349"/>
      <c r="V1582" s="349"/>
    </row>
    <row r="1583" spans="1:22" s="534" customFormat="1" ht="12.75" customHeight="1" x14ac:dyDescent="0.25">
      <c r="A1583" s="343"/>
      <c r="B1583" s="15"/>
      <c r="C1583" s="15"/>
      <c r="D1583" s="1454"/>
      <c r="E1583" s="2611" t="str">
        <f>Translations!$B$571</f>
        <v>Insatsbränsle</v>
      </c>
      <c r="F1583" s="2484"/>
      <c r="G1583" s="365" t="str">
        <f>EUconst_TJpa</f>
        <v>TJ / år</v>
      </c>
      <c r="H1583" s="739" t="str">
        <f>IF($I1461="","",IF(INDEX(F_ProductBM!H:H,MATCH($P1583,F_ProductBM!$Q:$Q,0))="","",INDEX(F_ProductBM!H:H,MATCH($P1583,F_ProductBM!$Q:$Q,0))))</f>
        <v/>
      </c>
      <c r="I1583" s="1153" t="str">
        <f>IF($I1461="","",IF(INDEX(F_ProductBM!I:I,MATCH($P1583,F_ProductBM!$Q:$Q,0))="","",INDEX(F_ProductBM!I:I,MATCH($P1583,F_ProductBM!$Q:$Q,0))))</f>
        <v/>
      </c>
      <c r="J1583" s="1159" t="str">
        <f>IF($I1461="","",IF(INDEX(F_ProductBM!J:J,MATCH($P1583,F_ProductBM!$Q:$Q,0))="","",INDEX(F_ProductBM!J:J,MATCH($P1583,F_ProductBM!$Q:$Q,0))))</f>
        <v/>
      </c>
      <c r="K1583" s="739" t="str">
        <f>IF($I1461="","",IF(INDEX(F_ProductBM!K:K,MATCH($P1583,F_ProductBM!$Q:$Q,0))="","",INDEX(F_ProductBM!K:K,MATCH($P1583,F_ProductBM!$Q:$Q,0))))</f>
        <v/>
      </c>
      <c r="L1583" s="739" t="str">
        <f>IF($I1461="","",IF(INDEX(F_ProductBM!L:L,MATCH($P1583,F_ProductBM!$Q:$Q,0))="","",INDEX(F_ProductBM!L:L,MATCH($P1583,F_ProductBM!$Q:$Q,0))))</f>
        <v/>
      </c>
      <c r="M1583" s="739" t="str">
        <f>IF($I1461="","",IF(INDEX(F_ProductBM!M:M,MATCH($P1583,F_ProductBM!$Q:$Q,0))="","",INDEX(F_ProductBM!M:M,MATCH($P1583,F_ProductBM!$Q:$Q,0))))</f>
        <v/>
      </c>
      <c r="N1583" s="1456" t="str">
        <f>IF($I1461="","",IF(INDEX(F_ProductBM!N:N,MATCH($P1583,F_ProductBM!$Q:$Q,0))="","",INDEX(F_ProductBM!N:N,MATCH($P1583,F_ProductBM!$Q:$Q,0))))</f>
        <v/>
      </c>
      <c r="O1583" s="19"/>
      <c r="P1583" s="622" t="str">
        <f>EUconst_CNTR_FuelInput &amp; I1461</f>
        <v>FuelInput_</v>
      </c>
      <c r="Q1583" s="343"/>
      <c r="R1583" s="343"/>
      <c r="S1583" s="343"/>
      <c r="T1583" s="7"/>
      <c r="U1583" s="349"/>
      <c r="V1583" s="349"/>
    </row>
    <row r="1584" spans="1:22" s="534" customFormat="1" ht="12.75" customHeight="1" x14ac:dyDescent="0.25">
      <c r="A1584" s="343"/>
      <c r="B1584" s="15"/>
      <c r="C1584" s="15"/>
      <c r="D1584" s="1454"/>
      <c r="E1584" s="2612" t="str">
        <f>Translations!$B$572</f>
        <v>Viktad emissionsfaktor</v>
      </c>
      <c r="F1584" s="2487"/>
      <c r="G1584" s="384" t="str">
        <f>EUconst_tCO2pTJ</f>
        <v>t CO2 / TJ</v>
      </c>
      <c r="H1584" s="740" t="str">
        <f>IF($I1461="","",IF(INDEX(F_ProductBM!H:H,MATCH($P1584,F_ProductBM!$Q:$Q,0))="","",INDEX(F_ProductBM!H:H,MATCH($P1584,F_ProductBM!$Q:$Q,0))))</f>
        <v/>
      </c>
      <c r="I1584" s="1154" t="str">
        <f>IF($I1461="","",IF(INDEX(F_ProductBM!I:I,MATCH($P1584,F_ProductBM!$Q:$Q,0))="","",INDEX(F_ProductBM!I:I,MATCH($P1584,F_ProductBM!$Q:$Q,0))))</f>
        <v/>
      </c>
      <c r="J1584" s="1160" t="str">
        <f>IF($I1461="","",IF(INDEX(F_ProductBM!J:J,MATCH($P1584,F_ProductBM!$Q:$Q,0))="","",INDEX(F_ProductBM!J:J,MATCH($P1584,F_ProductBM!$Q:$Q,0))))</f>
        <v/>
      </c>
      <c r="K1584" s="740" t="str">
        <f>IF($I1461="","",IF(INDEX(F_ProductBM!K:K,MATCH($P1584,F_ProductBM!$Q:$Q,0))="","",INDEX(F_ProductBM!K:K,MATCH($P1584,F_ProductBM!$Q:$Q,0))))</f>
        <v/>
      </c>
      <c r="L1584" s="740" t="str">
        <f>IF($I1461="","",IF(INDEX(F_ProductBM!L:L,MATCH($P1584,F_ProductBM!$Q:$Q,0))="","",INDEX(F_ProductBM!L:L,MATCH($P1584,F_ProductBM!$Q:$Q,0))))</f>
        <v/>
      </c>
      <c r="M1584" s="740" t="str">
        <f>IF($I1461="","",IF(INDEX(F_ProductBM!M:M,MATCH($P1584,F_ProductBM!$Q:$Q,0))="","",INDEX(F_ProductBM!M:M,MATCH($P1584,F_ProductBM!$Q:$Q,0))))</f>
        <v/>
      </c>
      <c r="N1584" s="1457" t="str">
        <f>IF($I1461="","",IF(INDEX(F_ProductBM!N:N,MATCH($P1584,F_ProductBM!$Q:$Q,0))="","",INDEX(F_ProductBM!N:N,MATCH($P1584,F_ProductBM!$Q:$Q,0))))</f>
        <v/>
      </c>
      <c r="O1584" s="19"/>
      <c r="P1584" s="298" t="str">
        <f>EUconst_CNTR_FuelEF &amp; I1461</f>
        <v>FuelEF_</v>
      </c>
      <c r="Q1584" s="343"/>
      <c r="R1584" s="343"/>
      <c r="S1584" s="343"/>
      <c r="T1584" s="7"/>
      <c r="U1584" s="349"/>
      <c r="V1584" s="349"/>
    </row>
    <row r="1585" spans="1:22" s="534" customFormat="1" ht="5.15" customHeight="1" x14ac:dyDescent="0.25">
      <c r="A1585" s="343"/>
      <c r="B1585" s="15"/>
      <c r="C1585" s="15"/>
      <c r="D1585" s="1454"/>
      <c r="E1585" s="899"/>
      <c r="F1585" s="899"/>
      <c r="G1585" s="623"/>
      <c r="H1585" s="741"/>
      <c r="I1585" s="741"/>
      <c r="J1585" s="741"/>
      <c r="K1585" s="741"/>
      <c r="L1585" s="741"/>
      <c r="M1585" s="741"/>
      <c r="N1585" s="1458"/>
      <c r="O1585" s="19"/>
      <c r="P1585" s="343"/>
      <c r="Q1585" s="343"/>
      <c r="R1585" s="343"/>
      <c r="S1585" s="343"/>
      <c r="T1585" s="7"/>
      <c r="U1585" s="349"/>
      <c r="V1585" s="349"/>
    </row>
    <row r="1586" spans="1:22" s="534" customFormat="1" ht="12.75" customHeight="1" x14ac:dyDescent="0.25">
      <c r="A1586" s="343"/>
      <c r="B1586" s="15"/>
      <c r="C1586" s="15"/>
      <c r="D1586" s="1454"/>
      <c r="E1586" s="2613" t="str">
        <f>Translations!$B$528</f>
        <v>Direkta utsläpp</v>
      </c>
      <c r="F1586" s="1997"/>
      <c r="G1586" s="364" t="str">
        <f>EUconst_tCO2pa</f>
        <v>t CO2 / år</v>
      </c>
      <c r="H1586" s="742" t="str">
        <f>IF($I1461="","",IF(INDEX(F_ProductBM!H:H,MATCH($P1586,F_ProductBM!$Q:$Q,0))="","",INDEX(F_ProductBM!H:H,MATCH($P1586,F_ProductBM!$Q:$Q,0))))</f>
        <v/>
      </c>
      <c r="I1586" s="1021" t="str">
        <f>IF($I1461="","",IF(INDEX(F_ProductBM!I:I,MATCH($P1586,F_ProductBM!$Q:$Q,0))="","",INDEX(F_ProductBM!I:I,MATCH($P1586,F_ProductBM!$Q:$Q,0))))</f>
        <v/>
      </c>
      <c r="J1586" s="1158" t="str">
        <f>IF($I1461="","",IF(INDEX(F_ProductBM!J:J,MATCH($P1586,F_ProductBM!$Q:$Q,0))="","",INDEX(F_ProductBM!J:J,MATCH($P1586,F_ProductBM!$Q:$Q,0))))</f>
        <v/>
      </c>
      <c r="K1586" s="742" t="str">
        <f>IF($I1461="","",IF(INDEX(F_ProductBM!K:K,MATCH($P1586,F_ProductBM!$Q:$Q,0))="","",INDEX(F_ProductBM!K:K,MATCH($P1586,F_ProductBM!$Q:$Q,0))))</f>
        <v/>
      </c>
      <c r="L1586" s="742" t="str">
        <f>IF($I1461="","",IF(INDEX(F_ProductBM!L:L,MATCH($P1586,F_ProductBM!$Q:$Q,0))="","",INDEX(F_ProductBM!L:L,MATCH($P1586,F_ProductBM!$Q:$Q,0))))</f>
        <v/>
      </c>
      <c r="M1586" s="742" t="str">
        <f>IF($I1461="","",IF(INDEX(F_ProductBM!M:M,MATCH($P1586,F_ProductBM!$Q:$Q,0))="","",INDEX(F_ProductBM!M:M,MATCH($P1586,F_ProductBM!$Q:$Q,0))))</f>
        <v/>
      </c>
      <c r="N1586" s="1459" t="str">
        <f>IF($I1461="","",IF(INDEX(F_ProductBM!N:N,MATCH($P1586,F_ProductBM!$Q:$Q,0))="","",INDEX(F_ProductBM!N:N,MATCH($P1586,F_ProductBM!$Q:$Q,0))))</f>
        <v/>
      </c>
      <c r="O1586" s="19"/>
      <c r="P1586" s="298" t="str">
        <f>EUconst_CNTR_Emissions &amp; I1461</f>
        <v>DirEmissions_</v>
      </c>
      <c r="Q1586" s="343"/>
      <c r="R1586" s="343"/>
      <c r="S1586" s="343"/>
      <c r="T1586" s="7"/>
      <c r="U1586" s="349"/>
      <c r="V1586" s="349"/>
    </row>
    <row r="1587" spans="1:22" s="534" customFormat="1" ht="12.75" customHeight="1" x14ac:dyDescent="0.25">
      <c r="A1587" s="343"/>
      <c r="B1587" s="15"/>
      <c r="C1587" s="15"/>
      <c r="D1587" s="1454"/>
      <c r="E1587" s="2613" t="str">
        <f>Translations!$B$582</f>
        <v>Andra bränsle-/materialmängder – 1</v>
      </c>
      <c r="F1587" s="1997"/>
      <c r="G1587" s="364" t="str">
        <f>EUconst_tCO2pa</f>
        <v>t CO2 / år</v>
      </c>
      <c r="H1587" s="742" t="str">
        <f>IF($I1461="","",IF(INDEX(F_ProductBM!H:H,MATCH($P1587,F_ProductBM!$Q:$Q,0))="","",INDEX(F_ProductBM!H:H,MATCH($P1587,F_ProductBM!$Q:$Q,0))))</f>
        <v/>
      </c>
      <c r="I1587" s="1021" t="str">
        <f>IF($I1461="","",IF(INDEX(F_ProductBM!I:I,MATCH($P1587,F_ProductBM!$Q:$Q,0))="","",INDEX(F_ProductBM!I:I,MATCH($P1587,F_ProductBM!$Q:$Q,0))))</f>
        <v/>
      </c>
      <c r="J1587" s="1158" t="str">
        <f>IF($I1461="","",IF(INDEX(F_ProductBM!J:J,MATCH($P1587,F_ProductBM!$Q:$Q,0))="","",INDEX(F_ProductBM!J:J,MATCH($P1587,F_ProductBM!$Q:$Q,0))))</f>
        <v/>
      </c>
      <c r="K1587" s="742" t="str">
        <f>IF($I1461="","",IF(INDEX(F_ProductBM!K:K,MATCH($P1587,F_ProductBM!$Q:$Q,0))="","",INDEX(F_ProductBM!K:K,MATCH($P1587,F_ProductBM!$Q:$Q,0))))</f>
        <v/>
      </c>
      <c r="L1587" s="742" t="str">
        <f>IF($I1461="","",IF(INDEX(F_ProductBM!L:L,MATCH($P1587,F_ProductBM!$Q:$Q,0))="","",INDEX(F_ProductBM!L:L,MATCH($P1587,F_ProductBM!$Q:$Q,0))))</f>
        <v/>
      </c>
      <c r="M1587" s="742" t="str">
        <f>IF($I1461="","",IF(INDEX(F_ProductBM!M:M,MATCH($P1587,F_ProductBM!$Q:$Q,0))="","",INDEX(F_ProductBM!M:M,MATCH($P1587,F_ProductBM!$Q:$Q,0))))</f>
        <v/>
      </c>
      <c r="N1587" s="1459" t="str">
        <f>IF($I1461="","",IF(INDEX(F_ProductBM!N:N,MATCH($P1587,F_ProductBM!$Q:$Q,0))="","",INDEX(F_ProductBM!N:N,MATCH($P1587,F_ProductBM!$Q:$Q,0))))</f>
        <v/>
      </c>
      <c r="O1587" s="19"/>
      <c r="P1587" s="298" t="str">
        <f>EUconst_CNTR_EmissionsIntSource1 &amp; I1461</f>
        <v>EmInternalSource1_</v>
      </c>
      <c r="Q1587" s="343"/>
      <c r="R1587" s="343"/>
      <c r="S1587" s="343"/>
      <c r="T1587" s="7"/>
      <c r="U1587" s="349"/>
      <c r="V1587" s="349"/>
    </row>
    <row r="1588" spans="1:22" s="534" customFormat="1" ht="12.75" customHeight="1" x14ac:dyDescent="0.25">
      <c r="A1588" s="343"/>
      <c r="B1588" s="15"/>
      <c r="C1588" s="15"/>
      <c r="D1588" s="1454"/>
      <c r="E1588" s="2613" t="str">
        <f>Translations!$B$592</f>
        <v>Andra bränsle-/materialmängder – 2</v>
      </c>
      <c r="F1588" s="1997"/>
      <c r="G1588" s="364" t="str">
        <f>EUconst_tCO2pa</f>
        <v>t CO2 / år</v>
      </c>
      <c r="H1588" s="742" t="str">
        <f>IF($I1461="","",IF(INDEX(F_ProductBM!H:H,MATCH($P1588,F_ProductBM!$Q:$Q,0))="","",INDEX(F_ProductBM!H:H,MATCH($P1588,F_ProductBM!$Q:$Q,0))))</f>
        <v/>
      </c>
      <c r="I1588" s="1021" t="str">
        <f>IF($I1461="","",IF(INDEX(F_ProductBM!I:I,MATCH($P1588,F_ProductBM!$Q:$Q,0))="","",INDEX(F_ProductBM!I:I,MATCH($P1588,F_ProductBM!$Q:$Q,0))))</f>
        <v/>
      </c>
      <c r="J1588" s="1158" t="str">
        <f>IF($I1461="","",IF(INDEX(F_ProductBM!J:J,MATCH($P1588,F_ProductBM!$Q:$Q,0))="","",INDEX(F_ProductBM!J:J,MATCH($P1588,F_ProductBM!$Q:$Q,0))))</f>
        <v/>
      </c>
      <c r="K1588" s="742" t="str">
        <f>IF($I1461="","",IF(INDEX(F_ProductBM!K:K,MATCH($P1588,F_ProductBM!$Q:$Q,0))="","",INDEX(F_ProductBM!K:K,MATCH($P1588,F_ProductBM!$Q:$Q,0))))</f>
        <v/>
      </c>
      <c r="L1588" s="742" t="str">
        <f>IF($I1461="","",IF(INDEX(F_ProductBM!L:L,MATCH($P1588,F_ProductBM!$Q:$Q,0))="","",INDEX(F_ProductBM!L:L,MATCH($P1588,F_ProductBM!$Q:$Q,0))))</f>
        <v/>
      </c>
      <c r="M1588" s="742" t="str">
        <f>IF($I1461="","",IF(INDEX(F_ProductBM!M:M,MATCH($P1588,F_ProductBM!$Q:$Q,0))="","",INDEX(F_ProductBM!M:M,MATCH($P1588,F_ProductBM!$Q:$Q,0))))</f>
        <v/>
      </c>
      <c r="N1588" s="1459" t="str">
        <f>IF($I1461="","",IF(INDEX(F_ProductBM!N:N,MATCH($P1588,F_ProductBM!$Q:$Q,0))="","",INDEX(F_ProductBM!N:N,MATCH($P1588,F_ProductBM!$Q:$Q,0))))</f>
        <v/>
      </c>
      <c r="O1588" s="19"/>
      <c r="P1588" s="298" t="str">
        <f>EUconst_CNTR_EmissionsIntSource2 &amp; I1461</f>
        <v>EmInternalSource2_</v>
      </c>
      <c r="Q1588" s="343"/>
      <c r="R1588" s="343"/>
      <c r="S1588" s="343"/>
      <c r="T1588" s="7"/>
      <c r="U1588" s="349"/>
      <c r="V1588" s="349"/>
    </row>
    <row r="1589" spans="1:22" s="534" customFormat="1" ht="12.75" customHeight="1" x14ac:dyDescent="0.25">
      <c r="A1589" s="343"/>
      <c r="B1589" s="15"/>
      <c r="C1589" s="15"/>
      <c r="D1589" s="1454"/>
      <c r="E1589" s="2613" t="str">
        <f>Translations!$B$596</f>
        <v>Importerade eller exporterade växthusgaser</v>
      </c>
      <c r="F1589" s="1997"/>
      <c r="G1589" s="364" t="str">
        <f>EUconst_tCO2epa</f>
        <v>t CO2e/år</v>
      </c>
      <c r="H1589" s="742" t="str">
        <f>IF($I1461="","",IF(INDEX(F_ProductBM!H:H,MATCH($P1589,F_ProductBM!$Q:$Q,0))="","",INDEX(F_ProductBM!H:H,MATCH($P1589,F_ProductBM!$Q:$Q,0))))</f>
        <v/>
      </c>
      <c r="I1589" s="1021" t="str">
        <f>IF($I1461="","",IF(INDEX(F_ProductBM!I:I,MATCH($P1589,F_ProductBM!$Q:$Q,0))="","",INDEX(F_ProductBM!I:I,MATCH($P1589,F_ProductBM!$Q:$Q,0))))</f>
        <v/>
      </c>
      <c r="J1589" s="1158" t="str">
        <f>IF($I1461="","",IF(INDEX(F_ProductBM!J:J,MATCH($P1589,F_ProductBM!$Q:$Q,0))="","",INDEX(F_ProductBM!J:J,MATCH($P1589,F_ProductBM!$Q:$Q,0))))</f>
        <v/>
      </c>
      <c r="K1589" s="742" t="str">
        <f>IF($I1461="","",IF(INDEX(F_ProductBM!K:K,MATCH($P1589,F_ProductBM!$Q:$Q,0))="","",INDEX(F_ProductBM!K:K,MATCH($P1589,F_ProductBM!$Q:$Q,0))))</f>
        <v/>
      </c>
      <c r="L1589" s="742" t="str">
        <f>IF($I1461="","",IF(INDEX(F_ProductBM!L:L,MATCH($P1589,F_ProductBM!$Q:$Q,0))="","",INDEX(F_ProductBM!L:L,MATCH($P1589,F_ProductBM!$Q:$Q,0))))</f>
        <v/>
      </c>
      <c r="M1589" s="742" t="str">
        <f>IF($I1461="","",IF(INDEX(F_ProductBM!M:M,MATCH($P1589,F_ProductBM!$Q:$Q,0))="","",INDEX(F_ProductBM!M:M,MATCH($P1589,F_ProductBM!$Q:$Q,0))))</f>
        <v/>
      </c>
      <c r="N1589" s="1459" t="str">
        <f>IF($I1461="","",IF(INDEX(F_ProductBM!N:N,MATCH($P1589,F_ProductBM!$Q:$Q,0))="","",INDEX(F_ProductBM!N:N,MATCH($P1589,F_ProductBM!$Q:$Q,0))))</f>
        <v/>
      </c>
      <c r="O1589" s="19"/>
      <c r="P1589" s="298" t="str">
        <f>EUconst_CNTR_CO2Feedstock &amp; I1461</f>
        <v>EmCO2Feedstock_</v>
      </c>
      <c r="Q1589" s="343"/>
      <c r="R1589" s="343"/>
      <c r="S1589" s="343"/>
      <c r="T1589" s="7"/>
      <c r="U1589" s="349"/>
      <c r="V1589" s="349"/>
    </row>
    <row r="1590" spans="1:22" s="534" customFormat="1" ht="5.15" customHeight="1" x14ac:dyDescent="0.25">
      <c r="A1590" s="343"/>
      <c r="B1590" s="15"/>
      <c r="C1590" s="15"/>
      <c r="D1590" s="1454"/>
      <c r="E1590" s="899"/>
      <c r="F1590" s="899"/>
      <c r="G1590" s="623"/>
      <c r="H1590" s="741"/>
      <c r="I1590" s="741"/>
      <c r="J1590" s="741"/>
      <c r="K1590" s="741"/>
      <c r="L1590" s="741"/>
      <c r="M1590" s="741"/>
      <c r="N1590" s="1458"/>
      <c r="O1590" s="19"/>
      <c r="P1590" s="343"/>
      <c r="Q1590" s="343"/>
      <c r="R1590" s="343"/>
      <c r="S1590" s="343"/>
      <c r="T1590" s="7"/>
      <c r="U1590" s="349"/>
      <c r="V1590" s="349"/>
    </row>
    <row r="1591" spans="1:22" s="534" customFormat="1" ht="12.75" customHeight="1" x14ac:dyDescent="0.25">
      <c r="A1591" s="343"/>
      <c r="B1591" s="15"/>
      <c r="C1591" s="15"/>
      <c r="D1591" s="1454"/>
      <c r="E1591" s="2611" t="str">
        <f>Translations!$B$604</f>
        <v>Nettomängd importerad värme</v>
      </c>
      <c r="F1591" s="2484"/>
      <c r="G1591" s="365" t="str">
        <f>EUconst_TJpa</f>
        <v>TJ / år</v>
      </c>
      <c r="H1591" s="739" t="str">
        <f>IF($I1461="","",IF(INDEX(F_ProductBM!H:H,MATCH($P1591,F_ProductBM!$Q:$Q,0))="","",INDEX(F_ProductBM!H:H,MATCH($P1591,F_ProductBM!$Q:$Q,0))))</f>
        <v/>
      </c>
      <c r="I1591" s="1153" t="str">
        <f>IF($I1461="","",IF(INDEX(F_ProductBM!I:I,MATCH($P1591,F_ProductBM!$Q:$Q,0))="","",INDEX(F_ProductBM!I:I,MATCH($P1591,F_ProductBM!$Q:$Q,0))))</f>
        <v/>
      </c>
      <c r="J1591" s="1159" t="str">
        <f>IF($I1461="","",IF(INDEX(F_ProductBM!J:J,MATCH($P1591,F_ProductBM!$Q:$Q,0))="","",INDEX(F_ProductBM!J:J,MATCH($P1591,F_ProductBM!$Q:$Q,0))))</f>
        <v/>
      </c>
      <c r="K1591" s="739" t="str">
        <f>IF($I1461="","",IF(INDEX(F_ProductBM!K:K,MATCH($P1591,F_ProductBM!$Q:$Q,0))="","",INDEX(F_ProductBM!K:K,MATCH($P1591,F_ProductBM!$Q:$Q,0))))</f>
        <v/>
      </c>
      <c r="L1591" s="739" t="str">
        <f>IF($I1461="","",IF(INDEX(F_ProductBM!L:L,MATCH($P1591,F_ProductBM!$Q:$Q,0))="","",INDEX(F_ProductBM!L:L,MATCH($P1591,F_ProductBM!$Q:$Q,0))))</f>
        <v/>
      </c>
      <c r="M1591" s="739" t="str">
        <f>IF($I1461="","",IF(INDEX(F_ProductBM!M:M,MATCH($P1591,F_ProductBM!$Q:$Q,0))="","",INDEX(F_ProductBM!M:M,MATCH($P1591,F_ProductBM!$Q:$Q,0))))</f>
        <v/>
      </c>
      <c r="N1591" s="1456" t="str">
        <f>IF($I1461="","",IF(INDEX(F_ProductBM!N:N,MATCH($P1591,F_ProductBM!$Q:$Q,0))="","",INDEX(F_ProductBM!N:N,MATCH($P1591,F_ProductBM!$Q:$Q,0))))</f>
        <v/>
      </c>
      <c r="O1591" s="19"/>
      <c r="P1591" s="298" t="str">
        <f>EUconst_CNTR_HeatImport &amp; I1461</f>
        <v>HeatIm_</v>
      </c>
      <c r="Q1591" s="343"/>
      <c r="R1591" s="343"/>
      <c r="S1591" s="343"/>
      <c r="T1591" s="7"/>
      <c r="U1591" s="349"/>
      <c r="V1591" s="349"/>
    </row>
    <row r="1592" spans="1:22" s="534" customFormat="1" ht="12.75" customHeight="1" x14ac:dyDescent="0.25">
      <c r="A1592" s="343"/>
      <c r="B1592" s="15"/>
      <c r="C1592" s="15"/>
      <c r="D1592" s="1454"/>
      <c r="E1592" s="2612" t="str">
        <f>Translations!$B$605</f>
        <v>Särskild emissionsfaktor (importerad värme)</v>
      </c>
      <c r="F1592" s="2487"/>
      <c r="G1592" s="384" t="str">
        <f>EUconst_tCO2pTJ</f>
        <v>t CO2 / TJ</v>
      </c>
      <c r="H1592" s="740" t="str">
        <f>IF($I1461="","",IF(INDEX(F_ProductBM!H:H,MATCH($P1592,F_ProductBM!$Q:$Q,0))="","",INDEX(F_ProductBM!H:H,MATCH($P1592,F_ProductBM!$Q:$Q,0))))</f>
        <v/>
      </c>
      <c r="I1592" s="1154" t="str">
        <f>IF($I1461="","",IF(INDEX(F_ProductBM!I:I,MATCH($P1592,F_ProductBM!$Q:$Q,0))="","",INDEX(F_ProductBM!I:I,MATCH($P1592,F_ProductBM!$Q:$Q,0))))</f>
        <v/>
      </c>
      <c r="J1592" s="1160" t="str">
        <f>IF($I1461="","",IF(INDEX(F_ProductBM!J:J,MATCH($P1592,F_ProductBM!$Q:$Q,0))="","",INDEX(F_ProductBM!J:J,MATCH($P1592,F_ProductBM!$Q:$Q,0))))</f>
        <v/>
      </c>
      <c r="K1592" s="740" t="str">
        <f>IF($I1461="","",IF(INDEX(F_ProductBM!K:K,MATCH($P1592,F_ProductBM!$Q:$Q,0))="","",INDEX(F_ProductBM!K:K,MATCH($P1592,F_ProductBM!$Q:$Q,0))))</f>
        <v/>
      </c>
      <c r="L1592" s="740" t="str">
        <f>IF($I1461="","",IF(INDEX(F_ProductBM!L:L,MATCH($P1592,F_ProductBM!$Q:$Q,0))="","",INDEX(F_ProductBM!L:L,MATCH($P1592,F_ProductBM!$Q:$Q,0))))</f>
        <v/>
      </c>
      <c r="M1592" s="740" t="str">
        <f>IF($I1461="","",IF(INDEX(F_ProductBM!M:M,MATCH($P1592,F_ProductBM!$Q:$Q,0))="","",INDEX(F_ProductBM!M:M,MATCH($P1592,F_ProductBM!$Q:$Q,0))))</f>
        <v/>
      </c>
      <c r="N1592" s="1457" t="str">
        <f>IF($I1461="","",IF(INDEX(F_ProductBM!N:N,MATCH($P1592,F_ProductBM!$Q:$Q,0))="","",INDEX(F_ProductBM!N:N,MATCH($P1592,F_ProductBM!$Q:$Q,0))))</f>
        <v/>
      </c>
      <c r="O1592" s="19"/>
      <c r="P1592" s="298" t="str">
        <f>EUconst_CNTR_HeatImportEF &amp; I1461</f>
        <v>HeatImEF_</v>
      </c>
      <c r="Q1592" s="343"/>
      <c r="R1592" s="343"/>
      <c r="S1592" s="343"/>
      <c r="T1592" s="7"/>
      <c r="U1592" s="349"/>
      <c r="V1592" s="349"/>
    </row>
    <row r="1593" spans="1:22" s="534" customFormat="1" ht="5.15" customHeight="1" x14ac:dyDescent="0.25">
      <c r="A1593" s="343"/>
      <c r="B1593" s="15"/>
      <c r="C1593" s="15"/>
      <c r="D1593" s="1454"/>
      <c r="E1593" s="899"/>
      <c r="F1593" s="899"/>
      <c r="G1593" s="623"/>
      <c r="H1593" s="741"/>
      <c r="I1593" s="741"/>
      <c r="J1593" s="741"/>
      <c r="K1593" s="741"/>
      <c r="L1593" s="741"/>
      <c r="M1593" s="741"/>
      <c r="N1593" s="1458"/>
      <c r="O1593" s="19"/>
      <c r="P1593" s="7"/>
      <c r="Q1593" s="343"/>
      <c r="R1593" s="343"/>
      <c r="S1593" s="343"/>
      <c r="T1593" s="7"/>
      <c r="U1593" s="349"/>
      <c r="V1593" s="349"/>
    </row>
    <row r="1594" spans="1:22" s="534" customFormat="1" ht="12.75" customHeight="1" x14ac:dyDescent="0.25">
      <c r="A1594" s="343"/>
      <c r="B1594" s="15"/>
      <c r="C1594" s="15"/>
      <c r="D1594" s="1454"/>
      <c r="E1594" s="2613" t="str">
        <f>Translations!$B$659</f>
        <v>Importerad nettovärme från massa</v>
      </c>
      <c r="F1594" s="1997"/>
      <c r="G1594" s="364" t="str">
        <f>EUconst_TJpa</f>
        <v>TJ / år</v>
      </c>
      <c r="H1594" s="742" t="str">
        <f>IF($I1461="","",IF(INDEX(F_ProductBM!H:H,MATCH($P1594,F_ProductBM!$Q:$Q,0))="","",INDEX(F_ProductBM!H:H,MATCH($P1594,F_ProductBM!$Q:$Q,0))))</f>
        <v/>
      </c>
      <c r="I1594" s="1021" t="str">
        <f>IF($I1461="","",IF(INDEX(F_ProductBM!I:I,MATCH($P1594,F_ProductBM!$Q:$Q,0))="","",INDEX(F_ProductBM!I:I,MATCH($P1594,F_ProductBM!$Q:$Q,0))))</f>
        <v/>
      </c>
      <c r="J1594" s="1158" t="str">
        <f>IF($I1461="","",IF(INDEX(F_ProductBM!J:J,MATCH($P1594,F_ProductBM!$Q:$Q,0))="","",INDEX(F_ProductBM!J:J,MATCH($P1594,F_ProductBM!$Q:$Q,0))))</f>
        <v/>
      </c>
      <c r="K1594" s="742" t="str">
        <f>IF($I1461="","",IF(INDEX(F_ProductBM!K:K,MATCH($P1594,F_ProductBM!$Q:$Q,0))="","",INDEX(F_ProductBM!K:K,MATCH($P1594,F_ProductBM!$Q:$Q,0))))</f>
        <v/>
      </c>
      <c r="L1594" s="742" t="str">
        <f>IF($I1461="","",IF(INDEX(F_ProductBM!L:L,MATCH($P1594,F_ProductBM!$Q:$Q,0))="","",INDEX(F_ProductBM!L:L,MATCH($P1594,F_ProductBM!$Q:$Q,0))))</f>
        <v/>
      </c>
      <c r="M1594" s="742" t="str">
        <f>IF($I1461="","",IF(INDEX(F_ProductBM!M:M,MATCH($P1594,F_ProductBM!$Q:$Q,0))="","",INDEX(F_ProductBM!M:M,MATCH($P1594,F_ProductBM!$Q:$Q,0))))</f>
        <v/>
      </c>
      <c r="N1594" s="1459" t="str">
        <f>IF($I1461="","",IF(INDEX(F_ProductBM!N:N,MATCH($P1594,F_ProductBM!$Q:$Q,0))="","",INDEX(F_ProductBM!N:N,MATCH($P1594,F_ProductBM!$Q:$Q,0))))</f>
        <v/>
      </c>
      <c r="O1594" s="19"/>
      <c r="P1594" s="298" t="str">
        <f>EUconst_CNTR_HeatImportPulp &amp; I1461</f>
        <v>HeatImPulp_</v>
      </c>
      <c r="Q1594" s="343"/>
      <c r="R1594" s="343"/>
      <c r="S1594" s="343"/>
      <c r="T1594" s="7"/>
      <c r="U1594" s="349"/>
      <c r="V1594" s="349"/>
    </row>
    <row r="1595" spans="1:22" s="534" customFormat="1" ht="12.75" customHeight="1" x14ac:dyDescent="0.25">
      <c r="A1595" s="343"/>
      <c r="B1595" s="15"/>
      <c r="C1595" s="15"/>
      <c r="D1595" s="1454"/>
      <c r="E1595" s="2613" t="str">
        <f>Translations!$B$608</f>
        <v>Nettomängd importerad värme från delanläggningar för salpetersyra</v>
      </c>
      <c r="F1595" s="1997"/>
      <c r="G1595" s="364" t="str">
        <f>EUconst_TJpa</f>
        <v>TJ / år</v>
      </c>
      <c r="H1595" s="742" t="str">
        <f>IF($I1461="","",IF(INDEX(F_ProductBM!H:H,MATCH($P1595,F_ProductBM!$Q:$Q,0))="","",INDEX(F_ProductBM!H:H,MATCH($P1595,F_ProductBM!$Q:$Q,0))))</f>
        <v/>
      </c>
      <c r="I1595" s="1021" t="str">
        <f>IF($I1461="","",IF(INDEX(F_ProductBM!I:I,MATCH($P1595,F_ProductBM!$Q:$Q,0))="","",INDEX(F_ProductBM!I:I,MATCH($P1595,F_ProductBM!$Q:$Q,0))))</f>
        <v/>
      </c>
      <c r="J1595" s="1158" t="str">
        <f>IF($I1461="","",IF(INDEX(F_ProductBM!J:J,MATCH($P1595,F_ProductBM!$Q:$Q,0))="","",INDEX(F_ProductBM!J:J,MATCH($P1595,F_ProductBM!$Q:$Q,0))))</f>
        <v/>
      </c>
      <c r="K1595" s="742" t="str">
        <f>IF($I1461="","",IF(INDEX(F_ProductBM!K:K,MATCH($P1595,F_ProductBM!$Q:$Q,0))="","",INDEX(F_ProductBM!K:K,MATCH($P1595,F_ProductBM!$Q:$Q,0))))</f>
        <v/>
      </c>
      <c r="L1595" s="742" t="str">
        <f>IF($I1461="","",IF(INDEX(F_ProductBM!L:L,MATCH($P1595,F_ProductBM!$Q:$Q,0))="","",INDEX(F_ProductBM!L:L,MATCH($P1595,F_ProductBM!$Q:$Q,0))))</f>
        <v/>
      </c>
      <c r="M1595" s="742" t="str">
        <f>IF($I1461="","",IF(INDEX(F_ProductBM!M:M,MATCH($P1595,F_ProductBM!$Q:$Q,0))="","",INDEX(F_ProductBM!M:M,MATCH($P1595,F_ProductBM!$Q:$Q,0))))</f>
        <v/>
      </c>
      <c r="N1595" s="1459" t="str">
        <f>IF($I1461="","",IF(INDEX(F_ProductBM!N:N,MATCH($P1595,F_ProductBM!$Q:$Q,0))="","",INDEX(F_ProductBM!N:N,MATCH($P1595,F_ProductBM!$Q:$Q,0))))</f>
        <v/>
      </c>
      <c r="O1595" s="19"/>
      <c r="P1595" s="298" t="str">
        <f>EUconst_CNTR_HeatImportNitric &amp; I1461</f>
        <v>HeatImNitric_</v>
      </c>
      <c r="Q1595" s="343"/>
      <c r="R1595" s="343"/>
      <c r="S1595" s="343"/>
      <c r="T1595" s="7"/>
      <c r="U1595" s="349"/>
      <c r="V1595" s="349"/>
    </row>
    <row r="1596" spans="1:22" s="534" customFormat="1" ht="5.15" customHeight="1" x14ac:dyDescent="0.25">
      <c r="A1596" s="343"/>
      <c r="B1596" s="15"/>
      <c r="C1596" s="15"/>
      <c r="D1596" s="1454"/>
      <c r="E1596" s="899"/>
      <c r="F1596" s="899"/>
      <c r="G1596" s="416"/>
      <c r="H1596" s="741"/>
      <c r="I1596" s="741"/>
      <c r="J1596" s="741"/>
      <c r="K1596" s="741"/>
      <c r="L1596" s="741"/>
      <c r="M1596" s="741"/>
      <c r="N1596" s="1458"/>
      <c r="O1596" s="19"/>
      <c r="P1596" s="7"/>
      <c r="Q1596" s="343"/>
      <c r="R1596" s="343"/>
      <c r="S1596" s="343"/>
      <c r="T1596" s="7"/>
      <c r="U1596" s="349"/>
      <c r="V1596" s="349"/>
    </row>
    <row r="1597" spans="1:22" s="534" customFormat="1" ht="12.75" customHeight="1" x14ac:dyDescent="0.25">
      <c r="A1597" s="343"/>
      <c r="B1597" s="15"/>
      <c r="C1597" s="15"/>
      <c r="D1597" s="1454"/>
      <c r="E1597" s="2611" t="str">
        <f>Translations!$B$610</f>
        <v>Nettomängd exporterad värme</v>
      </c>
      <c r="F1597" s="2484"/>
      <c r="G1597" s="365" t="str">
        <f>EUconst_TJpa</f>
        <v>TJ / år</v>
      </c>
      <c r="H1597" s="739" t="str">
        <f>IF($I1461="","",IF(INDEX(F_ProductBM!H:H,MATCH($P1597,F_ProductBM!$Q:$Q,0))="","",INDEX(F_ProductBM!H:H,MATCH($P1597,F_ProductBM!$Q:$Q,0))))</f>
        <v/>
      </c>
      <c r="I1597" s="1153" t="str">
        <f>IF($I1461="","",IF(INDEX(F_ProductBM!I:I,MATCH($P1597,F_ProductBM!$Q:$Q,0))="","",INDEX(F_ProductBM!I:I,MATCH($P1597,F_ProductBM!$Q:$Q,0))))</f>
        <v/>
      </c>
      <c r="J1597" s="1159" t="str">
        <f>IF($I1461="","",IF(INDEX(F_ProductBM!J:J,MATCH($P1597,F_ProductBM!$Q:$Q,0))="","",INDEX(F_ProductBM!J:J,MATCH($P1597,F_ProductBM!$Q:$Q,0))))</f>
        <v/>
      </c>
      <c r="K1597" s="739" t="str">
        <f>IF($I1461="","",IF(INDEX(F_ProductBM!K:K,MATCH($P1597,F_ProductBM!$Q:$Q,0))="","",INDEX(F_ProductBM!K:K,MATCH($P1597,F_ProductBM!$Q:$Q,0))))</f>
        <v/>
      </c>
      <c r="L1597" s="739" t="str">
        <f>IF($I1461="","",IF(INDEX(F_ProductBM!L:L,MATCH($P1597,F_ProductBM!$Q:$Q,0))="","",INDEX(F_ProductBM!L:L,MATCH($P1597,F_ProductBM!$Q:$Q,0))))</f>
        <v/>
      </c>
      <c r="M1597" s="739" t="str">
        <f>IF($I1461="","",IF(INDEX(F_ProductBM!M:M,MATCH($P1597,F_ProductBM!$Q:$Q,0))="","",INDEX(F_ProductBM!M:M,MATCH($P1597,F_ProductBM!$Q:$Q,0))))</f>
        <v/>
      </c>
      <c r="N1597" s="1456" t="str">
        <f>IF($I1461="","",IF(INDEX(F_ProductBM!N:N,MATCH($P1597,F_ProductBM!$Q:$Q,0))="","",INDEX(F_ProductBM!N:N,MATCH($P1597,F_ProductBM!$Q:$Q,0))))</f>
        <v/>
      </c>
      <c r="O1597" s="19"/>
      <c r="P1597" s="298" t="str">
        <f>EUconst_CNTR_HeatExport &amp; I1461</f>
        <v>HeatEx_</v>
      </c>
      <c r="Q1597" s="343"/>
      <c r="R1597" s="343"/>
      <c r="S1597" s="343"/>
      <c r="T1597" s="7"/>
      <c r="U1597" s="349"/>
      <c r="V1597" s="349"/>
    </row>
    <row r="1598" spans="1:22" s="534" customFormat="1" ht="12.75" customHeight="1" x14ac:dyDescent="0.25">
      <c r="A1598" s="343"/>
      <c r="B1598" s="15"/>
      <c r="C1598" s="15"/>
      <c r="D1598" s="1454"/>
      <c r="E1598" s="2612" t="str">
        <f>Translations!$B$611</f>
        <v>Särskild emissionsfaktor (exporterad värme)</v>
      </c>
      <c r="F1598" s="2487"/>
      <c r="G1598" s="384" t="str">
        <f>EUconst_tCO2pTJ</f>
        <v>t CO2 / TJ</v>
      </c>
      <c r="H1598" s="740" t="str">
        <f>IF($I1461="","",IF(INDEX(F_ProductBM!H:H,MATCH($P1598,F_ProductBM!$Q:$Q,0))="","",INDEX(F_ProductBM!H:H,MATCH($P1598,F_ProductBM!$Q:$Q,0))))</f>
        <v/>
      </c>
      <c r="I1598" s="1154" t="str">
        <f>IF($I1461="","",IF(INDEX(F_ProductBM!I:I,MATCH($P1598,F_ProductBM!$Q:$Q,0))="","",INDEX(F_ProductBM!I:I,MATCH($P1598,F_ProductBM!$Q:$Q,0))))</f>
        <v/>
      </c>
      <c r="J1598" s="1160" t="str">
        <f>IF($I1461="","",IF(INDEX(F_ProductBM!J:J,MATCH($P1598,F_ProductBM!$Q:$Q,0))="","",INDEX(F_ProductBM!J:J,MATCH($P1598,F_ProductBM!$Q:$Q,0))))</f>
        <v/>
      </c>
      <c r="K1598" s="740" t="str">
        <f>IF($I1461="","",IF(INDEX(F_ProductBM!K:K,MATCH($P1598,F_ProductBM!$Q:$Q,0))="","",INDEX(F_ProductBM!K:K,MATCH($P1598,F_ProductBM!$Q:$Q,0))))</f>
        <v/>
      </c>
      <c r="L1598" s="740" t="str">
        <f>IF($I1461="","",IF(INDEX(F_ProductBM!L:L,MATCH($P1598,F_ProductBM!$Q:$Q,0))="","",INDEX(F_ProductBM!L:L,MATCH($P1598,F_ProductBM!$Q:$Q,0))))</f>
        <v/>
      </c>
      <c r="M1598" s="740" t="str">
        <f>IF($I1461="","",IF(INDEX(F_ProductBM!M:M,MATCH($P1598,F_ProductBM!$Q:$Q,0))="","",INDEX(F_ProductBM!M:M,MATCH($P1598,F_ProductBM!$Q:$Q,0))))</f>
        <v/>
      </c>
      <c r="N1598" s="1457" t="str">
        <f>IF($I1461="","",IF(INDEX(F_ProductBM!N:N,MATCH($P1598,F_ProductBM!$Q:$Q,0))="","",INDEX(F_ProductBM!N:N,MATCH($P1598,F_ProductBM!$Q:$Q,0))))</f>
        <v/>
      </c>
      <c r="O1598" s="19"/>
      <c r="P1598" s="298" t="str">
        <f>EUconst_CNTR_HeatExportEF &amp; I1461</f>
        <v>HeatExEF_</v>
      </c>
      <c r="Q1598" s="343"/>
      <c r="R1598" s="343"/>
      <c r="S1598" s="343"/>
      <c r="T1598" s="7"/>
      <c r="U1598" s="349"/>
      <c r="V1598" s="349"/>
    </row>
    <row r="1599" spans="1:22" s="534" customFormat="1" ht="5.15" customHeight="1" x14ac:dyDescent="0.25">
      <c r="A1599" s="343"/>
      <c r="B1599" s="15"/>
      <c r="C1599" s="15"/>
      <c r="D1599" s="1454"/>
      <c r="E1599" s="899"/>
      <c r="F1599" s="899"/>
      <c r="G1599" s="416"/>
      <c r="H1599" s="741"/>
      <c r="I1599" s="741"/>
      <c r="J1599" s="741"/>
      <c r="K1599" s="741"/>
      <c r="L1599" s="741"/>
      <c r="M1599" s="741"/>
      <c r="N1599" s="1458"/>
      <c r="O1599" s="19"/>
      <c r="P1599" s="7"/>
      <c r="Q1599" s="343"/>
      <c r="R1599" s="343"/>
      <c r="S1599" s="343"/>
      <c r="T1599" s="7"/>
      <c r="U1599" s="349"/>
      <c r="V1599" s="349"/>
    </row>
    <row r="1600" spans="1:22" s="534" customFormat="1" ht="12.75" customHeight="1" x14ac:dyDescent="0.25">
      <c r="A1600" s="343"/>
      <c r="B1600" s="15"/>
      <c r="C1600" s="15"/>
      <c r="D1600" s="1454"/>
      <c r="E1600" s="2611" t="str">
        <f>Translations!$B$618</f>
        <v>Producerad restgas</v>
      </c>
      <c r="F1600" s="2484"/>
      <c r="G1600" s="365" t="str">
        <f>EUconst_TJpa</f>
        <v>TJ / år</v>
      </c>
      <c r="H1600" s="739" t="str">
        <f>IF($I1461="","",IF(INDEX(F_ProductBM!H:H,MATCH($P1600,F_ProductBM!$Q:$Q,0))="","",INDEX(F_ProductBM!H:H,MATCH($P1600,F_ProductBM!$Q:$Q,0))))</f>
        <v/>
      </c>
      <c r="I1600" s="1153" t="str">
        <f>IF($I1461="","",IF(INDEX(F_ProductBM!I:I,MATCH($P1600,F_ProductBM!$Q:$Q,0))="","",INDEX(F_ProductBM!I:I,MATCH($P1600,F_ProductBM!$Q:$Q,0))))</f>
        <v/>
      </c>
      <c r="J1600" s="1159" t="str">
        <f>IF($I1461="","",IF(INDEX(F_ProductBM!J:J,MATCH($P1600,F_ProductBM!$Q:$Q,0))="","",INDEX(F_ProductBM!J:J,MATCH($P1600,F_ProductBM!$Q:$Q,0))))</f>
        <v/>
      </c>
      <c r="K1600" s="739" t="str">
        <f>IF($I1461="","",IF(INDEX(F_ProductBM!K:K,MATCH($P1600,F_ProductBM!$Q:$Q,0))="","",INDEX(F_ProductBM!K:K,MATCH($P1600,F_ProductBM!$Q:$Q,0))))</f>
        <v/>
      </c>
      <c r="L1600" s="739" t="str">
        <f>IF($I1461="","",IF(INDEX(F_ProductBM!L:L,MATCH($P1600,F_ProductBM!$Q:$Q,0))="","",INDEX(F_ProductBM!L:L,MATCH($P1600,F_ProductBM!$Q:$Q,0))))</f>
        <v/>
      </c>
      <c r="M1600" s="739" t="str">
        <f>IF($I1461="","",IF(INDEX(F_ProductBM!M:M,MATCH($P1600,F_ProductBM!$Q:$Q,0))="","",INDEX(F_ProductBM!M:M,MATCH($P1600,F_ProductBM!$Q:$Q,0))))</f>
        <v/>
      </c>
      <c r="N1600" s="1456" t="str">
        <f>IF($I1461="","",IF(INDEX(F_ProductBM!N:N,MATCH($P1600,F_ProductBM!$Q:$Q,0))="","",INDEX(F_ProductBM!N:N,MATCH($P1600,F_ProductBM!$Q:$Q,0))))</f>
        <v/>
      </c>
      <c r="O1600" s="19"/>
      <c r="P1600" s="622" t="str">
        <f>EUconst_CNTR_WGProduced &amp; I1461</f>
        <v>WasteGasProd_</v>
      </c>
      <c r="Q1600" s="343"/>
      <c r="R1600" s="343"/>
      <c r="S1600" s="343"/>
      <c r="T1600" s="7"/>
      <c r="U1600" s="349"/>
      <c r="V1600" s="349"/>
    </row>
    <row r="1601" spans="1:22" s="534" customFormat="1" ht="12.75" customHeight="1" x14ac:dyDescent="0.25">
      <c r="A1601" s="343"/>
      <c r="B1601" s="15"/>
      <c r="C1601" s="15"/>
      <c r="D1601" s="1454"/>
      <c r="E1601" s="2612" t="str">
        <f>Translations!$B$619</f>
        <v>Särskild emissionsfaktor (producerad restgas)</v>
      </c>
      <c r="F1601" s="2487"/>
      <c r="G1601" s="384" t="str">
        <f>EUconst_tCO2pTJ</f>
        <v>t CO2 / TJ</v>
      </c>
      <c r="H1601" s="740" t="str">
        <f>IF($I1461="","",IF(INDEX(F_ProductBM!H:H,MATCH($P1601,F_ProductBM!$Q:$Q,0))="","",INDEX(F_ProductBM!H:H,MATCH($P1601,F_ProductBM!$Q:$Q,0))))</f>
        <v/>
      </c>
      <c r="I1601" s="1154" t="str">
        <f>IF($I1461="","",IF(INDEX(F_ProductBM!I:I,MATCH($P1601,F_ProductBM!$Q:$Q,0))="","",INDEX(F_ProductBM!I:I,MATCH($P1601,F_ProductBM!$Q:$Q,0))))</f>
        <v/>
      </c>
      <c r="J1601" s="1160" t="str">
        <f>IF($I1461="","",IF(INDEX(F_ProductBM!J:J,MATCH($P1601,F_ProductBM!$Q:$Q,0))="","",INDEX(F_ProductBM!J:J,MATCH($P1601,F_ProductBM!$Q:$Q,0))))</f>
        <v/>
      </c>
      <c r="K1601" s="740" t="str">
        <f>IF($I1461="","",IF(INDEX(F_ProductBM!K:K,MATCH($P1601,F_ProductBM!$Q:$Q,0))="","",INDEX(F_ProductBM!K:K,MATCH($P1601,F_ProductBM!$Q:$Q,0))))</f>
        <v/>
      </c>
      <c r="L1601" s="740" t="str">
        <f>IF($I1461="","",IF(INDEX(F_ProductBM!L:L,MATCH($P1601,F_ProductBM!$Q:$Q,0))="","",INDEX(F_ProductBM!L:L,MATCH($P1601,F_ProductBM!$Q:$Q,0))))</f>
        <v/>
      </c>
      <c r="M1601" s="740" t="str">
        <f>IF($I1461="","",IF(INDEX(F_ProductBM!M:M,MATCH($P1601,F_ProductBM!$Q:$Q,0))="","",INDEX(F_ProductBM!M:M,MATCH($P1601,F_ProductBM!$Q:$Q,0))))</f>
        <v/>
      </c>
      <c r="N1601" s="1457" t="str">
        <f>IF($I1461="","",IF(INDEX(F_ProductBM!N:N,MATCH($P1601,F_ProductBM!$Q:$Q,0))="","",INDEX(F_ProductBM!N:N,MATCH($P1601,F_ProductBM!$Q:$Q,0))))</f>
        <v/>
      </c>
      <c r="O1601" s="19"/>
      <c r="P1601" s="298" t="str">
        <f>EUconst_CNTR_WGProducedEF &amp; I1461</f>
        <v>WasteGasProdEF_</v>
      </c>
      <c r="Q1601" s="343"/>
      <c r="R1601" s="343"/>
      <c r="S1601" s="343"/>
      <c r="T1601" s="7"/>
      <c r="U1601" s="349"/>
      <c r="V1601" s="349"/>
    </row>
    <row r="1602" spans="1:22" s="534" customFormat="1" ht="12.75" customHeight="1" x14ac:dyDescent="0.25">
      <c r="A1602" s="343"/>
      <c r="B1602" s="15"/>
      <c r="C1602" s="15"/>
      <c r="D1602" s="1454"/>
      <c r="E1602" s="2611" t="str">
        <f>Translations!$B$623</f>
        <v>Förbrukad restgas</v>
      </c>
      <c r="F1602" s="2484"/>
      <c r="G1602" s="365" t="str">
        <f>EUconst_TJpa</f>
        <v>TJ / år</v>
      </c>
      <c r="H1602" s="739" t="str">
        <f>IF($I1461="","",IF(INDEX(F_ProductBM!H:H,MATCH($P1602,F_ProductBM!$Q:$Q,0))="","",INDEX(F_ProductBM!H:H,MATCH($P1602,F_ProductBM!$Q:$Q,0))))</f>
        <v/>
      </c>
      <c r="I1602" s="1153" t="str">
        <f>IF($I1461="","",IF(INDEX(F_ProductBM!I:I,MATCH($P1602,F_ProductBM!$Q:$Q,0))="","",INDEX(F_ProductBM!I:I,MATCH($P1602,F_ProductBM!$Q:$Q,0))))</f>
        <v/>
      </c>
      <c r="J1602" s="1159" t="str">
        <f>IF($I1461="","",IF(INDEX(F_ProductBM!J:J,MATCH($P1602,F_ProductBM!$Q:$Q,0))="","",INDEX(F_ProductBM!J:J,MATCH($P1602,F_ProductBM!$Q:$Q,0))))</f>
        <v/>
      </c>
      <c r="K1602" s="739" t="str">
        <f>IF($I1461="","",IF(INDEX(F_ProductBM!K:K,MATCH($P1602,F_ProductBM!$Q:$Q,0))="","",INDEX(F_ProductBM!K:K,MATCH($P1602,F_ProductBM!$Q:$Q,0))))</f>
        <v/>
      </c>
      <c r="L1602" s="739" t="str">
        <f>IF($I1461="","",IF(INDEX(F_ProductBM!L:L,MATCH($P1602,F_ProductBM!$Q:$Q,0))="","",INDEX(F_ProductBM!L:L,MATCH($P1602,F_ProductBM!$Q:$Q,0))))</f>
        <v/>
      </c>
      <c r="M1602" s="739" t="str">
        <f>IF($I1461="","",IF(INDEX(F_ProductBM!M:M,MATCH($P1602,F_ProductBM!$Q:$Q,0))="","",INDEX(F_ProductBM!M:M,MATCH($P1602,F_ProductBM!$Q:$Q,0))))</f>
        <v/>
      </c>
      <c r="N1602" s="1456" t="str">
        <f>IF($I1461="","",IF(INDEX(F_ProductBM!N:N,MATCH($P1602,F_ProductBM!$Q:$Q,0))="","",INDEX(F_ProductBM!N:N,MATCH($P1602,F_ProductBM!$Q:$Q,0))))</f>
        <v/>
      </c>
      <c r="O1602" s="19"/>
      <c r="P1602" s="298" t="str">
        <f>EUconst_CNTR_WGConsumed &amp; I1461</f>
        <v>WasteGasCons_</v>
      </c>
      <c r="Q1602" s="343"/>
      <c r="R1602" s="343"/>
      <c r="S1602" s="343"/>
      <c r="T1602" s="7"/>
      <c r="U1602" s="349"/>
      <c r="V1602" s="349"/>
    </row>
    <row r="1603" spans="1:22" s="534" customFormat="1" ht="12.75" customHeight="1" x14ac:dyDescent="0.25">
      <c r="A1603" s="343"/>
      <c r="B1603" s="15"/>
      <c r="C1603" s="15"/>
      <c r="D1603" s="1454"/>
      <c r="E1603" s="2612" t="str">
        <f>Translations!$B$624</f>
        <v>Särskild emissionsfaktor (förbrukad restgas)</v>
      </c>
      <c r="F1603" s="2487"/>
      <c r="G1603" s="384" t="str">
        <f>EUconst_tCO2pTJ</f>
        <v>t CO2 / TJ</v>
      </c>
      <c r="H1603" s="740" t="str">
        <f>IF($I1461="","",IF(INDEX(F_ProductBM!H:H,MATCH($P1603,F_ProductBM!$Q:$Q,0))="","",INDEX(F_ProductBM!H:H,MATCH($P1603,F_ProductBM!$Q:$Q,0))))</f>
        <v/>
      </c>
      <c r="I1603" s="1154" t="str">
        <f>IF($I1461="","",IF(INDEX(F_ProductBM!I:I,MATCH($P1603,F_ProductBM!$Q:$Q,0))="","",INDEX(F_ProductBM!I:I,MATCH($P1603,F_ProductBM!$Q:$Q,0))))</f>
        <v/>
      </c>
      <c r="J1603" s="1160" t="str">
        <f>IF($I1461="","",IF(INDEX(F_ProductBM!J:J,MATCH($P1603,F_ProductBM!$Q:$Q,0))="","",INDEX(F_ProductBM!J:J,MATCH($P1603,F_ProductBM!$Q:$Q,0))))</f>
        <v/>
      </c>
      <c r="K1603" s="740" t="str">
        <f>IF($I1461="","",IF(INDEX(F_ProductBM!K:K,MATCH($P1603,F_ProductBM!$Q:$Q,0))="","",INDEX(F_ProductBM!K:K,MATCH($P1603,F_ProductBM!$Q:$Q,0))))</f>
        <v/>
      </c>
      <c r="L1603" s="740" t="str">
        <f>IF($I1461="","",IF(INDEX(F_ProductBM!L:L,MATCH($P1603,F_ProductBM!$Q:$Q,0))="","",INDEX(F_ProductBM!L:L,MATCH($P1603,F_ProductBM!$Q:$Q,0))))</f>
        <v/>
      </c>
      <c r="M1603" s="740" t="str">
        <f>IF($I1461="","",IF(INDEX(F_ProductBM!M:M,MATCH($P1603,F_ProductBM!$Q:$Q,0))="","",INDEX(F_ProductBM!M:M,MATCH($P1603,F_ProductBM!$Q:$Q,0))))</f>
        <v/>
      </c>
      <c r="N1603" s="1457" t="str">
        <f>IF($I1461="","",IF(INDEX(F_ProductBM!N:N,MATCH($P1603,F_ProductBM!$Q:$Q,0))="","",INDEX(F_ProductBM!N:N,MATCH($P1603,F_ProductBM!$Q:$Q,0))))</f>
        <v/>
      </c>
      <c r="O1603" s="19"/>
      <c r="P1603" s="298" t="str">
        <f>EUconst_CNTR_WGConsumedEF &amp; I1461</f>
        <v>WasteGasConsEF_</v>
      </c>
      <c r="Q1603" s="343"/>
      <c r="R1603" s="343"/>
      <c r="S1603" s="343"/>
      <c r="T1603" s="7"/>
      <c r="U1603" s="349"/>
      <c r="V1603" s="349"/>
    </row>
    <row r="1604" spans="1:22" s="534" customFormat="1" ht="12.75" customHeight="1" x14ac:dyDescent="0.25">
      <c r="A1604" s="343"/>
      <c r="B1604" s="15"/>
      <c r="C1604" s="15"/>
      <c r="D1604" s="1454"/>
      <c r="E1604" s="2611" t="str">
        <f>Translations!$B$630</f>
        <v>Facklad restgas</v>
      </c>
      <c r="F1604" s="2484"/>
      <c r="G1604" s="365" t="str">
        <f>EUconst_TJpa</f>
        <v>TJ / år</v>
      </c>
      <c r="H1604" s="739" t="str">
        <f>IF($I1461="","",IF(INDEX(F_ProductBM!H:H,MATCH($P1604,F_ProductBM!$Q:$Q,0))="","",INDEX(F_ProductBM!H:H,MATCH($P1604,F_ProductBM!$Q:$Q,0))))</f>
        <v/>
      </c>
      <c r="I1604" s="1153" t="str">
        <f>IF($I1461="","",IF(INDEX(F_ProductBM!I:I,MATCH($P1604,F_ProductBM!$Q:$Q,0))="","",INDEX(F_ProductBM!I:I,MATCH($P1604,F_ProductBM!$Q:$Q,0))))</f>
        <v/>
      </c>
      <c r="J1604" s="1159" t="str">
        <f>IF($I1461="","",IF(INDEX(F_ProductBM!J:J,MATCH($P1604,F_ProductBM!$Q:$Q,0))="","",INDEX(F_ProductBM!J:J,MATCH($P1604,F_ProductBM!$Q:$Q,0))))</f>
        <v/>
      </c>
      <c r="K1604" s="739" t="str">
        <f>IF($I1461="","",IF(INDEX(F_ProductBM!K:K,MATCH($P1604,F_ProductBM!$Q:$Q,0))="","",INDEX(F_ProductBM!K:K,MATCH($P1604,F_ProductBM!$Q:$Q,0))))</f>
        <v/>
      </c>
      <c r="L1604" s="739" t="str">
        <f>IF($I1461="","",IF(INDEX(F_ProductBM!L:L,MATCH($P1604,F_ProductBM!$Q:$Q,0))="","",INDEX(F_ProductBM!L:L,MATCH($P1604,F_ProductBM!$Q:$Q,0))))</f>
        <v/>
      </c>
      <c r="M1604" s="739" t="str">
        <f>IF($I1461="","",IF(INDEX(F_ProductBM!M:M,MATCH($P1604,F_ProductBM!$Q:$Q,0))="","",INDEX(F_ProductBM!M:M,MATCH($P1604,F_ProductBM!$Q:$Q,0))))</f>
        <v/>
      </c>
      <c r="N1604" s="1456" t="str">
        <f>IF($I1461="","",IF(INDEX(F_ProductBM!N:N,MATCH($P1604,F_ProductBM!$Q:$Q,0))="","",INDEX(F_ProductBM!N:N,MATCH($P1604,F_ProductBM!$Q:$Q,0))))</f>
        <v/>
      </c>
      <c r="O1604" s="19"/>
      <c r="P1604" s="298" t="str">
        <f>EUconst_CNTR_WGFlared &amp; I1461</f>
        <v>WasteGasFlare_</v>
      </c>
      <c r="Q1604" s="343"/>
      <c r="R1604" s="343"/>
      <c r="S1604" s="343"/>
      <c r="T1604" s="7"/>
      <c r="U1604" s="349"/>
      <c r="V1604" s="349"/>
    </row>
    <row r="1605" spans="1:22" s="534" customFormat="1" ht="12.75" customHeight="1" x14ac:dyDescent="0.25">
      <c r="A1605" s="343"/>
      <c r="B1605" s="15"/>
      <c r="C1605" s="15"/>
      <c r="D1605" s="1454"/>
      <c r="E1605" s="2612" t="str">
        <f>Translations!$B$631</f>
        <v>Särskild emissionsfaktor (facklad restgas)</v>
      </c>
      <c r="F1605" s="2487"/>
      <c r="G1605" s="384" t="str">
        <f>EUconst_tCO2pTJ</f>
        <v>t CO2 / TJ</v>
      </c>
      <c r="H1605" s="740" t="str">
        <f>IF($I1461="","",IF(INDEX(F_ProductBM!H:H,MATCH($P1605,F_ProductBM!$Q:$Q,0))="","",INDEX(F_ProductBM!H:H,MATCH($P1605,F_ProductBM!$Q:$Q,0))))</f>
        <v/>
      </c>
      <c r="I1605" s="1154" t="str">
        <f>IF($I1461="","",IF(INDEX(F_ProductBM!I:I,MATCH($P1605,F_ProductBM!$Q:$Q,0))="","",INDEX(F_ProductBM!I:I,MATCH($P1605,F_ProductBM!$Q:$Q,0))))</f>
        <v/>
      </c>
      <c r="J1605" s="1160" t="str">
        <f>IF($I1461="","",IF(INDEX(F_ProductBM!J:J,MATCH($P1605,F_ProductBM!$Q:$Q,0))="","",INDEX(F_ProductBM!J:J,MATCH($P1605,F_ProductBM!$Q:$Q,0))))</f>
        <v/>
      </c>
      <c r="K1605" s="740" t="str">
        <f>IF($I1461="","",IF(INDEX(F_ProductBM!K:K,MATCH($P1605,F_ProductBM!$Q:$Q,0))="","",INDEX(F_ProductBM!K:K,MATCH($P1605,F_ProductBM!$Q:$Q,0))))</f>
        <v/>
      </c>
      <c r="L1605" s="740" t="str">
        <f>IF($I1461="","",IF(INDEX(F_ProductBM!L:L,MATCH($P1605,F_ProductBM!$Q:$Q,0))="","",INDEX(F_ProductBM!L:L,MATCH($P1605,F_ProductBM!$Q:$Q,0))))</f>
        <v/>
      </c>
      <c r="M1605" s="740" t="str">
        <f>IF($I1461="","",IF(INDEX(F_ProductBM!M:M,MATCH($P1605,F_ProductBM!$Q:$Q,0))="","",INDEX(F_ProductBM!M:M,MATCH($P1605,F_ProductBM!$Q:$Q,0))))</f>
        <v/>
      </c>
      <c r="N1605" s="1457" t="str">
        <f>IF($I1461="","",IF(INDEX(F_ProductBM!N:N,MATCH($P1605,F_ProductBM!$Q:$Q,0))="","",INDEX(F_ProductBM!N:N,MATCH($P1605,F_ProductBM!$Q:$Q,0))))</f>
        <v/>
      </c>
      <c r="O1605" s="19"/>
      <c r="P1605" s="298" t="str">
        <f>EUconst_CNTR_WGFlaredEF &amp; I1461</f>
        <v>WasteGasFlareEF_</v>
      </c>
      <c r="Q1605" s="343"/>
      <c r="R1605" s="343"/>
      <c r="S1605" s="343"/>
      <c r="T1605" s="7"/>
      <c r="U1605" s="349"/>
      <c r="V1605" s="349"/>
    </row>
    <row r="1606" spans="1:22" s="534" customFormat="1" ht="12.75" customHeight="1" x14ac:dyDescent="0.25">
      <c r="A1606" s="343"/>
      <c r="B1606" s="15"/>
      <c r="C1606" s="15"/>
      <c r="D1606" s="1454"/>
      <c r="E1606" s="2611" t="str">
        <f>Translations!$B$636</f>
        <v>Importerad restgas</v>
      </c>
      <c r="F1606" s="2484"/>
      <c r="G1606" s="365" t="str">
        <f>EUconst_TJpa</f>
        <v>TJ / år</v>
      </c>
      <c r="H1606" s="739" t="str">
        <f>IF($I1461="","",IF(INDEX(F_ProductBM!H:H,MATCH($P1606,F_ProductBM!$Q:$Q,0))="","",INDEX(F_ProductBM!H:H,MATCH($P1606,F_ProductBM!$Q:$Q,0))))</f>
        <v/>
      </c>
      <c r="I1606" s="1153" t="str">
        <f>IF($I1461="","",IF(INDEX(F_ProductBM!I:I,MATCH($P1606,F_ProductBM!$Q:$Q,0))="","",INDEX(F_ProductBM!I:I,MATCH($P1606,F_ProductBM!$Q:$Q,0))))</f>
        <v/>
      </c>
      <c r="J1606" s="1159" t="str">
        <f>IF($I1461="","",IF(INDEX(F_ProductBM!J:J,MATCH($P1606,F_ProductBM!$Q:$Q,0))="","",INDEX(F_ProductBM!J:J,MATCH($P1606,F_ProductBM!$Q:$Q,0))))</f>
        <v/>
      </c>
      <c r="K1606" s="739" t="str">
        <f>IF($I1461="","",IF(INDEX(F_ProductBM!K:K,MATCH($P1606,F_ProductBM!$Q:$Q,0))="","",INDEX(F_ProductBM!K:K,MATCH($P1606,F_ProductBM!$Q:$Q,0))))</f>
        <v/>
      </c>
      <c r="L1606" s="739" t="str">
        <f>IF($I1461="","",IF(INDEX(F_ProductBM!L:L,MATCH($P1606,F_ProductBM!$Q:$Q,0))="","",INDEX(F_ProductBM!L:L,MATCH($P1606,F_ProductBM!$Q:$Q,0))))</f>
        <v/>
      </c>
      <c r="M1606" s="739" t="str">
        <f>IF($I1461="","",IF(INDEX(F_ProductBM!M:M,MATCH($P1606,F_ProductBM!$Q:$Q,0))="","",INDEX(F_ProductBM!M:M,MATCH($P1606,F_ProductBM!$Q:$Q,0))))</f>
        <v/>
      </c>
      <c r="N1606" s="1456" t="str">
        <f>IF($I1461="","",IF(INDEX(F_ProductBM!N:N,MATCH($P1606,F_ProductBM!$Q:$Q,0))="","",INDEX(F_ProductBM!N:N,MATCH($P1606,F_ProductBM!$Q:$Q,0))))</f>
        <v/>
      </c>
      <c r="O1606" s="19"/>
      <c r="P1606" s="298" t="str">
        <f>EUconst_CNTR_WGImport &amp; I1461</f>
        <v>WasteGasIm_</v>
      </c>
      <c r="Q1606" s="343"/>
      <c r="R1606" s="343"/>
      <c r="S1606" s="343"/>
      <c r="T1606" s="7"/>
      <c r="U1606" s="349"/>
      <c r="V1606" s="349"/>
    </row>
    <row r="1607" spans="1:22" s="534" customFormat="1" ht="12.75" customHeight="1" x14ac:dyDescent="0.25">
      <c r="A1607" s="343"/>
      <c r="B1607" s="15"/>
      <c r="C1607" s="15"/>
      <c r="D1607" s="1454"/>
      <c r="E1607" s="1776" t="str">
        <f>Translations!$B$637</f>
        <v>Särskild emissionsfaktor (importerad restgas)</v>
      </c>
      <c r="F1607" s="1776"/>
      <c r="G1607" s="624" t="str">
        <f>EUconst_tCO2pTJ</f>
        <v>t CO2 / TJ</v>
      </c>
      <c r="H1607" s="740" t="str">
        <f>IF($I1461="","",IF(INDEX(F_ProductBM!H:H,MATCH($P1607,F_ProductBM!$Q:$Q,0))="","",INDEX(F_ProductBM!H:H,MATCH($P1607,F_ProductBM!$Q:$Q,0))))</f>
        <v/>
      </c>
      <c r="I1607" s="1154" t="str">
        <f>IF($I1461="","",IF(INDEX(F_ProductBM!I:I,MATCH($P1607,F_ProductBM!$Q:$Q,0))="","",INDEX(F_ProductBM!I:I,MATCH($P1607,F_ProductBM!$Q:$Q,0))))</f>
        <v/>
      </c>
      <c r="J1607" s="1160" t="str">
        <f>IF($I1461="","",IF(INDEX(F_ProductBM!J:J,MATCH($P1607,F_ProductBM!$Q:$Q,0))="","",INDEX(F_ProductBM!J:J,MATCH($P1607,F_ProductBM!$Q:$Q,0))))</f>
        <v/>
      </c>
      <c r="K1607" s="740" t="str">
        <f>IF($I1461="","",IF(INDEX(F_ProductBM!K:K,MATCH($P1607,F_ProductBM!$Q:$Q,0))="","",INDEX(F_ProductBM!K:K,MATCH($P1607,F_ProductBM!$Q:$Q,0))))</f>
        <v/>
      </c>
      <c r="L1607" s="740" t="str">
        <f>IF($I1461="","",IF(INDEX(F_ProductBM!L:L,MATCH($P1607,F_ProductBM!$Q:$Q,0))="","",INDEX(F_ProductBM!L:L,MATCH($P1607,F_ProductBM!$Q:$Q,0))))</f>
        <v/>
      </c>
      <c r="M1607" s="740" t="str">
        <f>IF($I1461="","",IF(INDEX(F_ProductBM!M:M,MATCH($P1607,F_ProductBM!$Q:$Q,0))="","",INDEX(F_ProductBM!M:M,MATCH($P1607,F_ProductBM!$Q:$Q,0))))</f>
        <v/>
      </c>
      <c r="N1607" s="1457" t="str">
        <f>IF($I1461="","",IF(INDEX(F_ProductBM!N:N,MATCH($P1607,F_ProductBM!$Q:$Q,0))="","",INDEX(F_ProductBM!N:N,MATCH($P1607,F_ProductBM!$Q:$Q,0))))</f>
        <v/>
      </c>
      <c r="O1607" s="19"/>
      <c r="P1607" s="298" t="str">
        <f>EUconst_CNTR_WGImportEF &amp; I1461</f>
        <v>WasteGasImEF_</v>
      </c>
      <c r="Q1607" s="343"/>
      <c r="R1607" s="343"/>
      <c r="S1607" s="343"/>
      <c r="T1607" s="7"/>
      <c r="U1607" s="349"/>
      <c r="V1607" s="349"/>
    </row>
    <row r="1608" spans="1:22" s="534" customFormat="1" ht="12.75" customHeight="1" x14ac:dyDescent="0.25">
      <c r="A1608" s="343"/>
      <c r="B1608" s="15"/>
      <c r="C1608" s="15"/>
      <c r="D1608" s="1454"/>
      <c r="E1608" s="2611" t="str">
        <f>Translations!$B$641</f>
        <v>Exporterad restgas</v>
      </c>
      <c r="F1608" s="2484"/>
      <c r="G1608" s="365" t="str">
        <f>EUconst_TJpa</f>
        <v>TJ / år</v>
      </c>
      <c r="H1608" s="739" t="str">
        <f>IF($I1461="","",IF(INDEX(F_ProductBM!H:H,MATCH($P1608,F_ProductBM!$Q:$Q,0))="","",INDEX(F_ProductBM!H:H,MATCH($P1608,F_ProductBM!$Q:$Q,0))))</f>
        <v/>
      </c>
      <c r="I1608" s="1153" t="str">
        <f>IF($I1461="","",IF(INDEX(F_ProductBM!I:I,MATCH($P1608,F_ProductBM!$Q:$Q,0))="","",INDEX(F_ProductBM!I:I,MATCH($P1608,F_ProductBM!$Q:$Q,0))))</f>
        <v/>
      </c>
      <c r="J1608" s="1159" t="str">
        <f>IF($I1461="","",IF(INDEX(F_ProductBM!J:J,MATCH($P1608,F_ProductBM!$Q:$Q,0))="","",INDEX(F_ProductBM!J:J,MATCH($P1608,F_ProductBM!$Q:$Q,0))))</f>
        <v/>
      </c>
      <c r="K1608" s="739" t="str">
        <f>IF($I1461="","",IF(INDEX(F_ProductBM!K:K,MATCH($P1608,F_ProductBM!$Q:$Q,0))="","",INDEX(F_ProductBM!K:K,MATCH($P1608,F_ProductBM!$Q:$Q,0))))</f>
        <v/>
      </c>
      <c r="L1608" s="739" t="str">
        <f>IF($I1461="","",IF(INDEX(F_ProductBM!L:L,MATCH($P1608,F_ProductBM!$Q:$Q,0))="","",INDEX(F_ProductBM!L:L,MATCH($P1608,F_ProductBM!$Q:$Q,0))))</f>
        <v/>
      </c>
      <c r="M1608" s="739" t="str">
        <f>IF($I1461="","",IF(INDEX(F_ProductBM!M:M,MATCH($P1608,F_ProductBM!$Q:$Q,0))="","",INDEX(F_ProductBM!M:M,MATCH($P1608,F_ProductBM!$Q:$Q,0))))</f>
        <v/>
      </c>
      <c r="N1608" s="1456" t="str">
        <f>IF($I1461="","",IF(INDEX(F_ProductBM!N:N,MATCH($P1608,F_ProductBM!$Q:$Q,0))="","",INDEX(F_ProductBM!N:N,MATCH($P1608,F_ProductBM!$Q:$Q,0))))</f>
        <v/>
      </c>
      <c r="O1608" s="19"/>
      <c r="P1608" s="298" t="str">
        <f>EUconst_CNTR_WGExport &amp; I1461</f>
        <v>WasteGasEx_</v>
      </c>
      <c r="Q1608" s="343"/>
      <c r="R1608" s="343"/>
      <c r="S1608" s="343"/>
      <c r="T1608" s="7"/>
      <c r="U1608" s="349"/>
      <c r="V1608" s="349"/>
    </row>
    <row r="1609" spans="1:22" s="534" customFormat="1" ht="12.75" customHeight="1" x14ac:dyDescent="0.25">
      <c r="A1609" s="343"/>
      <c r="B1609" s="15"/>
      <c r="C1609" s="15"/>
      <c r="D1609" s="1454"/>
      <c r="E1609" s="2612" t="str">
        <f>Translations!$B$642</f>
        <v>Särskild emissionsfaktor (exporterad restgas)</v>
      </c>
      <c r="F1609" s="2487"/>
      <c r="G1609" s="624" t="str">
        <f>EUconst_tCO2pTJ</f>
        <v>t CO2 / TJ</v>
      </c>
      <c r="H1609" s="740" t="str">
        <f>IF($I1461="","",IF(INDEX(F_ProductBM!H:H,MATCH($P1609,F_ProductBM!$Q:$Q,0))="","",INDEX(F_ProductBM!H:H,MATCH($P1609,F_ProductBM!$Q:$Q,0))))</f>
        <v/>
      </c>
      <c r="I1609" s="1154" t="str">
        <f>IF($I1461="","",IF(INDEX(F_ProductBM!I:I,MATCH($P1609,F_ProductBM!$Q:$Q,0))="","",INDEX(F_ProductBM!I:I,MATCH($P1609,F_ProductBM!$Q:$Q,0))))</f>
        <v/>
      </c>
      <c r="J1609" s="1160" t="str">
        <f>IF($I1461="","",IF(INDEX(F_ProductBM!J:J,MATCH($P1609,F_ProductBM!$Q:$Q,0))="","",INDEX(F_ProductBM!J:J,MATCH($P1609,F_ProductBM!$Q:$Q,0))))</f>
        <v/>
      </c>
      <c r="K1609" s="740" t="str">
        <f>IF($I1461="","",IF(INDEX(F_ProductBM!K:K,MATCH($P1609,F_ProductBM!$Q:$Q,0))="","",INDEX(F_ProductBM!K:K,MATCH($P1609,F_ProductBM!$Q:$Q,0))))</f>
        <v/>
      </c>
      <c r="L1609" s="740" t="str">
        <f>IF($I1461="","",IF(INDEX(F_ProductBM!L:L,MATCH($P1609,F_ProductBM!$Q:$Q,0))="","",INDEX(F_ProductBM!L:L,MATCH($P1609,F_ProductBM!$Q:$Q,0))))</f>
        <v/>
      </c>
      <c r="M1609" s="740" t="str">
        <f>IF($I1461="","",IF(INDEX(F_ProductBM!M:M,MATCH($P1609,F_ProductBM!$Q:$Q,0))="","",INDEX(F_ProductBM!M:M,MATCH($P1609,F_ProductBM!$Q:$Q,0))))</f>
        <v/>
      </c>
      <c r="N1609" s="1457" t="str">
        <f>IF($I1461="","",IF(INDEX(F_ProductBM!N:N,MATCH($P1609,F_ProductBM!$Q:$Q,0))="","",INDEX(F_ProductBM!N:N,MATCH($P1609,F_ProductBM!$Q:$Q,0))))</f>
        <v/>
      </c>
      <c r="O1609" s="19"/>
      <c r="P1609" s="298" t="str">
        <f>EUconst_CNTR_WGExportEF &amp; I1461</f>
        <v>WasteGasExEF_</v>
      </c>
      <c r="Q1609" s="343"/>
      <c r="R1609" s="343"/>
      <c r="S1609" s="343"/>
      <c r="T1609" s="7"/>
      <c r="U1609" s="349"/>
      <c r="V1609" s="349"/>
    </row>
    <row r="1610" spans="1:22" s="534" customFormat="1" ht="5.15" customHeight="1" x14ac:dyDescent="0.25">
      <c r="A1610" s="343"/>
      <c r="B1610" s="15"/>
      <c r="C1610" s="15"/>
      <c r="D1610" s="1454"/>
      <c r="E1610" s="899"/>
      <c r="F1610" s="899"/>
      <c r="G1610" s="416"/>
      <c r="H1610" s="741"/>
      <c r="I1610" s="741"/>
      <c r="J1610" s="741"/>
      <c r="K1610" s="741"/>
      <c r="L1610" s="741"/>
      <c r="M1610" s="741"/>
      <c r="N1610" s="1458"/>
      <c r="O1610" s="19"/>
      <c r="P1610" s="7"/>
      <c r="Q1610" s="343"/>
      <c r="R1610" s="343"/>
      <c r="S1610" s="343"/>
      <c r="T1610" s="7"/>
      <c r="U1610" s="349"/>
      <c r="V1610" s="349"/>
    </row>
    <row r="1611" spans="1:22" s="534" customFormat="1" ht="12.75" customHeight="1" x14ac:dyDescent="0.25">
      <c r="A1611" s="343"/>
      <c r="B1611" s="15"/>
      <c r="C1611" s="15"/>
      <c r="D1611" s="1454"/>
      <c r="E1611" s="2613" t="str">
        <f>Translations!$B$530</f>
        <v>Relevant elförbrukning</v>
      </c>
      <c r="F1611" s="1997"/>
      <c r="G1611" s="364" t="str">
        <f>EUconst_MWhpa</f>
        <v>MWh / år</v>
      </c>
      <c r="H1611" s="742" t="str">
        <f>IF($I1461="","",IF(INDEX(F_ProductBM!H:H,MATCH($P1611,F_ProductBM!$R:$R,0))="","",INDEX(F_ProductBM!H:H,MATCH($P1611,F_ProductBM!$R:$R,0))))</f>
        <v/>
      </c>
      <c r="I1611" s="1021" t="str">
        <f>IF($I1461="","",IF(INDEX(F_ProductBM!I:I,MATCH($P1611,F_ProductBM!$R:$R,0))="","",INDEX(F_ProductBM!I:I,MATCH($P1611,F_ProductBM!$R:$R,0))))</f>
        <v/>
      </c>
      <c r="J1611" s="1158" t="str">
        <f>IF($I1461="","",IF(INDEX(F_ProductBM!J:J,MATCH($P1611,F_ProductBM!$R:$R,0))="","",INDEX(F_ProductBM!J:J,MATCH($P1611,F_ProductBM!$R:$R,0))))</f>
        <v/>
      </c>
      <c r="K1611" s="742" t="str">
        <f>IF($I1461="","",IF(INDEX(F_ProductBM!K:K,MATCH($P1611,F_ProductBM!$R:$R,0))="","",INDEX(F_ProductBM!K:K,MATCH($P1611,F_ProductBM!$R:$R,0))))</f>
        <v/>
      </c>
      <c r="L1611" s="742" t="str">
        <f>IF($I1461="","",IF(INDEX(F_ProductBM!L:L,MATCH($P1611,F_ProductBM!$R:$R,0))="","",INDEX(F_ProductBM!L:L,MATCH($P1611,F_ProductBM!$R:$R,0))))</f>
        <v/>
      </c>
      <c r="M1611" s="742" t="str">
        <f>IF($I1461="","",IF(INDEX(F_ProductBM!M:M,MATCH($P1611,F_ProductBM!$R:$R,0))="","",INDEX(F_ProductBM!M:M,MATCH($P1611,F_ProductBM!$R:$R,0))))</f>
        <v/>
      </c>
      <c r="N1611" s="1459" t="str">
        <f>IF($I1461="","",IF(INDEX(F_ProductBM!N:N,MATCH($P1611,F_ProductBM!$R:$R,0))="","",INDEX(F_ProductBM!N:N,MATCH($P1611,F_ProductBM!$R:$R,0))))</f>
        <v/>
      </c>
      <c r="O1611" s="19"/>
      <c r="P1611" s="165" t="str">
        <f>EUconst_CNTR_HAL&amp;EUconst_CNTR_ELEXCH &amp; I1461</f>
        <v>HAL_ELEXCH_</v>
      </c>
      <c r="Q1611" s="343"/>
      <c r="R1611" s="343"/>
      <c r="S1611" s="343"/>
      <c r="T1611" s="7"/>
      <c r="U1611" s="349"/>
      <c r="V1611" s="349"/>
    </row>
    <row r="1612" spans="1:22" s="534" customFormat="1" ht="12.75" customHeight="1" x14ac:dyDescent="0.25">
      <c r="A1612" s="343"/>
      <c r="B1612" s="15"/>
      <c r="C1612" s="15"/>
      <c r="D1612" s="1454"/>
      <c r="E1612" s="2613" t="str">
        <f>Translations!$B$645</f>
        <v>Producerad el</v>
      </c>
      <c r="F1612" s="1997"/>
      <c r="G1612" s="364" t="str">
        <f>EUconst_MWhpa</f>
        <v>MWh / år</v>
      </c>
      <c r="H1612" s="742" t="str">
        <f>IF($I1461="","",IF(INDEX(F_ProductBM!H:H,MATCH($P1612,F_ProductBM!$Q:$Q,0))="","",INDEX(F_ProductBM!H:H,MATCH($P1612,F_ProductBM!$Q:$Q,0))))</f>
        <v/>
      </c>
      <c r="I1612" s="1021" t="str">
        <f>IF($I1461="","",IF(INDEX(F_ProductBM!I:I,MATCH($P1612,F_ProductBM!$Q:$Q,0))="","",INDEX(F_ProductBM!I:I,MATCH($P1612,F_ProductBM!$Q:$Q,0))))</f>
        <v/>
      </c>
      <c r="J1612" s="1158" t="str">
        <f>IF($I1461="","",IF(INDEX(F_ProductBM!J:J,MATCH($P1612,F_ProductBM!$Q:$Q,0))="","",INDEX(F_ProductBM!J:J,MATCH($P1612,F_ProductBM!$Q:$Q,0))))</f>
        <v/>
      </c>
      <c r="K1612" s="742" t="str">
        <f>IF($I1461="","",IF(INDEX(F_ProductBM!K:K,MATCH($P1612,F_ProductBM!$Q:$Q,0))="","",INDEX(F_ProductBM!K:K,MATCH($P1612,F_ProductBM!$Q:$Q,0))))</f>
        <v/>
      </c>
      <c r="L1612" s="742" t="str">
        <f>IF($I1461="","",IF(INDEX(F_ProductBM!L:L,MATCH($P1612,F_ProductBM!$Q:$Q,0))="","",INDEX(F_ProductBM!L:L,MATCH($P1612,F_ProductBM!$Q:$Q,0))))</f>
        <v/>
      </c>
      <c r="M1612" s="742" t="str">
        <f>IF($I1461="","",IF(INDEX(F_ProductBM!M:M,MATCH($P1612,F_ProductBM!$Q:$Q,0))="","",INDEX(F_ProductBM!M:M,MATCH($P1612,F_ProductBM!$Q:$Q,0))))</f>
        <v/>
      </c>
      <c r="N1612" s="1459" t="str">
        <f>IF($I1461="","",IF(INDEX(F_ProductBM!N:N,MATCH($P1612,F_ProductBM!$Q:$Q,0))="","",INDEX(F_ProductBM!N:N,MATCH($P1612,F_ProductBM!$Q:$Q,0))))</f>
        <v/>
      </c>
      <c r="O1612" s="19"/>
      <c r="P1612" s="298" t="str">
        <f>EUconst_CNTR_ElectricityExported &amp; I1461</f>
        <v>ElecEx_</v>
      </c>
      <c r="Q1612" s="343"/>
      <c r="R1612" s="343"/>
      <c r="S1612" s="343"/>
      <c r="T1612" s="7"/>
      <c r="U1612" s="349"/>
      <c r="V1612" s="349"/>
    </row>
    <row r="1613" spans="1:22" s="534" customFormat="1" ht="5.15" customHeight="1" x14ac:dyDescent="0.25">
      <c r="A1613" s="343"/>
      <c r="B1613" s="15"/>
      <c r="C1613" s="15"/>
      <c r="D1613" s="1454"/>
      <c r="E1613" s="899"/>
      <c r="F1613" s="899"/>
      <c r="G1613" s="416"/>
      <c r="H1613" s="741"/>
      <c r="I1613" s="741"/>
      <c r="J1613" s="741"/>
      <c r="K1613" s="741"/>
      <c r="L1613" s="741"/>
      <c r="M1613" s="741"/>
      <c r="N1613" s="1458"/>
      <c r="O1613" s="19"/>
      <c r="P1613" s="7"/>
      <c r="Q1613" s="343"/>
      <c r="R1613" s="343"/>
      <c r="S1613" s="343"/>
      <c r="T1613" s="7"/>
      <c r="U1613" s="349"/>
      <c r="V1613" s="349"/>
    </row>
    <row r="1614" spans="1:22" s="534" customFormat="1" ht="12.75" customHeight="1" x14ac:dyDescent="0.25">
      <c r="A1614" s="343"/>
      <c r="B1614" s="15"/>
      <c r="C1614" s="15"/>
      <c r="D1614" s="1454"/>
      <c r="E1614" s="2613" t="str">
        <f>Translations!$B$646</f>
        <v>Total producerad massamängd</v>
      </c>
      <c r="F1614" s="1997"/>
      <c r="G1614" s="364" t="str">
        <f>EUconst_Tons</f>
        <v>ton</v>
      </c>
      <c r="H1614" s="742" t="str">
        <f>IF($I1461="","",IF(INDEX(F_ProductBM!H:H,MATCH($P1614,F_ProductBM!$Q:$Q,0))="","",INDEX(F_ProductBM!H:H,MATCH($P1614,F_ProductBM!$Q:$Q,0))))</f>
        <v/>
      </c>
      <c r="I1614" s="1021" t="str">
        <f>IF($I1461="","",IF(INDEX(F_ProductBM!I:I,MATCH($P1614,F_ProductBM!$Q:$Q,0))="","",INDEX(F_ProductBM!I:I,MATCH($P1614,F_ProductBM!$Q:$Q,0))))</f>
        <v/>
      </c>
      <c r="J1614" s="1158" t="str">
        <f>IF($I1461="","",IF(INDEX(F_ProductBM!J:J,MATCH($P1614,F_ProductBM!$Q:$Q,0))="","",INDEX(F_ProductBM!J:J,MATCH($P1614,F_ProductBM!$Q:$Q,0))))</f>
        <v/>
      </c>
      <c r="K1614" s="742" t="str">
        <f>IF($I1461="","",IF(INDEX(F_ProductBM!K:K,MATCH($P1614,F_ProductBM!$Q:$Q,0))="","",INDEX(F_ProductBM!K:K,MATCH($P1614,F_ProductBM!$Q:$Q,0))))</f>
        <v/>
      </c>
      <c r="L1614" s="742" t="str">
        <f>IF($I1461="","",IF(INDEX(F_ProductBM!L:L,MATCH($P1614,F_ProductBM!$Q:$Q,0))="","",INDEX(F_ProductBM!L:L,MATCH($P1614,F_ProductBM!$Q:$Q,0))))</f>
        <v/>
      </c>
      <c r="M1614" s="742" t="str">
        <f>IF($I1461="","",IF(INDEX(F_ProductBM!M:M,MATCH($P1614,F_ProductBM!$Q:$Q,0))="","",INDEX(F_ProductBM!M:M,MATCH($P1614,F_ProductBM!$Q:$Q,0))))</f>
        <v/>
      </c>
      <c r="N1614" s="1459" t="str">
        <f>IF($I1461="","",IF(INDEX(F_ProductBM!N:N,MATCH($P1614,F_ProductBM!$Q:$Q,0))="","",INDEX(F_ProductBM!N:N,MATCH($P1614,F_ProductBM!$Q:$Q,0))))</f>
        <v/>
      </c>
      <c r="O1614" s="19"/>
      <c r="P1614" s="298" t="str">
        <f>EUconst_CNTR_HALPulpTotal &amp; I1461</f>
        <v>HALPulpTotal_</v>
      </c>
      <c r="Q1614" s="343"/>
      <c r="R1614" s="343"/>
      <c r="S1614" s="343"/>
      <c r="T1614" s="7"/>
      <c r="U1614" s="349"/>
      <c r="V1614" s="349"/>
    </row>
    <row r="1615" spans="1:22" s="534" customFormat="1" ht="5.15" customHeight="1" x14ac:dyDescent="0.25">
      <c r="A1615" s="343"/>
      <c r="B1615" s="15"/>
      <c r="C1615" s="15"/>
      <c r="D1615" s="1454"/>
      <c r="E1615" s="899"/>
      <c r="F1615" s="899"/>
      <c r="G1615" s="416"/>
      <c r="H1615" s="741"/>
      <c r="I1615" s="741"/>
      <c r="J1615" s="741"/>
      <c r="K1615" s="741"/>
      <c r="L1615" s="741"/>
      <c r="M1615" s="741"/>
      <c r="N1615" s="1458"/>
      <c r="O1615" s="19"/>
      <c r="P1615" s="7"/>
      <c r="Q1615" s="343"/>
      <c r="R1615" s="343"/>
      <c r="S1615" s="343"/>
      <c r="T1615" s="7"/>
      <c r="U1615" s="349"/>
      <c r="V1615" s="349"/>
    </row>
    <row r="1616" spans="1:22" s="534" customFormat="1" x14ac:dyDescent="0.25">
      <c r="A1616" s="343"/>
      <c r="B1616" s="15"/>
      <c r="C1616" s="15"/>
      <c r="D1616" s="1454"/>
      <c r="E1616" s="2785" t="str">
        <f>Translations!$B$1057</f>
        <v>Mellanimport:</v>
      </c>
      <c r="F1616" s="2497"/>
      <c r="G1616" s="416"/>
      <c r="H1616" s="741"/>
      <c r="I1616" s="741"/>
      <c r="J1616" s="741"/>
      <c r="K1616" s="741"/>
      <c r="L1616" s="741"/>
      <c r="M1616" s="741"/>
      <c r="N1616" s="1458"/>
      <c r="O1616" s="19"/>
      <c r="P1616" s="7"/>
      <c r="Q1616" s="343"/>
      <c r="R1616" s="343"/>
      <c r="S1616" s="343"/>
      <c r="T1616" s="7"/>
      <c r="U1616" s="349"/>
      <c r="V1616" s="349"/>
    </row>
    <row r="1617" spans="1:22" s="534" customFormat="1" x14ac:dyDescent="0.25">
      <c r="A1617" s="343"/>
      <c r="B1617" s="15"/>
      <c r="C1617" s="15"/>
      <c r="D1617" s="1454"/>
      <c r="E1617" s="2617" t="str">
        <f>IF(I1461="","",IF(INDEX(F_ProductBM!E:E,MATCH($P1617,F_ProductBM!$Q:$Q,0))="","",INDEX(F_ProductBM!E:E,MATCH($P1617,F_ProductBM!$Q:$Q,0))))</f>
        <v/>
      </c>
      <c r="F1617" s="1997"/>
      <c r="G1617" s="364" t="str">
        <f>EUconst_Tons</f>
        <v>ton</v>
      </c>
      <c r="H1617" s="742" t="str">
        <f>IF($I1461="","",IF(INDEX(F_ProductBM!H:H,MATCH($P1617,F_ProductBM!$Q:$Q,0))="","",INDEX(F_ProductBM!H:H,MATCH($P1617,F_ProductBM!$Q:$Q,0))))</f>
        <v/>
      </c>
      <c r="I1617" s="1021" t="str">
        <f>IF($I1461="","",IF(INDEX(F_ProductBM!I:I,MATCH($P1617,F_ProductBM!$Q:$Q,0))="","",INDEX(F_ProductBM!I:I,MATCH($P1617,F_ProductBM!$Q:$Q,0))))</f>
        <v/>
      </c>
      <c r="J1617" s="1158" t="str">
        <f>IF($I1461="","",IF(INDEX(F_ProductBM!J:J,MATCH($P1617,F_ProductBM!$Q:$Q,0))="","",INDEX(F_ProductBM!J:J,MATCH($P1617,F_ProductBM!$Q:$Q,0))))</f>
        <v/>
      </c>
      <c r="K1617" s="742" t="str">
        <f>IF($I1461="","",IF(INDEX(F_ProductBM!K:K,MATCH($P1617,F_ProductBM!$Q:$Q,0))="","",INDEX(F_ProductBM!K:K,MATCH($P1617,F_ProductBM!$Q:$Q,0))))</f>
        <v/>
      </c>
      <c r="L1617" s="742" t="str">
        <f>IF($I1461="","",IF(INDEX(F_ProductBM!L:L,MATCH($P1617,F_ProductBM!$Q:$Q,0))="","",INDEX(F_ProductBM!L:L,MATCH($P1617,F_ProductBM!$Q:$Q,0))))</f>
        <v/>
      </c>
      <c r="M1617" s="742" t="str">
        <f>IF($I1461="","",IF(INDEX(F_ProductBM!M:M,MATCH($P1617,F_ProductBM!$Q:$Q,0))="","",INDEX(F_ProductBM!M:M,MATCH($P1617,F_ProductBM!$Q:$Q,0))))</f>
        <v/>
      </c>
      <c r="N1617" s="1459" t="str">
        <f>IF($I1461="","",IF(INDEX(F_ProductBM!N:N,MATCH($P1617,F_ProductBM!$Q:$Q,0))="","",INDEX(F_ProductBM!N:N,MATCH($P1617,F_ProductBM!$Q:$Q,0))))</f>
        <v/>
      </c>
      <c r="O1617" s="19"/>
      <c r="P1617" s="298" t="str">
        <f>EUconst_CNTR_IntermediateImport &amp; R1617 &amp; "_" &amp; I1461</f>
        <v>IntImp_1_</v>
      </c>
      <c r="Q1617" s="343"/>
      <c r="R1617" s="663">
        <v>1</v>
      </c>
      <c r="S1617" s="343"/>
      <c r="T1617" s="7"/>
      <c r="U1617" s="349"/>
      <c r="V1617" s="349"/>
    </row>
    <row r="1618" spans="1:22" s="534" customFormat="1" x14ac:dyDescent="0.25">
      <c r="A1618" s="343"/>
      <c r="B1618" s="15"/>
      <c r="C1618" s="15"/>
      <c r="D1618" s="1454"/>
      <c r="E1618" s="2617" t="str">
        <f>IF(I1461="","",IF(INDEX(F_ProductBM!E:E,MATCH($P1618,F_ProductBM!$Q:$Q,0))="","",INDEX(F_ProductBM!E:E,MATCH($P1618,F_ProductBM!$Q:$Q,0))))</f>
        <v/>
      </c>
      <c r="F1618" s="1997"/>
      <c r="G1618" s="364" t="str">
        <f>EUconst_Tons</f>
        <v>ton</v>
      </c>
      <c r="H1618" s="742" t="str">
        <f>IF($I1461="","",IF(INDEX(F_ProductBM!H:H,MATCH($P1618,F_ProductBM!$Q:$Q,0))="","",INDEX(F_ProductBM!H:H,MATCH($P1618,F_ProductBM!$Q:$Q,0))))</f>
        <v/>
      </c>
      <c r="I1618" s="1021" t="str">
        <f>IF($I1461="","",IF(INDEX(F_ProductBM!I:I,MATCH($P1618,F_ProductBM!$Q:$Q,0))="","",INDEX(F_ProductBM!I:I,MATCH($P1618,F_ProductBM!$Q:$Q,0))))</f>
        <v/>
      </c>
      <c r="J1618" s="1158" t="str">
        <f>IF($I1461="","",IF(INDEX(F_ProductBM!J:J,MATCH($P1618,F_ProductBM!$Q:$Q,0))="","",INDEX(F_ProductBM!J:J,MATCH($P1618,F_ProductBM!$Q:$Q,0))))</f>
        <v/>
      </c>
      <c r="K1618" s="742" t="str">
        <f>IF($I1461="","",IF(INDEX(F_ProductBM!K:K,MATCH($P1618,F_ProductBM!$Q:$Q,0))="","",INDEX(F_ProductBM!K:K,MATCH($P1618,F_ProductBM!$Q:$Q,0))))</f>
        <v/>
      </c>
      <c r="L1618" s="742" t="str">
        <f>IF($I1461="","",IF(INDEX(F_ProductBM!L:L,MATCH($P1618,F_ProductBM!$Q:$Q,0))="","",INDEX(F_ProductBM!L:L,MATCH($P1618,F_ProductBM!$Q:$Q,0))))</f>
        <v/>
      </c>
      <c r="M1618" s="742" t="str">
        <f>IF($I1461="","",IF(INDEX(F_ProductBM!M:M,MATCH($P1618,F_ProductBM!$Q:$Q,0))="","",INDEX(F_ProductBM!M:M,MATCH($P1618,F_ProductBM!$Q:$Q,0))))</f>
        <v/>
      </c>
      <c r="N1618" s="1459" t="str">
        <f>IF($I1461="","",IF(INDEX(F_ProductBM!N:N,MATCH($P1618,F_ProductBM!$Q:$Q,0))="","",INDEX(F_ProductBM!N:N,MATCH($P1618,F_ProductBM!$Q:$Q,0))))</f>
        <v/>
      </c>
      <c r="O1618" s="19"/>
      <c r="P1618" s="298" t="str">
        <f>EUconst_CNTR_IntermediateImport &amp; R1618 &amp; "_" &amp; I1461</f>
        <v>IntImp_2_</v>
      </c>
      <c r="Q1618" s="343"/>
      <c r="R1618" s="663">
        <v>2</v>
      </c>
      <c r="S1618" s="343"/>
      <c r="T1618" s="7"/>
      <c r="U1618" s="349"/>
      <c r="V1618" s="349"/>
    </row>
    <row r="1619" spans="1:22" s="534" customFormat="1" x14ac:dyDescent="0.25">
      <c r="A1619" s="343"/>
      <c r="B1619" s="15"/>
      <c r="C1619" s="15"/>
      <c r="D1619" s="1454"/>
      <c r="E1619" s="2613" t="str">
        <f>Translations!$B$1058</f>
        <v>Mellanexport:</v>
      </c>
      <c r="F1619" s="1997"/>
      <c r="G1619" s="416"/>
      <c r="H1619" s="741"/>
      <c r="I1619" s="741"/>
      <c r="J1619" s="741"/>
      <c r="K1619" s="741"/>
      <c r="L1619" s="741"/>
      <c r="M1619" s="741"/>
      <c r="N1619" s="1458"/>
      <c r="O1619" s="19"/>
      <c r="P1619" s="7"/>
      <c r="Q1619" s="343"/>
      <c r="R1619" s="343"/>
      <c r="S1619" s="343"/>
      <c r="T1619" s="7"/>
      <c r="U1619" s="349"/>
      <c r="V1619" s="349"/>
    </row>
    <row r="1620" spans="1:22" s="534" customFormat="1" x14ac:dyDescent="0.25">
      <c r="A1620" s="343"/>
      <c r="B1620" s="15"/>
      <c r="C1620" s="15"/>
      <c r="D1620" s="1454"/>
      <c r="E1620" s="2617" t="str">
        <f>IF(I1461="","",IF(INDEX(F_ProductBM!E:E,MATCH($P1620,F_ProductBM!$Q:$Q,0))="","",INDEX(F_ProductBM!E:E,MATCH($P1620,F_ProductBM!$Q:$Q,0))))</f>
        <v/>
      </c>
      <c r="F1620" s="1997"/>
      <c r="G1620" s="364" t="str">
        <f>EUconst_Tons</f>
        <v>ton</v>
      </c>
      <c r="H1620" s="742" t="str">
        <f>IF($I1461="","",IF(INDEX(F_ProductBM!H:H,MATCH($P1620,F_ProductBM!$Q:$Q,0))="","",INDEX(F_ProductBM!H:H,MATCH($P1620,F_ProductBM!$Q:$Q,0))))</f>
        <v/>
      </c>
      <c r="I1620" s="1021" t="str">
        <f>IF($I1461="","",IF(INDEX(F_ProductBM!I:I,MATCH($P1620,F_ProductBM!$Q:$Q,0))="","",INDEX(F_ProductBM!I:I,MATCH($P1620,F_ProductBM!$Q:$Q,0))))</f>
        <v/>
      </c>
      <c r="J1620" s="1158" t="str">
        <f>IF($I1461="","",IF(INDEX(F_ProductBM!J:J,MATCH($P1620,F_ProductBM!$Q:$Q,0))="","",INDEX(F_ProductBM!J:J,MATCH($P1620,F_ProductBM!$Q:$Q,0))))</f>
        <v/>
      </c>
      <c r="K1620" s="742" t="str">
        <f>IF($I1461="","",IF(INDEX(F_ProductBM!K:K,MATCH($P1620,F_ProductBM!$Q:$Q,0))="","",INDEX(F_ProductBM!K:K,MATCH($P1620,F_ProductBM!$Q:$Q,0))))</f>
        <v/>
      </c>
      <c r="L1620" s="742" t="str">
        <f>IF($I1461="","",IF(INDEX(F_ProductBM!L:L,MATCH($P1620,F_ProductBM!$Q:$Q,0))="","",INDEX(F_ProductBM!L:L,MATCH($P1620,F_ProductBM!$Q:$Q,0))))</f>
        <v/>
      </c>
      <c r="M1620" s="742" t="str">
        <f>IF($I1461="","",IF(INDEX(F_ProductBM!M:M,MATCH($P1620,F_ProductBM!$Q:$Q,0))="","",INDEX(F_ProductBM!M:M,MATCH($P1620,F_ProductBM!$Q:$Q,0))))</f>
        <v/>
      </c>
      <c r="N1620" s="1459" t="str">
        <f>IF($I1461="","",IF(INDEX(F_ProductBM!N:N,MATCH($P1620,F_ProductBM!$Q:$Q,0))="","",INDEX(F_ProductBM!N:N,MATCH($P1620,F_ProductBM!$Q:$Q,0))))</f>
        <v/>
      </c>
      <c r="O1620" s="19"/>
      <c r="P1620" s="298" t="str">
        <f>EUconst_CNTR_IntermediateExport &amp; R1617 &amp; "_" &amp; I1461</f>
        <v>IntExp_1_</v>
      </c>
      <c r="Q1620" s="343"/>
      <c r="R1620" s="663">
        <v>1</v>
      </c>
      <c r="S1620" s="343"/>
      <c r="T1620" s="7"/>
      <c r="U1620" s="349"/>
      <c r="V1620" s="349"/>
    </row>
    <row r="1621" spans="1:22" s="534" customFormat="1" x14ac:dyDescent="0.25">
      <c r="A1621" s="343"/>
      <c r="B1621" s="15"/>
      <c r="C1621" s="15"/>
      <c r="D1621" s="1454"/>
      <c r="E1621" s="2617" t="str">
        <f>IF(I1461="","",IF(INDEX(F_ProductBM!E:E,MATCH($P1621,F_ProductBM!$Q:$Q,0))="","",INDEX(F_ProductBM!E:E,MATCH($P1621,F_ProductBM!$Q:$Q,0))))</f>
        <v/>
      </c>
      <c r="F1621" s="1997"/>
      <c r="G1621" s="364" t="str">
        <f>EUconst_Tons</f>
        <v>ton</v>
      </c>
      <c r="H1621" s="742" t="str">
        <f>IF($I1461="","",IF(INDEX(F_ProductBM!H:H,MATCH($P1621,F_ProductBM!$Q:$Q,0))="","",INDEX(F_ProductBM!H:H,MATCH($P1621,F_ProductBM!$Q:$Q,0))))</f>
        <v/>
      </c>
      <c r="I1621" s="1021" t="str">
        <f>IF($I1461="","",IF(INDEX(F_ProductBM!I:I,MATCH($P1621,F_ProductBM!$Q:$Q,0))="","",INDEX(F_ProductBM!I:I,MATCH($P1621,F_ProductBM!$Q:$Q,0))))</f>
        <v/>
      </c>
      <c r="J1621" s="1158" t="str">
        <f>IF($I1461="","",IF(INDEX(F_ProductBM!J:J,MATCH($P1621,F_ProductBM!$Q:$Q,0))="","",INDEX(F_ProductBM!J:J,MATCH($P1621,F_ProductBM!$Q:$Q,0))))</f>
        <v/>
      </c>
      <c r="K1621" s="742" t="str">
        <f>IF($I1461="","",IF(INDEX(F_ProductBM!K:K,MATCH($P1621,F_ProductBM!$Q:$Q,0))="","",INDEX(F_ProductBM!K:K,MATCH($P1621,F_ProductBM!$Q:$Q,0))))</f>
        <v/>
      </c>
      <c r="L1621" s="742" t="str">
        <f>IF($I1461="","",IF(INDEX(F_ProductBM!L:L,MATCH($P1621,F_ProductBM!$Q:$Q,0))="","",INDEX(F_ProductBM!L:L,MATCH($P1621,F_ProductBM!$Q:$Q,0))))</f>
        <v/>
      </c>
      <c r="M1621" s="742" t="str">
        <f>IF($I1461="","",IF(INDEX(F_ProductBM!M:M,MATCH($P1621,F_ProductBM!$Q:$Q,0))="","",INDEX(F_ProductBM!M:M,MATCH($P1621,F_ProductBM!$Q:$Q,0))))</f>
        <v/>
      </c>
      <c r="N1621" s="1459" t="str">
        <f>IF($I1461="","",IF(INDEX(F_ProductBM!N:N,MATCH($P1621,F_ProductBM!$Q:$Q,0))="","",INDEX(F_ProductBM!N:N,MATCH($P1621,F_ProductBM!$Q:$Q,0))))</f>
        <v/>
      </c>
      <c r="O1621" s="19"/>
      <c r="P1621" s="298" t="str">
        <f>EUconst_CNTR_IntermediateExport &amp; R1621 &amp; "_" &amp; I1461</f>
        <v>IntExp_2_</v>
      </c>
      <c r="Q1621" s="343"/>
      <c r="R1621" s="663">
        <v>2</v>
      </c>
      <c r="S1621" s="343"/>
      <c r="T1621" s="7"/>
      <c r="U1621" s="349"/>
      <c r="V1621" s="349"/>
    </row>
    <row r="1622" spans="1:22" s="534" customFormat="1" ht="12.75" customHeight="1" thickBot="1" x14ac:dyDescent="0.3">
      <c r="A1622" s="343"/>
      <c r="B1622" s="15"/>
      <c r="C1622" s="15"/>
      <c r="D1622" s="1460"/>
      <c r="E1622" s="1461"/>
      <c r="F1622" s="1461"/>
      <c r="G1622" s="1462"/>
      <c r="H1622" s="1462"/>
      <c r="I1622" s="783"/>
      <c r="J1622" s="783"/>
      <c r="K1622" s="783"/>
      <c r="L1622" s="783"/>
      <c r="M1622" s="783"/>
      <c r="N1622" s="784"/>
      <c r="O1622" s="19"/>
      <c r="P1622" s="7"/>
      <c r="Q1622" s="343"/>
      <c r="R1622" s="343"/>
      <c r="S1622" s="343"/>
      <c r="T1622" s="7"/>
      <c r="U1622" s="349"/>
      <c r="V1622" s="349"/>
    </row>
    <row r="1623" spans="1:22" s="534" customFormat="1" ht="5.15" customHeight="1" thickBot="1" x14ac:dyDescent="0.3">
      <c r="A1623" s="343"/>
      <c r="B1623" s="15"/>
      <c r="C1623" s="15"/>
      <c r="D1623" s="15"/>
      <c r="E1623" s="748"/>
      <c r="O1623" s="19"/>
      <c r="P1623" s="343"/>
      <c r="Q1623" s="343"/>
      <c r="R1623" s="343"/>
      <c r="S1623" s="343"/>
      <c r="T1623" s="343"/>
      <c r="U1623" s="349"/>
      <c r="V1623" s="349"/>
    </row>
    <row r="1624" spans="1:22" s="534" customFormat="1" ht="5.15" customHeight="1" thickBot="1" x14ac:dyDescent="0.3">
      <c r="A1624" s="343"/>
      <c r="B1624" s="3"/>
      <c r="C1624" s="230"/>
      <c r="D1624" s="230"/>
      <c r="E1624" s="230"/>
      <c r="F1624" s="230"/>
      <c r="G1624" s="230"/>
      <c r="H1624" s="230"/>
      <c r="I1624" s="230"/>
      <c r="J1624" s="230"/>
      <c r="K1624" s="230"/>
      <c r="L1624" s="230"/>
      <c r="M1624" s="230"/>
      <c r="N1624" s="230"/>
      <c r="O1624" s="19"/>
      <c r="P1624" s="343"/>
      <c r="Q1624" s="343"/>
      <c r="R1624" s="343"/>
      <c r="S1624" s="343"/>
      <c r="T1624" s="343"/>
      <c r="U1624" s="349"/>
      <c r="V1624" s="349"/>
    </row>
    <row r="1625" spans="1:22" s="534" customFormat="1" ht="15" customHeight="1" thickBot="1" x14ac:dyDescent="0.35">
      <c r="A1625" s="343"/>
      <c r="B1625" s="15"/>
      <c r="C1625" s="17">
        <f>C1461+1</f>
        <v>8</v>
      </c>
      <c r="D1625" s="2053" t="str">
        <f>CONCATENATE(EUconst_BMSubinst," ",C1625, ":")</f>
        <v>Delanläggning med produktriktmärke 8:</v>
      </c>
      <c r="E1625" s="2053"/>
      <c r="F1625" s="2053"/>
      <c r="G1625" s="2053"/>
      <c r="H1625" s="2081"/>
      <c r="I1625" s="2090" t="str">
        <f>IF(INDEX(CNTR_SubInstListIsProdBM,$C1625),INDEX(CNTR_SubInstListNames,$C1625),"")</f>
        <v/>
      </c>
      <c r="J1625" s="2091"/>
      <c r="K1625" s="2091"/>
      <c r="L1625" s="2091"/>
      <c r="M1625" s="2091"/>
      <c r="N1625" s="2092"/>
      <c r="O1625" s="19"/>
      <c r="P1625" s="343"/>
      <c r="Q1625" s="723">
        <f>C1625</f>
        <v>8</v>
      </c>
      <c r="R1625" s="722" t="str">
        <f>I1625</f>
        <v/>
      </c>
      <c r="S1625" s="343"/>
      <c r="T1625" s="343"/>
      <c r="U1625" s="349"/>
      <c r="V1625" s="349"/>
    </row>
    <row r="1626" spans="1:22" s="534" customFormat="1" ht="5.15" customHeight="1" x14ac:dyDescent="0.3">
      <c r="A1626" s="343"/>
      <c r="B1626" s="15"/>
      <c r="C1626" s="17"/>
      <c r="D1626" s="17"/>
      <c r="E1626" s="17"/>
      <c r="F1626" s="17"/>
      <c r="G1626" s="17"/>
      <c r="H1626" s="17"/>
      <c r="I1626" s="17"/>
      <c r="J1626" s="17"/>
      <c r="K1626" s="17"/>
      <c r="L1626" s="17"/>
      <c r="M1626" s="17"/>
      <c r="N1626" s="17"/>
      <c r="O1626" s="19"/>
      <c r="P1626" s="343"/>
      <c r="Q1626" s="343"/>
      <c r="R1626" s="343"/>
      <c r="S1626" s="343"/>
      <c r="T1626" s="343"/>
      <c r="U1626" s="349"/>
      <c r="V1626" s="349"/>
    </row>
    <row r="1627" spans="1:22" s="534" customFormat="1" ht="12.75" customHeight="1" x14ac:dyDescent="0.3">
      <c r="A1627" s="343"/>
      <c r="B1627" s="15"/>
      <c r="C1627" s="17"/>
      <c r="D1627" s="17"/>
      <c r="E1627" s="17"/>
      <c r="F1627" s="17"/>
      <c r="H1627" s="506" t="str">
        <f>Translations!$B$1022</f>
        <v>KL-risk</v>
      </c>
      <c r="I1627" s="506" t="s">
        <v>1380</v>
      </c>
      <c r="J1627" s="506" t="str">
        <f>Translations!$B$1026</f>
        <v>I drift</v>
      </c>
      <c r="K1627" s="506" t="str">
        <f>Translations!$B$1545</f>
        <v>Upphört</v>
      </c>
      <c r="L1627" s="952" t="str">
        <f>Translations!$B$1024</f>
        <v>RM-nummer</v>
      </c>
      <c r="M1627" s="2786" t="str">
        <f>Translations!$B$1028</f>
        <v>RM-värde</v>
      </c>
      <c r="N1627" s="2786"/>
      <c r="O1627" s="19"/>
      <c r="P1627" s="343"/>
      <c r="Q1627" s="343"/>
      <c r="R1627" s="343"/>
      <c r="S1627" s="343"/>
      <c r="T1627" s="940"/>
      <c r="U1627" s="349"/>
      <c r="V1627" s="349"/>
    </row>
    <row r="1628" spans="1:22" s="534" customFormat="1" ht="12.75" customHeight="1" x14ac:dyDescent="0.3">
      <c r="A1628" s="343"/>
      <c r="B1628" s="15"/>
      <c r="C1628" s="17"/>
      <c r="D1628" s="17"/>
      <c r="E1628" s="508" t="str">
        <f>I1625</f>
        <v/>
      </c>
      <c r="F1628" s="509"/>
      <c r="G1628" s="509"/>
      <c r="H1628" s="510" t="str">
        <f>IF(L1628=EUconst_NA,EUconst_NA,INDEX(EUconst_BMlistCLstatus,L1628))</f>
        <v>Ej tillämpligt</v>
      </c>
      <c r="I1628" s="510" t="str">
        <f>IF(I1625="","",INDEX(EUconst_BMlistElExchangability,L1628))</f>
        <v/>
      </c>
      <c r="J1628" s="1045" t="str">
        <f>IF($I1625="",EUconst_NA,INDEX(CNTR_SubInstStartDate,MATCH(I1625,CNTR_SubInstListNames,0)))</f>
        <v>Ej tillämpligt</v>
      </c>
      <c r="K1628" s="1045" t="str">
        <f>IF($I1625="",EUconst_NA,IF(INDEX(CNTR_SubInstCessationDate,MATCH(I1625,CNTR_SubInstListNames,0))=0,"",INDEX(CNTR_SubInstCessationDate,MATCH(I1625,CNTR_SubInstListNames,0))))</f>
        <v>Ej tillämpligt</v>
      </c>
      <c r="L1628" s="953" t="str">
        <f>IF($I1625="",EUconst_NA,MATCH(I1625,EUconst_BMlistNames,0))</f>
        <v>Ej tillämpligt</v>
      </c>
      <c r="M1628" s="1744" t="str">
        <f>IF(I1625="",EUconst_NA,INDEX(EUconst_BMlistBMvaluesMatrix,L1628,3))</f>
        <v>Ej tillämpligt</v>
      </c>
      <c r="N1628" s="1041" t="str">
        <f>EUconst_EUA &amp; "/" &amp; F1631</f>
        <v>EUA/ton</v>
      </c>
      <c r="O1628" s="19"/>
      <c r="P1628" s="343"/>
      <c r="Q1628" s="343"/>
      <c r="R1628" s="343"/>
      <c r="S1628" s="343"/>
      <c r="T1628" s="940"/>
      <c r="U1628" s="349"/>
      <c r="V1628" s="349"/>
    </row>
    <row r="1629" spans="1:22" s="534" customFormat="1" ht="5.15" customHeight="1" thickBot="1" x14ac:dyDescent="0.35">
      <c r="A1629" s="343"/>
      <c r="B1629" s="15"/>
      <c r="C1629" s="15"/>
      <c r="D1629" s="15"/>
      <c r="E1629" s="17"/>
      <c r="J1629" s="15"/>
      <c r="K1629" s="15"/>
      <c r="L1629" s="15"/>
      <c r="M1629" s="15"/>
      <c r="N1629" s="15"/>
      <c r="O1629" s="19"/>
      <c r="P1629" s="343"/>
      <c r="Q1629" s="343"/>
      <c r="R1629" s="343"/>
      <c r="S1629" s="343"/>
      <c r="T1629" s="7"/>
      <c r="U1629" s="349"/>
      <c r="V1629" s="349"/>
    </row>
    <row r="1630" spans="1:22" s="534" customFormat="1" ht="12.75" customHeight="1" x14ac:dyDescent="0.25">
      <c r="A1630" s="343"/>
      <c r="B1630" s="15"/>
      <c r="C1630" s="15"/>
      <c r="D1630" s="15"/>
      <c r="E1630" s="39"/>
      <c r="F1630" s="13" t="str">
        <f>EUconst_Unit</f>
        <v>Enhet</v>
      </c>
      <c r="G1630" s="1202" t="str">
        <f>Translations!$B$1432</f>
        <v>HAL</v>
      </c>
      <c r="H1630" s="987">
        <f t="shared" ref="H1630:N1630" si="295">H$2596</f>
        <v>2019</v>
      </c>
      <c r="I1630" s="342">
        <f t="shared" si="295"/>
        <v>2020</v>
      </c>
      <c r="J1630" s="987">
        <f t="shared" si="295"/>
        <v>2021</v>
      </c>
      <c r="K1630" s="320">
        <f t="shared" si="295"/>
        <v>2022</v>
      </c>
      <c r="L1630" s="320">
        <f t="shared" si="295"/>
        <v>2023</v>
      </c>
      <c r="M1630" s="320">
        <f t="shared" si="295"/>
        <v>2024</v>
      </c>
      <c r="N1630" s="320">
        <f t="shared" si="295"/>
        <v>2025</v>
      </c>
      <c r="O1630" s="19"/>
      <c r="P1630" s="343"/>
      <c r="Q1630" s="343" t="s">
        <v>2010</v>
      </c>
      <c r="R1630" s="1635">
        <f>J$2596</f>
        <v>2021</v>
      </c>
      <c r="S1630" s="1636">
        <f>K$2596</f>
        <v>2022</v>
      </c>
      <c r="T1630" s="1636">
        <f>L$2596</f>
        <v>2023</v>
      </c>
      <c r="U1630" s="1636">
        <f>M$2596</f>
        <v>2024</v>
      </c>
      <c r="V1630" s="1637">
        <f>N$2596</f>
        <v>2025</v>
      </c>
    </row>
    <row r="1631" spans="1:22" s="534" customFormat="1" ht="12.75" customHeight="1" thickBot="1" x14ac:dyDescent="0.3">
      <c r="A1631" s="343"/>
      <c r="B1631" s="15"/>
      <c r="C1631" s="15"/>
      <c r="D1631" s="15"/>
      <c r="E1631" s="514" t="str">
        <f>Translations!$B$1562</f>
        <v>Rapporterad verksamhetsnivå</v>
      </c>
      <c r="F1631" s="563" t="str">
        <f>IF(ISNUMBER(L1628),INDEX(EUconst_BMlistUnits,L1628),EUconst_Tons)</f>
        <v>ton</v>
      </c>
      <c r="G1631" s="943" t="str">
        <f>I1734</f>
        <v/>
      </c>
      <c r="H1631" s="1131" t="str">
        <f>IF($I1625="","",IF(H1630&gt;=CNTR_ReportingYear,"",INDEX(F_ProductBM!H:H,MATCH($P1631,F_ProductBM!$Q:$Q,0))))</f>
        <v/>
      </c>
      <c r="I1631" s="641" t="str">
        <f>IF($I1625="","",IF(I1630&gt;=CNTR_ReportingYear,"",INDEX(F_ProductBM!I:I,MATCH($P1631,F_ProductBM!$Q:$Q,0))))</f>
        <v/>
      </c>
      <c r="J1631" s="1131" t="str">
        <f>IF($I1625="","",IF(J1630&gt;=CNTR_ReportingYear,"",INDEX(F_ProductBM!J:J,MATCH($P1631,F_ProductBM!$Q:$Q,0))))</f>
        <v/>
      </c>
      <c r="K1631" s="421" t="str">
        <f>IF($I1625="","",IF(K1630&gt;=CNTR_ReportingYear,"",INDEX(F_ProductBM!K:K,MATCH($P1631,F_ProductBM!$Q:$Q,0))))</f>
        <v/>
      </c>
      <c r="L1631" s="421" t="str">
        <f>IF($I1625="","",IF(L1630&gt;=CNTR_ReportingYear,"",INDEX(F_ProductBM!L:L,MATCH($P1631,F_ProductBM!$Q:$Q,0))))</f>
        <v/>
      </c>
      <c r="M1631" s="421" t="str">
        <f>IF($I1625="","",IF(M1630&gt;=CNTR_ReportingYear,"",INDEX(F_ProductBM!M:M,MATCH($P1631,F_ProductBM!$Q:$Q,0))))</f>
        <v/>
      </c>
      <c r="N1631" s="421" t="str">
        <f>IF($I1625="","",IF(N1630&gt;=CNTR_ReportingYear,"",INDEX(F_ProductBM!N:N,MATCH($P1631,F_ProductBM!$Q:$Q,0))))</f>
        <v/>
      </c>
      <c r="O1631" s="19"/>
      <c r="P1631" s="165" t="str">
        <f>EUconst_CNTR_HAL&amp;I1625</f>
        <v>HAL_</v>
      </c>
      <c r="Q1631" s="343"/>
      <c r="R1631" s="1329" t="b">
        <f>AND($I1625&lt;&gt;"",R1630&lt;=CNTR_ReportingYear,IF($J1628&lt;&gt;EUconst_NA,R1630&gt;=YEAR($J1628),TRUE))</f>
        <v>0</v>
      </c>
      <c r="S1631" s="1330" t="b">
        <f>AND($I1625&lt;&gt;"",S1630&lt;=CNTR_ReportingYear,IF($J1628&lt;&gt;EUconst_NA,S1630&gt;=YEAR($J1628),TRUE))</f>
        <v>0</v>
      </c>
      <c r="T1631" s="1330" t="b">
        <f>AND($I1625&lt;&gt;"",T1630&lt;=CNTR_ReportingYear,IF($J1628&lt;&gt;EUconst_NA,T1630&gt;=YEAR($J1628),TRUE))</f>
        <v>0</v>
      </c>
      <c r="U1631" s="1330" t="b">
        <f>AND($I1625&lt;&gt;"",U1630&lt;=CNTR_ReportingYear,IF($J1628&lt;&gt;EUconst_NA,U1630&gt;=YEAR($J1628),TRUE))</f>
        <v>0</v>
      </c>
      <c r="V1631" s="1331" t="b">
        <f>AND($I1625&lt;&gt;"",V1630&lt;=CNTR_ReportingYear,IF($J1628&lt;&gt;EUconst_NA,V1630&gt;=YEAR($J1628),TRUE))</f>
        <v>0</v>
      </c>
    </row>
    <row r="1632" spans="1:22" s="534" customFormat="1" ht="5.15" customHeight="1" thickBot="1" x14ac:dyDescent="0.35">
      <c r="A1632" s="343"/>
      <c r="B1632" s="15"/>
      <c r="C1632" s="17"/>
      <c r="D1632" s="17"/>
      <c r="E1632" s="17"/>
      <c r="F1632" s="17"/>
      <c r="G1632" s="17"/>
      <c r="H1632" s="17"/>
      <c r="I1632" s="17"/>
      <c r="J1632" s="17"/>
      <c r="K1632" s="17"/>
      <c r="L1632" s="17"/>
      <c r="M1632" s="17"/>
      <c r="N1632" s="17"/>
      <c r="O1632" s="19"/>
      <c r="P1632" s="343"/>
      <c r="Q1632" s="343"/>
      <c r="R1632" s="343"/>
      <c r="S1632" s="343"/>
      <c r="T1632" s="343"/>
      <c r="U1632" s="349"/>
      <c r="V1632" s="349"/>
    </row>
    <row r="1633" spans="1:22" s="534" customFormat="1" ht="5.15" customHeight="1" x14ac:dyDescent="0.3">
      <c r="A1633" s="343"/>
      <c r="B1633" s="15"/>
      <c r="C1633" s="17"/>
      <c r="D1633" s="1383"/>
      <c r="E1633" s="1384"/>
      <c r="F1633" s="1384"/>
      <c r="G1633" s="1384"/>
      <c r="H1633" s="1384"/>
      <c r="I1633" s="1384"/>
      <c r="J1633" s="1384"/>
      <c r="K1633" s="1384"/>
      <c r="L1633" s="1384"/>
      <c r="M1633" s="1384"/>
      <c r="N1633" s="1385"/>
      <c r="O1633" s="19"/>
      <c r="P1633" s="343"/>
      <c r="Q1633" s="343"/>
      <c r="R1633" s="343"/>
      <c r="S1633" s="343"/>
      <c r="T1633" s="343"/>
      <c r="U1633" s="349"/>
      <c r="V1633" s="349"/>
    </row>
    <row r="1634" spans="1:22" s="534" customFormat="1" ht="12.75" customHeight="1" x14ac:dyDescent="0.3">
      <c r="A1634" s="343"/>
      <c r="B1634" s="15"/>
      <c r="C1634" s="17"/>
      <c r="D1634" s="1386"/>
      <c r="E1634" s="42" t="str">
        <f>Translations!$B$1563</f>
        <v>Tillämplighet av glidande medelvärde</v>
      </c>
      <c r="F1634" s="188"/>
      <c r="G1634" s="188"/>
      <c r="H1634" s="30"/>
      <c r="I1634" s="1157"/>
      <c r="J1634" s="1065">
        <f>J$2596</f>
        <v>2021</v>
      </c>
      <c r="K1634" s="350">
        <f>K$2596</f>
        <v>2022</v>
      </c>
      <c r="L1634" s="350">
        <f>L$2596</f>
        <v>2023</v>
      </c>
      <c r="M1634" s="350">
        <f>M$2596</f>
        <v>2024</v>
      </c>
      <c r="N1634" s="966">
        <f>N$2596</f>
        <v>2025</v>
      </c>
      <c r="O1634" s="19"/>
      <c r="P1634" s="343"/>
      <c r="Q1634" s="343"/>
      <c r="R1634" s="343"/>
      <c r="S1634" s="343"/>
      <c r="T1634" s="343"/>
      <c r="U1634" s="349"/>
      <c r="V1634" s="349"/>
    </row>
    <row r="1635" spans="1:22" s="534" customFormat="1" ht="12.75" customHeight="1" x14ac:dyDescent="0.3">
      <c r="A1635" s="343"/>
      <c r="B1635" s="15"/>
      <c r="C1635" s="17"/>
      <c r="D1635" s="1386"/>
      <c r="E1635" s="1477" t="str">
        <f>Translations!$B$1549</f>
        <v>Kriterium 1: Verksam &gt;2 år?</v>
      </c>
      <c r="F1635" s="1478"/>
      <c r="G1635" s="1478"/>
      <c r="H1635" s="1366"/>
      <c r="I1635" s="1478"/>
      <c r="J1635" s="1469" t="str">
        <f>IF(R1631,INDEX(F_ProductBM!V:V,MATCH($P1635,F_ProductBM!$Q:$Q,0))&gt;=3,"")</f>
        <v/>
      </c>
      <c r="K1635" s="1470" t="str">
        <f>IF(S1631,INDEX(F_ProductBM!W:W,MATCH($P1635,F_ProductBM!$Q:$Q,0))&gt;=3,"")</f>
        <v/>
      </c>
      <c r="L1635" s="1470" t="str">
        <f>IF(T1631,INDEX(F_ProductBM!X:X,MATCH($P1635,F_ProductBM!$Q:$Q,0))&gt;=3,"")</f>
        <v/>
      </c>
      <c r="M1635" s="1470" t="str">
        <f>IF(U1631,INDEX(F_ProductBM!Y:Y,MATCH($P1635,F_ProductBM!$Q:$Q,0))&gt;=3,"")</f>
        <v/>
      </c>
      <c r="N1635" s="1471" t="str">
        <f>IF(V1631,INDEX(F_ProductBM!Z:Z,MATCH($P1635,F_ProductBM!$Q:$Q,0))&gt;=3,"")</f>
        <v/>
      </c>
      <c r="O1635" s="19"/>
      <c r="P1635" s="165" t="str">
        <f>EUconst_CNTR_HALinitial&amp;I1625</f>
        <v>HALini_</v>
      </c>
      <c r="Q1635" s="343"/>
      <c r="R1635" s="343"/>
      <c r="S1635" s="343"/>
      <c r="T1635" s="343"/>
      <c r="U1635" s="349"/>
      <c r="V1635" s="349"/>
    </row>
    <row r="1636" spans="1:22" s="534" customFormat="1" ht="12.75" customHeight="1" x14ac:dyDescent="0.3">
      <c r="A1636" s="343"/>
      <c r="B1636" s="15"/>
      <c r="C1636" s="17"/>
      <c r="D1636" s="1386"/>
      <c r="E1636" s="1472" t="str">
        <f>Translations!$B$1551</f>
        <v>Kriterium 2: Upphörde inte föregående år?</v>
      </c>
      <c r="F1636" s="1479"/>
      <c r="G1636" s="1479"/>
      <c r="H1636" s="1473"/>
      <c r="I1636" s="1479"/>
      <c r="J1636" s="1474" t="str">
        <f>IF(R1631,IF($K1628="",2050,YEAR($K1628))&lt;&gt;(J1634-1),"")</f>
        <v/>
      </c>
      <c r="K1636" s="1475" t="str">
        <f>IF(S1631,IF($K1628="",2050,YEAR($K1628))&lt;&gt;(K1634-1),"")</f>
        <v/>
      </c>
      <c r="L1636" s="1475" t="str">
        <f>IF(T1631,IF($K1628="",2050,YEAR($K1628))&lt;&gt;(L1634-1),"")</f>
        <v/>
      </c>
      <c r="M1636" s="1475" t="str">
        <f>IF(U1631,IF($K1628="",2050,YEAR($K1628))&lt;&gt;(M1634-1),"")</f>
        <v/>
      </c>
      <c r="N1636" s="1476" t="str">
        <f>IF(V1631,IF($K1628="",2050,YEAR($K1628))&lt;&gt;(N1634-1),"")</f>
        <v/>
      </c>
      <c r="O1636" s="19"/>
      <c r="P1636" s="343"/>
      <c r="Q1636" s="343"/>
      <c r="R1636" s="343"/>
      <c r="S1636" s="343"/>
      <c r="T1636" s="343"/>
      <c r="U1636" s="349"/>
      <c r="V1636" s="349"/>
    </row>
    <row r="1637" spans="1:22" s="534" customFormat="1" ht="5.15" customHeight="1" x14ac:dyDescent="0.3">
      <c r="A1637" s="343"/>
      <c r="B1637" s="15"/>
      <c r="C1637" s="17"/>
      <c r="D1637" s="1386"/>
      <c r="E1637" s="17"/>
      <c r="F1637" s="17"/>
      <c r="G1637" s="17"/>
      <c r="H1637" s="17"/>
      <c r="I1637" s="17"/>
      <c r="J1637" s="17"/>
      <c r="K1637" s="17"/>
      <c r="L1637" s="17"/>
      <c r="M1637" s="17"/>
      <c r="N1637" s="1388"/>
      <c r="O1637" s="19"/>
      <c r="P1637" s="343"/>
      <c r="Q1637" s="343"/>
      <c r="R1637" s="343"/>
      <c r="S1637" s="343"/>
      <c r="T1637" s="343"/>
      <c r="U1637" s="349"/>
      <c r="V1637" s="349"/>
    </row>
    <row r="1638" spans="1:22" s="534" customFormat="1" ht="12.75" customHeight="1" x14ac:dyDescent="0.3">
      <c r="A1638" s="343"/>
      <c r="B1638" s="15"/>
      <c r="C1638" s="17"/>
      <c r="D1638" s="1386"/>
      <c r="E1638" s="39" t="str">
        <f>Translations!$B$1564</f>
        <v>Ändringar: Ingen ändring (bas)</v>
      </c>
      <c r="F1638" s="15"/>
      <c r="G1638" s="15"/>
      <c r="H1638" s="30" t="str">
        <f>EUconst_Unit</f>
        <v>Enhet</v>
      </c>
      <c r="I1638" s="1157"/>
      <c r="J1638" s="987">
        <f>J$2596</f>
        <v>2021</v>
      </c>
      <c r="K1638" s="320">
        <f>K$2596</f>
        <v>2022</v>
      </c>
      <c r="L1638" s="320">
        <f>L$2596</f>
        <v>2023</v>
      </c>
      <c r="M1638" s="320">
        <f>M$2596</f>
        <v>2024</v>
      </c>
      <c r="N1638" s="1387">
        <f>N$2596</f>
        <v>2025</v>
      </c>
      <c r="O1638" s="19"/>
      <c r="P1638" s="343"/>
      <c r="Q1638" s="343"/>
      <c r="R1638" s="343"/>
      <c r="S1638" s="343"/>
      <c r="T1638" s="343"/>
      <c r="U1638" s="349"/>
      <c r="V1638" s="349"/>
    </row>
    <row r="1639" spans="1:22" s="534" customFormat="1" ht="12.75" hidden="1" customHeight="1" x14ac:dyDescent="0.3">
      <c r="A1639" s="343" t="str">
        <f t="shared" ref="A1639:A1644" si="296">IF(P1639="","ausblenden","")</f>
        <v>ausblenden</v>
      </c>
      <c r="B1639" s="15"/>
      <c r="C1639" s="17"/>
      <c r="D1639" s="1386"/>
      <c r="E1639" s="514" t="s">
        <v>1918</v>
      </c>
      <c r="F1639" s="514"/>
      <c r="G1639" s="514"/>
      <c r="H1639" s="917" t="str">
        <f>F1631</f>
        <v>ton</v>
      </c>
      <c r="I1639" s="514"/>
      <c r="J1639" s="1152" t="str">
        <f>IF(T1740&gt;=$H$2595,S1734,I1734)</f>
        <v/>
      </c>
      <c r="K1639" s="943" t="str">
        <f t="shared" ref="K1639:K1644" si="297">J1734</f>
        <v/>
      </c>
      <c r="L1639" s="943" t="str">
        <f t="shared" ref="L1639:L1644" si="298">K1734</f>
        <v/>
      </c>
      <c r="M1639" s="943" t="str">
        <f t="shared" ref="M1639:M1644" si="299">L1734</f>
        <v/>
      </c>
      <c r="N1639" s="1389" t="str">
        <f t="shared" ref="N1639:N1644" si="300">M1734</f>
        <v/>
      </c>
      <c r="O1639" s="19"/>
      <c r="P1639" s="343"/>
      <c r="Q1639" s="343"/>
      <c r="R1639" s="343"/>
      <c r="S1639" s="343"/>
      <c r="T1639" s="343"/>
      <c r="U1639" s="349"/>
      <c r="V1639" s="349"/>
    </row>
    <row r="1640" spans="1:22" s="534" customFormat="1" ht="12.75" hidden="1" customHeight="1" x14ac:dyDescent="0.3">
      <c r="A1640" s="343" t="str">
        <f t="shared" si="296"/>
        <v>ausblenden</v>
      </c>
      <c r="B1640" s="15"/>
      <c r="C1640" s="17"/>
      <c r="D1640" s="1386"/>
      <c r="E1640" s="944" t="s">
        <v>339</v>
      </c>
      <c r="F1640" s="944"/>
      <c r="G1640" s="944"/>
      <c r="H1640" s="954" t="str">
        <f>EUconst_EUA</f>
        <v>EUA</v>
      </c>
      <c r="I1640" s="945"/>
      <c r="J1640" s="1209" t="str">
        <f>IF(T1740&gt;=$H$2595,S1735,I1735)</f>
        <v/>
      </c>
      <c r="K1640" s="1210" t="str">
        <f t="shared" si="297"/>
        <v/>
      </c>
      <c r="L1640" s="1210" t="str">
        <f t="shared" si="298"/>
        <v/>
      </c>
      <c r="M1640" s="1210" t="str">
        <f t="shared" si="299"/>
        <v/>
      </c>
      <c r="N1640" s="1390" t="str">
        <f t="shared" si="300"/>
        <v/>
      </c>
      <c r="O1640" s="19"/>
      <c r="P1640" s="343"/>
      <c r="Q1640" s="343"/>
      <c r="R1640" s="343"/>
      <c r="S1640" s="343"/>
      <c r="T1640" s="343"/>
      <c r="U1640" s="349"/>
      <c r="V1640" s="349"/>
    </row>
    <row r="1641" spans="1:22" s="534" customFormat="1" ht="12.75" hidden="1" customHeight="1" x14ac:dyDescent="0.3">
      <c r="A1641" s="343" t="str">
        <f t="shared" si="296"/>
        <v>ausblenden</v>
      </c>
      <c r="B1641" s="15"/>
      <c r="C1641" s="17"/>
      <c r="D1641" s="1386"/>
      <c r="E1641" s="947" t="s">
        <v>1560</v>
      </c>
      <c r="F1641" s="947"/>
      <c r="G1641" s="947"/>
      <c r="H1641" s="955" t="str">
        <f>EUconst_EUA</f>
        <v>EUA</v>
      </c>
      <c r="I1641" s="948"/>
      <c r="J1641" s="1165" t="str">
        <f>IF(T1740&gt;=$H$2595,S1736,I1736)</f>
        <v/>
      </c>
      <c r="K1641" s="975" t="str">
        <f t="shared" si="297"/>
        <v/>
      </c>
      <c r="L1641" s="975" t="str">
        <f t="shared" si="298"/>
        <v/>
      </c>
      <c r="M1641" s="975" t="str">
        <f t="shared" si="299"/>
        <v/>
      </c>
      <c r="N1641" s="1391" t="str">
        <f t="shared" si="300"/>
        <v/>
      </c>
      <c r="O1641" s="19"/>
      <c r="P1641" s="343"/>
      <c r="Q1641" s="343"/>
      <c r="R1641" s="343"/>
      <c r="S1641" s="343"/>
      <c r="T1641" s="343"/>
      <c r="U1641" s="349"/>
      <c r="V1641" s="349"/>
    </row>
    <row r="1642" spans="1:22" s="534" customFormat="1" ht="12.75" hidden="1" customHeight="1" x14ac:dyDescent="0.3">
      <c r="A1642" s="343" t="str">
        <f t="shared" si="296"/>
        <v>ausblenden</v>
      </c>
      <c r="B1642" s="15"/>
      <c r="C1642" s="17"/>
      <c r="D1642" s="1386"/>
      <c r="E1642" s="947" t="s">
        <v>1527</v>
      </c>
      <c r="F1642" s="947"/>
      <c r="G1642" s="947"/>
      <c r="H1642" s="955" t="str">
        <f>EUconst_EUA</f>
        <v>EUA</v>
      </c>
      <c r="I1642" s="948"/>
      <c r="J1642" s="1165" t="str">
        <f>IF(T1740&gt;=$H$2595,S1737,I1737)</f>
        <v/>
      </c>
      <c r="K1642" s="975" t="str">
        <f t="shared" si="297"/>
        <v/>
      </c>
      <c r="L1642" s="975" t="str">
        <f t="shared" si="298"/>
        <v/>
      </c>
      <c r="M1642" s="975" t="str">
        <f t="shared" si="299"/>
        <v/>
      </c>
      <c r="N1642" s="1391" t="str">
        <f t="shared" si="300"/>
        <v/>
      </c>
      <c r="O1642" s="19"/>
      <c r="P1642" s="343"/>
      <c r="Q1642" s="343"/>
      <c r="R1642" s="343"/>
      <c r="S1642" s="343"/>
      <c r="T1642" s="343"/>
      <c r="U1642" s="349"/>
      <c r="V1642" s="349"/>
    </row>
    <row r="1643" spans="1:22" s="534" customFormat="1" ht="12.75" hidden="1" customHeight="1" x14ac:dyDescent="0.3">
      <c r="A1643" s="343" t="str">
        <f t="shared" si="296"/>
        <v>ausblenden</v>
      </c>
      <c r="B1643" s="15"/>
      <c r="C1643" s="17"/>
      <c r="D1643" s="1386"/>
      <c r="E1643" s="947" t="s">
        <v>1526</v>
      </c>
      <c r="F1643" s="947"/>
      <c r="G1643" s="947"/>
      <c r="H1643" s="956" t="s">
        <v>1112</v>
      </c>
      <c r="I1643" s="948"/>
      <c r="J1643" s="1211" t="str">
        <f>IF(T1740&gt;=$H$2595,S1738,I1738)</f>
        <v/>
      </c>
      <c r="K1643" s="1212" t="str">
        <f t="shared" si="297"/>
        <v/>
      </c>
      <c r="L1643" s="1212" t="str">
        <f t="shared" si="298"/>
        <v/>
      </c>
      <c r="M1643" s="1212" t="str">
        <f t="shared" si="299"/>
        <v/>
      </c>
      <c r="N1643" s="1392" t="str">
        <f t="shared" si="300"/>
        <v/>
      </c>
      <c r="O1643" s="19"/>
      <c r="P1643" s="343"/>
      <c r="Q1643" s="343"/>
      <c r="R1643" s="343"/>
      <c r="S1643" s="343"/>
      <c r="T1643" s="343"/>
      <c r="U1643" s="349"/>
      <c r="V1643" s="349"/>
    </row>
    <row r="1644" spans="1:22" s="534" customFormat="1" ht="12.75" hidden="1" customHeight="1" x14ac:dyDescent="0.3">
      <c r="A1644" s="343" t="str">
        <f t="shared" si="296"/>
        <v>ausblenden</v>
      </c>
      <c r="B1644" s="15"/>
      <c r="C1644" s="17"/>
      <c r="D1644" s="1386"/>
      <c r="E1644" s="950" t="s">
        <v>1528</v>
      </c>
      <c r="F1644" s="950"/>
      <c r="G1644" s="950"/>
      <c r="H1644" s="957" t="s">
        <v>1112</v>
      </c>
      <c r="I1644" s="951"/>
      <c r="J1644" s="1213" t="str">
        <f>IF(T1740&gt;=$H$2595,S1739,I1739)</f>
        <v/>
      </c>
      <c r="K1644" s="1214" t="str">
        <f t="shared" si="297"/>
        <v/>
      </c>
      <c r="L1644" s="1214" t="str">
        <f t="shared" si="298"/>
        <v/>
      </c>
      <c r="M1644" s="1214" t="str">
        <f t="shared" si="299"/>
        <v/>
      </c>
      <c r="N1644" s="1393" t="str">
        <f t="shared" si="300"/>
        <v/>
      </c>
      <c r="O1644" s="19"/>
      <c r="P1644" s="343"/>
      <c r="Q1644" s="343"/>
      <c r="R1644" s="343"/>
      <c r="S1644" s="343"/>
      <c r="T1644" s="343"/>
      <c r="U1644" s="349"/>
      <c r="V1644" s="349"/>
    </row>
    <row r="1645" spans="1:22" s="534" customFormat="1" ht="12.75" customHeight="1" x14ac:dyDescent="0.3">
      <c r="A1645" s="343"/>
      <c r="B1645" s="15"/>
      <c r="C1645" s="17"/>
      <c r="D1645" s="1386"/>
      <c r="E1645" s="514" t="str">
        <f>Translations!$B$1565</f>
        <v>Preliminärt tilldelningsvärde</v>
      </c>
      <c r="F1645" s="514"/>
      <c r="G1645" s="514"/>
      <c r="H1645" s="129" t="str">
        <f>EUconst_EUA</f>
        <v>EUA</v>
      </c>
      <c r="I1645" s="1151"/>
      <c r="J1645" s="1131" t="str">
        <f>IF($I1625="","",MAX(0,ROUND((SUM($M1628)*SUM(J1639)*SUM(J1643)*SUM(J1644)-SUM(J1640)-SUM(J1641)+SUM(J1642))*IF($H1628=TRUE,1,J$2517),0)))</f>
        <v/>
      </c>
      <c r="K1645" s="421" t="str">
        <f>IF($I1625="","",MAX(0,ROUND((SUM($M1628)*SUM(K1639)*SUM(K1643)*SUM(K1644)-SUM(K1640)-SUM(K1641)+SUM(K1642))*IF($H1628=TRUE,1,K$2517),0)))</f>
        <v/>
      </c>
      <c r="L1645" s="421" t="str">
        <f>IF($I1625="","",MAX(0,ROUND((SUM($M1628)*SUM(L1639)*SUM(L1643)*SUM(L1644)-SUM(L1640)-SUM(L1641)+SUM(L1642))*IF($H1628=TRUE,1,L$2517),0)))</f>
        <v/>
      </c>
      <c r="M1645" s="421" t="str">
        <f>IF($I1625="","",MAX(0,ROUND((SUM($M1628)*SUM(M1639)*SUM(M1643)*SUM(M1644)-SUM(M1640)-SUM(M1641)+SUM(M1642))*IF($H1628=TRUE,1,M$2517),0)))</f>
        <v/>
      </c>
      <c r="N1645" s="967" t="str">
        <f>IF($I1625="","",MAX(0,ROUND((SUM($M1628+IF(L1628=52,0.415,0))*SUM(N1639)*SUM(N1643)*SUM(N1644)-SUM(N1640)-SUM(N1641)+SUM(N1642))*IF($H1628=TRUE,1,N$2517),0)))</f>
        <v/>
      </c>
      <c r="O1645" s="19"/>
      <c r="P1645" s="343"/>
      <c r="Q1645" s="343"/>
      <c r="R1645" s="343"/>
      <c r="S1645" s="343"/>
      <c r="T1645" s="343"/>
      <c r="U1645" s="349"/>
      <c r="V1645" s="349"/>
    </row>
    <row r="1646" spans="1:22" s="534" customFormat="1" ht="5.15" customHeight="1" x14ac:dyDescent="0.3">
      <c r="A1646" s="343"/>
      <c r="B1646" s="15"/>
      <c r="C1646" s="17"/>
      <c r="D1646" s="1386"/>
      <c r="E1646" s="17"/>
      <c r="F1646" s="17"/>
      <c r="G1646" s="17"/>
      <c r="H1646" s="17"/>
      <c r="I1646" s="17"/>
      <c r="J1646" s="17"/>
      <c r="K1646" s="17"/>
      <c r="L1646" s="17"/>
      <c r="M1646" s="17"/>
      <c r="N1646" s="1388"/>
      <c r="O1646" s="19"/>
      <c r="P1646" s="343"/>
      <c r="Q1646" s="343"/>
      <c r="R1646" s="343"/>
      <c r="S1646" s="343"/>
      <c r="T1646" s="343"/>
      <c r="U1646" s="349"/>
      <c r="V1646" s="349"/>
    </row>
    <row r="1647" spans="1:22" s="534" customFormat="1" ht="12.75" customHeight="1" x14ac:dyDescent="0.3">
      <c r="A1647" s="343"/>
      <c r="B1647" s="15"/>
      <c r="C1647" s="17"/>
      <c r="D1647" s="1386"/>
      <c r="E1647" s="42" t="str">
        <f>Translations!$B$1566</f>
        <v>Ändringar: Verksamhetsnivå</v>
      </c>
      <c r="F1647" s="188"/>
      <c r="G1647" s="188"/>
      <c r="H1647" s="30" t="str">
        <f>EUconst_Unit</f>
        <v>Enhet</v>
      </c>
      <c r="I1647" s="1157"/>
      <c r="J1647" s="1065">
        <f>J$2596</f>
        <v>2021</v>
      </c>
      <c r="K1647" s="350">
        <f>K$2596</f>
        <v>2022</v>
      </c>
      <c r="L1647" s="350">
        <f>L$2596</f>
        <v>2023</v>
      </c>
      <c r="M1647" s="350">
        <f>M$2596</f>
        <v>2024</v>
      </c>
      <c r="N1647" s="966">
        <f>N$2596</f>
        <v>2025</v>
      </c>
      <c r="O1647" s="19"/>
      <c r="P1647" s="343"/>
      <c r="Q1647" s="343"/>
      <c r="R1647" s="343"/>
      <c r="S1647" s="343"/>
      <c r="T1647" s="343"/>
      <c r="U1647" s="349"/>
      <c r="V1647" s="349"/>
    </row>
    <row r="1648" spans="1:22" s="534" customFormat="1" ht="12.75" customHeight="1" x14ac:dyDescent="0.3">
      <c r="A1648" s="343"/>
      <c r="B1648" s="15"/>
      <c r="C1648" s="17"/>
      <c r="D1648" s="1386"/>
      <c r="E1648" s="944" t="str">
        <f>Translations!$B$1482</f>
        <v>Genomsnittligt årligt värde</v>
      </c>
      <c r="F1648" s="944"/>
      <c r="G1648" s="944"/>
      <c r="H1648" s="1443" t="str">
        <f>H1639</f>
        <v>ton</v>
      </c>
      <c r="I1648" s="1367"/>
      <c r="J1648" s="1161" t="str">
        <f>INDEX(F_ProductBM!J:J,MATCH($P1648,F_ProductBM!$Q:$Q,0))</f>
        <v/>
      </c>
      <c r="K1648" s="946" t="str">
        <f>INDEX(F_ProductBM!K:K,MATCH($P1648,F_ProductBM!$Q:$Q,0))</f>
        <v/>
      </c>
      <c r="L1648" s="946" t="str">
        <f>INDEX(F_ProductBM!L:L,MATCH($P1648,F_ProductBM!$Q:$Q,0))</f>
        <v/>
      </c>
      <c r="M1648" s="946" t="str">
        <f>INDEX(F_ProductBM!M:M,MATCH($P1648,F_ProductBM!$Q:$Q,0))</f>
        <v/>
      </c>
      <c r="N1648" s="1046" t="str">
        <f>INDEX(F_ProductBM!N:N,MATCH($P1648,F_ProductBM!$Q:$Q,0))</f>
        <v/>
      </c>
      <c r="O1648" s="19"/>
      <c r="P1648" s="165" t="str">
        <f>EUconst_CNTR_HALinitial&amp;I1625</f>
        <v>HALini_</v>
      </c>
      <c r="Q1648" s="343"/>
      <c r="R1648" s="343"/>
      <c r="S1648" s="343"/>
      <c r="T1648" s="343"/>
      <c r="U1648" s="349"/>
      <c r="V1648" s="349"/>
    </row>
    <row r="1649" spans="1:22" s="534" customFormat="1" ht="12.75" customHeight="1" x14ac:dyDescent="0.3">
      <c r="A1649" s="343"/>
      <c r="B1649" s="15"/>
      <c r="C1649" s="17"/>
      <c r="D1649" s="1386"/>
      <c r="E1649" s="947" t="str">
        <f>Translations!$B$1567</f>
        <v>Ändring jämfört med historik verksamhetsnivå</v>
      </c>
      <c r="F1649" s="947"/>
      <c r="G1649" s="947"/>
      <c r="H1649" s="1442" t="s">
        <v>1112</v>
      </c>
      <c r="I1649" s="1371"/>
      <c r="J1649" s="1415" t="str">
        <f>INDEX(F_ProductBM!J:J,MATCH($P1649,F_ProductBM!$Q:$Q,0))</f>
        <v/>
      </c>
      <c r="K1649" s="1416" t="str">
        <f>INDEX(F_ProductBM!K:K,MATCH($P1649,F_ProductBM!$Q:$Q,0))</f>
        <v/>
      </c>
      <c r="L1649" s="1416" t="str">
        <f>INDEX(F_ProductBM!L:L,MATCH($P1649,F_ProductBM!$Q:$Q,0))</f>
        <v/>
      </c>
      <c r="M1649" s="1416" t="str">
        <f>INDEX(F_ProductBM!M:M,MATCH($P1649,F_ProductBM!$Q:$Q,0))</f>
        <v/>
      </c>
      <c r="N1649" s="1417" t="str">
        <f>INDEX(F_ProductBM!N:N,MATCH($P1649,F_ProductBM!$Q:$Q,0))</f>
        <v/>
      </c>
      <c r="O1649" s="19"/>
      <c r="P1649" s="165" t="str">
        <f>EUconst_CNTR_RelThreshold &amp; P1651</f>
        <v>RelThresh_HALprelim_</v>
      </c>
      <c r="Q1649" s="343"/>
      <c r="R1649" s="343"/>
      <c r="S1649" s="343"/>
      <c r="T1649" s="343"/>
      <c r="U1649" s="349"/>
      <c r="V1649" s="349"/>
    </row>
    <row r="1650" spans="1:22" s="534" customFormat="1" ht="12.75" customHeight="1" x14ac:dyDescent="0.3">
      <c r="A1650" s="343"/>
      <c r="B1650" s="15"/>
      <c r="C1650" s="17"/>
      <c r="D1650" s="1386"/>
      <c r="E1650" s="1418" t="str">
        <f>Translations!$B$1553</f>
        <v>Kriterium 3a: Har relativa tröskelvärden överskridits?</v>
      </c>
      <c r="F1650" s="1418"/>
      <c r="G1650" s="1418"/>
      <c r="H1650" s="1444" t="s">
        <v>1112</v>
      </c>
      <c r="I1650" s="1423"/>
      <c r="J1650" s="1420" t="str">
        <f>INDEX(F_ProductBM!V:V,MATCH($P1650,F_ProductBM!$Q:$Q,0)+1)</f>
        <v/>
      </c>
      <c r="K1650" s="1421" t="str">
        <f>INDEX(F_ProductBM!W:W,MATCH($P1650,F_ProductBM!$Q:$Q,0)+1)</f>
        <v/>
      </c>
      <c r="L1650" s="1421" t="str">
        <f>INDEX(F_ProductBM!X:X,MATCH($P1650,F_ProductBM!$Q:$Q,0)+1)</f>
        <v/>
      </c>
      <c r="M1650" s="1421" t="str">
        <f>INDEX(F_ProductBM!Y:Y,MATCH($P1650,F_ProductBM!$Q:$Q,0)+1)</f>
        <v/>
      </c>
      <c r="N1650" s="1422" t="str">
        <f>INDEX(F_ProductBM!Z:Z,MATCH($P1650,F_ProductBM!$Q:$Q,0)+1)</f>
        <v/>
      </c>
      <c r="O1650" s="19"/>
      <c r="P1650" s="165" t="str">
        <f>P1649</f>
        <v>RelThresh_HALprelim_</v>
      </c>
      <c r="Q1650" s="343"/>
      <c r="R1650" s="343"/>
      <c r="S1650" s="343"/>
      <c r="T1650" s="343"/>
      <c r="U1650" s="349"/>
      <c r="V1650" s="349"/>
    </row>
    <row r="1651" spans="1:22" s="534" customFormat="1" ht="12.75" customHeight="1" x14ac:dyDescent="0.3">
      <c r="A1651" s="343" t="str">
        <f t="shared" ref="A1651:A1656" si="301">IF(P1651="","ausblenden","")</f>
        <v/>
      </c>
      <c r="B1651" s="15"/>
      <c r="C1651" s="17"/>
      <c r="D1651" s="1386"/>
      <c r="E1651" s="950" t="str">
        <f>Translations!$B$1568</f>
        <v>Preliminärt värde</v>
      </c>
      <c r="F1651" s="950"/>
      <c r="G1651" s="950"/>
      <c r="H1651" s="1372" t="str">
        <f>F1631</f>
        <v>ton</v>
      </c>
      <c r="I1651" s="950"/>
      <c r="J1651" s="1373" t="str">
        <f>INDEX(F_ProductBM!J:J,MATCH($P1651,F_ProductBM!$Q:$Q,0))</f>
        <v/>
      </c>
      <c r="K1651" s="1374" t="str">
        <f>INDEX(F_ProductBM!K:K,MATCH($P1651,F_ProductBM!$Q:$Q,0))</f>
        <v/>
      </c>
      <c r="L1651" s="1374" t="str">
        <f>INDEX(F_ProductBM!L:L,MATCH($P1651,F_ProductBM!$Q:$Q,0))</f>
        <v/>
      </c>
      <c r="M1651" s="1374" t="str">
        <f>INDEX(F_ProductBM!M:M,MATCH($P1651,F_ProductBM!$Q:$Q,0))</f>
        <v/>
      </c>
      <c r="N1651" s="1395" t="str">
        <f>INDEX(F_ProductBM!N:N,MATCH($P1651,F_ProductBM!$Q:$Q,0))</f>
        <v/>
      </c>
      <c r="O1651" s="19"/>
      <c r="P1651" s="165" t="str">
        <f>EUconst_CNTR_HALprelim&amp;I1625</f>
        <v>HALprelim_</v>
      </c>
      <c r="Q1651" s="343"/>
      <c r="R1651" s="343"/>
      <c r="S1651" s="343"/>
      <c r="T1651" s="343"/>
      <c r="U1651" s="349"/>
      <c r="V1651" s="349"/>
    </row>
    <row r="1652" spans="1:22" s="534" customFormat="1" ht="12.75" hidden="1" customHeight="1" x14ac:dyDescent="0.3">
      <c r="A1652" s="343" t="str">
        <f t="shared" si="301"/>
        <v>ausblenden</v>
      </c>
      <c r="B1652" s="15"/>
      <c r="C1652" s="17"/>
      <c r="D1652" s="1386"/>
      <c r="E1652" s="944" t="s">
        <v>339</v>
      </c>
      <c r="F1652" s="944"/>
      <c r="G1652" s="944"/>
      <c r="H1652" s="954" t="str">
        <f>EUconst_EUA</f>
        <v>EUA</v>
      </c>
      <c r="I1652" s="945"/>
      <c r="J1652" s="1209" t="str">
        <f>J1640</f>
        <v/>
      </c>
      <c r="K1652" s="1210" t="str">
        <f t="shared" ref="K1652:K1656" si="302">J1735</f>
        <v/>
      </c>
      <c r="L1652" s="1210" t="str">
        <f t="shared" ref="L1652:L1656" si="303">K1735</f>
        <v/>
      </c>
      <c r="M1652" s="1210" t="str">
        <f t="shared" ref="M1652:M1656" si="304">L1735</f>
        <v/>
      </c>
      <c r="N1652" s="1390" t="str">
        <f t="shared" ref="N1652:N1656" si="305">M1735</f>
        <v/>
      </c>
      <c r="O1652" s="19"/>
      <c r="P1652" s="343"/>
      <c r="Q1652" s="343"/>
      <c r="R1652" s="343"/>
      <c r="S1652" s="343"/>
      <c r="T1652" s="343"/>
      <c r="U1652" s="349"/>
      <c r="V1652" s="349"/>
    </row>
    <row r="1653" spans="1:22" s="534" customFormat="1" ht="12.75" hidden="1" customHeight="1" x14ac:dyDescent="0.3">
      <c r="A1653" s="343" t="str">
        <f t="shared" si="301"/>
        <v>ausblenden</v>
      </c>
      <c r="B1653" s="15"/>
      <c r="C1653" s="17"/>
      <c r="D1653" s="1386"/>
      <c r="E1653" s="947" t="s">
        <v>1560</v>
      </c>
      <c r="F1653" s="947"/>
      <c r="G1653" s="947"/>
      <c r="H1653" s="955" t="str">
        <f>EUconst_EUA</f>
        <v>EUA</v>
      </c>
      <c r="I1653" s="948"/>
      <c r="J1653" s="1165" t="str">
        <f>J1641</f>
        <v/>
      </c>
      <c r="K1653" s="975" t="str">
        <f t="shared" si="302"/>
        <v/>
      </c>
      <c r="L1653" s="975" t="str">
        <f t="shared" si="303"/>
        <v/>
      </c>
      <c r="M1653" s="975" t="str">
        <f t="shared" si="304"/>
        <v/>
      </c>
      <c r="N1653" s="1391" t="str">
        <f t="shared" si="305"/>
        <v/>
      </c>
      <c r="O1653" s="19"/>
      <c r="P1653" s="343"/>
      <c r="Q1653" s="343"/>
      <c r="R1653" s="343"/>
      <c r="S1653" s="343"/>
      <c r="T1653" s="343"/>
      <c r="U1653" s="349"/>
      <c r="V1653" s="349"/>
    </row>
    <row r="1654" spans="1:22" s="534" customFormat="1" ht="12.75" hidden="1" customHeight="1" x14ac:dyDescent="0.3">
      <c r="A1654" s="343" t="str">
        <f t="shared" si="301"/>
        <v>ausblenden</v>
      </c>
      <c r="B1654" s="15"/>
      <c r="C1654" s="17"/>
      <c r="D1654" s="1386"/>
      <c r="E1654" s="947" t="s">
        <v>1527</v>
      </c>
      <c r="F1654" s="947"/>
      <c r="G1654" s="947"/>
      <c r="H1654" s="955" t="str">
        <f>EUconst_EUA</f>
        <v>EUA</v>
      </c>
      <c r="I1654" s="948"/>
      <c r="J1654" s="1165" t="str">
        <f>J1642</f>
        <v/>
      </c>
      <c r="K1654" s="975" t="str">
        <f t="shared" si="302"/>
        <v/>
      </c>
      <c r="L1654" s="975" t="str">
        <f t="shared" si="303"/>
        <v/>
      </c>
      <c r="M1654" s="975" t="str">
        <f t="shared" si="304"/>
        <v/>
      </c>
      <c r="N1654" s="1391" t="str">
        <f t="shared" si="305"/>
        <v/>
      </c>
      <c r="O1654" s="19"/>
      <c r="P1654" s="343"/>
      <c r="Q1654" s="343"/>
      <c r="R1654" s="343"/>
      <c r="S1654" s="343"/>
      <c r="T1654" s="343"/>
      <c r="U1654" s="349"/>
      <c r="V1654" s="349"/>
    </row>
    <row r="1655" spans="1:22" s="534" customFormat="1" ht="12.75" hidden="1" customHeight="1" x14ac:dyDescent="0.3">
      <c r="A1655" s="343" t="str">
        <f t="shared" si="301"/>
        <v>ausblenden</v>
      </c>
      <c r="B1655" s="15"/>
      <c r="C1655" s="17"/>
      <c r="D1655" s="1386"/>
      <c r="E1655" s="947" t="s">
        <v>1526</v>
      </c>
      <c r="F1655" s="947"/>
      <c r="G1655" s="947"/>
      <c r="H1655" s="956" t="s">
        <v>1112</v>
      </c>
      <c r="I1655" s="948"/>
      <c r="J1655" s="1211" t="str">
        <f>J1643</f>
        <v/>
      </c>
      <c r="K1655" s="1212" t="str">
        <f t="shared" si="302"/>
        <v/>
      </c>
      <c r="L1655" s="1212" t="str">
        <f t="shared" si="303"/>
        <v/>
      </c>
      <c r="M1655" s="1212" t="str">
        <f t="shared" si="304"/>
        <v/>
      </c>
      <c r="N1655" s="1392" t="str">
        <f t="shared" si="305"/>
        <v/>
      </c>
      <c r="O1655" s="19"/>
      <c r="P1655" s="343"/>
      <c r="Q1655" s="343"/>
      <c r="R1655" s="343"/>
      <c r="S1655" s="343"/>
      <c r="T1655" s="343"/>
      <c r="U1655" s="349"/>
      <c r="V1655" s="349"/>
    </row>
    <row r="1656" spans="1:22" s="534" customFormat="1" ht="12.75" hidden="1" customHeight="1" x14ac:dyDescent="0.3">
      <c r="A1656" s="343" t="str">
        <f t="shared" si="301"/>
        <v>ausblenden</v>
      </c>
      <c r="B1656" s="15"/>
      <c r="C1656" s="17"/>
      <c r="D1656" s="1386"/>
      <c r="E1656" s="950" t="s">
        <v>1528</v>
      </c>
      <c r="F1656" s="950"/>
      <c r="G1656" s="950"/>
      <c r="H1656" s="957" t="s">
        <v>1112</v>
      </c>
      <c r="I1656" s="951"/>
      <c r="J1656" s="1213" t="str">
        <f>J1644</f>
        <v/>
      </c>
      <c r="K1656" s="1214" t="str">
        <f t="shared" si="302"/>
        <v/>
      </c>
      <c r="L1656" s="1214" t="str">
        <f t="shared" si="303"/>
        <v/>
      </c>
      <c r="M1656" s="1214" t="str">
        <f t="shared" si="304"/>
        <v/>
      </c>
      <c r="N1656" s="1393" t="str">
        <f t="shared" si="305"/>
        <v/>
      </c>
      <c r="O1656" s="19"/>
      <c r="P1656" s="343"/>
      <c r="Q1656" s="343"/>
      <c r="R1656" s="343"/>
      <c r="S1656" s="343"/>
      <c r="T1656" s="343"/>
      <c r="U1656" s="349"/>
      <c r="V1656" s="349"/>
    </row>
    <row r="1657" spans="1:22" s="534" customFormat="1" ht="12.75" customHeight="1" x14ac:dyDescent="0.3">
      <c r="A1657" s="343"/>
      <c r="B1657" s="15"/>
      <c r="C1657" s="17"/>
      <c r="D1657" s="1386"/>
      <c r="E1657" s="514" t="str">
        <f>Translations!$B$1565</f>
        <v>Preliminärt tilldelningsvärde</v>
      </c>
      <c r="F1657" s="514"/>
      <c r="G1657" s="514"/>
      <c r="H1657" s="129" t="str">
        <f>EUconst_EUA</f>
        <v>EUA</v>
      </c>
      <c r="I1657" s="1151"/>
      <c r="J1657" s="1131" t="str">
        <f>IF($I1625="","",MAX(0,ROUND((SUM($M1628)*SUM(J1651)*SUM(J1655)*SUM(J1656)-SUM(J1652)-SUM(J1653)+SUM(J1654))*IF($H1628=TRUE,1,J$2517),0)))</f>
        <v/>
      </c>
      <c r="K1657" s="421" t="str">
        <f>IF($I1625="","",MAX(0,ROUND((SUM($M1628)*SUM(K1651)*SUM(K1655)*SUM(K1656)-SUM(K1652)-SUM(K1653)+SUM(K1654))*IF($H1628=TRUE,1,K$2517),0)))</f>
        <v/>
      </c>
      <c r="L1657" s="421" t="str">
        <f>IF($I1625="","",MAX(0,ROUND((SUM($M1628)*SUM(L1651)*SUM(L1655)*SUM(L1656)-SUM(L1652)-SUM(L1653)+SUM(L1654))*IF($H1628=TRUE,1,L$2517),0)))</f>
        <v/>
      </c>
      <c r="M1657" s="421" t="str">
        <f>IF($I1625="","",MAX(0,ROUND((SUM($M1628)*SUM(M1651)*SUM(M1655)*SUM(M1656)-SUM(M1652)-SUM(M1653)+SUM(M1654))*IF($H1628=TRUE,1,M$2517),0)))</f>
        <v/>
      </c>
      <c r="N1657" s="967" t="str">
        <f>IF($I1625="","",MAX(0,ROUND((SUM($M1628+IF(L1628=52,0.415,0))*SUM(N1651)*SUM(N1655)*SUM(N1656)-SUM(N1652)-SUM(N1653)+SUM(N1654))*IF($H1628=TRUE,1,N$2517),0)))</f>
        <v/>
      </c>
      <c r="O1657" s="19"/>
      <c r="P1657" s="343"/>
      <c r="Q1657" s="343"/>
      <c r="R1657" s="343"/>
      <c r="S1657" s="343"/>
      <c r="T1657" s="343"/>
      <c r="U1657" s="349"/>
      <c r="V1657" s="349"/>
    </row>
    <row r="1658" spans="1:22" s="534" customFormat="1" ht="12.75" customHeight="1" x14ac:dyDescent="0.3">
      <c r="A1658" s="343"/>
      <c r="B1658" s="15"/>
      <c r="C1658" s="17"/>
      <c r="D1658" s="1386"/>
      <c r="E1658" s="514" t="str">
        <f>Translations!$B$1569</f>
        <v>Skillnad i tilldelning</v>
      </c>
      <c r="F1658" s="514"/>
      <c r="G1658" s="514"/>
      <c r="H1658" s="129" t="str">
        <f>EUconst_EUA</f>
        <v>EUA</v>
      </c>
      <c r="I1658" s="1151"/>
      <c r="J1658" s="1131" t="str">
        <f>IF($I1625="","",ABS(SUM(J1657)-SUM(J1645)))</f>
        <v/>
      </c>
      <c r="K1658" s="421" t="str">
        <f>IF($I1625="","",ABS(SUM(K1657)-SUM(K1645)))</f>
        <v/>
      </c>
      <c r="L1658" s="421" t="str">
        <f>IF($I1625="","",ABS(SUM(L1657)-SUM(L1645)))</f>
        <v/>
      </c>
      <c r="M1658" s="421" t="str">
        <f>IF($I1625="","",ABS(SUM(M1657)-SUM(M1645)))</f>
        <v/>
      </c>
      <c r="N1658" s="967" t="str">
        <f>IF($I1625="","",ABS(SUM(N1657)-SUM(N1645)))</f>
        <v/>
      </c>
      <c r="O1658" s="19"/>
      <c r="P1658" s="343"/>
      <c r="Q1658" s="343"/>
      <c r="R1658" s="343"/>
      <c r="S1658" s="343"/>
      <c r="T1658" s="343"/>
      <c r="U1658" s="349"/>
      <c r="V1658" s="349"/>
    </row>
    <row r="1659" spans="1:22" s="534" customFormat="1" ht="12.75" customHeight="1" x14ac:dyDescent="0.3">
      <c r="A1659" s="343"/>
      <c r="B1659" s="15"/>
      <c r="C1659" s="17"/>
      <c r="D1659" s="1386"/>
      <c r="E1659" s="1419" t="str">
        <f>Translations!$B$1555</f>
        <v>Kriterium 4a: Är skillnaden minst 100 utsläppsrätter?</v>
      </c>
      <c r="F1659" s="1419"/>
      <c r="G1659" s="1419"/>
      <c r="H1659" s="1424" t="s">
        <v>1112</v>
      </c>
      <c r="I1659" s="1425"/>
      <c r="J1659" s="1426" t="str">
        <f>IF($I1625="","",J1658&gt;=100)</f>
        <v/>
      </c>
      <c r="K1659" s="1427" t="str">
        <f>IF($I1625="","",K1658&gt;=100)</f>
        <v/>
      </c>
      <c r="L1659" s="1427" t="str">
        <f>IF($I1625="","",L1658&gt;=100)</f>
        <v/>
      </c>
      <c r="M1659" s="1427" t="str">
        <f>IF($I1625="","",M1658&gt;=100)</f>
        <v/>
      </c>
      <c r="N1659" s="1428" t="str">
        <f>IF($I1625="","",N1658&gt;=100)</f>
        <v/>
      </c>
      <c r="O1659" s="19"/>
      <c r="P1659" s="165" t="str">
        <f>EUconst_CNTR_100EUA_ActivityLevel&amp;I1625</f>
        <v>EUA100AL_</v>
      </c>
      <c r="Q1659" s="343"/>
      <c r="R1659" s="343"/>
      <c r="S1659" s="343"/>
      <c r="T1659" s="343"/>
      <c r="U1659" s="349"/>
      <c r="V1659" s="349"/>
    </row>
    <row r="1660" spans="1:22" s="534" customFormat="1" ht="5.15" customHeight="1" x14ac:dyDescent="0.3">
      <c r="A1660" s="343"/>
      <c r="B1660" s="15"/>
      <c r="C1660" s="17"/>
      <c r="D1660" s="1386"/>
      <c r="E1660" s="15"/>
      <c r="F1660" s="15"/>
      <c r="G1660" s="15"/>
      <c r="H1660" s="15"/>
      <c r="I1660" s="941"/>
      <c r="J1660" s="15"/>
      <c r="K1660" s="15"/>
      <c r="L1660" s="15"/>
      <c r="M1660" s="15"/>
      <c r="N1660" s="968"/>
      <c r="O1660" s="19"/>
      <c r="P1660" s="343"/>
      <c r="Q1660" s="343"/>
      <c r="R1660" s="343"/>
      <c r="S1660" s="343"/>
      <c r="T1660" s="343"/>
      <c r="U1660" s="349"/>
      <c r="V1660" s="349"/>
    </row>
    <row r="1661" spans="1:22" s="534" customFormat="1" ht="12.75" customHeight="1" x14ac:dyDescent="0.3">
      <c r="A1661" s="343"/>
      <c r="B1661" s="15"/>
      <c r="C1661" s="17"/>
      <c r="D1661" s="1386"/>
      <c r="E1661" s="42" t="str">
        <f>Translations!$B$1570</f>
        <v>Ändringar: Utbytt el</v>
      </c>
      <c r="F1661" s="188"/>
      <c r="G1661" s="188"/>
      <c r="H1661" s="30" t="str">
        <f>EUconst_Unit</f>
        <v>Enhet</v>
      </c>
      <c r="I1661" s="1157"/>
      <c r="J1661" s="1065">
        <f>J$2596</f>
        <v>2021</v>
      </c>
      <c r="K1661" s="350">
        <f>K$2596</f>
        <v>2022</v>
      </c>
      <c r="L1661" s="350">
        <f>L$2596</f>
        <v>2023</v>
      </c>
      <c r="M1661" s="350">
        <f>M$2596</f>
        <v>2024</v>
      </c>
      <c r="N1661" s="966">
        <f>N$2596</f>
        <v>2025</v>
      </c>
      <c r="O1661" s="19"/>
      <c r="P1661" s="343"/>
      <c r="Q1661" s="343"/>
      <c r="R1661" s="343"/>
      <c r="S1661" s="343"/>
      <c r="T1661" s="343"/>
      <c r="U1661" s="349"/>
      <c r="V1661" s="349"/>
    </row>
    <row r="1662" spans="1:22" s="534" customFormat="1" ht="12.75" hidden="1" customHeight="1" x14ac:dyDescent="0.3">
      <c r="A1662" s="343" t="str">
        <f>IF(P1662="","ausblenden","")</f>
        <v>ausblenden</v>
      </c>
      <c r="B1662" s="15"/>
      <c r="C1662" s="17"/>
      <c r="D1662" s="1386"/>
      <c r="E1662" s="514" t="s">
        <v>1918</v>
      </c>
      <c r="F1662" s="514"/>
      <c r="G1662" s="514"/>
      <c r="H1662" s="917" t="str">
        <f>H1651</f>
        <v>ton</v>
      </c>
      <c r="I1662" s="514"/>
      <c r="J1662" s="1152" t="str">
        <f>J1639</f>
        <v/>
      </c>
      <c r="K1662" s="943" t="str">
        <f t="shared" ref="K1662:K1665" si="306">J1734</f>
        <v/>
      </c>
      <c r="L1662" s="943" t="str">
        <f t="shared" ref="L1662:L1665" si="307">K1734</f>
        <v/>
      </c>
      <c r="M1662" s="943" t="str">
        <f t="shared" ref="M1662:M1665" si="308">L1734</f>
        <v/>
      </c>
      <c r="N1662" s="1389" t="str">
        <f t="shared" ref="N1662:N1665" si="309">M1734</f>
        <v/>
      </c>
      <c r="O1662" s="19"/>
      <c r="P1662" s="343"/>
      <c r="Q1662" s="343"/>
      <c r="R1662" s="343"/>
      <c r="S1662" s="343"/>
      <c r="T1662" s="343"/>
      <c r="U1662" s="349"/>
      <c r="V1662" s="349"/>
    </row>
    <row r="1663" spans="1:22" s="534" customFormat="1" ht="12.75" hidden="1" customHeight="1" x14ac:dyDescent="0.3">
      <c r="A1663" s="343" t="str">
        <f>IF(P1663="","ausblenden","")</f>
        <v>ausblenden</v>
      </c>
      <c r="B1663" s="15"/>
      <c r="C1663" s="17"/>
      <c r="D1663" s="1386"/>
      <c r="E1663" s="944" t="s">
        <v>339</v>
      </c>
      <c r="F1663" s="944"/>
      <c r="G1663" s="944"/>
      <c r="H1663" s="954" t="str">
        <f>EUconst_EUA</f>
        <v>EUA</v>
      </c>
      <c r="I1663" s="945"/>
      <c r="J1663" s="1209" t="str">
        <f>J1640</f>
        <v/>
      </c>
      <c r="K1663" s="1210" t="str">
        <f t="shared" si="306"/>
        <v/>
      </c>
      <c r="L1663" s="1210" t="str">
        <f t="shared" si="307"/>
        <v/>
      </c>
      <c r="M1663" s="1210" t="str">
        <f t="shared" si="308"/>
        <v/>
      </c>
      <c r="N1663" s="1390" t="str">
        <f t="shared" si="309"/>
        <v/>
      </c>
      <c r="O1663" s="19"/>
      <c r="P1663" s="343"/>
      <c r="Q1663" s="343"/>
      <c r="R1663" s="343"/>
      <c r="S1663" s="343"/>
      <c r="T1663" s="343"/>
      <c r="U1663" s="349"/>
      <c r="V1663" s="349"/>
    </row>
    <row r="1664" spans="1:22" s="534" customFormat="1" ht="12.75" hidden="1" customHeight="1" x14ac:dyDescent="0.3">
      <c r="A1664" s="343" t="str">
        <f>IF(P1664="","ausblenden","")</f>
        <v>ausblenden</v>
      </c>
      <c r="B1664" s="15"/>
      <c r="C1664" s="17"/>
      <c r="D1664" s="1386"/>
      <c r="E1664" s="947" t="s">
        <v>1560</v>
      </c>
      <c r="F1664" s="947"/>
      <c r="G1664" s="947"/>
      <c r="H1664" s="955" t="str">
        <f>EUconst_EUA</f>
        <v>EUA</v>
      </c>
      <c r="I1664" s="948"/>
      <c r="J1664" s="1165" t="str">
        <f>J1641</f>
        <v/>
      </c>
      <c r="K1664" s="975" t="str">
        <f t="shared" si="306"/>
        <v/>
      </c>
      <c r="L1664" s="975" t="str">
        <f t="shared" si="307"/>
        <v/>
      </c>
      <c r="M1664" s="975" t="str">
        <f t="shared" si="308"/>
        <v/>
      </c>
      <c r="N1664" s="1391" t="str">
        <f t="shared" si="309"/>
        <v/>
      </c>
      <c r="O1664" s="19"/>
      <c r="P1664" s="343"/>
      <c r="Q1664" s="343"/>
      <c r="R1664" s="343"/>
      <c r="S1664" s="343"/>
      <c r="T1664" s="343"/>
      <c r="U1664" s="349"/>
      <c r="V1664" s="349"/>
    </row>
    <row r="1665" spans="1:22" s="534" customFormat="1" ht="12.75" hidden="1" customHeight="1" x14ac:dyDescent="0.3">
      <c r="A1665" s="343" t="str">
        <f>IF(P1665="","ausblenden","")</f>
        <v>ausblenden</v>
      </c>
      <c r="B1665" s="15"/>
      <c r="C1665" s="17"/>
      <c r="D1665" s="1386"/>
      <c r="E1665" s="1433" t="s">
        <v>1527</v>
      </c>
      <c r="F1665" s="1433"/>
      <c r="G1665" s="1433"/>
      <c r="H1665" s="1434" t="str">
        <f>EUconst_EUA</f>
        <v>EUA</v>
      </c>
      <c r="I1665" s="1435"/>
      <c r="J1665" s="1436" t="str">
        <f>J1642</f>
        <v/>
      </c>
      <c r="K1665" s="1437" t="str">
        <f t="shared" si="306"/>
        <v/>
      </c>
      <c r="L1665" s="1437" t="str">
        <f t="shared" si="307"/>
        <v/>
      </c>
      <c r="M1665" s="1437" t="str">
        <f t="shared" si="308"/>
        <v/>
      </c>
      <c r="N1665" s="1438" t="str">
        <f t="shared" si="309"/>
        <v/>
      </c>
      <c r="O1665" s="19"/>
      <c r="P1665" s="343"/>
      <c r="Q1665" s="343"/>
      <c r="R1665" s="343"/>
      <c r="S1665" s="343"/>
      <c r="T1665" s="343"/>
      <c r="U1665" s="349"/>
      <c r="V1665" s="349"/>
    </row>
    <row r="1666" spans="1:22" s="534" customFormat="1" ht="12.75" customHeight="1" x14ac:dyDescent="0.3">
      <c r="A1666" s="343"/>
      <c r="B1666" s="15"/>
      <c r="C1666" s="17"/>
      <c r="D1666" s="1386"/>
      <c r="E1666" s="944" t="str">
        <f>Translations!$B$1482</f>
        <v>Genomsnittligt årligt värde</v>
      </c>
      <c r="F1666" s="944"/>
      <c r="G1666" s="944"/>
      <c r="H1666" s="627" t="s">
        <v>1112</v>
      </c>
      <c r="I1666" s="945"/>
      <c r="J1666" s="1439" t="str">
        <f>INDEX(F_ProductBM!J:J,MATCH($P1666,F_ProductBM!$Q:$Q,0))</f>
        <v/>
      </c>
      <c r="K1666" s="1440" t="str">
        <f>INDEX(F_ProductBM!K:K,MATCH($P1666,F_ProductBM!$Q:$Q,0))</f>
        <v/>
      </c>
      <c r="L1666" s="1440" t="str">
        <f>INDEX(F_ProductBM!L:L,MATCH($P1666,F_ProductBM!$Q:$Q,0))</f>
        <v/>
      </c>
      <c r="M1666" s="1440" t="str">
        <f>INDEX(F_ProductBM!M:M,MATCH($P1666,F_ProductBM!$Q:$Q,0))</f>
        <v/>
      </c>
      <c r="N1666" s="1441" t="str">
        <f>INDEX(F_ProductBM!N:N,MATCH($P1666,F_ProductBM!$Q:$Q,0))</f>
        <v/>
      </c>
      <c r="O1666" s="19"/>
      <c r="P1666" s="165" t="str">
        <f>EUconst_CNTR_HAL &amp; EUconst_CNTR_ELEXCHInitial &amp; I1625</f>
        <v>HAL_ELEXCHIni_</v>
      </c>
      <c r="Q1666" s="343"/>
      <c r="R1666" s="343"/>
      <c r="S1666" s="343"/>
      <c r="T1666" s="343"/>
      <c r="U1666" s="349"/>
      <c r="V1666" s="349"/>
    </row>
    <row r="1667" spans="1:22" s="534" customFormat="1" ht="12.75" customHeight="1" x14ac:dyDescent="0.3">
      <c r="A1667" s="343"/>
      <c r="B1667" s="15"/>
      <c r="C1667" s="17"/>
      <c r="D1667" s="1386"/>
      <c r="E1667" s="947" t="str">
        <f>Translations!$B$1571</f>
        <v>Ändring jämfört med värde enligt nationella genomförandeåtgärder</v>
      </c>
      <c r="F1667" s="947"/>
      <c r="G1667" s="947"/>
      <c r="H1667" s="1442" t="s">
        <v>1112</v>
      </c>
      <c r="I1667" s="1371"/>
      <c r="J1667" s="1415" t="str">
        <f>INDEX(F_ProductBM!J:J,MATCH($P1667,F_ProductBM!$Q:$Q,0))</f>
        <v/>
      </c>
      <c r="K1667" s="1416" t="str">
        <f>INDEX(F_ProductBM!K:K,MATCH($P1667,F_ProductBM!$Q:$Q,0))</f>
        <v/>
      </c>
      <c r="L1667" s="1416" t="str">
        <f>INDEX(F_ProductBM!L:L,MATCH($P1667,F_ProductBM!$Q:$Q,0))</f>
        <v/>
      </c>
      <c r="M1667" s="1416" t="str">
        <f>INDEX(F_ProductBM!M:M,MATCH($P1667,F_ProductBM!$Q:$Q,0))</f>
        <v/>
      </c>
      <c r="N1667" s="1417" t="str">
        <f>INDEX(F_ProductBM!N:N,MATCH($P1667,F_ProductBM!$Q:$Q,0))</f>
        <v/>
      </c>
      <c r="O1667" s="19"/>
      <c r="P1667" s="165" t="str">
        <f>EUconst_CNTR_RelThreshold &amp; P1669</f>
        <v>RelThresh_HALprelim_ELEXCH_</v>
      </c>
      <c r="Q1667" s="343"/>
      <c r="R1667" s="343"/>
      <c r="S1667" s="343"/>
      <c r="T1667" s="343"/>
      <c r="U1667" s="349"/>
      <c r="V1667" s="349"/>
    </row>
    <row r="1668" spans="1:22" s="534" customFormat="1" ht="12.75" customHeight="1" x14ac:dyDescent="0.3">
      <c r="A1668" s="343"/>
      <c r="B1668" s="15"/>
      <c r="C1668" s="17"/>
      <c r="D1668" s="1386"/>
      <c r="E1668" s="1418" t="str">
        <f>Translations!$B$1572</f>
        <v>Kriterium 3b: Har relativa tröskelvärden överskridits?</v>
      </c>
      <c r="F1668" s="1418"/>
      <c r="G1668" s="1418"/>
      <c r="H1668" s="1444" t="s">
        <v>1112</v>
      </c>
      <c r="I1668" s="1423"/>
      <c r="J1668" s="1420" t="str">
        <f>INDEX(F_ProductBM!V:V,MATCH($P1668,F_ProductBM!$Q:$Q,0))</f>
        <v/>
      </c>
      <c r="K1668" s="1421" t="str">
        <f>INDEX(F_ProductBM!W:W,MATCH($P1668,F_ProductBM!$Q:$Q,0))</f>
        <v/>
      </c>
      <c r="L1668" s="1421" t="str">
        <f>INDEX(F_ProductBM!X:X,MATCH($P1668,F_ProductBM!$Q:$Q,0))</f>
        <v/>
      </c>
      <c r="M1668" s="1421" t="str">
        <f>INDEX(F_ProductBM!Y:Y,MATCH($P1668,F_ProductBM!$Q:$Q,0))</f>
        <v/>
      </c>
      <c r="N1668" s="1422" t="str">
        <f>INDEX(F_ProductBM!Z:Z,MATCH($P1668,F_ProductBM!$Q:$Q,0))</f>
        <v/>
      </c>
      <c r="O1668" s="19"/>
      <c r="P1668" s="165" t="str">
        <f>P1667</f>
        <v>RelThresh_HALprelim_ELEXCH_</v>
      </c>
      <c r="Q1668" s="343"/>
      <c r="R1668" s="343"/>
      <c r="S1668" s="343"/>
      <c r="T1668" s="343"/>
      <c r="U1668" s="349"/>
      <c r="V1668" s="349"/>
    </row>
    <row r="1669" spans="1:22" s="534" customFormat="1" ht="12.75" customHeight="1" x14ac:dyDescent="0.3">
      <c r="A1669" s="343" t="str">
        <f>IF(P1669="","ausblenden","")</f>
        <v/>
      </c>
      <c r="B1669" s="15"/>
      <c r="C1669" s="17"/>
      <c r="D1669" s="1386"/>
      <c r="E1669" s="950" t="str">
        <f>Translations!$B$1568</f>
        <v>Preliminärt värde</v>
      </c>
      <c r="F1669" s="950"/>
      <c r="G1669" s="950"/>
      <c r="H1669" s="629" t="s">
        <v>1112</v>
      </c>
      <c r="I1669" s="950"/>
      <c r="J1669" s="1404" t="str">
        <f>IF($I1628=TRUE,INDEX(F_ProductBM!J:J,MATCH($P1669,F_ProductBM!$Q:$Q,0)),"")</f>
        <v/>
      </c>
      <c r="K1669" s="1405" t="str">
        <f>IF($I1628=TRUE,INDEX(F_ProductBM!K:K,MATCH($P1669,F_ProductBM!$Q:$Q,0)),"")</f>
        <v/>
      </c>
      <c r="L1669" s="1405" t="str">
        <f>IF($I1628=TRUE,INDEX(F_ProductBM!L:L,MATCH($P1669,F_ProductBM!$Q:$Q,0)),"")</f>
        <v/>
      </c>
      <c r="M1669" s="1405" t="str">
        <f>IF($I1628=TRUE,INDEX(F_ProductBM!M:M,MATCH($P1669,F_ProductBM!$Q:$Q,0)),"")</f>
        <v/>
      </c>
      <c r="N1669" s="1406" t="str">
        <f>IF($I1628=TRUE,INDEX(F_ProductBM!N:N,MATCH($P1669,F_ProductBM!$Q:$Q,0)),"")</f>
        <v/>
      </c>
      <c r="O1669" s="19"/>
      <c r="P1669" s="165" t="str">
        <f>EUconst_CNTR_HALprelim&amp;EUconst_CNTR_ELEXCH&amp;$I1625</f>
        <v>HALprelim_ELEXCH_</v>
      </c>
      <c r="Q1669" s="343"/>
      <c r="R1669" s="343"/>
      <c r="S1669" s="343"/>
      <c r="T1669" s="343"/>
      <c r="U1669" s="349"/>
      <c r="V1669" s="349"/>
    </row>
    <row r="1670" spans="1:22" s="534" customFormat="1" ht="12.75" hidden="1" customHeight="1" x14ac:dyDescent="0.3">
      <c r="A1670" s="343" t="str">
        <f>IF(P1670="","ausblenden","")</f>
        <v>ausblenden</v>
      </c>
      <c r="B1670" s="15"/>
      <c r="C1670" s="17"/>
      <c r="D1670" s="1386"/>
      <c r="E1670" s="950" t="s">
        <v>1528</v>
      </c>
      <c r="F1670" s="950"/>
      <c r="G1670" s="950"/>
      <c r="H1670" s="1375" t="s">
        <v>1112</v>
      </c>
      <c r="I1670" s="951"/>
      <c r="J1670" s="1213" t="str">
        <f>J1644</f>
        <v/>
      </c>
      <c r="K1670" s="1214" t="str">
        <f>J1739</f>
        <v/>
      </c>
      <c r="L1670" s="1214" t="str">
        <f>K1739</f>
        <v/>
      </c>
      <c r="M1670" s="1214" t="str">
        <f>L1739</f>
        <v/>
      </c>
      <c r="N1670" s="1393" t="str">
        <f>M1739</f>
        <v/>
      </c>
      <c r="O1670" s="19"/>
      <c r="P1670" s="343"/>
      <c r="Q1670" s="343"/>
      <c r="R1670" s="343"/>
      <c r="S1670" s="343"/>
      <c r="T1670" s="343"/>
      <c r="U1670" s="349"/>
      <c r="V1670" s="349"/>
    </row>
    <row r="1671" spans="1:22" s="534" customFormat="1" ht="12.75" customHeight="1" x14ac:dyDescent="0.3">
      <c r="A1671" s="343"/>
      <c r="B1671" s="15"/>
      <c r="C1671" s="17"/>
      <c r="D1671" s="1386"/>
      <c r="E1671" s="514" t="str">
        <f>Translations!$B$1565</f>
        <v>Preliminärt tilldelningsvärde</v>
      </c>
      <c r="F1671" s="514"/>
      <c r="G1671" s="514"/>
      <c r="H1671" s="129" t="str">
        <f>EUconst_EUA</f>
        <v>EUA</v>
      </c>
      <c r="I1671" s="1151"/>
      <c r="J1671" s="1131" t="str">
        <f>IF($I1628=TRUE,MAX(0,ROUND((SUM($M1628)*SUM(J1662)*SUM(J1669)*SUM(J1670)-SUM(J1663)-SUM(J1664)+SUM(J1665))*IF($H1628=TRUE,1,J$2517),0)),"")</f>
        <v/>
      </c>
      <c r="K1671" s="421" t="str">
        <f>IF($I1628=TRUE,MAX(0,ROUND((SUM($M1628)*SUM(K1662)*SUM(K1669)*SUM(K1670)-SUM(K1663)-SUM(K1664)+SUM(K1665))*IF($H1628=TRUE,1,K$2517),0)),"")</f>
        <v/>
      </c>
      <c r="L1671" s="421" t="str">
        <f>IF($I1628=TRUE,MAX(0,ROUND((SUM($M1628)*SUM(L1662)*SUM(L1669)*SUM(L1670)-SUM(L1663)-SUM(L1664)+SUM(L1665))*IF($H1628=TRUE,1,L$2517),0)),"")</f>
        <v/>
      </c>
      <c r="M1671" s="421" t="str">
        <f>IF($I1628=TRUE,MAX(0,ROUND((SUM($M1628)*SUM(M1662)*SUM(M1669)*SUM(M1670)-SUM(M1663)-SUM(M1664)+SUM(M1665))*IF($H1628=TRUE,1,M$2517),0)),"")</f>
        <v/>
      </c>
      <c r="N1671" s="967" t="str">
        <f>IF($I1628=TRUE,MAX(0,ROUND((SUM($M1628)*SUM(N1662)*SUM(N1669)*SUM(N1670)-SUM(N1663)-SUM(N1664)+SUM(N1665))*IF($H1628=TRUE,1,N$2517),0)),"")</f>
        <v/>
      </c>
      <c r="O1671" s="19"/>
      <c r="P1671" s="343"/>
      <c r="Q1671" s="343"/>
      <c r="R1671" s="343"/>
      <c r="S1671" s="343"/>
      <c r="T1671" s="343"/>
      <c r="U1671" s="349"/>
      <c r="V1671" s="349"/>
    </row>
    <row r="1672" spans="1:22" s="534" customFormat="1" ht="12.75" customHeight="1" x14ac:dyDescent="0.3">
      <c r="A1672" s="343"/>
      <c r="B1672" s="15"/>
      <c r="C1672" s="17"/>
      <c r="D1672" s="1386"/>
      <c r="E1672" s="514" t="str">
        <f>Translations!$B$1569</f>
        <v>Skillnad i tilldelning</v>
      </c>
      <c r="F1672" s="514"/>
      <c r="G1672" s="514"/>
      <c r="H1672" s="129" t="str">
        <f>EUconst_EUA</f>
        <v>EUA</v>
      </c>
      <c r="I1672" s="1151"/>
      <c r="J1672" s="1131" t="str">
        <f>IF($I1628=TRUE,ABS(SUM(J1671)-SUM(J1645)),"")</f>
        <v/>
      </c>
      <c r="K1672" s="421" t="str">
        <f>IF($I1628=TRUE,ABS(SUM(K1671)-SUM(K1645)),"")</f>
        <v/>
      </c>
      <c r="L1672" s="421" t="str">
        <f>IF($I1628=TRUE,ABS(SUM(L1671)-SUM(L1645)),"")</f>
        <v/>
      </c>
      <c r="M1672" s="421" t="str">
        <f>IF($I1628=TRUE,ABS(SUM(M1671)-SUM(M1645)),"")</f>
        <v/>
      </c>
      <c r="N1672" s="967" t="str">
        <f>IF($I1628=TRUE,ABS(SUM(N1671)-SUM(N1645)),"")</f>
        <v/>
      </c>
      <c r="O1672" s="19"/>
      <c r="P1672" s="343"/>
      <c r="Q1672" s="343"/>
      <c r="R1672" s="343"/>
      <c r="S1672" s="343"/>
      <c r="T1672" s="343"/>
      <c r="U1672" s="349"/>
      <c r="V1672" s="349"/>
    </row>
    <row r="1673" spans="1:22" s="534" customFormat="1" ht="12.75" customHeight="1" x14ac:dyDescent="0.3">
      <c r="A1673" s="343"/>
      <c r="B1673" s="15"/>
      <c r="C1673" s="17"/>
      <c r="D1673" s="1386"/>
      <c r="E1673" s="1419" t="str">
        <f>Translations!$B$1573</f>
        <v>Kriterium 4b: Är skillnaden minst 100 utsläppsrätter?</v>
      </c>
      <c r="F1673" s="1419"/>
      <c r="G1673" s="1419"/>
      <c r="H1673" s="1424" t="s">
        <v>1112</v>
      </c>
      <c r="I1673" s="1425"/>
      <c r="J1673" s="1426" t="str">
        <f>IF($I1628=TRUE,J1672&gt;=100,"")</f>
        <v/>
      </c>
      <c r="K1673" s="1427" t="str">
        <f>IF($I1628=TRUE,K1672&gt;=100,"")</f>
        <v/>
      </c>
      <c r="L1673" s="1427" t="str">
        <f>IF($I1628=TRUE,L1672&gt;=100,"")</f>
        <v/>
      </c>
      <c r="M1673" s="1427" t="str">
        <f>IF($I1628=TRUE,M1672&gt;=100,"")</f>
        <v/>
      </c>
      <c r="N1673" s="1428" t="str">
        <f>IF($I1628=TRUE,N1672&gt;=100,"")</f>
        <v/>
      </c>
      <c r="O1673" s="19"/>
      <c r="P1673" s="165" t="str">
        <f>EUconst_CNTR_100EUA_ElExch&amp;I1625</f>
        <v>EUA100ElExch_</v>
      </c>
      <c r="Q1673" s="343"/>
      <c r="R1673" s="343"/>
      <c r="S1673" s="343"/>
      <c r="T1673" s="343"/>
      <c r="U1673" s="349"/>
      <c r="V1673" s="349"/>
    </row>
    <row r="1674" spans="1:22" s="534" customFormat="1" ht="5.15" customHeight="1" x14ac:dyDescent="0.3">
      <c r="A1674" s="343"/>
      <c r="B1674" s="15"/>
      <c r="C1674" s="17"/>
      <c r="D1674" s="1386"/>
      <c r="E1674" s="15"/>
      <c r="F1674" s="15"/>
      <c r="G1674" s="15"/>
      <c r="H1674" s="15"/>
      <c r="I1674" s="941"/>
      <c r="J1674" s="15"/>
      <c r="K1674" s="15"/>
      <c r="L1674" s="15"/>
      <c r="M1674" s="15"/>
      <c r="N1674" s="968"/>
      <c r="O1674" s="19"/>
      <c r="P1674" s="343"/>
      <c r="Q1674" s="343"/>
      <c r="R1674" s="343"/>
      <c r="S1674" s="343"/>
      <c r="T1674" s="343"/>
      <c r="U1674" s="349"/>
      <c r="V1674" s="349"/>
    </row>
    <row r="1675" spans="1:22" s="534" customFormat="1" ht="12.75" customHeight="1" x14ac:dyDescent="0.3">
      <c r="A1675" s="343"/>
      <c r="B1675" s="15"/>
      <c r="C1675" s="17"/>
      <c r="D1675" s="1386"/>
      <c r="E1675" s="42" t="str">
        <f>Translations!$B$1574</f>
        <v>Ändringar: Värme från icke-ETS</v>
      </c>
      <c r="F1675" s="188"/>
      <c r="G1675" s="188"/>
      <c r="H1675" s="30" t="str">
        <f>EUconst_Unit</f>
        <v>Enhet</v>
      </c>
      <c r="I1675" s="1157"/>
      <c r="J1675" s="1065">
        <f>J$2596</f>
        <v>2021</v>
      </c>
      <c r="K1675" s="350">
        <f>K$2596</f>
        <v>2022</v>
      </c>
      <c r="L1675" s="350">
        <f>L$2596</f>
        <v>2023</v>
      </c>
      <c r="M1675" s="350">
        <f>M$2596</f>
        <v>2024</v>
      </c>
      <c r="N1675" s="966">
        <f>N$2596</f>
        <v>2025</v>
      </c>
      <c r="O1675" s="19"/>
      <c r="P1675" s="343"/>
      <c r="Q1675" s="343"/>
      <c r="R1675" s="343"/>
      <c r="S1675" s="343"/>
      <c r="T1675" s="343"/>
      <c r="U1675" s="349"/>
      <c r="V1675" s="349"/>
    </row>
    <row r="1676" spans="1:22" s="534" customFormat="1" ht="12.75" hidden="1" customHeight="1" x14ac:dyDescent="0.3">
      <c r="A1676" s="343" t="str">
        <f>IF(P1676="","ausblenden","")</f>
        <v>ausblenden</v>
      </c>
      <c r="B1676" s="15"/>
      <c r="C1676" s="17"/>
      <c r="D1676" s="1386"/>
      <c r="E1676" s="514" t="s">
        <v>1918</v>
      </c>
      <c r="F1676" s="514"/>
      <c r="G1676" s="514"/>
      <c r="H1676" s="917" t="str">
        <f>H1662</f>
        <v>ton</v>
      </c>
      <c r="I1676" s="514"/>
      <c r="J1676" s="1152" t="str">
        <f>J1639</f>
        <v/>
      </c>
      <c r="K1676" s="943" t="str">
        <f>J1734</f>
        <v/>
      </c>
      <c r="L1676" s="943" t="str">
        <f>K1734</f>
        <v/>
      </c>
      <c r="M1676" s="943" t="str">
        <f>L1734</f>
        <v/>
      </c>
      <c r="N1676" s="1389" t="str">
        <f>M1734</f>
        <v/>
      </c>
      <c r="O1676" s="19"/>
      <c r="P1676" s="343"/>
      <c r="Q1676" s="343"/>
      <c r="R1676" s="343"/>
      <c r="S1676" s="343"/>
      <c r="T1676" s="343"/>
      <c r="U1676" s="349"/>
      <c r="V1676" s="349"/>
    </row>
    <row r="1677" spans="1:22" s="534" customFormat="1" ht="12.75" customHeight="1" x14ac:dyDescent="0.3">
      <c r="A1677" s="343"/>
      <c r="B1677" s="15"/>
      <c r="C1677" s="17"/>
      <c r="D1677" s="1386"/>
      <c r="E1677" s="944" t="str">
        <f>Translations!$B$1482</f>
        <v>Genomsnittligt årligt värde</v>
      </c>
      <c r="F1677" s="944"/>
      <c r="G1677" s="944"/>
      <c r="H1677" s="627" t="str">
        <f>EUconst_EUA</f>
        <v>EUA</v>
      </c>
      <c r="I1677" s="945"/>
      <c r="J1677" s="1161" t="str">
        <f>IF(R1631,SUM(INDEX(F_ProductBM!J:J,MATCH($P1677,F_ProductBM!$Q:$Q,0))),"")</f>
        <v/>
      </c>
      <c r="K1677" s="946" t="str">
        <f>IF(S1631,SUM(INDEX(F_ProductBM!K:K,MATCH($P1677,F_ProductBM!$Q:$Q,0))),"")</f>
        <v/>
      </c>
      <c r="L1677" s="946" t="str">
        <f>IF(T1631,SUM(INDEX(F_ProductBM!L:L,MATCH($P1677,F_ProductBM!$Q:$Q,0))),"")</f>
        <v/>
      </c>
      <c r="M1677" s="946" t="str">
        <f>IF(U1631,SUM(INDEX(F_ProductBM!M:M,MATCH($P1677,F_ProductBM!$Q:$Q,0))),"")</f>
        <v/>
      </c>
      <c r="N1677" s="1046" t="str">
        <f>IF(V1631,SUM(INDEX(F_ProductBM!N:N,MATCH($P1677,F_ProductBM!$Q:$Q,0))),"")</f>
        <v/>
      </c>
      <c r="O1677" s="19"/>
      <c r="P1677" s="165" t="str">
        <f>EUconst_CNTR_HEATInitial &amp; I1625</f>
        <v>HEATIni_</v>
      </c>
      <c r="Q1677" s="343"/>
      <c r="R1677" s="343"/>
      <c r="S1677" s="343"/>
      <c r="T1677" s="343"/>
      <c r="U1677" s="349"/>
      <c r="V1677" s="349"/>
    </row>
    <row r="1678" spans="1:22" s="534" customFormat="1" ht="12.75" customHeight="1" x14ac:dyDescent="0.3">
      <c r="A1678" s="343"/>
      <c r="B1678" s="15"/>
      <c r="C1678" s="17"/>
      <c r="D1678" s="1386"/>
      <c r="E1678" s="947" t="str">
        <f>Translations!$B$1571</f>
        <v>Ändring jämfört med värde enligt nationella genomförandeåtgärder</v>
      </c>
      <c r="F1678" s="947"/>
      <c r="G1678" s="947"/>
      <c r="H1678" s="1442" t="s">
        <v>1112</v>
      </c>
      <c r="I1678" s="1371"/>
      <c r="J1678" s="1415" t="str">
        <f>INDEX(F_ProductBM!J:J,MATCH($P1678,F_ProductBM!$Q:$Q,0))</f>
        <v/>
      </c>
      <c r="K1678" s="1416" t="str">
        <f>INDEX(F_ProductBM!K:K,MATCH($P1678,F_ProductBM!$Q:$Q,0))</f>
        <v/>
      </c>
      <c r="L1678" s="1416" t="str">
        <f>INDEX(F_ProductBM!L:L,MATCH($P1678,F_ProductBM!$Q:$Q,0))</f>
        <v/>
      </c>
      <c r="M1678" s="1416" t="str">
        <f>INDEX(F_ProductBM!M:M,MATCH($P1678,F_ProductBM!$Q:$Q,0))</f>
        <v/>
      </c>
      <c r="N1678" s="1417" t="str">
        <f>INDEX(F_ProductBM!N:N,MATCH($P1678,F_ProductBM!$Q:$Q,0))</f>
        <v/>
      </c>
      <c r="O1678" s="19"/>
      <c r="P1678" s="165" t="str">
        <f>EUconst_CNTR_RelThreshold &amp; P1680</f>
        <v>RelThresh_HEATprelim_</v>
      </c>
      <c r="Q1678" s="343"/>
      <c r="R1678" s="343"/>
      <c r="S1678" s="343"/>
      <c r="T1678" s="343"/>
      <c r="U1678" s="349"/>
      <c r="V1678" s="349"/>
    </row>
    <row r="1679" spans="1:22" s="534" customFormat="1" ht="12.75" customHeight="1" x14ac:dyDescent="0.3">
      <c r="A1679" s="343"/>
      <c r="B1679" s="15"/>
      <c r="C1679" s="17"/>
      <c r="D1679" s="1386"/>
      <c r="E1679" s="1418" t="str">
        <f>Translations!$B$1575</f>
        <v>Kriterium 3c: Har relativa tröskelvärden överskridits?</v>
      </c>
      <c r="F1679" s="1418"/>
      <c r="G1679" s="1418"/>
      <c r="H1679" s="1444" t="s">
        <v>1112</v>
      </c>
      <c r="I1679" s="1423"/>
      <c r="J1679" s="1420" t="str">
        <f>INDEX(F_ProductBM!V:V,MATCH($P1679,F_ProductBM!$Q:$Q,0))</f>
        <v/>
      </c>
      <c r="K1679" s="1421" t="str">
        <f>INDEX(F_ProductBM!W:W,MATCH($P1679,F_ProductBM!$Q:$Q,0))</f>
        <v/>
      </c>
      <c r="L1679" s="1421" t="str">
        <f>INDEX(F_ProductBM!X:X,MATCH($P1679,F_ProductBM!$Q:$Q,0))</f>
        <v/>
      </c>
      <c r="M1679" s="1421" t="str">
        <f>INDEX(F_ProductBM!Y:Y,MATCH($P1679,F_ProductBM!$Q:$Q,0))</f>
        <v/>
      </c>
      <c r="N1679" s="1422" t="str">
        <f>INDEX(F_ProductBM!Z:Z,MATCH($P1679,F_ProductBM!$Q:$Q,0))</f>
        <v/>
      </c>
      <c r="O1679" s="19"/>
      <c r="P1679" s="165" t="str">
        <f>P1678</f>
        <v>RelThresh_HEATprelim_</v>
      </c>
      <c r="Q1679" s="343"/>
      <c r="R1679" s="343"/>
      <c r="S1679" s="343"/>
      <c r="T1679" s="343"/>
      <c r="U1679" s="349"/>
      <c r="V1679" s="349"/>
    </row>
    <row r="1680" spans="1:22" s="534" customFormat="1" ht="12.75" customHeight="1" x14ac:dyDescent="0.3">
      <c r="A1680" s="343" t="str">
        <f>IF(P1680="","ausblenden","")</f>
        <v/>
      </c>
      <c r="B1680" s="15"/>
      <c r="C1680" s="17"/>
      <c r="D1680" s="1386"/>
      <c r="E1680" s="950" t="str">
        <f>Translations!$B$1568</f>
        <v>Preliminärt värde</v>
      </c>
      <c r="F1680" s="950"/>
      <c r="G1680" s="950"/>
      <c r="H1680" s="629" t="str">
        <f>EUconst_EUA</f>
        <v>EUA</v>
      </c>
      <c r="I1680" s="950"/>
      <c r="J1680" s="1373" t="str">
        <f>IF($I1625="","",INDEX(F_ProductBM!J:J,MATCH($P1680,F_ProductBM!$Q:$Q,0)))</f>
        <v/>
      </c>
      <c r="K1680" s="1374" t="str">
        <f>IF($I1625="","",INDEX(F_ProductBM!K:K,MATCH($P1680,F_ProductBM!$Q:$Q,0)))</f>
        <v/>
      </c>
      <c r="L1680" s="1374" t="str">
        <f>IF($I1625="","",INDEX(F_ProductBM!L:L,MATCH($P1680,F_ProductBM!$Q:$Q,0)))</f>
        <v/>
      </c>
      <c r="M1680" s="1374" t="str">
        <f>IF($I1625="","",INDEX(F_ProductBM!M:M,MATCH($P1680,F_ProductBM!$Q:$Q,0)))</f>
        <v/>
      </c>
      <c r="N1680" s="1395" t="str">
        <f>IF($I1625="","",INDEX(F_ProductBM!N:N,MATCH($P1680,F_ProductBM!$Q:$Q,0)))</f>
        <v/>
      </c>
      <c r="O1680" s="19"/>
      <c r="P1680" s="165" t="str">
        <f>EUconst_CNTR_HEATprelim&amp;I1625</f>
        <v>HEATprelim_</v>
      </c>
      <c r="Q1680" s="343"/>
      <c r="R1680" s="343"/>
      <c r="S1680" s="343"/>
      <c r="T1680" s="343"/>
      <c r="U1680" s="349"/>
      <c r="V1680" s="349"/>
    </row>
    <row r="1681" spans="1:22" s="534" customFormat="1" ht="12.75" hidden="1" customHeight="1" x14ac:dyDescent="0.3">
      <c r="A1681" s="343" t="str">
        <f>IF(P1681="","ausblenden","")</f>
        <v>ausblenden</v>
      </c>
      <c r="B1681" s="15"/>
      <c r="C1681" s="17"/>
      <c r="D1681" s="1386"/>
      <c r="E1681" s="947" t="s">
        <v>1560</v>
      </c>
      <c r="F1681" s="947"/>
      <c r="G1681" s="947"/>
      <c r="H1681" s="955" t="str">
        <f>EUconst_EUA</f>
        <v>EUA</v>
      </c>
      <c r="I1681" s="948"/>
      <c r="J1681" s="1165" t="str">
        <f>J1641</f>
        <v/>
      </c>
      <c r="K1681" s="975" t="str">
        <f t="shared" ref="K1681:K1684" si="310">J1736</f>
        <v/>
      </c>
      <c r="L1681" s="975" t="str">
        <f t="shared" ref="L1681:L1684" si="311">K1736</f>
        <v/>
      </c>
      <c r="M1681" s="975" t="str">
        <f t="shared" ref="M1681:M1684" si="312">L1736</f>
        <v/>
      </c>
      <c r="N1681" s="1391" t="str">
        <f t="shared" ref="N1681:N1684" si="313">M1736</f>
        <v/>
      </c>
      <c r="O1681" s="19"/>
      <c r="P1681" s="343"/>
      <c r="Q1681" s="343"/>
      <c r="R1681" s="343"/>
      <c r="S1681" s="343"/>
      <c r="T1681" s="343"/>
      <c r="U1681" s="349"/>
      <c r="V1681" s="349"/>
    </row>
    <row r="1682" spans="1:22" s="534" customFormat="1" ht="12.75" hidden="1" customHeight="1" x14ac:dyDescent="0.3">
      <c r="A1682" s="343" t="str">
        <f>IF(P1682="","ausblenden","")</f>
        <v>ausblenden</v>
      </c>
      <c r="B1682" s="15"/>
      <c r="C1682" s="17"/>
      <c r="D1682" s="1386"/>
      <c r="E1682" s="947" t="s">
        <v>1527</v>
      </c>
      <c r="F1682" s="947"/>
      <c r="G1682" s="947"/>
      <c r="H1682" s="955" t="str">
        <f>EUconst_EUA</f>
        <v>EUA</v>
      </c>
      <c r="I1682" s="948"/>
      <c r="J1682" s="1165" t="str">
        <f>J1642</f>
        <v/>
      </c>
      <c r="K1682" s="975" t="str">
        <f t="shared" si="310"/>
        <v/>
      </c>
      <c r="L1682" s="975" t="str">
        <f t="shared" si="311"/>
        <v/>
      </c>
      <c r="M1682" s="975" t="str">
        <f t="shared" si="312"/>
        <v/>
      </c>
      <c r="N1682" s="1391" t="str">
        <f t="shared" si="313"/>
        <v/>
      </c>
      <c r="O1682" s="19"/>
      <c r="P1682" s="343"/>
      <c r="Q1682" s="343"/>
      <c r="R1682" s="343"/>
      <c r="S1682" s="343"/>
      <c r="T1682" s="343"/>
      <c r="U1682" s="349"/>
      <c r="V1682" s="349"/>
    </row>
    <row r="1683" spans="1:22" s="534" customFormat="1" ht="12.75" hidden="1" customHeight="1" x14ac:dyDescent="0.3">
      <c r="A1683" s="343" t="str">
        <f>IF(P1683="","ausblenden","")</f>
        <v>ausblenden</v>
      </c>
      <c r="B1683" s="15"/>
      <c r="C1683" s="17"/>
      <c r="D1683" s="1386"/>
      <c r="E1683" s="947" t="s">
        <v>1526</v>
      </c>
      <c r="F1683" s="947"/>
      <c r="G1683" s="947"/>
      <c r="H1683" s="956" t="s">
        <v>1112</v>
      </c>
      <c r="I1683" s="948"/>
      <c r="J1683" s="1211" t="str">
        <f>J1643</f>
        <v/>
      </c>
      <c r="K1683" s="1212" t="str">
        <f t="shared" si="310"/>
        <v/>
      </c>
      <c r="L1683" s="1212" t="str">
        <f t="shared" si="311"/>
        <v/>
      </c>
      <c r="M1683" s="1212" t="str">
        <f t="shared" si="312"/>
        <v/>
      </c>
      <c r="N1683" s="1392" t="str">
        <f t="shared" si="313"/>
        <v/>
      </c>
      <c r="O1683" s="19"/>
      <c r="P1683" s="343"/>
      <c r="Q1683" s="343"/>
      <c r="R1683" s="343"/>
      <c r="S1683" s="343"/>
      <c r="T1683" s="343"/>
      <c r="U1683" s="349"/>
      <c r="V1683" s="349"/>
    </row>
    <row r="1684" spans="1:22" s="534" customFormat="1" ht="12.75" hidden="1" customHeight="1" x14ac:dyDescent="0.3">
      <c r="A1684" s="343" t="str">
        <f>IF(P1684="","ausblenden","")</f>
        <v>ausblenden</v>
      </c>
      <c r="B1684" s="15"/>
      <c r="C1684" s="17"/>
      <c r="D1684" s="1386"/>
      <c r="E1684" s="950" t="s">
        <v>1528</v>
      </c>
      <c r="F1684" s="950"/>
      <c r="G1684" s="950"/>
      <c r="H1684" s="957" t="s">
        <v>1112</v>
      </c>
      <c r="I1684" s="951"/>
      <c r="J1684" s="1213" t="str">
        <f>J1644</f>
        <v/>
      </c>
      <c r="K1684" s="1214" t="str">
        <f t="shared" si="310"/>
        <v/>
      </c>
      <c r="L1684" s="1214" t="str">
        <f t="shared" si="311"/>
        <v/>
      </c>
      <c r="M1684" s="1214" t="str">
        <f t="shared" si="312"/>
        <v/>
      </c>
      <c r="N1684" s="1393" t="str">
        <f t="shared" si="313"/>
        <v/>
      </c>
      <c r="O1684" s="19"/>
      <c r="P1684" s="343"/>
      <c r="Q1684" s="343"/>
      <c r="R1684" s="343"/>
      <c r="S1684" s="343"/>
      <c r="T1684" s="343"/>
      <c r="U1684" s="349"/>
      <c r="V1684" s="349"/>
    </row>
    <row r="1685" spans="1:22" s="534" customFormat="1" ht="12.75" customHeight="1" x14ac:dyDescent="0.3">
      <c r="A1685" s="343"/>
      <c r="B1685" s="15"/>
      <c r="C1685" s="17"/>
      <c r="D1685" s="1386"/>
      <c r="E1685" s="514" t="str">
        <f>Translations!$B$1565</f>
        <v>Preliminärt tilldelningsvärde</v>
      </c>
      <c r="F1685" s="514"/>
      <c r="G1685" s="514"/>
      <c r="H1685" s="129" t="str">
        <f>EUconst_EUA</f>
        <v>EUA</v>
      </c>
      <c r="I1685" s="1151"/>
      <c r="J1685" s="1131" t="str">
        <f>IF($I1625="","",MAX(0,ROUND((SUM($M1628)*SUM(J1676)*SUM(J1683)*SUM(J1684)-SUM(J1680)-SUM(J1681)+SUM(J1682))*IF($H1628=TRUE,1,J$2517),0)))</f>
        <v/>
      </c>
      <c r="K1685" s="421" t="str">
        <f>IF($I1625="","",MAX(0,ROUND((SUM($M1628)*SUM(K1676)*SUM(K1683)*SUM(K1684)-SUM(K1680)-SUM(K1681)+SUM(K1682))*IF($H1628=TRUE,1,K$2517),0)))</f>
        <v/>
      </c>
      <c r="L1685" s="421" t="str">
        <f>IF($I1625="","",MAX(0,ROUND((SUM($M1628)*SUM(L1676)*SUM(L1683)*SUM(L1684)-SUM(L1680)-SUM(L1681)+SUM(L1682))*IF($H1628=TRUE,1,L$2517),0)))</f>
        <v/>
      </c>
      <c r="M1685" s="421" t="str">
        <f>IF($I1625="","",MAX(0,ROUND((SUM($M1628)*SUM(M1676)*SUM(M1683)*SUM(M1684)-SUM(M1680)-SUM(M1681)+SUM(M1682))*IF($H1628=TRUE,1,M$2517),0)))</f>
        <v/>
      </c>
      <c r="N1685" s="967" t="str">
        <f>IF($I1625="","",MAX(0,ROUND((SUM($M1628+IF(L1628=52,0.415,0))*SUM(N1676)*SUM(N1683)*SUM(N1684)-SUM(N1680)-SUM(N1681)+SUM(N1682))*IF($H1628=TRUE,1,N$2517),0)))</f>
        <v/>
      </c>
      <c r="O1685" s="19"/>
      <c r="P1685" s="343"/>
      <c r="Q1685" s="343"/>
      <c r="R1685" s="343"/>
      <c r="S1685" s="343"/>
      <c r="T1685" s="343"/>
      <c r="U1685" s="349"/>
      <c r="V1685" s="349"/>
    </row>
    <row r="1686" spans="1:22" s="534" customFormat="1" ht="12.75" customHeight="1" x14ac:dyDescent="0.3">
      <c r="A1686" s="343"/>
      <c r="B1686" s="15"/>
      <c r="C1686" s="17"/>
      <c r="D1686" s="1386"/>
      <c r="E1686" s="514" t="str">
        <f>Translations!$B$1569</f>
        <v>Skillnad i tilldelning</v>
      </c>
      <c r="F1686" s="514"/>
      <c r="G1686" s="514"/>
      <c r="H1686" s="129" t="str">
        <f>EUconst_EUA</f>
        <v>EUA</v>
      </c>
      <c r="I1686" s="1151"/>
      <c r="J1686" s="1131" t="str">
        <f>IF($I1625="","",ABS(SUM(J1685)-SUM(J1645)))</f>
        <v/>
      </c>
      <c r="K1686" s="421" t="str">
        <f>IF($I1625="","",ABS(SUM(K1685)-SUM(K1645)))</f>
        <v/>
      </c>
      <c r="L1686" s="421" t="str">
        <f>IF($I1625="","",ABS(SUM(L1685)-SUM(L1645)))</f>
        <v/>
      </c>
      <c r="M1686" s="421" t="str">
        <f>IF($I1625="","",ABS(SUM(M1685)-SUM(M1645)))</f>
        <v/>
      </c>
      <c r="N1686" s="967" t="str">
        <f>IF($I1625="","",ABS(SUM(N1685)-SUM(N1645)))</f>
        <v/>
      </c>
      <c r="O1686" s="19"/>
      <c r="P1686" s="343"/>
      <c r="Q1686" s="343"/>
      <c r="R1686" s="343"/>
      <c r="S1686" s="343"/>
      <c r="T1686" s="343"/>
      <c r="U1686" s="349"/>
      <c r="V1686" s="349"/>
    </row>
    <row r="1687" spans="1:22" s="534" customFormat="1" ht="12.75" customHeight="1" x14ac:dyDescent="0.3">
      <c r="A1687" s="343"/>
      <c r="B1687" s="15"/>
      <c r="C1687" s="17"/>
      <c r="D1687" s="1386"/>
      <c r="E1687" s="1419" t="str">
        <f>Translations!$B$1576</f>
        <v>Kriterium 4c: Är skillnaden minst 100 utsläppsrätter?</v>
      </c>
      <c r="F1687" s="1419"/>
      <c r="G1687" s="1419"/>
      <c r="H1687" s="1424" t="s">
        <v>1112</v>
      </c>
      <c r="I1687" s="1425"/>
      <c r="J1687" s="1426" t="str">
        <f>IF($I1625="","",J1686&gt;=100)</f>
        <v/>
      </c>
      <c r="K1687" s="1427" t="str">
        <f>IF($I1625="","",K1686&gt;=100)</f>
        <v/>
      </c>
      <c r="L1687" s="1427" t="str">
        <f>IF($I1625="","",L1686&gt;=100)</f>
        <v/>
      </c>
      <c r="M1687" s="1427" t="str">
        <f>IF($I1625="","",M1686&gt;=100)</f>
        <v/>
      </c>
      <c r="N1687" s="1428" t="str">
        <f>IF($I1625="","",N1686&gt;=100)</f>
        <v/>
      </c>
      <c r="O1687" s="19"/>
      <c r="P1687" s="165" t="str">
        <f>EUconst_CNTR_100EUA_HEAT&amp;I1625</f>
        <v>EUA100HEAT_</v>
      </c>
      <c r="Q1687" s="343"/>
      <c r="R1687" s="343"/>
      <c r="S1687" s="343"/>
      <c r="T1687" s="343"/>
      <c r="U1687" s="349"/>
      <c r="V1687" s="349"/>
    </row>
    <row r="1688" spans="1:22" s="534" customFormat="1" ht="5.15" customHeight="1" x14ac:dyDescent="0.3">
      <c r="A1688" s="343"/>
      <c r="B1688" s="15"/>
      <c r="C1688" s="17"/>
      <c r="D1688" s="1386"/>
      <c r="E1688" s="15"/>
      <c r="F1688" s="15"/>
      <c r="G1688" s="15"/>
      <c r="H1688" s="15"/>
      <c r="I1688" s="941"/>
      <c r="J1688" s="15"/>
      <c r="K1688" s="15"/>
      <c r="L1688" s="15"/>
      <c r="M1688" s="15"/>
      <c r="N1688" s="968"/>
      <c r="O1688" s="19"/>
      <c r="P1688" s="343"/>
      <c r="Q1688" s="343"/>
      <c r="R1688" s="343"/>
      <c r="S1688" s="343"/>
      <c r="T1688" s="343"/>
      <c r="U1688" s="349"/>
      <c r="V1688" s="349"/>
    </row>
    <row r="1689" spans="1:22" s="534" customFormat="1" ht="12.75" customHeight="1" x14ac:dyDescent="0.3">
      <c r="A1689" s="343"/>
      <c r="B1689" s="15"/>
      <c r="C1689" s="17"/>
      <c r="D1689" s="1386"/>
      <c r="E1689" s="42" t="str">
        <f>Translations!$B$1577</f>
        <v>Ändringar: HVC-korrigering</v>
      </c>
      <c r="F1689" s="188"/>
      <c r="G1689" s="188"/>
      <c r="H1689" s="30" t="str">
        <f>EUconst_Unit</f>
        <v>Enhet</v>
      </c>
      <c r="I1689" s="1157"/>
      <c r="J1689" s="1065">
        <f>J$2596</f>
        <v>2021</v>
      </c>
      <c r="K1689" s="350">
        <f>K$2596</f>
        <v>2022</v>
      </c>
      <c r="L1689" s="350">
        <f>L$2596</f>
        <v>2023</v>
      </c>
      <c r="M1689" s="350">
        <f>M$2596</f>
        <v>2024</v>
      </c>
      <c r="N1689" s="966">
        <f>N$2596</f>
        <v>2025</v>
      </c>
      <c r="O1689" s="19"/>
      <c r="P1689" s="343"/>
      <c r="Q1689" s="343"/>
      <c r="R1689" s="343"/>
      <c r="S1689" s="343"/>
      <c r="T1689" s="343"/>
      <c r="U1689" s="349"/>
      <c r="V1689" s="349"/>
    </row>
    <row r="1690" spans="1:22" s="534" customFormat="1" ht="12.75" hidden="1" customHeight="1" x14ac:dyDescent="0.3">
      <c r="A1690" s="343" t="str">
        <f>IF(P1690="","ausblenden","")</f>
        <v>ausblenden</v>
      </c>
      <c r="B1690" s="15"/>
      <c r="C1690" s="17"/>
      <c r="D1690" s="1386"/>
      <c r="E1690" s="514" t="s">
        <v>1918</v>
      </c>
      <c r="F1690" s="514"/>
      <c r="G1690" s="514"/>
      <c r="H1690" s="917" t="str">
        <f>H1676</f>
        <v>ton</v>
      </c>
      <c r="I1690" s="514"/>
      <c r="J1690" s="1152" t="str">
        <f>J1639</f>
        <v/>
      </c>
      <c r="K1690" s="943" t="str">
        <f t="shared" ref="K1690:K1692" si="314">J1734</f>
        <v/>
      </c>
      <c r="L1690" s="943" t="str">
        <f t="shared" ref="L1690:L1692" si="315">K1734</f>
        <v/>
      </c>
      <c r="M1690" s="943" t="str">
        <f t="shared" ref="M1690:M1692" si="316">L1734</f>
        <v/>
      </c>
      <c r="N1690" s="1389" t="str">
        <f t="shared" ref="N1690:N1692" si="317">M1734</f>
        <v/>
      </c>
      <c r="O1690" s="19"/>
      <c r="P1690" s="343"/>
      <c r="Q1690" s="343"/>
      <c r="R1690" s="343"/>
      <c r="S1690" s="343"/>
      <c r="T1690" s="343"/>
      <c r="U1690" s="349"/>
      <c r="V1690" s="349"/>
    </row>
    <row r="1691" spans="1:22" s="534" customFormat="1" ht="12.75" hidden="1" customHeight="1" x14ac:dyDescent="0.3">
      <c r="A1691" s="343" t="str">
        <f>IF(P1691="","ausblenden","")</f>
        <v>ausblenden</v>
      </c>
      <c r="B1691" s="15"/>
      <c r="C1691" s="17"/>
      <c r="D1691" s="1386"/>
      <c r="E1691" s="944" t="s">
        <v>339</v>
      </c>
      <c r="F1691" s="944"/>
      <c r="G1691" s="944"/>
      <c r="H1691" s="954" t="str">
        <f>EUconst_EUA</f>
        <v>EUA</v>
      </c>
      <c r="I1691" s="945"/>
      <c r="J1691" s="1209" t="str">
        <f>J1640</f>
        <v/>
      </c>
      <c r="K1691" s="1210" t="str">
        <f t="shared" si="314"/>
        <v/>
      </c>
      <c r="L1691" s="1210" t="str">
        <f t="shared" si="315"/>
        <v/>
      </c>
      <c r="M1691" s="1210" t="str">
        <f t="shared" si="316"/>
        <v/>
      </c>
      <c r="N1691" s="1390" t="str">
        <f t="shared" si="317"/>
        <v/>
      </c>
      <c r="O1691" s="19"/>
      <c r="P1691" s="343"/>
      <c r="Q1691" s="343"/>
      <c r="R1691" s="343"/>
      <c r="S1691" s="343"/>
      <c r="T1691" s="343"/>
      <c r="U1691" s="349"/>
      <c r="V1691" s="349"/>
    </row>
    <row r="1692" spans="1:22" s="534" customFormat="1" ht="12.75" hidden="1" customHeight="1" x14ac:dyDescent="0.3">
      <c r="A1692" s="343" t="str">
        <f>IF(P1692="","ausblenden","")</f>
        <v>ausblenden</v>
      </c>
      <c r="B1692" s="15"/>
      <c r="C1692" s="17"/>
      <c r="D1692" s="1386"/>
      <c r="E1692" s="1433" t="s">
        <v>1560</v>
      </c>
      <c r="F1692" s="1433"/>
      <c r="G1692" s="1433"/>
      <c r="H1692" s="1434" t="str">
        <f>EUconst_EUA</f>
        <v>EUA</v>
      </c>
      <c r="I1692" s="1435"/>
      <c r="J1692" s="1436" t="str">
        <f>J1641</f>
        <v/>
      </c>
      <c r="K1692" s="1437" t="str">
        <f t="shared" si="314"/>
        <v/>
      </c>
      <c r="L1692" s="1437" t="str">
        <f t="shared" si="315"/>
        <v/>
      </c>
      <c r="M1692" s="1437" t="str">
        <f t="shared" si="316"/>
        <v/>
      </c>
      <c r="N1692" s="1438" t="str">
        <f t="shared" si="317"/>
        <v/>
      </c>
      <c r="O1692" s="19"/>
      <c r="P1692" s="343"/>
      <c r="Q1692" s="343"/>
      <c r="R1692" s="343"/>
      <c r="S1692" s="343"/>
      <c r="T1692" s="343"/>
      <c r="U1692" s="349"/>
      <c r="V1692" s="349"/>
    </row>
    <row r="1693" spans="1:22" s="534" customFormat="1" ht="12.75" customHeight="1" x14ac:dyDescent="0.3">
      <c r="A1693" s="343"/>
      <c r="B1693" s="15"/>
      <c r="C1693" s="17"/>
      <c r="D1693" s="1386"/>
      <c r="E1693" s="944" t="str">
        <f>Translations!$B$1482</f>
        <v>Genomsnittligt årligt värde</v>
      </c>
      <c r="F1693" s="944"/>
      <c r="G1693" s="944"/>
      <c r="H1693" s="954" t="str">
        <f>EUconst_EUA</f>
        <v>EUA</v>
      </c>
      <c r="I1693" s="945"/>
      <c r="J1693" s="1445" t="str">
        <f>IF(L1628=42,INDEX(H_SpecialBM!J:J,MATCH($P1693,H_SpecialBM!$Q:$Q,0)),"")</f>
        <v/>
      </c>
      <c r="K1693" s="1446" t="str">
        <f>IF(L1628=42,INDEX(H_SpecialBM!K:K,MATCH($P1693,H_SpecialBM!$Q:$Q,0)),"")</f>
        <v/>
      </c>
      <c r="L1693" s="1446" t="str">
        <f>IF(L1628=42,INDEX(H_SpecialBM!L:L,MATCH($P1693,H_SpecialBM!$Q:$Q,0)),"")</f>
        <v/>
      </c>
      <c r="M1693" s="1446" t="str">
        <f>IF(L1628=42,INDEX(H_SpecialBM!M:M,MATCH($P1693,H_SpecialBM!$Q:$Q,0)),"")</f>
        <v/>
      </c>
      <c r="N1693" s="1447" t="str">
        <f>IF(L1628=42,INDEX(H_SpecialBM!N:N,MATCH($P1693,H_SpecialBM!$Q:$Q,0)),"")</f>
        <v/>
      </c>
      <c r="O1693" s="19"/>
      <c r="P1693" s="165" t="str">
        <f>EUconst_CNTR_HVCInitial &amp; INDEX(EUconst_BMlistNames,42)</f>
        <v>HVCIni_Ångkrackning</v>
      </c>
      <c r="Q1693" s="343"/>
      <c r="R1693" s="343"/>
      <c r="S1693" s="343"/>
      <c r="T1693" s="343"/>
      <c r="U1693" s="349"/>
      <c r="V1693" s="349"/>
    </row>
    <row r="1694" spans="1:22" s="534" customFormat="1" ht="12.75" customHeight="1" x14ac:dyDescent="0.3">
      <c r="A1694" s="343"/>
      <c r="B1694" s="15"/>
      <c r="C1694" s="17"/>
      <c r="D1694" s="1386"/>
      <c r="E1694" s="947" t="str">
        <f>Translations!$B$1571</f>
        <v>Ändring jämfört med värde enligt nationella genomförandeåtgärder</v>
      </c>
      <c r="F1694" s="947"/>
      <c r="G1694" s="947"/>
      <c r="H1694" s="1370" t="s">
        <v>1112</v>
      </c>
      <c r="I1694" s="1371"/>
      <c r="J1694" s="1415" t="str">
        <f>IF(L1628=42,INDEX(H_SpecialBM!J:J,MATCH($P1694,H_SpecialBM!$Q:$Q,0)),"")</f>
        <v/>
      </c>
      <c r="K1694" s="1416" t="str">
        <f>IF(L1628=42,INDEX(H_SpecialBM!K:K,MATCH($P1694,H_SpecialBM!$Q:$Q,0)),"")</f>
        <v/>
      </c>
      <c r="L1694" s="1416" t="str">
        <f>IF(L1628=42,INDEX(H_SpecialBM!L:L,MATCH($P1694,H_SpecialBM!$Q:$Q,0)),"")</f>
        <v/>
      </c>
      <c r="M1694" s="1416" t="str">
        <f>IF(L1628=42,INDEX(H_SpecialBM!M:M,MATCH($P1694,H_SpecialBM!$Q:$Q,0)),"")</f>
        <v/>
      </c>
      <c r="N1694" s="1417" t="str">
        <f>IF(L1628=42,INDEX(H_SpecialBM!N:N,MATCH($P1694,H_SpecialBM!$Q:$Q,0)),"")</f>
        <v/>
      </c>
      <c r="O1694" s="19"/>
      <c r="P1694" s="165" t="str">
        <f>EUconst_CNTR_RelThreshold &amp; P1696</f>
        <v>RelThresh_HVCprelim_</v>
      </c>
      <c r="Q1694" s="343"/>
      <c r="R1694" s="343"/>
      <c r="S1694" s="343"/>
      <c r="T1694" s="343"/>
      <c r="U1694" s="349"/>
      <c r="V1694" s="349"/>
    </row>
    <row r="1695" spans="1:22" s="534" customFormat="1" ht="12.75" customHeight="1" x14ac:dyDescent="0.3">
      <c r="A1695" s="343"/>
      <c r="B1695" s="15"/>
      <c r="C1695" s="17"/>
      <c r="D1695" s="1386"/>
      <c r="E1695" s="1418" t="str">
        <f>Translations!$B$1578</f>
        <v>Kriterium 3d: Har relativa tröskelvärden överskridits?</v>
      </c>
      <c r="F1695" s="1418"/>
      <c r="G1695" s="1418"/>
      <c r="H1695" s="1423" t="s">
        <v>1112</v>
      </c>
      <c r="I1695" s="1423"/>
      <c r="J1695" s="1420" t="str">
        <f>IF(L1628=42,INDEX(H_SpecialBM!V:V,MATCH($P1695,H_SpecialBM!$Q:$Q,0)),"")</f>
        <v/>
      </c>
      <c r="K1695" s="1421" t="str">
        <f>IF(L1628=42,INDEX(H_SpecialBM!W:W,MATCH($P1695,H_SpecialBM!$Q:$Q,0)),"")</f>
        <v/>
      </c>
      <c r="L1695" s="1421" t="str">
        <f>IF(L1628=42,INDEX(H_SpecialBM!X:X,MATCH($P1695,H_SpecialBM!$Q:$Q,0)),"")</f>
        <v/>
      </c>
      <c r="M1695" s="1421" t="str">
        <f>IF(L1628=42,INDEX(H_SpecialBM!Y:Y,MATCH($P1695,H_SpecialBM!$Q:$Q,0)),"")</f>
        <v/>
      </c>
      <c r="N1695" s="1422" t="str">
        <f>IF(L1628=42,INDEX(H_SpecialBM!Z:Z,MATCH($P1695,H_SpecialBM!$Q:$Q,0)),"")</f>
        <v/>
      </c>
      <c r="O1695" s="19"/>
      <c r="P1695" s="165" t="str">
        <f>P1694</f>
        <v>RelThresh_HVCprelim_</v>
      </c>
      <c r="Q1695" s="343"/>
      <c r="R1695" s="343"/>
      <c r="S1695" s="343"/>
      <c r="T1695" s="343"/>
      <c r="U1695" s="349"/>
      <c r="V1695" s="349"/>
    </row>
    <row r="1696" spans="1:22" s="534" customFormat="1" ht="12.75" customHeight="1" x14ac:dyDescent="0.3">
      <c r="A1696" s="343" t="str">
        <f>IF(P1696="","ausblenden","")</f>
        <v/>
      </c>
      <c r="B1696" s="15"/>
      <c r="C1696" s="17"/>
      <c r="D1696" s="1386"/>
      <c r="E1696" s="950" t="str">
        <f>Translations!$B$1568</f>
        <v>Preliminärt värde</v>
      </c>
      <c r="F1696" s="950"/>
      <c r="G1696" s="950"/>
      <c r="H1696" s="957" t="str">
        <f>EUconst_EUA</f>
        <v>EUA</v>
      </c>
      <c r="I1696" s="951"/>
      <c r="J1696" s="1381" t="str">
        <f>IF($L1628=42,INDEX(H_SpecialBM!J:J,MATCH($P1696,H_SpecialBM!$Q:$Q,0)),"")</f>
        <v/>
      </c>
      <c r="K1696" s="1382" t="str">
        <f>IF($L1628=42,INDEX(H_SpecialBM!K:K,MATCH($P1696,H_SpecialBM!$Q:$Q,0)),"")</f>
        <v/>
      </c>
      <c r="L1696" s="1382" t="str">
        <f>IF($L1628=42,INDEX(H_SpecialBM!L:L,MATCH($P1696,H_SpecialBM!$Q:$Q,0)),"")</f>
        <v/>
      </c>
      <c r="M1696" s="1382" t="str">
        <f>IF($L1628=42,INDEX(H_SpecialBM!M:M,MATCH($P1696,H_SpecialBM!$Q:$Q,0)),"")</f>
        <v/>
      </c>
      <c r="N1696" s="1396" t="str">
        <f>IF($L1628=42,INDEX(H_SpecialBM!N:N,MATCH($P1696,H_SpecialBM!$Q:$Q,0)),"")</f>
        <v/>
      </c>
      <c r="O1696" s="19"/>
      <c r="P1696" s="165" t="str">
        <f>EUconst_CNTR_HVCprelim</f>
        <v>HVCprelim_</v>
      </c>
      <c r="Q1696" s="343"/>
      <c r="R1696" s="343"/>
      <c r="S1696" s="343"/>
      <c r="T1696" s="343"/>
      <c r="U1696" s="349"/>
      <c r="V1696" s="349"/>
    </row>
    <row r="1697" spans="1:22" s="534" customFormat="1" ht="12.75" hidden="1" customHeight="1" x14ac:dyDescent="0.3">
      <c r="A1697" s="343" t="str">
        <f>IF(P1697="","ausblenden","")</f>
        <v>ausblenden</v>
      </c>
      <c r="B1697" s="15"/>
      <c r="C1697" s="17"/>
      <c r="D1697" s="1386"/>
      <c r="E1697" s="1376" t="s">
        <v>1526</v>
      </c>
      <c r="F1697" s="1376"/>
      <c r="G1697" s="1376"/>
      <c r="H1697" s="1378" t="s">
        <v>1112</v>
      </c>
      <c r="I1697" s="1377"/>
      <c r="J1697" s="1379" t="str">
        <f>J1643</f>
        <v/>
      </c>
      <c r="K1697" s="1380" t="str">
        <f t="shared" ref="K1697:K1698" si="318">J1738</f>
        <v/>
      </c>
      <c r="L1697" s="1380" t="str">
        <f t="shared" ref="L1697:L1698" si="319">K1738</f>
        <v/>
      </c>
      <c r="M1697" s="1380" t="str">
        <f t="shared" ref="M1697:M1698" si="320">L1738</f>
        <v/>
      </c>
      <c r="N1697" s="1397" t="str">
        <f t="shared" ref="N1697:N1698" si="321">M1738</f>
        <v/>
      </c>
      <c r="O1697" s="19"/>
      <c r="P1697" s="343"/>
      <c r="Q1697" s="343"/>
      <c r="R1697" s="343"/>
      <c r="S1697" s="343"/>
      <c r="T1697" s="343"/>
      <c r="U1697" s="349"/>
      <c r="V1697" s="349"/>
    </row>
    <row r="1698" spans="1:22" s="534" customFormat="1" ht="12.75" hidden="1" customHeight="1" x14ac:dyDescent="0.3">
      <c r="A1698" s="343" t="str">
        <f>IF(P1698="","ausblenden","")</f>
        <v>ausblenden</v>
      </c>
      <c r="B1698" s="15"/>
      <c r="C1698" s="17"/>
      <c r="D1698" s="1386"/>
      <c r="E1698" s="950" t="s">
        <v>1528</v>
      </c>
      <c r="F1698" s="950"/>
      <c r="G1698" s="950"/>
      <c r="H1698" s="957" t="s">
        <v>1112</v>
      </c>
      <c r="I1698" s="951"/>
      <c r="J1698" s="1213" t="str">
        <f>J1644</f>
        <v/>
      </c>
      <c r="K1698" s="1214" t="str">
        <f t="shared" si="318"/>
        <v/>
      </c>
      <c r="L1698" s="1214" t="str">
        <f t="shared" si="319"/>
        <v/>
      </c>
      <c r="M1698" s="1214" t="str">
        <f t="shared" si="320"/>
        <v/>
      </c>
      <c r="N1698" s="1393" t="str">
        <f t="shared" si="321"/>
        <v/>
      </c>
      <c r="O1698" s="19"/>
      <c r="P1698" s="343"/>
      <c r="Q1698" s="343"/>
      <c r="R1698" s="343"/>
      <c r="S1698" s="343"/>
      <c r="T1698" s="343"/>
      <c r="U1698" s="349"/>
      <c r="V1698" s="349"/>
    </row>
    <row r="1699" spans="1:22" s="534" customFormat="1" ht="12.75" customHeight="1" x14ac:dyDescent="0.3">
      <c r="A1699" s="343"/>
      <c r="B1699" s="15"/>
      <c r="C1699" s="17"/>
      <c r="D1699" s="1386"/>
      <c r="E1699" s="514" t="str">
        <f>Translations!$B$1565</f>
        <v>Preliminärt tilldelningsvärde</v>
      </c>
      <c r="F1699" s="514"/>
      <c r="G1699" s="514"/>
      <c r="H1699" s="129" t="str">
        <f>EUconst_EUA</f>
        <v>EUA</v>
      </c>
      <c r="I1699" s="1151"/>
      <c r="J1699" s="1131" t="str">
        <f>IF(J1696="","",MAX(0,ROUND((SUM($M1628)*SUM(J1690)*SUM(J1697)*SUM(J1698)-SUM(J1691)-SUM(J1692)+SUM(J1696))*IF($H1628=TRUE,1,J$2517),0)))</f>
        <v/>
      </c>
      <c r="K1699" s="421" t="str">
        <f>IF(K1696="","",MAX(0,ROUND((SUM($M1628)*SUM(K1690)*SUM(K1697)*SUM(K1698)-SUM(K1691)-SUM(K1692)+SUM(K1696))*IF($H1628=TRUE,1,K$2517),0)))</f>
        <v/>
      </c>
      <c r="L1699" s="421" t="str">
        <f>IF(L1696="","",MAX(0,ROUND((SUM($M1628)*SUM(L1690)*SUM(L1697)*SUM(L1698)-SUM(L1691)-SUM(L1692)+SUM(L1696))*IF($H1628=TRUE,1,L$2517),0)))</f>
        <v/>
      </c>
      <c r="M1699" s="421" t="str">
        <f>IF(M1696="","",MAX(0,ROUND((SUM($M1628)*SUM(M1690)*SUM(M1697)*SUM(M1698)-SUM(M1691)-SUM(M1692)+SUM(M1696))*IF($H1628=TRUE,1,M$2517),0)))</f>
        <v/>
      </c>
      <c r="N1699" s="967" t="str">
        <f>IF(N1696="","",MAX(0,ROUND((SUM($M1628)*SUM(N1690)*SUM(N1697)*SUM(N1698)-SUM(N1691)-SUM(N1692)+SUM(N1696))*IF($H1628=TRUE,1,N$2517),0)))</f>
        <v/>
      </c>
      <c r="O1699" s="19"/>
      <c r="P1699" s="343"/>
      <c r="Q1699" s="343"/>
      <c r="R1699" s="343"/>
      <c r="S1699" s="343"/>
      <c r="T1699" s="343"/>
      <c r="U1699" s="349"/>
      <c r="V1699" s="349"/>
    </row>
    <row r="1700" spans="1:22" s="534" customFormat="1" ht="12.75" customHeight="1" x14ac:dyDescent="0.3">
      <c r="A1700" s="343"/>
      <c r="B1700" s="15"/>
      <c r="C1700" s="17"/>
      <c r="D1700" s="1386"/>
      <c r="E1700" s="514" t="str">
        <f>Translations!$B$1569</f>
        <v>Skillnad i tilldelning</v>
      </c>
      <c r="F1700" s="514"/>
      <c r="G1700" s="514"/>
      <c r="H1700" s="129" t="str">
        <f>EUconst_EUA</f>
        <v>EUA</v>
      </c>
      <c r="I1700" s="1151"/>
      <c r="J1700" s="1131" t="str">
        <f>IF(J1699="","",ABS(SUM(J1699)-SUM(J1645)))</f>
        <v/>
      </c>
      <c r="K1700" s="421" t="str">
        <f>IF(K1699="","",ABS(SUM(K1699)-SUM(K1645)))</f>
        <v/>
      </c>
      <c r="L1700" s="421" t="str">
        <f>IF(L1699="","",ABS(SUM(L1699)-SUM(L1645)))</f>
        <v/>
      </c>
      <c r="M1700" s="421" t="str">
        <f>IF(M1699="","",ABS(SUM(M1699)-SUM(M1645)))</f>
        <v/>
      </c>
      <c r="N1700" s="967" t="str">
        <f>IF(N1699="","",ABS(SUM(N1699)-SUM(N1645)))</f>
        <v/>
      </c>
      <c r="O1700" s="19"/>
      <c r="P1700" s="343"/>
      <c r="Q1700" s="343"/>
      <c r="R1700" s="343"/>
      <c r="S1700" s="343"/>
      <c r="T1700" s="343"/>
      <c r="U1700" s="349"/>
      <c r="V1700" s="349"/>
    </row>
    <row r="1701" spans="1:22" s="534" customFormat="1" ht="12.75" customHeight="1" x14ac:dyDescent="0.3">
      <c r="A1701" s="343"/>
      <c r="B1701" s="15"/>
      <c r="C1701" s="17"/>
      <c r="D1701" s="1386"/>
      <c r="E1701" s="1419" t="str">
        <f>Translations!$B$1579</f>
        <v>Kriterium 4d: Är skillnaden minst 100 utsläppsrätter?</v>
      </c>
      <c r="F1701" s="514"/>
      <c r="G1701" s="514"/>
      <c r="H1701" s="1424" t="s">
        <v>1112</v>
      </c>
      <c r="I1701" s="1425"/>
      <c r="J1701" s="1426" t="str">
        <f>IF(J1700="","",J1700&gt;=100)</f>
        <v/>
      </c>
      <c r="K1701" s="1427" t="str">
        <f>IF(K1700="","",K1700&gt;=100)</f>
        <v/>
      </c>
      <c r="L1701" s="1427" t="str">
        <f>IF(L1700="","",L1700&gt;=100)</f>
        <v/>
      </c>
      <c r="M1701" s="1427" t="str">
        <f>IF(M1700="","",M1700&gt;=100)</f>
        <v/>
      </c>
      <c r="N1701" s="1428" t="str">
        <f>IF(N1700="","",N1700&gt;=100)</f>
        <v/>
      </c>
      <c r="O1701" s="19"/>
      <c r="P1701" s="165" t="str">
        <f>EUconst_CNTR_100EUA_HVC&amp;I1625</f>
        <v>EUA100HVC_</v>
      </c>
      <c r="Q1701" s="343"/>
      <c r="R1701" s="343"/>
      <c r="S1701" s="343"/>
      <c r="T1701" s="343"/>
      <c r="U1701" s="349"/>
      <c r="V1701" s="349"/>
    </row>
    <row r="1702" spans="1:22" s="534" customFormat="1" ht="5.15" customHeight="1" x14ac:dyDescent="0.3">
      <c r="A1702" s="343"/>
      <c r="B1702" s="15"/>
      <c r="C1702" s="17"/>
      <c r="D1702" s="1386"/>
      <c r="E1702" s="15"/>
      <c r="F1702" s="15"/>
      <c r="G1702" s="15"/>
      <c r="H1702" s="15"/>
      <c r="I1702" s="941"/>
      <c r="J1702" s="15"/>
      <c r="K1702" s="15"/>
      <c r="L1702" s="15"/>
      <c r="M1702" s="15"/>
      <c r="N1702" s="968"/>
      <c r="O1702" s="19"/>
      <c r="P1702" s="343"/>
      <c r="Q1702" s="343"/>
      <c r="R1702" s="343"/>
      <c r="S1702" s="343"/>
      <c r="T1702" s="343"/>
      <c r="U1702" s="349"/>
      <c r="V1702" s="349"/>
    </row>
    <row r="1703" spans="1:22" s="534" customFormat="1" ht="12.75" customHeight="1" x14ac:dyDescent="0.3">
      <c r="A1703" s="343"/>
      <c r="B1703" s="15"/>
      <c r="C1703" s="17"/>
      <c r="D1703" s="1386"/>
      <c r="E1703" s="42" t="str">
        <f>Translations!$B$1580</f>
        <v>Ändringar: VCM-korrigering</v>
      </c>
      <c r="F1703" s="188"/>
      <c r="G1703" s="188"/>
      <c r="H1703" s="30" t="str">
        <f>EUconst_Unit</f>
        <v>Enhet</v>
      </c>
      <c r="I1703" s="1157"/>
      <c r="J1703" s="1065">
        <f>J$2596</f>
        <v>2021</v>
      </c>
      <c r="K1703" s="350">
        <f>K$2596</f>
        <v>2022</v>
      </c>
      <c r="L1703" s="350">
        <f>L$2596</f>
        <v>2023</v>
      </c>
      <c r="M1703" s="350">
        <f>M$2596</f>
        <v>2024</v>
      </c>
      <c r="N1703" s="966">
        <f>N$2596</f>
        <v>2025</v>
      </c>
      <c r="O1703" s="19"/>
      <c r="P1703" s="343"/>
      <c r="Q1703" s="343"/>
      <c r="R1703" s="343"/>
      <c r="S1703" s="343"/>
      <c r="T1703" s="343"/>
      <c r="U1703" s="349"/>
      <c r="V1703" s="349"/>
    </row>
    <row r="1704" spans="1:22" s="534" customFormat="1" ht="12.75" hidden="1" customHeight="1" x14ac:dyDescent="0.3">
      <c r="A1704" s="343" t="str">
        <f>IF(P1704="","ausblenden","")</f>
        <v>ausblenden</v>
      </c>
      <c r="B1704" s="15"/>
      <c r="C1704" s="17"/>
      <c r="D1704" s="1386"/>
      <c r="E1704" s="514" t="s">
        <v>1918</v>
      </c>
      <c r="F1704" s="514"/>
      <c r="G1704" s="514"/>
      <c r="H1704" s="917" t="str">
        <f>H1690</f>
        <v>ton</v>
      </c>
      <c r="I1704" s="514"/>
      <c r="J1704" s="1152" t="str">
        <f>J1639</f>
        <v/>
      </c>
      <c r="K1704" s="943" t="str">
        <f t="shared" ref="K1704:K1708" si="322">J1734</f>
        <v/>
      </c>
      <c r="L1704" s="943" t="str">
        <f t="shared" ref="L1704:L1708" si="323">K1734</f>
        <v/>
      </c>
      <c r="M1704" s="943" t="str">
        <f t="shared" ref="M1704:M1708" si="324">L1734</f>
        <v/>
      </c>
      <c r="N1704" s="1389" t="str">
        <f t="shared" ref="N1704:N1708" si="325">M1734</f>
        <v/>
      </c>
      <c r="O1704" s="19"/>
      <c r="P1704" s="343"/>
      <c r="Q1704" s="343"/>
      <c r="R1704" s="343"/>
      <c r="S1704" s="343"/>
      <c r="T1704" s="343"/>
      <c r="U1704" s="349"/>
      <c r="V1704" s="349"/>
    </row>
    <row r="1705" spans="1:22" s="534" customFormat="1" ht="12.75" hidden="1" customHeight="1" x14ac:dyDescent="0.3">
      <c r="A1705" s="343" t="str">
        <f>IF(P1705="","ausblenden","")</f>
        <v>ausblenden</v>
      </c>
      <c r="B1705" s="15"/>
      <c r="C1705" s="17"/>
      <c r="D1705" s="1386"/>
      <c r="E1705" s="944" t="s">
        <v>339</v>
      </c>
      <c r="F1705" s="944"/>
      <c r="G1705" s="944"/>
      <c r="H1705" s="954" t="str">
        <f>EUconst_EUA</f>
        <v>EUA</v>
      </c>
      <c r="I1705" s="945"/>
      <c r="J1705" s="1209" t="str">
        <f>J1640</f>
        <v/>
      </c>
      <c r="K1705" s="1210" t="str">
        <f t="shared" si="322"/>
        <v/>
      </c>
      <c r="L1705" s="1210" t="str">
        <f t="shared" si="323"/>
        <v/>
      </c>
      <c r="M1705" s="1210" t="str">
        <f t="shared" si="324"/>
        <v/>
      </c>
      <c r="N1705" s="1390" t="str">
        <f t="shared" si="325"/>
        <v/>
      </c>
      <c r="O1705" s="19"/>
      <c r="P1705" s="343"/>
      <c r="Q1705" s="343"/>
      <c r="R1705" s="343"/>
      <c r="S1705" s="343"/>
      <c r="T1705" s="343"/>
      <c r="U1705" s="349"/>
      <c r="V1705" s="349"/>
    </row>
    <row r="1706" spans="1:22" s="534" customFormat="1" ht="12.75" hidden="1" customHeight="1" x14ac:dyDescent="0.3">
      <c r="A1706" s="343" t="str">
        <f>IF(P1706="","ausblenden","")</f>
        <v>ausblenden</v>
      </c>
      <c r="B1706" s="15"/>
      <c r="C1706" s="17"/>
      <c r="D1706" s="1386"/>
      <c r="E1706" s="947" t="s">
        <v>1560</v>
      </c>
      <c r="F1706" s="947"/>
      <c r="G1706" s="947"/>
      <c r="H1706" s="955" t="str">
        <f>EUconst_EUA</f>
        <v>EUA</v>
      </c>
      <c r="I1706" s="948"/>
      <c r="J1706" s="1165" t="str">
        <f>J1641</f>
        <v/>
      </c>
      <c r="K1706" s="975" t="str">
        <f t="shared" si="322"/>
        <v/>
      </c>
      <c r="L1706" s="975" t="str">
        <f t="shared" si="323"/>
        <v/>
      </c>
      <c r="M1706" s="975" t="str">
        <f t="shared" si="324"/>
        <v/>
      </c>
      <c r="N1706" s="1391" t="str">
        <f t="shared" si="325"/>
        <v/>
      </c>
      <c r="O1706" s="19"/>
      <c r="P1706" s="343"/>
      <c r="Q1706" s="343"/>
      <c r="R1706" s="343"/>
      <c r="S1706" s="343"/>
      <c r="T1706" s="343"/>
      <c r="U1706" s="349"/>
      <c r="V1706" s="349"/>
    </row>
    <row r="1707" spans="1:22" s="534" customFormat="1" ht="12.75" hidden="1" customHeight="1" x14ac:dyDescent="0.3">
      <c r="A1707" s="343" t="str">
        <f>IF(P1707="","ausblenden","")</f>
        <v>ausblenden</v>
      </c>
      <c r="B1707" s="15"/>
      <c r="C1707" s="17"/>
      <c r="D1707" s="1386"/>
      <c r="E1707" s="947" t="s">
        <v>1527</v>
      </c>
      <c r="F1707" s="947"/>
      <c r="G1707" s="947"/>
      <c r="H1707" s="955" t="str">
        <f>EUconst_EUA</f>
        <v>EUA</v>
      </c>
      <c r="I1707" s="948"/>
      <c r="J1707" s="1165" t="str">
        <f>J1642</f>
        <v/>
      </c>
      <c r="K1707" s="975" t="str">
        <f t="shared" si="322"/>
        <v/>
      </c>
      <c r="L1707" s="975" t="str">
        <f t="shared" si="323"/>
        <v/>
      </c>
      <c r="M1707" s="975" t="str">
        <f t="shared" si="324"/>
        <v/>
      </c>
      <c r="N1707" s="1391" t="str">
        <f t="shared" si="325"/>
        <v/>
      </c>
      <c r="O1707" s="19"/>
      <c r="P1707" s="343"/>
      <c r="Q1707" s="343"/>
      <c r="R1707" s="343"/>
      <c r="S1707" s="343"/>
      <c r="T1707" s="343"/>
      <c r="U1707" s="349"/>
      <c r="V1707" s="349"/>
    </row>
    <row r="1708" spans="1:22" s="534" customFormat="1" ht="12.75" hidden="1" customHeight="1" x14ac:dyDescent="0.3">
      <c r="A1708" s="343" t="str">
        <f>IF(P1708="","ausblenden","")</f>
        <v>ausblenden</v>
      </c>
      <c r="B1708" s="15"/>
      <c r="C1708" s="17"/>
      <c r="D1708" s="1386"/>
      <c r="E1708" s="1433" t="s">
        <v>1526</v>
      </c>
      <c r="F1708" s="1433"/>
      <c r="G1708" s="1433"/>
      <c r="H1708" s="1448" t="s">
        <v>1112</v>
      </c>
      <c r="I1708" s="1435"/>
      <c r="J1708" s="1449" t="str">
        <f>J1643</f>
        <v/>
      </c>
      <c r="K1708" s="1450" t="str">
        <f t="shared" si="322"/>
        <v/>
      </c>
      <c r="L1708" s="1450" t="str">
        <f t="shared" si="323"/>
        <v/>
      </c>
      <c r="M1708" s="1450" t="str">
        <f t="shared" si="324"/>
        <v/>
      </c>
      <c r="N1708" s="1451" t="str">
        <f t="shared" si="325"/>
        <v/>
      </c>
      <c r="O1708" s="19"/>
      <c r="P1708" s="343"/>
      <c r="Q1708" s="343"/>
      <c r="R1708" s="343"/>
      <c r="S1708" s="343"/>
      <c r="T1708" s="343"/>
      <c r="U1708" s="349"/>
      <c r="V1708" s="349"/>
    </row>
    <row r="1709" spans="1:22" s="534" customFormat="1" ht="12.75" customHeight="1" x14ac:dyDescent="0.3">
      <c r="A1709" s="343"/>
      <c r="B1709" s="15"/>
      <c r="C1709" s="17"/>
      <c r="D1709" s="1386"/>
      <c r="E1709" s="944" t="str">
        <f>Translations!$B$1482</f>
        <v>Genomsnittligt årligt värde</v>
      </c>
      <c r="F1709" s="944"/>
      <c r="G1709" s="944"/>
      <c r="H1709" s="627" t="s">
        <v>1112</v>
      </c>
      <c r="I1709" s="945"/>
      <c r="J1709" s="1439" t="str">
        <f>IF(L1628=47,INDEX(H_SpecialBM!J:J,MATCH($P1709,H_SpecialBM!$Q:$Q,0)),"")</f>
        <v/>
      </c>
      <c r="K1709" s="1440" t="str">
        <f>IF(L1628=47,INDEX(H_SpecialBM!K:K,MATCH($P1709,H_SpecialBM!$Q:$Q,0)),"")</f>
        <v/>
      </c>
      <c r="L1709" s="1440" t="str">
        <f>IF(L1628=47,INDEX(H_SpecialBM!L:L,MATCH($P1709,H_SpecialBM!$Q:$Q,0)),"")</f>
        <v/>
      </c>
      <c r="M1709" s="1440" t="str">
        <f>IF(L1628=47,INDEX(H_SpecialBM!M:M,MATCH($P1709,H_SpecialBM!$Q:$Q,0)),"")</f>
        <v/>
      </c>
      <c r="N1709" s="1441" t="str">
        <f>IF(L1628=47,INDEX(H_SpecialBM!N:N,MATCH($P1709,H_SpecialBM!$Q:$Q,0)),"")</f>
        <v/>
      </c>
      <c r="O1709" s="19"/>
      <c r="P1709" s="165" t="str">
        <f>EUconst_CNTR_VCMInitial &amp; INDEX(EUconst_BMlistNames,47)</f>
        <v>VCMIni_Vinylkloridmonomer</v>
      </c>
      <c r="Q1709" s="343"/>
      <c r="R1709" s="343"/>
      <c r="S1709" s="343"/>
      <c r="T1709" s="343"/>
      <c r="U1709" s="349"/>
      <c r="V1709" s="349"/>
    </row>
    <row r="1710" spans="1:22" s="534" customFormat="1" ht="12.75" customHeight="1" x14ac:dyDescent="0.3">
      <c r="A1710" s="343"/>
      <c r="B1710" s="15"/>
      <c r="C1710" s="17"/>
      <c r="D1710" s="1386"/>
      <c r="E1710" s="947" t="str">
        <f>Translations!$B$1571</f>
        <v>Ändring jämfört med värde enligt nationella genomförandeåtgärder</v>
      </c>
      <c r="F1710" s="947"/>
      <c r="G1710" s="947"/>
      <c r="H1710" s="1370" t="s">
        <v>1112</v>
      </c>
      <c r="I1710" s="1371"/>
      <c r="J1710" s="1415" t="str">
        <f>IF(L1628=47,INDEX(H_SpecialBM!J:J,MATCH($P1710,H_SpecialBM!$Q:$Q,0)),"")</f>
        <v/>
      </c>
      <c r="K1710" s="1416" t="str">
        <f>IF(L1628=47,INDEX(H_SpecialBM!K:K,MATCH($P1710,H_SpecialBM!$Q:$Q,0)),"")</f>
        <v/>
      </c>
      <c r="L1710" s="1416" t="str">
        <f>IF(L1628=47,INDEX(H_SpecialBM!L:L,MATCH($P1710,H_SpecialBM!$Q:$Q,0)),"")</f>
        <v/>
      </c>
      <c r="M1710" s="1416" t="str">
        <f>IF(L1628=47,INDEX(H_SpecialBM!M:M,MATCH($P1710,H_SpecialBM!$Q:$Q,0)),"")</f>
        <v/>
      </c>
      <c r="N1710" s="1417" t="str">
        <f>IF(L1628=47,INDEX(H_SpecialBM!N:N,MATCH($P1710,H_SpecialBM!$Q:$Q,0)),"")</f>
        <v/>
      </c>
      <c r="O1710" s="19"/>
      <c r="P1710" s="165" t="str">
        <f>EUconst_CNTR_RelThreshold &amp; P1712</f>
        <v>RelThresh_VCMprelim_</v>
      </c>
      <c r="Q1710" s="343"/>
      <c r="R1710" s="343"/>
      <c r="S1710" s="343"/>
      <c r="T1710" s="343"/>
      <c r="U1710" s="349"/>
      <c r="V1710" s="349"/>
    </row>
    <row r="1711" spans="1:22" s="534" customFormat="1" ht="12.75" customHeight="1" x14ac:dyDescent="0.3">
      <c r="A1711" s="343"/>
      <c r="B1711" s="15"/>
      <c r="C1711" s="17"/>
      <c r="D1711" s="1386"/>
      <c r="E1711" s="1418" t="str">
        <f>Translations!$B$1581</f>
        <v>Kriterium 3e: Har relativa tröskelvärden överskridits?</v>
      </c>
      <c r="F1711" s="1418"/>
      <c r="G1711" s="1418"/>
      <c r="H1711" s="1423" t="s">
        <v>1112</v>
      </c>
      <c r="I1711" s="1423"/>
      <c r="J1711" s="1420" t="str">
        <f>IF(L1628=47,INDEX(H_SpecialBM!V:V,MATCH($P1711,H_SpecialBM!$Q:$Q,0)),"")</f>
        <v/>
      </c>
      <c r="K1711" s="1421" t="str">
        <f>IF(L1628=47,INDEX(H_SpecialBM!W:W,MATCH($P1711,H_SpecialBM!$Q:$Q,0)),"")</f>
        <v/>
      </c>
      <c r="L1711" s="1421" t="str">
        <f>IF(L1628=47,INDEX(H_SpecialBM!X:X,MATCH($P1711,H_SpecialBM!$Q:$Q,0)),"")</f>
        <v/>
      </c>
      <c r="M1711" s="1421" t="str">
        <f>IF(L1628=47,INDEX(H_SpecialBM!Y:Y,MATCH($P1711,H_SpecialBM!$Q:$Q,0)),"")</f>
        <v/>
      </c>
      <c r="N1711" s="1422" t="str">
        <f>IF(L1628=47,INDEX(H_SpecialBM!Z:Z,MATCH($P1711,H_SpecialBM!$Q:$Q,0)),"")</f>
        <v/>
      </c>
      <c r="O1711" s="19"/>
      <c r="P1711" s="165" t="str">
        <f>P1710</f>
        <v>RelThresh_VCMprelim_</v>
      </c>
      <c r="Q1711" s="343"/>
      <c r="R1711" s="343"/>
      <c r="S1711" s="343"/>
      <c r="T1711" s="343"/>
      <c r="U1711" s="349"/>
      <c r="V1711" s="349"/>
    </row>
    <row r="1712" spans="1:22" s="534" customFormat="1" ht="12.75" customHeight="1" x14ac:dyDescent="0.3">
      <c r="A1712" s="343" t="str">
        <f>IF(P1712="","ausblenden","")</f>
        <v/>
      </c>
      <c r="B1712" s="15"/>
      <c r="C1712" s="17"/>
      <c r="D1712" s="1386"/>
      <c r="E1712" s="950" t="str">
        <f>Translations!$B$1568</f>
        <v>Preliminärt värde</v>
      </c>
      <c r="F1712" s="950"/>
      <c r="G1712" s="950"/>
      <c r="H1712" s="957" t="s">
        <v>1112</v>
      </c>
      <c r="I1712" s="951"/>
      <c r="J1712" s="1404" t="str">
        <f>IF($L1628=47,IF(ISNUMBER(INDEX(H_SpecialBM!J:J,MATCH($P1712,H_SpecialBM!$Q:$Q,0))),INDEX(H_SpecialBM!J:J,MATCH($P1712,H_SpecialBM!$Q:$Q,0)),1),"")</f>
        <v/>
      </c>
      <c r="K1712" s="1405" t="str">
        <f>IF($L1628=47,IF(ISNUMBER(INDEX(H_SpecialBM!K:K,MATCH($P1712,H_SpecialBM!$Q:$Q,0))),INDEX(H_SpecialBM!K:K,MATCH($P1712,H_SpecialBM!$Q:$Q,0)),1),"")</f>
        <v/>
      </c>
      <c r="L1712" s="1405" t="str">
        <f>IF($L1628=47,IF(ISNUMBER(INDEX(H_SpecialBM!L:L,MATCH($P1712,H_SpecialBM!$Q:$Q,0))),INDEX(H_SpecialBM!L:L,MATCH($P1712,H_SpecialBM!$Q:$Q,0)),1),"")</f>
        <v/>
      </c>
      <c r="M1712" s="1405" t="str">
        <f>IF($L1628=47,IF(ISNUMBER(INDEX(H_SpecialBM!M:M,MATCH($P1712,H_SpecialBM!$Q:$Q,0))),INDEX(H_SpecialBM!M:M,MATCH($P1712,H_SpecialBM!$Q:$Q,0)),1),"")</f>
        <v/>
      </c>
      <c r="N1712" s="1406" t="str">
        <f>IF($L1628=47,IF(ISNUMBER(INDEX(H_SpecialBM!N:N,MATCH($P1712,H_SpecialBM!$Q:$Q,0))),INDEX(H_SpecialBM!N:N,MATCH($P1712,H_SpecialBM!$Q:$Q,0)),1),"")</f>
        <v/>
      </c>
      <c r="O1712" s="19"/>
      <c r="P1712" s="165" t="str">
        <f>EUconst_CNTR_VCMprelim</f>
        <v>VCMprelim_</v>
      </c>
      <c r="Q1712" s="343"/>
      <c r="R1712" s="343"/>
      <c r="S1712" s="343"/>
      <c r="T1712" s="343"/>
      <c r="U1712" s="349"/>
      <c r="V1712" s="349"/>
    </row>
    <row r="1713" spans="1:22" s="534" customFormat="1" ht="12.75" customHeight="1" x14ac:dyDescent="0.3">
      <c r="A1713" s="343"/>
      <c r="B1713" s="15"/>
      <c r="C1713" s="17"/>
      <c r="D1713" s="1386"/>
      <c r="E1713" s="514" t="str">
        <f>Translations!$B$1565</f>
        <v>Preliminärt tilldelningsvärde</v>
      </c>
      <c r="F1713" s="514"/>
      <c r="G1713" s="514"/>
      <c r="H1713" s="129" t="str">
        <f>EUconst_EUA</f>
        <v>EUA</v>
      </c>
      <c r="I1713" s="1151"/>
      <c r="J1713" s="1131" t="str">
        <f>IF(J1712="","",MAX(0,ROUND((SUM($M1628)*SUM(J1704)*SUM(J1708)*SUM(J1712)-SUM(J1705)-SUM(J1706)+SUM(J1707))*IF($H1628=TRUE,1,J$2517),0)))</f>
        <v/>
      </c>
      <c r="K1713" s="421" t="str">
        <f>IF(K1712="","",MAX(0,ROUND((SUM($M1628)*SUM(K1704)*SUM(K1708)*SUM(K1712)-SUM(K1705)-SUM(K1706)+SUM(K1707))*IF($H1628=TRUE,1,K$2517),0)))</f>
        <v/>
      </c>
      <c r="L1713" s="421" t="str">
        <f>IF(L1712="","",MAX(0,ROUND((SUM($M1628)*SUM(L1704)*SUM(L1708)*SUM(L1712)-SUM(L1705)-SUM(L1706)+SUM(L1707))*IF($H1628=TRUE,1,L$2517),0)))</f>
        <v/>
      </c>
      <c r="M1713" s="421" t="str">
        <f>IF(M1712="","",MAX(0,ROUND((SUM($M1628)*SUM(M1704)*SUM(M1708)*SUM(M1712)-SUM(M1705)-SUM(M1706)+SUM(M1707))*IF($H1628=TRUE,1,M$2517),0)))</f>
        <v/>
      </c>
      <c r="N1713" s="967" t="str">
        <f>IF(N1712="","",MAX(0,ROUND((SUM($M1628)*SUM(N1704)*SUM(N1708)*SUM(N1712)-SUM(N1705)-SUM(N1706)+SUM(N1707))*IF($H1628=TRUE,1,N$2517),0)))</f>
        <v/>
      </c>
      <c r="O1713" s="19"/>
      <c r="P1713" s="343"/>
      <c r="Q1713" s="343"/>
      <c r="R1713" s="343"/>
      <c r="S1713" s="343"/>
      <c r="T1713" s="343"/>
      <c r="U1713" s="349"/>
      <c r="V1713" s="349"/>
    </row>
    <row r="1714" spans="1:22" s="534" customFormat="1" ht="12.75" customHeight="1" x14ac:dyDescent="0.3">
      <c r="A1714" s="343"/>
      <c r="B1714" s="15"/>
      <c r="C1714" s="17"/>
      <c r="D1714" s="1386"/>
      <c r="E1714" s="514" t="str">
        <f>Translations!$B$1569</f>
        <v>Skillnad i tilldelning</v>
      </c>
      <c r="F1714" s="514"/>
      <c r="G1714" s="514"/>
      <c r="H1714" s="129" t="str">
        <f>EUconst_EUA</f>
        <v>EUA</v>
      </c>
      <c r="I1714" s="1151"/>
      <c r="J1714" s="1131" t="str">
        <f>IF(J1713="","",ABS(SUM(J1713)-SUM(J1645)))</f>
        <v/>
      </c>
      <c r="K1714" s="421" t="str">
        <f>IF(K1713="","",ABS(SUM(K1713)-SUM(K1645)))</f>
        <v/>
      </c>
      <c r="L1714" s="421" t="str">
        <f>IF(L1713="","",ABS(SUM(L1713)-SUM(L1645)))</f>
        <v/>
      </c>
      <c r="M1714" s="421" t="str">
        <f>IF(M1713="","",ABS(SUM(M1713)-SUM(M1645)))</f>
        <v/>
      </c>
      <c r="N1714" s="967" t="str">
        <f>IF(N1713="","",ABS(SUM(N1713)-SUM(N1645)))</f>
        <v/>
      </c>
      <c r="O1714" s="19"/>
      <c r="P1714" s="343"/>
      <c r="Q1714" s="343"/>
      <c r="R1714" s="343"/>
      <c r="S1714" s="343"/>
      <c r="T1714" s="343"/>
      <c r="U1714" s="349"/>
      <c r="V1714" s="349"/>
    </row>
    <row r="1715" spans="1:22" s="534" customFormat="1" ht="12.75" customHeight="1" x14ac:dyDescent="0.3">
      <c r="A1715" s="343"/>
      <c r="B1715" s="15"/>
      <c r="C1715" s="17"/>
      <c r="D1715" s="1386"/>
      <c r="E1715" s="1419" t="str">
        <f>Translations!$B$1582</f>
        <v>Kriterium 4e: Är skillnaden minst 100 utsläppsrätter?</v>
      </c>
      <c r="F1715" s="514"/>
      <c r="G1715" s="514"/>
      <c r="H1715" s="1424" t="s">
        <v>1112</v>
      </c>
      <c r="I1715" s="1425"/>
      <c r="J1715" s="1426" t="str">
        <f>IF(J1714="","",J1714&gt;=100)</f>
        <v/>
      </c>
      <c r="K1715" s="1427" t="str">
        <f>IF(K1714="","",K1714&gt;=100)</f>
        <v/>
      </c>
      <c r="L1715" s="1427" t="str">
        <f>IF(L1714="","",L1714&gt;=100)</f>
        <v/>
      </c>
      <c r="M1715" s="1427" t="str">
        <f>IF(M1714="","",M1714&gt;=100)</f>
        <v/>
      </c>
      <c r="N1715" s="1428" t="str">
        <f>IF(N1714="","",N1714&gt;=100)</f>
        <v/>
      </c>
      <c r="O1715" s="19"/>
      <c r="P1715" s="165" t="str">
        <f>EUconst_CNTR_100EUA_VCM&amp;I1652</f>
        <v>EUA100VCM_</v>
      </c>
      <c r="Q1715" s="343"/>
      <c r="R1715" s="343"/>
      <c r="S1715" s="343"/>
      <c r="T1715" s="343"/>
      <c r="U1715" s="349"/>
      <c r="V1715" s="349"/>
    </row>
    <row r="1716" spans="1:22" s="534" customFormat="1" ht="5.15" customHeight="1" x14ac:dyDescent="0.3">
      <c r="A1716" s="343"/>
      <c r="B1716" s="15"/>
      <c r="C1716" s="17"/>
      <c r="D1716" s="1386"/>
      <c r="E1716" s="15"/>
      <c r="F1716" s="15"/>
      <c r="G1716" s="15"/>
      <c r="H1716" s="15"/>
      <c r="I1716" s="941"/>
      <c r="J1716" s="15"/>
      <c r="K1716" s="15"/>
      <c r="L1716" s="15"/>
      <c r="M1716" s="15"/>
      <c r="N1716" s="968"/>
      <c r="O1716" s="19"/>
      <c r="P1716" s="343"/>
      <c r="Q1716" s="343"/>
      <c r="R1716" s="343"/>
      <c r="S1716" s="343"/>
      <c r="T1716" s="343"/>
      <c r="U1716" s="349"/>
      <c r="V1716" s="349"/>
    </row>
    <row r="1717" spans="1:22" s="534" customFormat="1" ht="12.75" customHeight="1" x14ac:dyDescent="0.3">
      <c r="A1717" s="343"/>
      <c r="B1717" s="15"/>
      <c r="C1717" s="17"/>
      <c r="D1717" s="1386"/>
      <c r="E1717" s="42" t="str">
        <f>Translations!$B$1583</f>
        <v>Ändringar: Facklad restgas</v>
      </c>
      <c r="F1717" s="188"/>
      <c r="G1717" s="188"/>
      <c r="H1717" s="30" t="str">
        <f>EUconst_Unit</f>
        <v>Enhet</v>
      </c>
      <c r="I1717" s="1157"/>
      <c r="J1717" s="1065">
        <f>J$2596</f>
        <v>2021</v>
      </c>
      <c r="K1717" s="350">
        <f>K$2596</f>
        <v>2022</v>
      </c>
      <c r="L1717" s="350">
        <f>L$2596</f>
        <v>2023</v>
      </c>
      <c r="M1717" s="350">
        <f>M$2596</f>
        <v>2024</v>
      </c>
      <c r="N1717" s="966">
        <f>N$2596</f>
        <v>2025</v>
      </c>
      <c r="O1717" s="19"/>
      <c r="P1717" s="343"/>
      <c r="Q1717" s="343"/>
      <c r="R1717" s="343"/>
      <c r="S1717" s="343"/>
      <c r="T1717" s="343"/>
      <c r="U1717" s="349"/>
      <c r="V1717" s="349"/>
    </row>
    <row r="1718" spans="1:22" s="534" customFormat="1" ht="12.75" hidden="1" customHeight="1" x14ac:dyDescent="0.3">
      <c r="A1718" s="343" t="str">
        <f>IF(P1718="","ausblenden","")</f>
        <v>ausblenden</v>
      </c>
      <c r="B1718" s="15"/>
      <c r="C1718" s="17"/>
      <c r="D1718" s="1386"/>
      <c r="E1718" s="514" t="s">
        <v>1918</v>
      </c>
      <c r="F1718" s="514"/>
      <c r="G1718" s="514"/>
      <c r="H1718" s="917" t="str">
        <f>H1704</f>
        <v>ton</v>
      </c>
      <c r="I1718" s="514"/>
      <c r="J1718" s="1152" t="str">
        <f>J1639</f>
        <v/>
      </c>
      <c r="K1718" s="943" t="str">
        <f t="shared" ref="K1718:K1719" si="326">J1734</f>
        <v/>
      </c>
      <c r="L1718" s="943" t="str">
        <f t="shared" ref="L1718:L1719" si="327">K1734</f>
        <v/>
      </c>
      <c r="M1718" s="943" t="str">
        <f t="shared" ref="M1718:M1719" si="328">L1734</f>
        <v/>
      </c>
      <c r="N1718" s="1389" t="str">
        <f t="shared" ref="N1718:N1719" si="329">M1734</f>
        <v/>
      </c>
      <c r="O1718" s="19"/>
      <c r="P1718" s="343"/>
      <c r="Q1718" s="343"/>
      <c r="R1718" s="343"/>
      <c r="S1718" s="343"/>
      <c r="T1718" s="343"/>
      <c r="U1718" s="349"/>
      <c r="V1718" s="349"/>
    </row>
    <row r="1719" spans="1:22" s="534" customFormat="1" ht="12.75" hidden="1" customHeight="1" x14ac:dyDescent="0.3">
      <c r="A1719" s="343" t="str">
        <f>IF(P1719="","ausblenden","")</f>
        <v>ausblenden</v>
      </c>
      <c r="B1719" s="15"/>
      <c r="C1719" s="17"/>
      <c r="D1719" s="1386"/>
      <c r="E1719" s="944" t="s">
        <v>339</v>
      </c>
      <c r="F1719" s="944"/>
      <c r="G1719" s="944"/>
      <c r="H1719" s="954" t="str">
        <f>EUconst_EUA</f>
        <v>EUA</v>
      </c>
      <c r="I1719" s="945"/>
      <c r="J1719" s="1209" t="str">
        <f>J1640</f>
        <v/>
      </c>
      <c r="K1719" s="1210" t="str">
        <f t="shared" si="326"/>
        <v/>
      </c>
      <c r="L1719" s="1210" t="str">
        <f t="shared" si="327"/>
        <v/>
      </c>
      <c r="M1719" s="1210" t="str">
        <f t="shared" si="328"/>
        <v/>
      </c>
      <c r="N1719" s="1390" t="str">
        <f t="shared" si="329"/>
        <v/>
      </c>
      <c r="O1719" s="19"/>
      <c r="P1719" s="343"/>
      <c r="Q1719" s="343"/>
      <c r="R1719" s="343"/>
      <c r="S1719" s="343"/>
      <c r="T1719" s="343"/>
      <c r="U1719" s="349"/>
      <c r="V1719" s="349"/>
    </row>
    <row r="1720" spans="1:22" s="534" customFormat="1" ht="12.75" customHeight="1" x14ac:dyDescent="0.3">
      <c r="A1720" s="343"/>
      <c r="B1720" s="15"/>
      <c r="C1720" s="17"/>
      <c r="D1720" s="1386"/>
      <c r="E1720" s="944" t="str">
        <f>Translations!$B$1482</f>
        <v>Genomsnittligt årligt värde</v>
      </c>
      <c r="F1720" s="944"/>
      <c r="G1720" s="944"/>
      <c r="H1720" s="627" t="str">
        <f>EUconst_tCO2</f>
        <v>t CO2</v>
      </c>
      <c r="I1720" s="945"/>
      <c r="J1720" s="1161" t="str">
        <f>INDEX(F_ProductBM!J:J,MATCH($P1720,F_ProductBM!$Q:$Q,0))</f>
        <v/>
      </c>
      <c r="K1720" s="946" t="str">
        <f>INDEX(F_ProductBM!K:K,MATCH($P1720,F_ProductBM!$Q:$Q,0))</f>
        <v/>
      </c>
      <c r="L1720" s="946" t="str">
        <f>INDEX(F_ProductBM!L:L,MATCH($P1720,F_ProductBM!$Q:$Q,0))</f>
        <v/>
      </c>
      <c r="M1720" s="946" t="str">
        <f>INDEX(F_ProductBM!M:M,MATCH($P1720,F_ProductBM!$Q:$Q,0))</f>
        <v/>
      </c>
      <c r="N1720" s="1046" t="str">
        <f>INDEX(F_ProductBM!N:N,MATCH($P1720,F_ProductBM!$Q:$Q,0))</f>
        <v/>
      </c>
      <c r="O1720" s="19"/>
      <c r="P1720" s="165" t="str">
        <f>EUconst_CNTR_HALinitial &amp; EUconst_CNTR_WGFlared &amp; I1625</f>
        <v>HALini_WasteGasFlare_</v>
      </c>
      <c r="Q1720" s="343"/>
      <c r="R1720" s="343"/>
      <c r="S1720" s="343"/>
      <c r="T1720" s="343"/>
      <c r="U1720" s="349"/>
      <c r="V1720" s="349"/>
    </row>
    <row r="1721" spans="1:22" s="534" customFormat="1" ht="12.75" customHeight="1" x14ac:dyDescent="0.3">
      <c r="A1721" s="343"/>
      <c r="B1721" s="15"/>
      <c r="C1721" s="17"/>
      <c r="D1721" s="1386"/>
      <c r="E1721" s="947" t="str">
        <f>Translations!$B$1571</f>
        <v>Ändring jämfört med värde enligt nationella genomförandeåtgärder</v>
      </c>
      <c r="F1721" s="947"/>
      <c r="G1721" s="947"/>
      <c r="H1721" s="1442" t="s">
        <v>1112</v>
      </c>
      <c r="I1721" s="1371"/>
      <c r="J1721" s="1415" t="str">
        <f>INDEX(F_ProductBM!J:J,MATCH($P1721,F_ProductBM!$Q:$Q,0))</f>
        <v/>
      </c>
      <c r="K1721" s="1416" t="str">
        <f>INDEX(F_ProductBM!K:K,MATCH($P1721,F_ProductBM!$Q:$Q,0))</f>
        <v/>
      </c>
      <c r="L1721" s="1416" t="str">
        <f>INDEX(F_ProductBM!L:L,MATCH($P1721,F_ProductBM!$Q:$Q,0))</f>
        <v/>
      </c>
      <c r="M1721" s="1416" t="str">
        <f>INDEX(F_ProductBM!M:M,MATCH($P1721,F_ProductBM!$Q:$Q,0))</f>
        <v/>
      </c>
      <c r="N1721" s="1417" t="str">
        <f>INDEX(F_ProductBM!N:N,MATCH($P1721,F_ProductBM!$Q:$Q,0))</f>
        <v/>
      </c>
      <c r="O1721" s="19"/>
      <c r="P1721" s="165" t="str">
        <f>EUconst_CNTR_RelThreshold &amp; P1723</f>
        <v>RelThresh_HALprelim_WasteGasFlare_</v>
      </c>
      <c r="Q1721" s="343"/>
      <c r="R1721" s="343"/>
      <c r="S1721" s="343"/>
      <c r="T1721" s="343"/>
      <c r="U1721" s="349"/>
      <c r="V1721" s="349"/>
    </row>
    <row r="1722" spans="1:22" s="534" customFormat="1" ht="12.75" customHeight="1" x14ac:dyDescent="0.3">
      <c r="A1722" s="343"/>
      <c r="B1722" s="15"/>
      <c r="C1722" s="17"/>
      <c r="D1722" s="1386"/>
      <c r="E1722" s="1418" t="str">
        <f>Translations!$B$1584</f>
        <v>Kriterium 3f: Har relativa tröskelvärden överskridits?</v>
      </c>
      <c r="F1722" s="1418"/>
      <c r="G1722" s="1418"/>
      <c r="H1722" s="1444" t="s">
        <v>1112</v>
      </c>
      <c r="I1722" s="1423"/>
      <c r="J1722" s="1420" t="str">
        <f>INDEX(F_ProductBM!V:V,MATCH($P1722,F_ProductBM!$Q:$Q,0))</f>
        <v/>
      </c>
      <c r="K1722" s="1421" t="str">
        <f>INDEX(F_ProductBM!W:W,MATCH($P1722,F_ProductBM!$Q:$Q,0))</f>
        <v/>
      </c>
      <c r="L1722" s="1421" t="str">
        <f>INDEX(F_ProductBM!X:X,MATCH($P1722,F_ProductBM!$Q:$Q,0))</f>
        <v/>
      </c>
      <c r="M1722" s="1421" t="str">
        <f>INDEX(F_ProductBM!Y:Y,MATCH($P1722,F_ProductBM!$Q:$Q,0))</f>
        <v/>
      </c>
      <c r="N1722" s="1422" t="str">
        <f>INDEX(F_ProductBM!Z:Z,MATCH($P1722,F_ProductBM!$Q:$Q,0))</f>
        <v/>
      </c>
      <c r="O1722" s="19"/>
      <c r="P1722" s="165" t="str">
        <f>P1721</f>
        <v>RelThresh_HALprelim_WasteGasFlare_</v>
      </c>
      <c r="Q1722" s="343"/>
      <c r="R1722" s="343"/>
      <c r="S1722" s="343"/>
      <c r="T1722" s="343"/>
      <c r="U1722" s="349"/>
      <c r="V1722" s="349"/>
    </row>
    <row r="1723" spans="1:22" s="534" customFormat="1" ht="12.75" customHeight="1" x14ac:dyDescent="0.3">
      <c r="A1723" s="343" t="str">
        <f>IF(P1723="","ausblenden","")</f>
        <v/>
      </c>
      <c r="B1723" s="15"/>
      <c r="C1723" s="17"/>
      <c r="D1723" s="1386"/>
      <c r="E1723" s="950" t="str">
        <f>Translations!$B$1568</f>
        <v>Preliminärt värde</v>
      </c>
      <c r="F1723" s="950"/>
      <c r="G1723" s="950"/>
      <c r="H1723" s="957" t="str">
        <f>EUconst_tCO2</f>
        <v>t CO2</v>
      </c>
      <c r="I1723" s="951"/>
      <c r="J1723" s="1373" t="str">
        <f>IF(OR($I1625="",CNTR_SubPeriod=1),"",INDEX(F_ProductBM!J:J,MATCH($P1723,F_ProductBM!$Q:$Q,0)))</f>
        <v/>
      </c>
      <c r="K1723" s="1374" t="str">
        <f>IF(OR($I1625="",CNTR_SubPeriod=1),"",INDEX(F_ProductBM!K:K,MATCH($P1723,F_ProductBM!$Q:$Q,0)))</f>
        <v/>
      </c>
      <c r="L1723" s="1374" t="str">
        <f>IF(OR($I1625="",CNTR_SubPeriod=1),"",INDEX(F_ProductBM!L:L,MATCH($P1723,F_ProductBM!$Q:$Q,0)))</f>
        <v/>
      </c>
      <c r="M1723" s="1374" t="str">
        <f>IF(OR($I1625="",CNTR_SubPeriod=1),"",INDEX(F_ProductBM!M:M,MATCH($P1723,F_ProductBM!$Q:$Q,0)))</f>
        <v/>
      </c>
      <c r="N1723" s="1395" t="str">
        <f>IF(OR($I1625="",CNTR_SubPeriod=1),"",INDEX(F_ProductBM!N:N,MATCH($P1723,F_ProductBM!$Q:$Q,0)))</f>
        <v/>
      </c>
      <c r="O1723" s="19"/>
      <c r="P1723" s="165" t="str">
        <f>EUconst_CNTR_HALprelim&amp;EUconst_CNTR_WGFlared&amp;$I1625</f>
        <v>HALprelim_WasteGasFlare_</v>
      </c>
      <c r="Q1723" s="343"/>
      <c r="R1723" s="343"/>
      <c r="S1723" s="343"/>
      <c r="T1723" s="343"/>
      <c r="U1723" s="349"/>
      <c r="V1723" s="349"/>
    </row>
    <row r="1724" spans="1:22" s="534" customFormat="1" ht="12.75" hidden="1" customHeight="1" x14ac:dyDescent="0.3">
      <c r="A1724" s="343" t="str">
        <f>IF(P1724="","ausblenden","")</f>
        <v>ausblenden</v>
      </c>
      <c r="B1724" s="15"/>
      <c r="C1724" s="17"/>
      <c r="D1724" s="1386"/>
      <c r="E1724" s="947" t="s">
        <v>1527</v>
      </c>
      <c r="F1724" s="947"/>
      <c r="G1724" s="947"/>
      <c r="H1724" s="955" t="str">
        <f>EUconst_EUA</f>
        <v>EUA</v>
      </c>
      <c r="I1724" s="948"/>
      <c r="J1724" s="1165" t="str">
        <f>J1642</f>
        <v/>
      </c>
      <c r="K1724" s="975" t="str">
        <f t="shared" ref="K1724:K1726" si="330">J1737</f>
        <v/>
      </c>
      <c r="L1724" s="975" t="str">
        <f t="shared" ref="L1724:L1726" si="331">K1737</f>
        <v/>
      </c>
      <c r="M1724" s="975" t="str">
        <f t="shared" ref="M1724:M1726" si="332">L1737</f>
        <v/>
      </c>
      <c r="N1724" s="1391" t="str">
        <f t="shared" ref="N1724:N1726" si="333">M1737</f>
        <v/>
      </c>
      <c r="O1724" s="19"/>
      <c r="P1724" s="343"/>
      <c r="Q1724" s="343"/>
      <c r="R1724" s="343"/>
      <c r="S1724" s="343"/>
      <c r="T1724" s="343"/>
      <c r="U1724" s="349"/>
      <c r="V1724" s="349"/>
    </row>
    <row r="1725" spans="1:22" s="534" customFormat="1" ht="12.75" hidden="1" customHeight="1" x14ac:dyDescent="0.3">
      <c r="A1725" s="343" t="str">
        <f>IF(P1725="","ausblenden","")</f>
        <v>ausblenden</v>
      </c>
      <c r="B1725" s="15"/>
      <c r="C1725" s="17"/>
      <c r="D1725" s="1386"/>
      <c r="E1725" s="947" t="s">
        <v>1526</v>
      </c>
      <c r="F1725" s="947"/>
      <c r="G1725" s="947"/>
      <c r="H1725" s="956" t="s">
        <v>1112</v>
      </c>
      <c r="I1725" s="948"/>
      <c r="J1725" s="1211" t="str">
        <f>J1643</f>
        <v/>
      </c>
      <c r="K1725" s="1212" t="str">
        <f t="shared" si="330"/>
        <v/>
      </c>
      <c r="L1725" s="1212" t="str">
        <f t="shared" si="331"/>
        <v/>
      </c>
      <c r="M1725" s="1212" t="str">
        <f t="shared" si="332"/>
        <v/>
      </c>
      <c r="N1725" s="1392" t="str">
        <f t="shared" si="333"/>
        <v/>
      </c>
      <c r="O1725" s="19"/>
      <c r="P1725" s="343"/>
      <c r="Q1725" s="343"/>
      <c r="R1725" s="343"/>
      <c r="S1725" s="343"/>
      <c r="T1725" s="343"/>
      <c r="U1725" s="349"/>
      <c r="V1725" s="349"/>
    </row>
    <row r="1726" spans="1:22" s="534" customFormat="1" ht="12.75" hidden="1" customHeight="1" x14ac:dyDescent="0.3">
      <c r="A1726" s="343" t="str">
        <f>IF(P1726="","ausblenden","")</f>
        <v>ausblenden</v>
      </c>
      <c r="B1726" s="15"/>
      <c r="C1726" s="17"/>
      <c r="D1726" s="1386"/>
      <c r="E1726" s="950" t="s">
        <v>1528</v>
      </c>
      <c r="F1726" s="950"/>
      <c r="G1726" s="950"/>
      <c r="H1726" s="957" t="s">
        <v>1112</v>
      </c>
      <c r="I1726" s="951"/>
      <c r="J1726" s="1213" t="str">
        <f>J1644</f>
        <v/>
      </c>
      <c r="K1726" s="1214" t="str">
        <f t="shared" si="330"/>
        <v/>
      </c>
      <c r="L1726" s="1214" t="str">
        <f t="shared" si="331"/>
        <v/>
      </c>
      <c r="M1726" s="1214" t="str">
        <f t="shared" si="332"/>
        <v/>
      </c>
      <c r="N1726" s="1393" t="str">
        <f t="shared" si="333"/>
        <v/>
      </c>
      <c r="O1726" s="19"/>
      <c r="P1726" s="343"/>
      <c r="Q1726" s="343"/>
      <c r="R1726" s="343"/>
      <c r="S1726" s="343"/>
      <c r="T1726" s="343"/>
      <c r="U1726" s="349"/>
      <c r="V1726" s="349"/>
    </row>
    <row r="1727" spans="1:22" s="534" customFormat="1" ht="12.75" customHeight="1" x14ac:dyDescent="0.3">
      <c r="A1727" s="343"/>
      <c r="B1727" s="15"/>
      <c r="C1727" s="17"/>
      <c r="D1727" s="1386"/>
      <c r="E1727" s="514" t="str">
        <f>Translations!$B$1565</f>
        <v>Preliminärt tilldelningsvärde</v>
      </c>
      <c r="F1727" s="514"/>
      <c r="G1727" s="514"/>
      <c r="H1727" s="129" t="str">
        <f>EUconst_EUA</f>
        <v>EUA</v>
      </c>
      <c r="I1727" s="1151"/>
      <c r="J1727" s="1131" t="str">
        <f>IF(J1723="","",MAX(0,ROUND((SUM($M1628)*SUM(J1718)*SUM(J1725)*SUM(J1726)-SUM(J1719)-SUM(J1723)+SUM(J1724))*IF($H1628=TRUE,1,J$2517),0)))</f>
        <v/>
      </c>
      <c r="K1727" s="421" t="str">
        <f>IF(K1723="","",MAX(0,ROUND((SUM($M1628)*SUM(K1718)*SUM(K1725)*SUM(K1726)-SUM(K1719)-SUM(K1723)+SUM(K1724))*IF($H1628=TRUE,1,K$2517),0)))</f>
        <v/>
      </c>
      <c r="L1727" s="421" t="str">
        <f>IF(L1723="","",MAX(0,ROUND((SUM($M1628)*SUM(L1718)*SUM(L1725)*SUM(L1726)-SUM(L1719)-SUM(L1723)+SUM(L1724))*IF($H1628=TRUE,1,L$2517),0)))</f>
        <v/>
      </c>
      <c r="M1727" s="421" t="str">
        <f>IF(M1723="","",MAX(0,ROUND((SUM($M1628)*SUM(M1718)*SUM(M1725)*SUM(M1726)-SUM(M1719)-SUM(M1723)+SUM(M1724))*IF($H1628=TRUE,1,M$2517),0)))</f>
        <v/>
      </c>
      <c r="N1727" s="967" t="str">
        <f>IF(N1723="","",MAX(0,ROUND((SUM($M1628)*SUM(N1718)*SUM(N1725)*SUM(N1726)-SUM(N1719)-SUM(N1723)+SUM(N1724))*IF($H1628=TRUE,1,N$2517),0)))</f>
        <v/>
      </c>
      <c r="O1727" s="19"/>
      <c r="P1727" s="343"/>
      <c r="Q1727" s="343"/>
      <c r="R1727" s="343"/>
      <c r="S1727" s="343"/>
      <c r="T1727" s="343"/>
      <c r="U1727" s="349"/>
      <c r="V1727" s="349"/>
    </row>
    <row r="1728" spans="1:22" s="534" customFormat="1" ht="12.75" customHeight="1" x14ac:dyDescent="0.3">
      <c r="A1728" s="343"/>
      <c r="B1728" s="15"/>
      <c r="C1728" s="17"/>
      <c r="D1728" s="1386"/>
      <c r="E1728" s="514" t="str">
        <f>Translations!$B$1569</f>
        <v>Skillnad i tilldelning</v>
      </c>
      <c r="F1728" s="514"/>
      <c r="G1728" s="514"/>
      <c r="H1728" s="129" t="str">
        <f>EUconst_EUA</f>
        <v>EUA</v>
      </c>
      <c r="I1728" s="1151"/>
      <c r="J1728" s="1131" t="str">
        <f>IF(J1727="","",ABS(SUM(J1727)-SUM(J1645)))</f>
        <v/>
      </c>
      <c r="K1728" s="421" t="str">
        <f>IF(K1727="","",ABS(SUM(K1727)-SUM(K1645)))</f>
        <v/>
      </c>
      <c r="L1728" s="421" t="str">
        <f>IF(L1727="","",ABS(SUM(L1727)-SUM(L1645)))</f>
        <v/>
      </c>
      <c r="M1728" s="421" t="str">
        <f>IF(M1727="","",ABS(SUM(M1727)-SUM(M1645)))</f>
        <v/>
      </c>
      <c r="N1728" s="967" t="str">
        <f>IF(N1727="","",ABS(SUM(N1727)-SUM(N1645)))</f>
        <v/>
      </c>
      <c r="O1728" s="19"/>
      <c r="P1728" s="343"/>
      <c r="Q1728" s="343"/>
      <c r="R1728" s="343"/>
      <c r="S1728" s="343"/>
      <c r="T1728" s="343"/>
      <c r="U1728" s="349"/>
      <c r="V1728" s="349"/>
    </row>
    <row r="1729" spans="1:22" s="534" customFormat="1" ht="12.75" customHeight="1" x14ac:dyDescent="0.3">
      <c r="A1729" s="343"/>
      <c r="B1729" s="15"/>
      <c r="C1729" s="17"/>
      <c r="D1729" s="1386"/>
      <c r="E1729" s="1419" t="str">
        <f>Translations!$B$1585</f>
        <v>Kriterium 4f: Är skillnaden minst 100 utsläppsrätter?</v>
      </c>
      <c r="F1729" s="514"/>
      <c r="G1729" s="514"/>
      <c r="H1729" s="1424" t="s">
        <v>1112</v>
      </c>
      <c r="I1729" s="1425"/>
      <c r="J1729" s="1426" t="str">
        <f>IF(J1728="","",J1728&gt;=100)</f>
        <v/>
      </c>
      <c r="K1729" s="1427" t="str">
        <f>IF(K1728="","",K1728&gt;=100)</f>
        <v/>
      </c>
      <c r="L1729" s="1427" t="str">
        <f>IF(L1728="","",L1728&gt;=100)</f>
        <v/>
      </c>
      <c r="M1729" s="1427" t="str">
        <f>IF(M1728="","",M1728&gt;=100)</f>
        <v/>
      </c>
      <c r="N1729" s="1428" t="str">
        <f>IF(N1728="","",N1728&gt;=100)</f>
        <v/>
      </c>
      <c r="O1729" s="19"/>
      <c r="P1729" s="165" t="str">
        <f>EUconst_CNTR_100EUA_WGFlare&amp;I1625</f>
        <v>EUA100WGFlare_</v>
      </c>
      <c r="Q1729" s="343"/>
      <c r="R1729" s="343"/>
      <c r="S1729" s="343"/>
      <c r="T1729" s="343"/>
      <c r="U1729" s="349"/>
      <c r="V1729" s="349"/>
    </row>
    <row r="1730" spans="1:22" s="534" customFormat="1" ht="12.75" customHeight="1" thickBot="1" x14ac:dyDescent="0.35">
      <c r="A1730" s="343"/>
      <c r="B1730" s="15"/>
      <c r="C1730" s="17"/>
      <c r="D1730" s="1398"/>
      <c r="E1730" s="973"/>
      <c r="F1730" s="973"/>
      <c r="G1730" s="973"/>
      <c r="H1730" s="973"/>
      <c r="I1730" s="1399"/>
      <c r="J1730" s="973"/>
      <c r="K1730" s="973"/>
      <c r="L1730" s="973"/>
      <c r="M1730" s="973"/>
      <c r="N1730" s="974"/>
      <c r="O1730" s="19"/>
      <c r="P1730" s="343"/>
      <c r="Q1730" s="343"/>
      <c r="R1730" s="343"/>
      <c r="S1730" s="343"/>
      <c r="T1730" s="343"/>
      <c r="U1730" s="349"/>
      <c r="V1730" s="349"/>
    </row>
    <row r="1731" spans="1:22" s="534" customFormat="1" ht="5.15" customHeight="1" thickBot="1" x14ac:dyDescent="0.35">
      <c r="A1731" s="343"/>
      <c r="B1731" s="15"/>
      <c r="C1731" s="17"/>
      <c r="D1731" s="17"/>
      <c r="E1731" s="15"/>
      <c r="F1731" s="15"/>
      <c r="G1731" s="15"/>
      <c r="H1731" s="15"/>
      <c r="I1731" s="941"/>
      <c r="J1731" s="15"/>
      <c r="K1731" s="15"/>
      <c r="L1731" s="15"/>
      <c r="M1731" s="15"/>
      <c r="N1731" s="15"/>
      <c r="O1731" s="19"/>
      <c r="P1731" s="343"/>
      <c r="Q1731" s="343"/>
      <c r="R1731" s="343"/>
      <c r="S1731" s="343"/>
      <c r="T1731" s="343"/>
      <c r="U1731" s="349"/>
      <c r="V1731" s="349"/>
    </row>
    <row r="1732" spans="1:22" s="534" customFormat="1" ht="5.15" customHeight="1" x14ac:dyDescent="0.25">
      <c r="A1732" s="343"/>
      <c r="B1732" s="15"/>
      <c r="C1732" s="15"/>
      <c r="D1732" s="961"/>
      <c r="E1732" s="962"/>
      <c r="F1732" s="962"/>
      <c r="G1732" s="962"/>
      <c r="H1732" s="962"/>
      <c r="I1732" s="963"/>
      <c r="J1732" s="962"/>
      <c r="K1732" s="962"/>
      <c r="L1732" s="962"/>
      <c r="M1732" s="962"/>
      <c r="N1732" s="964"/>
      <c r="O1732" s="19"/>
      <c r="P1732" s="343"/>
      <c r="Q1732" s="343"/>
      <c r="R1732" s="343"/>
      <c r="S1732" s="343"/>
      <c r="T1732" s="7"/>
      <c r="U1732" s="349"/>
      <c r="V1732" s="349"/>
    </row>
    <row r="1733" spans="1:22" s="534" customFormat="1" ht="13" x14ac:dyDescent="0.25">
      <c r="A1733" s="343"/>
      <c r="B1733" s="15"/>
      <c r="C1733" s="15"/>
      <c r="D1733" s="965"/>
      <c r="E1733" s="39" t="str">
        <f>Translations!$B$1586</f>
        <v>Faktiska använda värden</v>
      </c>
      <c r="F1733" s="15"/>
      <c r="G1733" s="15"/>
      <c r="H1733" s="30" t="str">
        <f>EUconst_Unit</f>
        <v>Enhet</v>
      </c>
      <c r="I1733" s="1614" t="str">
        <f>Translations!$B$1510</f>
        <v>Basvärde</v>
      </c>
      <c r="J1733" s="1065">
        <f>J$2596</f>
        <v>2021</v>
      </c>
      <c r="K1733" s="350">
        <f>K$2596</f>
        <v>2022</v>
      </c>
      <c r="L1733" s="350">
        <f>L$2596</f>
        <v>2023</v>
      </c>
      <c r="M1733" s="350">
        <f>M$2596</f>
        <v>2024</v>
      </c>
      <c r="N1733" s="966">
        <f>N$2596</f>
        <v>2025</v>
      </c>
      <c r="O1733" s="19"/>
      <c r="P1733" s="343"/>
      <c r="Q1733" s="343"/>
      <c r="R1733" s="343"/>
      <c r="S1733" s="297" t="s">
        <v>1846</v>
      </c>
      <c r="T1733" s="7"/>
      <c r="U1733" s="349"/>
      <c r="V1733" s="349"/>
    </row>
    <row r="1734" spans="1:22" s="534" customFormat="1" x14ac:dyDescent="0.25">
      <c r="A1734" s="343"/>
      <c r="B1734" s="15"/>
      <c r="C1734" s="15"/>
      <c r="D1734" s="965"/>
      <c r="E1734" s="944" t="str">
        <f>Translations!$B$1587</f>
        <v>Verksamhetsnivå</v>
      </c>
      <c r="F1734" s="944"/>
      <c r="G1734" s="944"/>
      <c r="H1734" s="1443" t="str">
        <f>H1718</f>
        <v>ton</v>
      </c>
      <c r="I1734" s="1615" t="str">
        <f>IF($I1625="","",IF(T1740&gt;=$H$2595,0,S1734))</f>
        <v/>
      </c>
      <c r="J1734" s="1161" t="str">
        <f>IF($I1625="","",INDEX(F_ProductBM!J:J,MATCH($P1734,F_ProductBM!$Q:$Q,0)))</f>
        <v/>
      </c>
      <c r="K1734" s="946" t="str">
        <f>IF($I1625="","",INDEX(F_ProductBM!K:K,MATCH($P1734,F_ProductBM!$Q:$Q,0)))</f>
        <v/>
      </c>
      <c r="L1734" s="946" t="str">
        <f>IF($I1625="","",INDEX(F_ProductBM!L:L,MATCH($P1734,F_ProductBM!$Q:$Q,0)))</f>
        <v/>
      </c>
      <c r="M1734" s="946" t="str">
        <f>IF($I1625="","",INDEX(F_ProductBM!M:M,MATCH($P1734,F_ProductBM!$Q:$Q,0)))</f>
        <v/>
      </c>
      <c r="N1734" s="1046" t="str">
        <f>IF($I1625="","",INDEX(F_ProductBM!N:N,MATCH($P1734,F_ProductBM!$Q:$Q,0)))</f>
        <v/>
      </c>
      <c r="O1734" s="19"/>
      <c r="P1734" s="165" t="str">
        <f>EUconst_CNTR_HALfinal&amp;I1625</f>
        <v>HALfinal_</v>
      </c>
      <c r="Q1734" s="343"/>
      <c r="R1734" s="343"/>
      <c r="S1734" s="1691" t="str">
        <f>IF($I1625="","",INDEX(F_ProductBM!I:I,MATCH($P1734,F_ProductBM!$Q:$Q,0)))</f>
        <v/>
      </c>
      <c r="T1734" s="7"/>
      <c r="U1734" s="349"/>
      <c r="V1734" s="349"/>
    </row>
    <row r="1735" spans="1:22" s="534" customFormat="1" x14ac:dyDescent="0.25">
      <c r="A1735" s="343"/>
      <c r="B1735" s="15"/>
      <c r="C1735" s="15"/>
      <c r="D1735" s="965"/>
      <c r="E1735" s="1376" t="str">
        <f>Translations!$B$1036</f>
        <v>Värme utanför ETS</v>
      </c>
      <c r="F1735" s="1376"/>
      <c r="G1735" s="1376"/>
      <c r="H1735" s="1429" t="str">
        <f>EUconst_EUA</f>
        <v>EUA</v>
      </c>
      <c r="I1735" s="1616" t="str">
        <f>IF($I1625="","",IF(YEAR(J1628)&gt;=$H$2595-1,0,S1735))</f>
        <v/>
      </c>
      <c r="J1735" s="1430" t="str">
        <f>IF($I1625="","",INDEX(F_ProductBM!J:J,MATCH($P1735,F_ProductBM!$Q:$Q,0)))</f>
        <v/>
      </c>
      <c r="K1735" s="1431" t="str">
        <f>IF($I1625="","",INDEX(F_ProductBM!K:K,MATCH($P1735,F_ProductBM!$Q:$Q,0)))</f>
        <v/>
      </c>
      <c r="L1735" s="1431" t="str">
        <f>IF($I1625="","",INDEX(F_ProductBM!L:L,MATCH($P1735,F_ProductBM!$Q:$Q,0)))</f>
        <v/>
      </c>
      <c r="M1735" s="1431" t="str">
        <f>IF($I1625="","",INDEX(F_ProductBM!M:M,MATCH($P1735,F_ProductBM!$Q:$Q,0)))</f>
        <v/>
      </c>
      <c r="N1735" s="1432" t="str">
        <f>IF($I1625="","",INDEX(F_ProductBM!N:N,MATCH($P1735,F_ProductBM!$Q:$Q,0)))</f>
        <v/>
      </c>
      <c r="O1735" s="19"/>
      <c r="P1735" s="165" t="str">
        <f>EUconst_CNTR_HEATfinal&amp;I1625</f>
        <v>HEATfinal_</v>
      </c>
      <c r="Q1735" s="343"/>
      <c r="R1735" s="343"/>
      <c r="S1735" s="1692" t="str">
        <f>IF($I1625="","",INDEX(F_ProductBM!I:I,MATCH($P1735,F_ProductBM!$Q:$Q,0)))</f>
        <v/>
      </c>
      <c r="T1735" s="7"/>
      <c r="U1735" s="349"/>
      <c r="V1735" s="349"/>
    </row>
    <row r="1736" spans="1:22" s="534" customFormat="1" x14ac:dyDescent="0.25">
      <c r="A1736" s="343"/>
      <c r="B1736" s="15"/>
      <c r="C1736" s="15"/>
      <c r="D1736" s="965"/>
      <c r="E1736" s="947" t="str">
        <f>Translations!$B$1038</f>
        <v>Wgfacklad</v>
      </c>
      <c r="F1736" s="947"/>
      <c r="G1736" s="947"/>
      <c r="H1736" s="955" t="str">
        <f>EUconst_EUA</f>
        <v>EUA</v>
      </c>
      <c r="I1736" s="1617" t="str">
        <f>IF($I1625="","",IF(T1740&gt;=$H$2595,0,S1736))</f>
        <v/>
      </c>
      <c r="J1736" s="1162" t="str">
        <f>IF($I1625="","",INDEX(F_ProductBM!J:J,MATCH($P1736,F_ProductBM!$Q:$Q,0)))</f>
        <v/>
      </c>
      <c r="K1736" s="949" t="str">
        <f>IF($I1625="","",INDEX(F_ProductBM!K:K,MATCH($P1736,F_ProductBM!$Q:$Q,0)))</f>
        <v/>
      </c>
      <c r="L1736" s="949" t="str">
        <f>IF($I1625="","",INDEX(F_ProductBM!L:L,MATCH($P1736,F_ProductBM!$Q:$Q,0)))</f>
        <v/>
      </c>
      <c r="M1736" s="949" t="str">
        <f>IF($I1625="","",INDEX(F_ProductBM!M:M,MATCH($P1736,F_ProductBM!$Q:$Q,0)))</f>
        <v/>
      </c>
      <c r="N1736" s="969" t="str">
        <f>IF($I1625="","",INDEX(F_ProductBM!N:N,MATCH($P1736,F_ProductBM!$Q:$Q,0)))</f>
        <v/>
      </c>
      <c r="O1736" s="19"/>
      <c r="P1736" s="165" t="str">
        <f>EUconst_CNTR_HALfinal&amp;EUconst_CNTR_WGFlared&amp;$I1625</f>
        <v>HALfinal_WasteGasFlare_</v>
      </c>
      <c r="Q1736" s="343"/>
      <c r="R1736" s="343"/>
      <c r="S1736" s="1693" t="str">
        <f>IF($I1625="","",INDEX(F_ProductBM!I:I,MATCH($P1736,F_ProductBM!$Q:$Q,0)))</f>
        <v/>
      </c>
      <c r="T1736" s="7"/>
      <c r="U1736" s="349"/>
      <c r="V1736" s="349"/>
    </row>
    <row r="1737" spans="1:22" s="534" customFormat="1" x14ac:dyDescent="0.25">
      <c r="A1737" s="343"/>
      <c r="B1737" s="15"/>
      <c r="C1737" s="15"/>
      <c r="D1737" s="965"/>
      <c r="E1737" s="947" t="s">
        <v>1527</v>
      </c>
      <c r="F1737" s="947"/>
      <c r="G1737" s="947"/>
      <c r="H1737" s="955" t="str">
        <f>EUconst_EUA</f>
        <v>EUA</v>
      </c>
      <c r="I1737" s="1617" t="str">
        <f>IF($I1625="","",IF(T1740&gt;=$H$2595,0,IF(L1628=42,S1737,0)))</f>
        <v/>
      </c>
      <c r="J1737" s="1162" t="str">
        <f>IF($I1625="","",IF($L1628=42,INDEX(H_SpecialBM!J:J,MATCH($P1737,H_SpecialBM!$Q:$Q,0)),0))</f>
        <v/>
      </c>
      <c r="K1737" s="949" t="str">
        <f>IF($I1625="","",IF($L1628=42,INDEX(H_SpecialBM!K:K,MATCH($P1737,H_SpecialBM!$Q:$Q,0)),0))</f>
        <v/>
      </c>
      <c r="L1737" s="949" t="str">
        <f>IF($I1625="","",IF($L1628=42,INDEX(H_SpecialBM!L:L,MATCH($P1737,H_SpecialBM!$Q:$Q,0)),0))</f>
        <v/>
      </c>
      <c r="M1737" s="949" t="str">
        <f>IF($I1625="","",IF($L1628=42,INDEX(H_SpecialBM!M:M,MATCH($P1737,H_SpecialBM!$Q:$Q,0)),0))</f>
        <v/>
      </c>
      <c r="N1737" s="969" t="str">
        <f>IF($I1625="","",IF($L1628=42,INDEX(H_SpecialBM!N:N,MATCH($P1737,H_SpecialBM!$Q:$Q,0)),0))</f>
        <v/>
      </c>
      <c r="O1737" s="19"/>
      <c r="P1737" s="165" t="str">
        <f>EUconst_CNTR_HVCfinal</f>
        <v>HVCfinal_</v>
      </c>
      <c r="Q1737" s="343"/>
      <c r="R1737" s="343"/>
      <c r="S1737" s="1693" t="str">
        <f>IF($I1625="","",IF(L1628=42,INDEX(H_SpecialBM!I:I,MATCH($P1737,H_SpecialBM!$Q:$Q,0)),0))</f>
        <v/>
      </c>
      <c r="T1737" s="7"/>
      <c r="U1737" s="349"/>
      <c r="V1737" s="349"/>
    </row>
    <row r="1738" spans="1:22" s="534" customFormat="1" x14ac:dyDescent="0.25">
      <c r="A1738" s="343"/>
      <c r="B1738" s="15"/>
      <c r="C1738" s="15"/>
      <c r="D1738" s="965"/>
      <c r="E1738" s="947" t="s">
        <v>1526</v>
      </c>
      <c r="F1738" s="947"/>
      <c r="G1738" s="947"/>
      <c r="H1738" s="956" t="s">
        <v>1112</v>
      </c>
      <c r="I1738" s="1618" t="str">
        <f>IF(AND($I1625&lt;&gt;"",$I1628=TRUE),IF(T1740&gt;=$H$2595,1,S1738),IF($I1625="","",1))</f>
        <v/>
      </c>
      <c r="J1738" s="1163" t="str">
        <f>IF(AND($I1625&lt;&gt;"",$I1628=TRUE),INDEX(F_ProductBM!J:J,MATCH($P1738,F_ProductBM!$Q:$Q,0)),IF($I1625="","",1))</f>
        <v/>
      </c>
      <c r="K1738" s="959" t="str">
        <f>IF(AND($I1625&lt;&gt;"",$I1628=TRUE),INDEX(F_ProductBM!K:K,MATCH($P1738,F_ProductBM!$Q:$Q,0)),IF($I1625="","",1))</f>
        <v/>
      </c>
      <c r="L1738" s="959" t="str">
        <f>IF(AND($I1625&lt;&gt;"",$I1628=TRUE),INDEX(F_ProductBM!L:L,MATCH($P1738,F_ProductBM!$Q:$Q,0)),IF($I1625="","",1))</f>
        <v/>
      </c>
      <c r="M1738" s="959" t="str">
        <f>IF(AND($I1625&lt;&gt;"",$I1628=TRUE),INDEX(F_ProductBM!M:M,MATCH($P1738,F_ProductBM!$Q:$Q,0)),IF($I1625="","",1))</f>
        <v/>
      </c>
      <c r="N1738" s="970" t="str">
        <f>IF(AND($I1625&lt;&gt;"",$I1628=TRUE),INDEX(F_ProductBM!N:N,MATCH($P1738,F_ProductBM!$Q:$Q,0)),IF($I1625="","",1))</f>
        <v/>
      </c>
      <c r="O1738" s="19"/>
      <c r="P1738" s="165" t="str">
        <f>EUconst_CNTR_HALfinal&amp;EUconst_CNTR_ELEXCH&amp;$I1625</f>
        <v>HALfinal_ELEXCH_</v>
      </c>
      <c r="Q1738" s="343"/>
      <c r="R1738" s="343"/>
      <c r="S1738" s="1694" t="str">
        <f>IF(AND($I1625&lt;&gt;"",$I1628=TRUE),INDEX(F_ProductBM!I:I,MATCH($P1738,F_ProductBM!$Q:$Q,0)),IF($I1625="","",1))</f>
        <v/>
      </c>
      <c r="T1738" s="343"/>
      <c r="U1738" s="349"/>
      <c r="V1738" s="349"/>
    </row>
    <row r="1739" spans="1:22" s="534" customFormat="1" x14ac:dyDescent="0.25">
      <c r="A1739" s="343"/>
      <c r="B1739" s="15"/>
      <c r="C1739" s="15"/>
      <c r="D1739" s="965"/>
      <c r="E1739" s="950" t="s">
        <v>1528</v>
      </c>
      <c r="F1739" s="950"/>
      <c r="G1739" s="950"/>
      <c r="H1739" s="957" t="s">
        <v>1112</v>
      </c>
      <c r="I1739" s="1619" t="str">
        <f>IF($I1625="","",IF($L1628=47,IF(AND(ISNUMBER(S1739),YEAR(J1628)&lt;2021),S1739,1),1))</f>
        <v/>
      </c>
      <c r="J1739" s="1164" t="str">
        <f>IF($I1625="","",IF($L1628=47,IF(ISNUMBER(INDEX(H_SpecialBM!J:J,MATCH($P1739,H_SpecialBM!$Q:$Q,0))),INDEX(H_SpecialBM!J:J,MATCH($P1739,H_SpecialBM!$Q:$Q,0)),1),1))</f>
        <v/>
      </c>
      <c r="K1739" s="958" t="str">
        <f>IF($I1625="","",IF($L1628=47,IF(ISNUMBER(INDEX(H_SpecialBM!K:K,MATCH($P1739,H_SpecialBM!$Q:$Q,0))),INDEX(H_SpecialBM!K:K,MATCH($P1739,H_SpecialBM!$Q:$Q,0)),1),1))</f>
        <v/>
      </c>
      <c r="L1739" s="958" t="str">
        <f>IF($I1625="","",IF($L1628=47,IF(ISNUMBER(INDEX(H_SpecialBM!L:L,MATCH($P1739,H_SpecialBM!$Q:$Q,0))),INDEX(H_SpecialBM!L:L,MATCH($P1739,H_SpecialBM!$Q:$Q,0)),1),1))</f>
        <v/>
      </c>
      <c r="M1739" s="958" t="str">
        <f>IF($I1625="","",IF($L1628=47,IF(ISNUMBER(INDEX(H_SpecialBM!M:M,MATCH($P1739,H_SpecialBM!$Q:$Q,0))),INDEX(H_SpecialBM!M:M,MATCH($P1739,H_SpecialBM!$Q:$Q,0)),1),1))</f>
        <v/>
      </c>
      <c r="N1739" s="971" t="str">
        <f>IF($I1625="","",IF($L1628=47,IF(ISNUMBER(INDEX(H_SpecialBM!N:N,MATCH($P1739,H_SpecialBM!$Q:$Q,0))),INDEX(H_SpecialBM!N:N,MATCH($P1739,H_SpecialBM!$Q:$Q,0)),1),1))</f>
        <v/>
      </c>
      <c r="O1739" s="19"/>
      <c r="P1739" s="165" t="str">
        <f>EUconst_CNTR_VCMfinal</f>
        <v>VCMfinal_</v>
      </c>
      <c r="Q1739" s="343"/>
      <c r="R1739" s="343"/>
      <c r="S1739" s="1695" t="str">
        <f>IF($I1625="","",IF($L1628=47,IF(ISNUMBER(INDEX(H_SpecialBM!I:I,MATCH($P1739,H_SpecialBM!$Q:$Q,0))),INDEX(H_SpecialBM!I:I,MATCH($P1739,H_SpecialBM!$Q:$Q,0)),1),1))</f>
        <v/>
      </c>
      <c r="T1739" s="343"/>
      <c r="U1739" s="349"/>
      <c r="V1739" s="349"/>
    </row>
    <row r="1740" spans="1:22" s="534" customFormat="1" x14ac:dyDescent="0.25">
      <c r="A1740" s="343"/>
      <c r="B1740" s="15"/>
      <c r="C1740" s="15"/>
      <c r="D1740" s="965"/>
      <c r="E1740" s="514" t="str">
        <f>Translations!$B$956</f>
        <v>Preliminär tilldelning</v>
      </c>
      <c r="F1740" s="514"/>
      <c r="G1740" s="514"/>
      <c r="H1740" s="129" t="str">
        <f>EUconst_EUA</f>
        <v>EUA</v>
      </c>
      <c r="I1740" s="1620" t="str">
        <f>IF($I1625="","",MAX(0,ROUND((SUM($M1628)*SUM(I1734)*SUM(I1738)*SUM(I1739)-SUM(I1735)-SUM(I1736)+SUM(I1737))*IF($H1628=TRUE,1,J$2517),0)))</f>
        <v/>
      </c>
      <c r="J1740" s="1131" t="str">
        <f>IF($I1625="","",MAX(0,ROUND((SUM($M1628)*SUM(J1734)*SUM(J1738)*SUM(J1739)-SUM(J1735)-SUM(J1736)+SUM(J1737))*IF($H1628=TRUE,1,J$2517),0)))</f>
        <v/>
      </c>
      <c r="K1740" s="421" t="str">
        <f>IF($I1625="","",MAX(0,ROUND((SUM($M1628)*SUM(K1734)*SUM(K1738)*SUM(K1739)-SUM(K1735)-SUM(K1736)+SUM(K1737))*IF($H1628=TRUE,1,K$2517),0)))</f>
        <v/>
      </c>
      <c r="L1740" s="421" t="str">
        <f>IF($I1625="","",MAX(0,ROUND((SUM($M1628)*SUM(L1734)*SUM(L1738)*SUM(L1739)-SUM(L1735)-SUM(L1736)+SUM(L1737))*IF($H1628=TRUE,1,L$2517),0)))</f>
        <v/>
      </c>
      <c r="M1740" s="421" t="str">
        <f>IF($I1625="","",MAX(0,ROUND((SUM($M1628)*SUM(M1734)*SUM(M1738)*SUM(M1739)-SUM(M1735)-SUM(M1736)+SUM(M1737))*IF($H1628=TRUE,1,M$2517),0)))</f>
        <v/>
      </c>
      <c r="N1740" s="967" t="str">
        <f>IF($I1625="","",MAX(0,ROUND((SUM($M1628+IF(L1628=52,0.415,0))*SUM(N1734)*SUM(N1738)*SUM(N1739)-SUM(N1735)-SUM(N1736)+SUM(N1737))*IF($H1628=TRUE,1,N$2517),0)))</f>
        <v/>
      </c>
      <c r="O1740" s="19"/>
      <c r="P1740" s="165" t="str">
        <f>EUconst_AllocPrelim&amp;I1625</f>
        <v>AllocPrelim_</v>
      </c>
      <c r="Q1740" s="343"/>
      <c r="R1740" s="343"/>
      <c r="S1740" s="1696" t="str">
        <f>IF($I1625="","",MAX(0,ROUND((SUM($M1628)*SUM(S1734)*SUM(S1738)*SUM(S1739)-SUM(S1735)-SUM(S1736)+SUM(S1737))*IF($H1628=TRUE,1,J$2517),0)))</f>
        <v/>
      </c>
      <c r="T1740" s="663">
        <f>INDEX(F_ProductBM!V:V,MATCH(C1625,F_ProductBM!C:C,0))</f>
        <v>2005</v>
      </c>
      <c r="U1740" s="603" t="e">
        <f>OR(INDEX(I1740:N1740,CNTR_ReportingYear-$I$2596)&lt;&gt;INDEX(I1740:N1740,CNTR_ReportingYear-$H$2596),
(CNTR_ReportingYear-T1740)&lt;=1)</f>
        <v>#REF!</v>
      </c>
      <c r="V1740" s="355" t="b">
        <f ca="1">IF(I1740="",FALSE,COUNTIF(OFFSET(I1740,,,,MAX(1,CNTR_ReportingYear-$I$2596)),"&lt;&gt;" &amp; INDEX(I1740:N1740,CNTR_ReportingYear-$H$2596))&gt;0)</f>
        <v>0</v>
      </c>
    </row>
    <row r="1741" spans="1:22" s="534" customFormat="1" ht="5.15" customHeight="1" thickBot="1" x14ac:dyDescent="0.3">
      <c r="A1741" s="343"/>
      <c r="B1741" s="15"/>
      <c r="C1741" s="15"/>
      <c r="D1741" s="972"/>
      <c r="E1741" s="973"/>
      <c r="F1741" s="973"/>
      <c r="G1741" s="973"/>
      <c r="H1741" s="973"/>
      <c r="I1741" s="973"/>
      <c r="J1741" s="973"/>
      <c r="K1741" s="973"/>
      <c r="L1741" s="973"/>
      <c r="M1741" s="973"/>
      <c r="N1741" s="974"/>
      <c r="O1741" s="19"/>
      <c r="P1741" s="343"/>
      <c r="Q1741" s="343"/>
      <c r="R1741" s="343"/>
      <c r="S1741" s="343"/>
      <c r="T1741" s="343"/>
      <c r="U1741" s="349"/>
      <c r="V1741" s="349"/>
    </row>
    <row r="1742" spans="1:22" s="534" customFormat="1" ht="5.15" customHeight="1" thickBot="1" x14ac:dyDescent="0.3">
      <c r="A1742" s="343"/>
      <c r="B1742" s="15"/>
      <c r="C1742" s="15"/>
      <c r="E1742" s="289"/>
      <c r="F1742" s="15"/>
      <c r="G1742" s="15"/>
      <c r="H1742" s="15"/>
      <c r="I1742" s="15"/>
      <c r="J1742" s="15"/>
      <c r="K1742" s="15"/>
      <c r="L1742" s="15"/>
      <c r="M1742" s="15"/>
      <c r="N1742" s="15"/>
      <c r="O1742" s="19"/>
      <c r="P1742" s="343"/>
      <c r="Q1742" s="343"/>
      <c r="R1742" s="343"/>
      <c r="S1742" s="343"/>
      <c r="T1742" s="343"/>
      <c r="U1742" s="349"/>
      <c r="V1742" s="349"/>
    </row>
    <row r="1743" spans="1:22" s="534" customFormat="1" ht="12.75" customHeight="1" x14ac:dyDescent="0.25">
      <c r="A1743" s="343"/>
      <c r="B1743" s="15"/>
      <c r="C1743" s="15"/>
      <c r="D1743" s="1452"/>
      <c r="E1743" s="1453"/>
      <c r="F1743" s="1453"/>
      <c r="G1743" s="777"/>
      <c r="H1743" s="777"/>
      <c r="I1743" s="777"/>
      <c r="J1743" s="777"/>
      <c r="K1743" s="777"/>
      <c r="L1743" s="777"/>
      <c r="M1743" s="777"/>
      <c r="N1743" s="778"/>
      <c r="O1743" s="19"/>
      <c r="P1743" s="343"/>
      <c r="Q1743" s="343"/>
      <c r="R1743" s="343"/>
      <c r="S1743" s="343"/>
      <c r="T1743" s="343"/>
      <c r="U1743" s="349"/>
      <c r="V1743" s="349"/>
    </row>
    <row r="1744" spans="1:22" s="534" customFormat="1" ht="13.5" thickBot="1" x14ac:dyDescent="0.3">
      <c r="A1744" s="343"/>
      <c r="B1744" s="15"/>
      <c r="C1744" s="15"/>
      <c r="D1744" s="1454"/>
      <c r="E1744" s="416"/>
      <c r="F1744" s="416"/>
      <c r="G1744" s="415" t="str">
        <f>EUconst_Unit</f>
        <v>Enhet</v>
      </c>
      <c r="H1744" s="744">
        <f t="shared" ref="H1744:M1744" si="334">H$2596</f>
        <v>2019</v>
      </c>
      <c r="I1744" s="1155">
        <f t="shared" si="334"/>
        <v>2020</v>
      </c>
      <c r="J1744" s="1104">
        <f t="shared" si="334"/>
        <v>2021</v>
      </c>
      <c r="K1744" s="362">
        <f t="shared" si="334"/>
        <v>2022</v>
      </c>
      <c r="L1744" s="362">
        <f t="shared" si="334"/>
        <v>2023</v>
      </c>
      <c r="M1744" s="362">
        <f t="shared" si="334"/>
        <v>2024</v>
      </c>
      <c r="N1744" s="1141">
        <f>N$2596</f>
        <v>2025</v>
      </c>
      <c r="O1744" s="19"/>
      <c r="P1744" s="343"/>
      <c r="Q1744" s="343"/>
      <c r="R1744" s="343"/>
      <c r="S1744" s="343"/>
      <c r="T1744" s="7"/>
      <c r="U1744" s="349"/>
      <c r="V1744" s="349"/>
    </row>
    <row r="1745" spans="1:22" s="534" customFormat="1" ht="13.5" customHeight="1" thickBot="1" x14ac:dyDescent="0.3">
      <c r="A1745" s="343"/>
      <c r="B1745" s="15"/>
      <c r="C1745" s="15"/>
      <c r="D1745" s="1454"/>
      <c r="E1745" s="2747" t="str">
        <f>Translations!$B$1056</f>
        <v>Totala tillskrivna utsläpp</v>
      </c>
      <c r="F1745" s="2747"/>
      <c r="G1745" s="710" t="str">
        <f>EUconst_tCO2epa</f>
        <v>t CO2e/år</v>
      </c>
      <c r="H1745" s="735" t="str">
        <f t="shared" ref="H1745:N1745" si="335">INDEX(H$92:H$108,MATCH($I1625,$E$92:$E$108,0))</f>
        <v/>
      </c>
      <c r="I1745" s="1156" t="str">
        <f t="shared" si="335"/>
        <v/>
      </c>
      <c r="J1745" s="735" t="str">
        <f t="shared" si="335"/>
        <v/>
      </c>
      <c r="K1745" s="736" t="str">
        <f t="shared" si="335"/>
        <v/>
      </c>
      <c r="L1745" s="736" t="str">
        <f t="shared" si="335"/>
        <v/>
      </c>
      <c r="M1745" s="736" t="str">
        <f t="shared" si="335"/>
        <v/>
      </c>
      <c r="N1745" s="737" t="str">
        <f t="shared" si="335"/>
        <v/>
      </c>
      <c r="O1745" s="19"/>
      <c r="P1745" s="343"/>
      <c r="Q1745" s="343"/>
      <c r="R1745" s="343"/>
      <c r="S1745" s="343"/>
      <c r="T1745" s="7"/>
      <c r="U1745" s="349"/>
      <c r="V1745" s="349"/>
    </row>
    <row r="1746" spans="1:22" s="534" customFormat="1" ht="5.15" customHeight="1" x14ac:dyDescent="0.25">
      <c r="A1746" s="343"/>
      <c r="B1746" s="15"/>
      <c r="C1746" s="15"/>
      <c r="D1746" s="1454"/>
      <c r="E1746" s="899"/>
      <c r="F1746" s="899"/>
      <c r="G1746" s="416"/>
      <c r="H1746" s="738"/>
      <c r="I1746" s="738"/>
      <c r="J1746" s="738"/>
      <c r="K1746" s="738"/>
      <c r="L1746" s="738"/>
      <c r="M1746" s="738"/>
      <c r="N1746" s="1455"/>
      <c r="O1746" s="19"/>
      <c r="P1746" s="343"/>
      <c r="Q1746" s="343"/>
      <c r="R1746" s="343"/>
      <c r="S1746" s="343"/>
      <c r="T1746" s="7"/>
      <c r="U1746" s="349"/>
      <c r="V1746" s="349"/>
    </row>
    <row r="1747" spans="1:22" s="534" customFormat="1" ht="12.75" customHeight="1" x14ac:dyDescent="0.25">
      <c r="A1747" s="343"/>
      <c r="B1747" s="15"/>
      <c r="C1747" s="15"/>
      <c r="D1747" s="1454"/>
      <c r="E1747" s="2611" t="str">
        <f>Translations!$B$571</f>
        <v>Insatsbränsle</v>
      </c>
      <c r="F1747" s="2484"/>
      <c r="G1747" s="365" t="str">
        <f>EUconst_TJpa</f>
        <v>TJ / år</v>
      </c>
      <c r="H1747" s="739" t="str">
        <f>IF($I1625="","",IF(INDEX(F_ProductBM!H:H,MATCH($P1747,F_ProductBM!$Q:$Q,0))="","",INDEX(F_ProductBM!H:H,MATCH($P1747,F_ProductBM!$Q:$Q,0))))</f>
        <v/>
      </c>
      <c r="I1747" s="1153" t="str">
        <f>IF($I1625="","",IF(INDEX(F_ProductBM!I:I,MATCH($P1747,F_ProductBM!$Q:$Q,0))="","",INDEX(F_ProductBM!I:I,MATCH($P1747,F_ProductBM!$Q:$Q,0))))</f>
        <v/>
      </c>
      <c r="J1747" s="1159" t="str">
        <f>IF($I1625="","",IF(INDEX(F_ProductBM!J:J,MATCH($P1747,F_ProductBM!$Q:$Q,0))="","",INDEX(F_ProductBM!J:J,MATCH($P1747,F_ProductBM!$Q:$Q,0))))</f>
        <v/>
      </c>
      <c r="K1747" s="739" t="str">
        <f>IF($I1625="","",IF(INDEX(F_ProductBM!K:K,MATCH($P1747,F_ProductBM!$Q:$Q,0))="","",INDEX(F_ProductBM!K:K,MATCH($P1747,F_ProductBM!$Q:$Q,0))))</f>
        <v/>
      </c>
      <c r="L1747" s="739" t="str">
        <f>IF($I1625="","",IF(INDEX(F_ProductBM!L:L,MATCH($P1747,F_ProductBM!$Q:$Q,0))="","",INDEX(F_ProductBM!L:L,MATCH($P1747,F_ProductBM!$Q:$Q,0))))</f>
        <v/>
      </c>
      <c r="M1747" s="739" t="str">
        <f>IF($I1625="","",IF(INDEX(F_ProductBM!M:M,MATCH($P1747,F_ProductBM!$Q:$Q,0))="","",INDEX(F_ProductBM!M:M,MATCH($P1747,F_ProductBM!$Q:$Q,0))))</f>
        <v/>
      </c>
      <c r="N1747" s="1456" t="str">
        <f>IF($I1625="","",IF(INDEX(F_ProductBM!N:N,MATCH($P1747,F_ProductBM!$Q:$Q,0))="","",INDEX(F_ProductBM!N:N,MATCH($P1747,F_ProductBM!$Q:$Q,0))))</f>
        <v/>
      </c>
      <c r="O1747" s="19"/>
      <c r="P1747" s="622" t="str">
        <f>EUconst_CNTR_FuelInput &amp; I1625</f>
        <v>FuelInput_</v>
      </c>
      <c r="Q1747" s="343"/>
      <c r="R1747" s="343"/>
      <c r="S1747" s="343"/>
      <c r="T1747" s="7"/>
      <c r="U1747" s="349"/>
      <c r="V1747" s="349"/>
    </row>
    <row r="1748" spans="1:22" s="534" customFormat="1" ht="12.75" customHeight="1" x14ac:dyDescent="0.25">
      <c r="A1748" s="343"/>
      <c r="B1748" s="15"/>
      <c r="C1748" s="15"/>
      <c r="D1748" s="1454"/>
      <c r="E1748" s="2612" t="str">
        <f>Translations!$B$572</f>
        <v>Viktad emissionsfaktor</v>
      </c>
      <c r="F1748" s="2487"/>
      <c r="G1748" s="384" t="str">
        <f>EUconst_tCO2pTJ</f>
        <v>t CO2 / TJ</v>
      </c>
      <c r="H1748" s="740" t="str">
        <f>IF($I1625="","",IF(INDEX(F_ProductBM!H:H,MATCH($P1748,F_ProductBM!$Q:$Q,0))="","",INDEX(F_ProductBM!H:H,MATCH($P1748,F_ProductBM!$Q:$Q,0))))</f>
        <v/>
      </c>
      <c r="I1748" s="1154" t="str">
        <f>IF($I1625="","",IF(INDEX(F_ProductBM!I:I,MATCH($P1748,F_ProductBM!$Q:$Q,0))="","",INDEX(F_ProductBM!I:I,MATCH($P1748,F_ProductBM!$Q:$Q,0))))</f>
        <v/>
      </c>
      <c r="J1748" s="1160" t="str">
        <f>IF($I1625="","",IF(INDEX(F_ProductBM!J:J,MATCH($P1748,F_ProductBM!$Q:$Q,0))="","",INDEX(F_ProductBM!J:J,MATCH($P1748,F_ProductBM!$Q:$Q,0))))</f>
        <v/>
      </c>
      <c r="K1748" s="740" t="str">
        <f>IF($I1625="","",IF(INDEX(F_ProductBM!K:K,MATCH($P1748,F_ProductBM!$Q:$Q,0))="","",INDEX(F_ProductBM!K:K,MATCH($P1748,F_ProductBM!$Q:$Q,0))))</f>
        <v/>
      </c>
      <c r="L1748" s="740" t="str">
        <f>IF($I1625="","",IF(INDEX(F_ProductBM!L:L,MATCH($P1748,F_ProductBM!$Q:$Q,0))="","",INDEX(F_ProductBM!L:L,MATCH($P1748,F_ProductBM!$Q:$Q,0))))</f>
        <v/>
      </c>
      <c r="M1748" s="740" t="str">
        <f>IF($I1625="","",IF(INDEX(F_ProductBM!M:M,MATCH($P1748,F_ProductBM!$Q:$Q,0))="","",INDEX(F_ProductBM!M:M,MATCH($P1748,F_ProductBM!$Q:$Q,0))))</f>
        <v/>
      </c>
      <c r="N1748" s="1457" t="str">
        <f>IF($I1625="","",IF(INDEX(F_ProductBM!N:N,MATCH($P1748,F_ProductBM!$Q:$Q,0))="","",INDEX(F_ProductBM!N:N,MATCH($P1748,F_ProductBM!$Q:$Q,0))))</f>
        <v/>
      </c>
      <c r="O1748" s="19"/>
      <c r="P1748" s="298" t="str">
        <f>EUconst_CNTR_FuelEF &amp; I1625</f>
        <v>FuelEF_</v>
      </c>
      <c r="Q1748" s="343"/>
      <c r="R1748" s="343"/>
      <c r="S1748" s="343"/>
      <c r="T1748" s="7"/>
      <c r="U1748" s="349"/>
      <c r="V1748" s="349"/>
    </row>
    <row r="1749" spans="1:22" s="534" customFormat="1" ht="5.15" customHeight="1" x14ac:dyDescent="0.25">
      <c r="A1749" s="343"/>
      <c r="B1749" s="15"/>
      <c r="C1749" s="15"/>
      <c r="D1749" s="1454"/>
      <c r="E1749" s="899"/>
      <c r="F1749" s="899"/>
      <c r="G1749" s="623"/>
      <c r="H1749" s="741"/>
      <c r="I1749" s="741"/>
      <c r="J1749" s="741"/>
      <c r="K1749" s="741"/>
      <c r="L1749" s="741"/>
      <c r="M1749" s="741"/>
      <c r="N1749" s="1458"/>
      <c r="O1749" s="19"/>
      <c r="P1749" s="343"/>
      <c r="Q1749" s="343"/>
      <c r="R1749" s="343"/>
      <c r="S1749" s="343"/>
      <c r="T1749" s="7"/>
      <c r="U1749" s="349"/>
      <c r="V1749" s="349"/>
    </row>
    <row r="1750" spans="1:22" s="534" customFormat="1" ht="12.75" customHeight="1" x14ac:dyDescent="0.25">
      <c r="A1750" s="343"/>
      <c r="B1750" s="15"/>
      <c r="C1750" s="15"/>
      <c r="D1750" s="1454"/>
      <c r="E1750" s="2613" t="str">
        <f>Translations!$B$528</f>
        <v>Direkta utsläpp</v>
      </c>
      <c r="F1750" s="1997"/>
      <c r="G1750" s="364" t="str">
        <f>EUconst_tCO2pa</f>
        <v>t CO2 / år</v>
      </c>
      <c r="H1750" s="742" t="str">
        <f>IF($I1625="","",IF(INDEX(F_ProductBM!H:H,MATCH($P1750,F_ProductBM!$Q:$Q,0))="","",INDEX(F_ProductBM!H:H,MATCH($P1750,F_ProductBM!$Q:$Q,0))))</f>
        <v/>
      </c>
      <c r="I1750" s="1021" t="str">
        <f>IF($I1625="","",IF(INDEX(F_ProductBM!I:I,MATCH($P1750,F_ProductBM!$Q:$Q,0))="","",INDEX(F_ProductBM!I:I,MATCH($P1750,F_ProductBM!$Q:$Q,0))))</f>
        <v/>
      </c>
      <c r="J1750" s="1158" t="str">
        <f>IF($I1625="","",IF(INDEX(F_ProductBM!J:J,MATCH($P1750,F_ProductBM!$Q:$Q,0))="","",INDEX(F_ProductBM!J:J,MATCH($P1750,F_ProductBM!$Q:$Q,0))))</f>
        <v/>
      </c>
      <c r="K1750" s="742" t="str">
        <f>IF($I1625="","",IF(INDEX(F_ProductBM!K:K,MATCH($P1750,F_ProductBM!$Q:$Q,0))="","",INDEX(F_ProductBM!K:K,MATCH($P1750,F_ProductBM!$Q:$Q,0))))</f>
        <v/>
      </c>
      <c r="L1750" s="742" t="str">
        <f>IF($I1625="","",IF(INDEX(F_ProductBM!L:L,MATCH($P1750,F_ProductBM!$Q:$Q,0))="","",INDEX(F_ProductBM!L:L,MATCH($P1750,F_ProductBM!$Q:$Q,0))))</f>
        <v/>
      </c>
      <c r="M1750" s="742" t="str">
        <f>IF($I1625="","",IF(INDEX(F_ProductBM!M:M,MATCH($P1750,F_ProductBM!$Q:$Q,0))="","",INDEX(F_ProductBM!M:M,MATCH($P1750,F_ProductBM!$Q:$Q,0))))</f>
        <v/>
      </c>
      <c r="N1750" s="1459" t="str">
        <f>IF($I1625="","",IF(INDEX(F_ProductBM!N:N,MATCH($P1750,F_ProductBM!$Q:$Q,0))="","",INDEX(F_ProductBM!N:N,MATCH($P1750,F_ProductBM!$Q:$Q,0))))</f>
        <v/>
      </c>
      <c r="O1750" s="19"/>
      <c r="P1750" s="298" t="str">
        <f>EUconst_CNTR_Emissions &amp; I1625</f>
        <v>DirEmissions_</v>
      </c>
      <c r="Q1750" s="343"/>
      <c r="R1750" s="343"/>
      <c r="S1750" s="343"/>
      <c r="T1750" s="7"/>
      <c r="U1750" s="349"/>
      <c r="V1750" s="349"/>
    </row>
    <row r="1751" spans="1:22" s="534" customFormat="1" ht="12.75" customHeight="1" x14ac:dyDescent="0.25">
      <c r="A1751" s="343"/>
      <c r="B1751" s="15"/>
      <c r="C1751" s="15"/>
      <c r="D1751" s="1454"/>
      <c r="E1751" s="2613" t="str">
        <f>Translations!$B$582</f>
        <v>Andra bränsle-/materialmängder – 1</v>
      </c>
      <c r="F1751" s="1997"/>
      <c r="G1751" s="364" t="str">
        <f>EUconst_tCO2pa</f>
        <v>t CO2 / år</v>
      </c>
      <c r="H1751" s="742" t="str">
        <f>IF($I1625="","",IF(INDEX(F_ProductBM!H:H,MATCH($P1751,F_ProductBM!$Q:$Q,0))="","",INDEX(F_ProductBM!H:H,MATCH($P1751,F_ProductBM!$Q:$Q,0))))</f>
        <v/>
      </c>
      <c r="I1751" s="1021" t="str">
        <f>IF($I1625="","",IF(INDEX(F_ProductBM!I:I,MATCH($P1751,F_ProductBM!$Q:$Q,0))="","",INDEX(F_ProductBM!I:I,MATCH($P1751,F_ProductBM!$Q:$Q,0))))</f>
        <v/>
      </c>
      <c r="J1751" s="1158" t="str">
        <f>IF($I1625="","",IF(INDEX(F_ProductBM!J:J,MATCH($P1751,F_ProductBM!$Q:$Q,0))="","",INDEX(F_ProductBM!J:J,MATCH($P1751,F_ProductBM!$Q:$Q,0))))</f>
        <v/>
      </c>
      <c r="K1751" s="742" t="str">
        <f>IF($I1625="","",IF(INDEX(F_ProductBM!K:K,MATCH($P1751,F_ProductBM!$Q:$Q,0))="","",INDEX(F_ProductBM!K:K,MATCH($P1751,F_ProductBM!$Q:$Q,0))))</f>
        <v/>
      </c>
      <c r="L1751" s="742" t="str">
        <f>IF($I1625="","",IF(INDEX(F_ProductBM!L:L,MATCH($P1751,F_ProductBM!$Q:$Q,0))="","",INDEX(F_ProductBM!L:L,MATCH($P1751,F_ProductBM!$Q:$Q,0))))</f>
        <v/>
      </c>
      <c r="M1751" s="742" t="str">
        <f>IF($I1625="","",IF(INDEX(F_ProductBM!M:M,MATCH($P1751,F_ProductBM!$Q:$Q,0))="","",INDEX(F_ProductBM!M:M,MATCH($P1751,F_ProductBM!$Q:$Q,0))))</f>
        <v/>
      </c>
      <c r="N1751" s="1459" t="str">
        <f>IF($I1625="","",IF(INDEX(F_ProductBM!N:N,MATCH($P1751,F_ProductBM!$Q:$Q,0))="","",INDEX(F_ProductBM!N:N,MATCH($P1751,F_ProductBM!$Q:$Q,0))))</f>
        <v/>
      </c>
      <c r="O1751" s="19"/>
      <c r="P1751" s="298" t="str">
        <f>EUconst_CNTR_EmissionsIntSource1 &amp; I1625</f>
        <v>EmInternalSource1_</v>
      </c>
      <c r="Q1751" s="343"/>
      <c r="R1751" s="343"/>
      <c r="S1751" s="343"/>
      <c r="T1751" s="7"/>
      <c r="U1751" s="349"/>
      <c r="V1751" s="349"/>
    </row>
    <row r="1752" spans="1:22" s="534" customFormat="1" ht="12.75" customHeight="1" x14ac:dyDescent="0.25">
      <c r="A1752" s="343"/>
      <c r="B1752" s="15"/>
      <c r="C1752" s="15"/>
      <c r="D1752" s="1454"/>
      <c r="E1752" s="2613" t="str">
        <f>Translations!$B$592</f>
        <v>Andra bränsle-/materialmängder – 2</v>
      </c>
      <c r="F1752" s="1997"/>
      <c r="G1752" s="364" t="str">
        <f>EUconst_tCO2pa</f>
        <v>t CO2 / år</v>
      </c>
      <c r="H1752" s="742" t="str">
        <f>IF($I1625="","",IF(INDEX(F_ProductBM!H:H,MATCH($P1752,F_ProductBM!$Q:$Q,0))="","",INDEX(F_ProductBM!H:H,MATCH($P1752,F_ProductBM!$Q:$Q,0))))</f>
        <v/>
      </c>
      <c r="I1752" s="1021" t="str">
        <f>IF($I1625="","",IF(INDEX(F_ProductBM!I:I,MATCH($P1752,F_ProductBM!$Q:$Q,0))="","",INDEX(F_ProductBM!I:I,MATCH($P1752,F_ProductBM!$Q:$Q,0))))</f>
        <v/>
      </c>
      <c r="J1752" s="1158" t="str">
        <f>IF($I1625="","",IF(INDEX(F_ProductBM!J:J,MATCH($P1752,F_ProductBM!$Q:$Q,0))="","",INDEX(F_ProductBM!J:J,MATCH($P1752,F_ProductBM!$Q:$Q,0))))</f>
        <v/>
      </c>
      <c r="K1752" s="742" t="str">
        <f>IF($I1625="","",IF(INDEX(F_ProductBM!K:K,MATCH($P1752,F_ProductBM!$Q:$Q,0))="","",INDEX(F_ProductBM!K:K,MATCH($P1752,F_ProductBM!$Q:$Q,0))))</f>
        <v/>
      </c>
      <c r="L1752" s="742" t="str">
        <f>IF($I1625="","",IF(INDEX(F_ProductBM!L:L,MATCH($P1752,F_ProductBM!$Q:$Q,0))="","",INDEX(F_ProductBM!L:L,MATCH($P1752,F_ProductBM!$Q:$Q,0))))</f>
        <v/>
      </c>
      <c r="M1752" s="742" t="str">
        <f>IF($I1625="","",IF(INDEX(F_ProductBM!M:M,MATCH($P1752,F_ProductBM!$Q:$Q,0))="","",INDEX(F_ProductBM!M:M,MATCH($P1752,F_ProductBM!$Q:$Q,0))))</f>
        <v/>
      </c>
      <c r="N1752" s="1459" t="str">
        <f>IF($I1625="","",IF(INDEX(F_ProductBM!N:N,MATCH($P1752,F_ProductBM!$Q:$Q,0))="","",INDEX(F_ProductBM!N:N,MATCH($P1752,F_ProductBM!$Q:$Q,0))))</f>
        <v/>
      </c>
      <c r="O1752" s="19"/>
      <c r="P1752" s="298" t="str">
        <f>EUconst_CNTR_EmissionsIntSource2 &amp; I1625</f>
        <v>EmInternalSource2_</v>
      </c>
      <c r="Q1752" s="343"/>
      <c r="R1752" s="343"/>
      <c r="S1752" s="343"/>
      <c r="T1752" s="7"/>
      <c r="U1752" s="349"/>
      <c r="V1752" s="349"/>
    </row>
    <row r="1753" spans="1:22" s="534" customFormat="1" ht="12.75" customHeight="1" x14ac:dyDescent="0.25">
      <c r="A1753" s="343"/>
      <c r="B1753" s="15"/>
      <c r="C1753" s="15"/>
      <c r="D1753" s="1454"/>
      <c r="E1753" s="2613" t="str">
        <f>Translations!$B$596</f>
        <v>Importerade eller exporterade växthusgaser</v>
      </c>
      <c r="F1753" s="1997"/>
      <c r="G1753" s="364" t="str">
        <f>EUconst_tCO2epa</f>
        <v>t CO2e/år</v>
      </c>
      <c r="H1753" s="742" t="str">
        <f>IF($I1625="","",IF(INDEX(F_ProductBM!H:H,MATCH($P1753,F_ProductBM!$Q:$Q,0))="","",INDEX(F_ProductBM!H:H,MATCH($P1753,F_ProductBM!$Q:$Q,0))))</f>
        <v/>
      </c>
      <c r="I1753" s="1021" t="str">
        <f>IF($I1625="","",IF(INDEX(F_ProductBM!I:I,MATCH($P1753,F_ProductBM!$Q:$Q,0))="","",INDEX(F_ProductBM!I:I,MATCH($P1753,F_ProductBM!$Q:$Q,0))))</f>
        <v/>
      </c>
      <c r="J1753" s="1158" t="str">
        <f>IF($I1625="","",IF(INDEX(F_ProductBM!J:J,MATCH($P1753,F_ProductBM!$Q:$Q,0))="","",INDEX(F_ProductBM!J:J,MATCH($P1753,F_ProductBM!$Q:$Q,0))))</f>
        <v/>
      </c>
      <c r="K1753" s="742" t="str">
        <f>IF($I1625="","",IF(INDEX(F_ProductBM!K:K,MATCH($P1753,F_ProductBM!$Q:$Q,0))="","",INDEX(F_ProductBM!K:K,MATCH($P1753,F_ProductBM!$Q:$Q,0))))</f>
        <v/>
      </c>
      <c r="L1753" s="742" t="str">
        <f>IF($I1625="","",IF(INDEX(F_ProductBM!L:L,MATCH($P1753,F_ProductBM!$Q:$Q,0))="","",INDEX(F_ProductBM!L:L,MATCH($P1753,F_ProductBM!$Q:$Q,0))))</f>
        <v/>
      </c>
      <c r="M1753" s="742" t="str">
        <f>IF($I1625="","",IF(INDEX(F_ProductBM!M:M,MATCH($P1753,F_ProductBM!$Q:$Q,0))="","",INDEX(F_ProductBM!M:M,MATCH($P1753,F_ProductBM!$Q:$Q,0))))</f>
        <v/>
      </c>
      <c r="N1753" s="1459" t="str">
        <f>IF($I1625="","",IF(INDEX(F_ProductBM!N:N,MATCH($P1753,F_ProductBM!$Q:$Q,0))="","",INDEX(F_ProductBM!N:N,MATCH($P1753,F_ProductBM!$Q:$Q,0))))</f>
        <v/>
      </c>
      <c r="O1753" s="19"/>
      <c r="P1753" s="298" t="str">
        <f>EUconst_CNTR_CO2Feedstock &amp; I1625</f>
        <v>EmCO2Feedstock_</v>
      </c>
      <c r="Q1753" s="343"/>
      <c r="R1753" s="343"/>
      <c r="S1753" s="343"/>
      <c r="T1753" s="7"/>
      <c r="U1753" s="349"/>
      <c r="V1753" s="349"/>
    </row>
    <row r="1754" spans="1:22" s="534" customFormat="1" ht="5.15" customHeight="1" x14ac:dyDescent="0.25">
      <c r="A1754" s="343"/>
      <c r="B1754" s="15"/>
      <c r="C1754" s="15"/>
      <c r="D1754" s="1454"/>
      <c r="E1754" s="899"/>
      <c r="F1754" s="899"/>
      <c r="G1754" s="623"/>
      <c r="H1754" s="741"/>
      <c r="I1754" s="741"/>
      <c r="J1754" s="741"/>
      <c r="K1754" s="741"/>
      <c r="L1754" s="741"/>
      <c r="M1754" s="741"/>
      <c r="N1754" s="1458"/>
      <c r="O1754" s="19"/>
      <c r="P1754" s="343"/>
      <c r="Q1754" s="343"/>
      <c r="R1754" s="343"/>
      <c r="S1754" s="343"/>
      <c r="T1754" s="7"/>
      <c r="U1754" s="349"/>
      <c r="V1754" s="349"/>
    </row>
    <row r="1755" spans="1:22" s="534" customFormat="1" ht="12.75" customHeight="1" x14ac:dyDescent="0.25">
      <c r="A1755" s="343"/>
      <c r="B1755" s="15"/>
      <c r="C1755" s="15"/>
      <c r="D1755" s="1454"/>
      <c r="E1755" s="2611" t="str">
        <f>Translations!$B$604</f>
        <v>Nettomängd importerad värme</v>
      </c>
      <c r="F1755" s="2484"/>
      <c r="G1755" s="365" t="str">
        <f>EUconst_TJpa</f>
        <v>TJ / år</v>
      </c>
      <c r="H1755" s="739" t="str">
        <f>IF($I1625="","",IF(INDEX(F_ProductBM!H:H,MATCH($P1755,F_ProductBM!$Q:$Q,0))="","",INDEX(F_ProductBM!H:H,MATCH($P1755,F_ProductBM!$Q:$Q,0))))</f>
        <v/>
      </c>
      <c r="I1755" s="1153" t="str">
        <f>IF($I1625="","",IF(INDEX(F_ProductBM!I:I,MATCH($P1755,F_ProductBM!$Q:$Q,0))="","",INDEX(F_ProductBM!I:I,MATCH($P1755,F_ProductBM!$Q:$Q,0))))</f>
        <v/>
      </c>
      <c r="J1755" s="1159" t="str">
        <f>IF($I1625="","",IF(INDEX(F_ProductBM!J:J,MATCH($P1755,F_ProductBM!$Q:$Q,0))="","",INDEX(F_ProductBM!J:J,MATCH($P1755,F_ProductBM!$Q:$Q,0))))</f>
        <v/>
      </c>
      <c r="K1755" s="739" t="str">
        <f>IF($I1625="","",IF(INDEX(F_ProductBM!K:K,MATCH($P1755,F_ProductBM!$Q:$Q,0))="","",INDEX(F_ProductBM!K:K,MATCH($P1755,F_ProductBM!$Q:$Q,0))))</f>
        <v/>
      </c>
      <c r="L1755" s="739" t="str">
        <f>IF($I1625="","",IF(INDEX(F_ProductBM!L:L,MATCH($P1755,F_ProductBM!$Q:$Q,0))="","",INDEX(F_ProductBM!L:L,MATCH($P1755,F_ProductBM!$Q:$Q,0))))</f>
        <v/>
      </c>
      <c r="M1755" s="739" t="str">
        <f>IF($I1625="","",IF(INDEX(F_ProductBM!M:M,MATCH($P1755,F_ProductBM!$Q:$Q,0))="","",INDEX(F_ProductBM!M:M,MATCH($P1755,F_ProductBM!$Q:$Q,0))))</f>
        <v/>
      </c>
      <c r="N1755" s="1456" t="str">
        <f>IF($I1625="","",IF(INDEX(F_ProductBM!N:N,MATCH($P1755,F_ProductBM!$Q:$Q,0))="","",INDEX(F_ProductBM!N:N,MATCH($P1755,F_ProductBM!$Q:$Q,0))))</f>
        <v/>
      </c>
      <c r="O1755" s="19"/>
      <c r="P1755" s="298" t="str">
        <f>EUconst_CNTR_HeatImport &amp; I1625</f>
        <v>HeatIm_</v>
      </c>
      <c r="Q1755" s="343"/>
      <c r="R1755" s="343"/>
      <c r="S1755" s="343"/>
      <c r="T1755" s="7"/>
      <c r="U1755" s="349"/>
      <c r="V1755" s="349"/>
    </row>
    <row r="1756" spans="1:22" s="534" customFormat="1" ht="12.75" customHeight="1" x14ac:dyDescent="0.25">
      <c r="A1756" s="343"/>
      <c r="B1756" s="15"/>
      <c r="C1756" s="15"/>
      <c r="D1756" s="1454"/>
      <c r="E1756" s="2612" t="str">
        <f>Translations!$B$605</f>
        <v>Särskild emissionsfaktor (importerad värme)</v>
      </c>
      <c r="F1756" s="2487"/>
      <c r="G1756" s="384" t="str">
        <f>EUconst_tCO2pTJ</f>
        <v>t CO2 / TJ</v>
      </c>
      <c r="H1756" s="740" t="str">
        <f>IF($I1625="","",IF(INDEX(F_ProductBM!H:H,MATCH($P1756,F_ProductBM!$Q:$Q,0))="","",INDEX(F_ProductBM!H:H,MATCH($P1756,F_ProductBM!$Q:$Q,0))))</f>
        <v/>
      </c>
      <c r="I1756" s="1154" t="str">
        <f>IF($I1625="","",IF(INDEX(F_ProductBM!I:I,MATCH($P1756,F_ProductBM!$Q:$Q,0))="","",INDEX(F_ProductBM!I:I,MATCH($P1756,F_ProductBM!$Q:$Q,0))))</f>
        <v/>
      </c>
      <c r="J1756" s="1160" t="str">
        <f>IF($I1625="","",IF(INDEX(F_ProductBM!J:J,MATCH($P1756,F_ProductBM!$Q:$Q,0))="","",INDEX(F_ProductBM!J:J,MATCH($P1756,F_ProductBM!$Q:$Q,0))))</f>
        <v/>
      </c>
      <c r="K1756" s="740" t="str">
        <f>IF($I1625="","",IF(INDEX(F_ProductBM!K:K,MATCH($P1756,F_ProductBM!$Q:$Q,0))="","",INDEX(F_ProductBM!K:K,MATCH($P1756,F_ProductBM!$Q:$Q,0))))</f>
        <v/>
      </c>
      <c r="L1756" s="740" t="str">
        <f>IF($I1625="","",IF(INDEX(F_ProductBM!L:L,MATCH($P1756,F_ProductBM!$Q:$Q,0))="","",INDEX(F_ProductBM!L:L,MATCH($P1756,F_ProductBM!$Q:$Q,0))))</f>
        <v/>
      </c>
      <c r="M1756" s="740" t="str">
        <f>IF($I1625="","",IF(INDEX(F_ProductBM!M:M,MATCH($P1756,F_ProductBM!$Q:$Q,0))="","",INDEX(F_ProductBM!M:M,MATCH($P1756,F_ProductBM!$Q:$Q,0))))</f>
        <v/>
      </c>
      <c r="N1756" s="1457" t="str">
        <f>IF($I1625="","",IF(INDEX(F_ProductBM!N:N,MATCH($P1756,F_ProductBM!$Q:$Q,0))="","",INDEX(F_ProductBM!N:N,MATCH($P1756,F_ProductBM!$Q:$Q,0))))</f>
        <v/>
      </c>
      <c r="O1756" s="19"/>
      <c r="P1756" s="298" t="str">
        <f>EUconst_CNTR_HeatImportEF &amp; I1625</f>
        <v>HeatImEF_</v>
      </c>
      <c r="Q1756" s="343"/>
      <c r="R1756" s="343"/>
      <c r="S1756" s="343"/>
      <c r="T1756" s="7"/>
      <c r="U1756" s="349"/>
      <c r="V1756" s="349"/>
    </row>
    <row r="1757" spans="1:22" s="534" customFormat="1" ht="5.15" customHeight="1" x14ac:dyDescent="0.25">
      <c r="A1757" s="343"/>
      <c r="B1757" s="15"/>
      <c r="C1757" s="15"/>
      <c r="D1757" s="1454"/>
      <c r="E1757" s="899"/>
      <c r="F1757" s="899"/>
      <c r="G1757" s="623"/>
      <c r="H1757" s="741"/>
      <c r="I1757" s="741"/>
      <c r="J1757" s="741"/>
      <c r="K1757" s="741"/>
      <c r="L1757" s="741"/>
      <c r="M1757" s="741"/>
      <c r="N1757" s="1458"/>
      <c r="O1757" s="19"/>
      <c r="P1757" s="7"/>
      <c r="Q1757" s="343"/>
      <c r="R1757" s="343"/>
      <c r="S1757" s="343"/>
      <c r="T1757" s="7"/>
      <c r="U1757" s="349"/>
      <c r="V1757" s="349"/>
    </row>
    <row r="1758" spans="1:22" s="534" customFormat="1" ht="12.75" customHeight="1" x14ac:dyDescent="0.25">
      <c r="A1758" s="343"/>
      <c r="B1758" s="15"/>
      <c r="C1758" s="15"/>
      <c r="D1758" s="1454"/>
      <c r="E1758" s="2613" t="str">
        <f>Translations!$B$659</f>
        <v>Importerad nettovärme från massa</v>
      </c>
      <c r="F1758" s="1997"/>
      <c r="G1758" s="364" t="str">
        <f>EUconst_TJpa</f>
        <v>TJ / år</v>
      </c>
      <c r="H1758" s="742" t="str">
        <f>IF($I1625="","",IF(INDEX(F_ProductBM!H:H,MATCH($P1758,F_ProductBM!$Q:$Q,0))="","",INDEX(F_ProductBM!H:H,MATCH($P1758,F_ProductBM!$Q:$Q,0))))</f>
        <v/>
      </c>
      <c r="I1758" s="1021" t="str">
        <f>IF($I1625="","",IF(INDEX(F_ProductBM!I:I,MATCH($P1758,F_ProductBM!$Q:$Q,0))="","",INDEX(F_ProductBM!I:I,MATCH($P1758,F_ProductBM!$Q:$Q,0))))</f>
        <v/>
      </c>
      <c r="J1758" s="1158" t="str">
        <f>IF($I1625="","",IF(INDEX(F_ProductBM!J:J,MATCH($P1758,F_ProductBM!$Q:$Q,0))="","",INDEX(F_ProductBM!J:J,MATCH($P1758,F_ProductBM!$Q:$Q,0))))</f>
        <v/>
      </c>
      <c r="K1758" s="742" t="str">
        <f>IF($I1625="","",IF(INDEX(F_ProductBM!K:K,MATCH($P1758,F_ProductBM!$Q:$Q,0))="","",INDEX(F_ProductBM!K:K,MATCH($P1758,F_ProductBM!$Q:$Q,0))))</f>
        <v/>
      </c>
      <c r="L1758" s="742" t="str">
        <f>IF($I1625="","",IF(INDEX(F_ProductBM!L:L,MATCH($P1758,F_ProductBM!$Q:$Q,0))="","",INDEX(F_ProductBM!L:L,MATCH($P1758,F_ProductBM!$Q:$Q,0))))</f>
        <v/>
      </c>
      <c r="M1758" s="742" t="str">
        <f>IF($I1625="","",IF(INDEX(F_ProductBM!M:M,MATCH($P1758,F_ProductBM!$Q:$Q,0))="","",INDEX(F_ProductBM!M:M,MATCH($P1758,F_ProductBM!$Q:$Q,0))))</f>
        <v/>
      </c>
      <c r="N1758" s="1459" t="str">
        <f>IF($I1625="","",IF(INDEX(F_ProductBM!N:N,MATCH($P1758,F_ProductBM!$Q:$Q,0))="","",INDEX(F_ProductBM!N:N,MATCH($P1758,F_ProductBM!$Q:$Q,0))))</f>
        <v/>
      </c>
      <c r="O1758" s="19"/>
      <c r="P1758" s="298" t="str">
        <f>EUconst_CNTR_HeatImportPulp &amp; I1625</f>
        <v>HeatImPulp_</v>
      </c>
      <c r="Q1758" s="343"/>
      <c r="R1758" s="343"/>
      <c r="S1758" s="343"/>
      <c r="T1758" s="7"/>
      <c r="U1758" s="349"/>
      <c r="V1758" s="349"/>
    </row>
    <row r="1759" spans="1:22" s="534" customFormat="1" ht="12.75" customHeight="1" x14ac:dyDescent="0.25">
      <c r="A1759" s="343"/>
      <c r="B1759" s="15"/>
      <c r="C1759" s="15"/>
      <c r="D1759" s="1454"/>
      <c r="E1759" s="2613" t="str">
        <f>Translations!$B$608</f>
        <v>Nettomängd importerad värme från delanläggningar för salpetersyra</v>
      </c>
      <c r="F1759" s="1997"/>
      <c r="G1759" s="364" t="str">
        <f>EUconst_TJpa</f>
        <v>TJ / år</v>
      </c>
      <c r="H1759" s="742" t="str">
        <f>IF($I1625="","",IF(INDEX(F_ProductBM!H:H,MATCH($P1759,F_ProductBM!$Q:$Q,0))="","",INDEX(F_ProductBM!H:H,MATCH($P1759,F_ProductBM!$Q:$Q,0))))</f>
        <v/>
      </c>
      <c r="I1759" s="1021" t="str">
        <f>IF($I1625="","",IF(INDEX(F_ProductBM!I:I,MATCH($P1759,F_ProductBM!$Q:$Q,0))="","",INDEX(F_ProductBM!I:I,MATCH($P1759,F_ProductBM!$Q:$Q,0))))</f>
        <v/>
      </c>
      <c r="J1759" s="1158" t="str">
        <f>IF($I1625="","",IF(INDEX(F_ProductBM!J:J,MATCH($P1759,F_ProductBM!$Q:$Q,0))="","",INDEX(F_ProductBM!J:J,MATCH($P1759,F_ProductBM!$Q:$Q,0))))</f>
        <v/>
      </c>
      <c r="K1759" s="742" t="str">
        <f>IF($I1625="","",IF(INDEX(F_ProductBM!K:K,MATCH($P1759,F_ProductBM!$Q:$Q,0))="","",INDEX(F_ProductBM!K:K,MATCH($P1759,F_ProductBM!$Q:$Q,0))))</f>
        <v/>
      </c>
      <c r="L1759" s="742" t="str">
        <f>IF($I1625="","",IF(INDEX(F_ProductBM!L:L,MATCH($P1759,F_ProductBM!$Q:$Q,0))="","",INDEX(F_ProductBM!L:L,MATCH($P1759,F_ProductBM!$Q:$Q,0))))</f>
        <v/>
      </c>
      <c r="M1759" s="742" t="str">
        <f>IF($I1625="","",IF(INDEX(F_ProductBM!M:M,MATCH($P1759,F_ProductBM!$Q:$Q,0))="","",INDEX(F_ProductBM!M:M,MATCH($P1759,F_ProductBM!$Q:$Q,0))))</f>
        <v/>
      </c>
      <c r="N1759" s="1459" t="str">
        <f>IF($I1625="","",IF(INDEX(F_ProductBM!N:N,MATCH($P1759,F_ProductBM!$Q:$Q,0))="","",INDEX(F_ProductBM!N:N,MATCH($P1759,F_ProductBM!$Q:$Q,0))))</f>
        <v/>
      </c>
      <c r="O1759" s="19"/>
      <c r="P1759" s="298" t="str">
        <f>EUconst_CNTR_HeatImportNitric &amp; I1625</f>
        <v>HeatImNitric_</v>
      </c>
      <c r="Q1759" s="343"/>
      <c r="R1759" s="343"/>
      <c r="S1759" s="343"/>
      <c r="T1759" s="7"/>
      <c r="U1759" s="349"/>
      <c r="V1759" s="349"/>
    </row>
    <row r="1760" spans="1:22" s="534" customFormat="1" ht="5.15" customHeight="1" x14ac:dyDescent="0.25">
      <c r="A1760" s="343"/>
      <c r="B1760" s="15"/>
      <c r="C1760" s="15"/>
      <c r="D1760" s="1454"/>
      <c r="E1760" s="899"/>
      <c r="F1760" s="899"/>
      <c r="G1760" s="416"/>
      <c r="H1760" s="741"/>
      <c r="I1760" s="741"/>
      <c r="J1760" s="741"/>
      <c r="K1760" s="741"/>
      <c r="L1760" s="741"/>
      <c r="M1760" s="741"/>
      <c r="N1760" s="1458"/>
      <c r="O1760" s="19"/>
      <c r="P1760" s="7"/>
      <c r="Q1760" s="343"/>
      <c r="R1760" s="343"/>
      <c r="S1760" s="343"/>
      <c r="T1760" s="7"/>
      <c r="U1760" s="349"/>
      <c r="V1760" s="349"/>
    </row>
    <row r="1761" spans="1:22" s="534" customFormat="1" ht="12.75" customHeight="1" x14ac:dyDescent="0.25">
      <c r="A1761" s="343"/>
      <c r="B1761" s="15"/>
      <c r="C1761" s="15"/>
      <c r="D1761" s="1454"/>
      <c r="E1761" s="2611" t="str">
        <f>Translations!$B$610</f>
        <v>Nettomängd exporterad värme</v>
      </c>
      <c r="F1761" s="2484"/>
      <c r="G1761" s="365" t="str">
        <f>EUconst_TJpa</f>
        <v>TJ / år</v>
      </c>
      <c r="H1761" s="739" t="str">
        <f>IF($I1625="","",IF(INDEX(F_ProductBM!H:H,MATCH($P1761,F_ProductBM!$Q:$Q,0))="","",INDEX(F_ProductBM!H:H,MATCH($P1761,F_ProductBM!$Q:$Q,0))))</f>
        <v/>
      </c>
      <c r="I1761" s="1153" t="str">
        <f>IF($I1625="","",IF(INDEX(F_ProductBM!I:I,MATCH($P1761,F_ProductBM!$Q:$Q,0))="","",INDEX(F_ProductBM!I:I,MATCH($P1761,F_ProductBM!$Q:$Q,0))))</f>
        <v/>
      </c>
      <c r="J1761" s="1159" t="str">
        <f>IF($I1625="","",IF(INDEX(F_ProductBM!J:J,MATCH($P1761,F_ProductBM!$Q:$Q,0))="","",INDEX(F_ProductBM!J:J,MATCH($P1761,F_ProductBM!$Q:$Q,0))))</f>
        <v/>
      </c>
      <c r="K1761" s="739" t="str">
        <f>IF($I1625="","",IF(INDEX(F_ProductBM!K:K,MATCH($P1761,F_ProductBM!$Q:$Q,0))="","",INDEX(F_ProductBM!K:K,MATCH($P1761,F_ProductBM!$Q:$Q,0))))</f>
        <v/>
      </c>
      <c r="L1761" s="739" t="str">
        <f>IF($I1625="","",IF(INDEX(F_ProductBM!L:L,MATCH($P1761,F_ProductBM!$Q:$Q,0))="","",INDEX(F_ProductBM!L:L,MATCH($P1761,F_ProductBM!$Q:$Q,0))))</f>
        <v/>
      </c>
      <c r="M1761" s="739" t="str">
        <f>IF($I1625="","",IF(INDEX(F_ProductBM!M:M,MATCH($P1761,F_ProductBM!$Q:$Q,0))="","",INDEX(F_ProductBM!M:M,MATCH($P1761,F_ProductBM!$Q:$Q,0))))</f>
        <v/>
      </c>
      <c r="N1761" s="1456" t="str">
        <f>IF($I1625="","",IF(INDEX(F_ProductBM!N:N,MATCH($P1761,F_ProductBM!$Q:$Q,0))="","",INDEX(F_ProductBM!N:N,MATCH($P1761,F_ProductBM!$Q:$Q,0))))</f>
        <v/>
      </c>
      <c r="O1761" s="19"/>
      <c r="P1761" s="298" t="str">
        <f>EUconst_CNTR_HeatExport &amp; I1625</f>
        <v>HeatEx_</v>
      </c>
      <c r="Q1761" s="343"/>
      <c r="R1761" s="343"/>
      <c r="S1761" s="343"/>
      <c r="T1761" s="7"/>
      <c r="U1761" s="349"/>
      <c r="V1761" s="349"/>
    </row>
    <row r="1762" spans="1:22" s="534" customFormat="1" ht="12.75" customHeight="1" x14ac:dyDescent="0.25">
      <c r="A1762" s="343"/>
      <c r="B1762" s="15"/>
      <c r="C1762" s="15"/>
      <c r="D1762" s="1454"/>
      <c r="E1762" s="2612" t="str">
        <f>Translations!$B$611</f>
        <v>Särskild emissionsfaktor (exporterad värme)</v>
      </c>
      <c r="F1762" s="2487"/>
      <c r="G1762" s="384" t="str">
        <f>EUconst_tCO2pTJ</f>
        <v>t CO2 / TJ</v>
      </c>
      <c r="H1762" s="740" t="str">
        <f>IF($I1625="","",IF(INDEX(F_ProductBM!H:H,MATCH($P1762,F_ProductBM!$Q:$Q,0))="","",INDEX(F_ProductBM!H:H,MATCH($P1762,F_ProductBM!$Q:$Q,0))))</f>
        <v/>
      </c>
      <c r="I1762" s="1154" t="str">
        <f>IF($I1625="","",IF(INDEX(F_ProductBM!I:I,MATCH($P1762,F_ProductBM!$Q:$Q,0))="","",INDEX(F_ProductBM!I:I,MATCH($P1762,F_ProductBM!$Q:$Q,0))))</f>
        <v/>
      </c>
      <c r="J1762" s="1160" t="str">
        <f>IF($I1625="","",IF(INDEX(F_ProductBM!J:J,MATCH($P1762,F_ProductBM!$Q:$Q,0))="","",INDEX(F_ProductBM!J:J,MATCH($P1762,F_ProductBM!$Q:$Q,0))))</f>
        <v/>
      </c>
      <c r="K1762" s="740" t="str">
        <f>IF($I1625="","",IF(INDEX(F_ProductBM!K:K,MATCH($P1762,F_ProductBM!$Q:$Q,0))="","",INDEX(F_ProductBM!K:K,MATCH($P1762,F_ProductBM!$Q:$Q,0))))</f>
        <v/>
      </c>
      <c r="L1762" s="740" t="str">
        <f>IF($I1625="","",IF(INDEX(F_ProductBM!L:L,MATCH($P1762,F_ProductBM!$Q:$Q,0))="","",INDEX(F_ProductBM!L:L,MATCH($P1762,F_ProductBM!$Q:$Q,0))))</f>
        <v/>
      </c>
      <c r="M1762" s="740" t="str">
        <f>IF($I1625="","",IF(INDEX(F_ProductBM!M:M,MATCH($P1762,F_ProductBM!$Q:$Q,0))="","",INDEX(F_ProductBM!M:M,MATCH($P1762,F_ProductBM!$Q:$Q,0))))</f>
        <v/>
      </c>
      <c r="N1762" s="1457" t="str">
        <f>IF($I1625="","",IF(INDEX(F_ProductBM!N:N,MATCH($P1762,F_ProductBM!$Q:$Q,0))="","",INDEX(F_ProductBM!N:N,MATCH($P1762,F_ProductBM!$Q:$Q,0))))</f>
        <v/>
      </c>
      <c r="O1762" s="19"/>
      <c r="P1762" s="298" t="str">
        <f>EUconst_CNTR_HeatExportEF &amp; I1625</f>
        <v>HeatExEF_</v>
      </c>
      <c r="Q1762" s="343"/>
      <c r="R1762" s="343"/>
      <c r="S1762" s="343"/>
      <c r="T1762" s="7"/>
      <c r="U1762" s="349"/>
      <c r="V1762" s="349"/>
    </row>
    <row r="1763" spans="1:22" s="534" customFormat="1" ht="5.15" customHeight="1" x14ac:dyDescent="0.25">
      <c r="A1763" s="343"/>
      <c r="B1763" s="15"/>
      <c r="C1763" s="15"/>
      <c r="D1763" s="1454"/>
      <c r="E1763" s="899"/>
      <c r="F1763" s="899"/>
      <c r="G1763" s="416"/>
      <c r="H1763" s="741"/>
      <c r="I1763" s="741"/>
      <c r="J1763" s="741"/>
      <c r="K1763" s="741"/>
      <c r="L1763" s="741"/>
      <c r="M1763" s="741"/>
      <c r="N1763" s="1458"/>
      <c r="O1763" s="19"/>
      <c r="P1763" s="7"/>
      <c r="Q1763" s="343"/>
      <c r="R1763" s="343"/>
      <c r="S1763" s="343"/>
      <c r="T1763" s="7"/>
      <c r="U1763" s="349"/>
      <c r="V1763" s="349"/>
    </row>
    <row r="1764" spans="1:22" s="534" customFormat="1" ht="12.75" customHeight="1" x14ac:dyDescent="0.25">
      <c r="A1764" s="343"/>
      <c r="B1764" s="15"/>
      <c r="C1764" s="15"/>
      <c r="D1764" s="1454"/>
      <c r="E1764" s="2611" t="str">
        <f>Translations!$B$618</f>
        <v>Producerad restgas</v>
      </c>
      <c r="F1764" s="2484"/>
      <c r="G1764" s="365" t="str">
        <f>EUconst_TJpa</f>
        <v>TJ / år</v>
      </c>
      <c r="H1764" s="739" t="str">
        <f>IF($I1625="","",IF(INDEX(F_ProductBM!H:H,MATCH($P1764,F_ProductBM!$Q:$Q,0))="","",INDEX(F_ProductBM!H:H,MATCH($P1764,F_ProductBM!$Q:$Q,0))))</f>
        <v/>
      </c>
      <c r="I1764" s="1153" t="str">
        <f>IF($I1625="","",IF(INDEX(F_ProductBM!I:I,MATCH($P1764,F_ProductBM!$Q:$Q,0))="","",INDEX(F_ProductBM!I:I,MATCH($P1764,F_ProductBM!$Q:$Q,0))))</f>
        <v/>
      </c>
      <c r="J1764" s="1159" t="str">
        <f>IF($I1625="","",IF(INDEX(F_ProductBM!J:J,MATCH($P1764,F_ProductBM!$Q:$Q,0))="","",INDEX(F_ProductBM!J:J,MATCH($P1764,F_ProductBM!$Q:$Q,0))))</f>
        <v/>
      </c>
      <c r="K1764" s="739" t="str">
        <f>IF($I1625="","",IF(INDEX(F_ProductBM!K:K,MATCH($P1764,F_ProductBM!$Q:$Q,0))="","",INDEX(F_ProductBM!K:K,MATCH($P1764,F_ProductBM!$Q:$Q,0))))</f>
        <v/>
      </c>
      <c r="L1764" s="739" t="str">
        <f>IF($I1625="","",IF(INDEX(F_ProductBM!L:L,MATCH($P1764,F_ProductBM!$Q:$Q,0))="","",INDEX(F_ProductBM!L:L,MATCH($P1764,F_ProductBM!$Q:$Q,0))))</f>
        <v/>
      </c>
      <c r="M1764" s="739" t="str">
        <f>IF($I1625="","",IF(INDEX(F_ProductBM!M:M,MATCH($P1764,F_ProductBM!$Q:$Q,0))="","",INDEX(F_ProductBM!M:M,MATCH($P1764,F_ProductBM!$Q:$Q,0))))</f>
        <v/>
      </c>
      <c r="N1764" s="1456" t="str">
        <f>IF($I1625="","",IF(INDEX(F_ProductBM!N:N,MATCH($P1764,F_ProductBM!$Q:$Q,0))="","",INDEX(F_ProductBM!N:N,MATCH($P1764,F_ProductBM!$Q:$Q,0))))</f>
        <v/>
      </c>
      <c r="O1764" s="19"/>
      <c r="P1764" s="622" t="str">
        <f>EUconst_CNTR_WGProduced &amp; I1625</f>
        <v>WasteGasProd_</v>
      </c>
      <c r="Q1764" s="343"/>
      <c r="R1764" s="343"/>
      <c r="S1764" s="343"/>
      <c r="T1764" s="7"/>
      <c r="U1764" s="349"/>
      <c r="V1764" s="349"/>
    </row>
    <row r="1765" spans="1:22" s="534" customFormat="1" ht="12.75" customHeight="1" x14ac:dyDescent="0.25">
      <c r="A1765" s="343"/>
      <c r="B1765" s="15"/>
      <c r="C1765" s="15"/>
      <c r="D1765" s="1454"/>
      <c r="E1765" s="2612" t="str">
        <f>Translations!$B$619</f>
        <v>Särskild emissionsfaktor (producerad restgas)</v>
      </c>
      <c r="F1765" s="2487"/>
      <c r="G1765" s="384" t="str">
        <f>EUconst_tCO2pTJ</f>
        <v>t CO2 / TJ</v>
      </c>
      <c r="H1765" s="740" t="str">
        <f>IF($I1625="","",IF(INDEX(F_ProductBM!H:H,MATCH($P1765,F_ProductBM!$Q:$Q,0))="","",INDEX(F_ProductBM!H:H,MATCH($P1765,F_ProductBM!$Q:$Q,0))))</f>
        <v/>
      </c>
      <c r="I1765" s="1154" t="str">
        <f>IF($I1625="","",IF(INDEX(F_ProductBM!I:I,MATCH($P1765,F_ProductBM!$Q:$Q,0))="","",INDEX(F_ProductBM!I:I,MATCH($P1765,F_ProductBM!$Q:$Q,0))))</f>
        <v/>
      </c>
      <c r="J1765" s="1160" t="str">
        <f>IF($I1625="","",IF(INDEX(F_ProductBM!J:J,MATCH($P1765,F_ProductBM!$Q:$Q,0))="","",INDEX(F_ProductBM!J:J,MATCH($P1765,F_ProductBM!$Q:$Q,0))))</f>
        <v/>
      </c>
      <c r="K1765" s="740" t="str">
        <f>IF($I1625="","",IF(INDEX(F_ProductBM!K:K,MATCH($P1765,F_ProductBM!$Q:$Q,0))="","",INDEX(F_ProductBM!K:K,MATCH($P1765,F_ProductBM!$Q:$Q,0))))</f>
        <v/>
      </c>
      <c r="L1765" s="740" t="str">
        <f>IF($I1625="","",IF(INDEX(F_ProductBM!L:L,MATCH($P1765,F_ProductBM!$Q:$Q,0))="","",INDEX(F_ProductBM!L:L,MATCH($P1765,F_ProductBM!$Q:$Q,0))))</f>
        <v/>
      </c>
      <c r="M1765" s="740" t="str">
        <f>IF($I1625="","",IF(INDEX(F_ProductBM!M:M,MATCH($P1765,F_ProductBM!$Q:$Q,0))="","",INDEX(F_ProductBM!M:M,MATCH($P1765,F_ProductBM!$Q:$Q,0))))</f>
        <v/>
      </c>
      <c r="N1765" s="1457" t="str">
        <f>IF($I1625="","",IF(INDEX(F_ProductBM!N:N,MATCH($P1765,F_ProductBM!$Q:$Q,0))="","",INDEX(F_ProductBM!N:N,MATCH($P1765,F_ProductBM!$Q:$Q,0))))</f>
        <v/>
      </c>
      <c r="O1765" s="19"/>
      <c r="P1765" s="298" t="str">
        <f>EUconst_CNTR_WGProducedEF &amp; I1625</f>
        <v>WasteGasProdEF_</v>
      </c>
      <c r="Q1765" s="343"/>
      <c r="R1765" s="343"/>
      <c r="S1765" s="343"/>
      <c r="T1765" s="7"/>
      <c r="U1765" s="349"/>
      <c r="V1765" s="349"/>
    </row>
    <row r="1766" spans="1:22" s="534" customFormat="1" ht="12.75" customHeight="1" x14ac:dyDescent="0.25">
      <c r="A1766" s="343"/>
      <c r="B1766" s="15"/>
      <c r="C1766" s="15"/>
      <c r="D1766" s="1454"/>
      <c r="E1766" s="2611" t="str">
        <f>Translations!$B$623</f>
        <v>Förbrukad restgas</v>
      </c>
      <c r="F1766" s="2484"/>
      <c r="G1766" s="365" t="str">
        <f>EUconst_TJpa</f>
        <v>TJ / år</v>
      </c>
      <c r="H1766" s="739" t="str">
        <f>IF($I1625="","",IF(INDEX(F_ProductBM!H:H,MATCH($P1766,F_ProductBM!$Q:$Q,0))="","",INDEX(F_ProductBM!H:H,MATCH($P1766,F_ProductBM!$Q:$Q,0))))</f>
        <v/>
      </c>
      <c r="I1766" s="1153" t="str">
        <f>IF($I1625="","",IF(INDEX(F_ProductBM!I:I,MATCH($P1766,F_ProductBM!$Q:$Q,0))="","",INDEX(F_ProductBM!I:I,MATCH($P1766,F_ProductBM!$Q:$Q,0))))</f>
        <v/>
      </c>
      <c r="J1766" s="1159" t="str">
        <f>IF($I1625="","",IF(INDEX(F_ProductBM!J:J,MATCH($P1766,F_ProductBM!$Q:$Q,0))="","",INDEX(F_ProductBM!J:J,MATCH($P1766,F_ProductBM!$Q:$Q,0))))</f>
        <v/>
      </c>
      <c r="K1766" s="739" t="str">
        <f>IF($I1625="","",IF(INDEX(F_ProductBM!K:K,MATCH($P1766,F_ProductBM!$Q:$Q,0))="","",INDEX(F_ProductBM!K:K,MATCH($P1766,F_ProductBM!$Q:$Q,0))))</f>
        <v/>
      </c>
      <c r="L1766" s="739" t="str">
        <f>IF($I1625="","",IF(INDEX(F_ProductBM!L:L,MATCH($P1766,F_ProductBM!$Q:$Q,0))="","",INDEX(F_ProductBM!L:L,MATCH($P1766,F_ProductBM!$Q:$Q,0))))</f>
        <v/>
      </c>
      <c r="M1766" s="739" t="str">
        <f>IF($I1625="","",IF(INDEX(F_ProductBM!M:M,MATCH($P1766,F_ProductBM!$Q:$Q,0))="","",INDEX(F_ProductBM!M:M,MATCH($P1766,F_ProductBM!$Q:$Q,0))))</f>
        <v/>
      </c>
      <c r="N1766" s="1456" t="str">
        <f>IF($I1625="","",IF(INDEX(F_ProductBM!N:N,MATCH($P1766,F_ProductBM!$Q:$Q,0))="","",INDEX(F_ProductBM!N:N,MATCH($P1766,F_ProductBM!$Q:$Q,0))))</f>
        <v/>
      </c>
      <c r="O1766" s="19"/>
      <c r="P1766" s="298" t="str">
        <f>EUconst_CNTR_WGConsumed &amp; I1625</f>
        <v>WasteGasCons_</v>
      </c>
      <c r="Q1766" s="343"/>
      <c r="R1766" s="343"/>
      <c r="S1766" s="343"/>
      <c r="T1766" s="7"/>
      <c r="U1766" s="349"/>
      <c r="V1766" s="349"/>
    </row>
    <row r="1767" spans="1:22" s="534" customFormat="1" ht="12.75" customHeight="1" x14ac:dyDescent="0.25">
      <c r="A1767" s="343"/>
      <c r="B1767" s="15"/>
      <c r="C1767" s="15"/>
      <c r="D1767" s="1454"/>
      <c r="E1767" s="2612" t="str">
        <f>Translations!$B$624</f>
        <v>Särskild emissionsfaktor (förbrukad restgas)</v>
      </c>
      <c r="F1767" s="2487"/>
      <c r="G1767" s="384" t="str">
        <f>EUconst_tCO2pTJ</f>
        <v>t CO2 / TJ</v>
      </c>
      <c r="H1767" s="740" t="str">
        <f>IF($I1625="","",IF(INDEX(F_ProductBM!H:H,MATCH($P1767,F_ProductBM!$Q:$Q,0))="","",INDEX(F_ProductBM!H:H,MATCH($P1767,F_ProductBM!$Q:$Q,0))))</f>
        <v/>
      </c>
      <c r="I1767" s="1154" t="str">
        <f>IF($I1625="","",IF(INDEX(F_ProductBM!I:I,MATCH($P1767,F_ProductBM!$Q:$Q,0))="","",INDEX(F_ProductBM!I:I,MATCH($P1767,F_ProductBM!$Q:$Q,0))))</f>
        <v/>
      </c>
      <c r="J1767" s="1160" t="str">
        <f>IF($I1625="","",IF(INDEX(F_ProductBM!J:J,MATCH($P1767,F_ProductBM!$Q:$Q,0))="","",INDEX(F_ProductBM!J:J,MATCH($P1767,F_ProductBM!$Q:$Q,0))))</f>
        <v/>
      </c>
      <c r="K1767" s="740" t="str">
        <f>IF($I1625="","",IF(INDEX(F_ProductBM!K:K,MATCH($P1767,F_ProductBM!$Q:$Q,0))="","",INDEX(F_ProductBM!K:K,MATCH($P1767,F_ProductBM!$Q:$Q,0))))</f>
        <v/>
      </c>
      <c r="L1767" s="740" t="str">
        <f>IF($I1625="","",IF(INDEX(F_ProductBM!L:L,MATCH($P1767,F_ProductBM!$Q:$Q,0))="","",INDEX(F_ProductBM!L:L,MATCH($P1767,F_ProductBM!$Q:$Q,0))))</f>
        <v/>
      </c>
      <c r="M1767" s="740" t="str">
        <f>IF($I1625="","",IF(INDEX(F_ProductBM!M:M,MATCH($P1767,F_ProductBM!$Q:$Q,0))="","",INDEX(F_ProductBM!M:M,MATCH($P1767,F_ProductBM!$Q:$Q,0))))</f>
        <v/>
      </c>
      <c r="N1767" s="1457" t="str">
        <f>IF($I1625="","",IF(INDEX(F_ProductBM!N:N,MATCH($P1767,F_ProductBM!$Q:$Q,0))="","",INDEX(F_ProductBM!N:N,MATCH($P1767,F_ProductBM!$Q:$Q,0))))</f>
        <v/>
      </c>
      <c r="O1767" s="19"/>
      <c r="P1767" s="298" t="str">
        <f>EUconst_CNTR_WGConsumedEF &amp; I1625</f>
        <v>WasteGasConsEF_</v>
      </c>
      <c r="Q1767" s="343"/>
      <c r="R1767" s="343"/>
      <c r="S1767" s="343"/>
      <c r="T1767" s="7"/>
      <c r="U1767" s="349"/>
      <c r="V1767" s="349"/>
    </row>
    <row r="1768" spans="1:22" s="534" customFormat="1" ht="12.75" customHeight="1" x14ac:dyDescent="0.25">
      <c r="A1768" s="343"/>
      <c r="B1768" s="15"/>
      <c r="C1768" s="15"/>
      <c r="D1768" s="1454"/>
      <c r="E1768" s="2611" t="str">
        <f>Translations!$B$630</f>
        <v>Facklad restgas</v>
      </c>
      <c r="F1768" s="2484"/>
      <c r="G1768" s="365" t="str">
        <f>EUconst_TJpa</f>
        <v>TJ / år</v>
      </c>
      <c r="H1768" s="739" t="str">
        <f>IF($I1625="","",IF(INDEX(F_ProductBM!H:H,MATCH($P1768,F_ProductBM!$Q:$Q,0))="","",INDEX(F_ProductBM!H:H,MATCH($P1768,F_ProductBM!$Q:$Q,0))))</f>
        <v/>
      </c>
      <c r="I1768" s="1153" t="str">
        <f>IF($I1625="","",IF(INDEX(F_ProductBM!I:I,MATCH($P1768,F_ProductBM!$Q:$Q,0))="","",INDEX(F_ProductBM!I:I,MATCH($P1768,F_ProductBM!$Q:$Q,0))))</f>
        <v/>
      </c>
      <c r="J1768" s="1159" t="str">
        <f>IF($I1625="","",IF(INDEX(F_ProductBM!J:J,MATCH($P1768,F_ProductBM!$Q:$Q,0))="","",INDEX(F_ProductBM!J:J,MATCH($P1768,F_ProductBM!$Q:$Q,0))))</f>
        <v/>
      </c>
      <c r="K1768" s="739" t="str">
        <f>IF($I1625="","",IF(INDEX(F_ProductBM!K:K,MATCH($P1768,F_ProductBM!$Q:$Q,0))="","",INDEX(F_ProductBM!K:K,MATCH($P1768,F_ProductBM!$Q:$Q,0))))</f>
        <v/>
      </c>
      <c r="L1768" s="739" t="str">
        <f>IF($I1625="","",IF(INDEX(F_ProductBM!L:L,MATCH($P1768,F_ProductBM!$Q:$Q,0))="","",INDEX(F_ProductBM!L:L,MATCH($P1768,F_ProductBM!$Q:$Q,0))))</f>
        <v/>
      </c>
      <c r="M1768" s="739" t="str">
        <f>IF($I1625="","",IF(INDEX(F_ProductBM!M:M,MATCH($P1768,F_ProductBM!$Q:$Q,0))="","",INDEX(F_ProductBM!M:M,MATCH($P1768,F_ProductBM!$Q:$Q,0))))</f>
        <v/>
      </c>
      <c r="N1768" s="1456" t="str">
        <f>IF($I1625="","",IF(INDEX(F_ProductBM!N:N,MATCH($P1768,F_ProductBM!$Q:$Q,0))="","",INDEX(F_ProductBM!N:N,MATCH($P1768,F_ProductBM!$Q:$Q,0))))</f>
        <v/>
      </c>
      <c r="O1768" s="19"/>
      <c r="P1768" s="298" t="str">
        <f>EUconst_CNTR_WGFlared &amp; I1625</f>
        <v>WasteGasFlare_</v>
      </c>
      <c r="Q1768" s="343"/>
      <c r="R1768" s="343"/>
      <c r="S1768" s="343"/>
      <c r="T1768" s="7"/>
      <c r="U1768" s="349"/>
      <c r="V1768" s="349"/>
    </row>
    <row r="1769" spans="1:22" s="534" customFormat="1" ht="12.75" customHeight="1" x14ac:dyDescent="0.25">
      <c r="A1769" s="343"/>
      <c r="B1769" s="15"/>
      <c r="C1769" s="15"/>
      <c r="D1769" s="1454"/>
      <c r="E1769" s="2612" t="str">
        <f>Translations!$B$631</f>
        <v>Särskild emissionsfaktor (facklad restgas)</v>
      </c>
      <c r="F1769" s="2487"/>
      <c r="G1769" s="384" t="str">
        <f>EUconst_tCO2pTJ</f>
        <v>t CO2 / TJ</v>
      </c>
      <c r="H1769" s="740" t="str">
        <f>IF($I1625="","",IF(INDEX(F_ProductBM!H:H,MATCH($P1769,F_ProductBM!$Q:$Q,0))="","",INDEX(F_ProductBM!H:H,MATCH($P1769,F_ProductBM!$Q:$Q,0))))</f>
        <v/>
      </c>
      <c r="I1769" s="1154" t="str">
        <f>IF($I1625="","",IF(INDEX(F_ProductBM!I:I,MATCH($P1769,F_ProductBM!$Q:$Q,0))="","",INDEX(F_ProductBM!I:I,MATCH($P1769,F_ProductBM!$Q:$Q,0))))</f>
        <v/>
      </c>
      <c r="J1769" s="1160" t="str">
        <f>IF($I1625="","",IF(INDEX(F_ProductBM!J:J,MATCH($P1769,F_ProductBM!$Q:$Q,0))="","",INDEX(F_ProductBM!J:J,MATCH($P1769,F_ProductBM!$Q:$Q,0))))</f>
        <v/>
      </c>
      <c r="K1769" s="740" t="str">
        <f>IF($I1625="","",IF(INDEX(F_ProductBM!K:K,MATCH($P1769,F_ProductBM!$Q:$Q,0))="","",INDEX(F_ProductBM!K:K,MATCH($P1769,F_ProductBM!$Q:$Q,0))))</f>
        <v/>
      </c>
      <c r="L1769" s="740" t="str">
        <f>IF($I1625="","",IF(INDEX(F_ProductBM!L:L,MATCH($P1769,F_ProductBM!$Q:$Q,0))="","",INDEX(F_ProductBM!L:L,MATCH($P1769,F_ProductBM!$Q:$Q,0))))</f>
        <v/>
      </c>
      <c r="M1769" s="740" t="str">
        <f>IF($I1625="","",IF(INDEX(F_ProductBM!M:M,MATCH($P1769,F_ProductBM!$Q:$Q,0))="","",INDEX(F_ProductBM!M:M,MATCH($P1769,F_ProductBM!$Q:$Q,0))))</f>
        <v/>
      </c>
      <c r="N1769" s="1457" t="str">
        <f>IF($I1625="","",IF(INDEX(F_ProductBM!N:N,MATCH($P1769,F_ProductBM!$Q:$Q,0))="","",INDEX(F_ProductBM!N:N,MATCH($P1769,F_ProductBM!$Q:$Q,0))))</f>
        <v/>
      </c>
      <c r="O1769" s="19"/>
      <c r="P1769" s="298" t="str">
        <f>EUconst_CNTR_WGFlaredEF &amp; I1625</f>
        <v>WasteGasFlareEF_</v>
      </c>
      <c r="Q1769" s="343"/>
      <c r="R1769" s="343"/>
      <c r="S1769" s="343"/>
      <c r="T1769" s="7"/>
      <c r="U1769" s="349"/>
      <c r="V1769" s="349"/>
    </row>
    <row r="1770" spans="1:22" s="534" customFormat="1" ht="12.75" customHeight="1" x14ac:dyDescent="0.25">
      <c r="A1770" s="343"/>
      <c r="B1770" s="15"/>
      <c r="C1770" s="15"/>
      <c r="D1770" s="1454"/>
      <c r="E1770" s="2611" t="str">
        <f>Translations!$B$636</f>
        <v>Importerad restgas</v>
      </c>
      <c r="F1770" s="2484"/>
      <c r="G1770" s="365" t="str">
        <f>EUconst_TJpa</f>
        <v>TJ / år</v>
      </c>
      <c r="H1770" s="739" t="str">
        <f>IF($I1625="","",IF(INDEX(F_ProductBM!H:H,MATCH($P1770,F_ProductBM!$Q:$Q,0))="","",INDEX(F_ProductBM!H:H,MATCH($P1770,F_ProductBM!$Q:$Q,0))))</f>
        <v/>
      </c>
      <c r="I1770" s="1153" t="str">
        <f>IF($I1625="","",IF(INDEX(F_ProductBM!I:I,MATCH($P1770,F_ProductBM!$Q:$Q,0))="","",INDEX(F_ProductBM!I:I,MATCH($P1770,F_ProductBM!$Q:$Q,0))))</f>
        <v/>
      </c>
      <c r="J1770" s="1159" t="str">
        <f>IF($I1625="","",IF(INDEX(F_ProductBM!J:J,MATCH($P1770,F_ProductBM!$Q:$Q,0))="","",INDEX(F_ProductBM!J:J,MATCH($P1770,F_ProductBM!$Q:$Q,0))))</f>
        <v/>
      </c>
      <c r="K1770" s="739" t="str">
        <f>IF($I1625="","",IF(INDEX(F_ProductBM!K:K,MATCH($P1770,F_ProductBM!$Q:$Q,0))="","",INDEX(F_ProductBM!K:K,MATCH($P1770,F_ProductBM!$Q:$Q,0))))</f>
        <v/>
      </c>
      <c r="L1770" s="739" t="str">
        <f>IF($I1625="","",IF(INDEX(F_ProductBM!L:L,MATCH($P1770,F_ProductBM!$Q:$Q,0))="","",INDEX(F_ProductBM!L:L,MATCH($P1770,F_ProductBM!$Q:$Q,0))))</f>
        <v/>
      </c>
      <c r="M1770" s="739" t="str">
        <f>IF($I1625="","",IF(INDEX(F_ProductBM!M:M,MATCH($P1770,F_ProductBM!$Q:$Q,0))="","",INDEX(F_ProductBM!M:M,MATCH($P1770,F_ProductBM!$Q:$Q,0))))</f>
        <v/>
      </c>
      <c r="N1770" s="1456" t="str">
        <f>IF($I1625="","",IF(INDEX(F_ProductBM!N:N,MATCH($P1770,F_ProductBM!$Q:$Q,0))="","",INDEX(F_ProductBM!N:N,MATCH($P1770,F_ProductBM!$Q:$Q,0))))</f>
        <v/>
      </c>
      <c r="O1770" s="19"/>
      <c r="P1770" s="298" t="str">
        <f>EUconst_CNTR_WGImport &amp; I1625</f>
        <v>WasteGasIm_</v>
      </c>
      <c r="Q1770" s="343"/>
      <c r="R1770" s="343"/>
      <c r="S1770" s="343"/>
      <c r="T1770" s="7"/>
      <c r="U1770" s="349"/>
      <c r="V1770" s="349"/>
    </row>
    <row r="1771" spans="1:22" s="534" customFormat="1" ht="12.75" customHeight="1" x14ac:dyDescent="0.25">
      <c r="A1771" s="343"/>
      <c r="B1771" s="15"/>
      <c r="C1771" s="15"/>
      <c r="D1771" s="1454"/>
      <c r="E1771" s="1776" t="str">
        <f>Translations!$B$637</f>
        <v>Särskild emissionsfaktor (importerad restgas)</v>
      </c>
      <c r="F1771" s="1776"/>
      <c r="G1771" s="624" t="str">
        <f>EUconst_tCO2pTJ</f>
        <v>t CO2 / TJ</v>
      </c>
      <c r="H1771" s="740" t="str">
        <f>IF($I1625="","",IF(INDEX(F_ProductBM!H:H,MATCH($P1771,F_ProductBM!$Q:$Q,0))="","",INDEX(F_ProductBM!H:H,MATCH($P1771,F_ProductBM!$Q:$Q,0))))</f>
        <v/>
      </c>
      <c r="I1771" s="1154" t="str">
        <f>IF($I1625="","",IF(INDEX(F_ProductBM!I:I,MATCH($P1771,F_ProductBM!$Q:$Q,0))="","",INDEX(F_ProductBM!I:I,MATCH($P1771,F_ProductBM!$Q:$Q,0))))</f>
        <v/>
      </c>
      <c r="J1771" s="1160" t="str">
        <f>IF($I1625="","",IF(INDEX(F_ProductBM!J:J,MATCH($P1771,F_ProductBM!$Q:$Q,0))="","",INDEX(F_ProductBM!J:J,MATCH($P1771,F_ProductBM!$Q:$Q,0))))</f>
        <v/>
      </c>
      <c r="K1771" s="740" t="str">
        <f>IF($I1625="","",IF(INDEX(F_ProductBM!K:K,MATCH($P1771,F_ProductBM!$Q:$Q,0))="","",INDEX(F_ProductBM!K:K,MATCH($P1771,F_ProductBM!$Q:$Q,0))))</f>
        <v/>
      </c>
      <c r="L1771" s="740" t="str">
        <f>IF($I1625="","",IF(INDEX(F_ProductBM!L:L,MATCH($P1771,F_ProductBM!$Q:$Q,0))="","",INDEX(F_ProductBM!L:L,MATCH($P1771,F_ProductBM!$Q:$Q,0))))</f>
        <v/>
      </c>
      <c r="M1771" s="740" t="str">
        <f>IF($I1625="","",IF(INDEX(F_ProductBM!M:M,MATCH($P1771,F_ProductBM!$Q:$Q,0))="","",INDEX(F_ProductBM!M:M,MATCH($P1771,F_ProductBM!$Q:$Q,0))))</f>
        <v/>
      </c>
      <c r="N1771" s="1457" t="str">
        <f>IF($I1625="","",IF(INDEX(F_ProductBM!N:N,MATCH($P1771,F_ProductBM!$Q:$Q,0))="","",INDEX(F_ProductBM!N:N,MATCH($P1771,F_ProductBM!$Q:$Q,0))))</f>
        <v/>
      </c>
      <c r="O1771" s="19"/>
      <c r="P1771" s="298" t="str">
        <f>EUconst_CNTR_WGImportEF &amp; I1625</f>
        <v>WasteGasImEF_</v>
      </c>
      <c r="Q1771" s="343"/>
      <c r="R1771" s="343"/>
      <c r="S1771" s="343"/>
      <c r="T1771" s="7"/>
      <c r="U1771" s="349"/>
      <c r="V1771" s="349"/>
    </row>
    <row r="1772" spans="1:22" s="534" customFormat="1" ht="12.75" customHeight="1" x14ac:dyDescent="0.25">
      <c r="A1772" s="343"/>
      <c r="B1772" s="15"/>
      <c r="C1772" s="15"/>
      <c r="D1772" s="1454"/>
      <c r="E1772" s="2611" t="str">
        <f>Translations!$B$641</f>
        <v>Exporterad restgas</v>
      </c>
      <c r="F1772" s="2484"/>
      <c r="G1772" s="365" t="str">
        <f>EUconst_TJpa</f>
        <v>TJ / år</v>
      </c>
      <c r="H1772" s="739" t="str">
        <f>IF($I1625="","",IF(INDEX(F_ProductBM!H:H,MATCH($P1772,F_ProductBM!$Q:$Q,0))="","",INDEX(F_ProductBM!H:H,MATCH($P1772,F_ProductBM!$Q:$Q,0))))</f>
        <v/>
      </c>
      <c r="I1772" s="1153" t="str">
        <f>IF($I1625="","",IF(INDEX(F_ProductBM!I:I,MATCH($P1772,F_ProductBM!$Q:$Q,0))="","",INDEX(F_ProductBM!I:I,MATCH($P1772,F_ProductBM!$Q:$Q,0))))</f>
        <v/>
      </c>
      <c r="J1772" s="1159" t="str">
        <f>IF($I1625="","",IF(INDEX(F_ProductBM!J:J,MATCH($P1772,F_ProductBM!$Q:$Q,0))="","",INDEX(F_ProductBM!J:J,MATCH($P1772,F_ProductBM!$Q:$Q,0))))</f>
        <v/>
      </c>
      <c r="K1772" s="739" t="str">
        <f>IF($I1625="","",IF(INDEX(F_ProductBM!K:K,MATCH($P1772,F_ProductBM!$Q:$Q,0))="","",INDEX(F_ProductBM!K:K,MATCH($P1772,F_ProductBM!$Q:$Q,0))))</f>
        <v/>
      </c>
      <c r="L1772" s="739" t="str">
        <f>IF($I1625="","",IF(INDEX(F_ProductBM!L:L,MATCH($P1772,F_ProductBM!$Q:$Q,0))="","",INDEX(F_ProductBM!L:L,MATCH($P1772,F_ProductBM!$Q:$Q,0))))</f>
        <v/>
      </c>
      <c r="M1772" s="739" t="str">
        <f>IF($I1625="","",IF(INDEX(F_ProductBM!M:M,MATCH($P1772,F_ProductBM!$Q:$Q,0))="","",INDEX(F_ProductBM!M:M,MATCH($P1772,F_ProductBM!$Q:$Q,0))))</f>
        <v/>
      </c>
      <c r="N1772" s="1456" t="str">
        <f>IF($I1625="","",IF(INDEX(F_ProductBM!N:N,MATCH($P1772,F_ProductBM!$Q:$Q,0))="","",INDEX(F_ProductBM!N:N,MATCH($P1772,F_ProductBM!$Q:$Q,0))))</f>
        <v/>
      </c>
      <c r="O1772" s="19"/>
      <c r="P1772" s="298" t="str">
        <f>EUconst_CNTR_WGExport &amp; I1625</f>
        <v>WasteGasEx_</v>
      </c>
      <c r="Q1772" s="343"/>
      <c r="R1772" s="343"/>
      <c r="S1772" s="343"/>
      <c r="T1772" s="7"/>
      <c r="U1772" s="349"/>
      <c r="V1772" s="349"/>
    </row>
    <row r="1773" spans="1:22" s="534" customFormat="1" ht="12.75" customHeight="1" x14ac:dyDescent="0.25">
      <c r="A1773" s="343"/>
      <c r="B1773" s="15"/>
      <c r="C1773" s="15"/>
      <c r="D1773" s="1454"/>
      <c r="E1773" s="2612" t="str">
        <f>Translations!$B$642</f>
        <v>Särskild emissionsfaktor (exporterad restgas)</v>
      </c>
      <c r="F1773" s="2487"/>
      <c r="G1773" s="624" t="str">
        <f>EUconst_tCO2pTJ</f>
        <v>t CO2 / TJ</v>
      </c>
      <c r="H1773" s="740" t="str">
        <f>IF($I1625="","",IF(INDEX(F_ProductBM!H:H,MATCH($P1773,F_ProductBM!$Q:$Q,0))="","",INDEX(F_ProductBM!H:H,MATCH($P1773,F_ProductBM!$Q:$Q,0))))</f>
        <v/>
      </c>
      <c r="I1773" s="1154" t="str">
        <f>IF($I1625="","",IF(INDEX(F_ProductBM!I:I,MATCH($P1773,F_ProductBM!$Q:$Q,0))="","",INDEX(F_ProductBM!I:I,MATCH($P1773,F_ProductBM!$Q:$Q,0))))</f>
        <v/>
      </c>
      <c r="J1773" s="1160" t="str">
        <f>IF($I1625="","",IF(INDEX(F_ProductBM!J:J,MATCH($P1773,F_ProductBM!$Q:$Q,0))="","",INDEX(F_ProductBM!J:J,MATCH($P1773,F_ProductBM!$Q:$Q,0))))</f>
        <v/>
      </c>
      <c r="K1773" s="740" t="str">
        <f>IF($I1625="","",IF(INDEX(F_ProductBM!K:K,MATCH($P1773,F_ProductBM!$Q:$Q,0))="","",INDEX(F_ProductBM!K:K,MATCH($P1773,F_ProductBM!$Q:$Q,0))))</f>
        <v/>
      </c>
      <c r="L1773" s="740" t="str">
        <f>IF($I1625="","",IF(INDEX(F_ProductBM!L:L,MATCH($P1773,F_ProductBM!$Q:$Q,0))="","",INDEX(F_ProductBM!L:L,MATCH($P1773,F_ProductBM!$Q:$Q,0))))</f>
        <v/>
      </c>
      <c r="M1773" s="740" t="str">
        <f>IF($I1625="","",IF(INDEX(F_ProductBM!M:M,MATCH($P1773,F_ProductBM!$Q:$Q,0))="","",INDEX(F_ProductBM!M:M,MATCH($P1773,F_ProductBM!$Q:$Q,0))))</f>
        <v/>
      </c>
      <c r="N1773" s="1457" t="str">
        <f>IF($I1625="","",IF(INDEX(F_ProductBM!N:N,MATCH($P1773,F_ProductBM!$Q:$Q,0))="","",INDEX(F_ProductBM!N:N,MATCH($P1773,F_ProductBM!$Q:$Q,0))))</f>
        <v/>
      </c>
      <c r="O1773" s="19"/>
      <c r="P1773" s="298" t="str">
        <f>EUconst_CNTR_WGExportEF &amp; I1625</f>
        <v>WasteGasExEF_</v>
      </c>
      <c r="Q1773" s="343"/>
      <c r="R1773" s="343"/>
      <c r="S1773" s="343"/>
      <c r="T1773" s="7"/>
      <c r="U1773" s="349"/>
      <c r="V1773" s="349"/>
    </row>
    <row r="1774" spans="1:22" s="534" customFormat="1" ht="5.15" customHeight="1" x14ac:dyDescent="0.25">
      <c r="A1774" s="343"/>
      <c r="B1774" s="15"/>
      <c r="C1774" s="15"/>
      <c r="D1774" s="1454"/>
      <c r="E1774" s="899"/>
      <c r="F1774" s="899"/>
      <c r="G1774" s="416"/>
      <c r="H1774" s="741"/>
      <c r="I1774" s="741"/>
      <c r="J1774" s="741"/>
      <c r="K1774" s="741"/>
      <c r="L1774" s="741"/>
      <c r="M1774" s="741"/>
      <c r="N1774" s="1458"/>
      <c r="O1774" s="19"/>
      <c r="P1774" s="7"/>
      <c r="Q1774" s="343"/>
      <c r="R1774" s="343"/>
      <c r="S1774" s="343"/>
      <c r="T1774" s="7"/>
      <c r="U1774" s="349"/>
      <c r="V1774" s="349"/>
    </row>
    <row r="1775" spans="1:22" s="534" customFormat="1" ht="12.75" customHeight="1" x14ac:dyDescent="0.25">
      <c r="A1775" s="343"/>
      <c r="B1775" s="15"/>
      <c r="C1775" s="15"/>
      <c r="D1775" s="1454"/>
      <c r="E1775" s="2613" t="str">
        <f>Translations!$B$530</f>
        <v>Relevant elförbrukning</v>
      </c>
      <c r="F1775" s="1997"/>
      <c r="G1775" s="364" t="str">
        <f>EUconst_MWhpa</f>
        <v>MWh / år</v>
      </c>
      <c r="H1775" s="742" t="str">
        <f>IF($I1625="","",IF(INDEX(F_ProductBM!H:H,MATCH($P1775,F_ProductBM!$R:$R,0))="","",INDEX(F_ProductBM!H:H,MATCH($P1775,F_ProductBM!$R:$R,0))))</f>
        <v/>
      </c>
      <c r="I1775" s="1021" t="str">
        <f>IF($I1625="","",IF(INDEX(F_ProductBM!I:I,MATCH($P1775,F_ProductBM!$R:$R,0))="","",INDEX(F_ProductBM!I:I,MATCH($P1775,F_ProductBM!$R:$R,0))))</f>
        <v/>
      </c>
      <c r="J1775" s="1158" t="str">
        <f>IF($I1625="","",IF(INDEX(F_ProductBM!J:J,MATCH($P1775,F_ProductBM!$R:$R,0))="","",INDEX(F_ProductBM!J:J,MATCH($P1775,F_ProductBM!$R:$R,0))))</f>
        <v/>
      </c>
      <c r="K1775" s="742" t="str">
        <f>IF($I1625="","",IF(INDEX(F_ProductBM!K:K,MATCH($P1775,F_ProductBM!$R:$R,0))="","",INDEX(F_ProductBM!K:K,MATCH($P1775,F_ProductBM!$R:$R,0))))</f>
        <v/>
      </c>
      <c r="L1775" s="742" t="str">
        <f>IF($I1625="","",IF(INDEX(F_ProductBM!L:L,MATCH($P1775,F_ProductBM!$R:$R,0))="","",INDEX(F_ProductBM!L:L,MATCH($P1775,F_ProductBM!$R:$R,0))))</f>
        <v/>
      </c>
      <c r="M1775" s="742" t="str">
        <f>IF($I1625="","",IF(INDEX(F_ProductBM!M:M,MATCH($P1775,F_ProductBM!$R:$R,0))="","",INDEX(F_ProductBM!M:M,MATCH($P1775,F_ProductBM!$R:$R,0))))</f>
        <v/>
      </c>
      <c r="N1775" s="1459" t="str">
        <f>IF($I1625="","",IF(INDEX(F_ProductBM!N:N,MATCH($P1775,F_ProductBM!$R:$R,0))="","",INDEX(F_ProductBM!N:N,MATCH($P1775,F_ProductBM!$R:$R,0))))</f>
        <v/>
      </c>
      <c r="O1775" s="19"/>
      <c r="P1775" s="165" t="str">
        <f>EUconst_CNTR_HAL&amp;EUconst_CNTR_ELEXCH &amp; I1625</f>
        <v>HAL_ELEXCH_</v>
      </c>
      <c r="Q1775" s="343"/>
      <c r="R1775" s="343"/>
      <c r="S1775" s="343"/>
      <c r="T1775" s="7"/>
      <c r="U1775" s="349"/>
      <c r="V1775" s="349"/>
    </row>
    <row r="1776" spans="1:22" s="534" customFormat="1" ht="12.75" customHeight="1" x14ac:dyDescent="0.25">
      <c r="A1776" s="343"/>
      <c r="B1776" s="15"/>
      <c r="C1776" s="15"/>
      <c r="D1776" s="1454"/>
      <c r="E1776" s="2613" t="str">
        <f>Translations!$B$645</f>
        <v>Producerad el</v>
      </c>
      <c r="F1776" s="1997"/>
      <c r="G1776" s="364" t="str">
        <f>EUconst_MWhpa</f>
        <v>MWh / år</v>
      </c>
      <c r="H1776" s="742" t="str">
        <f>IF($I1625="","",IF(INDEX(F_ProductBM!H:H,MATCH($P1776,F_ProductBM!$Q:$Q,0))="","",INDEX(F_ProductBM!H:H,MATCH($P1776,F_ProductBM!$Q:$Q,0))))</f>
        <v/>
      </c>
      <c r="I1776" s="1021" t="str">
        <f>IF($I1625="","",IF(INDEX(F_ProductBM!I:I,MATCH($P1776,F_ProductBM!$Q:$Q,0))="","",INDEX(F_ProductBM!I:I,MATCH($P1776,F_ProductBM!$Q:$Q,0))))</f>
        <v/>
      </c>
      <c r="J1776" s="1158" t="str">
        <f>IF($I1625="","",IF(INDEX(F_ProductBM!J:J,MATCH($P1776,F_ProductBM!$Q:$Q,0))="","",INDEX(F_ProductBM!J:J,MATCH($P1776,F_ProductBM!$Q:$Q,0))))</f>
        <v/>
      </c>
      <c r="K1776" s="742" t="str">
        <f>IF($I1625="","",IF(INDEX(F_ProductBM!K:K,MATCH($P1776,F_ProductBM!$Q:$Q,0))="","",INDEX(F_ProductBM!K:K,MATCH($P1776,F_ProductBM!$Q:$Q,0))))</f>
        <v/>
      </c>
      <c r="L1776" s="742" t="str">
        <f>IF($I1625="","",IF(INDEX(F_ProductBM!L:L,MATCH($P1776,F_ProductBM!$Q:$Q,0))="","",INDEX(F_ProductBM!L:L,MATCH($P1776,F_ProductBM!$Q:$Q,0))))</f>
        <v/>
      </c>
      <c r="M1776" s="742" t="str">
        <f>IF($I1625="","",IF(INDEX(F_ProductBM!M:M,MATCH($P1776,F_ProductBM!$Q:$Q,0))="","",INDEX(F_ProductBM!M:M,MATCH($P1776,F_ProductBM!$Q:$Q,0))))</f>
        <v/>
      </c>
      <c r="N1776" s="1459" t="str">
        <f>IF($I1625="","",IF(INDEX(F_ProductBM!N:N,MATCH($P1776,F_ProductBM!$Q:$Q,0))="","",INDEX(F_ProductBM!N:N,MATCH($P1776,F_ProductBM!$Q:$Q,0))))</f>
        <v/>
      </c>
      <c r="O1776" s="19"/>
      <c r="P1776" s="298" t="str">
        <f>EUconst_CNTR_ElectricityExported &amp; I1625</f>
        <v>ElecEx_</v>
      </c>
      <c r="Q1776" s="343"/>
      <c r="R1776" s="343"/>
      <c r="S1776" s="343"/>
      <c r="T1776" s="7"/>
      <c r="U1776" s="349"/>
      <c r="V1776" s="349"/>
    </row>
    <row r="1777" spans="1:22" s="534" customFormat="1" ht="5.15" customHeight="1" x14ac:dyDescent="0.25">
      <c r="A1777" s="343"/>
      <c r="B1777" s="15"/>
      <c r="C1777" s="15"/>
      <c r="D1777" s="1454"/>
      <c r="E1777" s="899"/>
      <c r="F1777" s="899"/>
      <c r="G1777" s="416"/>
      <c r="H1777" s="741"/>
      <c r="I1777" s="741"/>
      <c r="J1777" s="741"/>
      <c r="K1777" s="741"/>
      <c r="L1777" s="741"/>
      <c r="M1777" s="741"/>
      <c r="N1777" s="1458"/>
      <c r="O1777" s="19"/>
      <c r="P1777" s="7"/>
      <c r="Q1777" s="343"/>
      <c r="R1777" s="343"/>
      <c r="S1777" s="343"/>
      <c r="T1777" s="7"/>
      <c r="U1777" s="349"/>
      <c r="V1777" s="349"/>
    </row>
    <row r="1778" spans="1:22" s="534" customFormat="1" ht="12.75" customHeight="1" x14ac:dyDescent="0.25">
      <c r="A1778" s="343"/>
      <c r="B1778" s="15"/>
      <c r="C1778" s="15"/>
      <c r="D1778" s="1454"/>
      <c r="E1778" s="2613" t="str">
        <f>Translations!$B$646</f>
        <v>Total producerad massamängd</v>
      </c>
      <c r="F1778" s="1997"/>
      <c r="G1778" s="364" t="str">
        <f>EUconst_Tons</f>
        <v>ton</v>
      </c>
      <c r="H1778" s="742" t="str">
        <f>IF($I1625="","",IF(INDEX(F_ProductBM!H:H,MATCH($P1778,F_ProductBM!$Q:$Q,0))="","",INDEX(F_ProductBM!H:H,MATCH($P1778,F_ProductBM!$Q:$Q,0))))</f>
        <v/>
      </c>
      <c r="I1778" s="1021" t="str">
        <f>IF($I1625="","",IF(INDEX(F_ProductBM!I:I,MATCH($P1778,F_ProductBM!$Q:$Q,0))="","",INDEX(F_ProductBM!I:I,MATCH($P1778,F_ProductBM!$Q:$Q,0))))</f>
        <v/>
      </c>
      <c r="J1778" s="1158" t="str">
        <f>IF($I1625="","",IF(INDEX(F_ProductBM!J:J,MATCH($P1778,F_ProductBM!$Q:$Q,0))="","",INDEX(F_ProductBM!J:J,MATCH($P1778,F_ProductBM!$Q:$Q,0))))</f>
        <v/>
      </c>
      <c r="K1778" s="742" t="str">
        <f>IF($I1625="","",IF(INDEX(F_ProductBM!K:K,MATCH($P1778,F_ProductBM!$Q:$Q,0))="","",INDEX(F_ProductBM!K:K,MATCH($P1778,F_ProductBM!$Q:$Q,0))))</f>
        <v/>
      </c>
      <c r="L1778" s="742" t="str">
        <f>IF($I1625="","",IF(INDEX(F_ProductBM!L:L,MATCH($P1778,F_ProductBM!$Q:$Q,0))="","",INDEX(F_ProductBM!L:L,MATCH($P1778,F_ProductBM!$Q:$Q,0))))</f>
        <v/>
      </c>
      <c r="M1778" s="742" t="str">
        <f>IF($I1625="","",IF(INDEX(F_ProductBM!M:M,MATCH($P1778,F_ProductBM!$Q:$Q,0))="","",INDEX(F_ProductBM!M:M,MATCH($P1778,F_ProductBM!$Q:$Q,0))))</f>
        <v/>
      </c>
      <c r="N1778" s="1459" t="str">
        <f>IF($I1625="","",IF(INDEX(F_ProductBM!N:N,MATCH($P1778,F_ProductBM!$Q:$Q,0))="","",INDEX(F_ProductBM!N:N,MATCH($P1778,F_ProductBM!$Q:$Q,0))))</f>
        <v/>
      </c>
      <c r="O1778" s="19"/>
      <c r="P1778" s="298" t="str">
        <f>EUconst_CNTR_HALPulpTotal &amp; I1625</f>
        <v>HALPulpTotal_</v>
      </c>
      <c r="Q1778" s="343"/>
      <c r="R1778" s="343"/>
      <c r="S1778" s="343"/>
      <c r="T1778" s="7"/>
      <c r="U1778" s="349"/>
      <c r="V1778" s="349"/>
    </row>
    <row r="1779" spans="1:22" s="534" customFormat="1" ht="5.15" customHeight="1" x14ac:dyDescent="0.25">
      <c r="A1779" s="343"/>
      <c r="B1779" s="15"/>
      <c r="C1779" s="15"/>
      <c r="D1779" s="1454"/>
      <c r="E1779" s="899"/>
      <c r="F1779" s="899"/>
      <c r="G1779" s="416"/>
      <c r="H1779" s="741"/>
      <c r="I1779" s="741"/>
      <c r="J1779" s="741"/>
      <c r="K1779" s="741"/>
      <c r="L1779" s="741"/>
      <c r="M1779" s="741"/>
      <c r="N1779" s="1458"/>
      <c r="O1779" s="19"/>
      <c r="P1779" s="7"/>
      <c r="Q1779" s="343"/>
      <c r="R1779" s="343"/>
      <c r="S1779" s="343"/>
      <c r="T1779" s="7"/>
      <c r="U1779" s="349"/>
      <c r="V1779" s="349"/>
    </row>
    <row r="1780" spans="1:22" s="534" customFormat="1" x14ac:dyDescent="0.25">
      <c r="A1780" s="343"/>
      <c r="B1780" s="15"/>
      <c r="C1780" s="15"/>
      <c r="D1780" s="1454"/>
      <c r="E1780" s="2785" t="str">
        <f>Translations!$B$1057</f>
        <v>Mellanimport:</v>
      </c>
      <c r="F1780" s="2497"/>
      <c r="G1780" s="416"/>
      <c r="H1780" s="741"/>
      <c r="I1780" s="741"/>
      <c r="J1780" s="741"/>
      <c r="K1780" s="741"/>
      <c r="L1780" s="741"/>
      <c r="M1780" s="741"/>
      <c r="N1780" s="1458"/>
      <c r="O1780" s="19"/>
      <c r="P1780" s="7"/>
      <c r="Q1780" s="343"/>
      <c r="R1780" s="343"/>
      <c r="S1780" s="343"/>
      <c r="T1780" s="7"/>
      <c r="U1780" s="349"/>
      <c r="V1780" s="349"/>
    </row>
    <row r="1781" spans="1:22" s="534" customFormat="1" x14ac:dyDescent="0.25">
      <c r="A1781" s="343"/>
      <c r="B1781" s="15"/>
      <c r="C1781" s="15"/>
      <c r="D1781" s="1454"/>
      <c r="E1781" s="2617" t="str">
        <f>IF(I1625="","",IF(INDEX(F_ProductBM!E:E,MATCH($P1781,F_ProductBM!$Q:$Q,0))="","",INDEX(F_ProductBM!E:E,MATCH($P1781,F_ProductBM!$Q:$Q,0))))</f>
        <v/>
      </c>
      <c r="F1781" s="1997"/>
      <c r="G1781" s="364" t="str">
        <f>EUconst_Tons</f>
        <v>ton</v>
      </c>
      <c r="H1781" s="742" t="str">
        <f>IF($I1625="","",IF(INDEX(F_ProductBM!H:H,MATCH($P1781,F_ProductBM!$Q:$Q,0))="","",INDEX(F_ProductBM!H:H,MATCH($P1781,F_ProductBM!$Q:$Q,0))))</f>
        <v/>
      </c>
      <c r="I1781" s="1021" t="str">
        <f>IF($I1625="","",IF(INDEX(F_ProductBM!I:I,MATCH($P1781,F_ProductBM!$Q:$Q,0))="","",INDEX(F_ProductBM!I:I,MATCH($P1781,F_ProductBM!$Q:$Q,0))))</f>
        <v/>
      </c>
      <c r="J1781" s="1158" t="str">
        <f>IF($I1625="","",IF(INDEX(F_ProductBM!J:J,MATCH($P1781,F_ProductBM!$Q:$Q,0))="","",INDEX(F_ProductBM!J:J,MATCH($P1781,F_ProductBM!$Q:$Q,0))))</f>
        <v/>
      </c>
      <c r="K1781" s="742" t="str">
        <f>IF($I1625="","",IF(INDEX(F_ProductBM!K:K,MATCH($P1781,F_ProductBM!$Q:$Q,0))="","",INDEX(F_ProductBM!K:K,MATCH($P1781,F_ProductBM!$Q:$Q,0))))</f>
        <v/>
      </c>
      <c r="L1781" s="742" t="str">
        <f>IF($I1625="","",IF(INDEX(F_ProductBM!L:L,MATCH($P1781,F_ProductBM!$Q:$Q,0))="","",INDEX(F_ProductBM!L:L,MATCH($P1781,F_ProductBM!$Q:$Q,0))))</f>
        <v/>
      </c>
      <c r="M1781" s="742" t="str">
        <f>IF($I1625="","",IF(INDEX(F_ProductBM!M:M,MATCH($P1781,F_ProductBM!$Q:$Q,0))="","",INDEX(F_ProductBM!M:M,MATCH($P1781,F_ProductBM!$Q:$Q,0))))</f>
        <v/>
      </c>
      <c r="N1781" s="1459" t="str">
        <f>IF($I1625="","",IF(INDEX(F_ProductBM!N:N,MATCH($P1781,F_ProductBM!$Q:$Q,0))="","",INDEX(F_ProductBM!N:N,MATCH($P1781,F_ProductBM!$Q:$Q,0))))</f>
        <v/>
      </c>
      <c r="O1781" s="19"/>
      <c r="P1781" s="298" t="str">
        <f>EUconst_CNTR_IntermediateImport &amp; R1781 &amp; "_" &amp; I1625</f>
        <v>IntImp_1_</v>
      </c>
      <c r="Q1781" s="343"/>
      <c r="R1781" s="663">
        <v>1</v>
      </c>
      <c r="S1781" s="343"/>
      <c r="T1781" s="7"/>
      <c r="U1781" s="349"/>
      <c r="V1781" s="349"/>
    </row>
    <row r="1782" spans="1:22" s="534" customFormat="1" x14ac:dyDescent="0.25">
      <c r="A1782" s="343"/>
      <c r="B1782" s="15"/>
      <c r="C1782" s="15"/>
      <c r="D1782" s="1454"/>
      <c r="E1782" s="2617" t="str">
        <f>IF(I1625="","",IF(INDEX(F_ProductBM!E:E,MATCH($P1782,F_ProductBM!$Q:$Q,0))="","",INDEX(F_ProductBM!E:E,MATCH($P1782,F_ProductBM!$Q:$Q,0))))</f>
        <v/>
      </c>
      <c r="F1782" s="1997"/>
      <c r="G1782" s="364" t="str">
        <f>EUconst_Tons</f>
        <v>ton</v>
      </c>
      <c r="H1782" s="742" t="str">
        <f>IF($I1625="","",IF(INDEX(F_ProductBM!H:H,MATCH($P1782,F_ProductBM!$Q:$Q,0))="","",INDEX(F_ProductBM!H:H,MATCH($P1782,F_ProductBM!$Q:$Q,0))))</f>
        <v/>
      </c>
      <c r="I1782" s="1021" t="str">
        <f>IF($I1625="","",IF(INDEX(F_ProductBM!I:I,MATCH($P1782,F_ProductBM!$Q:$Q,0))="","",INDEX(F_ProductBM!I:I,MATCH($P1782,F_ProductBM!$Q:$Q,0))))</f>
        <v/>
      </c>
      <c r="J1782" s="1158" t="str">
        <f>IF($I1625="","",IF(INDEX(F_ProductBM!J:J,MATCH($P1782,F_ProductBM!$Q:$Q,0))="","",INDEX(F_ProductBM!J:J,MATCH($P1782,F_ProductBM!$Q:$Q,0))))</f>
        <v/>
      </c>
      <c r="K1782" s="742" t="str">
        <f>IF($I1625="","",IF(INDEX(F_ProductBM!K:K,MATCH($P1782,F_ProductBM!$Q:$Q,0))="","",INDEX(F_ProductBM!K:K,MATCH($P1782,F_ProductBM!$Q:$Q,0))))</f>
        <v/>
      </c>
      <c r="L1782" s="742" t="str">
        <f>IF($I1625="","",IF(INDEX(F_ProductBM!L:L,MATCH($P1782,F_ProductBM!$Q:$Q,0))="","",INDEX(F_ProductBM!L:L,MATCH($P1782,F_ProductBM!$Q:$Q,0))))</f>
        <v/>
      </c>
      <c r="M1782" s="742" t="str">
        <f>IF($I1625="","",IF(INDEX(F_ProductBM!M:M,MATCH($P1782,F_ProductBM!$Q:$Q,0))="","",INDEX(F_ProductBM!M:M,MATCH($P1782,F_ProductBM!$Q:$Q,0))))</f>
        <v/>
      </c>
      <c r="N1782" s="1459" t="str">
        <f>IF($I1625="","",IF(INDEX(F_ProductBM!N:N,MATCH($P1782,F_ProductBM!$Q:$Q,0))="","",INDEX(F_ProductBM!N:N,MATCH($P1782,F_ProductBM!$Q:$Q,0))))</f>
        <v/>
      </c>
      <c r="O1782" s="19"/>
      <c r="P1782" s="298" t="str">
        <f>EUconst_CNTR_IntermediateImport &amp; R1782 &amp; "_" &amp; I1625</f>
        <v>IntImp_2_</v>
      </c>
      <c r="Q1782" s="343"/>
      <c r="R1782" s="663">
        <v>2</v>
      </c>
      <c r="S1782" s="343"/>
      <c r="T1782" s="7"/>
      <c r="U1782" s="349"/>
      <c r="V1782" s="349"/>
    </row>
    <row r="1783" spans="1:22" s="534" customFormat="1" x14ac:dyDescent="0.25">
      <c r="A1783" s="343"/>
      <c r="B1783" s="15"/>
      <c r="C1783" s="15"/>
      <c r="D1783" s="1454"/>
      <c r="E1783" s="2613" t="str">
        <f>Translations!$B$1058</f>
        <v>Mellanexport:</v>
      </c>
      <c r="F1783" s="1997"/>
      <c r="G1783" s="416"/>
      <c r="H1783" s="741"/>
      <c r="I1783" s="741"/>
      <c r="J1783" s="741"/>
      <c r="K1783" s="741"/>
      <c r="L1783" s="741"/>
      <c r="M1783" s="741"/>
      <c r="N1783" s="1458"/>
      <c r="O1783" s="19"/>
      <c r="P1783" s="7"/>
      <c r="Q1783" s="343"/>
      <c r="R1783" s="343"/>
      <c r="S1783" s="343"/>
      <c r="T1783" s="7"/>
      <c r="U1783" s="349"/>
      <c r="V1783" s="349"/>
    </row>
    <row r="1784" spans="1:22" s="534" customFormat="1" x14ac:dyDescent="0.25">
      <c r="A1784" s="343"/>
      <c r="B1784" s="15"/>
      <c r="C1784" s="15"/>
      <c r="D1784" s="1454"/>
      <c r="E1784" s="2617" t="str">
        <f>IF(I1625="","",IF(INDEX(F_ProductBM!E:E,MATCH($P1784,F_ProductBM!$Q:$Q,0))="","",INDEX(F_ProductBM!E:E,MATCH($P1784,F_ProductBM!$Q:$Q,0))))</f>
        <v/>
      </c>
      <c r="F1784" s="1997"/>
      <c r="G1784" s="364" t="str">
        <f>EUconst_Tons</f>
        <v>ton</v>
      </c>
      <c r="H1784" s="742" t="str">
        <f>IF($I1625="","",IF(INDEX(F_ProductBM!H:H,MATCH($P1784,F_ProductBM!$Q:$Q,0))="","",INDEX(F_ProductBM!H:H,MATCH($P1784,F_ProductBM!$Q:$Q,0))))</f>
        <v/>
      </c>
      <c r="I1784" s="1021" t="str">
        <f>IF($I1625="","",IF(INDEX(F_ProductBM!I:I,MATCH($P1784,F_ProductBM!$Q:$Q,0))="","",INDEX(F_ProductBM!I:I,MATCH($P1784,F_ProductBM!$Q:$Q,0))))</f>
        <v/>
      </c>
      <c r="J1784" s="1158" t="str">
        <f>IF($I1625="","",IF(INDEX(F_ProductBM!J:J,MATCH($P1784,F_ProductBM!$Q:$Q,0))="","",INDEX(F_ProductBM!J:J,MATCH($P1784,F_ProductBM!$Q:$Q,0))))</f>
        <v/>
      </c>
      <c r="K1784" s="742" t="str">
        <f>IF($I1625="","",IF(INDEX(F_ProductBM!K:K,MATCH($P1784,F_ProductBM!$Q:$Q,0))="","",INDEX(F_ProductBM!K:K,MATCH($P1784,F_ProductBM!$Q:$Q,0))))</f>
        <v/>
      </c>
      <c r="L1784" s="742" t="str">
        <f>IF($I1625="","",IF(INDEX(F_ProductBM!L:L,MATCH($P1784,F_ProductBM!$Q:$Q,0))="","",INDEX(F_ProductBM!L:L,MATCH($P1784,F_ProductBM!$Q:$Q,0))))</f>
        <v/>
      </c>
      <c r="M1784" s="742" t="str">
        <f>IF($I1625="","",IF(INDEX(F_ProductBM!M:M,MATCH($P1784,F_ProductBM!$Q:$Q,0))="","",INDEX(F_ProductBM!M:M,MATCH($P1784,F_ProductBM!$Q:$Q,0))))</f>
        <v/>
      </c>
      <c r="N1784" s="1459" t="str">
        <f>IF($I1625="","",IF(INDEX(F_ProductBM!N:N,MATCH($P1784,F_ProductBM!$Q:$Q,0))="","",INDEX(F_ProductBM!N:N,MATCH($P1784,F_ProductBM!$Q:$Q,0))))</f>
        <v/>
      </c>
      <c r="O1784" s="19"/>
      <c r="P1784" s="298" t="str">
        <f>EUconst_CNTR_IntermediateExport &amp; R1781 &amp; "_" &amp; I1625</f>
        <v>IntExp_1_</v>
      </c>
      <c r="Q1784" s="343"/>
      <c r="R1784" s="663">
        <v>1</v>
      </c>
      <c r="S1784" s="343"/>
      <c r="T1784" s="7"/>
      <c r="U1784" s="349"/>
      <c r="V1784" s="349"/>
    </row>
    <row r="1785" spans="1:22" s="534" customFormat="1" x14ac:dyDescent="0.25">
      <c r="A1785" s="343"/>
      <c r="B1785" s="15"/>
      <c r="C1785" s="15"/>
      <c r="D1785" s="1454"/>
      <c r="E1785" s="2617" t="str">
        <f>IF(I1625="","",IF(INDEX(F_ProductBM!E:E,MATCH($P1785,F_ProductBM!$Q:$Q,0))="","",INDEX(F_ProductBM!E:E,MATCH($P1785,F_ProductBM!$Q:$Q,0))))</f>
        <v/>
      </c>
      <c r="F1785" s="2617"/>
      <c r="G1785" s="364" t="str">
        <f>EUconst_Tons</f>
        <v>ton</v>
      </c>
      <c r="H1785" s="742" t="str">
        <f>IF($I1625="","",IF(INDEX(F_ProductBM!H:H,MATCH($P1785,F_ProductBM!$Q:$Q,0))="","",INDEX(F_ProductBM!H:H,MATCH($P1785,F_ProductBM!$Q:$Q,0))))</f>
        <v/>
      </c>
      <c r="I1785" s="1021" t="str">
        <f>IF($I1625="","",IF(INDEX(F_ProductBM!I:I,MATCH($P1785,F_ProductBM!$Q:$Q,0))="","",INDEX(F_ProductBM!I:I,MATCH($P1785,F_ProductBM!$Q:$Q,0))))</f>
        <v/>
      </c>
      <c r="J1785" s="1158" t="str">
        <f>IF($I1625="","",IF(INDEX(F_ProductBM!J:J,MATCH($P1785,F_ProductBM!$Q:$Q,0))="","",INDEX(F_ProductBM!J:J,MATCH($P1785,F_ProductBM!$Q:$Q,0))))</f>
        <v/>
      </c>
      <c r="K1785" s="742" t="str">
        <f>IF($I1625="","",IF(INDEX(F_ProductBM!K:K,MATCH($P1785,F_ProductBM!$Q:$Q,0))="","",INDEX(F_ProductBM!K:K,MATCH($P1785,F_ProductBM!$Q:$Q,0))))</f>
        <v/>
      </c>
      <c r="L1785" s="742" t="str">
        <f>IF($I1625="","",IF(INDEX(F_ProductBM!L:L,MATCH($P1785,F_ProductBM!$Q:$Q,0))="","",INDEX(F_ProductBM!L:L,MATCH($P1785,F_ProductBM!$Q:$Q,0))))</f>
        <v/>
      </c>
      <c r="M1785" s="742" t="str">
        <f>IF($I1625="","",IF(INDEX(F_ProductBM!M:M,MATCH($P1785,F_ProductBM!$Q:$Q,0))="","",INDEX(F_ProductBM!M:M,MATCH($P1785,F_ProductBM!$Q:$Q,0))))</f>
        <v/>
      </c>
      <c r="N1785" s="1459" t="str">
        <f>IF($I1625="","",IF(INDEX(F_ProductBM!N:N,MATCH($P1785,F_ProductBM!$Q:$Q,0))="","",INDEX(F_ProductBM!N:N,MATCH($P1785,F_ProductBM!$Q:$Q,0))))</f>
        <v/>
      </c>
      <c r="O1785" s="19"/>
      <c r="P1785" s="298" t="str">
        <f>EUconst_CNTR_IntermediateExport &amp; R1785 &amp; "_" &amp; I1625</f>
        <v>IntExp_2_</v>
      </c>
      <c r="Q1785" s="343"/>
      <c r="R1785" s="663">
        <v>2</v>
      </c>
      <c r="S1785" s="343"/>
      <c r="T1785" s="7"/>
      <c r="U1785" s="349"/>
      <c r="V1785" s="349"/>
    </row>
    <row r="1786" spans="1:22" s="534" customFormat="1" ht="12.75" customHeight="1" thickBot="1" x14ac:dyDescent="0.3">
      <c r="A1786" s="343"/>
      <c r="B1786" s="15"/>
      <c r="C1786" s="15"/>
      <c r="D1786" s="1460"/>
      <c r="E1786" s="1461"/>
      <c r="F1786" s="1461"/>
      <c r="G1786" s="1462"/>
      <c r="H1786" s="1462"/>
      <c r="I1786" s="783"/>
      <c r="J1786" s="783"/>
      <c r="K1786" s="783"/>
      <c r="L1786" s="783"/>
      <c r="M1786" s="783"/>
      <c r="N1786" s="784"/>
      <c r="O1786" s="19"/>
      <c r="P1786" s="7"/>
      <c r="Q1786" s="343"/>
      <c r="R1786" s="343"/>
      <c r="S1786" s="343"/>
      <c r="T1786" s="7"/>
      <c r="U1786" s="349"/>
      <c r="V1786" s="349"/>
    </row>
    <row r="1787" spans="1:22" s="534" customFormat="1" ht="5.15" customHeight="1" thickBot="1" x14ac:dyDescent="0.3">
      <c r="A1787" s="343"/>
      <c r="B1787" s="15"/>
      <c r="C1787" s="15"/>
      <c r="D1787" s="15"/>
      <c r="E1787" s="748"/>
      <c r="O1787" s="19"/>
      <c r="P1787" s="343"/>
      <c r="Q1787" s="343"/>
      <c r="R1787" s="343"/>
      <c r="S1787" s="343"/>
      <c r="T1787" s="343"/>
      <c r="U1787" s="349"/>
      <c r="V1787" s="349"/>
    </row>
    <row r="1788" spans="1:22" s="534" customFormat="1" ht="5.15" customHeight="1" thickBot="1" x14ac:dyDescent="0.3">
      <c r="A1788" s="343"/>
      <c r="B1788" s="3"/>
      <c r="C1788" s="230"/>
      <c r="D1788" s="230"/>
      <c r="E1788" s="230"/>
      <c r="F1788" s="230"/>
      <c r="G1788" s="230"/>
      <c r="H1788" s="230"/>
      <c r="I1788" s="230"/>
      <c r="J1788" s="230"/>
      <c r="K1788" s="230"/>
      <c r="L1788" s="230"/>
      <c r="M1788" s="230"/>
      <c r="N1788" s="230"/>
      <c r="O1788" s="19"/>
      <c r="P1788" s="343"/>
      <c r="Q1788" s="343"/>
      <c r="R1788" s="343"/>
      <c r="S1788" s="343"/>
      <c r="T1788" s="343"/>
      <c r="U1788" s="349"/>
      <c r="V1788" s="349"/>
    </row>
    <row r="1789" spans="1:22" s="534" customFormat="1" ht="15" customHeight="1" thickBot="1" x14ac:dyDescent="0.35">
      <c r="A1789" s="343"/>
      <c r="B1789" s="15"/>
      <c r="C1789" s="17">
        <f>C1625+1</f>
        <v>9</v>
      </c>
      <c r="D1789" s="2053" t="str">
        <f>CONCATENATE(EUconst_BMSubinst," ",C1789, ":")</f>
        <v>Delanläggning med produktriktmärke 9:</v>
      </c>
      <c r="E1789" s="2053"/>
      <c r="F1789" s="2053"/>
      <c r="G1789" s="2053"/>
      <c r="H1789" s="2081"/>
      <c r="I1789" s="2090" t="str">
        <f>IF(INDEX(CNTR_SubInstListIsProdBM,$C1789),INDEX(CNTR_SubInstListNames,$C1789),"")</f>
        <v/>
      </c>
      <c r="J1789" s="2091"/>
      <c r="K1789" s="2091"/>
      <c r="L1789" s="2091"/>
      <c r="M1789" s="2091"/>
      <c r="N1789" s="2092"/>
      <c r="O1789" s="19"/>
      <c r="P1789" s="343"/>
      <c r="Q1789" s="723">
        <f>C1789</f>
        <v>9</v>
      </c>
      <c r="R1789" s="722" t="str">
        <f>I1789</f>
        <v/>
      </c>
      <c r="S1789" s="343"/>
      <c r="T1789" s="343"/>
      <c r="U1789" s="349"/>
      <c r="V1789" s="349"/>
    </row>
    <row r="1790" spans="1:22" s="534" customFormat="1" ht="5.15" customHeight="1" x14ac:dyDescent="0.3">
      <c r="A1790" s="343"/>
      <c r="B1790" s="15"/>
      <c r="C1790" s="17"/>
      <c r="D1790" s="17"/>
      <c r="E1790" s="17"/>
      <c r="F1790" s="17"/>
      <c r="G1790" s="17"/>
      <c r="H1790" s="17"/>
      <c r="I1790" s="17"/>
      <c r="J1790" s="17"/>
      <c r="K1790" s="17"/>
      <c r="L1790" s="17"/>
      <c r="M1790" s="17"/>
      <c r="N1790" s="17"/>
      <c r="O1790" s="19"/>
      <c r="P1790" s="343"/>
      <c r="Q1790" s="343"/>
      <c r="R1790" s="343"/>
      <c r="S1790" s="343"/>
      <c r="T1790" s="343"/>
      <c r="U1790" s="349"/>
      <c r="V1790" s="349"/>
    </row>
    <row r="1791" spans="1:22" s="534" customFormat="1" ht="12.75" customHeight="1" x14ac:dyDescent="0.3">
      <c r="A1791" s="343"/>
      <c r="B1791" s="15"/>
      <c r="C1791" s="17"/>
      <c r="D1791" s="17"/>
      <c r="E1791" s="17"/>
      <c r="F1791" s="17"/>
      <c r="H1791" s="506" t="str">
        <f>Translations!$B$1022</f>
        <v>KL-risk</v>
      </c>
      <c r="I1791" s="506" t="s">
        <v>1380</v>
      </c>
      <c r="J1791" s="506" t="str">
        <f>Translations!$B$1026</f>
        <v>I drift</v>
      </c>
      <c r="K1791" s="506" t="str">
        <f>Translations!$B$1545</f>
        <v>Upphört</v>
      </c>
      <c r="L1791" s="952" t="str">
        <f>Translations!$B$1024</f>
        <v>RM-nummer</v>
      </c>
      <c r="M1791" s="2786" t="str">
        <f>Translations!$B$1028</f>
        <v>RM-värde</v>
      </c>
      <c r="N1791" s="2786"/>
      <c r="O1791" s="19"/>
      <c r="P1791" s="343"/>
      <c r="Q1791" s="343"/>
      <c r="R1791" s="343"/>
      <c r="S1791" s="343"/>
      <c r="T1791" s="940"/>
      <c r="U1791" s="349"/>
      <c r="V1791" s="349"/>
    </row>
    <row r="1792" spans="1:22" s="534" customFormat="1" ht="12.75" customHeight="1" x14ac:dyDescent="0.3">
      <c r="A1792" s="343"/>
      <c r="B1792" s="15"/>
      <c r="C1792" s="17"/>
      <c r="D1792" s="17"/>
      <c r="E1792" s="508" t="str">
        <f>I1789</f>
        <v/>
      </c>
      <c r="F1792" s="509"/>
      <c r="G1792" s="509"/>
      <c r="H1792" s="510" t="str">
        <f>IF(L1792=EUconst_NA,EUconst_NA,INDEX(EUconst_BMlistCLstatus,L1792))</f>
        <v>Ej tillämpligt</v>
      </c>
      <c r="I1792" s="510" t="str">
        <f>IF(I1789="","",INDEX(EUconst_BMlistElExchangability,L1792))</f>
        <v/>
      </c>
      <c r="J1792" s="1045" t="str">
        <f>IF($I1789="",EUconst_NA,INDEX(CNTR_SubInstStartDate,MATCH(I1789,CNTR_SubInstListNames,0)))</f>
        <v>Ej tillämpligt</v>
      </c>
      <c r="K1792" s="1045" t="str">
        <f>IF($I1789="",EUconst_NA,IF(INDEX(CNTR_SubInstCessationDate,MATCH(I1789,CNTR_SubInstListNames,0))=0,"",INDEX(CNTR_SubInstCessationDate,MATCH(I1789,CNTR_SubInstListNames,0))))</f>
        <v>Ej tillämpligt</v>
      </c>
      <c r="L1792" s="953" t="str">
        <f>IF($I1789="",EUconst_NA,MATCH(I1789,EUconst_BMlistNames,0))</f>
        <v>Ej tillämpligt</v>
      </c>
      <c r="M1792" s="1744" t="str">
        <f>IF(I1789="",EUconst_NA,INDEX(EUconst_BMlistBMvaluesMatrix,L1792,3))</f>
        <v>Ej tillämpligt</v>
      </c>
      <c r="N1792" s="1041" t="str">
        <f>EUconst_EUA &amp; "/" &amp; F1795</f>
        <v>EUA/ton</v>
      </c>
      <c r="O1792" s="19"/>
      <c r="P1792" s="343"/>
      <c r="Q1792" s="343"/>
      <c r="R1792" s="343"/>
      <c r="S1792" s="343"/>
      <c r="T1792" s="940"/>
      <c r="U1792" s="349"/>
      <c r="V1792" s="349"/>
    </row>
    <row r="1793" spans="1:22" s="534" customFormat="1" ht="5.15" customHeight="1" thickBot="1" x14ac:dyDescent="0.35">
      <c r="A1793" s="343"/>
      <c r="B1793" s="15"/>
      <c r="C1793" s="15"/>
      <c r="D1793" s="15"/>
      <c r="E1793" s="17"/>
      <c r="J1793" s="15"/>
      <c r="K1793" s="15"/>
      <c r="L1793" s="15"/>
      <c r="M1793" s="15"/>
      <c r="N1793" s="15"/>
      <c r="O1793" s="19"/>
      <c r="P1793" s="343"/>
      <c r="Q1793" s="343"/>
      <c r="R1793" s="343"/>
      <c r="S1793" s="343"/>
      <c r="T1793" s="7"/>
      <c r="U1793" s="349"/>
      <c r="V1793" s="349"/>
    </row>
    <row r="1794" spans="1:22" s="534" customFormat="1" ht="12.75" customHeight="1" x14ac:dyDescent="0.25">
      <c r="A1794" s="343"/>
      <c r="B1794" s="15"/>
      <c r="C1794" s="15"/>
      <c r="D1794" s="15"/>
      <c r="E1794" s="39"/>
      <c r="F1794" s="13" t="str">
        <f>EUconst_Unit</f>
        <v>Enhet</v>
      </c>
      <c r="G1794" s="1202" t="str">
        <f>Translations!$B$1432</f>
        <v>HAL</v>
      </c>
      <c r="H1794" s="987">
        <f t="shared" ref="H1794:N1794" si="336">H$2596</f>
        <v>2019</v>
      </c>
      <c r="I1794" s="342">
        <f t="shared" si="336"/>
        <v>2020</v>
      </c>
      <c r="J1794" s="987">
        <f t="shared" si="336"/>
        <v>2021</v>
      </c>
      <c r="K1794" s="320">
        <f t="shared" si="336"/>
        <v>2022</v>
      </c>
      <c r="L1794" s="320">
        <f t="shared" si="336"/>
        <v>2023</v>
      </c>
      <c r="M1794" s="320">
        <f t="shared" si="336"/>
        <v>2024</v>
      </c>
      <c r="N1794" s="320">
        <f t="shared" si="336"/>
        <v>2025</v>
      </c>
      <c r="O1794" s="19"/>
      <c r="P1794" s="343"/>
      <c r="Q1794" s="343" t="s">
        <v>2010</v>
      </c>
      <c r="R1794" s="1635">
        <f>J$2596</f>
        <v>2021</v>
      </c>
      <c r="S1794" s="1636">
        <f>K$2596</f>
        <v>2022</v>
      </c>
      <c r="T1794" s="1636">
        <f>L$2596</f>
        <v>2023</v>
      </c>
      <c r="U1794" s="1636">
        <f>M$2596</f>
        <v>2024</v>
      </c>
      <c r="V1794" s="1637">
        <f>N$2596</f>
        <v>2025</v>
      </c>
    </row>
    <row r="1795" spans="1:22" s="534" customFormat="1" ht="12.75" customHeight="1" thickBot="1" x14ac:dyDescent="0.3">
      <c r="A1795" s="343"/>
      <c r="B1795" s="15"/>
      <c r="C1795" s="15"/>
      <c r="D1795" s="15"/>
      <c r="E1795" s="514" t="str">
        <f>Translations!$B$1562</f>
        <v>Rapporterad verksamhetsnivå</v>
      </c>
      <c r="F1795" s="563" t="str">
        <f>IF(ISNUMBER(L1792),INDEX(EUconst_BMlistUnits,L1792),EUconst_Tons)</f>
        <v>ton</v>
      </c>
      <c r="G1795" s="943" t="str">
        <f>I1898</f>
        <v/>
      </c>
      <c r="H1795" s="1131" t="str">
        <f>IF($I1789="","",IF(H1794&gt;=CNTR_ReportingYear,"",INDEX(F_ProductBM!H:H,MATCH($P1795,F_ProductBM!$Q:$Q,0))))</f>
        <v/>
      </c>
      <c r="I1795" s="641" t="str">
        <f>IF($I1789="","",IF(I1794&gt;=CNTR_ReportingYear,"",INDEX(F_ProductBM!I:I,MATCH($P1795,F_ProductBM!$Q:$Q,0))))</f>
        <v/>
      </c>
      <c r="J1795" s="1131" t="str">
        <f>IF($I1789="","",IF(J1794&gt;=CNTR_ReportingYear,"",INDEX(F_ProductBM!J:J,MATCH($P1795,F_ProductBM!$Q:$Q,0))))</f>
        <v/>
      </c>
      <c r="K1795" s="421" t="str">
        <f>IF($I1789="","",IF(K1794&gt;=CNTR_ReportingYear,"",INDEX(F_ProductBM!K:K,MATCH($P1795,F_ProductBM!$Q:$Q,0))))</f>
        <v/>
      </c>
      <c r="L1795" s="421" t="str">
        <f>IF($I1789="","",IF(L1794&gt;=CNTR_ReportingYear,"",INDEX(F_ProductBM!L:L,MATCH($P1795,F_ProductBM!$Q:$Q,0))))</f>
        <v/>
      </c>
      <c r="M1795" s="421" t="str">
        <f>IF($I1789="","",IF(M1794&gt;=CNTR_ReportingYear,"",INDEX(F_ProductBM!M:M,MATCH($P1795,F_ProductBM!$Q:$Q,0))))</f>
        <v/>
      </c>
      <c r="N1795" s="421" t="str">
        <f>IF($I1789="","",IF(N1794&gt;=CNTR_ReportingYear,"",INDEX(F_ProductBM!N:N,MATCH($P1795,F_ProductBM!$Q:$Q,0))))</f>
        <v/>
      </c>
      <c r="O1795" s="19"/>
      <c r="P1795" s="165" t="str">
        <f>EUconst_CNTR_HAL&amp;I1789</f>
        <v>HAL_</v>
      </c>
      <c r="Q1795" s="343"/>
      <c r="R1795" s="1329" t="b">
        <f>AND($I1789&lt;&gt;"",R1794&lt;=CNTR_ReportingYear,IF($J1792&lt;&gt;EUconst_NA,R1794&gt;=YEAR($J1792),TRUE))</f>
        <v>0</v>
      </c>
      <c r="S1795" s="1330" t="b">
        <f>AND($I1789&lt;&gt;"",S1794&lt;=CNTR_ReportingYear,IF($J1792&lt;&gt;EUconst_NA,S1794&gt;=YEAR($J1792),TRUE))</f>
        <v>0</v>
      </c>
      <c r="T1795" s="1330" t="b">
        <f>AND($I1789&lt;&gt;"",T1794&lt;=CNTR_ReportingYear,IF($J1792&lt;&gt;EUconst_NA,T1794&gt;=YEAR($J1792),TRUE))</f>
        <v>0</v>
      </c>
      <c r="U1795" s="1330" t="b">
        <f>AND($I1789&lt;&gt;"",U1794&lt;=CNTR_ReportingYear,IF($J1792&lt;&gt;EUconst_NA,U1794&gt;=YEAR($J1792),TRUE))</f>
        <v>0</v>
      </c>
      <c r="V1795" s="1331" t="b">
        <f>AND($I1789&lt;&gt;"",V1794&lt;=CNTR_ReportingYear,IF($J1792&lt;&gt;EUconst_NA,V1794&gt;=YEAR($J1792),TRUE))</f>
        <v>0</v>
      </c>
    </row>
    <row r="1796" spans="1:22" s="534" customFormat="1" ht="5.15" customHeight="1" thickBot="1" x14ac:dyDescent="0.35">
      <c r="A1796" s="343"/>
      <c r="B1796" s="15"/>
      <c r="C1796" s="17"/>
      <c r="D1796" s="17"/>
      <c r="E1796" s="17"/>
      <c r="F1796" s="17"/>
      <c r="G1796" s="17"/>
      <c r="H1796" s="17"/>
      <c r="I1796" s="17"/>
      <c r="J1796" s="17"/>
      <c r="K1796" s="17"/>
      <c r="L1796" s="17"/>
      <c r="M1796" s="17"/>
      <c r="N1796" s="17"/>
      <c r="O1796" s="19"/>
      <c r="P1796" s="343"/>
      <c r="Q1796" s="343"/>
      <c r="R1796" s="343"/>
      <c r="S1796" s="343"/>
      <c r="T1796" s="343"/>
      <c r="U1796" s="349"/>
      <c r="V1796" s="349"/>
    </row>
    <row r="1797" spans="1:22" s="534" customFormat="1" ht="5.15" customHeight="1" x14ac:dyDescent="0.3">
      <c r="A1797" s="343"/>
      <c r="B1797" s="15"/>
      <c r="C1797" s="17"/>
      <c r="D1797" s="1383"/>
      <c r="E1797" s="1384"/>
      <c r="F1797" s="1384"/>
      <c r="G1797" s="1384"/>
      <c r="H1797" s="1384"/>
      <c r="I1797" s="1384"/>
      <c r="J1797" s="1384"/>
      <c r="K1797" s="1384"/>
      <c r="L1797" s="1384"/>
      <c r="M1797" s="1384"/>
      <c r="N1797" s="1385"/>
      <c r="O1797" s="19"/>
      <c r="P1797" s="343"/>
      <c r="Q1797" s="343"/>
      <c r="R1797" s="343"/>
      <c r="S1797" s="343"/>
      <c r="T1797" s="343"/>
      <c r="U1797" s="349"/>
      <c r="V1797" s="349"/>
    </row>
    <row r="1798" spans="1:22" s="534" customFormat="1" ht="12.75" customHeight="1" x14ac:dyDescent="0.3">
      <c r="A1798" s="343"/>
      <c r="B1798" s="15"/>
      <c r="C1798" s="17"/>
      <c r="D1798" s="1386"/>
      <c r="E1798" s="42" t="str">
        <f>Translations!$B$1563</f>
        <v>Tillämplighet av glidande medelvärde</v>
      </c>
      <c r="F1798" s="188"/>
      <c r="G1798" s="188"/>
      <c r="H1798" s="30"/>
      <c r="I1798" s="1157"/>
      <c r="J1798" s="1065">
        <f>J$2596</f>
        <v>2021</v>
      </c>
      <c r="K1798" s="350">
        <f>K$2596</f>
        <v>2022</v>
      </c>
      <c r="L1798" s="350">
        <f>L$2596</f>
        <v>2023</v>
      </c>
      <c r="M1798" s="350">
        <f>M$2596</f>
        <v>2024</v>
      </c>
      <c r="N1798" s="966">
        <f>N$2596</f>
        <v>2025</v>
      </c>
      <c r="O1798" s="19"/>
      <c r="P1798" s="343"/>
      <c r="Q1798" s="343"/>
      <c r="R1798" s="343"/>
      <c r="S1798" s="343"/>
      <c r="T1798" s="343"/>
      <c r="U1798" s="349"/>
      <c r="V1798" s="349"/>
    </row>
    <row r="1799" spans="1:22" s="534" customFormat="1" ht="12.75" customHeight="1" x14ac:dyDescent="0.3">
      <c r="A1799" s="343"/>
      <c r="B1799" s="15"/>
      <c r="C1799" s="17"/>
      <c r="D1799" s="1386"/>
      <c r="E1799" s="1477" t="str">
        <f>Translations!$B$1549</f>
        <v>Kriterium 1: Verksam &gt;2 år?</v>
      </c>
      <c r="F1799" s="1478"/>
      <c r="G1799" s="1478"/>
      <c r="H1799" s="1366"/>
      <c r="I1799" s="1478"/>
      <c r="J1799" s="1469" t="str">
        <f>IF(R1795,INDEX(F_ProductBM!V:V,MATCH($P1799,F_ProductBM!$Q:$Q,0))&gt;=3,"")</f>
        <v/>
      </c>
      <c r="K1799" s="1470" t="str">
        <f>IF(S1795,INDEX(F_ProductBM!W:W,MATCH($P1799,F_ProductBM!$Q:$Q,0))&gt;=3,"")</f>
        <v/>
      </c>
      <c r="L1799" s="1470" t="str">
        <f>IF(T1795,INDEX(F_ProductBM!X:X,MATCH($P1799,F_ProductBM!$Q:$Q,0))&gt;=3,"")</f>
        <v/>
      </c>
      <c r="M1799" s="1470" t="str">
        <f>IF(U1795,INDEX(F_ProductBM!Y:Y,MATCH($P1799,F_ProductBM!$Q:$Q,0))&gt;=3,"")</f>
        <v/>
      </c>
      <c r="N1799" s="1471" t="str">
        <f>IF(V1795,INDEX(F_ProductBM!Z:Z,MATCH($P1799,F_ProductBM!$Q:$Q,0))&gt;=3,"")</f>
        <v/>
      </c>
      <c r="O1799" s="19"/>
      <c r="P1799" s="165" t="str">
        <f>EUconst_CNTR_HALinitial&amp;I1789</f>
        <v>HALini_</v>
      </c>
      <c r="Q1799" s="343"/>
      <c r="R1799" s="343"/>
      <c r="S1799" s="343"/>
      <c r="T1799" s="343"/>
      <c r="U1799" s="349"/>
      <c r="V1799" s="349"/>
    </row>
    <row r="1800" spans="1:22" s="534" customFormat="1" ht="12.75" customHeight="1" x14ac:dyDescent="0.3">
      <c r="A1800" s="343"/>
      <c r="B1800" s="15"/>
      <c r="C1800" s="17"/>
      <c r="D1800" s="1386"/>
      <c r="E1800" s="1472" t="str">
        <f>Translations!$B$1551</f>
        <v>Kriterium 2: Upphörde inte föregående år?</v>
      </c>
      <c r="F1800" s="1479"/>
      <c r="G1800" s="1479"/>
      <c r="H1800" s="1473"/>
      <c r="I1800" s="1479"/>
      <c r="J1800" s="1474" t="str">
        <f>IF(R1795,IF($K1792="",2050,YEAR($K1792))&lt;&gt;(J1798-1),"")</f>
        <v/>
      </c>
      <c r="K1800" s="1475" t="str">
        <f>IF(S1795,IF($K1792="",2050,YEAR($K1792))&lt;&gt;(K1798-1),"")</f>
        <v/>
      </c>
      <c r="L1800" s="1475" t="str">
        <f>IF(T1795,IF($K1792="",2050,YEAR($K1792))&lt;&gt;(L1798-1),"")</f>
        <v/>
      </c>
      <c r="M1800" s="1475" t="str">
        <f>IF(U1795,IF($K1792="",2050,YEAR($K1792))&lt;&gt;(M1798-1),"")</f>
        <v/>
      </c>
      <c r="N1800" s="1476" t="str">
        <f>IF(V1795,IF($K1792="",2050,YEAR($K1792))&lt;&gt;(N1798-1),"")</f>
        <v/>
      </c>
      <c r="O1800" s="19"/>
      <c r="P1800" s="343"/>
      <c r="Q1800" s="343"/>
      <c r="R1800" s="343"/>
      <c r="S1800" s="343"/>
      <c r="T1800" s="343"/>
      <c r="U1800" s="349"/>
      <c r="V1800" s="349"/>
    </row>
    <row r="1801" spans="1:22" s="534" customFormat="1" ht="5.15" customHeight="1" x14ac:dyDescent="0.3">
      <c r="A1801" s="343"/>
      <c r="B1801" s="15"/>
      <c r="C1801" s="17"/>
      <c r="D1801" s="1386"/>
      <c r="E1801" s="17"/>
      <c r="F1801" s="17"/>
      <c r="G1801" s="17"/>
      <c r="H1801" s="17"/>
      <c r="I1801" s="17"/>
      <c r="J1801" s="17"/>
      <c r="K1801" s="17"/>
      <c r="L1801" s="17"/>
      <c r="M1801" s="17"/>
      <c r="N1801" s="1388"/>
      <c r="O1801" s="19"/>
      <c r="P1801" s="343"/>
      <c r="Q1801" s="343"/>
      <c r="R1801" s="343"/>
      <c r="S1801" s="343"/>
      <c r="T1801" s="343"/>
      <c r="U1801" s="349"/>
      <c r="V1801" s="349"/>
    </row>
    <row r="1802" spans="1:22" s="534" customFormat="1" ht="12.75" customHeight="1" x14ac:dyDescent="0.3">
      <c r="A1802" s="343"/>
      <c r="B1802" s="15"/>
      <c r="C1802" s="17"/>
      <c r="D1802" s="1386"/>
      <c r="E1802" s="39" t="str">
        <f>Translations!$B$1564</f>
        <v>Ändringar: Ingen ändring (bas)</v>
      </c>
      <c r="F1802" s="15"/>
      <c r="G1802" s="15"/>
      <c r="H1802" s="30" t="str">
        <f>EUconst_Unit</f>
        <v>Enhet</v>
      </c>
      <c r="I1802" s="1157"/>
      <c r="J1802" s="987">
        <f>J$2596</f>
        <v>2021</v>
      </c>
      <c r="K1802" s="320">
        <f>K$2596</f>
        <v>2022</v>
      </c>
      <c r="L1802" s="320">
        <f>L$2596</f>
        <v>2023</v>
      </c>
      <c r="M1802" s="320">
        <f>M$2596</f>
        <v>2024</v>
      </c>
      <c r="N1802" s="1387">
        <f>N$2596</f>
        <v>2025</v>
      </c>
      <c r="O1802" s="19"/>
      <c r="P1802" s="343"/>
      <c r="Q1802" s="343"/>
      <c r="R1802" s="343"/>
      <c r="S1802" s="343"/>
      <c r="T1802" s="343"/>
      <c r="U1802" s="349"/>
      <c r="V1802" s="349"/>
    </row>
    <row r="1803" spans="1:22" s="534" customFormat="1" ht="12.75" hidden="1" customHeight="1" x14ac:dyDescent="0.3">
      <c r="A1803" s="343" t="str">
        <f t="shared" ref="A1803:A1808" si="337">IF(P1803="","ausblenden","")</f>
        <v>ausblenden</v>
      </c>
      <c r="B1803" s="15"/>
      <c r="C1803" s="17"/>
      <c r="D1803" s="1386"/>
      <c r="E1803" s="514" t="s">
        <v>1918</v>
      </c>
      <c r="F1803" s="514"/>
      <c r="G1803" s="514"/>
      <c r="H1803" s="917" t="str">
        <f>F1795</f>
        <v>ton</v>
      </c>
      <c r="I1803" s="514"/>
      <c r="J1803" s="1152" t="str">
        <f>IF(T1904&gt;=$H$2595,S1898,I1898)</f>
        <v/>
      </c>
      <c r="K1803" s="943" t="str">
        <f t="shared" ref="K1803:K1808" si="338">J1898</f>
        <v/>
      </c>
      <c r="L1803" s="943" t="str">
        <f t="shared" ref="L1803:L1808" si="339">K1898</f>
        <v/>
      </c>
      <c r="M1803" s="943" t="str">
        <f t="shared" ref="M1803:M1808" si="340">L1898</f>
        <v/>
      </c>
      <c r="N1803" s="1389" t="str">
        <f t="shared" ref="N1803:N1808" si="341">M1898</f>
        <v/>
      </c>
      <c r="O1803" s="19"/>
      <c r="P1803" s="343"/>
      <c r="Q1803" s="343"/>
      <c r="R1803" s="343"/>
      <c r="S1803" s="343"/>
      <c r="T1803" s="343"/>
      <c r="U1803" s="349"/>
      <c r="V1803" s="349"/>
    </row>
    <row r="1804" spans="1:22" s="534" customFormat="1" ht="12.75" hidden="1" customHeight="1" x14ac:dyDescent="0.3">
      <c r="A1804" s="343" t="str">
        <f t="shared" si="337"/>
        <v>ausblenden</v>
      </c>
      <c r="B1804" s="15"/>
      <c r="C1804" s="17"/>
      <c r="D1804" s="1386"/>
      <c r="E1804" s="944" t="s">
        <v>339</v>
      </c>
      <c r="F1804" s="944"/>
      <c r="G1804" s="944"/>
      <c r="H1804" s="954" t="str">
        <f>EUconst_EUA</f>
        <v>EUA</v>
      </c>
      <c r="I1804" s="945"/>
      <c r="J1804" s="1209" t="str">
        <f>IF(T1904&gt;=$H$2595,S1899,I1899)</f>
        <v/>
      </c>
      <c r="K1804" s="1210" t="str">
        <f t="shared" si="338"/>
        <v/>
      </c>
      <c r="L1804" s="1210" t="str">
        <f t="shared" si="339"/>
        <v/>
      </c>
      <c r="M1804" s="1210" t="str">
        <f t="shared" si="340"/>
        <v/>
      </c>
      <c r="N1804" s="1390" t="str">
        <f t="shared" si="341"/>
        <v/>
      </c>
      <c r="O1804" s="19"/>
      <c r="P1804" s="343"/>
      <c r="Q1804" s="343"/>
      <c r="R1804" s="343"/>
      <c r="S1804" s="343"/>
      <c r="T1804" s="343"/>
      <c r="U1804" s="349"/>
      <c r="V1804" s="349"/>
    </row>
    <row r="1805" spans="1:22" s="534" customFormat="1" ht="12.75" hidden="1" customHeight="1" x14ac:dyDescent="0.3">
      <c r="A1805" s="343" t="str">
        <f t="shared" si="337"/>
        <v>ausblenden</v>
      </c>
      <c r="B1805" s="15"/>
      <c r="C1805" s="17"/>
      <c r="D1805" s="1386"/>
      <c r="E1805" s="947" t="s">
        <v>1560</v>
      </c>
      <c r="F1805" s="947"/>
      <c r="G1805" s="947"/>
      <c r="H1805" s="955" t="str">
        <f>EUconst_EUA</f>
        <v>EUA</v>
      </c>
      <c r="I1805" s="948"/>
      <c r="J1805" s="1165" t="str">
        <f>IF(T1904&gt;=$H$2595,S1900,I1900)</f>
        <v/>
      </c>
      <c r="K1805" s="975" t="str">
        <f t="shared" si="338"/>
        <v/>
      </c>
      <c r="L1805" s="975" t="str">
        <f t="shared" si="339"/>
        <v/>
      </c>
      <c r="M1805" s="975" t="str">
        <f t="shared" si="340"/>
        <v/>
      </c>
      <c r="N1805" s="1391" t="str">
        <f t="shared" si="341"/>
        <v/>
      </c>
      <c r="O1805" s="19"/>
      <c r="P1805" s="343"/>
      <c r="Q1805" s="343"/>
      <c r="R1805" s="343"/>
      <c r="S1805" s="343"/>
      <c r="T1805" s="343"/>
      <c r="U1805" s="349"/>
      <c r="V1805" s="349"/>
    </row>
    <row r="1806" spans="1:22" s="534" customFormat="1" ht="12.75" hidden="1" customHeight="1" x14ac:dyDescent="0.3">
      <c r="A1806" s="343" t="str">
        <f t="shared" si="337"/>
        <v>ausblenden</v>
      </c>
      <c r="B1806" s="15"/>
      <c r="C1806" s="17"/>
      <c r="D1806" s="1386"/>
      <c r="E1806" s="947" t="s">
        <v>1527</v>
      </c>
      <c r="F1806" s="947"/>
      <c r="G1806" s="947"/>
      <c r="H1806" s="955" t="str">
        <f>EUconst_EUA</f>
        <v>EUA</v>
      </c>
      <c r="I1806" s="948"/>
      <c r="J1806" s="1165" t="str">
        <f>IF(T1904&gt;=$H$2595,S1901,I1901)</f>
        <v/>
      </c>
      <c r="K1806" s="975" t="str">
        <f t="shared" si="338"/>
        <v/>
      </c>
      <c r="L1806" s="975" t="str">
        <f t="shared" si="339"/>
        <v/>
      </c>
      <c r="M1806" s="975" t="str">
        <f t="shared" si="340"/>
        <v/>
      </c>
      <c r="N1806" s="1391" t="str">
        <f t="shared" si="341"/>
        <v/>
      </c>
      <c r="O1806" s="19"/>
      <c r="P1806" s="343"/>
      <c r="Q1806" s="343"/>
      <c r="R1806" s="343"/>
      <c r="S1806" s="343"/>
      <c r="T1806" s="343"/>
      <c r="U1806" s="349"/>
      <c r="V1806" s="349"/>
    </row>
    <row r="1807" spans="1:22" s="534" customFormat="1" ht="12.75" hidden="1" customHeight="1" x14ac:dyDescent="0.3">
      <c r="A1807" s="343" t="str">
        <f t="shared" si="337"/>
        <v>ausblenden</v>
      </c>
      <c r="B1807" s="15"/>
      <c r="C1807" s="17"/>
      <c r="D1807" s="1386"/>
      <c r="E1807" s="947" t="s">
        <v>1526</v>
      </c>
      <c r="F1807" s="947"/>
      <c r="G1807" s="947"/>
      <c r="H1807" s="956" t="s">
        <v>1112</v>
      </c>
      <c r="I1807" s="948"/>
      <c r="J1807" s="1211" t="str">
        <f>IF(T1904&gt;=$H$2595,S1902,I1902)</f>
        <v/>
      </c>
      <c r="K1807" s="1212" t="str">
        <f t="shared" si="338"/>
        <v/>
      </c>
      <c r="L1807" s="1212" t="str">
        <f t="shared" si="339"/>
        <v/>
      </c>
      <c r="M1807" s="1212" t="str">
        <f t="shared" si="340"/>
        <v/>
      </c>
      <c r="N1807" s="1392" t="str">
        <f t="shared" si="341"/>
        <v/>
      </c>
      <c r="O1807" s="19"/>
      <c r="P1807" s="343"/>
      <c r="Q1807" s="343"/>
      <c r="R1807" s="343"/>
      <c r="S1807" s="343"/>
      <c r="T1807" s="343"/>
      <c r="U1807" s="349"/>
      <c r="V1807" s="349"/>
    </row>
    <row r="1808" spans="1:22" s="534" customFormat="1" ht="12.75" hidden="1" customHeight="1" x14ac:dyDescent="0.3">
      <c r="A1808" s="343" t="str">
        <f t="shared" si="337"/>
        <v>ausblenden</v>
      </c>
      <c r="B1808" s="15"/>
      <c r="C1808" s="17"/>
      <c r="D1808" s="1386"/>
      <c r="E1808" s="950" t="s">
        <v>1528</v>
      </c>
      <c r="F1808" s="950"/>
      <c r="G1808" s="950"/>
      <c r="H1808" s="957" t="s">
        <v>1112</v>
      </c>
      <c r="I1808" s="951"/>
      <c r="J1808" s="1213" t="str">
        <f>IF(T1904&gt;=$H$2595,S1903,I1903)</f>
        <v/>
      </c>
      <c r="K1808" s="1214" t="str">
        <f t="shared" si="338"/>
        <v/>
      </c>
      <c r="L1808" s="1214" t="str">
        <f t="shared" si="339"/>
        <v/>
      </c>
      <c r="M1808" s="1214" t="str">
        <f t="shared" si="340"/>
        <v/>
      </c>
      <c r="N1808" s="1393" t="str">
        <f t="shared" si="341"/>
        <v/>
      </c>
      <c r="O1808" s="19"/>
      <c r="P1808" s="343"/>
      <c r="Q1808" s="343"/>
      <c r="R1808" s="343"/>
      <c r="S1808" s="343"/>
      <c r="T1808" s="343"/>
      <c r="U1808" s="349"/>
      <c r="V1808" s="349"/>
    </row>
    <row r="1809" spans="1:22" s="534" customFormat="1" ht="12.75" customHeight="1" x14ac:dyDescent="0.3">
      <c r="A1809" s="343"/>
      <c r="B1809" s="15"/>
      <c r="C1809" s="17"/>
      <c r="D1809" s="1386"/>
      <c r="E1809" s="514" t="str">
        <f>Translations!$B$1565</f>
        <v>Preliminärt tilldelningsvärde</v>
      </c>
      <c r="F1809" s="514"/>
      <c r="G1809" s="514"/>
      <c r="H1809" s="129" t="str">
        <f>EUconst_EUA</f>
        <v>EUA</v>
      </c>
      <c r="I1809" s="1151"/>
      <c r="J1809" s="1131" t="str">
        <f>IF($I1789="","",MAX(0,ROUND((SUM($M1792)*SUM(J1803)*SUM(J1807)*SUM(J1808)-SUM(J1804)-SUM(J1805)+SUM(J1806))*IF($H1792=TRUE,1,J$2517),0)))</f>
        <v/>
      </c>
      <c r="K1809" s="421" t="str">
        <f>IF($I1789="","",MAX(0,ROUND((SUM($M1792)*SUM(K1803)*SUM(K1807)*SUM(K1808)-SUM(K1804)-SUM(K1805)+SUM(K1806))*IF($H1792=TRUE,1,K$2517),0)))</f>
        <v/>
      </c>
      <c r="L1809" s="421" t="str">
        <f>IF($I1789="","",MAX(0,ROUND((SUM($M1792)*SUM(L1803)*SUM(L1807)*SUM(L1808)-SUM(L1804)-SUM(L1805)+SUM(L1806))*IF($H1792=TRUE,1,L$2517),0)))</f>
        <v/>
      </c>
      <c r="M1809" s="421" t="str">
        <f>IF($I1789="","",MAX(0,ROUND((SUM($M1792)*SUM(M1803)*SUM(M1807)*SUM(M1808)-SUM(M1804)-SUM(M1805)+SUM(M1806))*IF($H1792=TRUE,1,M$2517),0)))</f>
        <v/>
      </c>
      <c r="N1809" s="967" t="str">
        <f>IF($I1789="","",MAX(0,ROUND((SUM($M1792+IF(L1792=52,0.415,0))*SUM(N1803)*SUM(N1807)*SUM(N1808)-SUM(N1804)-SUM(N1805)+SUM(N1806))*IF($H1792=TRUE,1,N$2517),0)))</f>
        <v/>
      </c>
      <c r="O1809" s="19"/>
      <c r="P1809" s="343"/>
      <c r="Q1809" s="343"/>
      <c r="R1809" s="343"/>
      <c r="S1809" s="343"/>
      <c r="T1809" s="343"/>
      <c r="U1809" s="349"/>
      <c r="V1809" s="349"/>
    </row>
    <row r="1810" spans="1:22" s="534" customFormat="1" ht="5.15" customHeight="1" x14ac:dyDescent="0.3">
      <c r="A1810" s="343"/>
      <c r="B1810" s="15"/>
      <c r="C1810" s="17"/>
      <c r="D1810" s="1386"/>
      <c r="E1810" s="17"/>
      <c r="F1810" s="17"/>
      <c r="G1810" s="17"/>
      <c r="H1810" s="17"/>
      <c r="I1810" s="17"/>
      <c r="J1810" s="17"/>
      <c r="K1810" s="17"/>
      <c r="L1810" s="17"/>
      <c r="M1810" s="17"/>
      <c r="N1810" s="1388"/>
      <c r="O1810" s="19"/>
      <c r="P1810" s="343"/>
      <c r="Q1810" s="343"/>
      <c r="R1810" s="343"/>
      <c r="S1810" s="343"/>
      <c r="T1810" s="343"/>
      <c r="U1810" s="349"/>
      <c r="V1810" s="349"/>
    </row>
    <row r="1811" spans="1:22" s="534" customFormat="1" ht="12.75" customHeight="1" x14ac:dyDescent="0.3">
      <c r="A1811" s="343"/>
      <c r="B1811" s="15"/>
      <c r="C1811" s="17"/>
      <c r="D1811" s="1386"/>
      <c r="E1811" s="42" t="str">
        <f>Translations!$B$1566</f>
        <v>Ändringar: Verksamhetsnivå</v>
      </c>
      <c r="F1811" s="188"/>
      <c r="G1811" s="188"/>
      <c r="H1811" s="30" t="str">
        <f>EUconst_Unit</f>
        <v>Enhet</v>
      </c>
      <c r="I1811" s="1157"/>
      <c r="J1811" s="1065">
        <f>J$2596</f>
        <v>2021</v>
      </c>
      <c r="K1811" s="350">
        <f>K$2596</f>
        <v>2022</v>
      </c>
      <c r="L1811" s="350">
        <f>L$2596</f>
        <v>2023</v>
      </c>
      <c r="M1811" s="350">
        <f>M$2596</f>
        <v>2024</v>
      </c>
      <c r="N1811" s="966">
        <f>N$2596</f>
        <v>2025</v>
      </c>
      <c r="O1811" s="19"/>
      <c r="P1811" s="343"/>
      <c r="Q1811" s="343"/>
      <c r="R1811" s="343"/>
      <c r="S1811" s="343"/>
      <c r="T1811" s="343"/>
      <c r="U1811" s="349"/>
      <c r="V1811" s="349"/>
    </row>
    <row r="1812" spans="1:22" s="534" customFormat="1" ht="12.75" customHeight="1" x14ac:dyDescent="0.3">
      <c r="A1812" s="343"/>
      <c r="B1812" s="15"/>
      <c r="C1812" s="17"/>
      <c r="D1812" s="1386"/>
      <c r="E1812" s="944" t="str">
        <f>Translations!$B$1482</f>
        <v>Genomsnittligt årligt värde</v>
      </c>
      <c r="F1812" s="944"/>
      <c r="G1812" s="944"/>
      <c r="H1812" s="1443" t="str">
        <f>H1803</f>
        <v>ton</v>
      </c>
      <c r="I1812" s="1367"/>
      <c r="J1812" s="1161" t="str">
        <f>INDEX(F_ProductBM!J:J,MATCH($P1812,F_ProductBM!$Q:$Q,0))</f>
        <v/>
      </c>
      <c r="K1812" s="946" t="str">
        <f>INDEX(F_ProductBM!K:K,MATCH($P1812,F_ProductBM!$Q:$Q,0))</f>
        <v/>
      </c>
      <c r="L1812" s="946" t="str">
        <f>INDEX(F_ProductBM!L:L,MATCH($P1812,F_ProductBM!$Q:$Q,0))</f>
        <v/>
      </c>
      <c r="M1812" s="946" t="str">
        <f>INDEX(F_ProductBM!M:M,MATCH($P1812,F_ProductBM!$Q:$Q,0))</f>
        <v/>
      </c>
      <c r="N1812" s="1046" t="str">
        <f>INDEX(F_ProductBM!N:N,MATCH($P1812,F_ProductBM!$Q:$Q,0))</f>
        <v/>
      </c>
      <c r="O1812" s="19"/>
      <c r="P1812" s="165" t="str">
        <f>EUconst_CNTR_HALinitial&amp;I1789</f>
        <v>HALini_</v>
      </c>
      <c r="Q1812" s="343"/>
      <c r="R1812" s="343"/>
      <c r="S1812" s="343"/>
      <c r="T1812" s="343"/>
      <c r="U1812" s="349"/>
      <c r="V1812" s="349"/>
    </row>
    <row r="1813" spans="1:22" s="534" customFormat="1" ht="12.75" customHeight="1" x14ac:dyDescent="0.3">
      <c r="A1813" s="343"/>
      <c r="B1813" s="15"/>
      <c r="C1813" s="17"/>
      <c r="D1813" s="1386"/>
      <c r="E1813" s="947" t="str">
        <f>Translations!$B$1567</f>
        <v>Ändring jämfört med historik verksamhetsnivå</v>
      </c>
      <c r="F1813" s="947"/>
      <c r="G1813" s="947"/>
      <c r="H1813" s="1442" t="s">
        <v>1112</v>
      </c>
      <c r="I1813" s="1371"/>
      <c r="J1813" s="1415" t="str">
        <f>INDEX(F_ProductBM!J:J,MATCH($P1813,F_ProductBM!$Q:$Q,0))</f>
        <v/>
      </c>
      <c r="K1813" s="1416" t="str">
        <f>INDEX(F_ProductBM!K:K,MATCH($P1813,F_ProductBM!$Q:$Q,0))</f>
        <v/>
      </c>
      <c r="L1813" s="1416" t="str">
        <f>INDEX(F_ProductBM!L:L,MATCH($P1813,F_ProductBM!$Q:$Q,0))</f>
        <v/>
      </c>
      <c r="M1813" s="1416" t="str">
        <f>INDEX(F_ProductBM!M:M,MATCH($P1813,F_ProductBM!$Q:$Q,0))</f>
        <v/>
      </c>
      <c r="N1813" s="1417" t="str">
        <f>INDEX(F_ProductBM!N:N,MATCH($P1813,F_ProductBM!$Q:$Q,0))</f>
        <v/>
      </c>
      <c r="O1813" s="19"/>
      <c r="P1813" s="165" t="str">
        <f>EUconst_CNTR_RelThreshold &amp; P1815</f>
        <v>RelThresh_HALprelim_</v>
      </c>
      <c r="Q1813" s="343"/>
      <c r="R1813" s="343"/>
      <c r="S1813" s="343"/>
      <c r="T1813" s="343"/>
      <c r="U1813" s="349"/>
      <c r="V1813" s="349"/>
    </row>
    <row r="1814" spans="1:22" s="534" customFormat="1" ht="12.75" customHeight="1" x14ac:dyDescent="0.3">
      <c r="A1814" s="343"/>
      <c r="B1814" s="15"/>
      <c r="C1814" s="17"/>
      <c r="D1814" s="1386"/>
      <c r="E1814" s="1418" t="str">
        <f>Translations!$B$1553</f>
        <v>Kriterium 3a: Har relativa tröskelvärden överskridits?</v>
      </c>
      <c r="F1814" s="1418"/>
      <c r="G1814" s="1418"/>
      <c r="H1814" s="1444" t="s">
        <v>1112</v>
      </c>
      <c r="I1814" s="1423"/>
      <c r="J1814" s="1420" t="str">
        <f>INDEX(F_ProductBM!V:V,MATCH($P1814,F_ProductBM!$Q:$Q,0)+1)</f>
        <v/>
      </c>
      <c r="K1814" s="1421" t="str">
        <f>INDEX(F_ProductBM!W:W,MATCH($P1814,F_ProductBM!$Q:$Q,0)+1)</f>
        <v/>
      </c>
      <c r="L1814" s="1421" t="str">
        <f>INDEX(F_ProductBM!X:X,MATCH($P1814,F_ProductBM!$Q:$Q,0)+1)</f>
        <v/>
      </c>
      <c r="M1814" s="1421" t="str">
        <f>INDEX(F_ProductBM!Y:Y,MATCH($P1814,F_ProductBM!$Q:$Q,0)+1)</f>
        <v/>
      </c>
      <c r="N1814" s="1422" t="str">
        <f>INDEX(F_ProductBM!Z:Z,MATCH($P1814,F_ProductBM!$Q:$Q,0)+1)</f>
        <v/>
      </c>
      <c r="O1814" s="19"/>
      <c r="P1814" s="165" t="str">
        <f>P1813</f>
        <v>RelThresh_HALprelim_</v>
      </c>
      <c r="Q1814" s="343"/>
      <c r="R1814" s="343"/>
      <c r="S1814" s="343"/>
      <c r="T1814" s="343"/>
      <c r="U1814" s="349"/>
      <c r="V1814" s="349"/>
    </row>
    <row r="1815" spans="1:22" s="534" customFormat="1" ht="12.75" customHeight="1" x14ac:dyDescent="0.3">
      <c r="A1815" s="343" t="str">
        <f t="shared" ref="A1815:A1820" si="342">IF(P1815="","ausblenden","")</f>
        <v/>
      </c>
      <c r="B1815" s="15"/>
      <c r="C1815" s="17"/>
      <c r="D1815" s="1386"/>
      <c r="E1815" s="950" t="str">
        <f>Translations!$B$1568</f>
        <v>Preliminärt värde</v>
      </c>
      <c r="F1815" s="950"/>
      <c r="G1815" s="950"/>
      <c r="H1815" s="1372" t="str">
        <f>F1795</f>
        <v>ton</v>
      </c>
      <c r="I1815" s="950"/>
      <c r="J1815" s="1373" t="str">
        <f>INDEX(F_ProductBM!J:J,MATCH($P1815,F_ProductBM!$Q:$Q,0))</f>
        <v/>
      </c>
      <c r="K1815" s="1374" t="str">
        <f>INDEX(F_ProductBM!K:K,MATCH($P1815,F_ProductBM!$Q:$Q,0))</f>
        <v/>
      </c>
      <c r="L1815" s="1374" t="str">
        <f>INDEX(F_ProductBM!L:L,MATCH($P1815,F_ProductBM!$Q:$Q,0))</f>
        <v/>
      </c>
      <c r="M1815" s="1374" t="str">
        <f>INDEX(F_ProductBM!M:M,MATCH($P1815,F_ProductBM!$Q:$Q,0))</f>
        <v/>
      </c>
      <c r="N1815" s="1395" t="str">
        <f>INDEX(F_ProductBM!N:N,MATCH($P1815,F_ProductBM!$Q:$Q,0))</f>
        <v/>
      </c>
      <c r="O1815" s="19"/>
      <c r="P1815" s="165" t="str">
        <f>EUconst_CNTR_HALprelim&amp;I1789</f>
        <v>HALprelim_</v>
      </c>
      <c r="Q1815" s="343"/>
      <c r="R1815" s="343"/>
      <c r="S1815" s="343"/>
      <c r="T1815" s="343"/>
      <c r="U1815" s="349"/>
      <c r="V1815" s="349"/>
    </row>
    <row r="1816" spans="1:22" s="534" customFormat="1" ht="12.75" hidden="1" customHeight="1" x14ac:dyDescent="0.3">
      <c r="A1816" s="343" t="str">
        <f t="shared" si="342"/>
        <v>ausblenden</v>
      </c>
      <c r="B1816" s="15"/>
      <c r="C1816" s="17"/>
      <c r="D1816" s="1386"/>
      <c r="E1816" s="944" t="s">
        <v>339</v>
      </c>
      <c r="F1816" s="944"/>
      <c r="G1816" s="944"/>
      <c r="H1816" s="954" t="str">
        <f>EUconst_EUA</f>
        <v>EUA</v>
      </c>
      <c r="I1816" s="945"/>
      <c r="J1816" s="1209" t="str">
        <f>J1804</f>
        <v/>
      </c>
      <c r="K1816" s="1210" t="str">
        <f t="shared" ref="K1816:K1820" si="343">J1899</f>
        <v/>
      </c>
      <c r="L1816" s="1210" t="str">
        <f t="shared" ref="L1816:L1820" si="344">K1899</f>
        <v/>
      </c>
      <c r="M1816" s="1210" t="str">
        <f t="shared" ref="M1816:M1820" si="345">L1899</f>
        <v/>
      </c>
      <c r="N1816" s="1390" t="str">
        <f t="shared" ref="N1816:N1820" si="346">M1899</f>
        <v/>
      </c>
      <c r="O1816" s="19"/>
      <c r="P1816" s="343"/>
      <c r="Q1816" s="343"/>
      <c r="R1816" s="343"/>
      <c r="S1816" s="343"/>
      <c r="T1816" s="343"/>
      <c r="U1816" s="349"/>
      <c r="V1816" s="349"/>
    </row>
    <row r="1817" spans="1:22" s="534" customFormat="1" ht="12.75" hidden="1" customHeight="1" x14ac:dyDescent="0.3">
      <c r="A1817" s="343" t="str">
        <f t="shared" si="342"/>
        <v>ausblenden</v>
      </c>
      <c r="B1817" s="15"/>
      <c r="C1817" s="17"/>
      <c r="D1817" s="1386"/>
      <c r="E1817" s="947" t="s">
        <v>1560</v>
      </c>
      <c r="F1817" s="947"/>
      <c r="G1817" s="947"/>
      <c r="H1817" s="955" t="str">
        <f>EUconst_EUA</f>
        <v>EUA</v>
      </c>
      <c r="I1817" s="948"/>
      <c r="J1817" s="1165" t="str">
        <f>J1805</f>
        <v/>
      </c>
      <c r="K1817" s="975" t="str">
        <f t="shared" si="343"/>
        <v/>
      </c>
      <c r="L1817" s="975" t="str">
        <f t="shared" si="344"/>
        <v/>
      </c>
      <c r="M1817" s="975" t="str">
        <f t="shared" si="345"/>
        <v/>
      </c>
      <c r="N1817" s="1391" t="str">
        <f t="shared" si="346"/>
        <v/>
      </c>
      <c r="O1817" s="19"/>
      <c r="P1817" s="343"/>
      <c r="Q1817" s="343"/>
      <c r="R1817" s="343"/>
      <c r="S1817" s="343"/>
      <c r="T1817" s="343"/>
      <c r="U1817" s="349"/>
      <c r="V1817" s="349"/>
    </row>
    <row r="1818" spans="1:22" s="534" customFormat="1" ht="12.75" hidden="1" customHeight="1" x14ac:dyDescent="0.3">
      <c r="A1818" s="343" t="str">
        <f t="shared" si="342"/>
        <v>ausblenden</v>
      </c>
      <c r="B1818" s="15"/>
      <c r="C1818" s="17"/>
      <c r="D1818" s="1386"/>
      <c r="E1818" s="947" t="s">
        <v>1527</v>
      </c>
      <c r="F1818" s="947"/>
      <c r="G1818" s="947"/>
      <c r="H1818" s="955" t="str">
        <f>EUconst_EUA</f>
        <v>EUA</v>
      </c>
      <c r="I1818" s="948"/>
      <c r="J1818" s="1165" t="str">
        <f>J1806</f>
        <v/>
      </c>
      <c r="K1818" s="975" t="str">
        <f t="shared" si="343"/>
        <v/>
      </c>
      <c r="L1818" s="975" t="str">
        <f t="shared" si="344"/>
        <v/>
      </c>
      <c r="M1818" s="975" t="str">
        <f t="shared" si="345"/>
        <v/>
      </c>
      <c r="N1818" s="1391" t="str">
        <f t="shared" si="346"/>
        <v/>
      </c>
      <c r="O1818" s="19"/>
      <c r="P1818" s="343"/>
      <c r="Q1818" s="343"/>
      <c r="R1818" s="343"/>
      <c r="S1818" s="343"/>
      <c r="T1818" s="343"/>
      <c r="U1818" s="349"/>
      <c r="V1818" s="349"/>
    </row>
    <row r="1819" spans="1:22" s="534" customFormat="1" ht="12.75" hidden="1" customHeight="1" x14ac:dyDescent="0.3">
      <c r="A1819" s="343" t="str">
        <f t="shared" si="342"/>
        <v>ausblenden</v>
      </c>
      <c r="B1819" s="15"/>
      <c r="C1819" s="17"/>
      <c r="D1819" s="1386"/>
      <c r="E1819" s="947" t="s">
        <v>1526</v>
      </c>
      <c r="F1819" s="947"/>
      <c r="G1819" s="947"/>
      <c r="H1819" s="956" t="s">
        <v>1112</v>
      </c>
      <c r="I1819" s="948"/>
      <c r="J1819" s="1211" t="str">
        <f>J1807</f>
        <v/>
      </c>
      <c r="K1819" s="1212" t="str">
        <f t="shared" si="343"/>
        <v/>
      </c>
      <c r="L1819" s="1212" t="str">
        <f t="shared" si="344"/>
        <v/>
      </c>
      <c r="M1819" s="1212" t="str">
        <f t="shared" si="345"/>
        <v/>
      </c>
      <c r="N1819" s="1392" t="str">
        <f t="shared" si="346"/>
        <v/>
      </c>
      <c r="O1819" s="19"/>
      <c r="P1819" s="343"/>
      <c r="Q1819" s="343"/>
      <c r="R1819" s="343"/>
      <c r="S1819" s="343"/>
      <c r="T1819" s="343"/>
      <c r="U1819" s="349"/>
      <c r="V1819" s="349"/>
    </row>
    <row r="1820" spans="1:22" s="534" customFormat="1" ht="12.75" hidden="1" customHeight="1" x14ac:dyDescent="0.3">
      <c r="A1820" s="343" t="str">
        <f t="shared" si="342"/>
        <v>ausblenden</v>
      </c>
      <c r="B1820" s="15"/>
      <c r="C1820" s="17"/>
      <c r="D1820" s="1386"/>
      <c r="E1820" s="950" t="s">
        <v>1528</v>
      </c>
      <c r="F1820" s="950"/>
      <c r="G1820" s="950"/>
      <c r="H1820" s="957" t="s">
        <v>1112</v>
      </c>
      <c r="I1820" s="951"/>
      <c r="J1820" s="1213" t="str">
        <f>J1808</f>
        <v/>
      </c>
      <c r="K1820" s="1214" t="str">
        <f t="shared" si="343"/>
        <v/>
      </c>
      <c r="L1820" s="1214" t="str">
        <f t="shared" si="344"/>
        <v/>
      </c>
      <c r="M1820" s="1214" t="str">
        <f t="shared" si="345"/>
        <v/>
      </c>
      <c r="N1820" s="1393" t="str">
        <f t="shared" si="346"/>
        <v/>
      </c>
      <c r="O1820" s="19"/>
      <c r="P1820" s="343"/>
      <c r="Q1820" s="343"/>
      <c r="R1820" s="343"/>
      <c r="S1820" s="343"/>
      <c r="T1820" s="343"/>
      <c r="U1820" s="349"/>
      <c r="V1820" s="349"/>
    </row>
    <row r="1821" spans="1:22" s="534" customFormat="1" ht="12.75" customHeight="1" x14ac:dyDescent="0.3">
      <c r="A1821" s="343"/>
      <c r="B1821" s="15"/>
      <c r="C1821" s="17"/>
      <c r="D1821" s="1386"/>
      <c r="E1821" s="514" t="str">
        <f>Translations!$B$1565</f>
        <v>Preliminärt tilldelningsvärde</v>
      </c>
      <c r="F1821" s="514"/>
      <c r="G1821" s="514"/>
      <c r="H1821" s="129" t="str">
        <f>EUconst_EUA</f>
        <v>EUA</v>
      </c>
      <c r="I1821" s="1151"/>
      <c r="J1821" s="1131" t="str">
        <f>IF($I1789="","",MAX(0,ROUND((SUM($M1792)*SUM(J1815)*SUM(J1819)*SUM(J1820)-SUM(J1816)-SUM(J1817)+SUM(J1818))*IF($H1792=TRUE,1,J$2517),0)))</f>
        <v/>
      </c>
      <c r="K1821" s="421" t="str">
        <f>IF($I1789="","",MAX(0,ROUND((SUM($M1792)*SUM(K1815)*SUM(K1819)*SUM(K1820)-SUM(K1816)-SUM(K1817)+SUM(K1818))*IF($H1792=TRUE,1,K$2517),0)))</f>
        <v/>
      </c>
      <c r="L1821" s="421" t="str">
        <f>IF($I1789="","",MAX(0,ROUND((SUM($M1792)*SUM(L1815)*SUM(L1819)*SUM(L1820)-SUM(L1816)-SUM(L1817)+SUM(L1818))*IF($H1792=TRUE,1,L$2517),0)))</f>
        <v/>
      </c>
      <c r="M1821" s="421" t="str">
        <f>IF($I1789="","",MAX(0,ROUND((SUM($M1792)*SUM(M1815)*SUM(M1819)*SUM(M1820)-SUM(M1816)-SUM(M1817)+SUM(M1818))*IF($H1792=TRUE,1,M$2517),0)))</f>
        <v/>
      </c>
      <c r="N1821" s="967" t="str">
        <f>IF($I1789="","",MAX(0,ROUND((SUM($M1792+IF(L1792=52,0.415,0))*SUM(N1815)*SUM(N1819)*SUM(N1820)-SUM(N1816)-SUM(N1817)+SUM(N1818))*IF($H1792=TRUE,1,N$2517),0)))</f>
        <v/>
      </c>
      <c r="O1821" s="19"/>
      <c r="P1821" s="343"/>
      <c r="Q1821" s="343"/>
      <c r="R1821" s="343"/>
      <c r="S1821" s="343"/>
      <c r="T1821" s="343"/>
      <c r="U1821" s="349"/>
      <c r="V1821" s="349"/>
    </row>
    <row r="1822" spans="1:22" s="534" customFormat="1" ht="12.75" customHeight="1" x14ac:dyDescent="0.3">
      <c r="A1822" s="343"/>
      <c r="B1822" s="15"/>
      <c r="C1822" s="17"/>
      <c r="D1822" s="1386"/>
      <c r="E1822" s="514" t="str">
        <f>Translations!$B$1569</f>
        <v>Skillnad i tilldelning</v>
      </c>
      <c r="F1822" s="514"/>
      <c r="G1822" s="514"/>
      <c r="H1822" s="129" t="str">
        <f>EUconst_EUA</f>
        <v>EUA</v>
      </c>
      <c r="I1822" s="1151"/>
      <c r="J1822" s="1131" t="str">
        <f>IF($I1789="","",ABS(SUM(J1821)-SUM(J1809)))</f>
        <v/>
      </c>
      <c r="K1822" s="421" t="str">
        <f>IF($I1789="","",ABS(SUM(K1821)-SUM(K1809)))</f>
        <v/>
      </c>
      <c r="L1822" s="421" t="str">
        <f>IF($I1789="","",ABS(SUM(L1821)-SUM(L1809)))</f>
        <v/>
      </c>
      <c r="M1822" s="421" t="str">
        <f>IF($I1789="","",ABS(SUM(M1821)-SUM(M1809)))</f>
        <v/>
      </c>
      <c r="N1822" s="967" t="str">
        <f>IF($I1789="","",ABS(SUM(N1821)-SUM(N1809)))</f>
        <v/>
      </c>
      <c r="O1822" s="19"/>
      <c r="P1822" s="343"/>
      <c r="Q1822" s="343"/>
      <c r="R1822" s="343"/>
      <c r="S1822" s="343"/>
      <c r="T1822" s="343"/>
      <c r="U1822" s="349"/>
      <c r="V1822" s="349"/>
    </row>
    <row r="1823" spans="1:22" s="534" customFormat="1" ht="12.75" customHeight="1" x14ac:dyDescent="0.3">
      <c r="A1823" s="343"/>
      <c r="B1823" s="15"/>
      <c r="C1823" s="17"/>
      <c r="D1823" s="1386"/>
      <c r="E1823" s="1419" t="str">
        <f>Translations!$B$1555</f>
        <v>Kriterium 4a: Är skillnaden minst 100 utsläppsrätter?</v>
      </c>
      <c r="F1823" s="1419"/>
      <c r="G1823" s="1419"/>
      <c r="H1823" s="1424" t="s">
        <v>1112</v>
      </c>
      <c r="I1823" s="1425"/>
      <c r="J1823" s="1426" t="str">
        <f>IF($I1789="","",J1822&gt;=100)</f>
        <v/>
      </c>
      <c r="K1823" s="1427" t="str">
        <f>IF($I1789="","",K1822&gt;=100)</f>
        <v/>
      </c>
      <c r="L1823" s="1427" t="str">
        <f>IF($I1789="","",L1822&gt;=100)</f>
        <v/>
      </c>
      <c r="M1823" s="1427" t="str">
        <f>IF($I1789="","",M1822&gt;=100)</f>
        <v/>
      </c>
      <c r="N1823" s="1428" t="str">
        <f>IF($I1789="","",N1822&gt;=100)</f>
        <v/>
      </c>
      <c r="O1823" s="19"/>
      <c r="P1823" s="165" t="str">
        <f>EUconst_CNTR_100EUA_ActivityLevel&amp;I1789</f>
        <v>EUA100AL_</v>
      </c>
      <c r="Q1823" s="343"/>
      <c r="R1823" s="343"/>
      <c r="S1823" s="343"/>
      <c r="T1823" s="343"/>
      <c r="U1823" s="349"/>
      <c r="V1823" s="349"/>
    </row>
    <row r="1824" spans="1:22" s="534" customFormat="1" ht="5.15" customHeight="1" x14ac:dyDescent="0.3">
      <c r="A1824" s="343"/>
      <c r="B1824" s="15"/>
      <c r="C1824" s="17"/>
      <c r="D1824" s="1386"/>
      <c r="E1824" s="15"/>
      <c r="F1824" s="15"/>
      <c r="G1824" s="15"/>
      <c r="H1824" s="15"/>
      <c r="I1824" s="941"/>
      <c r="J1824" s="15"/>
      <c r="K1824" s="15"/>
      <c r="L1824" s="15"/>
      <c r="M1824" s="15"/>
      <c r="N1824" s="968"/>
      <c r="O1824" s="19"/>
      <c r="P1824" s="343"/>
      <c r="Q1824" s="343"/>
      <c r="R1824" s="343"/>
      <c r="S1824" s="343"/>
      <c r="T1824" s="343"/>
      <c r="U1824" s="349"/>
      <c r="V1824" s="349"/>
    </row>
    <row r="1825" spans="1:22" s="534" customFormat="1" ht="12.75" customHeight="1" x14ac:dyDescent="0.3">
      <c r="A1825" s="343"/>
      <c r="B1825" s="15"/>
      <c r="C1825" s="17"/>
      <c r="D1825" s="1386"/>
      <c r="E1825" s="42" t="str">
        <f>Translations!$B$1570</f>
        <v>Ändringar: Utbytt el</v>
      </c>
      <c r="F1825" s="188"/>
      <c r="G1825" s="188"/>
      <c r="H1825" s="30" t="str">
        <f>EUconst_Unit</f>
        <v>Enhet</v>
      </c>
      <c r="I1825" s="1157"/>
      <c r="J1825" s="1065">
        <f>J$2596</f>
        <v>2021</v>
      </c>
      <c r="K1825" s="350">
        <f>K$2596</f>
        <v>2022</v>
      </c>
      <c r="L1825" s="350">
        <f>L$2596</f>
        <v>2023</v>
      </c>
      <c r="M1825" s="350">
        <f>M$2596</f>
        <v>2024</v>
      </c>
      <c r="N1825" s="966">
        <f>N$2596</f>
        <v>2025</v>
      </c>
      <c r="O1825" s="19"/>
      <c r="P1825" s="343"/>
      <c r="Q1825" s="343"/>
      <c r="R1825" s="343"/>
      <c r="S1825" s="343"/>
      <c r="T1825" s="343"/>
      <c r="U1825" s="349"/>
      <c r="V1825" s="349"/>
    </row>
    <row r="1826" spans="1:22" s="534" customFormat="1" ht="12.75" hidden="1" customHeight="1" x14ac:dyDescent="0.3">
      <c r="A1826" s="343" t="str">
        <f>IF(P1826="","ausblenden","")</f>
        <v>ausblenden</v>
      </c>
      <c r="B1826" s="15"/>
      <c r="C1826" s="17"/>
      <c r="D1826" s="1386"/>
      <c r="E1826" s="514" t="s">
        <v>1918</v>
      </c>
      <c r="F1826" s="514"/>
      <c r="G1826" s="514"/>
      <c r="H1826" s="917" t="str">
        <f>H1815</f>
        <v>ton</v>
      </c>
      <c r="I1826" s="514"/>
      <c r="J1826" s="1152" t="str">
        <f>J1803</f>
        <v/>
      </c>
      <c r="K1826" s="943" t="str">
        <f t="shared" ref="K1826:K1829" si="347">J1898</f>
        <v/>
      </c>
      <c r="L1826" s="943" t="str">
        <f t="shared" ref="L1826:L1829" si="348">K1898</f>
        <v/>
      </c>
      <c r="M1826" s="943" t="str">
        <f t="shared" ref="M1826:M1829" si="349">L1898</f>
        <v/>
      </c>
      <c r="N1826" s="1389" t="str">
        <f t="shared" ref="N1826:N1829" si="350">M1898</f>
        <v/>
      </c>
      <c r="O1826" s="19"/>
      <c r="P1826" s="343"/>
      <c r="Q1826" s="343"/>
      <c r="R1826" s="343"/>
      <c r="S1826" s="343"/>
      <c r="T1826" s="343"/>
      <c r="U1826" s="349"/>
      <c r="V1826" s="349"/>
    </row>
    <row r="1827" spans="1:22" s="534" customFormat="1" ht="12.75" hidden="1" customHeight="1" x14ac:dyDescent="0.3">
      <c r="A1827" s="343" t="str">
        <f>IF(P1827="","ausblenden","")</f>
        <v>ausblenden</v>
      </c>
      <c r="B1827" s="15"/>
      <c r="C1827" s="17"/>
      <c r="D1827" s="1386"/>
      <c r="E1827" s="944" t="s">
        <v>339</v>
      </c>
      <c r="F1827" s="944"/>
      <c r="G1827" s="944"/>
      <c r="H1827" s="954" t="str">
        <f>EUconst_EUA</f>
        <v>EUA</v>
      </c>
      <c r="I1827" s="945"/>
      <c r="J1827" s="1209" t="str">
        <f>J1804</f>
        <v/>
      </c>
      <c r="K1827" s="1210" t="str">
        <f t="shared" si="347"/>
        <v/>
      </c>
      <c r="L1827" s="1210" t="str">
        <f t="shared" si="348"/>
        <v/>
      </c>
      <c r="M1827" s="1210" t="str">
        <f t="shared" si="349"/>
        <v/>
      </c>
      <c r="N1827" s="1390" t="str">
        <f t="shared" si="350"/>
        <v/>
      </c>
      <c r="O1827" s="19"/>
      <c r="P1827" s="343"/>
      <c r="Q1827" s="343"/>
      <c r="R1827" s="343"/>
      <c r="S1827" s="343"/>
      <c r="T1827" s="343"/>
      <c r="U1827" s="349"/>
      <c r="V1827" s="349"/>
    </row>
    <row r="1828" spans="1:22" s="534" customFormat="1" ht="12.75" hidden="1" customHeight="1" x14ac:dyDescent="0.3">
      <c r="A1828" s="343" t="str">
        <f>IF(P1828="","ausblenden","")</f>
        <v>ausblenden</v>
      </c>
      <c r="B1828" s="15"/>
      <c r="C1828" s="17"/>
      <c r="D1828" s="1386"/>
      <c r="E1828" s="947" t="s">
        <v>1560</v>
      </c>
      <c r="F1828" s="947"/>
      <c r="G1828" s="947"/>
      <c r="H1828" s="955" t="str">
        <f>EUconst_EUA</f>
        <v>EUA</v>
      </c>
      <c r="I1828" s="948"/>
      <c r="J1828" s="1165" t="str">
        <f>J1805</f>
        <v/>
      </c>
      <c r="K1828" s="975" t="str">
        <f t="shared" si="347"/>
        <v/>
      </c>
      <c r="L1828" s="975" t="str">
        <f t="shared" si="348"/>
        <v/>
      </c>
      <c r="M1828" s="975" t="str">
        <f t="shared" si="349"/>
        <v/>
      </c>
      <c r="N1828" s="1391" t="str">
        <f t="shared" si="350"/>
        <v/>
      </c>
      <c r="O1828" s="19"/>
      <c r="P1828" s="343"/>
      <c r="Q1828" s="343"/>
      <c r="R1828" s="343"/>
      <c r="S1828" s="343"/>
      <c r="T1828" s="343"/>
      <c r="U1828" s="349"/>
      <c r="V1828" s="349"/>
    </row>
    <row r="1829" spans="1:22" s="534" customFormat="1" ht="12.75" hidden="1" customHeight="1" x14ac:dyDescent="0.3">
      <c r="A1829" s="343" t="str">
        <f>IF(P1829="","ausblenden","")</f>
        <v>ausblenden</v>
      </c>
      <c r="B1829" s="15"/>
      <c r="C1829" s="17"/>
      <c r="D1829" s="1386"/>
      <c r="E1829" s="1433" t="s">
        <v>1527</v>
      </c>
      <c r="F1829" s="1433"/>
      <c r="G1829" s="1433"/>
      <c r="H1829" s="1434" t="str">
        <f>EUconst_EUA</f>
        <v>EUA</v>
      </c>
      <c r="I1829" s="1435"/>
      <c r="J1829" s="1436" t="str">
        <f>J1806</f>
        <v/>
      </c>
      <c r="K1829" s="1437" t="str">
        <f t="shared" si="347"/>
        <v/>
      </c>
      <c r="L1829" s="1437" t="str">
        <f t="shared" si="348"/>
        <v/>
      </c>
      <c r="M1829" s="1437" t="str">
        <f t="shared" si="349"/>
        <v/>
      </c>
      <c r="N1829" s="1438" t="str">
        <f t="shared" si="350"/>
        <v/>
      </c>
      <c r="O1829" s="19"/>
      <c r="P1829" s="343"/>
      <c r="Q1829" s="343"/>
      <c r="R1829" s="343"/>
      <c r="S1829" s="343"/>
      <c r="T1829" s="343"/>
      <c r="U1829" s="349"/>
      <c r="V1829" s="349"/>
    </row>
    <row r="1830" spans="1:22" s="534" customFormat="1" ht="12.75" customHeight="1" x14ac:dyDescent="0.3">
      <c r="A1830" s="343"/>
      <c r="B1830" s="15"/>
      <c r="C1830" s="17"/>
      <c r="D1830" s="1386"/>
      <c r="E1830" s="944" t="str">
        <f>Translations!$B$1482</f>
        <v>Genomsnittligt årligt värde</v>
      </c>
      <c r="F1830" s="944"/>
      <c r="G1830" s="944"/>
      <c r="H1830" s="627" t="s">
        <v>1112</v>
      </c>
      <c r="I1830" s="945"/>
      <c r="J1830" s="1439" t="str">
        <f>INDEX(F_ProductBM!J:J,MATCH($P1830,F_ProductBM!$Q:$Q,0))</f>
        <v/>
      </c>
      <c r="K1830" s="1440" t="str">
        <f>INDEX(F_ProductBM!K:K,MATCH($P1830,F_ProductBM!$Q:$Q,0))</f>
        <v/>
      </c>
      <c r="L1830" s="1440" t="str">
        <f>INDEX(F_ProductBM!L:L,MATCH($P1830,F_ProductBM!$Q:$Q,0))</f>
        <v/>
      </c>
      <c r="M1830" s="1440" t="str">
        <f>INDEX(F_ProductBM!M:M,MATCH($P1830,F_ProductBM!$Q:$Q,0))</f>
        <v/>
      </c>
      <c r="N1830" s="1441" t="str">
        <f>INDEX(F_ProductBM!N:N,MATCH($P1830,F_ProductBM!$Q:$Q,0))</f>
        <v/>
      </c>
      <c r="O1830" s="19"/>
      <c r="P1830" s="165" t="str">
        <f>EUconst_CNTR_HAL &amp; EUconst_CNTR_ELEXCHInitial &amp; I1789</f>
        <v>HAL_ELEXCHIni_</v>
      </c>
      <c r="Q1830" s="343"/>
      <c r="R1830" s="343"/>
      <c r="S1830" s="343"/>
      <c r="T1830" s="343"/>
      <c r="U1830" s="349"/>
      <c r="V1830" s="349"/>
    </row>
    <row r="1831" spans="1:22" s="534" customFormat="1" ht="12.75" customHeight="1" x14ac:dyDescent="0.3">
      <c r="A1831" s="343"/>
      <c r="B1831" s="15"/>
      <c r="C1831" s="17"/>
      <c r="D1831" s="1386"/>
      <c r="E1831" s="947" t="str">
        <f>Translations!$B$1571</f>
        <v>Ändring jämfört med värde enligt nationella genomförandeåtgärder</v>
      </c>
      <c r="F1831" s="947"/>
      <c r="G1831" s="947"/>
      <c r="H1831" s="1442" t="s">
        <v>1112</v>
      </c>
      <c r="I1831" s="1371"/>
      <c r="J1831" s="1415" t="str">
        <f>INDEX(F_ProductBM!J:J,MATCH($P1831,F_ProductBM!$Q:$Q,0))</f>
        <v/>
      </c>
      <c r="K1831" s="1416" t="str">
        <f>INDEX(F_ProductBM!K:K,MATCH($P1831,F_ProductBM!$Q:$Q,0))</f>
        <v/>
      </c>
      <c r="L1831" s="1416" t="str">
        <f>INDEX(F_ProductBM!L:L,MATCH($P1831,F_ProductBM!$Q:$Q,0))</f>
        <v/>
      </c>
      <c r="M1831" s="1416" t="str">
        <f>INDEX(F_ProductBM!M:M,MATCH($P1831,F_ProductBM!$Q:$Q,0))</f>
        <v/>
      </c>
      <c r="N1831" s="1417" t="str">
        <f>INDEX(F_ProductBM!N:N,MATCH($P1831,F_ProductBM!$Q:$Q,0))</f>
        <v/>
      </c>
      <c r="O1831" s="19"/>
      <c r="P1831" s="165" t="str">
        <f>EUconst_CNTR_RelThreshold &amp; P1833</f>
        <v>RelThresh_HALprelim_ELEXCH_</v>
      </c>
      <c r="Q1831" s="343"/>
      <c r="R1831" s="343"/>
      <c r="S1831" s="343"/>
      <c r="T1831" s="343"/>
      <c r="U1831" s="349"/>
      <c r="V1831" s="349"/>
    </row>
    <row r="1832" spans="1:22" s="534" customFormat="1" ht="12.75" customHeight="1" x14ac:dyDescent="0.3">
      <c r="A1832" s="343"/>
      <c r="B1832" s="15"/>
      <c r="C1832" s="17"/>
      <c r="D1832" s="1386"/>
      <c r="E1832" s="1418" t="str">
        <f>Translations!$B$1572</f>
        <v>Kriterium 3b: Har relativa tröskelvärden överskridits?</v>
      </c>
      <c r="F1832" s="1418"/>
      <c r="G1832" s="1418"/>
      <c r="H1832" s="1444" t="s">
        <v>1112</v>
      </c>
      <c r="I1832" s="1423"/>
      <c r="J1832" s="1420" t="str">
        <f>INDEX(F_ProductBM!V:V,MATCH($P1832,F_ProductBM!$Q:$Q,0))</f>
        <v/>
      </c>
      <c r="K1832" s="1421" t="str">
        <f>INDEX(F_ProductBM!W:W,MATCH($P1832,F_ProductBM!$Q:$Q,0))</f>
        <v/>
      </c>
      <c r="L1832" s="1421" t="str">
        <f>INDEX(F_ProductBM!X:X,MATCH($P1832,F_ProductBM!$Q:$Q,0))</f>
        <v/>
      </c>
      <c r="M1832" s="1421" t="str">
        <f>INDEX(F_ProductBM!Y:Y,MATCH($P1832,F_ProductBM!$Q:$Q,0))</f>
        <v/>
      </c>
      <c r="N1832" s="1422" t="str">
        <f>INDEX(F_ProductBM!Z:Z,MATCH($P1832,F_ProductBM!$Q:$Q,0))</f>
        <v/>
      </c>
      <c r="O1832" s="19"/>
      <c r="P1832" s="165" t="str">
        <f>P1831</f>
        <v>RelThresh_HALprelim_ELEXCH_</v>
      </c>
      <c r="Q1832" s="343"/>
      <c r="R1832" s="343"/>
      <c r="S1832" s="343"/>
      <c r="T1832" s="343"/>
      <c r="U1832" s="349"/>
      <c r="V1832" s="349"/>
    </row>
    <row r="1833" spans="1:22" s="534" customFormat="1" ht="12.75" customHeight="1" x14ac:dyDescent="0.3">
      <c r="A1833" s="343" t="str">
        <f>IF(P1833="","ausblenden","")</f>
        <v/>
      </c>
      <c r="B1833" s="15"/>
      <c r="C1833" s="17"/>
      <c r="D1833" s="1386"/>
      <c r="E1833" s="950" t="str">
        <f>Translations!$B$1568</f>
        <v>Preliminärt värde</v>
      </c>
      <c r="F1833" s="950"/>
      <c r="G1833" s="950"/>
      <c r="H1833" s="629" t="s">
        <v>1112</v>
      </c>
      <c r="I1833" s="950"/>
      <c r="J1833" s="1404" t="str">
        <f>IF($I1792=TRUE,INDEX(F_ProductBM!J:J,MATCH($P1833,F_ProductBM!$Q:$Q,0)),"")</f>
        <v/>
      </c>
      <c r="K1833" s="1405" t="str">
        <f>IF($I1792=TRUE,INDEX(F_ProductBM!K:K,MATCH($P1833,F_ProductBM!$Q:$Q,0)),"")</f>
        <v/>
      </c>
      <c r="L1833" s="1405" t="str">
        <f>IF($I1792=TRUE,INDEX(F_ProductBM!L:L,MATCH($P1833,F_ProductBM!$Q:$Q,0)),"")</f>
        <v/>
      </c>
      <c r="M1833" s="1405" t="str">
        <f>IF($I1792=TRUE,INDEX(F_ProductBM!M:M,MATCH($P1833,F_ProductBM!$Q:$Q,0)),"")</f>
        <v/>
      </c>
      <c r="N1833" s="1406" t="str">
        <f>IF($I1792=TRUE,INDEX(F_ProductBM!N:N,MATCH($P1833,F_ProductBM!$Q:$Q,0)),"")</f>
        <v/>
      </c>
      <c r="O1833" s="19"/>
      <c r="P1833" s="165" t="str">
        <f>EUconst_CNTR_HALprelim&amp;EUconst_CNTR_ELEXCH&amp;$I1789</f>
        <v>HALprelim_ELEXCH_</v>
      </c>
      <c r="Q1833" s="343"/>
      <c r="R1833" s="343"/>
      <c r="S1833" s="343"/>
      <c r="T1833" s="343"/>
      <c r="U1833" s="349"/>
      <c r="V1833" s="349"/>
    </row>
    <row r="1834" spans="1:22" s="534" customFormat="1" ht="12.75" hidden="1" customHeight="1" x14ac:dyDescent="0.3">
      <c r="A1834" s="343" t="str">
        <f>IF(P1834="","ausblenden","")</f>
        <v>ausblenden</v>
      </c>
      <c r="B1834" s="15"/>
      <c r="C1834" s="17"/>
      <c r="D1834" s="1386"/>
      <c r="E1834" s="950" t="s">
        <v>1528</v>
      </c>
      <c r="F1834" s="950"/>
      <c r="G1834" s="950"/>
      <c r="H1834" s="1375" t="s">
        <v>1112</v>
      </c>
      <c r="I1834" s="951"/>
      <c r="J1834" s="1213" t="str">
        <f>J1808</f>
        <v/>
      </c>
      <c r="K1834" s="1214" t="str">
        <f>J1903</f>
        <v/>
      </c>
      <c r="L1834" s="1214" t="str">
        <f>K1903</f>
        <v/>
      </c>
      <c r="M1834" s="1214" t="str">
        <f>L1903</f>
        <v/>
      </c>
      <c r="N1834" s="1393" t="str">
        <f>M1903</f>
        <v/>
      </c>
      <c r="O1834" s="19"/>
      <c r="P1834" s="343"/>
      <c r="Q1834" s="343"/>
      <c r="R1834" s="343"/>
      <c r="S1834" s="343"/>
      <c r="T1834" s="343"/>
      <c r="U1834" s="349"/>
      <c r="V1834" s="349"/>
    </row>
    <row r="1835" spans="1:22" s="534" customFormat="1" ht="12.75" customHeight="1" x14ac:dyDescent="0.3">
      <c r="A1835" s="343"/>
      <c r="B1835" s="15"/>
      <c r="C1835" s="17"/>
      <c r="D1835" s="1386"/>
      <c r="E1835" s="514" t="str">
        <f>Translations!$B$1565</f>
        <v>Preliminärt tilldelningsvärde</v>
      </c>
      <c r="F1835" s="514"/>
      <c r="G1835" s="514"/>
      <c r="H1835" s="129" t="str">
        <f>EUconst_EUA</f>
        <v>EUA</v>
      </c>
      <c r="I1835" s="1151"/>
      <c r="J1835" s="1131" t="str">
        <f>IF($I1792=TRUE,MAX(0,ROUND((SUM($M1792)*SUM(J1826)*SUM(J1833)*SUM(J1834)-SUM(J1827)-SUM(J1828)+SUM(J1829))*IF($H1792=TRUE,1,J$2517),0)),"")</f>
        <v/>
      </c>
      <c r="K1835" s="421" t="str">
        <f>IF($I1792=TRUE,MAX(0,ROUND((SUM($M1792)*SUM(K1826)*SUM(K1833)*SUM(K1834)-SUM(K1827)-SUM(K1828)+SUM(K1829))*IF($H1792=TRUE,1,K$2517),0)),"")</f>
        <v/>
      </c>
      <c r="L1835" s="421" t="str">
        <f>IF($I1792=TRUE,MAX(0,ROUND((SUM($M1792)*SUM(L1826)*SUM(L1833)*SUM(L1834)-SUM(L1827)-SUM(L1828)+SUM(L1829))*IF($H1792=TRUE,1,L$2517),0)),"")</f>
        <v/>
      </c>
      <c r="M1835" s="421" t="str">
        <f>IF($I1792=TRUE,MAX(0,ROUND((SUM($M1792)*SUM(M1826)*SUM(M1833)*SUM(M1834)-SUM(M1827)-SUM(M1828)+SUM(M1829))*IF($H1792=TRUE,1,M$2517),0)),"")</f>
        <v/>
      </c>
      <c r="N1835" s="967" t="str">
        <f>IF($I1792=TRUE,MAX(0,ROUND((SUM($M1792)*SUM(N1826)*SUM(N1833)*SUM(N1834)-SUM(N1827)-SUM(N1828)+SUM(N1829))*IF($H1792=TRUE,1,N$2517),0)),"")</f>
        <v/>
      </c>
      <c r="O1835" s="19"/>
      <c r="P1835" s="343"/>
      <c r="Q1835" s="343"/>
      <c r="R1835" s="343"/>
      <c r="S1835" s="343"/>
      <c r="T1835" s="343"/>
      <c r="U1835" s="349"/>
      <c r="V1835" s="349"/>
    </row>
    <row r="1836" spans="1:22" s="534" customFormat="1" ht="12.75" customHeight="1" x14ac:dyDescent="0.3">
      <c r="A1836" s="343"/>
      <c r="B1836" s="15"/>
      <c r="C1836" s="17"/>
      <c r="D1836" s="1386"/>
      <c r="E1836" s="514" t="str">
        <f>Translations!$B$1569</f>
        <v>Skillnad i tilldelning</v>
      </c>
      <c r="F1836" s="514"/>
      <c r="G1836" s="514"/>
      <c r="H1836" s="129" t="str">
        <f>EUconst_EUA</f>
        <v>EUA</v>
      </c>
      <c r="I1836" s="1151"/>
      <c r="J1836" s="1131" t="str">
        <f>IF($I1792=TRUE,ABS(SUM(J1835)-SUM(J1809)),"")</f>
        <v/>
      </c>
      <c r="K1836" s="421" t="str">
        <f>IF($I1792=TRUE,ABS(SUM(K1835)-SUM(K1809)),"")</f>
        <v/>
      </c>
      <c r="L1836" s="421" t="str">
        <f>IF($I1792=TRUE,ABS(SUM(L1835)-SUM(L1809)),"")</f>
        <v/>
      </c>
      <c r="M1836" s="421" t="str">
        <f>IF($I1792=TRUE,ABS(SUM(M1835)-SUM(M1809)),"")</f>
        <v/>
      </c>
      <c r="N1836" s="967" t="str">
        <f>IF($I1792=TRUE,ABS(SUM(N1835)-SUM(N1809)),"")</f>
        <v/>
      </c>
      <c r="O1836" s="19"/>
      <c r="P1836" s="343"/>
      <c r="Q1836" s="343"/>
      <c r="R1836" s="343"/>
      <c r="S1836" s="343"/>
      <c r="T1836" s="343"/>
      <c r="U1836" s="349"/>
      <c r="V1836" s="349"/>
    </row>
    <row r="1837" spans="1:22" s="534" customFormat="1" ht="12.75" customHeight="1" x14ac:dyDescent="0.3">
      <c r="A1837" s="343"/>
      <c r="B1837" s="15"/>
      <c r="C1837" s="17"/>
      <c r="D1837" s="1386"/>
      <c r="E1837" s="1419" t="str">
        <f>Translations!$B$1573</f>
        <v>Kriterium 4b: Är skillnaden minst 100 utsläppsrätter?</v>
      </c>
      <c r="F1837" s="1419"/>
      <c r="G1837" s="1419"/>
      <c r="H1837" s="1424" t="s">
        <v>1112</v>
      </c>
      <c r="I1837" s="1425"/>
      <c r="J1837" s="1426" t="str">
        <f>IF($I1792=TRUE,J1836&gt;=100,"")</f>
        <v/>
      </c>
      <c r="K1837" s="1427" t="str">
        <f>IF($I1792=TRUE,K1836&gt;=100,"")</f>
        <v/>
      </c>
      <c r="L1837" s="1427" t="str">
        <f>IF($I1792=TRUE,L1836&gt;=100,"")</f>
        <v/>
      </c>
      <c r="M1837" s="1427" t="str">
        <f>IF($I1792=TRUE,M1836&gt;=100,"")</f>
        <v/>
      </c>
      <c r="N1837" s="1428" t="str">
        <f>IF($I1792=TRUE,N1836&gt;=100,"")</f>
        <v/>
      </c>
      <c r="O1837" s="19"/>
      <c r="P1837" s="165" t="str">
        <f>EUconst_CNTR_100EUA_ElExch&amp;I1789</f>
        <v>EUA100ElExch_</v>
      </c>
      <c r="Q1837" s="343"/>
      <c r="R1837" s="343"/>
      <c r="S1837" s="343"/>
      <c r="T1837" s="343"/>
      <c r="U1837" s="349"/>
      <c r="V1837" s="349"/>
    </row>
    <row r="1838" spans="1:22" s="534" customFormat="1" ht="5.15" customHeight="1" x14ac:dyDescent="0.3">
      <c r="A1838" s="343"/>
      <c r="B1838" s="15"/>
      <c r="C1838" s="17"/>
      <c r="D1838" s="1386"/>
      <c r="E1838" s="15"/>
      <c r="F1838" s="15"/>
      <c r="G1838" s="15"/>
      <c r="H1838" s="15"/>
      <c r="I1838" s="941"/>
      <c r="J1838" s="15"/>
      <c r="K1838" s="15"/>
      <c r="L1838" s="15"/>
      <c r="M1838" s="15"/>
      <c r="N1838" s="968"/>
      <c r="O1838" s="19"/>
      <c r="P1838" s="343"/>
      <c r="Q1838" s="343"/>
      <c r="R1838" s="343"/>
      <c r="S1838" s="343"/>
      <c r="T1838" s="343"/>
      <c r="U1838" s="349"/>
      <c r="V1838" s="349"/>
    </row>
    <row r="1839" spans="1:22" s="534" customFormat="1" ht="12.75" customHeight="1" x14ac:dyDescent="0.3">
      <c r="A1839" s="343"/>
      <c r="B1839" s="15"/>
      <c r="C1839" s="17"/>
      <c r="D1839" s="1386"/>
      <c r="E1839" s="42" t="str">
        <f>Translations!$B$1574</f>
        <v>Ändringar: Värme från icke-ETS</v>
      </c>
      <c r="F1839" s="188"/>
      <c r="G1839" s="188"/>
      <c r="H1839" s="30" t="str">
        <f>EUconst_Unit</f>
        <v>Enhet</v>
      </c>
      <c r="I1839" s="1157"/>
      <c r="J1839" s="1065">
        <f>J$2596</f>
        <v>2021</v>
      </c>
      <c r="K1839" s="350">
        <f>K$2596</f>
        <v>2022</v>
      </c>
      <c r="L1839" s="350">
        <f>L$2596</f>
        <v>2023</v>
      </c>
      <c r="M1839" s="350">
        <f>M$2596</f>
        <v>2024</v>
      </c>
      <c r="N1839" s="966">
        <f>N$2596</f>
        <v>2025</v>
      </c>
      <c r="O1839" s="19"/>
      <c r="P1839" s="343"/>
      <c r="Q1839" s="343"/>
      <c r="R1839" s="343"/>
      <c r="S1839" s="343"/>
      <c r="T1839" s="343"/>
      <c r="U1839" s="349"/>
      <c r="V1839" s="349"/>
    </row>
    <row r="1840" spans="1:22" s="534" customFormat="1" ht="12.75" hidden="1" customHeight="1" x14ac:dyDescent="0.3">
      <c r="A1840" s="343" t="str">
        <f>IF(P1840="","ausblenden","")</f>
        <v>ausblenden</v>
      </c>
      <c r="B1840" s="15"/>
      <c r="C1840" s="17"/>
      <c r="D1840" s="1386"/>
      <c r="E1840" s="514" t="s">
        <v>1918</v>
      </c>
      <c r="F1840" s="514"/>
      <c r="G1840" s="514"/>
      <c r="H1840" s="917" t="str">
        <f>H1826</f>
        <v>ton</v>
      </c>
      <c r="I1840" s="514"/>
      <c r="J1840" s="1152" t="str">
        <f>J1803</f>
        <v/>
      </c>
      <c r="K1840" s="943" t="str">
        <f>J1898</f>
        <v/>
      </c>
      <c r="L1840" s="943" t="str">
        <f>K1898</f>
        <v/>
      </c>
      <c r="M1840" s="943" t="str">
        <f>L1898</f>
        <v/>
      </c>
      <c r="N1840" s="1389" t="str">
        <f>M1898</f>
        <v/>
      </c>
      <c r="O1840" s="19"/>
      <c r="P1840" s="343"/>
      <c r="Q1840" s="343"/>
      <c r="R1840" s="343"/>
      <c r="S1840" s="343"/>
      <c r="T1840" s="343"/>
      <c r="U1840" s="349"/>
      <c r="V1840" s="349"/>
    </row>
    <row r="1841" spans="1:22" s="534" customFormat="1" ht="12.75" customHeight="1" x14ac:dyDescent="0.3">
      <c r="A1841" s="343"/>
      <c r="B1841" s="15"/>
      <c r="C1841" s="17"/>
      <c r="D1841" s="1386"/>
      <c r="E1841" s="944" t="str">
        <f>Translations!$B$1482</f>
        <v>Genomsnittligt årligt värde</v>
      </c>
      <c r="F1841" s="944"/>
      <c r="G1841" s="944"/>
      <c r="H1841" s="627" t="str">
        <f>EUconst_EUA</f>
        <v>EUA</v>
      </c>
      <c r="I1841" s="945"/>
      <c r="J1841" s="1161" t="str">
        <f>IF(R1795,SUM(INDEX(F_ProductBM!J:J,MATCH($P1841,F_ProductBM!$Q:$Q,0))),"")</f>
        <v/>
      </c>
      <c r="K1841" s="946" t="str">
        <f>IF(S1795,SUM(INDEX(F_ProductBM!K:K,MATCH($P1841,F_ProductBM!$Q:$Q,0))),"")</f>
        <v/>
      </c>
      <c r="L1841" s="946" t="str">
        <f>IF(T1795,SUM(INDEX(F_ProductBM!L:L,MATCH($P1841,F_ProductBM!$Q:$Q,0))),"")</f>
        <v/>
      </c>
      <c r="M1841" s="946" t="str">
        <f>IF(U1795,SUM(INDEX(F_ProductBM!M:M,MATCH($P1841,F_ProductBM!$Q:$Q,0))),"")</f>
        <v/>
      </c>
      <c r="N1841" s="1046" t="str">
        <f>IF(V1795,SUM(INDEX(F_ProductBM!N:N,MATCH($P1841,F_ProductBM!$Q:$Q,0))),"")</f>
        <v/>
      </c>
      <c r="O1841" s="19"/>
      <c r="P1841" s="165" t="str">
        <f>EUconst_CNTR_HEATInitial &amp; I1789</f>
        <v>HEATIni_</v>
      </c>
      <c r="Q1841" s="343"/>
      <c r="R1841" s="343"/>
      <c r="S1841" s="343"/>
      <c r="T1841" s="343"/>
      <c r="U1841" s="349"/>
      <c r="V1841" s="349"/>
    </row>
    <row r="1842" spans="1:22" s="534" customFormat="1" ht="12.75" customHeight="1" x14ac:dyDescent="0.3">
      <c r="A1842" s="343"/>
      <c r="B1842" s="15"/>
      <c r="C1842" s="17"/>
      <c r="D1842" s="1386"/>
      <c r="E1842" s="947" t="str">
        <f>Translations!$B$1571</f>
        <v>Ändring jämfört med värde enligt nationella genomförandeåtgärder</v>
      </c>
      <c r="F1842" s="947"/>
      <c r="G1842" s="947"/>
      <c r="H1842" s="1442" t="s">
        <v>1112</v>
      </c>
      <c r="I1842" s="1371"/>
      <c r="J1842" s="1415" t="str">
        <f>INDEX(F_ProductBM!J:J,MATCH($P1842,F_ProductBM!$Q:$Q,0))</f>
        <v/>
      </c>
      <c r="K1842" s="1416" t="str">
        <f>INDEX(F_ProductBM!K:K,MATCH($P1842,F_ProductBM!$Q:$Q,0))</f>
        <v/>
      </c>
      <c r="L1842" s="1416" t="str">
        <f>INDEX(F_ProductBM!L:L,MATCH($P1842,F_ProductBM!$Q:$Q,0))</f>
        <v/>
      </c>
      <c r="M1842" s="1416" t="str">
        <f>INDEX(F_ProductBM!M:M,MATCH($P1842,F_ProductBM!$Q:$Q,0))</f>
        <v/>
      </c>
      <c r="N1842" s="1417" t="str">
        <f>INDEX(F_ProductBM!N:N,MATCH($P1842,F_ProductBM!$Q:$Q,0))</f>
        <v/>
      </c>
      <c r="O1842" s="19"/>
      <c r="P1842" s="165" t="str">
        <f>EUconst_CNTR_RelThreshold &amp; P1844</f>
        <v>RelThresh_HEATprelim_</v>
      </c>
      <c r="Q1842" s="343"/>
      <c r="R1842" s="343"/>
      <c r="S1842" s="343"/>
      <c r="T1842" s="343"/>
      <c r="U1842" s="349"/>
      <c r="V1842" s="349"/>
    </row>
    <row r="1843" spans="1:22" s="534" customFormat="1" ht="12.75" customHeight="1" x14ac:dyDescent="0.3">
      <c r="A1843" s="343"/>
      <c r="B1843" s="15"/>
      <c r="C1843" s="17"/>
      <c r="D1843" s="1386"/>
      <c r="E1843" s="1418" t="str">
        <f>Translations!$B$1575</f>
        <v>Kriterium 3c: Har relativa tröskelvärden överskridits?</v>
      </c>
      <c r="F1843" s="1418"/>
      <c r="G1843" s="1418"/>
      <c r="H1843" s="1444" t="s">
        <v>1112</v>
      </c>
      <c r="I1843" s="1423"/>
      <c r="J1843" s="1420" t="str">
        <f>INDEX(F_ProductBM!V:V,MATCH($P1843,F_ProductBM!$Q:$Q,0))</f>
        <v/>
      </c>
      <c r="K1843" s="1421" t="str">
        <f>INDEX(F_ProductBM!W:W,MATCH($P1843,F_ProductBM!$Q:$Q,0))</f>
        <v/>
      </c>
      <c r="L1843" s="1421" t="str">
        <f>INDEX(F_ProductBM!X:X,MATCH($P1843,F_ProductBM!$Q:$Q,0))</f>
        <v/>
      </c>
      <c r="M1843" s="1421" t="str">
        <f>INDEX(F_ProductBM!Y:Y,MATCH($P1843,F_ProductBM!$Q:$Q,0))</f>
        <v/>
      </c>
      <c r="N1843" s="1422" t="str">
        <f>INDEX(F_ProductBM!Z:Z,MATCH($P1843,F_ProductBM!$Q:$Q,0))</f>
        <v/>
      </c>
      <c r="O1843" s="19"/>
      <c r="P1843" s="165" t="str">
        <f>P1842</f>
        <v>RelThresh_HEATprelim_</v>
      </c>
      <c r="Q1843" s="343"/>
      <c r="R1843" s="343"/>
      <c r="S1843" s="343"/>
      <c r="T1843" s="343"/>
      <c r="U1843" s="349"/>
      <c r="V1843" s="349"/>
    </row>
    <row r="1844" spans="1:22" s="534" customFormat="1" ht="12.75" customHeight="1" x14ac:dyDescent="0.3">
      <c r="A1844" s="343" t="str">
        <f>IF(P1844="","ausblenden","")</f>
        <v/>
      </c>
      <c r="B1844" s="15"/>
      <c r="C1844" s="17"/>
      <c r="D1844" s="1386"/>
      <c r="E1844" s="950" t="str">
        <f>Translations!$B$1568</f>
        <v>Preliminärt värde</v>
      </c>
      <c r="F1844" s="950"/>
      <c r="G1844" s="950"/>
      <c r="H1844" s="629" t="str">
        <f>EUconst_EUA</f>
        <v>EUA</v>
      </c>
      <c r="I1844" s="950"/>
      <c r="J1844" s="1373" t="str">
        <f>IF($I1789="","",INDEX(F_ProductBM!J:J,MATCH($P1844,F_ProductBM!$Q:$Q,0)))</f>
        <v/>
      </c>
      <c r="K1844" s="1374" t="str">
        <f>IF($I1789="","",INDEX(F_ProductBM!K:K,MATCH($P1844,F_ProductBM!$Q:$Q,0)))</f>
        <v/>
      </c>
      <c r="L1844" s="1374" t="str">
        <f>IF($I1789="","",INDEX(F_ProductBM!L:L,MATCH($P1844,F_ProductBM!$Q:$Q,0)))</f>
        <v/>
      </c>
      <c r="M1844" s="1374" t="str">
        <f>IF($I1789="","",INDEX(F_ProductBM!M:M,MATCH($P1844,F_ProductBM!$Q:$Q,0)))</f>
        <v/>
      </c>
      <c r="N1844" s="1395" t="str">
        <f>IF($I1789="","",INDEX(F_ProductBM!N:N,MATCH($P1844,F_ProductBM!$Q:$Q,0)))</f>
        <v/>
      </c>
      <c r="O1844" s="19"/>
      <c r="P1844" s="165" t="str">
        <f>EUconst_CNTR_HEATprelim&amp;I1789</f>
        <v>HEATprelim_</v>
      </c>
      <c r="Q1844" s="343"/>
      <c r="R1844" s="343"/>
      <c r="S1844" s="343"/>
      <c r="T1844" s="343"/>
      <c r="U1844" s="349"/>
      <c r="V1844" s="349"/>
    </row>
    <row r="1845" spans="1:22" s="534" customFormat="1" ht="12.75" hidden="1" customHeight="1" x14ac:dyDescent="0.3">
      <c r="A1845" s="343" t="str">
        <f>IF(P1845="","ausblenden","")</f>
        <v>ausblenden</v>
      </c>
      <c r="B1845" s="15"/>
      <c r="C1845" s="17"/>
      <c r="D1845" s="1386"/>
      <c r="E1845" s="947" t="s">
        <v>1560</v>
      </c>
      <c r="F1845" s="947"/>
      <c r="G1845" s="947"/>
      <c r="H1845" s="955" t="str">
        <f>EUconst_EUA</f>
        <v>EUA</v>
      </c>
      <c r="I1845" s="948"/>
      <c r="J1845" s="1165" t="str">
        <f>J1805</f>
        <v/>
      </c>
      <c r="K1845" s="975" t="str">
        <f t="shared" ref="K1845:K1848" si="351">J1900</f>
        <v/>
      </c>
      <c r="L1845" s="975" t="str">
        <f t="shared" ref="L1845:L1848" si="352">K1900</f>
        <v/>
      </c>
      <c r="M1845" s="975" t="str">
        <f t="shared" ref="M1845:M1848" si="353">L1900</f>
        <v/>
      </c>
      <c r="N1845" s="1391" t="str">
        <f t="shared" ref="N1845:N1848" si="354">M1900</f>
        <v/>
      </c>
      <c r="O1845" s="19"/>
      <c r="P1845" s="343"/>
      <c r="Q1845" s="343"/>
      <c r="R1845" s="343"/>
      <c r="S1845" s="343"/>
      <c r="T1845" s="343"/>
      <c r="U1845" s="349"/>
      <c r="V1845" s="349"/>
    </row>
    <row r="1846" spans="1:22" s="534" customFormat="1" ht="12.75" hidden="1" customHeight="1" x14ac:dyDescent="0.3">
      <c r="A1846" s="343" t="str">
        <f>IF(P1846="","ausblenden","")</f>
        <v>ausblenden</v>
      </c>
      <c r="B1846" s="15"/>
      <c r="C1846" s="17"/>
      <c r="D1846" s="1386"/>
      <c r="E1846" s="947" t="s">
        <v>1527</v>
      </c>
      <c r="F1846" s="947"/>
      <c r="G1846" s="947"/>
      <c r="H1846" s="955" t="str">
        <f>EUconst_EUA</f>
        <v>EUA</v>
      </c>
      <c r="I1846" s="948"/>
      <c r="J1846" s="1165" t="str">
        <f>J1806</f>
        <v/>
      </c>
      <c r="K1846" s="975" t="str">
        <f t="shared" si="351"/>
        <v/>
      </c>
      <c r="L1846" s="975" t="str">
        <f t="shared" si="352"/>
        <v/>
      </c>
      <c r="M1846" s="975" t="str">
        <f t="shared" si="353"/>
        <v/>
      </c>
      <c r="N1846" s="1391" t="str">
        <f t="shared" si="354"/>
        <v/>
      </c>
      <c r="O1846" s="19"/>
      <c r="P1846" s="343"/>
      <c r="Q1846" s="343"/>
      <c r="R1846" s="343"/>
      <c r="S1846" s="343"/>
      <c r="T1846" s="343"/>
      <c r="U1846" s="349"/>
      <c r="V1846" s="349"/>
    </row>
    <row r="1847" spans="1:22" s="534" customFormat="1" ht="12.75" hidden="1" customHeight="1" x14ac:dyDescent="0.3">
      <c r="A1847" s="343" t="str">
        <f>IF(P1847="","ausblenden","")</f>
        <v>ausblenden</v>
      </c>
      <c r="B1847" s="15"/>
      <c r="C1847" s="17"/>
      <c r="D1847" s="1386"/>
      <c r="E1847" s="947" t="s">
        <v>1526</v>
      </c>
      <c r="F1847" s="947"/>
      <c r="G1847" s="947"/>
      <c r="H1847" s="956" t="s">
        <v>1112</v>
      </c>
      <c r="I1847" s="948"/>
      <c r="J1847" s="1211" t="str">
        <f>J1807</f>
        <v/>
      </c>
      <c r="K1847" s="1212" t="str">
        <f t="shared" si="351"/>
        <v/>
      </c>
      <c r="L1847" s="1212" t="str">
        <f t="shared" si="352"/>
        <v/>
      </c>
      <c r="M1847" s="1212" t="str">
        <f t="shared" si="353"/>
        <v/>
      </c>
      <c r="N1847" s="1392" t="str">
        <f t="shared" si="354"/>
        <v/>
      </c>
      <c r="O1847" s="19"/>
      <c r="P1847" s="343"/>
      <c r="Q1847" s="343"/>
      <c r="R1847" s="343"/>
      <c r="S1847" s="343"/>
      <c r="T1847" s="343"/>
      <c r="U1847" s="349"/>
      <c r="V1847" s="349"/>
    </row>
    <row r="1848" spans="1:22" s="534" customFormat="1" ht="12.75" hidden="1" customHeight="1" x14ac:dyDescent="0.3">
      <c r="A1848" s="343" t="str">
        <f>IF(P1848="","ausblenden","")</f>
        <v>ausblenden</v>
      </c>
      <c r="B1848" s="15"/>
      <c r="C1848" s="17"/>
      <c r="D1848" s="1386"/>
      <c r="E1848" s="950" t="s">
        <v>1528</v>
      </c>
      <c r="F1848" s="950"/>
      <c r="G1848" s="950"/>
      <c r="H1848" s="957" t="s">
        <v>1112</v>
      </c>
      <c r="I1848" s="951"/>
      <c r="J1848" s="1213" t="str">
        <f>J1808</f>
        <v/>
      </c>
      <c r="K1848" s="1214" t="str">
        <f t="shared" si="351"/>
        <v/>
      </c>
      <c r="L1848" s="1214" t="str">
        <f t="shared" si="352"/>
        <v/>
      </c>
      <c r="M1848" s="1214" t="str">
        <f t="shared" si="353"/>
        <v/>
      </c>
      <c r="N1848" s="1393" t="str">
        <f t="shared" si="354"/>
        <v/>
      </c>
      <c r="O1848" s="19"/>
      <c r="P1848" s="343"/>
      <c r="Q1848" s="343"/>
      <c r="R1848" s="343"/>
      <c r="S1848" s="343"/>
      <c r="T1848" s="343"/>
      <c r="U1848" s="349"/>
      <c r="V1848" s="349"/>
    </row>
    <row r="1849" spans="1:22" s="534" customFormat="1" ht="12.75" customHeight="1" x14ac:dyDescent="0.3">
      <c r="A1849" s="343"/>
      <c r="B1849" s="15"/>
      <c r="C1849" s="17"/>
      <c r="D1849" s="1386"/>
      <c r="E1849" s="514" t="str">
        <f>Translations!$B$1565</f>
        <v>Preliminärt tilldelningsvärde</v>
      </c>
      <c r="F1849" s="514"/>
      <c r="G1849" s="514"/>
      <c r="H1849" s="129" t="str">
        <f>EUconst_EUA</f>
        <v>EUA</v>
      </c>
      <c r="I1849" s="1151"/>
      <c r="J1849" s="1131" t="str">
        <f>IF($I1789="","",MAX(0,ROUND((SUM($M1792)*SUM(J1840)*SUM(J1847)*SUM(J1848)-SUM(J1844)-SUM(J1845)+SUM(J1846))*IF($H1792=TRUE,1,J$2517),0)))</f>
        <v/>
      </c>
      <c r="K1849" s="421" t="str">
        <f>IF($I1789="","",MAX(0,ROUND((SUM($M1792)*SUM(K1840)*SUM(K1847)*SUM(K1848)-SUM(K1844)-SUM(K1845)+SUM(K1846))*IF($H1792=TRUE,1,K$2517),0)))</f>
        <v/>
      </c>
      <c r="L1849" s="421" t="str">
        <f>IF($I1789="","",MAX(0,ROUND((SUM($M1792)*SUM(L1840)*SUM(L1847)*SUM(L1848)-SUM(L1844)-SUM(L1845)+SUM(L1846))*IF($H1792=TRUE,1,L$2517),0)))</f>
        <v/>
      </c>
      <c r="M1849" s="421" t="str">
        <f>IF($I1789="","",MAX(0,ROUND((SUM($M1792)*SUM(M1840)*SUM(M1847)*SUM(M1848)-SUM(M1844)-SUM(M1845)+SUM(M1846))*IF($H1792=TRUE,1,M$2517),0)))</f>
        <v/>
      </c>
      <c r="N1849" s="967" t="str">
        <f>IF($I1789="","",MAX(0,ROUND((SUM($M1792+IF(L1792=52,0.415,0))*SUM(N1840)*SUM(N1847)*SUM(N1848)-SUM(N1844)-SUM(N1845)+SUM(N1846))*IF($H1792=TRUE,1,N$2517),0)))</f>
        <v/>
      </c>
      <c r="O1849" s="19"/>
      <c r="P1849" s="343"/>
      <c r="Q1849" s="343"/>
      <c r="R1849" s="343"/>
      <c r="S1849" s="343"/>
      <c r="T1849" s="343"/>
      <c r="U1849" s="349"/>
      <c r="V1849" s="349"/>
    </row>
    <row r="1850" spans="1:22" s="534" customFormat="1" ht="12.75" customHeight="1" x14ac:dyDescent="0.3">
      <c r="A1850" s="343"/>
      <c r="B1850" s="15"/>
      <c r="C1850" s="17"/>
      <c r="D1850" s="1386"/>
      <c r="E1850" s="514" t="str">
        <f>Translations!$B$1569</f>
        <v>Skillnad i tilldelning</v>
      </c>
      <c r="F1850" s="514"/>
      <c r="G1850" s="514"/>
      <c r="H1850" s="129" t="str">
        <f>EUconst_EUA</f>
        <v>EUA</v>
      </c>
      <c r="I1850" s="1151"/>
      <c r="J1850" s="1131" t="str">
        <f>IF($I1789="","",ABS(SUM(J1849)-SUM(J1809)))</f>
        <v/>
      </c>
      <c r="K1850" s="421" t="str">
        <f>IF($I1789="","",ABS(SUM(K1849)-SUM(K1809)))</f>
        <v/>
      </c>
      <c r="L1850" s="421" t="str">
        <f>IF($I1789="","",ABS(SUM(L1849)-SUM(L1809)))</f>
        <v/>
      </c>
      <c r="M1850" s="421" t="str">
        <f>IF($I1789="","",ABS(SUM(M1849)-SUM(M1809)))</f>
        <v/>
      </c>
      <c r="N1850" s="967" t="str">
        <f>IF($I1789="","",ABS(SUM(N1849)-SUM(N1809)))</f>
        <v/>
      </c>
      <c r="O1850" s="19"/>
      <c r="P1850" s="343"/>
      <c r="Q1850" s="343"/>
      <c r="R1850" s="343"/>
      <c r="S1850" s="343"/>
      <c r="T1850" s="343"/>
      <c r="U1850" s="349"/>
      <c r="V1850" s="349"/>
    </row>
    <row r="1851" spans="1:22" s="534" customFormat="1" ht="12.75" customHeight="1" x14ac:dyDescent="0.3">
      <c r="A1851" s="343"/>
      <c r="B1851" s="15"/>
      <c r="C1851" s="17"/>
      <c r="D1851" s="1386"/>
      <c r="E1851" s="1419" t="str">
        <f>Translations!$B$1576</f>
        <v>Kriterium 4c: Är skillnaden minst 100 utsläppsrätter?</v>
      </c>
      <c r="F1851" s="1419"/>
      <c r="G1851" s="1419"/>
      <c r="H1851" s="1424" t="s">
        <v>1112</v>
      </c>
      <c r="I1851" s="1425"/>
      <c r="J1851" s="1426" t="str">
        <f>IF($I1789="","",J1850&gt;=100)</f>
        <v/>
      </c>
      <c r="K1851" s="1427" t="str">
        <f>IF($I1789="","",K1850&gt;=100)</f>
        <v/>
      </c>
      <c r="L1851" s="1427" t="str">
        <f>IF($I1789="","",L1850&gt;=100)</f>
        <v/>
      </c>
      <c r="M1851" s="1427" t="str">
        <f>IF($I1789="","",M1850&gt;=100)</f>
        <v/>
      </c>
      <c r="N1851" s="1428" t="str">
        <f>IF($I1789="","",N1850&gt;=100)</f>
        <v/>
      </c>
      <c r="O1851" s="19"/>
      <c r="P1851" s="165" t="str">
        <f>EUconst_CNTR_100EUA_HEAT&amp;I1789</f>
        <v>EUA100HEAT_</v>
      </c>
      <c r="Q1851" s="343"/>
      <c r="R1851" s="343"/>
      <c r="S1851" s="343"/>
      <c r="T1851" s="343"/>
      <c r="U1851" s="349"/>
      <c r="V1851" s="349"/>
    </row>
    <row r="1852" spans="1:22" s="534" customFormat="1" ht="5.15" customHeight="1" x14ac:dyDescent="0.3">
      <c r="A1852" s="343"/>
      <c r="B1852" s="15"/>
      <c r="C1852" s="17"/>
      <c r="D1852" s="1386"/>
      <c r="E1852" s="15"/>
      <c r="F1852" s="15"/>
      <c r="G1852" s="15"/>
      <c r="H1852" s="15"/>
      <c r="I1852" s="941"/>
      <c r="J1852" s="15"/>
      <c r="K1852" s="15"/>
      <c r="L1852" s="15"/>
      <c r="M1852" s="15"/>
      <c r="N1852" s="968"/>
      <c r="O1852" s="19"/>
      <c r="P1852" s="343"/>
      <c r="Q1852" s="343"/>
      <c r="R1852" s="343"/>
      <c r="S1852" s="343"/>
      <c r="T1852" s="343"/>
      <c r="U1852" s="349"/>
      <c r="V1852" s="349"/>
    </row>
    <row r="1853" spans="1:22" s="534" customFormat="1" ht="12.75" customHeight="1" x14ac:dyDescent="0.3">
      <c r="A1853" s="343"/>
      <c r="B1853" s="15"/>
      <c r="C1853" s="17"/>
      <c r="D1853" s="1386"/>
      <c r="E1853" s="42" t="str">
        <f>Translations!$B$1577</f>
        <v>Ändringar: HVC-korrigering</v>
      </c>
      <c r="F1853" s="188"/>
      <c r="G1853" s="188"/>
      <c r="H1853" s="30" t="str">
        <f>EUconst_Unit</f>
        <v>Enhet</v>
      </c>
      <c r="I1853" s="1157"/>
      <c r="J1853" s="1065">
        <f>J$2596</f>
        <v>2021</v>
      </c>
      <c r="K1853" s="350">
        <f>K$2596</f>
        <v>2022</v>
      </c>
      <c r="L1853" s="350">
        <f>L$2596</f>
        <v>2023</v>
      </c>
      <c r="M1853" s="350">
        <f>M$2596</f>
        <v>2024</v>
      </c>
      <c r="N1853" s="966">
        <f>N$2596</f>
        <v>2025</v>
      </c>
      <c r="O1853" s="19"/>
      <c r="P1853" s="343"/>
      <c r="Q1853" s="343"/>
      <c r="R1853" s="343"/>
      <c r="S1853" s="343"/>
      <c r="T1853" s="343"/>
      <c r="U1853" s="349"/>
      <c r="V1853" s="349"/>
    </row>
    <row r="1854" spans="1:22" s="534" customFormat="1" ht="12.75" hidden="1" customHeight="1" x14ac:dyDescent="0.3">
      <c r="A1854" s="343" t="str">
        <f>IF(P1854="","ausblenden","")</f>
        <v>ausblenden</v>
      </c>
      <c r="B1854" s="15"/>
      <c r="C1854" s="17"/>
      <c r="D1854" s="1386"/>
      <c r="E1854" s="514" t="s">
        <v>1918</v>
      </c>
      <c r="F1854" s="514"/>
      <c r="G1854" s="514"/>
      <c r="H1854" s="917" t="str">
        <f>H1840</f>
        <v>ton</v>
      </c>
      <c r="I1854" s="514"/>
      <c r="J1854" s="1152" t="str">
        <f>J1803</f>
        <v/>
      </c>
      <c r="K1854" s="943" t="str">
        <f t="shared" ref="K1854:K1856" si="355">J1898</f>
        <v/>
      </c>
      <c r="L1854" s="943" t="str">
        <f t="shared" ref="L1854:L1856" si="356">K1898</f>
        <v/>
      </c>
      <c r="M1854" s="943" t="str">
        <f t="shared" ref="M1854:M1856" si="357">L1898</f>
        <v/>
      </c>
      <c r="N1854" s="1389" t="str">
        <f t="shared" ref="N1854:N1856" si="358">M1898</f>
        <v/>
      </c>
      <c r="O1854" s="19"/>
      <c r="P1854" s="343"/>
      <c r="Q1854" s="343"/>
      <c r="R1854" s="343"/>
      <c r="S1854" s="343"/>
      <c r="T1854" s="343"/>
      <c r="U1854" s="349"/>
      <c r="V1854" s="349"/>
    </row>
    <row r="1855" spans="1:22" s="534" customFormat="1" ht="12.75" hidden="1" customHeight="1" x14ac:dyDescent="0.3">
      <c r="A1855" s="343" t="str">
        <f>IF(P1855="","ausblenden","")</f>
        <v>ausblenden</v>
      </c>
      <c r="B1855" s="15"/>
      <c r="C1855" s="17"/>
      <c r="D1855" s="1386"/>
      <c r="E1855" s="944" t="s">
        <v>339</v>
      </c>
      <c r="F1855" s="944"/>
      <c r="G1855" s="944"/>
      <c r="H1855" s="954" t="str">
        <f>EUconst_EUA</f>
        <v>EUA</v>
      </c>
      <c r="I1855" s="945"/>
      <c r="J1855" s="1209" t="str">
        <f>J1804</f>
        <v/>
      </c>
      <c r="K1855" s="1210" t="str">
        <f t="shared" si="355"/>
        <v/>
      </c>
      <c r="L1855" s="1210" t="str">
        <f t="shared" si="356"/>
        <v/>
      </c>
      <c r="M1855" s="1210" t="str">
        <f t="shared" si="357"/>
        <v/>
      </c>
      <c r="N1855" s="1390" t="str">
        <f t="shared" si="358"/>
        <v/>
      </c>
      <c r="O1855" s="19"/>
      <c r="P1855" s="343"/>
      <c r="Q1855" s="343"/>
      <c r="R1855" s="343"/>
      <c r="S1855" s="343"/>
      <c r="T1855" s="343"/>
      <c r="U1855" s="349"/>
      <c r="V1855" s="349"/>
    </row>
    <row r="1856" spans="1:22" s="534" customFormat="1" ht="12.75" hidden="1" customHeight="1" x14ac:dyDescent="0.3">
      <c r="A1856" s="343" t="str">
        <f>IF(P1856="","ausblenden","")</f>
        <v>ausblenden</v>
      </c>
      <c r="B1856" s="15"/>
      <c r="C1856" s="17"/>
      <c r="D1856" s="1386"/>
      <c r="E1856" s="1433" t="s">
        <v>1560</v>
      </c>
      <c r="F1856" s="1433"/>
      <c r="G1856" s="1433"/>
      <c r="H1856" s="1434" t="str">
        <f>EUconst_EUA</f>
        <v>EUA</v>
      </c>
      <c r="I1856" s="1435"/>
      <c r="J1856" s="1436" t="str">
        <f>J1805</f>
        <v/>
      </c>
      <c r="K1856" s="1437" t="str">
        <f t="shared" si="355"/>
        <v/>
      </c>
      <c r="L1856" s="1437" t="str">
        <f t="shared" si="356"/>
        <v/>
      </c>
      <c r="M1856" s="1437" t="str">
        <f t="shared" si="357"/>
        <v/>
      </c>
      <c r="N1856" s="1438" t="str">
        <f t="shared" si="358"/>
        <v/>
      </c>
      <c r="O1856" s="19"/>
      <c r="P1856" s="343"/>
      <c r="Q1856" s="343"/>
      <c r="R1856" s="343"/>
      <c r="S1856" s="343"/>
      <c r="T1856" s="343"/>
      <c r="U1856" s="349"/>
      <c r="V1856" s="349"/>
    </row>
    <row r="1857" spans="1:22" s="534" customFormat="1" ht="12.75" customHeight="1" x14ac:dyDescent="0.3">
      <c r="A1857" s="343"/>
      <c r="B1857" s="15"/>
      <c r="C1857" s="17"/>
      <c r="D1857" s="1386"/>
      <c r="E1857" s="944" t="str">
        <f>Translations!$B$1482</f>
        <v>Genomsnittligt årligt värde</v>
      </c>
      <c r="F1857" s="944"/>
      <c r="G1857" s="944"/>
      <c r="H1857" s="954" t="str">
        <f>EUconst_EUA</f>
        <v>EUA</v>
      </c>
      <c r="I1857" s="945"/>
      <c r="J1857" s="1445" t="str">
        <f>IF(L1792=42,INDEX(H_SpecialBM!J:J,MATCH($P1857,H_SpecialBM!$Q:$Q,0)),"")</f>
        <v/>
      </c>
      <c r="K1857" s="1446" t="str">
        <f>IF(L1792=42,INDEX(H_SpecialBM!K:K,MATCH($P1857,H_SpecialBM!$Q:$Q,0)),"")</f>
        <v/>
      </c>
      <c r="L1857" s="1446" t="str">
        <f>IF(L1792=42,INDEX(H_SpecialBM!L:L,MATCH($P1857,H_SpecialBM!$Q:$Q,0)),"")</f>
        <v/>
      </c>
      <c r="M1857" s="1446" t="str">
        <f>IF(L1792=42,INDEX(H_SpecialBM!M:M,MATCH($P1857,H_SpecialBM!$Q:$Q,0)),"")</f>
        <v/>
      </c>
      <c r="N1857" s="1447" t="str">
        <f>IF(L1792=42,INDEX(H_SpecialBM!N:N,MATCH($P1857,H_SpecialBM!$Q:$Q,0)),"")</f>
        <v/>
      </c>
      <c r="O1857" s="19"/>
      <c r="P1857" s="165" t="str">
        <f>EUconst_CNTR_HVCInitial &amp; INDEX(EUconst_BMlistNames,42)</f>
        <v>HVCIni_Ångkrackning</v>
      </c>
      <c r="Q1857" s="343"/>
      <c r="R1857" s="343"/>
      <c r="S1857" s="343"/>
      <c r="T1857" s="343"/>
      <c r="U1857" s="349"/>
      <c r="V1857" s="349"/>
    </row>
    <row r="1858" spans="1:22" s="534" customFormat="1" ht="12.75" customHeight="1" x14ac:dyDescent="0.3">
      <c r="A1858" s="343"/>
      <c r="B1858" s="15"/>
      <c r="C1858" s="17"/>
      <c r="D1858" s="1386"/>
      <c r="E1858" s="947" t="str">
        <f>Translations!$B$1571</f>
        <v>Ändring jämfört med värde enligt nationella genomförandeåtgärder</v>
      </c>
      <c r="F1858" s="947"/>
      <c r="G1858" s="947"/>
      <c r="H1858" s="1370" t="s">
        <v>1112</v>
      </c>
      <c r="I1858" s="1371"/>
      <c r="J1858" s="1415" t="str">
        <f>IF(L1792=42,INDEX(H_SpecialBM!J:J,MATCH($P1858,H_SpecialBM!$Q:$Q,0)),"")</f>
        <v/>
      </c>
      <c r="K1858" s="1416" t="str">
        <f>IF(L1792=42,INDEX(H_SpecialBM!K:K,MATCH($P1858,H_SpecialBM!$Q:$Q,0)),"")</f>
        <v/>
      </c>
      <c r="L1858" s="1416" t="str">
        <f>IF(L1792=42,INDEX(H_SpecialBM!L:L,MATCH($P1858,H_SpecialBM!$Q:$Q,0)),"")</f>
        <v/>
      </c>
      <c r="M1858" s="1416" t="str">
        <f>IF(L1792=42,INDEX(H_SpecialBM!M:M,MATCH($P1858,H_SpecialBM!$Q:$Q,0)),"")</f>
        <v/>
      </c>
      <c r="N1858" s="1417" t="str">
        <f>IF(L1792=42,INDEX(H_SpecialBM!N:N,MATCH($P1858,H_SpecialBM!$Q:$Q,0)),"")</f>
        <v/>
      </c>
      <c r="O1858" s="19"/>
      <c r="P1858" s="165" t="str">
        <f>EUconst_CNTR_RelThreshold &amp; P1860</f>
        <v>RelThresh_HVCprelim_</v>
      </c>
      <c r="Q1858" s="343"/>
      <c r="R1858" s="343"/>
      <c r="S1858" s="343"/>
      <c r="T1858" s="343"/>
      <c r="U1858" s="349"/>
      <c r="V1858" s="349"/>
    </row>
    <row r="1859" spans="1:22" s="534" customFormat="1" ht="12.75" customHeight="1" x14ac:dyDescent="0.3">
      <c r="A1859" s="343"/>
      <c r="B1859" s="15"/>
      <c r="C1859" s="17"/>
      <c r="D1859" s="1386"/>
      <c r="E1859" s="1418" t="str">
        <f>Translations!$B$1578</f>
        <v>Kriterium 3d: Har relativa tröskelvärden överskridits?</v>
      </c>
      <c r="F1859" s="1418"/>
      <c r="G1859" s="1418"/>
      <c r="H1859" s="1423" t="s">
        <v>1112</v>
      </c>
      <c r="I1859" s="1423"/>
      <c r="J1859" s="1420" t="str">
        <f>IF(L1792=42,INDEX(H_SpecialBM!V:V,MATCH($P1859,H_SpecialBM!$Q:$Q,0)),"")</f>
        <v/>
      </c>
      <c r="K1859" s="1421" t="str">
        <f>IF(L1792=42,INDEX(H_SpecialBM!W:W,MATCH($P1859,H_SpecialBM!$Q:$Q,0)),"")</f>
        <v/>
      </c>
      <c r="L1859" s="1421" t="str">
        <f>IF(L1792=42,INDEX(H_SpecialBM!X:X,MATCH($P1859,H_SpecialBM!$Q:$Q,0)),"")</f>
        <v/>
      </c>
      <c r="M1859" s="1421" t="str">
        <f>IF(L1792=42,INDEX(H_SpecialBM!Y:Y,MATCH($P1859,H_SpecialBM!$Q:$Q,0)),"")</f>
        <v/>
      </c>
      <c r="N1859" s="1422" t="str">
        <f>IF(L1792=42,INDEX(H_SpecialBM!Z:Z,MATCH($P1859,H_SpecialBM!$Q:$Q,0)),"")</f>
        <v/>
      </c>
      <c r="O1859" s="19"/>
      <c r="P1859" s="165" t="str">
        <f>P1858</f>
        <v>RelThresh_HVCprelim_</v>
      </c>
      <c r="Q1859" s="343"/>
      <c r="R1859" s="343"/>
      <c r="S1859" s="343"/>
      <c r="T1859" s="343"/>
      <c r="U1859" s="349"/>
      <c r="V1859" s="349"/>
    </row>
    <row r="1860" spans="1:22" s="534" customFormat="1" ht="12.75" customHeight="1" x14ac:dyDescent="0.3">
      <c r="A1860" s="343" t="str">
        <f>IF(P1860="","ausblenden","")</f>
        <v/>
      </c>
      <c r="B1860" s="15"/>
      <c r="C1860" s="17"/>
      <c r="D1860" s="1386"/>
      <c r="E1860" s="950" t="str">
        <f>Translations!$B$1568</f>
        <v>Preliminärt värde</v>
      </c>
      <c r="F1860" s="950"/>
      <c r="G1860" s="950"/>
      <c r="H1860" s="957" t="str">
        <f>EUconst_EUA</f>
        <v>EUA</v>
      </c>
      <c r="I1860" s="951"/>
      <c r="J1860" s="1381" t="str">
        <f>IF($L1792=42,INDEX(H_SpecialBM!J:J,MATCH($P1860,H_SpecialBM!$Q:$Q,0)),"")</f>
        <v/>
      </c>
      <c r="K1860" s="1382" t="str">
        <f>IF($L1792=42,INDEX(H_SpecialBM!K:K,MATCH($P1860,H_SpecialBM!$Q:$Q,0)),"")</f>
        <v/>
      </c>
      <c r="L1860" s="1382" t="str">
        <f>IF($L1792=42,INDEX(H_SpecialBM!L:L,MATCH($P1860,H_SpecialBM!$Q:$Q,0)),"")</f>
        <v/>
      </c>
      <c r="M1860" s="1382" t="str">
        <f>IF($L1792=42,INDEX(H_SpecialBM!M:M,MATCH($P1860,H_SpecialBM!$Q:$Q,0)),"")</f>
        <v/>
      </c>
      <c r="N1860" s="1396" t="str">
        <f>IF($L1792=42,INDEX(H_SpecialBM!N:N,MATCH($P1860,H_SpecialBM!$Q:$Q,0)),"")</f>
        <v/>
      </c>
      <c r="O1860" s="19"/>
      <c r="P1860" s="165" t="str">
        <f>EUconst_CNTR_HVCprelim</f>
        <v>HVCprelim_</v>
      </c>
      <c r="Q1860" s="343"/>
      <c r="R1860" s="343"/>
      <c r="S1860" s="343"/>
      <c r="T1860" s="343"/>
      <c r="U1860" s="349"/>
      <c r="V1860" s="349"/>
    </row>
    <row r="1861" spans="1:22" s="534" customFormat="1" ht="12.75" hidden="1" customHeight="1" x14ac:dyDescent="0.3">
      <c r="A1861" s="343" t="str">
        <f>IF(P1861="","ausblenden","")</f>
        <v>ausblenden</v>
      </c>
      <c r="B1861" s="15"/>
      <c r="C1861" s="17"/>
      <c r="D1861" s="1386"/>
      <c r="E1861" s="1376" t="s">
        <v>1526</v>
      </c>
      <c r="F1861" s="1376"/>
      <c r="G1861" s="1376"/>
      <c r="H1861" s="1378" t="s">
        <v>1112</v>
      </c>
      <c r="I1861" s="1377"/>
      <c r="J1861" s="1379" t="str">
        <f>J1807</f>
        <v/>
      </c>
      <c r="K1861" s="1380" t="str">
        <f t="shared" ref="K1861:K1862" si="359">J1902</f>
        <v/>
      </c>
      <c r="L1861" s="1380" t="str">
        <f t="shared" ref="L1861:L1862" si="360">K1902</f>
        <v/>
      </c>
      <c r="M1861" s="1380" t="str">
        <f t="shared" ref="M1861:M1862" si="361">L1902</f>
        <v/>
      </c>
      <c r="N1861" s="1397" t="str">
        <f t="shared" ref="N1861:N1862" si="362">M1902</f>
        <v/>
      </c>
      <c r="O1861" s="19"/>
      <c r="P1861" s="343"/>
      <c r="Q1861" s="343"/>
      <c r="R1861" s="343"/>
      <c r="S1861" s="343"/>
      <c r="T1861" s="343"/>
      <c r="U1861" s="349"/>
      <c r="V1861" s="349"/>
    </row>
    <row r="1862" spans="1:22" s="534" customFormat="1" ht="12.75" hidden="1" customHeight="1" x14ac:dyDescent="0.3">
      <c r="A1862" s="343" t="str">
        <f>IF(P1862="","ausblenden","")</f>
        <v>ausblenden</v>
      </c>
      <c r="B1862" s="15"/>
      <c r="C1862" s="17"/>
      <c r="D1862" s="1386"/>
      <c r="E1862" s="950" t="s">
        <v>1528</v>
      </c>
      <c r="F1862" s="950"/>
      <c r="G1862" s="950"/>
      <c r="H1862" s="957" t="s">
        <v>1112</v>
      </c>
      <c r="I1862" s="951"/>
      <c r="J1862" s="1213" t="str">
        <f>J1808</f>
        <v/>
      </c>
      <c r="K1862" s="1214" t="str">
        <f t="shared" si="359"/>
        <v/>
      </c>
      <c r="L1862" s="1214" t="str">
        <f t="shared" si="360"/>
        <v/>
      </c>
      <c r="M1862" s="1214" t="str">
        <f t="shared" si="361"/>
        <v/>
      </c>
      <c r="N1862" s="1393" t="str">
        <f t="shared" si="362"/>
        <v/>
      </c>
      <c r="O1862" s="19"/>
      <c r="P1862" s="343"/>
      <c r="Q1862" s="343"/>
      <c r="R1862" s="343"/>
      <c r="S1862" s="343"/>
      <c r="T1862" s="343"/>
      <c r="U1862" s="349"/>
      <c r="V1862" s="349"/>
    </row>
    <row r="1863" spans="1:22" s="534" customFormat="1" ht="12.75" customHeight="1" x14ac:dyDescent="0.3">
      <c r="A1863" s="343"/>
      <c r="B1863" s="15"/>
      <c r="C1863" s="17"/>
      <c r="D1863" s="1386"/>
      <c r="E1863" s="514" t="str">
        <f>Translations!$B$1565</f>
        <v>Preliminärt tilldelningsvärde</v>
      </c>
      <c r="F1863" s="514"/>
      <c r="G1863" s="514"/>
      <c r="H1863" s="129" t="str">
        <f>EUconst_EUA</f>
        <v>EUA</v>
      </c>
      <c r="I1863" s="1151"/>
      <c r="J1863" s="1131" t="str">
        <f>IF(J1860="","",MAX(0,ROUND((SUM($M1792)*SUM(J1854)*SUM(J1861)*SUM(J1862)-SUM(J1855)-SUM(J1856)+SUM(J1860))*IF($H1792=TRUE,1,J$2517),0)))</f>
        <v/>
      </c>
      <c r="K1863" s="421" t="str">
        <f>IF(K1860="","",MAX(0,ROUND((SUM($M1792)*SUM(K1854)*SUM(K1861)*SUM(K1862)-SUM(K1855)-SUM(K1856)+SUM(K1860))*IF($H1792=TRUE,1,K$2517),0)))</f>
        <v/>
      </c>
      <c r="L1863" s="421" t="str">
        <f>IF(L1860="","",MAX(0,ROUND((SUM($M1792)*SUM(L1854)*SUM(L1861)*SUM(L1862)-SUM(L1855)-SUM(L1856)+SUM(L1860))*IF($H1792=TRUE,1,L$2517),0)))</f>
        <v/>
      </c>
      <c r="M1863" s="421" t="str">
        <f>IF(M1860="","",MAX(0,ROUND((SUM($M1792)*SUM(M1854)*SUM(M1861)*SUM(M1862)-SUM(M1855)-SUM(M1856)+SUM(M1860))*IF($H1792=TRUE,1,M$2517),0)))</f>
        <v/>
      </c>
      <c r="N1863" s="967" t="str">
        <f>IF(N1860="","",MAX(0,ROUND((SUM($M1792)*SUM(N1854)*SUM(N1861)*SUM(N1862)-SUM(N1855)-SUM(N1856)+SUM(N1860))*IF($H1792=TRUE,1,N$2517),0)))</f>
        <v/>
      </c>
      <c r="O1863" s="19"/>
      <c r="P1863" s="343"/>
      <c r="Q1863" s="343"/>
      <c r="R1863" s="343"/>
      <c r="S1863" s="343"/>
      <c r="T1863" s="343"/>
      <c r="U1863" s="349"/>
      <c r="V1863" s="349"/>
    </row>
    <row r="1864" spans="1:22" s="534" customFormat="1" ht="12.75" customHeight="1" x14ac:dyDescent="0.3">
      <c r="A1864" s="343"/>
      <c r="B1864" s="15"/>
      <c r="C1864" s="17"/>
      <c r="D1864" s="1386"/>
      <c r="E1864" s="514" t="str">
        <f>Translations!$B$1569</f>
        <v>Skillnad i tilldelning</v>
      </c>
      <c r="F1864" s="514"/>
      <c r="G1864" s="514"/>
      <c r="H1864" s="129" t="str">
        <f>EUconst_EUA</f>
        <v>EUA</v>
      </c>
      <c r="I1864" s="1151"/>
      <c r="J1864" s="1131" t="str">
        <f>IF(J1863="","",ABS(SUM(J1863)-SUM(J1809)))</f>
        <v/>
      </c>
      <c r="K1864" s="421" t="str">
        <f>IF(K1863="","",ABS(SUM(K1863)-SUM(K1809)))</f>
        <v/>
      </c>
      <c r="L1864" s="421" t="str">
        <f>IF(L1863="","",ABS(SUM(L1863)-SUM(L1809)))</f>
        <v/>
      </c>
      <c r="M1864" s="421" t="str">
        <f>IF(M1863="","",ABS(SUM(M1863)-SUM(M1809)))</f>
        <v/>
      </c>
      <c r="N1864" s="967" t="str">
        <f>IF(N1863="","",ABS(SUM(N1863)-SUM(N1809)))</f>
        <v/>
      </c>
      <c r="O1864" s="19"/>
      <c r="P1864" s="343"/>
      <c r="Q1864" s="343"/>
      <c r="R1864" s="343"/>
      <c r="S1864" s="343"/>
      <c r="T1864" s="343"/>
      <c r="U1864" s="349"/>
      <c r="V1864" s="349"/>
    </row>
    <row r="1865" spans="1:22" s="534" customFormat="1" ht="12.75" customHeight="1" x14ac:dyDescent="0.3">
      <c r="A1865" s="343"/>
      <c r="B1865" s="15"/>
      <c r="C1865" s="17"/>
      <c r="D1865" s="1386"/>
      <c r="E1865" s="1419" t="str">
        <f>Translations!$B$1579</f>
        <v>Kriterium 4d: Är skillnaden minst 100 utsläppsrätter?</v>
      </c>
      <c r="F1865" s="514"/>
      <c r="G1865" s="514"/>
      <c r="H1865" s="1424" t="s">
        <v>1112</v>
      </c>
      <c r="I1865" s="1425"/>
      <c r="J1865" s="1426" t="str">
        <f>IF(J1864="","",J1864&gt;=100)</f>
        <v/>
      </c>
      <c r="K1865" s="1427" t="str">
        <f>IF(K1864="","",K1864&gt;=100)</f>
        <v/>
      </c>
      <c r="L1865" s="1427" t="str">
        <f>IF(L1864="","",L1864&gt;=100)</f>
        <v/>
      </c>
      <c r="M1865" s="1427" t="str">
        <f>IF(M1864="","",M1864&gt;=100)</f>
        <v/>
      </c>
      <c r="N1865" s="1428" t="str">
        <f>IF(N1864="","",N1864&gt;=100)</f>
        <v/>
      </c>
      <c r="O1865" s="19"/>
      <c r="P1865" s="165" t="str">
        <f>EUconst_CNTR_100EUA_HVC&amp;I1789</f>
        <v>EUA100HVC_</v>
      </c>
      <c r="Q1865" s="343"/>
      <c r="R1865" s="343"/>
      <c r="S1865" s="343"/>
      <c r="T1865" s="343"/>
      <c r="U1865" s="349"/>
      <c r="V1865" s="349"/>
    </row>
    <row r="1866" spans="1:22" s="534" customFormat="1" ht="5.15" customHeight="1" x14ac:dyDescent="0.3">
      <c r="A1866" s="343"/>
      <c r="B1866" s="15"/>
      <c r="C1866" s="17"/>
      <c r="D1866" s="1386"/>
      <c r="E1866" s="15"/>
      <c r="F1866" s="15"/>
      <c r="G1866" s="15"/>
      <c r="H1866" s="15"/>
      <c r="I1866" s="941"/>
      <c r="J1866" s="15"/>
      <c r="K1866" s="15"/>
      <c r="L1866" s="15"/>
      <c r="M1866" s="15"/>
      <c r="N1866" s="968"/>
      <c r="O1866" s="19"/>
      <c r="P1866" s="343"/>
      <c r="Q1866" s="343"/>
      <c r="R1866" s="343"/>
      <c r="S1866" s="343"/>
      <c r="T1866" s="343"/>
      <c r="U1866" s="349"/>
      <c r="V1866" s="349"/>
    </row>
    <row r="1867" spans="1:22" s="534" customFormat="1" ht="12.75" customHeight="1" x14ac:dyDescent="0.3">
      <c r="A1867" s="343"/>
      <c r="B1867" s="15"/>
      <c r="C1867" s="17"/>
      <c r="D1867" s="1386"/>
      <c r="E1867" s="42" t="str">
        <f>Translations!$B$1580</f>
        <v>Ändringar: VCM-korrigering</v>
      </c>
      <c r="F1867" s="188"/>
      <c r="G1867" s="188"/>
      <c r="H1867" s="30" t="str">
        <f>EUconst_Unit</f>
        <v>Enhet</v>
      </c>
      <c r="I1867" s="1157"/>
      <c r="J1867" s="1065">
        <f>J$2596</f>
        <v>2021</v>
      </c>
      <c r="K1867" s="350">
        <f>K$2596</f>
        <v>2022</v>
      </c>
      <c r="L1867" s="350">
        <f>L$2596</f>
        <v>2023</v>
      </c>
      <c r="M1867" s="350">
        <f>M$2596</f>
        <v>2024</v>
      </c>
      <c r="N1867" s="966">
        <f>N$2596</f>
        <v>2025</v>
      </c>
      <c r="O1867" s="19"/>
      <c r="P1867" s="343"/>
      <c r="Q1867" s="343"/>
      <c r="R1867" s="343"/>
      <c r="S1867" s="343"/>
      <c r="T1867" s="343"/>
      <c r="U1867" s="349"/>
      <c r="V1867" s="349"/>
    </row>
    <row r="1868" spans="1:22" s="534" customFormat="1" ht="12.75" hidden="1" customHeight="1" x14ac:dyDescent="0.3">
      <c r="A1868" s="343" t="str">
        <f>IF(P1868="","ausblenden","")</f>
        <v>ausblenden</v>
      </c>
      <c r="B1868" s="15"/>
      <c r="C1868" s="17"/>
      <c r="D1868" s="1386"/>
      <c r="E1868" s="514" t="s">
        <v>1918</v>
      </c>
      <c r="F1868" s="514"/>
      <c r="G1868" s="514"/>
      <c r="H1868" s="917" t="str">
        <f>H1854</f>
        <v>ton</v>
      </c>
      <c r="I1868" s="514"/>
      <c r="J1868" s="1152" t="str">
        <f>J1803</f>
        <v/>
      </c>
      <c r="K1868" s="943" t="str">
        <f t="shared" ref="K1868:K1872" si="363">J1898</f>
        <v/>
      </c>
      <c r="L1868" s="943" t="str">
        <f t="shared" ref="L1868:L1872" si="364">K1898</f>
        <v/>
      </c>
      <c r="M1868" s="943" t="str">
        <f t="shared" ref="M1868:M1872" si="365">L1898</f>
        <v/>
      </c>
      <c r="N1868" s="1389" t="str">
        <f t="shared" ref="N1868:N1872" si="366">M1898</f>
        <v/>
      </c>
      <c r="O1868" s="19"/>
      <c r="P1868" s="343"/>
      <c r="Q1868" s="343"/>
      <c r="R1868" s="343"/>
      <c r="S1868" s="343"/>
      <c r="T1868" s="343"/>
      <c r="U1868" s="349"/>
      <c r="V1868" s="349"/>
    </row>
    <row r="1869" spans="1:22" s="534" customFormat="1" ht="12.75" hidden="1" customHeight="1" x14ac:dyDescent="0.3">
      <c r="A1869" s="343" t="str">
        <f>IF(P1869="","ausblenden","")</f>
        <v>ausblenden</v>
      </c>
      <c r="B1869" s="15"/>
      <c r="C1869" s="17"/>
      <c r="D1869" s="1386"/>
      <c r="E1869" s="944" t="s">
        <v>339</v>
      </c>
      <c r="F1869" s="944"/>
      <c r="G1869" s="944"/>
      <c r="H1869" s="954" t="str">
        <f>EUconst_EUA</f>
        <v>EUA</v>
      </c>
      <c r="I1869" s="945"/>
      <c r="J1869" s="1209" t="str">
        <f>J1804</f>
        <v/>
      </c>
      <c r="K1869" s="1210" t="str">
        <f t="shared" si="363"/>
        <v/>
      </c>
      <c r="L1869" s="1210" t="str">
        <f t="shared" si="364"/>
        <v/>
      </c>
      <c r="M1869" s="1210" t="str">
        <f t="shared" si="365"/>
        <v/>
      </c>
      <c r="N1869" s="1390" t="str">
        <f t="shared" si="366"/>
        <v/>
      </c>
      <c r="O1869" s="19"/>
      <c r="P1869" s="343"/>
      <c r="Q1869" s="343"/>
      <c r="R1869" s="343"/>
      <c r="S1869" s="343"/>
      <c r="T1869" s="343"/>
      <c r="U1869" s="349"/>
      <c r="V1869" s="349"/>
    </row>
    <row r="1870" spans="1:22" s="534" customFormat="1" ht="12.75" hidden="1" customHeight="1" x14ac:dyDescent="0.3">
      <c r="A1870" s="343" t="str">
        <f>IF(P1870="","ausblenden","")</f>
        <v>ausblenden</v>
      </c>
      <c r="B1870" s="15"/>
      <c r="C1870" s="17"/>
      <c r="D1870" s="1386"/>
      <c r="E1870" s="947" t="s">
        <v>1560</v>
      </c>
      <c r="F1870" s="947"/>
      <c r="G1870" s="947"/>
      <c r="H1870" s="955" t="str">
        <f>EUconst_EUA</f>
        <v>EUA</v>
      </c>
      <c r="I1870" s="948"/>
      <c r="J1870" s="1165" t="str">
        <f>J1805</f>
        <v/>
      </c>
      <c r="K1870" s="975" t="str">
        <f t="shared" si="363"/>
        <v/>
      </c>
      <c r="L1870" s="975" t="str">
        <f t="shared" si="364"/>
        <v/>
      </c>
      <c r="M1870" s="975" t="str">
        <f t="shared" si="365"/>
        <v/>
      </c>
      <c r="N1870" s="1391" t="str">
        <f t="shared" si="366"/>
        <v/>
      </c>
      <c r="O1870" s="19"/>
      <c r="P1870" s="343"/>
      <c r="Q1870" s="343"/>
      <c r="R1870" s="343"/>
      <c r="S1870" s="343"/>
      <c r="T1870" s="343"/>
      <c r="U1870" s="349"/>
      <c r="V1870" s="349"/>
    </row>
    <row r="1871" spans="1:22" s="534" customFormat="1" ht="12.75" hidden="1" customHeight="1" x14ac:dyDescent="0.3">
      <c r="A1871" s="343" t="str">
        <f>IF(P1871="","ausblenden","")</f>
        <v>ausblenden</v>
      </c>
      <c r="B1871" s="15"/>
      <c r="C1871" s="17"/>
      <c r="D1871" s="1386"/>
      <c r="E1871" s="947" t="s">
        <v>1527</v>
      </c>
      <c r="F1871" s="947"/>
      <c r="G1871" s="947"/>
      <c r="H1871" s="955" t="str">
        <f>EUconst_EUA</f>
        <v>EUA</v>
      </c>
      <c r="I1871" s="948"/>
      <c r="J1871" s="1165" t="str">
        <f>J1806</f>
        <v/>
      </c>
      <c r="K1871" s="975" t="str">
        <f t="shared" si="363"/>
        <v/>
      </c>
      <c r="L1871" s="975" t="str">
        <f t="shared" si="364"/>
        <v/>
      </c>
      <c r="M1871" s="975" t="str">
        <f t="shared" si="365"/>
        <v/>
      </c>
      <c r="N1871" s="1391" t="str">
        <f t="shared" si="366"/>
        <v/>
      </c>
      <c r="O1871" s="19"/>
      <c r="P1871" s="343"/>
      <c r="Q1871" s="343"/>
      <c r="R1871" s="343"/>
      <c r="S1871" s="343"/>
      <c r="T1871" s="343"/>
      <c r="U1871" s="349"/>
      <c r="V1871" s="349"/>
    </row>
    <row r="1872" spans="1:22" s="534" customFormat="1" ht="12.75" hidden="1" customHeight="1" x14ac:dyDescent="0.3">
      <c r="A1872" s="343" t="str">
        <f>IF(P1872="","ausblenden","")</f>
        <v>ausblenden</v>
      </c>
      <c r="B1872" s="15"/>
      <c r="C1872" s="17"/>
      <c r="D1872" s="1386"/>
      <c r="E1872" s="1433" t="s">
        <v>1526</v>
      </c>
      <c r="F1872" s="1433"/>
      <c r="G1872" s="1433"/>
      <c r="H1872" s="1448" t="s">
        <v>1112</v>
      </c>
      <c r="I1872" s="1435"/>
      <c r="J1872" s="1449" t="str">
        <f>J1807</f>
        <v/>
      </c>
      <c r="K1872" s="1450" t="str">
        <f t="shared" si="363"/>
        <v/>
      </c>
      <c r="L1872" s="1450" t="str">
        <f t="shared" si="364"/>
        <v/>
      </c>
      <c r="M1872" s="1450" t="str">
        <f t="shared" si="365"/>
        <v/>
      </c>
      <c r="N1872" s="1451" t="str">
        <f t="shared" si="366"/>
        <v/>
      </c>
      <c r="O1872" s="19"/>
      <c r="P1872" s="343"/>
      <c r="Q1872" s="343"/>
      <c r="R1872" s="343"/>
      <c r="S1872" s="343"/>
      <c r="T1872" s="343"/>
      <c r="U1872" s="349"/>
      <c r="V1872" s="349"/>
    </row>
    <row r="1873" spans="1:22" s="534" customFormat="1" ht="12.75" customHeight="1" x14ac:dyDescent="0.3">
      <c r="A1873" s="343"/>
      <c r="B1873" s="15"/>
      <c r="C1873" s="17"/>
      <c r="D1873" s="1386"/>
      <c r="E1873" s="944" t="str">
        <f>Translations!$B$1482</f>
        <v>Genomsnittligt årligt värde</v>
      </c>
      <c r="F1873" s="944"/>
      <c r="G1873" s="944"/>
      <c r="H1873" s="627" t="s">
        <v>1112</v>
      </c>
      <c r="I1873" s="945"/>
      <c r="J1873" s="1439" t="str">
        <f>IF(L1792=47,INDEX(H_SpecialBM!J:J,MATCH($P1873,H_SpecialBM!$Q:$Q,0)),"")</f>
        <v/>
      </c>
      <c r="K1873" s="1440" t="str">
        <f>IF(L1792=47,INDEX(H_SpecialBM!K:K,MATCH($P1873,H_SpecialBM!$Q:$Q,0)),"")</f>
        <v/>
      </c>
      <c r="L1873" s="1440" t="str">
        <f>IF(L1792=47,INDEX(H_SpecialBM!L:L,MATCH($P1873,H_SpecialBM!$Q:$Q,0)),"")</f>
        <v/>
      </c>
      <c r="M1873" s="1440" t="str">
        <f>IF(L1792=47,INDEX(H_SpecialBM!M:M,MATCH($P1873,H_SpecialBM!$Q:$Q,0)),"")</f>
        <v/>
      </c>
      <c r="N1873" s="1441" t="str">
        <f>IF(L1792=47,INDEX(H_SpecialBM!N:N,MATCH($P1873,H_SpecialBM!$Q:$Q,0)),"")</f>
        <v/>
      </c>
      <c r="O1873" s="19"/>
      <c r="P1873" s="165" t="str">
        <f>EUconst_CNTR_VCMInitial &amp; INDEX(EUconst_BMlistNames,47)</f>
        <v>VCMIni_Vinylkloridmonomer</v>
      </c>
      <c r="Q1873" s="343"/>
      <c r="R1873" s="343"/>
      <c r="S1873" s="343"/>
      <c r="T1873" s="343"/>
      <c r="U1873" s="349"/>
      <c r="V1873" s="349"/>
    </row>
    <row r="1874" spans="1:22" s="534" customFormat="1" ht="12.75" customHeight="1" x14ac:dyDescent="0.3">
      <c r="A1874" s="343"/>
      <c r="B1874" s="15"/>
      <c r="C1874" s="17"/>
      <c r="D1874" s="1386"/>
      <c r="E1874" s="947" t="str">
        <f>Translations!$B$1571</f>
        <v>Ändring jämfört med värde enligt nationella genomförandeåtgärder</v>
      </c>
      <c r="F1874" s="947"/>
      <c r="G1874" s="947"/>
      <c r="H1874" s="1370" t="s">
        <v>1112</v>
      </c>
      <c r="I1874" s="1371"/>
      <c r="J1874" s="1415" t="str">
        <f>IF(L1792=47,INDEX(H_SpecialBM!J:J,MATCH($P1874,H_SpecialBM!$Q:$Q,0)),"")</f>
        <v/>
      </c>
      <c r="K1874" s="1416" t="str">
        <f>IF(L1792=47,INDEX(H_SpecialBM!K:K,MATCH($P1874,H_SpecialBM!$Q:$Q,0)),"")</f>
        <v/>
      </c>
      <c r="L1874" s="1416" t="str">
        <f>IF(L1792=47,INDEX(H_SpecialBM!L:L,MATCH($P1874,H_SpecialBM!$Q:$Q,0)),"")</f>
        <v/>
      </c>
      <c r="M1874" s="1416" t="str">
        <f>IF(L1792=47,INDEX(H_SpecialBM!M:M,MATCH($P1874,H_SpecialBM!$Q:$Q,0)),"")</f>
        <v/>
      </c>
      <c r="N1874" s="1417" t="str">
        <f>IF(L1792=47,INDEX(H_SpecialBM!N:N,MATCH($P1874,H_SpecialBM!$Q:$Q,0)),"")</f>
        <v/>
      </c>
      <c r="O1874" s="19"/>
      <c r="P1874" s="165" t="str">
        <f>EUconst_CNTR_RelThreshold &amp; P1876</f>
        <v>RelThresh_VCMprelim_</v>
      </c>
      <c r="Q1874" s="343"/>
      <c r="R1874" s="343"/>
      <c r="S1874" s="343"/>
      <c r="T1874" s="343"/>
      <c r="U1874" s="349"/>
      <c r="V1874" s="349"/>
    </row>
    <row r="1875" spans="1:22" s="534" customFormat="1" ht="12.75" customHeight="1" x14ac:dyDescent="0.3">
      <c r="A1875" s="343"/>
      <c r="B1875" s="15"/>
      <c r="C1875" s="17"/>
      <c r="D1875" s="1386"/>
      <c r="E1875" s="1418" t="str">
        <f>Translations!$B$1581</f>
        <v>Kriterium 3e: Har relativa tröskelvärden överskridits?</v>
      </c>
      <c r="F1875" s="1418"/>
      <c r="G1875" s="1418"/>
      <c r="H1875" s="1423" t="s">
        <v>1112</v>
      </c>
      <c r="I1875" s="1423"/>
      <c r="J1875" s="1420" t="str">
        <f>IF(L1792=47,INDEX(H_SpecialBM!V:V,MATCH($P1875,H_SpecialBM!$Q:$Q,0)),"")</f>
        <v/>
      </c>
      <c r="K1875" s="1421" t="str">
        <f>IF(L1792=47,INDEX(H_SpecialBM!W:W,MATCH($P1875,H_SpecialBM!$Q:$Q,0)),"")</f>
        <v/>
      </c>
      <c r="L1875" s="1421" t="str">
        <f>IF(L1792=47,INDEX(H_SpecialBM!X:X,MATCH($P1875,H_SpecialBM!$Q:$Q,0)),"")</f>
        <v/>
      </c>
      <c r="M1875" s="1421" t="str">
        <f>IF(L1792=47,INDEX(H_SpecialBM!Y:Y,MATCH($P1875,H_SpecialBM!$Q:$Q,0)),"")</f>
        <v/>
      </c>
      <c r="N1875" s="1422" t="str">
        <f>IF(L1792=47,INDEX(H_SpecialBM!Z:Z,MATCH($P1875,H_SpecialBM!$Q:$Q,0)),"")</f>
        <v/>
      </c>
      <c r="O1875" s="19"/>
      <c r="P1875" s="165" t="str">
        <f>P1874</f>
        <v>RelThresh_VCMprelim_</v>
      </c>
      <c r="Q1875" s="343"/>
      <c r="R1875" s="343"/>
      <c r="S1875" s="343"/>
      <c r="T1875" s="343"/>
      <c r="U1875" s="349"/>
      <c r="V1875" s="349"/>
    </row>
    <row r="1876" spans="1:22" s="534" customFormat="1" ht="12.75" customHeight="1" x14ac:dyDescent="0.3">
      <c r="A1876" s="343" t="str">
        <f>IF(P1876="","ausblenden","")</f>
        <v/>
      </c>
      <c r="B1876" s="15"/>
      <c r="C1876" s="17"/>
      <c r="D1876" s="1386"/>
      <c r="E1876" s="950" t="str">
        <f>Translations!$B$1568</f>
        <v>Preliminärt värde</v>
      </c>
      <c r="F1876" s="950"/>
      <c r="G1876" s="950"/>
      <c r="H1876" s="957" t="s">
        <v>1112</v>
      </c>
      <c r="I1876" s="951"/>
      <c r="J1876" s="1404" t="str">
        <f>IF($L1792=47,IF(ISNUMBER(INDEX(H_SpecialBM!J:J,MATCH($P1876,H_SpecialBM!$Q:$Q,0))),INDEX(H_SpecialBM!J:J,MATCH($P1876,H_SpecialBM!$Q:$Q,0)),1),"")</f>
        <v/>
      </c>
      <c r="K1876" s="1405" t="str">
        <f>IF($L1792=47,IF(ISNUMBER(INDEX(H_SpecialBM!K:K,MATCH($P1876,H_SpecialBM!$Q:$Q,0))),INDEX(H_SpecialBM!K:K,MATCH($P1876,H_SpecialBM!$Q:$Q,0)),1),"")</f>
        <v/>
      </c>
      <c r="L1876" s="1405" t="str">
        <f>IF($L1792=47,IF(ISNUMBER(INDEX(H_SpecialBM!L:L,MATCH($P1876,H_SpecialBM!$Q:$Q,0))),INDEX(H_SpecialBM!L:L,MATCH($P1876,H_SpecialBM!$Q:$Q,0)),1),"")</f>
        <v/>
      </c>
      <c r="M1876" s="1405" t="str">
        <f>IF($L1792=47,IF(ISNUMBER(INDEX(H_SpecialBM!M:M,MATCH($P1876,H_SpecialBM!$Q:$Q,0))),INDEX(H_SpecialBM!M:M,MATCH($P1876,H_SpecialBM!$Q:$Q,0)),1),"")</f>
        <v/>
      </c>
      <c r="N1876" s="1406" t="str">
        <f>IF($L1792=47,IF(ISNUMBER(INDEX(H_SpecialBM!N:N,MATCH($P1876,H_SpecialBM!$Q:$Q,0))),INDEX(H_SpecialBM!N:N,MATCH($P1876,H_SpecialBM!$Q:$Q,0)),1),"")</f>
        <v/>
      </c>
      <c r="O1876" s="19"/>
      <c r="P1876" s="165" t="str">
        <f>EUconst_CNTR_VCMprelim</f>
        <v>VCMprelim_</v>
      </c>
      <c r="Q1876" s="343"/>
      <c r="R1876" s="343"/>
      <c r="S1876" s="343"/>
      <c r="T1876" s="343"/>
      <c r="U1876" s="349"/>
      <c r="V1876" s="349"/>
    </row>
    <row r="1877" spans="1:22" s="534" customFormat="1" ht="12.75" customHeight="1" x14ac:dyDescent="0.3">
      <c r="A1877" s="343"/>
      <c r="B1877" s="15"/>
      <c r="C1877" s="17"/>
      <c r="D1877" s="1386"/>
      <c r="E1877" s="514" t="str">
        <f>Translations!$B$1565</f>
        <v>Preliminärt tilldelningsvärde</v>
      </c>
      <c r="F1877" s="514"/>
      <c r="G1877" s="514"/>
      <c r="H1877" s="129" t="str">
        <f>EUconst_EUA</f>
        <v>EUA</v>
      </c>
      <c r="I1877" s="1151"/>
      <c r="J1877" s="1131" t="str">
        <f>IF(J1876="","",MAX(0,ROUND((SUM($M1792)*SUM(J1868)*SUM(J1872)*SUM(J1876)-SUM(J1869)-SUM(J1870)+SUM(J1871))*IF($H1792=TRUE,1,J$2517),0)))</f>
        <v/>
      </c>
      <c r="K1877" s="421" t="str">
        <f>IF(K1876="","",MAX(0,ROUND((SUM($M1792)*SUM(K1868)*SUM(K1872)*SUM(K1876)-SUM(K1869)-SUM(K1870)+SUM(K1871))*IF($H1792=TRUE,1,K$2517),0)))</f>
        <v/>
      </c>
      <c r="L1877" s="421" t="str">
        <f>IF(L1876="","",MAX(0,ROUND((SUM($M1792)*SUM(L1868)*SUM(L1872)*SUM(L1876)-SUM(L1869)-SUM(L1870)+SUM(L1871))*IF($H1792=TRUE,1,L$2517),0)))</f>
        <v/>
      </c>
      <c r="M1877" s="421" t="str">
        <f>IF(M1876="","",MAX(0,ROUND((SUM($M1792)*SUM(M1868)*SUM(M1872)*SUM(M1876)-SUM(M1869)-SUM(M1870)+SUM(M1871))*IF($H1792=TRUE,1,M$2517),0)))</f>
        <v/>
      </c>
      <c r="N1877" s="967" t="str">
        <f>IF(N1876="","",MAX(0,ROUND((SUM($M1792)*SUM(N1868)*SUM(N1872)*SUM(N1876)-SUM(N1869)-SUM(N1870)+SUM(N1871))*IF($H1792=TRUE,1,N$2517),0)))</f>
        <v/>
      </c>
      <c r="O1877" s="19"/>
      <c r="P1877" s="343"/>
      <c r="Q1877" s="343"/>
      <c r="R1877" s="343"/>
      <c r="S1877" s="343"/>
      <c r="T1877" s="343"/>
      <c r="U1877" s="349"/>
      <c r="V1877" s="349"/>
    </row>
    <row r="1878" spans="1:22" s="534" customFormat="1" ht="12.75" customHeight="1" x14ac:dyDescent="0.3">
      <c r="A1878" s="343"/>
      <c r="B1878" s="15"/>
      <c r="C1878" s="17"/>
      <c r="D1878" s="1386"/>
      <c r="E1878" s="514" t="str">
        <f>Translations!$B$1569</f>
        <v>Skillnad i tilldelning</v>
      </c>
      <c r="F1878" s="514"/>
      <c r="G1878" s="514"/>
      <c r="H1878" s="129" t="str">
        <f>EUconst_EUA</f>
        <v>EUA</v>
      </c>
      <c r="I1878" s="1151"/>
      <c r="J1878" s="1131" t="str">
        <f>IF(J1877="","",ABS(SUM(J1877)-SUM(J1809)))</f>
        <v/>
      </c>
      <c r="K1878" s="421" t="str">
        <f>IF(K1877="","",ABS(SUM(K1877)-SUM(K1809)))</f>
        <v/>
      </c>
      <c r="L1878" s="421" t="str">
        <f>IF(L1877="","",ABS(SUM(L1877)-SUM(L1809)))</f>
        <v/>
      </c>
      <c r="M1878" s="421" t="str">
        <f>IF(M1877="","",ABS(SUM(M1877)-SUM(M1809)))</f>
        <v/>
      </c>
      <c r="N1878" s="967" t="str">
        <f>IF(N1877="","",ABS(SUM(N1877)-SUM(N1809)))</f>
        <v/>
      </c>
      <c r="O1878" s="19"/>
      <c r="P1878" s="343"/>
      <c r="Q1878" s="343"/>
      <c r="R1878" s="343"/>
      <c r="S1878" s="343"/>
      <c r="T1878" s="343"/>
      <c r="U1878" s="349"/>
      <c r="V1878" s="349"/>
    </row>
    <row r="1879" spans="1:22" s="534" customFormat="1" ht="12.75" customHeight="1" x14ac:dyDescent="0.3">
      <c r="A1879" s="343"/>
      <c r="B1879" s="15"/>
      <c r="C1879" s="17"/>
      <c r="D1879" s="1386"/>
      <c r="E1879" s="1419" t="str">
        <f>Translations!$B$1582</f>
        <v>Kriterium 4e: Är skillnaden minst 100 utsläppsrätter?</v>
      </c>
      <c r="F1879" s="514"/>
      <c r="G1879" s="514"/>
      <c r="H1879" s="1424" t="s">
        <v>1112</v>
      </c>
      <c r="I1879" s="1425"/>
      <c r="J1879" s="1426" t="str">
        <f>IF(J1878="","",J1878&gt;=100)</f>
        <v/>
      </c>
      <c r="K1879" s="1427" t="str">
        <f>IF(K1878="","",K1878&gt;=100)</f>
        <v/>
      </c>
      <c r="L1879" s="1427" t="str">
        <f>IF(L1878="","",L1878&gt;=100)</f>
        <v/>
      </c>
      <c r="M1879" s="1427" t="str">
        <f>IF(M1878="","",M1878&gt;=100)</f>
        <v/>
      </c>
      <c r="N1879" s="1428" t="str">
        <f>IF(N1878="","",N1878&gt;=100)</f>
        <v/>
      </c>
      <c r="O1879" s="19"/>
      <c r="P1879" s="165" t="str">
        <f>EUconst_CNTR_100EUA_VCM&amp;I1816</f>
        <v>EUA100VCM_</v>
      </c>
      <c r="Q1879" s="343"/>
      <c r="R1879" s="343"/>
      <c r="S1879" s="343"/>
      <c r="T1879" s="343"/>
      <c r="U1879" s="349"/>
      <c r="V1879" s="349"/>
    </row>
    <row r="1880" spans="1:22" s="534" customFormat="1" ht="5.15" customHeight="1" x14ac:dyDescent="0.3">
      <c r="A1880" s="343"/>
      <c r="B1880" s="15"/>
      <c r="C1880" s="17"/>
      <c r="D1880" s="1386"/>
      <c r="E1880" s="15"/>
      <c r="F1880" s="15"/>
      <c r="G1880" s="15"/>
      <c r="H1880" s="15"/>
      <c r="I1880" s="941"/>
      <c r="J1880" s="15"/>
      <c r="K1880" s="15"/>
      <c r="L1880" s="15"/>
      <c r="M1880" s="15"/>
      <c r="N1880" s="968"/>
      <c r="O1880" s="19"/>
      <c r="P1880" s="343"/>
      <c r="Q1880" s="343"/>
      <c r="R1880" s="343"/>
      <c r="S1880" s="343"/>
      <c r="T1880" s="343"/>
      <c r="U1880" s="349"/>
      <c r="V1880" s="349"/>
    </row>
    <row r="1881" spans="1:22" s="534" customFormat="1" ht="12.75" customHeight="1" x14ac:dyDescent="0.3">
      <c r="A1881" s="343"/>
      <c r="B1881" s="15"/>
      <c r="C1881" s="17"/>
      <c r="D1881" s="1386"/>
      <c r="E1881" s="42" t="str">
        <f>Translations!$B$1583</f>
        <v>Ändringar: Facklad restgas</v>
      </c>
      <c r="F1881" s="188"/>
      <c r="G1881" s="188"/>
      <c r="H1881" s="30" t="str">
        <f>EUconst_Unit</f>
        <v>Enhet</v>
      </c>
      <c r="I1881" s="1157"/>
      <c r="J1881" s="1065">
        <f>J$2596</f>
        <v>2021</v>
      </c>
      <c r="K1881" s="350">
        <f>K$2596</f>
        <v>2022</v>
      </c>
      <c r="L1881" s="350">
        <f>L$2596</f>
        <v>2023</v>
      </c>
      <c r="M1881" s="350">
        <f>M$2596</f>
        <v>2024</v>
      </c>
      <c r="N1881" s="966">
        <f>N$2596</f>
        <v>2025</v>
      </c>
      <c r="O1881" s="19"/>
      <c r="P1881" s="343"/>
      <c r="Q1881" s="343"/>
      <c r="R1881" s="343"/>
      <c r="S1881" s="343"/>
      <c r="T1881" s="343"/>
      <c r="U1881" s="349"/>
      <c r="V1881" s="349"/>
    </row>
    <row r="1882" spans="1:22" s="534" customFormat="1" ht="12.75" hidden="1" customHeight="1" x14ac:dyDescent="0.3">
      <c r="A1882" s="343" t="str">
        <f>IF(P1882="","ausblenden","")</f>
        <v>ausblenden</v>
      </c>
      <c r="B1882" s="15"/>
      <c r="C1882" s="17"/>
      <c r="D1882" s="1386"/>
      <c r="E1882" s="514" t="s">
        <v>1918</v>
      </c>
      <c r="F1882" s="514"/>
      <c r="G1882" s="514"/>
      <c r="H1882" s="917" t="str">
        <f>H1868</f>
        <v>ton</v>
      </c>
      <c r="I1882" s="514"/>
      <c r="J1882" s="1152" t="str">
        <f>J1803</f>
        <v/>
      </c>
      <c r="K1882" s="943" t="str">
        <f t="shared" ref="K1882:K1883" si="367">J1898</f>
        <v/>
      </c>
      <c r="L1882" s="943" t="str">
        <f t="shared" ref="L1882:L1883" si="368">K1898</f>
        <v/>
      </c>
      <c r="M1882" s="943" t="str">
        <f t="shared" ref="M1882:M1883" si="369">L1898</f>
        <v/>
      </c>
      <c r="N1882" s="1389" t="str">
        <f t="shared" ref="N1882:N1883" si="370">M1898</f>
        <v/>
      </c>
      <c r="O1882" s="19"/>
      <c r="P1882" s="343"/>
      <c r="Q1882" s="343"/>
      <c r="R1882" s="343"/>
      <c r="S1882" s="343"/>
      <c r="T1882" s="343"/>
      <c r="U1882" s="349"/>
      <c r="V1882" s="349"/>
    </row>
    <row r="1883" spans="1:22" s="534" customFormat="1" ht="12.75" hidden="1" customHeight="1" x14ac:dyDescent="0.3">
      <c r="A1883" s="343" t="str">
        <f>IF(P1883="","ausblenden","")</f>
        <v>ausblenden</v>
      </c>
      <c r="B1883" s="15"/>
      <c r="C1883" s="17"/>
      <c r="D1883" s="1386"/>
      <c r="E1883" s="944" t="s">
        <v>339</v>
      </c>
      <c r="F1883" s="944"/>
      <c r="G1883" s="944"/>
      <c r="H1883" s="954" t="str">
        <f>EUconst_EUA</f>
        <v>EUA</v>
      </c>
      <c r="I1883" s="945"/>
      <c r="J1883" s="1209" t="str">
        <f>J1804</f>
        <v/>
      </c>
      <c r="K1883" s="1210" t="str">
        <f t="shared" si="367"/>
        <v/>
      </c>
      <c r="L1883" s="1210" t="str">
        <f t="shared" si="368"/>
        <v/>
      </c>
      <c r="M1883" s="1210" t="str">
        <f t="shared" si="369"/>
        <v/>
      </c>
      <c r="N1883" s="1390" t="str">
        <f t="shared" si="370"/>
        <v/>
      </c>
      <c r="O1883" s="19"/>
      <c r="P1883" s="343"/>
      <c r="Q1883" s="343"/>
      <c r="R1883" s="343"/>
      <c r="S1883" s="343"/>
      <c r="T1883" s="343"/>
      <c r="U1883" s="349"/>
      <c r="V1883" s="349"/>
    </row>
    <row r="1884" spans="1:22" s="534" customFormat="1" ht="12.75" customHeight="1" x14ac:dyDescent="0.3">
      <c r="A1884" s="343"/>
      <c r="B1884" s="15"/>
      <c r="C1884" s="17"/>
      <c r="D1884" s="1386"/>
      <c r="E1884" s="944" t="str">
        <f>Translations!$B$1482</f>
        <v>Genomsnittligt årligt värde</v>
      </c>
      <c r="F1884" s="944"/>
      <c r="G1884" s="944"/>
      <c r="H1884" s="627" t="str">
        <f>EUconst_tCO2</f>
        <v>t CO2</v>
      </c>
      <c r="I1884" s="945"/>
      <c r="J1884" s="1161" t="str">
        <f>INDEX(F_ProductBM!J:J,MATCH($P1884,F_ProductBM!$Q:$Q,0))</f>
        <v/>
      </c>
      <c r="K1884" s="946" t="str">
        <f>INDEX(F_ProductBM!K:K,MATCH($P1884,F_ProductBM!$Q:$Q,0))</f>
        <v/>
      </c>
      <c r="L1884" s="946" t="str">
        <f>INDEX(F_ProductBM!L:L,MATCH($P1884,F_ProductBM!$Q:$Q,0))</f>
        <v/>
      </c>
      <c r="M1884" s="946" t="str">
        <f>INDEX(F_ProductBM!M:M,MATCH($P1884,F_ProductBM!$Q:$Q,0))</f>
        <v/>
      </c>
      <c r="N1884" s="1046" t="str">
        <f>INDEX(F_ProductBM!N:N,MATCH($P1884,F_ProductBM!$Q:$Q,0))</f>
        <v/>
      </c>
      <c r="O1884" s="19"/>
      <c r="P1884" s="165" t="str">
        <f>EUconst_CNTR_HALinitial &amp; EUconst_CNTR_WGFlared &amp; I1789</f>
        <v>HALini_WasteGasFlare_</v>
      </c>
      <c r="Q1884" s="343"/>
      <c r="R1884" s="343"/>
      <c r="S1884" s="343"/>
      <c r="T1884" s="343"/>
      <c r="U1884" s="349"/>
      <c r="V1884" s="349"/>
    </row>
    <row r="1885" spans="1:22" s="534" customFormat="1" ht="12.75" customHeight="1" x14ac:dyDescent="0.3">
      <c r="A1885" s="343"/>
      <c r="B1885" s="15"/>
      <c r="C1885" s="17"/>
      <c r="D1885" s="1386"/>
      <c r="E1885" s="947" t="str">
        <f>Translations!$B$1571</f>
        <v>Ändring jämfört med värde enligt nationella genomförandeåtgärder</v>
      </c>
      <c r="F1885" s="947"/>
      <c r="G1885" s="947"/>
      <c r="H1885" s="1442" t="s">
        <v>1112</v>
      </c>
      <c r="I1885" s="1371"/>
      <c r="J1885" s="1415" t="str">
        <f>INDEX(F_ProductBM!J:J,MATCH($P1885,F_ProductBM!$Q:$Q,0))</f>
        <v/>
      </c>
      <c r="K1885" s="1416" t="str">
        <f>INDEX(F_ProductBM!K:K,MATCH($P1885,F_ProductBM!$Q:$Q,0))</f>
        <v/>
      </c>
      <c r="L1885" s="1416" t="str">
        <f>INDEX(F_ProductBM!L:L,MATCH($P1885,F_ProductBM!$Q:$Q,0))</f>
        <v/>
      </c>
      <c r="M1885" s="1416" t="str">
        <f>INDEX(F_ProductBM!M:M,MATCH($P1885,F_ProductBM!$Q:$Q,0))</f>
        <v/>
      </c>
      <c r="N1885" s="1417" t="str">
        <f>INDEX(F_ProductBM!N:N,MATCH($P1885,F_ProductBM!$Q:$Q,0))</f>
        <v/>
      </c>
      <c r="O1885" s="19"/>
      <c r="P1885" s="165" t="str">
        <f>EUconst_CNTR_RelThreshold &amp; P1887</f>
        <v>RelThresh_HALprelim_WasteGasFlare_</v>
      </c>
      <c r="Q1885" s="343"/>
      <c r="R1885" s="343"/>
      <c r="S1885" s="343"/>
      <c r="T1885" s="343"/>
      <c r="U1885" s="349"/>
      <c r="V1885" s="349"/>
    </row>
    <row r="1886" spans="1:22" s="534" customFormat="1" ht="12.75" customHeight="1" x14ac:dyDescent="0.3">
      <c r="A1886" s="343"/>
      <c r="B1886" s="15"/>
      <c r="C1886" s="17"/>
      <c r="D1886" s="1386"/>
      <c r="E1886" s="1418" t="str">
        <f>Translations!$B$1584</f>
        <v>Kriterium 3f: Har relativa tröskelvärden överskridits?</v>
      </c>
      <c r="F1886" s="1418"/>
      <c r="G1886" s="1418"/>
      <c r="H1886" s="1444" t="s">
        <v>1112</v>
      </c>
      <c r="I1886" s="1423"/>
      <c r="J1886" s="1420" t="str">
        <f>INDEX(F_ProductBM!V:V,MATCH($P1886,F_ProductBM!$Q:$Q,0))</f>
        <v/>
      </c>
      <c r="K1886" s="1421" t="str">
        <f>INDEX(F_ProductBM!W:W,MATCH($P1886,F_ProductBM!$Q:$Q,0))</f>
        <v/>
      </c>
      <c r="L1886" s="1421" t="str">
        <f>INDEX(F_ProductBM!X:X,MATCH($P1886,F_ProductBM!$Q:$Q,0))</f>
        <v/>
      </c>
      <c r="M1886" s="1421" t="str">
        <f>INDEX(F_ProductBM!Y:Y,MATCH($P1886,F_ProductBM!$Q:$Q,0))</f>
        <v/>
      </c>
      <c r="N1886" s="1422" t="str">
        <f>INDEX(F_ProductBM!Z:Z,MATCH($P1886,F_ProductBM!$Q:$Q,0))</f>
        <v/>
      </c>
      <c r="O1886" s="19"/>
      <c r="P1886" s="165" t="str">
        <f>P1885</f>
        <v>RelThresh_HALprelim_WasteGasFlare_</v>
      </c>
      <c r="Q1886" s="343"/>
      <c r="R1886" s="343"/>
      <c r="S1886" s="343"/>
      <c r="T1886" s="343"/>
      <c r="U1886" s="349"/>
      <c r="V1886" s="349"/>
    </row>
    <row r="1887" spans="1:22" s="534" customFormat="1" ht="12.75" customHeight="1" x14ac:dyDescent="0.3">
      <c r="A1887" s="343" t="str">
        <f>IF(P1887="","ausblenden","")</f>
        <v/>
      </c>
      <c r="B1887" s="15"/>
      <c r="C1887" s="17"/>
      <c r="D1887" s="1386"/>
      <c r="E1887" s="950" t="str">
        <f>Translations!$B$1568</f>
        <v>Preliminärt värde</v>
      </c>
      <c r="F1887" s="950"/>
      <c r="G1887" s="950"/>
      <c r="H1887" s="957" t="str">
        <f>EUconst_tCO2</f>
        <v>t CO2</v>
      </c>
      <c r="I1887" s="951"/>
      <c r="J1887" s="1373" t="str">
        <f>IF(OR($I1789="",CNTR_SubPeriod=1),"",INDEX(F_ProductBM!J:J,MATCH($P1887,F_ProductBM!$Q:$Q,0)))</f>
        <v/>
      </c>
      <c r="K1887" s="1374" t="str">
        <f>IF(OR($I1789="",CNTR_SubPeriod=1),"",INDEX(F_ProductBM!K:K,MATCH($P1887,F_ProductBM!$Q:$Q,0)))</f>
        <v/>
      </c>
      <c r="L1887" s="1374" t="str">
        <f>IF(OR($I1789="",CNTR_SubPeriod=1),"",INDEX(F_ProductBM!L:L,MATCH($P1887,F_ProductBM!$Q:$Q,0)))</f>
        <v/>
      </c>
      <c r="M1887" s="1374" t="str">
        <f>IF(OR($I1789="",CNTR_SubPeriod=1),"",INDEX(F_ProductBM!M:M,MATCH($P1887,F_ProductBM!$Q:$Q,0)))</f>
        <v/>
      </c>
      <c r="N1887" s="1395" t="str">
        <f>IF(OR($I1789="",CNTR_SubPeriod=1),"",INDEX(F_ProductBM!N:N,MATCH($P1887,F_ProductBM!$Q:$Q,0)))</f>
        <v/>
      </c>
      <c r="O1887" s="19"/>
      <c r="P1887" s="165" t="str">
        <f>EUconst_CNTR_HALprelim&amp;EUconst_CNTR_WGFlared&amp;$I1789</f>
        <v>HALprelim_WasteGasFlare_</v>
      </c>
      <c r="Q1887" s="343"/>
      <c r="R1887" s="343"/>
      <c r="S1887" s="343"/>
      <c r="T1887" s="343"/>
      <c r="U1887" s="349"/>
      <c r="V1887" s="349"/>
    </row>
    <row r="1888" spans="1:22" s="534" customFormat="1" ht="12.75" hidden="1" customHeight="1" x14ac:dyDescent="0.3">
      <c r="A1888" s="343" t="str">
        <f>IF(P1888="","ausblenden","")</f>
        <v>ausblenden</v>
      </c>
      <c r="B1888" s="15"/>
      <c r="C1888" s="17"/>
      <c r="D1888" s="1386"/>
      <c r="E1888" s="947" t="s">
        <v>1527</v>
      </c>
      <c r="F1888" s="947"/>
      <c r="G1888" s="947"/>
      <c r="H1888" s="955" t="str">
        <f>EUconst_EUA</f>
        <v>EUA</v>
      </c>
      <c r="I1888" s="948"/>
      <c r="J1888" s="1165" t="str">
        <f>J1806</f>
        <v/>
      </c>
      <c r="K1888" s="975" t="str">
        <f t="shared" ref="K1888:K1890" si="371">J1901</f>
        <v/>
      </c>
      <c r="L1888" s="975" t="str">
        <f t="shared" ref="L1888:L1890" si="372">K1901</f>
        <v/>
      </c>
      <c r="M1888" s="975" t="str">
        <f t="shared" ref="M1888:M1890" si="373">L1901</f>
        <v/>
      </c>
      <c r="N1888" s="1391" t="str">
        <f t="shared" ref="N1888:N1890" si="374">M1901</f>
        <v/>
      </c>
      <c r="O1888" s="19"/>
      <c r="P1888" s="343"/>
      <c r="Q1888" s="343"/>
      <c r="R1888" s="343"/>
      <c r="S1888" s="343"/>
      <c r="T1888" s="343"/>
      <c r="U1888" s="349"/>
      <c r="V1888" s="349"/>
    </row>
    <row r="1889" spans="1:22" s="534" customFormat="1" ht="12.75" hidden="1" customHeight="1" x14ac:dyDescent="0.3">
      <c r="A1889" s="343" t="str">
        <f>IF(P1889="","ausblenden","")</f>
        <v>ausblenden</v>
      </c>
      <c r="B1889" s="15"/>
      <c r="C1889" s="17"/>
      <c r="D1889" s="1386"/>
      <c r="E1889" s="947" t="s">
        <v>1526</v>
      </c>
      <c r="F1889" s="947"/>
      <c r="G1889" s="947"/>
      <c r="H1889" s="956" t="s">
        <v>1112</v>
      </c>
      <c r="I1889" s="948"/>
      <c r="J1889" s="1211" t="str">
        <f>J1807</f>
        <v/>
      </c>
      <c r="K1889" s="1212" t="str">
        <f t="shared" si="371"/>
        <v/>
      </c>
      <c r="L1889" s="1212" t="str">
        <f t="shared" si="372"/>
        <v/>
      </c>
      <c r="M1889" s="1212" t="str">
        <f t="shared" si="373"/>
        <v/>
      </c>
      <c r="N1889" s="1392" t="str">
        <f t="shared" si="374"/>
        <v/>
      </c>
      <c r="O1889" s="19"/>
      <c r="P1889" s="343"/>
      <c r="Q1889" s="343"/>
      <c r="R1889" s="343"/>
      <c r="S1889" s="343"/>
      <c r="T1889" s="343"/>
      <c r="U1889" s="349"/>
      <c r="V1889" s="349"/>
    </row>
    <row r="1890" spans="1:22" s="534" customFormat="1" ht="12.75" hidden="1" customHeight="1" x14ac:dyDescent="0.3">
      <c r="A1890" s="343" t="str">
        <f>IF(P1890="","ausblenden","")</f>
        <v>ausblenden</v>
      </c>
      <c r="B1890" s="15"/>
      <c r="C1890" s="17"/>
      <c r="D1890" s="1386"/>
      <c r="E1890" s="950" t="s">
        <v>1528</v>
      </c>
      <c r="F1890" s="950"/>
      <c r="G1890" s="950"/>
      <c r="H1890" s="957" t="s">
        <v>1112</v>
      </c>
      <c r="I1890" s="951"/>
      <c r="J1890" s="1213" t="str">
        <f>J1808</f>
        <v/>
      </c>
      <c r="K1890" s="1214" t="str">
        <f t="shared" si="371"/>
        <v/>
      </c>
      <c r="L1890" s="1214" t="str">
        <f t="shared" si="372"/>
        <v/>
      </c>
      <c r="M1890" s="1214" t="str">
        <f t="shared" si="373"/>
        <v/>
      </c>
      <c r="N1890" s="1393" t="str">
        <f t="shared" si="374"/>
        <v/>
      </c>
      <c r="O1890" s="19"/>
      <c r="P1890" s="343"/>
      <c r="Q1890" s="343"/>
      <c r="R1890" s="343"/>
      <c r="S1890" s="343"/>
      <c r="T1890" s="343"/>
      <c r="U1890" s="349"/>
      <c r="V1890" s="349"/>
    </row>
    <row r="1891" spans="1:22" s="534" customFormat="1" ht="12.75" customHeight="1" x14ac:dyDescent="0.3">
      <c r="A1891" s="343"/>
      <c r="B1891" s="15"/>
      <c r="C1891" s="17"/>
      <c r="D1891" s="1386"/>
      <c r="E1891" s="514" t="str">
        <f>Translations!$B$1565</f>
        <v>Preliminärt tilldelningsvärde</v>
      </c>
      <c r="F1891" s="514"/>
      <c r="G1891" s="514"/>
      <c r="H1891" s="129" t="str">
        <f>EUconst_EUA</f>
        <v>EUA</v>
      </c>
      <c r="I1891" s="1151"/>
      <c r="J1891" s="1131" t="str">
        <f>IF(J1887="","",MAX(0,ROUND((SUM($M1792)*SUM(J1882)*SUM(J1889)*SUM(J1890)-SUM(J1883)-SUM(J1887)+SUM(J1888))*IF($H1792=TRUE,1,J$2517),0)))</f>
        <v/>
      </c>
      <c r="K1891" s="421" t="str">
        <f>IF(K1887="","",MAX(0,ROUND((SUM($M1792)*SUM(K1882)*SUM(K1889)*SUM(K1890)-SUM(K1883)-SUM(K1887)+SUM(K1888))*IF($H1792=TRUE,1,K$2517),0)))</f>
        <v/>
      </c>
      <c r="L1891" s="421" t="str">
        <f>IF(L1887="","",MAX(0,ROUND((SUM($M1792)*SUM(L1882)*SUM(L1889)*SUM(L1890)-SUM(L1883)-SUM(L1887)+SUM(L1888))*IF($H1792=TRUE,1,L$2517),0)))</f>
        <v/>
      </c>
      <c r="M1891" s="421" t="str">
        <f>IF(M1887="","",MAX(0,ROUND((SUM($M1792)*SUM(M1882)*SUM(M1889)*SUM(M1890)-SUM(M1883)-SUM(M1887)+SUM(M1888))*IF($H1792=TRUE,1,M$2517),0)))</f>
        <v/>
      </c>
      <c r="N1891" s="967" t="str">
        <f>IF(N1887="","",MAX(0,ROUND((SUM($M1792)*SUM(N1882)*SUM(N1889)*SUM(N1890)-SUM(N1883)-SUM(N1887)+SUM(N1888))*IF($H1792=TRUE,1,N$2517),0)))</f>
        <v/>
      </c>
      <c r="O1891" s="19"/>
      <c r="P1891" s="343"/>
      <c r="Q1891" s="343"/>
      <c r="R1891" s="343"/>
      <c r="S1891" s="343"/>
      <c r="T1891" s="343"/>
      <c r="U1891" s="349"/>
      <c r="V1891" s="349"/>
    </row>
    <row r="1892" spans="1:22" s="534" customFormat="1" ht="12.75" customHeight="1" x14ac:dyDescent="0.3">
      <c r="A1892" s="343"/>
      <c r="B1892" s="15"/>
      <c r="C1892" s="17"/>
      <c r="D1892" s="1386"/>
      <c r="E1892" s="514" t="str">
        <f>Translations!$B$1569</f>
        <v>Skillnad i tilldelning</v>
      </c>
      <c r="F1892" s="514"/>
      <c r="G1892" s="514"/>
      <c r="H1892" s="129" t="str">
        <f>EUconst_EUA</f>
        <v>EUA</v>
      </c>
      <c r="I1892" s="1151"/>
      <c r="J1892" s="1131" t="str">
        <f>IF(J1891="","",ABS(SUM(J1891)-SUM(J1809)))</f>
        <v/>
      </c>
      <c r="K1892" s="421" t="str">
        <f>IF(K1891="","",ABS(SUM(K1891)-SUM(K1809)))</f>
        <v/>
      </c>
      <c r="L1892" s="421" t="str">
        <f>IF(L1891="","",ABS(SUM(L1891)-SUM(L1809)))</f>
        <v/>
      </c>
      <c r="M1892" s="421" t="str">
        <f>IF(M1891="","",ABS(SUM(M1891)-SUM(M1809)))</f>
        <v/>
      </c>
      <c r="N1892" s="967" t="str">
        <f>IF(N1891="","",ABS(SUM(N1891)-SUM(N1809)))</f>
        <v/>
      </c>
      <c r="O1892" s="19"/>
      <c r="P1892" s="343"/>
      <c r="Q1892" s="343"/>
      <c r="R1892" s="343"/>
      <c r="S1892" s="343"/>
      <c r="T1892" s="343"/>
      <c r="U1892" s="349"/>
      <c r="V1892" s="349"/>
    </row>
    <row r="1893" spans="1:22" s="534" customFormat="1" ht="12.75" customHeight="1" x14ac:dyDescent="0.3">
      <c r="A1893" s="343"/>
      <c r="B1893" s="15"/>
      <c r="C1893" s="17"/>
      <c r="D1893" s="1386"/>
      <c r="E1893" s="1419" t="str">
        <f>Translations!$B$1585</f>
        <v>Kriterium 4f: Är skillnaden minst 100 utsläppsrätter?</v>
      </c>
      <c r="F1893" s="514"/>
      <c r="G1893" s="514"/>
      <c r="H1893" s="1424" t="s">
        <v>1112</v>
      </c>
      <c r="I1893" s="1425"/>
      <c r="J1893" s="1426" t="str">
        <f>IF(J1892="","",J1892&gt;=100)</f>
        <v/>
      </c>
      <c r="K1893" s="1427" t="str">
        <f>IF(K1892="","",K1892&gt;=100)</f>
        <v/>
      </c>
      <c r="L1893" s="1427" t="str">
        <f>IF(L1892="","",L1892&gt;=100)</f>
        <v/>
      </c>
      <c r="M1893" s="1427" t="str">
        <f>IF(M1892="","",M1892&gt;=100)</f>
        <v/>
      </c>
      <c r="N1893" s="1428" t="str">
        <f>IF(N1892="","",N1892&gt;=100)</f>
        <v/>
      </c>
      <c r="O1893" s="19"/>
      <c r="P1893" s="165" t="str">
        <f>EUconst_CNTR_100EUA_WGFlare&amp;I1789</f>
        <v>EUA100WGFlare_</v>
      </c>
      <c r="Q1893" s="343"/>
      <c r="R1893" s="343"/>
      <c r="S1893" s="343"/>
      <c r="T1893" s="343"/>
      <c r="U1893" s="349"/>
      <c r="V1893" s="349"/>
    </row>
    <row r="1894" spans="1:22" s="534" customFormat="1" ht="12.75" customHeight="1" thickBot="1" x14ac:dyDescent="0.35">
      <c r="A1894" s="343"/>
      <c r="B1894" s="15"/>
      <c r="C1894" s="17"/>
      <c r="D1894" s="1398"/>
      <c r="E1894" s="973"/>
      <c r="F1894" s="973"/>
      <c r="G1894" s="973"/>
      <c r="H1894" s="973"/>
      <c r="I1894" s="1399"/>
      <c r="J1894" s="973"/>
      <c r="K1894" s="973"/>
      <c r="L1894" s="973"/>
      <c r="M1894" s="973"/>
      <c r="N1894" s="974"/>
      <c r="O1894" s="19"/>
      <c r="P1894" s="343"/>
      <c r="Q1894" s="343"/>
      <c r="R1894" s="343"/>
      <c r="S1894" s="343"/>
      <c r="T1894" s="343"/>
      <c r="U1894" s="349"/>
      <c r="V1894" s="349"/>
    </row>
    <row r="1895" spans="1:22" s="534" customFormat="1" ht="5.15" customHeight="1" thickBot="1" x14ac:dyDescent="0.35">
      <c r="A1895" s="343"/>
      <c r="B1895" s="15"/>
      <c r="C1895" s="17"/>
      <c r="D1895" s="17"/>
      <c r="E1895" s="15"/>
      <c r="F1895" s="15"/>
      <c r="G1895" s="15"/>
      <c r="H1895" s="15"/>
      <c r="I1895" s="941"/>
      <c r="J1895" s="15"/>
      <c r="K1895" s="15"/>
      <c r="L1895" s="15"/>
      <c r="M1895" s="15"/>
      <c r="N1895" s="15"/>
      <c r="O1895" s="19"/>
      <c r="P1895" s="343"/>
      <c r="Q1895" s="343"/>
      <c r="R1895" s="343"/>
      <c r="S1895" s="343"/>
      <c r="T1895" s="343"/>
      <c r="U1895" s="349"/>
      <c r="V1895" s="349"/>
    </row>
    <row r="1896" spans="1:22" s="534" customFormat="1" ht="5.15" customHeight="1" x14ac:dyDescent="0.25">
      <c r="A1896" s="343"/>
      <c r="B1896" s="15"/>
      <c r="C1896" s="15"/>
      <c r="D1896" s="961"/>
      <c r="E1896" s="962"/>
      <c r="F1896" s="962"/>
      <c r="G1896" s="962"/>
      <c r="H1896" s="962"/>
      <c r="I1896" s="963"/>
      <c r="J1896" s="962"/>
      <c r="K1896" s="962"/>
      <c r="L1896" s="962"/>
      <c r="M1896" s="962"/>
      <c r="N1896" s="964"/>
      <c r="O1896" s="19"/>
      <c r="P1896" s="343"/>
      <c r="Q1896" s="343"/>
      <c r="R1896" s="343"/>
      <c r="S1896" s="343"/>
      <c r="T1896" s="7"/>
      <c r="U1896" s="349"/>
      <c r="V1896" s="349"/>
    </row>
    <row r="1897" spans="1:22" s="534" customFormat="1" ht="13" x14ac:dyDescent="0.25">
      <c r="A1897" s="343"/>
      <c r="B1897" s="15"/>
      <c r="C1897" s="15"/>
      <c r="D1897" s="965"/>
      <c r="E1897" s="39" t="str">
        <f>Translations!$B$1586</f>
        <v>Faktiska använda värden</v>
      </c>
      <c r="F1897" s="15"/>
      <c r="G1897" s="15"/>
      <c r="H1897" s="30" t="str">
        <f>EUconst_Unit</f>
        <v>Enhet</v>
      </c>
      <c r="I1897" s="1614" t="str">
        <f>Translations!$B$1510</f>
        <v>Basvärde</v>
      </c>
      <c r="J1897" s="1065">
        <f>J$2596</f>
        <v>2021</v>
      </c>
      <c r="K1897" s="350">
        <f>K$2596</f>
        <v>2022</v>
      </c>
      <c r="L1897" s="350">
        <f>L$2596</f>
        <v>2023</v>
      </c>
      <c r="M1897" s="350">
        <f>M$2596</f>
        <v>2024</v>
      </c>
      <c r="N1897" s="966">
        <f>N$2596</f>
        <v>2025</v>
      </c>
      <c r="O1897" s="19"/>
      <c r="P1897" s="343"/>
      <c r="Q1897" s="343"/>
      <c r="R1897" s="343"/>
      <c r="S1897" s="297" t="s">
        <v>1846</v>
      </c>
      <c r="T1897" s="7"/>
      <c r="U1897" s="349"/>
      <c r="V1897" s="349"/>
    </row>
    <row r="1898" spans="1:22" s="534" customFormat="1" x14ac:dyDescent="0.25">
      <c r="A1898" s="343"/>
      <c r="B1898" s="15"/>
      <c r="C1898" s="15"/>
      <c r="D1898" s="965"/>
      <c r="E1898" s="944" t="str">
        <f>Translations!$B$1587</f>
        <v>Verksamhetsnivå</v>
      </c>
      <c r="F1898" s="944"/>
      <c r="G1898" s="944"/>
      <c r="H1898" s="1443" t="str">
        <f>H1882</f>
        <v>ton</v>
      </c>
      <c r="I1898" s="1615" t="str">
        <f>IF($I1789="","",IF(T1904&gt;=$H$2595,0,S1898))</f>
        <v/>
      </c>
      <c r="J1898" s="1161" t="str">
        <f>IF($I1789="","",INDEX(F_ProductBM!J:J,MATCH($P1898,F_ProductBM!$Q:$Q,0)))</f>
        <v/>
      </c>
      <c r="K1898" s="946" t="str">
        <f>IF($I1789="","",INDEX(F_ProductBM!K:K,MATCH($P1898,F_ProductBM!$Q:$Q,0)))</f>
        <v/>
      </c>
      <c r="L1898" s="946" t="str">
        <f>IF($I1789="","",INDEX(F_ProductBM!L:L,MATCH($P1898,F_ProductBM!$Q:$Q,0)))</f>
        <v/>
      </c>
      <c r="M1898" s="946" t="str">
        <f>IF($I1789="","",INDEX(F_ProductBM!M:M,MATCH($P1898,F_ProductBM!$Q:$Q,0)))</f>
        <v/>
      </c>
      <c r="N1898" s="1046" t="str">
        <f>IF($I1789="","",INDEX(F_ProductBM!N:N,MATCH($P1898,F_ProductBM!$Q:$Q,0)))</f>
        <v/>
      </c>
      <c r="O1898" s="19"/>
      <c r="P1898" s="165" t="str">
        <f>EUconst_CNTR_HALfinal&amp;I1789</f>
        <v>HALfinal_</v>
      </c>
      <c r="Q1898" s="343"/>
      <c r="R1898" s="343"/>
      <c r="S1898" s="1691" t="str">
        <f>IF($I1789="","",INDEX(F_ProductBM!I:I,MATCH($P1898,F_ProductBM!$Q:$Q,0)))</f>
        <v/>
      </c>
      <c r="T1898" s="7"/>
      <c r="U1898" s="349"/>
      <c r="V1898" s="349"/>
    </row>
    <row r="1899" spans="1:22" s="534" customFormat="1" x14ac:dyDescent="0.25">
      <c r="A1899" s="343"/>
      <c r="B1899" s="15"/>
      <c r="C1899" s="15"/>
      <c r="D1899" s="965"/>
      <c r="E1899" s="1376" t="str">
        <f>Translations!$B$1036</f>
        <v>Värme utanför ETS</v>
      </c>
      <c r="F1899" s="1376"/>
      <c r="G1899" s="1376"/>
      <c r="H1899" s="1429" t="str">
        <f>EUconst_EUA</f>
        <v>EUA</v>
      </c>
      <c r="I1899" s="1616" t="str">
        <f>IF($I1789="","",IF(YEAR(J1792)&gt;=$H$2595-1,0,S1899))</f>
        <v/>
      </c>
      <c r="J1899" s="1430" t="str">
        <f>IF($I1789="","",INDEX(F_ProductBM!J:J,MATCH($P1899,F_ProductBM!$Q:$Q,0)))</f>
        <v/>
      </c>
      <c r="K1899" s="1431" t="str">
        <f>IF($I1789="","",INDEX(F_ProductBM!K:K,MATCH($P1899,F_ProductBM!$Q:$Q,0)))</f>
        <v/>
      </c>
      <c r="L1899" s="1431" t="str">
        <f>IF($I1789="","",INDEX(F_ProductBM!L:L,MATCH($P1899,F_ProductBM!$Q:$Q,0)))</f>
        <v/>
      </c>
      <c r="M1899" s="1431" t="str">
        <f>IF($I1789="","",INDEX(F_ProductBM!M:M,MATCH($P1899,F_ProductBM!$Q:$Q,0)))</f>
        <v/>
      </c>
      <c r="N1899" s="1432" t="str">
        <f>IF($I1789="","",INDEX(F_ProductBM!N:N,MATCH($P1899,F_ProductBM!$Q:$Q,0)))</f>
        <v/>
      </c>
      <c r="O1899" s="19"/>
      <c r="P1899" s="165" t="str">
        <f>EUconst_CNTR_HEATfinal&amp;I1789</f>
        <v>HEATfinal_</v>
      </c>
      <c r="Q1899" s="343"/>
      <c r="R1899" s="343"/>
      <c r="S1899" s="1692" t="str">
        <f>IF($I1789="","",INDEX(F_ProductBM!I:I,MATCH($P1899,F_ProductBM!$Q:$Q,0)))</f>
        <v/>
      </c>
      <c r="T1899" s="7"/>
      <c r="U1899" s="349"/>
      <c r="V1899" s="349"/>
    </row>
    <row r="1900" spans="1:22" s="534" customFormat="1" x14ac:dyDescent="0.25">
      <c r="A1900" s="343"/>
      <c r="B1900" s="15"/>
      <c r="C1900" s="15"/>
      <c r="D1900" s="965"/>
      <c r="E1900" s="947" t="str">
        <f>Translations!$B$1038</f>
        <v>Wgfacklad</v>
      </c>
      <c r="F1900" s="947"/>
      <c r="G1900" s="947"/>
      <c r="H1900" s="955" t="str">
        <f>EUconst_EUA</f>
        <v>EUA</v>
      </c>
      <c r="I1900" s="1617" t="str">
        <f>IF($I1789="","",IF(T1904&gt;=$H$2595,0,S1900))</f>
        <v/>
      </c>
      <c r="J1900" s="1162" t="str">
        <f>IF($I1789="","",INDEX(F_ProductBM!J:J,MATCH($P1900,F_ProductBM!$Q:$Q,0)))</f>
        <v/>
      </c>
      <c r="K1900" s="949" t="str">
        <f>IF($I1789="","",INDEX(F_ProductBM!K:K,MATCH($P1900,F_ProductBM!$Q:$Q,0)))</f>
        <v/>
      </c>
      <c r="L1900" s="949" t="str">
        <f>IF($I1789="","",INDEX(F_ProductBM!L:L,MATCH($P1900,F_ProductBM!$Q:$Q,0)))</f>
        <v/>
      </c>
      <c r="M1900" s="949" t="str">
        <f>IF($I1789="","",INDEX(F_ProductBM!M:M,MATCH($P1900,F_ProductBM!$Q:$Q,0)))</f>
        <v/>
      </c>
      <c r="N1900" s="969" t="str">
        <f>IF($I1789="","",INDEX(F_ProductBM!N:N,MATCH($P1900,F_ProductBM!$Q:$Q,0)))</f>
        <v/>
      </c>
      <c r="O1900" s="19"/>
      <c r="P1900" s="165" t="str">
        <f>EUconst_CNTR_HALfinal&amp;EUconst_CNTR_WGFlared&amp;$I1789</f>
        <v>HALfinal_WasteGasFlare_</v>
      </c>
      <c r="Q1900" s="343"/>
      <c r="R1900" s="343"/>
      <c r="S1900" s="1693" t="str">
        <f>IF($I1789="","",INDEX(F_ProductBM!I:I,MATCH($P1900,F_ProductBM!$Q:$Q,0)))</f>
        <v/>
      </c>
      <c r="T1900" s="7"/>
      <c r="U1900" s="349"/>
      <c r="V1900" s="349"/>
    </row>
    <row r="1901" spans="1:22" s="534" customFormat="1" x14ac:dyDescent="0.25">
      <c r="A1901" s="343"/>
      <c r="B1901" s="15"/>
      <c r="C1901" s="15"/>
      <c r="D1901" s="965"/>
      <c r="E1901" s="947" t="s">
        <v>1527</v>
      </c>
      <c r="F1901" s="947"/>
      <c r="G1901" s="947"/>
      <c r="H1901" s="955" t="str">
        <f>EUconst_EUA</f>
        <v>EUA</v>
      </c>
      <c r="I1901" s="1617" t="str">
        <f>IF($I1789="","",IF(T1904&gt;=$H$2595,0,IF(L1792=42,S1901,0)))</f>
        <v/>
      </c>
      <c r="J1901" s="1162" t="str">
        <f>IF($I1789="","",IF($L1792=42,INDEX(H_SpecialBM!J:J,MATCH($P1901,H_SpecialBM!$Q:$Q,0)),0))</f>
        <v/>
      </c>
      <c r="K1901" s="949" t="str">
        <f>IF($I1789="","",IF($L1792=42,INDEX(H_SpecialBM!K:K,MATCH($P1901,H_SpecialBM!$Q:$Q,0)),0))</f>
        <v/>
      </c>
      <c r="L1901" s="949" t="str">
        <f>IF($I1789="","",IF($L1792=42,INDEX(H_SpecialBM!L:L,MATCH($P1901,H_SpecialBM!$Q:$Q,0)),0))</f>
        <v/>
      </c>
      <c r="M1901" s="949" t="str">
        <f>IF($I1789="","",IF($L1792=42,INDEX(H_SpecialBM!M:M,MATCH($P1901,H_SpecialBM!$Q:$Q,0)),0))</f>
        <v/>
      </c>
      <c r="N1901" s="969" t="str">
        <f>IF($I1789="","",IF($L1792=42,INDEX(H_SpecialBM!N:N,MATCH($P1901,H_SpecialBM!$Q:$Q,0)),0))</f>
        <v/>
      </c>
      <c r="O1901" s="19"/>
      <c r="P1901" s="165" t="str">
        <f>EUconst_CNTR_HVCfinal</f>
        <v>HVCfinal_</v>
      </c>
      <c r="Q1901" s="343"/>
      <c r="R1901" s="343"/>
      <c r="S1901" s="1693" t="str">
        <f>IF($I1789="","",IF(L1792=42,INDEX(H_SpecialBM!I:I,MATCH($P1901,H_SpecialBM!$Q:$Q,0)),0))</f>
        <v/>
      </c>
      <c r="T1901" s="7"/>
      <c r="U1901" s="349"/>
      <c r="V1901" s="349"/>
    </row>
    <row r="1902" spans="1:22" s="534" customFormat="1" x14ac:dyDescent="0.25">
      <c r="A1902" s="343"/>
      <c r="B1902" s="15"/>
      <c r="C1902" s="15"/>
      <c r="D1902" s="965"/>
      <c r="E1902" s="947" t="s">
        <v>1526</v>
      </c>
      <c r="F1902" s="947"/>
      <c r="G1902" s="947"/>
      <c r="H1902" s="956" t="s">
        <v>1112</v>
      </c>
      <c r="I1902" s="1618" t="str">
        <f>IF(AND($I1789&lt;&gt;"",$I1792=TRUE),IF(T1904&gt;=$H$2595,1,S1902),IF($I1789="","",1))</f>
        <v/>
      </c>
      <c r="J1902" s="1163" t="str">
        <f>IF(AND($I1789&lt;&gt;"",$I1792=TRUE),INDEX(F_ProductBM!J:J,MATCH($P1902,F_ProductBM!$Q:$Q,0)),IF($I1789="","",1))</f>
        <v/>
      </c>
      <c r="K1902" s="959" t="str">
        <f>IF(AND($I1789&lt;&gt;"",$I1792=TRUE),INDEX(F_ProductBM!K:K,MATCH($P1902,F_ProductBM!$Q:$Q,0)),IF($I1789="","",1))</f>
        <v/>
      </c>
      <c r="L1902" s="959" t="str">
        <f>IF(AND($I1789&lt;&gt;"",$I1792=TRUE),INDEX(F_ProductBM!L:L,MATCH($P1902,F_ProductBM!$Q:$Q,0)),IF($I1789="","",1))</f>
        <v/>
      </c>
      <c r="M1902" s="959" t="str">
        <f>IF(AND($I1789&lt;&gt;"",$I1792=TRUE),INDEX(F_ProductBM!M:M,MATCH($P1902,F_ProductBM!$Q:$Q,0)),IF($I1789="","",1))</f>
        <v/>
      </c>
      <c r="N1902" s="970" t="str">
        <f>IF(AND($I1789&lt;&gt;"",$I1792=TRUE),INDEX(F_ProductBM!N:N,MATCH($P1902,F_ProductBM!$Q:$Q,0)),IF($I1789="","",1))</f>
        <v/>
      </c>
      <c r="O1902" s="19"/>
      <c r="P1902" s="165" t="str">
        <f>EUconst_CNTR_HALfinal&amp;EUconst_CNTR_ELEXCH&amp;$I1789</f>
        <v>HALfinal_ELEXCH_</v>
      </c>
      <c r="Q1902" s="343"/>
      <c r="R1902" s="343"/>
      <c r="S1902" s="1694" t="str">
        <f>IF(AND($I1789&lt;&gt;"",$I1792=TRUE),INDEX(F_ProductBM!I:I,MATCH($P1902,F_ProductBM!$Q:$Q,0)),IF($I1789="","",1))</f>
        <v/>
      </c>
      <c r="T1902" s="343"/>
      <c r="U1902" s="349"/>
      <c r="V1902" s="349"/>
    </row>
    <row r="1903" spans="1:22" s="534" customFormat="1" x14ac:dyDescent="0.25">
      <c r="A1903" s="343"/>
      <c r="B1903" s="15"/>
      <c r="C1903" s="15"/>
      <c r="D1903" s="965"/>
      <c r="E1903" s="950" t="s">
        <v>1528</v>
      </c>
      <c r="F1903" s="950"/>
      <c r="G1903" s="950"/>
      <c r="H1903" s="957" t="s">
        <v>1112</v>
      </c>
      <c r="I1903" s="1619" t="str">
        <f>IF($I1789="","",IF($L1792=47,IF(AND(ISNUMBER(S1903),YEAR(J1792)&lt;2021),S1903,1),1))</f>
        <v/>
      </c>
      <c r="J1903" s="1164" t="str">
        <f>IF($I1789="","",IF($L1792=47,IF(ISNUMBER(INDEX(H_SpecialBM!J:J,MATCH($P1903,H_SpecialBM!$Q:$Q,0))),INDEX(H_SpecialBM!J:J,MATCH($P1903,H_SpecialBM!$Q:$Q,0)),1),1))</f>
        <v/>
      </c>
      <c r="K1903" s="958" t="str">
        <f>IF($I1789="","",IF($L1792=47,IF(ISNUMBER(INDEX(H_SpecialBM!K:K,MATCH($P1903,H_SpecialBM!$Q:$Q,0))),INDEX(H_SpecialBM!K:K,MATCH($P1903,H_SpecialBM!$Q:$Q,0)),1),1))</f>
        <v/>
      </c>
      <c r="L1903" s="958" t="str">
        <f>IF($I1789="","",IF($L1792=47,IF(ISNUMBER(INDEX(H_SpecialBM!L:L,MATCH($P1903,H_SpecialBM!$Q:$Q,0))),INDEX(H_SpecialBM!L:L,MATCH($P1903,H_SpecialBM!$Q:$Q,0)),1),1))</f>
        <v/>
      </c>
      <c r="M1903" s="958" t="str">
        <f>IF($I1789="","",IF($L1792=47,IF(ISNUMBER(INDEX(H_SpecialBM!M:M,MATCH($P1903,H_SpecialBM!$Q:$Q,0))),INDEX(H_SpecialBM!M:M,MATCH($P1903,H_SpecialBM!$Q:$Q,0)),1),1))</f>
        <v/>
      </c>
      <c r="N1903" s="971" t="str">
        <f>IF($I1789="","",IF($L1792=47,IF(ISNUMBER(INDEX(H_SpecialBM!N:N,MATCH($P1903,H_SpecialBM!$Q:$Q,0))),INDEX(H_SpecialBM!N:N,MATCH($P1903,H_SpecialBM!$Q:$Q,0)),1),1))</f>
        <v/>
      </c>
      <c r="O1903" s="19"/>
      <c r="P1903" s="165" t="str">
        <f>EUconst_CNTR_VCMfinal</f>
        <v>VCMfinal_</v>
      </c>
      <c r="Q1903" s="343"/>
      <c r="R1903" s="343"/>
      <c r="S1903" s="1695" t="str">
        <f>IF($I1789="","",IF($L1792=47,IF(ISNUMBER(INDEX(H_SpecialBM!I:I,MATCH($P1903,H_SpecialBM!$Q:$Q,0))),INDEX(H_SpecialBM!I:I,MATCH($P1903,H_SpecialBM!$Q:$Q,0)),1),1))</f>
        <v/>
      </c>
      <c r="T1903" s="343"/>
      <c r="U1903" s="349"/>
      <c r="V1903" s="349"/>
    </row>
    <row r="1904" spans="1:22" s="534" customFormat="1" x14ac:dyDescent="0.25">
      <c r="A1904" s="343"/>
      <c r="B1904" s="15"/>
      <c r="C1904" s="15"/>
      <c r="D1904" s="965"/>
      <c r="E1904" s="514" t="str">
        <f>Translations!$B$956</f>
        <v>Preliminär tilldelning</v>
      </c>
      <c r="F1904" s="514"/>
      <c r="G1904" s="514"/>
      <c r="H1904" s="129" t="str">
        <f>EUconst_EUA</f>
        <v>EUA</v>
      </c>
      <c r="I1904" s="1620" t="str">
        <f>IF($I1789="","",MAX(0,ROUND((SUM($M1792)*SUM(I1898)*SUM(I1902)*SUM(I1903)-SUM(I1899)-SUM(I1900)+SUM(I1901))*IF($H1792=TRUE,1,J$2517),0)))</f>
        <v/>
      </c>
      <c r="J1904" s="1131" t="str">
        <f>IF($I1789="","",MAX(0,ROUND((SUM($M1792)*SUM(J1898)*SUM(J1902)*SUM(J1903)-SUM(J1899)-SUM(J1900)+SUM(J1901))*IF($H1792=TRUE,1,J$2517),0)))</f>
        <v/>
      </c>
      <c r="K1904" s="421" t="str">
        <f>IF($I1789="","",MAX(0,ROUND((SUM($M1792)*SUM(K1898)*SUM(K1902)*SUM(K1903)-SUM(K1899)-SUM(K1900)+SUM(K1901))*IF($H1792=TRUE,1,K$2517),0)))</f>
        <v/>
      </c>
      <c r="L1904" s="421" t="str">
        <f>IF($I1789="","",MAX(0,ROUND((SUM($M1792)*SUM(L1898)*SUM(L1902)*SUM(L1903)-SUM(L1899)-SUM(L1900)+SUM(L1901))*IF($H1792=TRUE,1,L$2517),0)))</f>
        <v/>
      </c>
      <c r="M1904" s="421" t="str">
        <f>IF($I1789="","",MAX(0,ROUND((SUM($M1792)*SUM(M1898)*SUM(M1902)*SUM(M1903)-SUM(M1899)-SUM(M1900)+SUM(M1901))*IF($H1792=TRUE,1,M$2517),0)))</f>
        <v/>
      </c>
      <c r="N1904" s="967" t="str">
        <f>IF($I1789="","",MAX(0,ROUND((SUM($M1792+IF(L1792=52,0.415,0))*SUM(N1898)*SUM(N1902)*SUM(N1903)-SUM(N1899)-SUM(N1900)+SUM(N1901))*IF($H1792=TRUE,1,N$2517),0)))</f>
        <v/>
      </c>
      <c r="O1904" s="19"/>
      <c r="P1904" s="165" t="str">
        <f>EUconst_AllocPrelim&amp;I1789</f>
        <v>AllocPrelim_</v>
      </c>
      <c r="Q1904" s="343"/>
      <c r="R1904" s="343"/>
      <c r="S1904" s="1696" t="str">
        <f>IF($I1789="","",MAX(0,ROUND((SUM($M1792)*SUM(S1898)*SUM(S1902)*SUM(S1903)-SUM(S1899)-SUM(S1900)+SUM(S1901))*IF($H1792=TRUE,1,J$2517),0)))</f>
        <v/>
      </c>
      <c r="T1904" s="663">
        <f>INDEX(F_ProductBM!V:V,MATCH(C1789,F_ProductBM!C:C,0))</f>
        <v>2005</v>
      </c>
      <c r="U1904" s="603" t="e">
        <f>OR(INDEX(I1904:N1904,CNTR_ReportingYear-$I$2596)&lt;&gt;INDEX(I1904:N1904,CNTR_ReportingYear-$H$2596),
(CNTR_ReportingYear-T1904)&lt;=1)</f>
        <v>#REF!</v>
      </c>
      <c r="V1904" s="355" t="b">
        <f ca="1">IF(I1904="",FALSE,COUNTIF(OFFSET(I1904,,,,MAX(1,CNTR_ReportingYear-$I$2596)),"&lt;&gt;" &amp; INDEX(I1904:N1904,CNTR_ReportingYear-$H$2596))&gt;0)</f>
        <v>0</v>
      </c>
    </row>
    <row r="1905" spans="1:22" s="534" customFormat="1" ht="5.15" customHeight="1" thickBot="1" x14ac:dyDescent="0.3">
      <c r="A1905" s="343"/>
      <c r="B1905" s="15"/>
      <c r="C1905" s="15"/>
      <c r="D1905" s="972"/>
      <c r="E1905" s="973"/>
      <c r="F1905" s="973"/>
      <c r="G1905" s="973"/>
      <c r="H1905" s="973"/>
      <c r="I1905" s="973"/>
      <c r="J1905" s="973"/>
      <c r="K1905" s="973"/>
      <c r="L1905" s="973"/>
      <c r="M1905" s="973"/>
      <c r="N1905" s="974"/>
      <c r="O1905" s="19"/>
      <c r="P1905" s="343"/>
      <c r="Q1905" s="343"/>
      <c r="R1905" s="343"/>
      <c r="S1905" s="343"/>
      <c r="T1905" s="343"/>
      <c r="U1905" s="349"/>
      <c r="V1905" s="349"/>
    </row>
    <row r="1906" spans="1:22" s="534" customFormat="1" ht="5.15" customHeight="1" thickBot="1" x14ac:dyDescent="0.3">
      <c r="A1906" s="343"/>
      <c r="B1906" s="15"/>
      <c r="C1906" s="15"/>
      <c r="E1906" s="289"/>
      <c r="F1906" s="15"/>
      <c r="G1906" s="15"/>
      <c r="H1906" s="15"/>
      <c r="I1906" s="15"/>
      <c r="J1906" s="15"/>
      <c r="K1906" s="15"/>
      <c r="L1906" s="15"/>
      <c r="M1906" s="15"/>
      <c r="N1906" s="15"/>
      <c r="O1906" s="19"/>
      <c r="P1906" s="343"/>
      <c r="Q1906" s="343"/>
      <c r="R1906" s="343"/>
      <c r="S1906" s="343"/>
      <c r="T1906" s="343"/>
      <c r="U1906" s="349"/>
      <c r="V1906" s="349"/>
    </row>
    <row r="1907" spans="1:22" s="534" customFormat="1" ht="12.75" customHeight="1" x14ac:dyDescent="0.25">
      <c r="A1907" s="343"/>
      <c r="B1907" s="15"/>
      <c r="C1907" s="15"/>
      <c r="D1907" s="1452"/>
      <c r="E1907" s="1453"/>
      <c r="F1907" s="1453"/>
      <c r="G1907" s="777"/>
      <c r="H1907" s="777"/>
      <c r="I1907" s="777"/>
      <c r="J1907" s="777"/>
      <c r="K1907" s="777"/>
      <c r="L1907" s="777"/>
      <c r="M1907" s="777"/>
      <c r="N1907" s="778"/>
      <c r="O1907" s="19"/>
      <c r="P1907" s="343"/>
      <c r="Q1907" s="343"/>
      <c r="R1907" s="343"/>
      <c r="S1907" s="343"/>
      <c r="T1907" s="343"/>
      <c r="U1907" s="349"/>
      <c r="V1907" s="349"/>
    </row>
    <row r="1908" spans="1:22" s="534" customFormat="1" ht="13.5" thickBot="1" x14ac:dyDescent="0.3">
      <c r="A1908" s="343"/>
      <c r="B1908" s="15"/>
      <c r="C1908" s="15"/>
      <c r="D1908" s="1454"/>
      <c r="E1908" s="416"/>
      <c r="F1908" s="416"/>
      <c r="G1908" s="415" t="str">
        <f>EUconst_Unit</f>
        <v>Enhet</v>
      </c>
      <c r="H1908" s="744">
        <f t="shared" ref="H1908:M1908" si="375">H$2596</f>
        <v>2019</v>
      </c>
      <c r="I1908" s="1155">
        <f t="shared" si="375"/>
        <v>2020</v>
      </c>
      <c r="J1908" s="1104">
        <f t="shared" si="375"/>
        <v>2021</v>
      </c>
      <c r="K1908" s="362">
        <f t="shared" si="375"/>
        <v>2022</v>
      </c>
      <c r="L1908" s="362">
        <f t="shared" si="375"/>
        <v>2023</v>
      </c>
      <c r="M1908" s="362">
        <f t="shared" si="375"/>
        <v>2024</v>
      </c>
      <c r="N1908" s="1141">
        <f>N$2596</f>
        <v>2025</v>
      </c>
      <c r="O1908" s="19"/>
      <c r="P1908" s="343"/>
      <c r="Q1908" s="343"/>
      <c r="R1908" s="343"/>
      <c r="S1908" s="343"/>
      <c r="T1908" s="7"/>
      <c r="U1908" s="349"/>
      <c r="V1908" s="349"/>
    </row>
    <row r="1909" spans="1:22" s="534" customFormat="1" ht="13.5" customHeight="1" thickBot="1" x14ac:dyDescent="0.3">
      <c r="A1909" s="343"/>
      <c r="B1909" s="15"/>
      <c r="C1909" s="15"/>
      <c r="D1909" s="1454"/>
      <c r="E1909" s="2747" t="str">
        <f>Translations!$B$1056</f>
        <v>Totala tillskrivna utsläpp</v>
      </c>
      <c r="F1909" s="2747"/>
      <c r="G1909" s="710" t="str">
        <f>EUconst_tCO2epa</f>
        <v>t CO2e/år</v>
      </c>
      <c r="H1909" s="735" t="str">
        <f t="shared" ref="H1909:N1909" si="376">INDEX(H$92:H$108,MATCH($I1789,$E$92:$E$108,0))</f>
        <v/>
      </c>
      <c r="I1909" s="1156" t="str">
        <f t="shared" si="376"/>
        <v/>
      </c>
      <c r="J1909" s="735" t="str">
        <f t="shared" si="376"/>
        <v/>
      </c>
      <c r="K1909" s="736" t="str">
        <f t="shared" si="376"/>
        <v/>
      </c>
      <c r="L1909" s="736" t="str">
        <f t="shared" si="376"/>
        <v/>
      </c>
      <c r="M1909" s="736" t="str">
        <f t="shared" si="376"/>
        <v/>
      </c>
      <c r="N1909" s="737" t="str">
        <f t="shared" si="376"/>
        <v/>
      </c>
      <c r="O1909" s="19"/>
      <c r="P1909" s="343"/>
      <c r="Q1909" s="343"/>
      <c r="R1909" s="343"/>
      <c r="S1909" s="343"/>
      <c r="T1909" s="7"/>
      <c r="U1909" s="349"/>
      <c r="V1909" s="349"/>
    </row>
    <row r="1910" spans="1:22" s="534" customFormat="1" ht="5.15" customHeight="1" x14ac:dyDescent="0.25">
      <c r="A1910" s="343"/>
      <c r="B1910" s="15"/>
      <c r="C1910" s="15"/>
      <c r="D1910" s="1454"/>
      <c r="E1910" s="899"/>
      <c r="F1910" s="899"/>
      <c r="G1910" s="416"/>
      <c r="H1910" s="738"/>
      <c r="I1910" s="738"/>
      <c r="J1910" s="738"/>
      <c r="K1910" s="738"/>
      <c r="L1910" s="738"/>
      <c r="M1910" s="738"/>
      <c r="N1910" s="1455"/>
      <c r="O1910" s="19"/>
      <c r="P1910" s="343"/>
      <c r="Q1910" s="343"/>
      <c r="R1910" s="343"/>
      <c r="S1910" s="343"/>
      <c r="T1910" s="7"/>
      <c r="U1910" s="349"/>
      <c r="V1910" s="349"/>
    </row>
    <row r="1911" spans="1:22" s="534" customFormat="1" ht="12.75" customHeight="1" x14ac:dyDescent="0.25">
      <c r="A1911" s="343"/>
      <c r="B1911" s="15"/>
      <c r="C1911" s="15"/>
      <c r="D1911" s="1454"/>
      <c r="E1911" s="2611" t="str">
        <f>Translations!$B$571</f>
        <v>Insatsbränsle</v>
      </c>
      <c r="F1911" s="2484"/>
      <c r="G1911" s="365" t="str">
        <f>EUconst_TJpa</f>
        <v>TJ / år</v>
      </c>
      <c r="H1911" s="739" t="str">
        <f>IF($I1789="","",IF(INDEX(F_ProductBM!H:H,MATCH($P1911,F_ProductBM!$Q:$Q,0))="","",INDEX(F_ProductBM!H:H,MATCH($P1911,F_ProductBM!$Q:$Q,0))))</f>
        <v/>
      </c>
      <c r="I1911" s="1153" t="str">
        <f>IF($I1789="","",IF(INDEX(F_ProductBM!I:I,MATCH($P1911,F_ProductBM!$Q:$Q,0))="","",INDEX(F_ProductBM!I:I,MATCH($P1911,F_ProductBM!$Q:$Q,0))))</f>
        <v/>
      </c>
      <c r="J1911" s="1159" t="str">
        <f>IF($I1789="","",IF(INDEX(F_ProductBM!J:J,MATCH($P1911,F_ProductBM!$Q:$Q,0))="","",INDEX(F_ProductBM!J:J,MATCH($P1911,F_ProductBM!$Q:$Q,0))))</f>
        <v/>
      </c>
      <c r="K1911" s="739" t="str">
        <f>IF($I1789="","",IF(INDEX(F_ProductBM!K:K,MATCH($P1911,F_ProductBM!$Q:$Q,0))="","",INDEX(F_ProductBM!K:K,MATCH($P1911,F_ProductBM!$Q:$Q,0))))</f>
        <v/>
      </c>
      <c r="L1911" s="739" t="str">
        <f>IF($I1789="","",IF(INDEX(F_ProductBM!L:L,MATCH($P1911,F_ProductBM!$Q:$Q,0))="","",INDEX(F_ProductBM!L:L,MATCH($P1911,F_ProductBM!$Q:$Q,0))))</f>
        <v/>
      </c>
      <c r="M1911" s="739" t="str">
        <f>IF($I1789="","",IF(INDEX(F_ProductBM!M:M,MATCH($P1911,F_ProductBM!$Q:$Q,0))="","",INDEX(F_ProductBM!M:M,MATCH($P1911,F_ProductBM!$Q:$Q,0))))</f>
        <v/>
      </c>
      <c r="N1911" s="1456" t="str">
        <f>IF($I1789="","",IF(INDEX(F_ProductBM!N:N,MATCH($P1911,F_ProductBM!$Q:$Q,0))="","",INDEX(F_ProductBM!N:N,MATCH($P1911,F_ProductBM!$Q:$Q,0))))</f>
        <v/>
      </c>
      <c r="O1911" s="19"/>
      <c r="P1911" s="622" t="str">
        <f>EUconst_CNTR_FuelInput &amp; I1789</f>
        <v>FuelInput_</v>
      </c>
      <c r="Q1911" s="343"/>
      <c r="R1911" s="343"/>
      <c r="S1911" s="343"/>
      <c r="T1911" s="7"/>
      <c r="U1911" s="349"/>
      <c r="V1911" s="349"/>
    </row>
    <row r="1912" spans="1:22" s="534" customFormat="1" ht="12.75" customHeight="1" x14ac:dyDescent="0.25">
      <c r="A1912" s="343"/>
      <c r="B1912" s="15"/>
      <c r="C1912" s="15"/>
      <c r="D1912" s="1454"/>
      <c r="E1912" s="2612" t="str">
        <f>Translations!$B$572</f>
        <v>Viktad emissionsfaktor</v>
      </c>
      <c r="F1912" s="2487"/>
      <c r="G1912" s="384" t="str">
        <f>EUconst_tCO2pTJ</f>
        <v>t CO2 / TJ</v>
      </c>
      <c r="H1912" s="740" t="str">
        <f>IF($I1789="","",IF(INDEX(F_ProductBM!H:H,MATCH($P1912,F_ProductBM!$Q:$Q,0))="","",INDEX(F_ProductBM!H:H,MATCH($P1912,F_ProductBM!$Q:$Q,0))))</f>
        <v/>
      </c>
      <c r="I1912" s="1154" t="str">
        <f>IF($I1789="","",IF(INDEX(F_ProductBM!I:I,MATCH($P1912,F_ProductBM!$Q:$Q,0))="","",INDEX(F_ProductBM!I:I,MATCH($P1912,F_ProductBM!$Q:$Q,0))))</f>
        <v/>
      </c>
      <c r="J1912" s="1160" t="str">
        <f>IF($I1789="","",IF(INDEX(F_ProductBM!J:J,MATCH($P1912,F_ProductBM!$Q:$Q,0))="","",INDEX(F_ProductBM!J:J,MATCH($P1912,F_ProductBM!$Q:$Q,0))))</f>
        <v/>
      </c>
      <c r="K1912" s="740" t="str">
        <f>IF($I1789="","",IF(INDEX(F_ProductBM!K:K,MATCH($P1912,F_ProductBM!$Q:$Q,0))="","",INDEX(F_ProductBM!K:K,MATCH($P1912,F_ProductBM!$Q:$Q,0))))</f>
        <v/>
      </c>
      <c r="L1912" s="740" t="str">
        <f>IF($I1789="","",IF(INDEX(F_ProductBM!L:L,MATCH($P1912,F_ProductBM!$Q:$Q,0))="","",INDEX(F_ProductBM!L:L,MATCH($P1912,F_ProductBM!$Q:$Q,0))))</f>
        <v/>
      </c>
      <c r="M1912" s="740" t="str">
        <f>IF($I1789="","",IF(INDEX(F_ProductBM!M:M,MATCH($P1912,F_ProductBM!$Q:$Q,0))="","",INDEX(F_ProductBM!M:M,MATCH($P1912,F_ProductBM!$Q:$Q,0))))</f>
        <v/>
      </c>
      <c r="N1912" s="1457" t="str">
        <f>IF($I1789="","",IF(INDEX(F_ProductBM!N:N,MATCH($P1912,F_ProductBM!$Q:$Q,0))="","",INDEX(F_ProductBM!N:N,MATCH($P1912,F_ProductBM!$Q:$Q,0))))</f>
        <v/>
      </c>
      <c r="O1912" s="19"/>
      <c r="P1912" s="298" t="str">
        <f>EUconst_CNTR_FuelEF &amp; I1789</f>
        <v>FuelEF_</v>
      </c>
      <c r="Q1912" s="343"/>
      <c r="R1912" s="343"/>
      <c r="S1912" s="343"/>
      <c r="T1912" s="7"/>
      <c r="U1912" s="349"/>
      <c r="V1912" s="349"/>
    </row>
    <row r="1913" spans="1:22" s="534" customFormat="1" ht="5.15" customHeight="1" x14ac:dyDescent="0.25">
      <c r="A1913" s="343"/>
      <c r="B1913" s="15"/>
      <c r="C1913" s="15"/>
      <c r="D1913" s="1454"/>
      <c r="E1913" s="899"/>
      <c r="F1913" s="899"/>
      <c r="G1913" s="623"/>
      <c r="H1913" s="741"/>
      <c r="I1913" s="741"/>
      <c r="J1913" s="741"/>
      <c r="K1913" s="741"/>
      <c r="L1913" s="741"/>
      <c r="M1913" s="741"/>
      <c r="N1913" s="1458"/>
      <c r="O1913" s="19"/>
      <c r="P1913" s="343"/>
      <c r="Q1913" s="343"/>
      <c r="R1913" s="343"/>
      <c r="S1913" s="343"/>
      <c r="T1913" s="7"/>
      <c r="U1913" s="349"/>
      <c r="V1913" s="349"/>
    </row>
    <row r="1914" spans="1:22" s="534" customFormat="1" ht="12.75" customHeight="1" x14ac:dyDescent="0.25">
      <c r="A1914" s="343"/>
      <c r="B1914" s="15"/>
      <c r="C1914" s="15"/>
      <c r="D1914" s="1454"/>
      <c r="E1914" s="2613" t="str">
        <f>Translations!$B$528</f>
        <v>Direkta utsläpp</v>
      </c>
      <c r="F1914" s="1997"/>
      <c r="G1914" s="364" t="str">
        <f>EUconst_tCO2pa</f>
        <v>t CO2 / år</v>
      </c>
      <c r="H1914" s="742" t="str">
        <f>IF($I1789="","",IF(INDEX(F_ProductBM!H:H,MATCH($P1914,F_ProductBM!$Q:$Q,0))="","",INDEX(F_ProductBM!H:H,MATCH($P1914,F_ProductBM!$Q:$Q,0))))</f>
        <v/>
      </c>
      <c r="I1914" s="1021" t="str">
        <f>IF($I1789="","",IF(INDEX(F_ProductBM!I:I,MATCH($P1914,F_ProductBM!$Q:$Q,0))="","",INDEX(F_ProductBM!I:I,MATCH($P1914,F_ProductBM!$Q:$Q,0))))</f>
        <v/>
      </c>
      <c r="J1914" s="1158" t="str">
        <f>IF($I1789="","",IF(INDEX(F_ProductBM!J:J,MATCH($P1914,F_ProductBM!$Q:$Q,0))="","",INDEX(F_ProductBM!J:J,MATCH($P1914,F_ProductBM!$Q:$Q,0))))</f>
        <v/>
      </c>
      <c r="K1914" s="742" t="str">
        <f>IF($I1789="","",IF(INDEX(F_ProductBM!K:K,MATCH($P1914,F_ProductBM!$Q:$Q,0))="","",INDEX(F_ProductBM!K:K,MATCH($P1914,F_ProductBM!$Q:$Q,0))))</f>
        <v/>
      </c>
      <c r="L1914" s="742" t="str">
        <f>IF($I1789="","",IF(INDEX(F_ProductBM!L:L,MATCH($P1914,F_ProductBM!$Q:$Q,0))="","",INDEX(F_ProductBM!L:L,MATCH($P1914,F_ProductBM!$Q:$Q,0))))</f>
        <v/>
      </c>
      <c r="M1914" s="742" t="str">
        <f>IF($I1789="","",IF(INDEX(F_ProductBM!M:M,MATCH($P1914,F_ProductBM!$Q:$Q,0))="","",INDEX(F_ProductBM!M:M,MATCH($P1914,F_ProductBM!$Q:$Q,0))))</f>
        <v/>
      </c>
      <c r="N1914" s="1459" t="str">
        <f>IF($I1789="","",IF(INDEX(F_ProductBM!N:N,MATCH($P1914,F_ProductBM!$Q:$Q,0))="","",INDEX(F_ProductBM!N:N,MATCH($P1914,F_ProductBM!$Q:$Q,0))))</f>
        <v/>
      </c>
      <c r="O1914" s="19"/>
      <c r="P1914" s="298" t="str">
        <f>EUconst_CNTR_Emissions &amp; I1789</f>
        <v>DirEmissions_</v>
      </c>
      <c r="Q1914" s="343"/>
      <c r="R1914" s="343"/>
      <c r="S1914" s="343"/>
      <c r="T1914" s="7"/>
      <c r="U1914" s="349"/>
      <c r="V1914" s="349"/>
    </row>
    <row r="1915" spans="1:22" s="534" customFormat="1" ht="12.75" customHeight="1" x14ac:dyDescent="0.25">
      <c r="A1915" s="343"/>
      <c r="B1915" s="15"/>
      <c r="C1915" s="15"/>
      <c r="D1915" s="1454"/>
      <c r="E1915" s="2613" t="str">
        <f>Translations!$B$582</f>
        <v>Andra bränsle-/materialmängder – 1</v>
      </c>
      <c r="F1915" s="1997"/>
      <c r="G1915" s="364" t="str">
        <f>EUconst_tCO2pa</f>
        <v>t CO2 / år</v>
      </c>
      <c r="H1915" s="742" t="str">
        <f>IF($I1789="","",IF(INDEX(F_ProductBM!H:H,MATCH($P1915,F_ProductBM!$Q:$Q,0))="","",INDEX(F_ProductBM!H:H,MATCH($P1915,F_ProductBM!$Q:$Q,0))))</f>
        <v/>
      </c>
      <c r="I1915" s="1021" t="str">
        <f>IF($I1789="","",IF(INDEX(F_ProductBM!I:I,MATCH($P1915,F_ProductBM!$Q:$Q,0))="","",INDEX(F_ProductBM!I:I,MATCH($P1915,F_ProductBM!$Q:$Q,0))))</f>
        <v/>
      </c>
      <c r="J1915" s="1158" t="str">
        <f>IF($I1789="","",IF(INDEX(F_ProductBM!J:J,MATCH($P1915,F_ProductBM!$Q:$Q,0))="","",INDEX(F_ProductBM!J:J,MATCH($P1915,F_ProductBM!$Q:$Q,0))))</f>
        <v/>
      </c>
      <c r="K1915" s="742" t="str">
        <f>IF($I1789="","",IF(INDEX(F_ProductBM!K:K,MATCH($P1915,F_ProductBM!$Q:$Q,0))="","",INDEX(F_ProductBM!K:K,MATCH($P1915,F_ProductBM!$Q:$Q,0))))</f>
        <v/>
      </c>
      <c r="L1915" s="742" t="str">
        <f>IF($I1789="","",IF(INDEX(F_ProductBM!L:L,MATCH($P1915,F_ProductBM!$Q:$Q,0))="","",INDEX(F_ProductBM!L:L,MATCH($P1915,F_ProductBM!$Q:$Q,0))))</f>
        <v/>
      </c>
      <c r="M1915" s="742" t="str">
        <f>IF($I1789="","",IF(INDEX(F_ProductBM!M:M,MATCH($P1915,F_ProductBM!$Q:$Q,0))="","",INDEX(F_ProductBM!M:M,MATCH($P1915,F_ProductBM!$Q:$Q,0))))</f>
        <v/>
      </c>
      <c r="N1915" s="1459" t="str">
        <f>IF($I1789="","",IF(INDEX(F_ProductBM!N:N,MATCH($P1915,F_ProductBM!$Q:$Q,0))="","",INDEX(F_ProductBM!N:N,MATCH($P1915,F_ProductBM!$Q:$Q,0))))</f>
        <v/>
      </c>
      <c r="O1915" s="19"/>
      <c r="P1915" s="298" t="str">
        <f>EUconst_CNTR_EmissionsIntSource1 &amp; I1789</f>
        <v>EmInternalSource1_</v>
      </c>
      <c r="Q1915" s="343"/>
      <c r="R1915" s="343"/>
      <c r="S1915" s="343"/>
      <c r="T1915" s="7"/>
      <c r="U1915" s="349"/>
      <c r="V1915" s="349"/>
    </row>
    <row r="1916" spans="1:22" s="534" customFormat="1" ht="12.75" customHeight="1" x14ac:dyDescent="0.25">
      <c r="A1916" s="343"/>
      <c r="B1916" s="15"/>
      <c r="C1916" s="15"/>
      <c r="D1916" s="1454"/>
      <c r="E1916" s="2613" t="str">
        <f>Translations!$B$592</f>
        <v>Andra bränsle-/materialmängder – 2</v>
      </c>
      <c r="F1916" s="1997"/>
      <c r="G1916" s="364" t="str">
        <f>EUconst_tCO2pa</f>
        <v>t CO2 / år</v>
      </c>
      <c r="H1916" s="742" t="str">
        <f>IF($I1789="","",IF(INDEX(F_ProductBM!H:H,MATCH($P1916,F_ProductBM!$Q:$Q,0))="","",INDEX(F_ProductBM!H:H,MATCH($P1916,F_ProductBM!$Q:$Q,0))))</f>
        <v/>
      </c>
      <c r="I1916" s="1021" t="str">
        <f>IF($I1789="","",IF(INDEX(F_ProductBM!I:I,MATCH($P1916,F_ProductBM!$Q:$Q,0))="","",INDEX(F_ProductBM!I:I,MATCH($P1916,F_ProductBM!$Q:$Q,0))))</f>
        <v/>
      </c>
      <c r="J1916" s="1158" t="str">
        <f>IF($I1789="","",IF(INDEX(F_ProductBM!J:J,MATCH($P1916,F_ProductBM!$Q:$Q,0))="","",INDEX(F_ProductBM!J:J,MATCH($P1916,F_ProductBM!$Q:$Q,0))))</f>
        <v/>
      </c>
      <c r="K1916" s="742" t="str">
        <f>IF($I1789="","",IF(INDEX(F_ProductBM!K:K,MATCH($P1916,F_ProductBM!$Q:$Q,0))="","",INDEX(F_ProductBM!K:K,MATCH($P1916,F_ProductBM!$Q:$Q,0))))</f>
        <v/>
      </c>
      <c r="L1916" s="742" t="str">
        <f>IF($I1789="","",IF(INDEX(F_ProductBM!L:L,MATCH($P1916,F_ProductBM!$Q:$Q,0))="","",INDEX(F_ProductBM!L:L,MATCH($P1916,F_ProductBM!$Q:$Q,0))))</f>
        <v/>
      </c>
      <c r="M1916" s="742" t="str">
        <f>IF($I1789="","",IF(INDEX(F_ProductBM!M:M,MATCH($P1916,F_ProductBM!$Q:$Q,0))="","",INDEX(F_ProductBM!M:M,MATCH($P1916,F_ProductBM!$Q:$Q,0))))</f>
        <v/>
      </c>
      <c r="N1916" s="1459" t="str">
        <f>IF($I1789="","",IF(INDEX(F_ProductBM!N:N,MATCH($P1916,F_ProductBM!$Q:$Q,0))="","",INDEX(F_ProductBM!N:N,MATCH($P1916,F_ProductBM!$Q:$Q,0))))</f>
        <v/>
      </c>
      <c r="O1916" s="19"/>
      <c r="P1916" s="298" t="str">
        <f>EUconst_CNTR_EmissionsIntSource2 &amp; I1789</f>
        <v>EmInternalSource2_</v>
      </c>
      <c r="Q1916" s="343"/>
      <c r="R1916" s="343"/>
      <c r="S1916" s="343"/>
      <c r="T1916" s="7"/>
      <c r="U1916" s="349"/>
      <c r="V1916" s="349"/>
    </row>
    <row r="1917" spans="1:22" s="534" customFormat="1" ht="12.75" customHeight="1" x14ac:dyDescent="0.25">
      <c r="A1917" s="343"/>
      <c r="B1917" s="15"/>
      <c r="C1917" s="15"/>
      <c r="D1917" s="1454"/>
      <c r="E1917" s="2613" t="str">
        <f>Translations!$B$596</f>
        <v>Importerade eller exporterade växthusgaser</v>
      </c>
      <c r="F1917" s="1997"/>
      <c r="G1917" s="364" t="str">
        <f>EUconst_tCO2epa</f>
        <v>t CO2e/år</v>
      </c>
      <c r="H1917" s="742" t="str">
        <f>IF($I1789="","",IF(INDEX(F_ProductBM!H:H,MATCH($P1917,F_ProductBM!$Q:$Q,0))="","",INDEX(F_ProductBM!H:H,MATCH($P1917,F_ProductBM!$Q:$Q,0))))</f>
        <v/>
      </c>
      <c r="I1917" s="1021" t="str">
        <f>IF($I1789="","",IF(INDEX(F_ProductBM!I:I,MATCH($P1917,F_ProductBM!$Q:$Q,0))="","",INDEX(F_ProductBM!I:I,MATCH($P1917,F_ProductBM!$Q:$Q,0))))</f>
        <v/>
      </c>
      <c r="J1917" s="1158" t="str">
        <f>IF($I1789="","",IF(INDEX(F_ProductBM!J:J,MATCH($P1917,F_ProductBM!$Q:$Q,0))="","",INDEX(F_ProductBM!J:J,MATCH($P1917,F_ProductBM!$Q:$Q,0))))</f>
        <v/>
      </c>
      <c r="K1917" s="742" t="str">
        <f>IF($I1789="","",IF(INDEX(F_ProductBM!K:K,MATCH($P1917,F_ProductBM!$Q:$Q,0))="","",INDEX(F_ProductBM!K:K,MATCH($P1917,F_ProductBM!$Q:$Q,0))))</f>
        <v/>
      </c>
      <c r="L1917" s="742" t="str">
        <f>IF($I1789="","",IF(INDEX(F_ProductBM!L:L,MATCH($P1917,F_ProductBM!$Q:$Q,0))="","",INDEX(F_ProductBM!L:L,MATCH($P1917,F_ProductBM!$Q:$Q,0))))</f>
        <v/>
      </c>
      <c r="M1917" s="742" t="str">
        <f>IF($I1789="","",IF(INDEX(F_ProductBM!M:M,MATCH($P1917,F_ProductBM!$Q:$Q,0))="","",INDEX(F_ProductBM!M:M,MATCH($P1917,F_ProductBM!$Q:$Q,0))))</f>
        <v/>
      </c>
      <c r="N1917" s="1459" t="str">
        <f>IF($I1789="","",IF(INDEX(F_ProductBM!N:N,MATCH($P1917,F_ProductBM!$Q:$Q,0))="","",INDEX(F_ProductBM!N:N,MATCH($P1917,F_ProductBM!$Q:$Q,0))))</f>
        <v/>
      </c>
      <c r="O1917" s="19"/>
      <c r="P1917" s="298" t="str">
        <f>EUconst_CNTR_CO2Feedstock &amp; I1789</f>
        <v>EmCO2Feedstock_</v>
      </c>
      <c r="Q1917" s="343"/>
      <c r="R1917" s="343"/>
      <c r="S1917" s="343"/>
      <c r="T1917" s="7"/>
      <c r="U1917" s="349"/>
      <c r="V1917" s="349"/>
    </row>
    <row r="1918" spans="1:22" s="534" customFormat="1" ht="5.15" customHeight="1" x14ac:dyDescent="0.25">
      <c r="A1918" s="343"/>
      <c r="B1918" s="15"/>
      <c r="C1918" s="15"/>
      <c r="D1918" s="1454"/>
      <c r="E1918" s="899"/>
      <c r="F1918" s="899"/>
      <c r="G1918" s="623"/>
      <c r="H1918" s="741"/>
      <c r="I1918" s="741"/>
      <c r="J1918" s="741"/>
      <c r="K1918" s="741"/>
      <c r="L1918" s="741"/>
      <c r="M1918" s="741"/>
      <c r="N1918" s="1458"/>
      <c r="O1918" s="19"/>
      <c r="P1918" s="343"/>
      <c r="Q1918" s="343"/>
      <c r="R1918" s="343"/>
      <c r="S1918" s="343"/>
      <c r="T1918" s="7"/>
      <c r="U1918" s="349"/>
      <c r="V1918" s="349"/>
    </row>
    <row r="1919" spans="1:22" s="534" customFormat="1" ht="12.75" customHeight="1" x14ac:dyDescent="0.25">
      <c r="A1919" s="343"/>
      <c r="B1919" s="15"/>
      <c r="C1919" s="15"/>
      <c r="D1919" s="1454"/>
      <c r="E1919" s="2611" t="str">
        <f>Translations!$B$604</f>
        <v>Nettomängd importerad värme</v>
      </c>
      <c r="F1919" s="2484"/>
      <c r="G1919" s="365" t="str">
        <f>EUconst_TJpa</f>
        <v>TJ / år</v>
      </c>
      <c r="H1919" s="739" t="str">
        <f>IF($I1789="","",IF(INDEX(F_ProductBM!H:H,MATCH($P1919,F_ProductBM!$Q:$Q,0))="","",INDEX(F_ProductBM!H:H,MATCH($P1919,F_ProductBM!$Q:$Q,0))))</f>
        <v/>
      </c>
      <c r="I1919" s="1153" t="str">
        <f>IF($I1789="","",IF(INDEX(F_ProductBM!I:I,MATCH($P1919,F_ProductBM!$Q:$Q,0))="","",INDEX(F_ProductBM!I:I,MATCH($P1919,F_ProductBM!$Q:$Q,0))))</f>
        <v/>
      </c>
      <c r="J1919" s="1159" t="str">
        <f>IF($I1789="","",IF(INDEX(F_ProductBM!J:J,MATCH($P1919,F_ProductBM!$Q:$Q,0))="","",INDEX(F_ProductBM!J:J,MATCH($P1919,F_ProductBM!$Q:$Q,0))))</f>
        <v/>
      </c>
      <c r="K1919" s="739" t="str">
        <f>IF($I1789="","",IF(INDEX(F_ProductBM!K:K,MATCH($P1919,F_ProductBM!$Q:$Q,0))="","",INDEX(F_ProductBM!K:K,MATCH($P1919,F_ProductBM!$Q:$Q,0))))</f>
        <v/>
      </c>
      <c r="L1919" s="739" t="str">
        <f>IF($I1789="","",IF(INDEX(F_ProductBM!L:L,MATCH($P1919,F_ProductBM!$Q:$Q,0))="","",INDEX(F_ProductBM!L:L,MATCH($P1919,F_ProductBM!$Q:$Q,0))))</f>
        <v/>
      </c>
      <c r="M1919" s="739" t="str">
        <f>IF($I1789="","",IF(INDEX(F_ProductBM!M:M,MATCH($P1919,F_ProductBM!$Q:$Q,0))="","",INDEX(F_ProductBM!M:M,MATCH($P1919,F_ProductBM!$Q:$Q,0))))</f>
        <v/>
      </c>
      <c r="N1919" s="1456" t="str">
        <f>IF($I1789="","",IF(INDEX(F_ProductBM!N:N,MATCH($P1919,F_ProductBM!$Q:$Q,0))="","",INDEX(F_ProductBM!N:N,MATCH($P1919,F_ProductBM!$Q:$Q,0))))</f>
        <v/>
      </c>
      <c r="O1919" s="19"/>
      <c r="P1919" s="298" t="str">
        <f>EUconst_CNTR_HeatImport &amp; I1789</f>
        <v>HeatIm_</v>
      </c>
      <c r="Q1919" s="343"/>
      <c r="R1919" s="343"/>
      <c r="S1919" s="343"/>
      <c r="T1919" s="7"/>
      <c r="U1919" s="349"/>
      <c r="V1919" s="349"/>
    </row>
    <row r="1920" spans="1:22" s="534" customFormat="1" ht="12.75" customHeight="1" x14ac:dyDescent="0.25">
      <c r="A1920" s="343"/>
      <c r="B1920" s="15"/>
      <c r="C1920" s="15"/>
      <c r="D1920" s="1454"/>
      <c r="E1920" s="2612" t="str">
        <f>Translations!$B$605</f>
        <v>Särskild emissionsfaktor (importerad värme)</v>
      </c>
      <c r="F1920" s="2487"/>
      <c r="G1920" s="384" t="str">
        <f>EUconst_tCO2pTJ</f>
        <v>t CO2 / TJ</v>
      </c>
      <c r="H1920" s="740" t="str">
        <f>IF($I1789="","",IF(INDEX(F_ProductBM!H:H,MATCH($P1920,F_ProductBM!$Q:$Q,0))="","",INDEX(F_ProductBM!H:H,MATCH($P1920,F_ProductBM!$Q:$Q,0))))</f>
        <v/>
      </c>
      <c r="I1920" s="1154" t="str">
        <f>IF($I1789="","",IF(INDEX(F_ProductBM!I:I,MATCH($P1920,F_ProductBM!$Q:$Q,0))="","",INDEX(F_ProductBM!I:I,MATCH($P1920,F_ProductBM!$Q:$Q,0))))</f>
        <v/>
      </c>
      <c r="J1920" s="1160" t="str">
        <f>IF($I1789="","",IF(INDEX(F_ProductBM!J:J,MATCH($P1920,F_ProductBM!$Q:$Q,0))="","",INDEX(F_ProductBM!J:J,MATCH($P1920,F_ProductBM!$Q:$Q,0))))</f>
        <v/>
      </c>
      <c r="K1920" s="740" t="str">
        <f>IF($I1789="","",IF(INDEX(F_ProductBM!K:K,MATCH($P1920,F_ProductBM!$Q:$Q,0))="","",INDEX(F_ProductBM!K:K,MATCH($P1920,F_ProductBM!$Q:$Q,0))))</f>
        <v/>
      </c>
      <c r="L1920" s="740" t="str">
        <f>IF($I1789="","",IF(INDEX(F_ProductBM!L:L,MATCH($P1920,F_ProductBM!$Q:$Q,0))="","",INDEX(F_ProductBM!L:L,MATCH($P1920,F_ProductBM!$Q:$Q,0))))</f>
        <v/>
      </c>
      <c r="M1920" s="740" t="str">
        <f>IF($I1789="","",IF(INDEX(F_ProductBM!M:M,MATCH($P1920,F_ProductBM!$Q:$Q,0))="","",INDEX(F_ProductBM!M:M,MATCH($P1920,F_ProductBM!$Q:$Q,0))))</f>
        <v/>
      </c>
      <c r="N1920" s="1457" t="str">
        <f>IF($I1789="","",IF(INDEX(F_ProductBM!N:N,MATCH($P1920,F_ProductBM!$Q:$Q,0))="","",INDEX(F_ProductBM!N:N,MATCH($P1920,F_ProductBM!$Q:$Q,0))))</f>
        <v/>
      </c>
      <c r="O1920" s="19"/>
      <c r="P1920" s="298" t="str">
        <f>EUconst_CNTR_HeatImportEF &amp; I1789</f>
        <v>HeatImEF_</v>
      </c>
      <c r="Q1920" s="343"/>
      <c r="R1920" s="343"/>
      <c r="S1920" s="343"/>
      <c r="T1920" s="7"/>
      <c r="U1920" s="349"/>
      <c r="V1920" s="349"/>
    </row>
    <row r="1921" spans="1:22" s="534" customFormat="1" ht="5.15" customHeight="1" x14ac:dyDescent="0.25">
      <c r="A1921" s="343"/>
      <c r="B1921" s="15"/>
      <c r="C1921" s="15"/>
      <c r="D1921" s="1454"/>
      <c r="E1921" s="899"/>
      <c r="F1921" s="899"/>
      <c r="G1921" s="623"/>
      <c r="H1921" s="741"/>
      <c r="I1921" s="741"/>
      <c r="J1921" s="741"/>
      <c r="K1921" s="741"/>
      <c r="L1921" s="741"/>
      <c r="M1921" s="741"/>
      <c r="N1921" s="1458"/>
      <c r="O1921" s="19"/>
      <c r="P1921" s="7"/>
      <c r="Q1921" s="343"/>
      <c r="R1921" s="343"/>
      <c r="S1921" s="343"/>
      <c r="T1921" s="7"/>
      <c r="U1921" s="349"/>
      <c r="V1921" s="349"/>
    </row>
    <row r="1922" spans="1:22" s="534" customFormat="1" ht="12.75" customHeight="1" x14ac:dyDescent="0.25">
      <c r="A1922" s="343"/>
      <c r="B1922" s="15"/>
      <c r="C1922" s="15"/>
      <c r="D1922" s="1454"/>
      <c r="E1922" s="2613" t="str">
        <f>Translations!$B$659</f>
        <v>Importerad nettovärme från massa</v>
      </c>
      <c r="F1922" s="1997"/>
      <c r="G1922" s="364" t="str">
        <f>EUconst_TJpa</f>
        <v>TJ / år</v>
      </c>
      <c r="H1922" s="742" t="str">
        <f>IF($I1789="","",IF(INDEX(F_ProductBM!H:H,MATCH($P1922,F_ProductBM!$Q:$Q,0))="","",INDEX(F_ProductBM!H:H,MATCH($P1922,F_ProductBM!$Q:$Q,0))))</f>
        <v/>
      </c>
      <c r="I1922" s="1021" t="str">
        <f>IF($I1789="","",IF(INDEX(F_ProductBM!I:I,MATCH($P1922,F_ProductBM!$Q:$Q,0))="","",INDEX(F_ProductBM!I:I,MATCH($P1922,F_ProductBM!$Q:$Q,0))))</f>
        <v/>
      </c>
      <c r="J1922" s="1158" t="str">
        <f>IF($I1789="","",IF(INDEX(F_ProductBM!J:J,MATCH($P1922,F_ProductBM!$Q:$Q,0))="","",INDEX(F_ProductBM!J:J,MATCH($P1922,F_ProductBM!$Q:$Q,0))))</f>
        <v/>
      </c>
      <c r="K1922" s="742" t="str">
        <f>IF($I1789="","",IF(INDEX(F_ProductBM!K:K,MATCH($P1922,F_ProductBM!$Q:$Q,0))="","",INDEX(F_ProductBM!K:K,MATCH($P1922,F_ProductBM!$Q:$Q,0))))</f>
        <v/>
      </c>
      <c r="L1922" s="742" t="str">
        <f>IF($I1789="","",IF(INDEX(F_ProductBM!L:L,MATCH($P1922,F_ProductBM!$Q:$Q,0))="","",INDEX(F_ProductBM!L:L,MATCH($P1922,F_ProductBM!$Q:$Q,0))))</f>
        <v/>
      </c>
      <c r="M1922" s="742" t="str">
        <f>IF($I1789="","",IF(INDEX(F_ProductBM!M:M,MATCH($P1922,F_ProductBM!$Q:$Q,0))="","",INDEX(F_ProductBM!M:M,MATCH($P1922,F_ProductBM!$Q:$Q,0))))</f>
        <v/>
      </c>
      <c r="N1922" s="1459" t="str">
        <f>IF($I1789="","",IF(INDEX(F_ProductBM!N:N,MATCH($P1922,F_ProductBM!$Q:$Q,0))="","",INDEX(F_ProductBM!N:N,MATCH($P1922,F_ProductBM!$Q:$Q,0))))</f>
        <v/>
      </c>
      <c r="O1922" s="19"/>
      <c r="P1922" s="298" t="str">
        <f>EUconst_CNTR_HeatImportPulp &amp; I1789</f>
        <v>HeatImPulp_</v>
      </c>
      <c r="Q1922" s="343"/>
      <c r="R1922" s="343"/>
      <c r="S1922" s="343"/>
      <c r="T1922" s="7"/>
      <c r="U1922" s="349"/>
      <c r="V1922" s="349"/>
    </row>
    <row r="1923" spans="1:22" s="534" customFormat="1" ht="12.75" customHeight="1" x14ac:dyDescent="0.25">
      <c r="A1923" s="343"/>
      <c r="B1923" s="15"/>
      <c r="C1923" s="15"/>
      <c r="D1923" s="1454"/>
      <c r="E1923" s="2613" t="str">
        <f>Translations!$B$608</f>
        <v>Nettomängd importerad värme från delanläggningar för salpetersyra</v>
      </c>
      <c r="F1923" s="1997"/>
      <c r="G1923" s="364" t="str">
        <f>EUconst_TJpa</f>
        <v>TJ / år</v>
      </c>
      <c r="H1923" s="742" t="str">
        <f>IF($I1789="","",IF(INDEX(F_ProductBM!H:H,MATCH($P1923,F_ProductBM!$Q:$Q,0))="","",INDEX(F_ProductBM!H:H,MATCH($P1923,F_ProductBM!$Q:$Q,0))))</f>
        <v/>
      </c>
      <c r="I1923" s="1021" t="str">
        <f>IF($I1789="","",IF(INDEX(F_ProductBM!I:I,MATCH($P1923,F_ProductBM!$Q:$Q,0))="","",INDEX(F_ProductBM!I:I,MATCH($P1923,F_ProductBM!$Q:$Q,0))))</f>
        <v/>
      </c>
      <c r="J1923" s="1158" t="str">
        <f>IF($I1789="","",IF(INDEX(F_ProductBM!J:J,MATCH($P1923,F_ProductBM!$Q:$Q,0))="","",INDEX(F_ProductBM!J:J,MATCH($P1923,F_ProductBM!$Q:$Q,0))))</f>
        <v/>
      </c>
      <c r="K1923" s="742" t="str">
        <f>IF($I1789="","",IF(INDEX(F_ProductBM!K:K,MATCH($P1923,F_ProductBM!$Q:$Q,0))="","",INDEX(F_ProductBM!K:K,MATCH($P1923,F_ProductBM!$Q:$Q,0))))</f>
        <v/>
      </c>
      <c r="L1923" s="742" t="str">
        <f>IF($I1789="","",IF(INDEX(F_ProductBM!L:L,MATCH($P1923,F_ProductBM!$Q:$Q,0))="","",INDEX(F_ProductBM!L:L,MATCH($P1923,F_ProductBM!$Q:$Q,0))))</f>
        <v/>
      </c>
      <c r="M1923" s="742" t="str">
        <f>IF($I1789="","",IF(INDEX(F_ProductBM!M:M,MATCH($P1923,F_ProductBM!$Q:$Q,0))="","",INDEX(F_ProductBM!M:M,MATCH($P1923,F_ProductBM!$Q:$Q,0))))</f>
        <v/>
      </c>
      <c r="N1923" s="1459" t="str">
        <f>IF($I1789="","",IF(INDEX(F_ProductBM!N:N,MATCH($P1923,F_ProductBM!$Q:$Q,0))="","",INDEX(F_ProductBM!N:N,MATCH($P1923,F_ProductBM!$Q:$Q,0))))</f>
        <v/>
      </c>
      <c r="O1923" s="19"/>
      <c r="P1923" s="298" t="str">
        <f>EUconst_CNTR_HeatImportNitric &amp; I1789</f>
        <v>HeatImNitric_</v>
      </c>
      <c r="Q1923" s="343"/>
      <c r="R1923" s="343"/>
      <c r="S1923" s="343"/>
      <c r="T1923" s="7"/>
      <c r="U1923" s="349"/>
      <c r="V1923" s="349"/>
    </row>
    <row r="1924" spans="1:22" s="534" customFormat="1" ht="5.15" customHeight="1" x14ac:dyDescent="0.25">
      <c r="A1924" s="343"/>
      <c r="B1924" s="15"/>
      <c r="C1924" s="15"/>
      <c r="D1924" s="1454"/>
      <c r="E1924" s="899"/>
      <c r="F1924" s="899"/>
      <c r="G1924" s="416"/>
      <c r="H1924" s="741"/>
      <c r="I1924" s="741"/>
      <c r="J1924" s="741"/>
      <c r="K1924" s="741"/>
      <c r="L1924" s="741"/>
      <c r="M1924" s="741"/>
      <c r="N1924" s="1458"/>
      <c r="O1924" s="19"/>
      <c r="P1924" s="7"/>
      <c r="Q1924" s="343"/>
      <c r="R1924" s="343"/>
      <c r="S1924" s="343"/>
      <c r="T1924" s="7"/>
      <c r="U1924" s="349"/>
      <c r="V1924" s="349"/>
    </row>
    <row r="1925" spans="1:22" s="534" customFormat="1" ht="12.75" customHeight="1" x14ac:dyDescent="0.25">
      <c r="A1925" s="343"/>
      <c r="B1925" s="15"/>
      <c r="C1925" s="15"/>
      <c r="D1925" s="1454"/>
      <c r="E1925" s="2611" t="str">
        <f>Translations!$B$610</f>
        <v>Nettomängd exporterad värme</v>
      </c>
      <c r="F1925" s="2484"/>
      <c r="G1925" s="365" t="str">
        <f>EUconst_TJpa</f>
        <v>TJ / år</v>
      </c>
      <c r="H1925" s="739" t="str">
        <f>IF($I1789="","",IF(INDEX(F_ProductBM!H:H,MATCH($P1925,F_ProductBM!$Q:$Q,0))="","",INDEX(F_ProductBM!H:H,MATCH($P1925,F_ProductBM!$Q:$Q,0))))</f>
        <v/>
      </c>
      <c r="I1925" s="1153" t="str">
        <f>IF($I1789="","",IF(INDEX(F_ProductBM!I:I,MATCH($P1925,F_ProductBM!$Q:$Q,0))="","",INDEX(F_ProductBM!I:I,MATCH($P1925,F_ProductBM!$Q:$Q,0))))</f>
        <v/>
      </c>
      <c r="J1925" s="1159" t="str">
        <f>IF($I1789="","",IF(INDEX(F_ProductBM!J:J,MATCH($P1925,F_ProductBM!$Q:$Q,0))="","",INDEX(F_ProductBM!J:J,MATCH($P1925,F_ProductBM!$Q:$Q,0))))</f>
        <v/>
      </c>
      <c r="K1925" s="739" t="str">
        <f>IF($I1789="","",IF(INDEX(F_ProductBM!K:K,MATCH($P1925,F_ProductBM!$Q:$Q,0))="","",INDEX(F_ProductBM!K:K,MATCH($P1925,F_ProductBM!$Q:$Q,0))))</f>
        <v/>
      </c>
      <c r="L1925" s="739" t="str">
        <f>IF($I1789="","",IF(INDEX(F_ProductBM!L:L,MATCH($P1925,F_ProductBM!$Q:$Q,0))="","",INDEX(F_ProductBM!L:L,MATCH($P1925,F_ProductBM!$Q:$Q,0))))</f>
        <v/>
      </c>
      <c r="M1925" s="739" t="str">
        <f>IF($I1789="","",IF(INDEX(F_ProductBM!M:M,MATCH($P1925,F_ProductBM!$Q:$Q,0))="","",INDEX(F_ProductBM!M:M,MATCH($P1925,F_ProductBM!$Q:$Q,0))))</f>
        <v/>
      </c>
      <c r="N1925" s="1456" t="str">
        <f>IF($I1789="","",IF(INDEX(F_ProductBM!N:N,MATCH($P1925,F_ProductBM!$Q:$Q,0))="","",INDEX(F_ProductBM!N:N,MATCH($P1925,F_ProductBM!$Q:$Q,0))))</f>
        <v/>
      </c>
      <c r="O1925" s="19"/>
      <c r="P1925" s="298" t="str">
        <f>EUconst_CNTR_HeatExport &amp; I1789</f>
        <v>HeatEx_</v>
      </c>
      <c r="Q1925" s="343"/>
      <c r="R1925" s="343"/>
      <c r="S1925" s="343"/>
      <c r="T1925" s="7"/>
      <c r="U1925" s="349"/>
      <c r="V1925" s="349"/>
    </row>
    <row r="1926" spans="1:22" s="534" customFormat="1" ht="12.75" customHeight="1" x14ac:dyDescent="0.25">
      <c r="A1926" s="343"/>
      <c r="B1926" s="15"/>
      <c r="C1926" s="15"/>
      <c r="D1926" s="1454"/>
      <c r="E1926" s="2612" t="str">
        <f>Translations!$B$611</f>
        <v>Särskild emissionsfaktor (exporterad värme)</v>
      </c>
      <c r="F1926" s="2487"/>
      <c r="G1926" s="384" t="str">
        <f>EUconst_tCO2pTJ</f>
        <v>t CO2 / TJ</v>
      </c>
      <c r="H1926" s="740" t="str">
        <f>IF($I1789="","",IF(INDEX(F_ProductBM!H:H,MATCH($P1926,F_ProductBM!$Q:$Q,0))="","",INDEX(F_ProductBM!H:H,MATCH($P1926,F_ProductBM!$Q:$Q,0))))</f>
        <v/>
      </c>
      <c r="I1926" s="1154" t="str">
        <f>IF($I1789="","",IF(INDEX(F_ProductBM!I:I,MATCH($P1926,F_ProductBM!$Q:$Q,0))="","",INDEX(F_ProductBM!I:I,MATCH($P1926,F_ProductBM!$Q:$Q,0))))</f>
        <v/>
      </c>
      <c r="J1926" s="1160" t="str">
        <f>IF($I1789="","",IF(INDEX(F_ProductBM!J:J,MATCH($P1926,F_ProductBM!$Q:$Q,0))="","",INDEX(F_ProductBM!J:J,MATCH($P1926,F_ProductBM!$Q:$Q,0))))</f>
        <v/>
      </c>
      <c r="K1926" s="740" t="str">
        <f>IF($I1789="","",IF(INDEX(F_ProductBM!K:K,MATCH($P1926,F_ProductBM!$Q:$Q,0))="","",INDEX(F_ProductBM!K:K,MATCH($P1926,F_ProductBM!$Q:$Q,0))))</f>
        <v/>
      </c>
      <c r="L1926" s="740" t="str">
        <f>IF($I1789="","",IF(INDEX(F_ProductBM!L:L,MATCH($P1926,F_ProductBM!$Q:$Q,0))="","",INDEX(F_ProductBM!L:L,MATCH($P1926,F_ProductBM!$Q:$Q,0))))</f>
        <v/>
      </c>
      <c r="M1926" s="740" t="str">
        <f>IF($I1789="","",IF(INDEX(F_ProductBM!M:M,MATCH($P1926,F_ProductBM!$Q:$Q,0))="","",INDEX(F_ProductBM!M:M,MATCH($P1926,F_ProductBM!$Q:$Q,0))))</f>
        <v/>
      </c>
      <c r="N1926" s="1457" t="str">
        <f>IF($I1789="","",IF(INDEX(F_ProductBM!N:N,MATCH($P1926,F_ProductBM!$Q:$Q,0))="","",INDEX(F_ProductBM!N:N,MATCH($P1926,F_ProductBM!$Q:$Q,0))))</f>
        <v/>
      </c>
      <c r="O1926" s="19"/>
      <c r="P1926" s="298" t="str">
        <f>EUconst_CNTR_HeatExportEF &amp; I1789</f>
        <v>HeatExEF_</v>
      </c>
      <c r="Q1926" s="343"/>
      <c r="R1926" s="343"/>
      <c r="S1926" s="343"/>
      <c r="T1926" s="7"/>
      <c r="U1926" s="349"/>
      <c r="V1926" s="349"/>
    </row>
    <row r="1927" spans="1:22" s="534" customFormat="1" ht="5.15" customHeight="1" x14ac:dyDescent="0.25">
      <c r="A1927" s="343"/>
      <c r="B1927" s="15"/>
      <c r="C1927" s="15"/>
      <c r="D1927" s="1454"/>
      <c r="E1927" s="899"/>
      <c r="F1927" s="899"/>
      <c r="G1927" s="416"/>
      <c r="H1927" s="741"/>
      <c r="I1927" s="741"/>
      <c r="J1927" s="741"/>
      <c r="K1927" s="741"/>
      <c r="L1927" s="741"/>
      <c r="M1927" s="741"/>
      <c r="N1927" s="1458"/>
      <c r="O1927" s="19"/>
      <c r="P1927" s="7"/>
      <c r="Q1927" s="343"/>
      <c r="R1927" s="343"/>
      <c r="S1927" s="343"/>
      <c r="T1927" s="7"/>
      <c r="U1927" s="349"/>
      <c r="V1927" s="349"/>
    </row>
    <row r="1928" spans="1:22" s="534" customFormat="1" ht="12.75" customHeight="1" x14ac:dyDescent="0.25">
      <c r="A1928" s="343"/>
      <c r="B1928" s="15"/>
      <c r="C1928" s="15"/>
      <c r="D1928" s="1454"/>
      <c r="E1928" s="2611" t="str">
        <f>Translations!$B$618</f>
        <v>Producerad restgas</v>
      </c>
      <c r="F1928" s="2484"/>
      <c r="G1928" s="365" t="str">
        <f>EUconst_TJpa</f>
        <v>TJ / år</v>
      </c>
      <c r="H1928" s="739" t="str">
        <f>IF($I1789="","",IF(INDEX(F_ProductBM!H:H,MATCH($P1928,F_ProductBM!$Q:$Q,0))="","",INDEX(F_ProductBM!H:H,MATCH($P1928,F_ProductBM!$Q:$Q,0))))</f>
        <v/>
      </c>
      <c r="I1928" s="1153" t="str">
        <f>IF($I1789="","",IF(INDEX(F_ProductBM!I:I,MATCH($P1928,F_ProductBM!$Q:$Q,0))="","",INDEX(F_ProductBM!I:I,MATCH($P1928,F_ProductBM!$Q:$Q,0))))</f>
        <v/>
      </c>
      <c r="J1928" s="1159" t="str">
        <f>IF($I1789="","",IF(INDEX(F_ProductBM!J:J,MATCH($P1928,F_ProductBM!$Q:$Q,0))="","",INDEX(F_ProductBM!J:J,MATCH($P1928,F_ProductBM!$Q:$Q,0))))</f>
        <v/>
      </c>
      <c r="K1928" s="739" t="str">
        <f>IF($I1789="","",IF(INDEX(F_ProductBM!K:K,MATCH($P1928,F_ProductBM!$Q:$Q,0))="","",INDEX(F_ProductBM!K:K,MATCH($P1928,F_ProductBM!$Q:$Q,0))))</f>
        <v/>
      </c>
      <c r="L1928" s="739" t="str">
        <f>IF($I1789="","",IF(INDEX(F_ProductBM!L:L,MATCH($P1928,F_ProductBM!$Q:$Q,0))="","",INDEX(F_ProductBM!L:L,MATCH($P1928,F_ProductBM!$Q:$Q,0))))</f>
        <v/>
      </c>
      <c r="M1928" s="739" t="str">
        <f>IF($I1789="","",IF(INDEX(F_ProductBM!M:M,MATCH($P1928,F_ProductBM!$Q:$Q,0))="","",INDEX(F_ProductBM!M:M,MATCH($P1928,F_ProductBM!$Q:$Q,0))))</f>
        <v/>
      </c>
      <c r="N1928" s="1456" t="str">
        <f>IF($I1789="","",IF(INDEX(F_ProductBM!N:N,MATCH($P1928,F_ProductBM!$Q:$Q,0))="","",INDEX(F_ProductBM!N:N,MATCH($P1928,F_ProductBM!$Q:$Q,0))))</f>
        <v/>
      </c>
      <c r="O1928" s="19"/>
      <c r="P1928" s="622" t="str">
        <f>EUconst_CNTR_WGProduced &amp; I1789</f>
        <v>WasteGasProd_</v>
      </c>
      <c r="Q1928" s="343"/>
      <c r="R1928" s="343"/>
      <c r="S1928" s="343"/>
      <c r="T1928" s="7"/>
      <c r="U1928" s="349"/>
      <c r="V1928" s="349"/>
    </row>
    <row r="1929" spans="1:22" s="534" customFormat="1" ht="12.75" customHeight="1" x14ac:dyDescent="0.25">
      <c r="A1929" s="343"/>
      <c r="B1929" s="15"/>
      <c r="C1929" s="15"/>
      <c r="D1929" s="1454"/>
      <c r="E1929" s="2612" t="str">
        <f>Translations!$B$619</f>
        <v>Särskild emissionsfaktor (producerad restgas)</v>
      </c>
      <c r="F1929" s="2487"/>
      <c r="G1929" s="384" t="str">
        <f>EUconst_tCO2pTJ</f>
        <v>t CO2 / TJ</v>
      </c>
      <c r="H1929" s="740" t="str">
        <f>IF($I1789="","",IF(INDEX(F_ProductBM!H:H,MATCH($P1929,F_ProductBM!$Q:$Q,0))="","",INDEX(F_ProductBM!H:H,MATCH($P1929,F_ProductBM!$Q:$Q,0))))</f>
        <v/>
      </c>
      <c r="I1929" s="1154" t="str">
        <f>IF($I1789="","",IF(INDEX(F_ProductBM!I:I,MATCH($P1929,F_ProductBM!$Q:$Q,0))="","",INDEX(F_ProductBM!I:I,MATCH($P1929,F_ProductBM!$Q:$Q,0))))</f>
        <v/>
      </c>
      <c r="J1929" s="1160" t="str">
        <f>IF($I1789="","",IF(INDEX(F_ProductBM!J:J,MATCH($P1929,F_ProductBM!$Q:$Q,0))="","",INDEX(F_ProductBM!J:J,MATCH($P1929,F_ProductBM!$Q:$Q,0))))</f>
        <v/>
      </c>
      <c r="K1929" s="740" t="str">
        <f>IF($I1789="","",IF(INDEX(F_ProductBM!K:K,MATCH($P1929,F_ProductBM!$Q:$Q,0))="","",INDEX(F_ProductBM!K:K,MATCH($P1929,F_ProductBM!$Q:$Q,0))))</f>
        <v/>
      </c>
      <c r="L1929" s="740" t="str">
        <f>IF($I1789="","",IF(INDEX(F_ProductBM!L:L,MATCH($P1929,F_ProductBM!$Q:$Q,0))="","",INDEX(F_ProductBM!L:L,MATCH($P1929,F_ProductBM!$Q:$Q,0))))</f>
        <v/>
      </c>
      <c r="M1929" s="740" t="str">
        <f>IF($I1789="","",IF(INDEX(F_ProductBM!M:M,MATCH($P1929,F_ProductBM!$Q:$Q,0))="","",INDEX(F_ProductBM!M:M,MATCH($P1929,F_ProductBM!$Q:$Q,0))))</f>
        <v/>
      </c>
      <c r="N1929" s="1457" t="str">
        <f>IF($I1789="","",IF(INDEX(F_ProductBM!N:N,MATCH($P1929,F_ProductBM!$Q:$Q,0))="","",INDEX(F_ProductBM!N:N,MATCH($P1929,F_ProductBM!$Q:$Q,0))))</f>
        <v/>
      </c>
      <c r="O1929" s="19"/>
      <c r="P1929" s="298" t="str">
        <f>EUconst_CNTR_WGProducedEF &amp; I1789</f>
        <v>WasteGasProdEF_</v>
      </c>
      <c r="Q1929" s="343"/>
      <c r="R1929" s="343"/>
      <c r="S1929" s="343"/>
      <c r="T1929" s="7"/>
      <c r="U1929" s="349"/>
      <c r="V1929" s="349"/>
    </row>
    <row r="1930" spans="1:22" s="534" customFormat="1" ht="12.75" customHeight="1" x14ac:dyDescent="0.25">
      <c r="A1930" s="343"/>
      <c r="B1930" s="15"/>
      <c r="C1930" s="15"/>
      <c r="D1930" s="1454"/>
      <c r="E1930" s="2611" t="str">
        <f>Translations!$B$623</f>
        <v>Förbrukad restgas</v>
      </c>
      <c r="F1930" s="2484"/>
      <c r="G1930" s="365" t="str">
        <f>EUconst_TJpa</f>
        <v>TJ / år</v>
      </c>
      <c r="H1930" s="739" t="str">
        <f>IF($I1789="","",IF(INDEX(F_ProductBM!H:H,MATCH($P1930,F_ProductBM!$Q:$Q,0))="","",INDEX(F_ProductBM!H:H,MATCH($P1930,F_ProductBM!$Q:$Q,0))))</f>
        <v/>
      </c>
      <c r="I1930" s="1153" t="str">
        <f>IF($I1789="","",IF(INDEX(F_ProductBM!I:I,MATCH($P1930,F_ProductBM!$Q:$Q,0))="","",INDEX(F_ProductBM!I:I,MATCH($P1930,F_ProductBM!$Q:$Q,0))))</f>
        <v/>
      </c>
      <c r="J1930" s="1159" t="str">
        <f>IF($I1789="","",IF(INDEX(F_ProductBM!J:J,MATCH($P1930,F_ProductBM!$Q:$Q,0))="","",INDEX(F_ProductBM!J:J,MATCH($P1930,F_ProductBM!$Q:$Q,0))))</f>
        <v/>
      </c>
      <c r="K1930" s="739" t="str">
        <f>IF($I1789="","",IF(INDEX(F_ProductBM!K:K,MATCH($P1930,F_ProductBM!$Q:$Q,0))="","",INDEX(F_ProductBM!K:K,MATCH($P1930,F_ProductBM!$Q:$Q,0))))</f>
        <v/>
      </c>
      <c r="L1930" s="739" t="str">
        <f>IF($I1789="","",IF(INDEX(F_ProductBM!L:L,MATCH($P1930,F_ProductBM!$Q:$Q,0))="","",INDEX(F_ProductBM!L:L,MATCH($P1930,F_ProductBM!$Q:$Q,0))))</f>
        <v/>
      </c>
      <c r="M1930" s="739" t="str">
        <f>IF($I1789="","",IF(INDEX(F_ProductBM!M:M,MATCH($P1930,F_ProductBM!$Q:$Q,0))="","",INDEX(F_ProductBM!M:M,MATCH($P1930,F_ProductBM!$Q:$Q,0))))</f>
        <v/>
      </c>
      <c r="N1930" s="1456" t="str">
        <f>IF($I1789="","",IF(INDEX(F_ProductBM!N:N,MATCH($P1930,F_ProductBM!$Q:$Q,0))="","",INDEX(F_ProductBM!N:N,MATCH($P1930,F_ProductBM!$Q:$Q,0))))</f>
        <v/>
      </c>
      <c r="O1930" s="19"/>
      <c r="P1930" s="298" t="str">
        <f>EUconst_CNTR_WGConsumed &amp; I1789</f>
        <v>WasteGasCons_</v>
      </c>
      <c r="Q1930" s="343"/>
      <c r="R1930" s="343"/>
      <c r="S1930" s="343"/>
      <c r="T1930" s="7"/>
      <c r="U1930" s="349"/>
      <c r="V1930" s="349"/>
    </row>
    <row r="1931" spans="1:22" s="534" customFormat="1" ht="12.75" customHeight="1" x14ac:dyDescent="0.25">
      <c r="A1931" s="343"/>
      <c r="B1931" s="15"/>
      <c r="C1931" s="15"/>
      <c r="D1931" s="1454"/>
      <c r="E1931" s="2612" t="str">
        <f>Translations!$B$624</f>
        <v>Särskild emissionsfaktor (förbrukad restgas)</v>
      </c>
      <c r="F1931" s="2487"/>
      <c r="G1931" s="384" t="str">
        <f>EUconst_tCO2pTJ</f>
        <v>t CO2 / TJ</v>
      </c>
      <c r="H1931" s="740" t="str">
        <f>IF($I1789="","",IF(INDEX(F_ProductBM!H:H,MATCH($P1931,F_ProductBM!$Q:$Q,0))="","",INDEX(F_ProductBM!H:H,MATCH($P1931,F_ProductBM!$Q:$Q,0))))</f>
        <v/>
      </c>
      <c r="I1931" s="1154" t="str">
        <f>IF($I1789="","",IF(INDEX(F_ProductBM!I:I,MATCH($P1931,F_ProductBM!$Q:$Q,0))="","",INDEX(F_ProductBM!I:I,MATCH($P1931,F_ProductBM!$Q:$Q,0))))</f>
        <v/>
      </c>
      <c r="J1931" s="1160" t="str">
        <f>IF($I1789="","",IF(INDEX(F_ProductBM!J:J,MATCH($P1931,F_ProductBM!$Q:$Q,0))="","",INDEX(F_ProductBM!J:J,MATCH($P1931,F_ProductBM!$Q:$Q,0))))</f>
        <v/>
      </c>
      <c r="K1931" s="740" t="str">
        <f>IF($I1789="","",IF(INDEX(F_ProductBM!K:K,MATCH($P1931,F_ProductBM!$Q:$Q,0))="","",INDEX(F_ProductBM!K:K,MATCH($P1931,F_ProductBM!$Q:$Q,0))))</f>
        <v/>
      </c>
      <c r="L1931" s="740" t="str">
        <f>IF($I1789="","",IF(INDEX(F_ProductBM!L:L,MATCH($P1931,F_ProductBM!$Q:$Q,0))="","",INDEX(F_ProductBM!L:L,MATCH($P1931,F_ProductBM!$Q:$Q,0))))</f>
        <v/>
      </c>
      <c r="M1931" s="740" t="str">
        <f>IF($I1789="","",IF(INDEX(F_ProductBM!M:M,MATCH($P1931,F_ProductBM!$Q:$Q,0))="","",INDEX(F_ProductBM!M:M,MATCH($P1931,F_ProductBM!$Q:$Q,0))))</f>
        <v/>
      </c>
      <c r="N1931" s="1457" t="str">
        <f>IF($I1789="","",IF(INDEX(F_ProductBM!N:N,MATCH($P1931,F_ProductBM!$Q:$Q,0))="","",INDEX(F_ProductBM!N:N,MATCH($P1931,F_ProductBM!$Q:$Q,0))))</f>
        <v/>
      </c>
      <c r="O1931" s="19"/>
      <c r="P1931" s="298" t="str">
        <f>EUconst_CNTR_WGConsumedEF &amp; I1789</f>
        <v>WasteGasConsEF_</v>
      </c>
      <c r="Q1931" s="343"/>
      <c r="R1931" s="343"/>
      <c r="S1931" s="343"/>
      <c r="T1931" s="7"/>
      <c r="U1931" s="349"/>
      <c r="V1931" s="349"/>
    </row>
    <row r="1932" spans="1:22" s="534" customFormat="1" ht="12.75" customHeight="1" x14ac:dyDescent="0.25">
      <c r="A1932" s="343"/>
      <c r="B1932" s="15"/>
      <c r="C1932" s="15"/>
      <c r="D1932" s="1454"/>
      <c r="E1932" s="2611" t="str">
        <f>Translations!$B$630</f>
        <v>Facklad restgas</v>
      </c>
      <c r="F1932" s="2484"/>
      <c r="G1932" s="365" t="str">
        <f>EUconst_TJpa</f>
        <v>TJ / år</v>
      </c>
      <c r="H1932" s="739" t="str">
        <f>IF($I1789="","",IF(INDEX(F_ProductBM!H:H,MATCH($P1932,F_ProductBM!$Q:$Q,0))="","",INDEX(F_ProductBM!H:H,MATCH($P1932,F_ProductBM!$Q:$Q,0))))</f>
        <v/>
      </c>
      <c r="I1932" s="1153" t="str">
        <f>IF($I1789="","",IF(INDEX(F_ProductBM!I:I,MATCH($P1932,F_ProductBM!$Q:$Q,0))="","",INDEX(F_ProductBM!I:I,MATCH($P1932,F_ProductBM!$Q:$Q,0))))</f>
        <v/>
      </c>
      <c r="J1932" s="1159" t="str">
        <f>IF($I1789="","",IF(INDEX(F_ProductBM!J:J,MATCH($P1932,F_ProductBM!$Q:$Q,0))="","",INDEX(F_ProductBM!J:J,MATCH($P1932,F_ProductBM!$Q:$Q,0))))</f>
        <v/>
      </c>
      <c r="K1932" s="739" t="str">
        <f>IF($I1789="","",IF(INDEX(F_ProductBM!K:K,MATCH($P1932,F_ProductBM!$Q:$Q,0))="","",INDEX(F_ProductBM!K:K,MATCH($P1932,F_ProductBM!$Q:$Q,0))))</f>
        <v/>
      </c>
      <c r="L1932" s="739" t="str">
        <f>IF($I1789="","",IF(INDEX(F_ProductBM!L:L,MATCH($P1932,F_ProductBM!$Q:$Q,0))="","",INDEX(F_ProductBM!L:L,MATCH($P1932,F_ProductBM!$Q:$Q,0))))</f>
        <v/>
      </c>
      <c r="M1932" s="739" t="str">
        <f>IF($I1789="","",IF(INDEX(F_ProductBM!M:M,MATCH($P1932,F_ProductBM!$Q:$Q,0))="","",INDEX(F_ProductBM!M:M,MATCH($P1932,F_ProductBM!$Q:$Q,0))))</f>
        <v/>
      </c>
      <c r="N1932" s="1456" t="str">
        <f>IF($I1789="","",IF(INDEX(F_ProductBM!N:N,MATCH($P1932,F_ProductBM!$Q:$Q,0))="","",INDEX(F_ProductBM!N:N,MATCH($P1932,F_ProductBM!$Q:$Q,0))))</f>
        <v/>
      </c>
      <c r="O1932" s="19"/>
      <c r="P1932" s="298" t="str">
        <f>EUconst_CNTR_WGFlared &amp; I1789</f>
        <v>WasteGasFlare_</v>
      </c>
      <c r="Q1932" s="343"/>
      <c r="R1932" s="343"/>
      <c r="S1932" s="343"/>
      <c r="T1932" s="7"/>
      <c r="U1932" s="349"/>
      <c r="V1932" s="349"/>
    </row>
    <row r="1933" spans="1:22" s="534" customFormat="1" ht="12.75" customHeight="1" x14ac:dyDescent="0.25">
      <c r="A1933" s="343"/>
      <c r="B1933" s="15"/>
      <c r="C1933" s="15"/>
      <c r="D1933" s="1454"/>
      <c r="E1933" s="2612" t="str">
        <f>Translations!$B$631</f>
        <v>Särskild emissionsfaktor (facklad restgas)</v>
      </c>
      <c r="F1933" s="2487"/>
      <c r="G1933" s="384" t="str">
        <f>EUconst_tCO2pTJ</f>
        <v>t CO2 / TJ</v>
      </c>
      <c r="H1933" s="740" t="str">
        <f>IF($I1789="","",IF(INDEX(F_ProductBM!H:H,MATCH($P1933,F_ProductBM!$Q:$Q,0))="","",INDEX(F_ProductBM!H:H,MATCH($P1933,F_ProductBM!$Q:$Q,0))))</f>
        <v/>
      </c>
      <c r="I1933" s="1154" t="str">
        <f>IF($I1789="","",IF(INDEX(F_ProductBM!I:I,MATCH($P1933,F_ProductBM!$Q:$Q,0))="","",INDEX(F_ProductBM!I:I,MATCH($P1933,F_ProductBM!$Q:$Q,0))))</f>
        <v/>
      </c>
      <c r="J1933" s="1160" t="str">
        <f>IF($I1789="","",IF(INDEX(F_ProductBM!J:J,MATCH($P1933,F_ProductBM!$Q:$Q,0))="","",INDEX(F_ProductBM!J:J,MATCH($P1933,F_ProductBM!$Q:$Q,0))))</f>
        <v/>
      </c>
      <c r="K1933" s="740" t="str">
        <f>IF($I1789="","",IF(INDEX(F_ProductBM!K:K,MATCH($P1933,F_ProductBM!$Q:$Q,0))="","",INDEX(F_ProductBM!K:K,MATCH($P1933,F_ProductBM!$Q:$Q,0))))</f>
        <v/>
      </c>
      <c r="L1933" s="740" t="str">
        <f>IF($I1789="","",IF(INDEX(F_ProductBM!L:L,MATCH($P1933,F_ProductBM!$Q:$Q,0))="","",INDEX(F_ProductBM!L:L,MATCH($P1933,F_ProductBM!$Q:$Q,0))))</f>
        <v/>
      </c>
      <c r="M1933" s="740" t="str">
        <f>IF($I1789="","",IF(INDEX(F_ProductBM!M:M,MATCH($P1933,F_ProductBM!$Q:$Q,0))="","",INDEX(F_ProductBM!M:M,MATCH($P1933,F_ProductBM!$Q:$Q,0))))</f>
        <v/>
      </c>
      <c r="N1933" s="1457" t="str">
        <f>IF($I1789="","",IF(INDEX(F_ProductBM!N:N,MATCH($P1933,F_ProductBM!$Q:$Q,0))="","",INDEX(F_ProductBM!N:N,MATCH($P1933,F_ProductBM!$Q:$Q,0))))</f>
        <v/>
      </c>
      <c r="O1933" s="19"/>
      <c r="P1933" s="298" t="str">
        <f>EUconst_CNTR_WGFlaredEF &amp; I1789</f>
        <v>WasteGasFlareEF_</v>
      </c>
      <c r="Q1933" s="343"/>
      <c r="R1933" s="343"/>
      <c r="S1933" s="343"/>
      <c r="T1933" s="7"/>
      <c r="U1933" s="349"/>
      <c r="V1933" s="349"/>
    </row>
    <row r="1934" spans="1:22" s="534" customFormat="1" ht="12.75" customHeight="1" x14ac:dyDescent="0.25">
      <c r="A1934" s="343"/>
      <c r="B1934" s="15"/>
      <c r="C1934" s="15"/>
      <c r="D1934" s="1454"/>
      <c r="E1934" s="2611" t="str">
        <f>Translations!$B$636</f>
        <v>Importerad restgas</v>
      </c>
      <c r="F1934" s="2484"/>
      <c r="G1934" s="365" t="str">
        <f>EUconst_TJpa</f>
        <v>TJ / år</v>
      </c>
      <c r="H1934" s="739" t="str">
        <f>IF($I1789="","",IF(INDEX(F_ProductBM!H:H,MATCH($P1934,F_ProductBM!$Q:$Q,0))="","",INDEX(F_ProductBM!H:H,MATCH($P1934,F_ProductBM!$Q:$Q,0))))</f>
        <v/>
      </c>
      <c r="I1934" s="1153" t="str">
        <f>IF($I1789="","",IF(INDEX(F_ProductBM!I:I,MATCH($P1934,F_ProductBM!$Q:$Q,0))="","",INDEX(F_ProductBM!I:I,MATCH($P1934,F_ProductBM!$Q:$Q,0))))</f>
        <v/>
      </c>
      <c r="J1934" s="1159" t="str">
        <f>IF($I1789="","",IF(INDEX(F_ProductBM!J:J,MATCH($P1934,F_ProductBM!$Q:$Q,0))="","",INDEX(F_ProductBM!J:J,MATCH($P1934,F_ProductBM!$Q:$Q,0))))</f>
        <v/>
      </c>
      <c r="K1934" s="739" t="str">
        <f>IF($I1789="","",IF(INDEX(F_ProductBM!K:K,MATCH($P1934,F_ProductBM!$Q:$Q,0))="","",INDEX(F_ProductBM!K:K,MATCH($P1934,F_ProductBM!$Q:$Q,0))))</f>
        <v/>
      </c>
      <c r="L1934" s="739" t="str">
        <f>IF($I1789="","",IF(INDEX(F_ProductBM!L:L,MATCH($P1934,F_ProductBM!$Q:$Q,0))="","",INDEX(F_ProductBM!L:L,MATCH($P1934,F_ProductBM!$Q:$Q,0))))</f>
        <v/>
      </c>
      <c r="M1934" s="739" t="str">
        <f>IF($I1789="","",IF(INDEX(F_ProductBM!M:M,MATCH($P1934,F_ProductBM!$Q:$Q,0))="","",INDEX(F_ProductBM!M:M,MATCH($P1934,F_ProductBM!$Q:$Q,0))))</f>
        <v/>
      </c>
      <c r="N1934" s="1456" t="str">
        <f>IF($I1789="","",IF(INDEX(F_ProductBM!N:N,MATCH($P1934,F_ProductBM!$Q:$Q,0))="","",INDEX(F_ProductBM!N:N,MATCH($P1934,F_ProductBM!$Q:$Q,0))))</f>
        <v/>
      </c>
      <c r="O1934" s="19"/>
      <c r="P1934" s="298" t="str">
        <f>EUconst_CNTR_WGImport &amp; I1789</f>
        <v>WasteGasIm_</v>
      </c>
      <c r="Q1934" s="343"/>
      <c r="R1934" s="343"/>
      <c r="S1934" s="343"/>
      <c r="T1934" s="7"/>
      <c r="U1934" s="349"/>
      <c r="V1934" s="349"/>
    </row>
    <row r="1935" spans="1:22" s="534" customFormat="1" ht="12.75" customHeight="1" x14ac:dyDescent="0.25">
      <c r="A1935" s="343"/>
      <c r="B1935" s="15"/>
      <c r="C1935" s="15"/>
      <c r="D1935" s="1454"/>
      <c r="E1935" s="1776" t="str">
        <f>Translations!$B$637</f>
        <v>Särskild emissionsfaktor (importerad restgas)</v>
      </c>
      <c r="F1935" s="1776"/>
      <c r="G1935" s="624" t="str">
        <f>EUconst_tCO2pTJ</f>
        <v>t CO2 / TJ</v>
      </c>
      <c r="H1935" s="740" t="str">
        <f>IF($I1789="","",IF(INDEX(F_ProductBM!H:H,MATCH($P1935,F_ProductBM!$Q:$Q,0))="","",INDEX(F_ProductBM!H:H,MATCH($P1935,F_ProductBM!$Q:$Q,0))))</f>
        <v/>
      </c>
      <c r="I1935" s="1154" t="str">
        <f>IF($I1789="","",IF(INDEX(F_ProductBM!I:I,MATCH($P1935,F_ProductBM!$Q:$Q,0))="","",INDEX(F_ProductBM!I:I,MATCH($P1935,F_ProductBM!$Q:$Q,0))))</f>
        <v/>
      </c>
      <c r="J1935" s="1160" t="str">
        <f>IF($I1789="","",IF(INDEX(F_ProductBM!J:J,MATCH($P1935,F_ProductBM!$Q:$Q,0))="","",INDEX(F_ProductBM!J:J,MATCH($P1935,F_ProductBM!$Q:$Q,0))))</f>
        <v/>
      </c>
      <c r="K1935" s="740" t="str">
        <f>IF($I1789="","",IF(INDEX(F_ProductBM!K:K,MATCH($P1935,F_ProductBM!$Q:$Q,0))="","",INDEX(F_ProductBM!K:K,MATCH($P1935,F_ProductBM!$Q:$Q,0))))</f>
        <v/>
      </c>
      <c r="L1935" s="740" t="str">
        <f>IF($I1789="","",IF(INDEX(F_ProductBM!L:L,MATCH($P1935,F_ProductBM!$Q:$Q,0))="","",INDEX(F_ProductBM!L:L,MATCH($P1935,F_ProductBM!$Q:$Q,0))))</f>
        <v/>
      </c>
      <c r="M1935" s="740" t="str">
        <f>IF($I1789="","",IF(INDEX(F_ProductBM!M:M,MATCH($P1935,F_ProductBM!$Q:$Q,0))="","",INDEX(F_ProductBM!M:M,MATCH($P1935,F_ProductBM!$Q:$Q,0))))</f>
        <v/>
      </c>
      <c r="N1935" s="1457" t="str">
        <f>IF($I1789="","",IF(INDEX(F_ProductBM!N:N,MATCH($P1935,F_ProductBM!$Q:$Q,0))="","",INDEX(F_ProductBM!N:N,MATCH($P1935,F_ProductBM!$Q:$Q,0))))</f>
        <v/>
      </c>
      <c r="O1935" s="19"/>
      <c r="P1935" s="298" t="str">
        <f>EUconst_CNTR_WGImportEF &amp; I1789</f>
        <v>WasteGasImEF_</v>
      </c>
      <c r="Q1935" s="343"/>
      <c r="R1935" s="343"/>
      <c r="S1935" s="343"/>
      <c r="T1935" s="7"/>
      <c r="U1935" s="349"/>
      <c r="V1935" s="349"/>
    </row>
    <row r="1936" spans="1:22" s="534" customFormat="1" ht="12.75" customHeight="1" x14ac:dyDescent="0.25">
      <c r="A1936" s="343"/>
      <c r="B1936" s="15"/>
      <c r="C1936" s="15"/>
      <c r="D1936" s="1454"/>
      <c r="E1936" s="2611" t="str">
        <f>Translations!$B$641</f>
        <v>Exporterad restgas</v>
      </c>
      <c r="F1936" s="2484"/>
      <c r="G1936" s="365" t="str">
        <f>EUconst_TJpa</f>
        <v>TJ / år</v>
      </c>
      <c r="H1936" s="739" t="str">
        <f>IF($I1789="","",IF(INDEX(F_ProductBM!H:H,MATCH($P1936,F_ProductBM!$Q:$Q,0))="","",INDEX(F_ProductBM!H:H,MATCH($P1936,F_ProductBM!$Q:$Q,0))))</f>
        <v/>
      </c>
      <c r="I1936" s="1153" t="str">
        <f>IF($I1789="","",IF(INDEX(F_ProductBM!I:I,MATCH($P1936,F_ProductBM!$Q:$Q,0))="","",INDEX(F_ProductBM!I:I,MATCH($P1936,F_ProductBM!$Q:$Q,0))))</f>
        <v/>
      </c>
      <c r="J1936" s="1159" t="str">
        <f>IF($I1789="","",IF(INDEX(F_ProductBM!J:J,MATCH($P1936,F_ProductBM!$Q:$Q,0))="","",INDEX(F_ProductBM!J:J,MATCH($P1936,F_ProductBM!$Q:$Q,0))))</f>
        <v/>
      </c>
      <c r="K1936" s="739" t="str">
        <f>IF($I1789="","",IF(INDEX(F_ProductBM!K:K,MATCH($P1936,F_ProductBM!$Q:$Q,0))="","",INDEX(F_ProductBM!K:K,MATCH($P1936,F_ProductBM!$Q:$Q,0))))</f>
        <v/>
      </c>
      <c r="L1936" s="739" t="str">
        <f>IF($I1789="","",IF(INDEX(F_ProductBM!L:L,MATCH($P1936,F_ProductBM!$Q:$Q,0))="","",INDEX(F_ProductBM!L:L,MATCH($P1936,F_ProductBM!$Q:$Q,0))))</f>
        <v/>
      </c>
      <c r="M1936" s="739" t="str">
        <f>IF($I1789="","",IF(INDEX(F_ProductBM!M:M,MATCH($P1936,F_ProductBM!$Q:$Q,0))="","",INDEX(F_ProductBM!M:M,MATCH($P1936,F_ProductBM!$Q:$Q,0))))</f>
        <v/>
      </c>
      <c r="N1936" s="1456" t="str">
        <f>IF($I1789="","",IF(INDEX(F_ProductBM!N:N,MATCH($P1936,F_ProductBM!$Q:$Q,0))="","",INDEX(F_ProductBM!N:N,MATCH($P1936,F_ProductBM!$Q:$Q,0))))</f>
        <v/>
      </c>
      <c r="O1936" s="19"/>
      <c r="P1936" s="298" t="str">
        <f>EUconst_CNTR_WGExport &amp; I1789</f>
        <v>WasteGasEx_</v>
      </c>
      <c r="Q1936" s="343"/>
      <c r="R1936" s="343"/>
      <c r="S1936" s="343"/>
      <c r="T1936" s="7"/>
      <c r="U1936" s="349"/>
      <c r="V1936" s="349"/>
    </row>
    <row r="1937" spans="1:22" s="534" customFormat="1" ht="12.75" customHeight="1" x14ac:dyDescent="0.25">
      <c r="A1937" s="343"/>
      <c r="B1937" s="15"/>
      <c r="C1937" s="15"/>
      <c r="D1937" s="1454"/>
      <c r="E1937" s="2612" t="str">
        <f>Translations!$B$642</f>
        <v>Särskild emissionsfaktor (exporterad restgas)</v>
      </c>
      <c r="F1937" s="2487"/>
      <c r="G1937" s="624" t="str">
        <f>EUconst_tCO2pTJ</f>
        <v>t CO2 / TJ</v>
      </c>
      <c r="H1937" s="740" t="str">
        <f>IF($I1789="","",IF(INDEX(F_ProductBM!H:H,MATCH($P1937,F_ProductBM!$Q:$Q,0))="","",INDEX(F_ProductBM!H:H,MATCH($P1937,F_ProductBM!$Q:$Q,0))))</f>
        <v/>
      </c>
      <c r="I1937" s="1154" t="str">
        <f>IF($I1789="","",IF(INDEX(F_ProductBM!I:I,MATCH($P1937,F_ProductBM!$Q:$Q,0))="","",INDEX(F_ProductBM!I:I,MATCH($P1937,F_ProductBM!$Q:$Q,0))))</f>
        <v/>
      </c>
      <c r="J1937" s="1160" t="str">
        <f>IF($I1789="","",IF(INDEX(F_ProductBM!J:J,MATCH($P1937,F_ProductBM!$Q:$Q,0))="","",INDEX(F_ProductBM!J:J,MATCH($P1937,F_ProductBM!$Q:$Q,0))))</f>
        <v/>
      </c>
      <c r="K1937" s="740" t="str">
        <f>IF($I1789="","",IF(INDEX(F_ProductBM!K:K,MATCH($P1937,F_ProductBM!$Q:$Q,0))="","",INDEX(F_ProductBM!K:K,MATCH($P1937,F_ProductBM!$Q:$Q,0))))</f>
        <v/>
      </c>
      <c r="L1937" s="740" t="str">
        <f>IF($I1789="","",IF(INDEX(F_ProductBM!L:L,MATCH($P1937,F_ProductBM!$Q:$Q,0))="","",INDEX(F_ProductBM!L:L,MATCH($P1937,F_ProductBM!$Q:$Q,0))))</f>
        <v/>
      </c>
      <c r="M1937" s="740" t="str">
        <f>IF($I1789="","",IF(INDEX(F_ProductBM!M:M,MATCH($P1937,F_ProductBM!$Q:$Q,0))="","",INDEX(F_ProductBM!M:M,MATCH($P1937,F_ProductBM!$Q:$Q,0))))</f>
        <v/>
      </c>
      <c r="N1937" s="1457" t="str">
        <f>IF($I1789="","",IF(INDEX(F_ProductBM!N:N,MATCH($P1937,F_ProductBM!$Q:$Q,0))="","",INDEX(F_ProductBM!N:N,MATCH($P1937,F_ProductBM!$Q:$Q,0))))</f>
        <v/>
      </c>
      <c r="O1937" s="19"/>
      <c r="P1937" s="298" t="str">
        <f>EUconst_CNTR_WGExportEF &amp; I1789</f>
        <v>WasteGasExEF_</v>
      </c>
      <c r="Q1937" s="343"/>
      <c r="R1937" s="343"/>
      <c r="S1937" s="343"/>
      <c r="T1937" s="7"/>
      <c r="U1937" s="349"/>
      <c r="V1937" s="349"/>
    </row>
    <row r="1938" spans="1:22" s="534" customFormat="1" ht="5.15" customHeight="1" x14ac:dyDescent="0.25">
      <c r="A1938" s="343"/>
      <c r="B1938" s="15"/>
      <c r="C1938" s="15"/>
      <c r="D1938" s="1454"/>
      <c r="E1938" s="899"/>
      <c r="F1938" s="899"/>
      <c r="G1938" s="416"/>
      <c r="H1938" s="741"/>
      <c r="I1938" s="741"/>
      <c r="J1938" s="741"/>
      <c r="K1938" s="741"/>
      <c r="L1938" s="741"/>
      <c r="M1938" s="741"/>
      <c r="N1938" s="1458"/>
      <c r="O1938" s="19"/>
      <c r="P1938" s="7"/>
      <c r="Q1938" s="343"/>
      <c r="R1938" s="343"/>
      <c r="S1938" s="343"/>
      <c r="T1938" s="7"/>
      <c r="U1938" s="349"/>
      <c r="V1938" s="349"/>
    </row>
    <row r="1939" spans="1:22" s="534" customFormat="1" ht="12.75" customHeight="1" x14ac:dyDescent="0.25">
      <c r="A1939" s="343"/>
      <c r="B1939" s="15"/>
      <c r="C1939" s="15"/>
      <c r="D1939" s="1454"/>
      <c r="E1939" s="2613" t="str">
        <f>Translations!$B$530</f>
        <v>Relevant elförbrukning</v>
      </c>
      <c r="F1939" s="1997"/>
      <c r="G1939" s="364" t="str">
        <f>EUconst_MWhpa</f>
        <v>MWh / år</v>
      </c>
      <c r="H1939" s="742" t="str">
        <f>IF($I1789="","",IF(INDEX(F_ProductBM!H:H,MATCH($P1939,F_ProductBM!$R:$R,0))="","",INDEX(F_ProductBM!H:H,MATCH($P1939,F_ProductBM!$R:$R,0))))</f>
        <v/>
      </c>
      <c r="I1939" s="1021" t="str">
        <f>IF($I1789="","",IF(INDEX(F_ProductBM!I:I,MATCH($P1939,F_ProductBM!$R:$R,0))="","",INDEX(F_ProductBM!I:I,MATCH($P1939,F_ProductBM!$R:$R,0))))</f>
        <v/>
      </c>
      <c r="J1939" s="1158" t="str">
        <f>IF($I1789="","",IF(INDEX(F_ProductBM!J:J,MATCH($P1939,F_ProductBM!$R:$R,0))="","",INDEX(F_ProductBM!J:J,MATCH($P1939,F_ProductBM!$R:$R,0))))</f>
        <v/>
      </c>
      <c r="K1939" s="742" t="str">
        <f>IF($I1789="","",IF(INDEX(F_ProductBM!K:K,MATCH($P1939,F_ProductBM!$R:$R,0))="","",INDEX(F_ProductBM!K:K,MATCH($P1939,F_ProductBM!$R:$R,0))))</f>
        <v/>
      </c>
      <c r="L1939" s="742" t="str">
        <f>IF($I1789="","",IF(INDEX(F_ProductBM!L:L,MATCH($P1939,F_ProductBM!$R:$R,0))="","",INDEX(F_ProductBM!L:L,MATCH($P1939,F_ProductBM!$R:$R,0))))</f>
        <v/>
      </c>
      <c r="M1939" s="742" t="str">
        <f>IF($I1789="","",IF(INDEX(F_ProductBM!M:M,MATCH($P1939,F_ProductBM!$R:$R,0))="","",INDEX(F_ProductBM!M:M,MATCH($P1939,F_ProductBM!$R:$R,0))))</f>
        <v/>
      </c>
      <c r="N1939" s="1459" t="str">
        <f>IF($I1789="","",IF(INDEX(F_ProductBM!N:N,MATCH($P1939,F_ProductBM!$R:$R,0))="","",INDEX(F_ProductBM!N:N,MATCH($P1939,F_ProductBM!$R:$R,0))))</f>
        <v/>
      </c>
      <c r="O1939" s="19"/>
      <c r="P1939" s="165" t="str">
        <f>EUconst_CNTR_HAL&amp;EUconst_CNTR_ELEXCH &amp; I1789</f>
        <v>HAL_ELEXCH_</v>
      </c>
      <c r="Q1939" s="343"/>
      <c r="R1939" s="343"/>
      <c r="S1939" s="343"/>
      <c r="T1939" s="7"/>
      <c r="U1939" s="349"/>
      <c r="V1939" s="349"/>
    </row>
    <row r="1940" spans="1:22" s="534" customFormat="1" ht="12.75" customHeight="1" x14ac:dyDescent="0.25">
      <c r="A1940" s="343"/>
      <c r="B1940" s="15"/>
      <c r="C1940" s="15"/>
      <c r="D1940" s="1454"/>
      <c r="E1940" s="2613" t="str">
        <f>Translations!$B$645</f>
        <v>Producerad el</v>
      </c>
      <c r="F1940" s="1997"/>
      <c r="G1940" s="364" t="str">
        <f>EUconst_MWhpa</f>
        <v>MWh / år</v>
      </c>
      <c r="H1940" s="742" t="str">
        <f>IF($I1789="","",IF(INDEX(F_ProductBM!H:H,MATCH($P1940,F_ProductBM!$Q:$Q,0))="","",INDEX(F_ProductBM!H:H,MATCH($P1940,F_ProductBM!$Q:$Q,0))))</f>
        <v/>
      </c>
      <c r="I1940" s="1021" t="str">
        <f>IF($I1789="","",IF(INDEX(F_ProductBM!I:I,MATCH($P1940,F_ProductBM!$Q:$Q,0))="","",INDEX(F_ProductBM!I:I,MATCH($P1940,F_ProductBM!$Q:$Q,0))))</f>
        <v/>
      </c>
      <c r="J1940" s="1158" t="str">
        <f>IF($I1789="","",IF(INDEX(F_ProductBM!J:J,MATCH($P1940,F_ProductBM!$Q:$Q,0))="","",INDEX(F_ProductBM!J:J,MATCH($P1940,F_ProductBM!$Q:$Q,0))))</f>
        <v/>
      </c>
      <c r="K1940" s="742" t="str">
        <f>IF($I1789="","",IF(INDEX(F_ProductBM!K:K,MATCH($P1940,F_ProductBM!$Q:$Q,0))="","",INDEX(F_ProductBM!K:K,MATCH($P1940,F_ProductBM!$Q:$Q,0))))</f>
        <v/>
      </c>
      <c r="L1940" s="742" t="str">
        <f>IF($I1789="","",IF(INDEX(F_ProductBM!L:L,MATCH($P1940,F_ProductBM!$Q:$Q,0))="","",INDEX(F_ProductBM!L:L,MATCH($P1940,F_ProductBM!$Q:$Q,0))))</f>
        <v/>
      </c>
      <c r="M1940" s="742" t="str">
        <f>IF($I1789="","",IF(INDEX(F_ProductBM!M:M,MATCH($P1940,F_ProductBM!$Q:$Q,0))="","",INDEX(F_ProductBM!M:M,MATCH($P1940,F_ProductBM!$Q:$Q,0))))</f>
        <v/>
      </c>
      <c r="N1940" s="1459" t="str">
        <f>IF($I1789="","",IF(INDEX(F_ProductBM!N:N,MATCH($P1940,F_ProductBM!$Q:$Q,0))="","",INDEX(F_ProductBM!N:N,MATCH($P1940,F_ProductBM!$Q:$Q,0))))</f>
        <v/>
      </c>
      <c r="O1940" s="19"/>
      <c r="P1940" s="298" t="str">
        <f>EUconst_CNTR_ElectricityExported &amp; I1789</f>
        <v>ElecEx_</v>
      </c>
      <c r="Q1940" s="343"/>
      <c r="R1940" s="343"/>
      <c r="S1940" s="343"/>
      <c r="T1940" s="7"/>
      <c r="U1940" s="349"/>
      <c r="V1940" s="349"/>
    </row>
    <row r="1941" spans="1:22" s="534" customFormat="1" ht="5.15" customHeight="1" x14ac:dyDescent="0.25">
      <c r="A1941" s="343"/>
      <c r="B1941" s="15"/>
      <c r="C1941" s="15"/>
      <c r="D1941" s="1454"/>
      <c r="E1941" s="899"/>
      <c r="F1941" s="899"/>
      <c r="G1941" s="416"/>
      <c r="H1941" s="741"/>
      <c r="I1941" s="741"/>
      <c r="J1941" s="741"/>
      <c r="K1941" s="741"/>
      <c r="L1941" s="741"/>
      <c r="M1941" s="741"/>
      <c r="N1941" s="1458"/>
      <c r="O1941" s="19"/>
      <c r="P1941" s="7"/>
      <c r="Q1941" s="343"/>
      <c r="R1941" s="343"/>
      <c r="S1941" s="343"/>
      <c r="T1941" s="7"/>
      <c r="U1941" s="349"/>
      <c r="V1941" s="349"/>
    </row>
    <row r="1942" spans="1:22" s="534" customFormat="1" ht="12.75" customHeight="1" x14ac:dyDescent="0.25">
      <c r="A1942" s="343"/>
      <c r="B1942" s="15"/>
      <c r="C1942" s="15"/>
      <c r="D1942" s="1454"/>
      <c r="E1942" s="2613" t="str">
        <f>Translations!$B$646</f>
        <v>Total producerad massamängd</v>
      </c>
      <c r="F1942" s="1997"/>
      <c r="G1942" s="364" t="str">
        <f>EUconst_Tons</f>
        <v>ton</v>
      </c>
      <c r="H1942" s="742" t="str">
        <f>IF($I1789="","",IF(INDEX(F_ProductBM!H:H,MATCH($P1942,F_ProductBM!$Q:$Q,0))="","",INDEX(F_ProductBM!H:H,MATCH($P1942,F_ProductBM!$Q:$Q,0))))</f>
        <v/>
      </c>
      <c r="I1942" s="1021" t="str">
        <f>IF($I1789="","",IF(INDEX(F_ProductBM!I:I,MATCH($P1942,F_ProductBM!$Q:$Q,0))="","",INDEX(F_ProductBM!I:I,MATCH($P1942,F_ProductBM!$Q:$Q,0))))</f>
        <v/>
      </c>
      <c r="J1942" s="1158" t="str">
        <f>IF($I1789="","",IF(INDEX(F_ProductBM!J:J,MATCH($P1942,F_ProductBM!$Q:$Q,0))="","",INDEX(F_ProductBM!J:J,MATCH($P1942,F_ProductBM!$Q:$Q,0))))</f>
        <v/>
      </c>
      <c r="K1942" s="742" t="str">
        <f>IF($I1789="","",IF(INDEX(F_ProductBM!K:K,MATCH($P1942,F_ProductBM!$Q:$Q,0))="","",INDEX(F_ProductBM!K:K,MATCH($P1942,F_ProductBM!$Q:$Q,0))))</f>
        <v/>
      </c>
      <c r="L1942" s="742" t="str">
        <f>IF($I1789="","",IF(INDEX(F_ProductBM!L:L,MATCH($P1942,F_ProductBM!$Q:$Q,0))="","",INDEX(F_ProductBM!L:L,MATCH($P1942,F_ProductBM!$Q:$Q,0))))</f>
        <v/>
      </c>
      <c r="M1942" s="742" t="str">
        <f>IF($I1789="","",IF(INDEX(F_ProductBM!M:M,MATCH($P1942,F_ProductBM!$Q:$Q,0))="","",INDEX(F_ProductBM!M:M,MATCH($P1942,F_ProductBM!$Q:$Q,0))))</f>
        <v/>
      </c>
      <c r="N1942" s="1459" t="str">
        <f>IF($I1789="","",IF(INDEX(F_ProductBM!N:N,MATCH($P1942,F_ProductBM!$Q:$Q,0))="","",INDEX(F_ProductBM!N:N,MATCH($P1942,F_ProductBM!$Q:$Q,0))))</f>
        <v/>
      </c>
      <c r="O1942" s="19"/>
      <c r="P1942" s="298" t="str">
        <f>EUconst_CNTR_HALPulpTotal &amp; I1789</f>
        <v>HALPulpTotal_</v>
      </c>
      <c r="Q1942" s="343"/>
      <c r="R1942" s="343"/>
      <c r="S1942" s="343"/>
      <c r="T1942" s="7"/>
      <c r="U1942" s="349"/>
      <c r="V1942" s="349"/>
    </row>
    <row r="1943" spans="1:22" s="534" customFormat="1" ht="5.15" customHeight="1" x14ac:dyDescent="0.25">
      <c r="A1943" s="343"/>
      <c r="B1943" s="15"/>
      <c r="C1943" s="15"/>
      <c r="D1943" s="1454"/>
      <c r="E1943" s="899"/>
      <c r="F1943" s="899"/>
      <c r="G1943" s="416"/>
      <c r="H1943" s="741"/>
      <c r="I1943" s="741"/>
      <c r="J1943" s="741"/>
      <c r="K1943" s="741"/>
      <c r="L1943" s="741"/>
      <c r="M1943" s="741"/>
      <c r="N1943" s="1458"/>
      <c r="O1943" s="19"/>
      <c r="P1943" s="7"/>
      <c r="Q1943" s="343"/>
      <c r="R1943" s="343"/>
      <c r="S1943" s="343"/>
      <c r="T1943" s="7"/>
      <c r="U1943" s="349"/>
      <c r="V1943" s="349"/>
    </row>
    <row r="1944" spans="1:22" s="534" customFormat="1" x14ac:dyDescent="0.25">
      <c r="A1944" s="343"/>
      <c r="B1944" s="15"/>
      <c r="C1944" s="15"/>
      <c r="D1944" s="1454"/>
      <c r="E1944" s="2785" t="str">
        <f>Translations!$B$1057</f>
        <v>Mellanimport:</v>
      </c>
      <c r="F1944" s="2497"/>
      <c r="G1944" s="416"/>
      <c r="H1944" s="741"/>
      <c r="I1944" s="741"/>
      <c r="J1944" s="741"/>
      <c r="K1944" s="741"/>
      <c r="L1944" s="741"/>
      <c r="M1944" s="741"/>
      <c r="N1944" s="1458"/>
      <c r="O1944" s="19"/>
      <c r="P1944" s="7"/>
      <c r="Q1944" s="343"/>
      <c r="R1944" s="343"/>
      <c r="S1944" s="343"/>
      <c r="T1944" s="7"/>
      <c r="U1944" s="349"/>
      <c r="V1944" s="349"/>
    </row>
    <row r="1945" spans="1:22" s="534" customFormat="1" x14ac:dyDescent="0.25">
      <c r="A1945" s="343"/>
      <c r="B1945" s="15"/>
      <c r="C1945" s="15"/>
      <c r="D1945" s="1454"/>
      <c r="E1945" s="2617" t="str">
        <f>IF(I1789="","",IF(INDEX(F_ProductBM!E:E,MATCH($P1945,F_ProductBM!$Q:$Q,0))="","",INDEX(F_ProductBM!E:E,MATCH($P1945,F_ProductBM!$Q:$Q,0))))</f>
        <v/>
      </c>
      <c r="F1945" s="1997"/>
      <c r="G1945" s="364" t="str">
        <f>EUconst_Tons</f>
        <v>ton</v>
      </c>
      <c r="H1945" s="742" t="str">
        <f>IF($I1789="","",IF(INDEX(F_ProductBM!H:H,MATCH($P1945,F_ProductBM!$Q:$Q,0))="","",INDEX(F_ProductBM!H:H,MATCH($P1945,F_ProductBM!$Q:$Q,0))))</f>
        <v/>
      </c>
      <c r="I1945" s="1021" t="str">
        <f>IF($I1789="","",IF(INDEX(F_ProductBM!I:I,MATCH($P1945,F_ProductBM!$Q:$Q,0))="","",INDEX(F_ProductBM!I:I,MATCH($P1945,F_ProductBM!$Q:$Q,0))))</f>
        <v/>
      </c>
      <c r="J1945" s="1158" t="str">
        <f>IF($I1789="","",IF(INDEX(F_ProductBM!J:J,MATCH($P1945,F_ProductBM!$Q:$Q,0))="","",INDEX(F_ProductBM!J:J,MATCH($P1945,F_ProductBM!$Q:$Q,0))))</f>
        <v/>
      </c>
      <c r="K1945" s="742" t="str">
        <f>IF($I1789="","",IF(INDEX(F_ProductBM!K:K,MATCH($P1945,F_ProductBM!$Q:$Q,0))="","",INDEX(F_ProductBM!K:K,MATCH($P1945,F_ProductBM!$Q:$Q,0))))</f>
        <v/>
      </c>
      <c r="L1945" s="742" t="str">
        <f>IF($I1789="","",IF(INDEX(F_ProductBM!L:L,MATCH($P1945,F_ProductBM!$Q:$Q,0))="","",INDEX(F_ProductBM!L:L,MATCH($P1945,F_ProductBM!$Q:$Q,0))))</f>
        <v/>
      </c>
      <c r="M1945" s="742" t="str">
        <f>IF($I1789="","",IF(INDEX(F_ProductBM!M:M,MATCH($P1945,F_ProductBM!$Q:$Q,0))="","",INDEX(F_ProductBM!M:M,MATCH($P1945,F_ProductBM!$Q:$Q,0))))</f>
        <v/>
      </c>
      <c r="N1945" s="1459" t="str">
        <f>IF($I1789="","",IF(INDEX(F_ProductBM!N:N,MATCH($P1945,F_ProductBM!$Q:$Q,0))="","",INDEX(F_ProductBM!N:N,MATCH($P1945,F_ProductBM!$Q:$Q,0))))</f>
        <v/>
      </c>
      <c r="O1945" s="19"/>
      <c r="P1945" s="298" t="str">
        <f>EUconst_CNTR_IntermediateImport &amp; R1945 &amp; "_" &amp; I1789</f>
        <v>IntImp_1_</v>
      </c>
      <c r="Q1945" s="343"/>
      <c r="R1945" s="663">
        <v>1</v>
      </c>
      <c r="S1945" s="343"/>
      <c r="T1945" s="7"/>
      <c r="U1945" s="349"/>
      <c r="V1945" s="349"/>
    </row>
    <row r="1946" spans="1:22" s="534" customFormat="1" x14ac:dyDescent="0.25">
      <c r="A1946" s="343"/>
      <c r="B1946" s="15"/>
      <c r="C1946" s="15"/>
      <c r="D1946" s="1454"/>
      <c r="E1946" s="2617" t="str">
        <f>IF(I1789="","",IF(INDEX(F_ProductBM!E:E,MATCH($P1946,F_ProductBM!$Q:$Q,0))="","",INDEX(F_ProductBM!E:E,MATCH($P1946,F_ProductBM!$Q:$Q,0))))</f>
        <v/>
      </c>
      <c r="F1946" s="1997"/>
      <c r="G1946" s="364" t="str">
        <f>EUconst_Tons</f>
        <v>ton</v>
      </c>
      <c r="H1946" s="742" t="str">
        <f>IF($I1789="","",IF(INDEX(F_ProductBM!H:H,MATCH($P1946,F_ProductBM!$Q:$Q,0))="","",INDEX(F_ProductBM!H:H,MATCH($P1946,F_ProductBM!$Q:$Q,0))))</f>
        <v/>
      </c>
      <c r="I1946" s="1021" t="str">
        <f>IF($I1789="","",IF(INDEX(F_ProductBM!I:I,MATCH($P1946,F_ProductBM!$Q:$Q,0))="","",INDEX(F_ProductBM!I:I,MATCH($P1946,F_ProductBM!$Q:$Q,0))))</f>
        <v/>
      </c>
      <c r="J1946" s="1158" t="str">
        <f>IF($I1789="","",IF(INDEX(F_ProductBM!J:J,MATCH($P1946,F_ProductBM!$Q:$Q,0))="","",INDEX(F_ProductBM!J:J,MATCH($P1946,F_ProductBM!$Q:$Q,0))))</f>
        <v/>
      </c>
      <c r="K1946" s="742" t="str">
        <f>IF($I1789="","",IF(INDEX(F_ProductBM!K:K,MATCH($P1946,F_ProductBM!$Q:$Q,0))="","",INDEX(F_ProductBM!K:K,MATCH($P1946,F_ProductBM!$Q:$Q,0))))</f>
        <v/>
      </c>
      <c r="L1946" s="742" t="str">
        <f>IF($I1789="","",IF(INDEX(F_ProductBM!L:L,MATCH($P1946,F_ProductBM!$Q:$Q,0))="","",INDEX(F_ProductBM!L:L,MATCH($P1946,F_ProductBM!$Q:$Q,0))))</f>
        <v/>
      </c>
      <c r="M1946" s="742" t="str">
        <f>IF($I1789="","",IF(INDEX(F_ProductBM!M:M,MATCH($P1946,F_ProductBM!$Q:$Q,0))="","",INDEX(F_ProductBM!M:M,MATCH($P1946,F_ProductBM!$Q:$Q,0))))</f>
        <v/>
      </c>
      <c r="N1946" s="1459" t="str">
        <f>IF($I1789="","",IF(INDEX(F_ProductBM!N:N,MATCH($P1946,F_ProductBM!$Q:$Q,0))="","",INDEX(F_ProductBM!N:N,MATCH($P1946,F_ProductBM!$Q:$Q,0))))</f>
        <v/>
      </c>
      <c r="O1946" s="19"/>
      <c r="P1946" s="298" t="str">
        <f>EUconst_CNTR_IntermediateImport &amp; R1946 &amp; "_" &amp; I1789</f>
        <v>IntImp_2_</v>
      </c>
      <c r="Q1946" s="343"/>
      <c r="R1946" s="663">
        <v>2</v>
      </c>
      <c r="S1946" s="343"/>
      <c r="T1946" s="7"/>
      <c r="U1946" s="349"/>
      <c r="V1946" s="349"/>
    </row>
    <row r="1947" spans="1:22" s="534" customFormat="1" x14ac:dyDescent="0.25">
      <c r="A1947" s="343"/>
      <c r="B1947" s="15"/>
      <c r="C1947" s="15"/>
      <c r="D1947" s="1454"/>
      <c r="E1947" s="2613" t="str">
        <f>Translations!$B$1058</f>
        <v>Mellanexport:</v>
      </c>
      <c r="F1947" s="1997"/>
      <c r="G1947" s="416"/>
      <c r="H1947" s="741"/>
      <c r="I1947" s="741"/>
      <c r="J1947" s="741"/>
      <c r="K1947" s="741"/>
      <c r="L1947" s="741"/>
      <c r="M1947" s="741"/>
      <c r="N1947" s="1458"/>
      <c r="O1947" s="19"/>
      <c r="P1947" s="7"/>
      <c r="Q1947" s="343"/>
      <c r="R1947" s="343"/>
      <c r="S1947" s="343"/>
      <c r="T1947" s="7"/>
      <c r="U1947" s="349"/>
      <c r="V1947" s="349"/>
    </row>
    <row r="1948" spans="1:22" s="534" customFormat="1" x14ac:dyDescent="0.25">
      <c r="A1948" s="343"/>
      <c r="B1948" s="15"/>
      <c r="C1948" s="15"/>
      <c r="D1948" s="1454"/>
      <c r="E1948" s="2617" t="str">
        <f>IF(I1789="","",IF(INDEX(F_ProductBM!E:E,MATCH($P1948,F_ProductBM!$Q:$Q,0))="","",INDEX(F_ProductBM!E:E,MATCH($P1948,F_ProductBM!$Q:$Q,0))))</f>
        <v/>
      </c>
      <c r="F1948" s="1997"/>
      <c r="G1948" s="364" t="str">
        <f>EUconst_Tons</f>
        <v>ton</v>
      </c>
      <c r="H1948" s="742" t="str">
        <f>IF($I1789="","",IF(INDEX(F_ProductBM!H:H,MATCH($P1948,F_ProductBM!$Q:$Q,0))="","",INDEX(F_ProductBM!H:H,MATCH($P1948,F_ProductBM!$Q:$Q,0))))</f>
        <v/>
      </c>
      <c r="I1948" s="1021" t="str">
        <f>IF($I1789="","",IF(INDEX(F_ProductBM!I:I,MATCH($P1948,F_ProductBM!$Q:$Q,0))="","",INDEX(F_ProductBM!I:I,MATCH($P1948,F_ProductBM!$Q:$Q,0))))</f>
        <v/>
      </c>
      <c r="J1948" s="1158" t="str">
        <f>IF($I1789="","",IF(INDEX(F_ProductBM!J:J,MATCH($P1948,F_ProductBM!$Q:$Q,0))="","",INDEX(F_ProductBM!J:J,MATCH($P1948,F_ProductBM!$Q:$Q,0))))</f>
        <v/>
      </c>
      <c r="K1948" s="742" t="str">
        <f>IF($I1789="","",IF(INDEX(F_ProductBM!K:K,MATCH($P1948,F_ProductBM!$Q:$Q,0))="","",INDEX(F_ProductBM!K:K,MATCH($P1948,F_ProductBM!$Q:$Q,0))))</f>
        <v/>
      </c>
      <c r="L1948" s="742" t="str">
        <f>IF($I1789="","",IF(INDEX(F_ProductBM!L:L,MATCH($P1948,F_ProductBM!$Q:$Q,0))="","",INDEX(F_ProductBM!L:L,MATCH($P1948,F_ProductBM!$Q:$Q,0))))</f>
        <v/>
      </c>
      <c r="M1948" s="742" t="str">
        <f>IF($I1789="","",IF(INDEX(F_ProductBM!M:M,MATCH($P1948,F_ProductBM!$Q:$Q,0))="","",INDEX(F_ProductBM!M:M,MATCH($P1948,F_ProductBM!$Q:$Q,0))))</f>
        <v/>
      </c>
      <c r="N1948" s="1459" t="str">
        <f>IF($I1789="","",IF(INDEX(F_ProductBM!N:N,MATCH($P1948,F_ProductBM!$Q:$Q,0))="","",INDEX(F_ProductBM!N:N,MATCH($P1948,F_ProductBM!$Q:$Q,0))))</f>
        <v/>
      </c>
      <c r="O1948" s="19"/>
      <c r="P1948" s="298" t="str">
        <f>EUconst_CNTR_IntermediateExport &amp; R1945 &amp; "_" &amp; I1789</f>
        <v>IntExp_1_</v>
      </c>
      <c r="Q1948" s="343"/>
      <c r="R1948" s="663">
        <v>1</v>
      </c>
      <c r="S1948" s="343"/>
      <c r="T1948" s="7"/>
      <c r="U1948" s="349"/>
      <c r="V1948" s="349"/>
    </row>
    <row r="1949" spans="1:22" s="534" customFormat="1" x14ac:dyDescent="0.25">
      <c r="A1949" s="343"/>
      <c r="B1949" s="15"/>
      <c r="C1949" s="15"/>
      <c r="D1949" s="1454"/>
      <c r="E1949" s="2617" t="str">
        <f>IF(I1789="","",IF(INDEX(F_ProductBM!E:E,MATCH($P1949,F_ProductBM!$Q:$Q,0))="","",INDEX(F_ProductBM!E:E,MATCH($P1949,F_ProductBM!$Q:$Q,0))))</f>
        <v/>
      </c>
      <c r="F1949" s="1997"/>
      <c r="G1949" s="364" t="str">
        <f>EUconst_Tons</f>
        <v>ton</v>
      </c>
      <c r="H1949" s="742" t="str">
        <f>IF($I1789="","",IF(INDEX(F_ProductBM!H:H,MATCH($P1949,F_ProductBM!$Q:$Q,0))="","",INDEX(F_ProductBM!H:H,MATCH($P1949,F_ProductBM!$Q:$Q,0))))</f>
        <v/>
      </c>
      <c r="I1949" s="1021" t="str">
        <f>IF($I1789="","",IF(INDEX(F_ProductBM!I:I,MATCH($P1949,F_ProductBM!$Q:$Q,0))="","",INDEX(F_ProductBM!I:I,MATCH($P1949,F_ProductBM!$Q:$Q,0))))</f>
        <v/>
      </c>
      <c r="J1949" s="1158" t="str">
        <f>IF($I1789="","",IF(INDEX(F_ProductBM!J:J,MATCH($P1949,F_ProductBM!$Q:$Q,0))="","",INDEX(F_ProductBM!J:J,MATCH($P1949,F_ProductBM!$Q:$Q,0))))</f>
        <v/>
      </c>
      <c r="K1949" s="742" t="str">
        <f>IF($I1789="","",IF(INDEX(F_ProductBM!K:K,MATCH($P1949,F_ProductBM!$Q:$Q,0))="","",INDEX(F_ProductBM!K:K,MATCH($P1949,F_ProductBM!$Q:$Q,0))))</f>
        <v/>
      </c>
      <c r="L1949" s="742" t="str">
        <f>IF($I1789="","",IF(INDEX(F_ProductBM!L:L,MATCH($P1949,F_ProductBM!$Q:$Q,0))="","",INDEX(F_ProductBM!L:L,MATCH($P1949,F_ProductBM!$Q:$Q,0))))</f>
        <v/>
      </c>
      <c r="M1949" s="742" t="str">
        <f>IF($I1789="","",IF(INDEX(F_ProductBM!M:M,MATCH($P1949,F_ProductBM!$Q:$Q,0))="","",INDEX(F_ProductBM!M:M,MATCH($P1949,F_ProductBM!$Q:$Q,0))))</f>
        <v/>
      </c>
      <c r="N1949" s="1459" t="str">
        <f>IF($I1789="","",IF(INDEX(F_ProductBM!N:N,MATCH($P1949,F_ProductBM!$Q:$Q,0))="","",INDEX(F_ProductBM!N:N,MATCH($P1949,F_ProductBM!$Q:$Q,0))))</f>
        <v/>
      </c>
      <c r="O1949" s="19"/>
      <c r="P1949" s="298" t="str">
        <f>EUconst_CNTR_IntermediateExport &amp; R1949 &amp; "_" &amp; I1789</f>
        <v>IntExp_2_</v>
      </c>
      <c r="Q1949" s="343"/>
      <c r="R1949" s="663">
        <v>2</v>
      </c>
      <c r="S1949" s="343"/>
      <c r="T1949" s="7"/>
      <c r="U1949" s="349"/>
      <c r="V1949" s="349"/>
    </row>
    <row r="1950" spans="1:22" s="534" customFormat="1" ht="12.75" customHeight="1" thickBot="1" x14ac:dyDescent="0.3">
      <c r="A1950" s="343"/>
      <c r="B1950" s="15"/>
      <c r="C1950" s="15"/>
      <c r="D1950" s="1460"/>
      <c r="E1950" s="1461"/>
      <c r="F1950" s="1461"/>
      <c r="G1950" s="1462"/>
      <c r="H1950" s="1462"/>
      <c r="I1950" s="783"/>
      <c r="J1950" s="783"/>
      <c r="K1950" s="783"/>
      <c r="L1950" s="783"/>
      <c r="M1950" s="783"/>
      <c r="N1950" s="784"/>
      <c r="O1950" s="19"/>
      <c r="P1950" s="7"/>
      <c r="Q1950" s="343"/>
      <c r="R1950" s="343"/>
      <c r="S1950" s="343"/>
      <c r="T1950" s="7"/>
      <c r="U1950" s="349"/>
      <c r="V1950" s="349"/>
    </row>
    <row r="1951" spans="1:22" s="534" customFormat="1" ht="5.15" customHeight="1" thickBot="1" x14ac:dyDescent="0.3">
      <c r="A1951" s="343"/>
      <c r="B1951" s="15"/>
      <c r="C1951" s="15"/>
      <c r="D1951" s="15"/>
      <c r="E1951" s="748"/>
      <c r="O1951" s="19"/>
      <c r="P1951" s="343"/>
      <c r="Q1951" s="343"/>
      <c r="R1951" s="343"/>
      <c r="S1951" s="343"/>
      <c r="T1951" s="343"/>
      <c r="U1951" s="349"/>
      <c r="V1951" s="349"/>
    </row>
    <row r="1952" spans="1:22" s="534" customFormat="1" ht="5.15" customHeight="1" thickBot="1" x14ac:dyDescent="0.3">
      <c r="A1952" s="343"/>
      <c r="B1952" s="3"/>
      <c r="C1952" s="230"/>
      <c r="D1952" s="230"/>
      <c r="E1952" s="230"/>
      <c r="F1952" s="230"/>
      <c r="G1952" s="230"/>
      <c r="H1952" s="230"/>
      <c r="I1952" s="230"/>
      <c r="J1952" s="230"/>
      <c r="K1952" s="230"/>
      <c r="L1952" s="230"/>
      <c r="M1952" s="230"/>
      <c r="N1952" s="230"/>
      <c r="O1952" s="19"/>
      <c r="P1952" s="343"/>
      <c r="Q1952" s="343"/>
      <c r="R1952" s="343"/>
      <c r="S1952" s="343"/>
      <c r="T1952" s="343"/>
      <c r="U1952" s="349"/>
      <c r="V1952" s="349"/>
    </row>
    <row r="1953" spans="1:22" s="534" customFormat="1" ht="15" customHeight="1" thickBot="1" x14ac:dyDescent="0.35">
      <c r="A1953" s="343"/>
      <c r="B1953" s="15"/>
      <c r="C1953" s="17">
        <f>C1789+1</f>
        <v>10</v>
      </c>
      <c r="D1953" s="2053" t="str">
        <f>CONCATENATE(EUconst_BMSubinst," ",C1953, ":")</f>
        <v>Delanläggning med produktriktmärke 10:</v>
      </c>
      <c r="E1953" s="2053"/>
      <c r="F1953" s="2053"/>
      <c r="G1953" s="2053"/>
      <c r="H1953" s="2081"/>
      <c r="I1953" s="2090" t="str">
        <f>IF(INDEX(CNTR_SubInstListIsProdBM,$C1953),INDEX(CNTR_SubInstListNames,$C1953),"")</f>
        <v/>
      </c>
      <c r="J1953" s="2091"/>
      <c r="K1953" s="2091"/>
      <c r="L1953" s="2091"/>
      <c r="M1953" s="2091"/>
      <c r="N1953" s="2092"/>
      <c r="O1953" s="19"/>
      <c r="P1953" s="343"/>
      <c r="Q1953" s="723">
        <f>C1953</f>
        <v>10</v>
      </c>
      <c r="R1953" s="722" t="str">
        <f>I1953</f>
        <v/>
      </c>
      <c r="S1953" s="343"/>
      <c r="T1953" s="343"/>
      <c r="U1953" s="349"/>
      <c r="V1953" s="349"/>
    </row>
    <row r="1954" spans="1:22" s="534" customFormat="1" ht="5.15" customHeight="1" x14ac:dyDescent="0.3">
      <c r="A1954" s="343"/>
      <c r="B1954" s="15"/>
      <c r="C1954" s="17"/>
      <c r="D1954" s="17"/>
      <c r="E1954" s="17"/>
      <c r="F1954" s="17"/>
      <c r="G1954" s="17"/>
      <c r="H1954" s="17"/>
      <c r="I1954" s="17"/>
      <c r="J1954" s="17"/>
      <c r="K1954" s="17"/>
      <c r="L1954" s="17"/>
      <c r="M1954" s="17"/>
      <c r="N1954" s="17"/>
      <c r="O1954" s="19"/>
      <c r="P1954" s="343"/>
      <c r="Q1954" s="343"/>
      <c r="R1954" s="343"/>
      <c r="S1954" s="343"/>
      <c r="T1954" s="343"/>
      <c r="U1954" s="349"/>
      <c r="V1954" s="349"/>
    </row>
    <row r="1955" spans="1:22" s="534" customFormat="1" ht="12.75" customHeight="1" x14ac:dyDescent="0.3">
      <c r="A1955" s="343"/>
      <c r="B1955" s="15"/>
      <c r="C1955" s="17"/>
      <c r="D1955" s="17"/>
      <c r="E1955" s="17"/>
      <c r="F1955" s="17"/>
      <c r="H1955" s="506" t="str">
        <f>Translations!$B$1022</f>
        <v>KL-risk</v>
      </c>
      <c r="I1955" s="506" t="s">
        <v>1380</v>
      </c>
      <c r="J1955" s="506" t="str">
        <f>Translations!$B$1026</f>
        <v>I drift</v>
      </c>
      <c r="K1955" s="506" t="str">
        <f>Translations!$B$1545</f>
        <v>Upphört</v>
      </c>
      <c r="L1955" s="952" t="str">
        <f>Translations!$B$1024</f>
        <v>RM-nummer</v>
      </c>
      <c r="M1955" s="2786" t="str">
        <f>Translations!$B$1028</f>
        <v>RM-värde</v>
      </c>
      <c r="N1955" s="2786"/>
      <c r="O1955" s="19"/>
      <c r="P1955" s="343"/>
      <c r="Q1955" s="343"/>
      <c r="R1955" s="343"/>
      <c r="S1955" s="343"/>
      <c r="T1955" s="940"/>
      <c r="U1955" s="349"/>
      <c r="V1955" s="349"/>
    </row>
    <row r="1956" spans="1:22" s="534" customFormat="1" ht="12.75" customHeight="1" x14ac:dyDescent="0.3">
      <c r="A1956" s="343"/>
      <c r="B1956" s="15"/>
      <c r="C1956" s="17"/>
      <c r="D1956" s="17"/>
      <c r="E1956" s="508" t="str">
        <f>I1953</f>
        <v/>
      </c>
      <c r="F1956" s="509"/>
      <c r="G1956" s="509"/>
      <c r="H1956" s="510" t="str">
        <f>IF(L1956=EUconst_NA,EUconst_NA,INDEX(EUconst_BMlistCLstatus,L1956))</f>
        <v>Ej tillämpligt</v>
      </c>
      <c r="I1956" s="510" t="str">
        <f>IF(I1953="","",INDEX(EUconst_BMlistElExchangability,L1956))</f>
        <v/>
      </c>
      <c r="J1956" s="1045" t="str">
        <f>IF($I1953="",EUconst_NA,INDEX(CNTR_SubInstStartDate,MATCH(I1953,CNTR_SubInstListNames,0)))</f>
        <v>Ej tillämpligt</v>
      </c>
      <c r="K1956" s="1045" t="str">
        <f>IF($I1953="",EUconst_NA,IF(INDEX(CNTR_SubInstCessationDate,MATCH(I1953,CNTR_SubInstListNames,0))=0,"",INDEX(CNTR_SubInstCessationDate,MATCH(I1953,CNTR_SubInstListNames,0))))</f>
        <v>Ej tillämpligt</v>
      </c>
      <c r="L1956" s="953" t="str">
        <f>IF($I1953="",EUconst_NA,MATCH(I1953,EUconst_BMlistNames,0))</f>
        <v>Ej tillämpligt</v>
      </c>
      <c r="M1956" s="1744" t="str">
        <f>IF(I1953="",EUconst_NA,INDEX(EUconst_BMlistBMvaluesMatrix,L1956,3))</f>
        <v>Ej tillämpligt</v>
      </c>
      <c r="N1956" s="1041" t="str">
        <f>EUconst_EUA &amp; "/" &amp; F1959</f>
        <v>EUA/ton</v>
      </c>
      <c r="O1956" s="19"/>
      <c r="P1956" s="343"/>
      <c r="Q1956" s="343"/>
      <c r="R1956" s="343"/>
      <c r="S1956" s="343"/>
      <c r="T1956" s="940"/>
      <c r="U1956" s="349"/>
      <c r="V1956" s="349"/>
    </row>
    <row r="1957" spans="1:22" s="534" customFormat="1" ht="5.15" customHeight="1" thickBot="1" x14ac:dyDescent="0.35">
      <c r="A1957" s="343"/>
      <c r="B1957" s="15"/>
      <c r="C1957" s="15"/>
      <c r="D1957" s="15"/>
      <c r="E1957" s="17"/>
      <c r="J1957" s="15"/>
      <c r="K1957" s="15"/>
      <c r="L1957" s="15"/>
      <c r="M1957" s="15"/>
      <c r="N1957" s="15"/>
      <c r="O1957" s="19"/>
      <c r="P1957" s="343"/>
      <c r="Q1957" s="343"/>
      <c r="R1957" s="343"/>
      <c r="S1957" s="343"/>
      <c r="T1957" s="7"/>
      <c r="U1957" s="349"/>
      <c r="V1957" s="349"/>
    </row>
    <row r="1958" spans="1:22" s="534" customFormat="1" ht="12.75" customHeight="1" x14ac:dyDescent="0.25">
      <c r="A1958" s="343"/>
      <c r="B1958" s="15"/>
      <c r="C1958" s="15"/>
      <c r="D1958" s="15"/>
      <c r="E1958" s="39"/>
      <c r="F1958" s="13" t="str">
        <f>EUconst_Unit</f>
        <v>Enhet</v>
      </c>
      <c r="G1958" s="1202" t="str">
        <f>Translations!$B$1432</f>
        <v>HAL</v>
      </c>
      <c r="H1958" s="987">
        <f t="shared" ref="H1958:N1958" si="377">H$2596</f>
        <v>2019</v>
      </c>
      <c r="I1958" s="342">
        <f t="shared" si="377"/>
        <v>2020</v>
      </c>
      <c r="J1958" s="987">
        <f t="shared" si="377"/>
        <v>2021</v>
      </c>
      <c r="K1958" s="320">
        <f t="shared" si="377"/>
        <v>2022</v>
      </c>
      <c r="L1958" s="320">
        <f t="shared" si="377"/>
        <v>2023</v>
      </c>
      <c r="M1958" s="320">
        <f t="shared" si="377"/>
        <v>2024</v>
      </c>
      <c r="N1958" s="320">
        <f t="shared" si="377"/>
        <v>2025</v>
      </c>
      <c r="O1958" s="19"/>
      <c r="P1958" s="343"/>
      <c r="Q1958" s="343" t="s">
        <v>2010</v>
      </c>
      <c r="R1958" s="1635">
        <f>J$2596</f>
        <v>2021</v>
      </c>
      <c r="S1958" s="1636">
        <f>K$2596</f>
        <v>2022</v>
      </c>
      <c r="T1958" s="1636">
        <f>L$2596</f>
        <v>2023</v>
      </c>
      <c r="U1958" s="1636">
        <f>M$2596</f>
        <v>2024</v>
      </c>
      <c r="V1958" s="1637">
        <f>N$2596</f>
        <v>2025</v>
      </c>
    </row>
    <row r="1959" spans="1:22" s="534" customFormat="1" ht="12.75" customHeight="1" thickBot="1" x14ac:dyDescent="0.3">
      <c r="A1959" s="343"/>
      <c r="B1959" s="15"/>
      <c r="C1959" s="15"/>
      <c r="D1959" s="15"/>
      <c r="E1959" s="514" t="str">
        <f>Translations!$B$1562</f>
        <v>Rapporterad verksamhetsnivå</v>
      </c>
      <c r="F1959" s="563" t="str">
        <f>IF(ISNUMBER(L1956),INDEX(EUconst_BMlistUnits,L1956),EUconst_Tons)</f>
        <v>ton</v>
      </c>
      <c r="G1959" s="943" t="str">
        <f>I2062</f>
        <v/>
      </c>
      <c r="H1959" s="1131" t="str">
        <f>IF($I1953="","",IF(H1958&gt;=CNTR_ReportingYear,"",INDEX(F_ProductBM!H:H,MATCH($P1959,F_ProductBM!$Q:$Q,0))))</f>
        <v/>
      </c>
      <c r="I1959" s="641" t="str">
        <f>IF($I1953="","",IF(I1958&gt;=CNTR_ReportingYear,"",INDEX(F_ProductBM!I:I,MATCH($P1959,F_ProductBM!$Q:$Q,0))))</f>
        <v/>
      </c>
      <c r="J1959" s="1131" t="str">
        <f>IF($I1953="","",IF(J1958&gt;=CNTR_ReportingYear,"",INDEX(F_ProductBM!J:J,MATCH($P1959,F_ProductBM!$Q:$Q,0))))</f>
        <v/>
      </c>
      <c r="K1959" s="421" t="str">
        <f>IF($I1953="","",IF(K1958&gt;=CNTR_ReportingYear,"",INDEX(F_ProductBM!K:K,MATCH($P1959,F_ProductBM!$Q:$Q,0))))</f>
        <v/>
      </c>
      <c r="L1959" s="421" t="str">
        <f>IF($I1953="","",IF(L1958&gt;=CNTR_ReportingYear,"",INDEX(F_ProductBM!L:L,MATCH($P1959,F_ProductBM!$Q:$Q,0))))</f>
        <v/>
      </c>
      <c r="M1959" s="421" t="str">
        <f>IF($I1953="","",IF(M1958&gt;=CNTR_ReportingYear,"",INDEX(F_ProductBM!M:M,MATCH($P1959,F_ProductBM!$Q:$Q,0))))</f>
        <v/>
      </c>
      <c r="N1959" s="421" t="str">
        <f>IF($I1953="","",IF(N1958&gt;=CNTR_ReportingYear,"",INDEX(F_ProductBM!N:N,MATCH($P1959,F_ProductBM!$Q:$Q,0))))</f>
        <v/>
      </c>
      <c r="O1959" s="19"/>
      <c r="P1959" s="165" t="str">
        <f>EUconst_CNTR_HAL&amp;I1953</f>
        <v>HAL_</v>
      </c>
      <c r="Q1959" s="343"/>
      <c r="R1959" s="1329" t="b">
        <f>AND($I1953&lt;&gt;"",R1958&lt;=CNTR_ReportingYear,IF($J1956&lt;&gt;EUconst_NA,R1958&gt;=YEAR($J1956),TRUE))</f>
        <v>0</v>
      </c>
      <c r="S1959" s="1330" t="b">
        <f>AND($I1953&lt;&gt;"",S1958&lt;=CNTR_ReportingYear,IF($J1956&lt;&gt;EUconst_NA,S1958&gt;=YEAR($J1956),TRUE))</f>
        <v>0</v>
      </c>
      <c r="T1959" s="1330" t="b">
        <f>AND($I1953&lt;&gt;"",T1958&lt;=CNTR_ReportingYear,IF($J1956&lt;&gt;EUconst_NA,T1958&gt;=YEAR($J1956),TRUE))</f>
        <v>0</v>
      </c>
      <c r="U1959" s="1330" t="b">
        <f>AND($I1953&lt;&gt;"",U1958&lt;=CNTR_ReportingYear,IF($J1956&lt;&gt;EUconst_NA,U1958&gt;=YEAR($J1956),TRUE))</f>
        <v>0</v>
      </c>
      <c r="V1959" s="1331" t="b">
        <f>AND($I1953&lt;&gt;"",V1958&lt;=CNTR_ReportingYear,IF($J1956&lt;&gt;EUconst_NA,V1958&gt;=YEAR($J1956),TRUE))</f>
        <v>0</v>
      </c>
    </row>
    <row r="1960" spans="1:22" s="534" customFormat="1" ht="5.15" customHeight="1" thickBot="1" x14ac:dyDescent="0.35">
      <c r="A1960" s="343"/>
      <c r="B1960" s="15"/>
      <c r="C1960" s="17"/>
      <c r="D1960" s="17"/>
      <c r="E1960" s="17"/>
      <c r="F1960" s="17"/>
      <c r="G1960" s="17"/>
      <c r="H1960" s="17"/>
      <c r="I1960" s="17"/>
      <c r="J1960" s="17"/>
      <c r="K1960" s="17"/>
      <c r="L1960" s="17"/>
      <c r="M1960" s="17"/>
      <c r="N1960" s="17"/>
      <c r="O1960" s="19"/>
      <c r="P1960" s="343"/>
      <c r="Q1960" s="343"/>
      <c r="R1960" s="343"/>
      <c r="S1960" s="343"/>
      <c r="T1960" s="343"/>
      <c r="U1960" s="349"/>
      <c r="V1960" s="349"/>
    </row>
    <row r="1961" spans="1:22" s="534" customFormat="1" ht="5.15" customHeight="1" x14ac:dyDescent="0.3">
      <c r="A1961" s="343"/>
      <c r="B1961" s="15"/>
      <c r="C1961" s="17"/>
      <c r="D1961" s="1383"/>
      <c r="E1961" s="1384"/>
      <c r="F1961" s="1384"/>
      <c r="G1961" s="1384"/>
      <c r="H1961" s="1384"/>
      <c r="I1961" s="1384"/>
      <c r="J1961" s="1384"/>
      <c r="K1961" s="1384"/>
      <c r="L1961" s="1384"/>
      <c r="M1961" s="1384"/>
      <c r="N1961" s="1385"/>
      <c r="O1961" s="19"/>
      <c r="P1961" s="343"/>
      <c r="Q1961" s="343"/>
      <c r="R1961" s="343"/>
      <c r="S1961" s="343"/>
      <c r="T1961" s="343"/>
      <c r="U1961" s="349"/>
      <c r="V1961" s="349"/>
    </row>
    <row r="1962" spans="1:22" s="534" customFormat="1" ht="12.75" customHeight="1" x14ac:dyDescent="0.3">
      <c r="A1962" s="343"/>
      <c r="B1962" s="15"/>
      <c r="C1962" s="17"/>
      <c r="D1962" s="1386"/>
      <c r="E1962" s="42" t="str">
        <f>Translations!$B$1563</f>
        <v>Tillämplighet av glidande medelvärde</v>
      </c>
      <c r="F1962" s="188"/>
      <c r="G1962" s="188"/>
      <c r="H1962" s="30"/>
      <c r="I1962" s="1157"/>
      <c r="J1962" s="1065">
        <f>J$2596</f>
        <v>2021</v>
      </c>
      <c r="K1962" s="350">
        <f>K$2596</f>
        <v>2022</v>
      </c>
      <c r="L1962" s="350">
        <f>L$2596</f>
        <v>2023</v>
      </c>
      <c r="M1962" s="350">
        <f>M$2596</f>
        <v>2024</v>
      </c>
      <c r="N1962" s="966">
        <f>N$2596</f>
        <v>2025</v>
      </c>
      <c r="O1962" s="19"/>
      <c r="P1962" s="343"/>
      <c r="Q1962" s="343"/>
      <c r="R1962" s="343"/>
      <c r="S1962" s="343"/>
      <c r="T1962" s="343"/>
      <c r="U1962" s="349"/>
      <c r="V1962" s="349"/>
    </row>
    <row r="1963" spans="1:22" s="534" customFormat="1" ht="12.75" customHeight="1" x14ac:dyDescent="0.3">
      <c r="A1963" s="343"/>
      <c r="B1963" s="15"/>
      <c r="C1963" s="17"/>
      <c r="D1963" s="1386"/>
      <c r="E1963" s="1477" t="str">
        <f>Translations!$B$1549</f>
        <v>Kriterium 1: Verksam &gt;2 år?</v>
      </c>
      <c r="F1963" s="1478"/>
      <c r="G1963" s="1478"/>
      <c r="H1963" s="1366"/>
      <c r="I1963" s="1478"/>
      <c r="J1963" s="1469" t="str">
        <f>IF(R1959,INDEX(F_ProductBM!V:V,MATCH($P1963,F_ProductBM!$Q:$Q,0))&gt;=3,"")</f>
        <v/>
      </c>
      <c r="K1963" s="1470" t="str">
        <f>IF(S1959,INDEX(F_ProductBM!W:W,MATCH($P1963,F_ProductBM!$Q:$Q,0))&gt;=3,"")</f>
        <v/>
      </c>
      <c r="L1963" s="1470" t="str">
        <f>IF(T1959,INDEX(F_ProductBM!X:X,MATCH($P1963,F_ProductBM!$Q:$Q,0))&gt;=3,"")</f>
        <v/>
      </c>
      <c r="M1963" s="1470" t="str">
        <f>IF(U1959,INDEX(F_ProductBM!Y:Y,MATCH($P1963,F_ProductBM!$Q:$Q,0))&gt;=3,"")</f>
        <v/>
      </c>
      <c r="N1963" s="1471" t="str">
        <f>IF(V1959,INDEX(F_ProductBM!Z:Z,MATCH($P1963,F_ProductBM!$Q:$Q,0))&gt;=3,"")</f>
        <v/>
      </c>
      <c r="O1963" s="19"/>
      <c r="P1963" s="165" t="str">
        <f>EUconst_CNTR_HALinitial&amp;I1953</f>
        <v>HALini_</v>
      </c>
      <c r="Q1963" s="343"/>
      <c r="R1963" s="343"/>
      <c r="S1963" s="343"/>
      <c r="T1963" s="343"/>
      <c r="U1963" s="349"/>
      <c r="V1963" s="349"/>
    </row>
    <row r="1964" spans="1:22" s="534" customFormat="1" ht="12.75" customHeight="1" x14ac:dyDescent="0.3">
      <c r="A1964" s="343"/>
      <c r="B1964" s="15"/>
      <c r="C1964" s="17"/>
      <c r="D1964" s="1386"/>
      <c r="E1964" s="1472" t="str">
        <f>Translations!$B$1551</f>
        <v>Kriterium 2: Upphörde inte föregående år?</v>
      </c>
      <c r="F1964" s="1479"/>
      <c r="G1964" s="1479"/>
      <c r="H1964" s="1473"/>
      <c r="I1964" s="1479"/>
      <c r="J1964" s="1474" t="str">
        <f>IF(R1959,IF($K1956="",2050,YEAR($K1956))&lt;&gt;(J1962-1),"")</f>
        <v/>
      </c>
      <c r="K1964" s="1475" t="str">
        <f>IF(S1959,IF($K1956="",2050,YEAR($K1956))&lt;&gt;(K1962-1),"")</f>
        <v/>
      </c>
      <c r="L1964" s="1475" t="str">
        <f>IF(T1959,IF($K1956="",2050,YEAR($K1956))&lt;&gt;(L1962-1),"")</f>
        <v/>
      </c>
      <c r="M1964" s="1475" t="str">
        <f>IF(U1959,IF($K1956="",2050,YEAR($K1956))&lt;&gt;(M1962-1),"")</f>
        <v/>
      </c>
      <c r="N1964" s="1476" t="str">
        <f>IF(V1959,IF($K1956="",2050,YEAR($K1956))&lt;&gt;(N1962-1),"")</f>
        <v/>
      </c>
      <c r="O1964" s="19"/>
      <c r="P1964" s="343"/>
      <c r="Q1964" s="343"/>
      <c r="R1964" s="343"/>
      <c r="S1964" s="343"/>
      <c r="T1964" s="343"/>
      <c r="U1964" s="349"/>
      <c r="V1964" s="349"/>
    </row>
    <row r="1965" spans="1:22" s="534" customFormat="1" ht="5.15" customHeight="1" x14ac:dyDescent="0.3">
      <c r="A1965" s="343"/>
      <c r="B1965" s="15"/>
      <c r="C1965" s="17"/>
      <c r="D1965" s="1386"/>
      <c r="E1965" s="17"/>
      <c r="F1965" s="17"/>
      <c r="G1965" s="17"/>
      <c r="H1965" s="17"/>
      <c r="I1965" s="17"/>
      <c r="J1965" s="17"/>
      <c r="K1965" s="17"/>
      <c r="L1965" s="17"/>
      <c r="M1965" s="17"/>
      <c r="N1965" s="1388"/>
      <c r="O1965" s="19"/>
      <c r="P1965" s="343"/>
      <c r="Q1965" s="343"/>
      <c r="R1965" s="343"/>
      <c r="S1965" s="343"/>
      <c r="T1965" s="343"/>
      <c r="U1965" s="349"/>
      <c r="V1965" s="349"/>
    </row>
    <row r="1966" spans="1:22" s="534" customFormat="1" ht="12.75" customHeight="1" x14ac:dyDescent="0.3">
      <c r="A1966" s="343"/>
      <c r="B1966" s="15"/>
      <c r="C1966" s="17"/>
      <c r="D1966" s="1386"/>
      <c r="E1966" s="39" t="str">
        <f>Translations!$B$1564</f>
        <v>Ändringar: Ingen ändring (bas)</v>
      </c>
      <c r="F1966" s="15"/>
      <c r="G1966" s="15"/>
      <c r="H1966" s="30" t="str">
        <f>EUconst_Unit</f>
        <v>Enhet</v>
      </c>
      <c r="I1966" s="1157"/>
      <c r="J1966" s="987">
        <f>J$2596</f>
        <v>2021</v>
      </c>
      <c r="K1966" s="320">
        <f>K$2596</f>
        <v>2022</v>
      </c>
      <c r="L1966" s="320">
        <f>L$2596</f>
        <v>2023</v>
      </c>
      <c r="M1966" s="320">
        <f>M$2596</f>
        <v>2024</v>
      </c>
      <c r="N1966" s="1387">
        <f>N$2596</f>
        <v>2025</v>
      </c>
      <c r="O1966" s="19"/>
      <c r="P1966" s="343"/>
      <c r="Q1966" s="343"/>
      <c r="R1966" s="343"/>
      <c r="S1966" s="343"/>
      <c r="T1966" s="343"/>
      <c r="U1966" s="349"/>
      <c r="V1966" s="349"/>
    </row>
    <row r="1967" spans="1:22" s="534" customFormat="1" ht="12.75" hidden="1" customHeight="1" x14ac:dyDescent="0.3">
      <c r="A1967" s="343" t="str">
        <f t="shared" ref="A1967:A1972" si="378">IF(P1967="","ausblenden","")</f>
        <v>ausblenden</v>
      </c>
      <c r="B1967" s="15"/>
      <c r="C1967" s="17"/>
      <c r="D1967" s="1386"/>
      <c r="E1967" s="514" t="s">
        <v>1918</v>
      </c>
      <c r="F1967" s="514"/>
      <c r="G1967" s="514"/>
      <c r="H1967" s="917" t="str">
        <f>F1959</f>
        <v>ton</v>
      </c>
      <c r="I1967" s="514"/>
      <c r="J1967" s="1152" t="str">
        <f>IF(T2068&gt;=$H$2595,S2062,I2062)</f>
        <v/>
      </c>
      <c r="K1967" s="943" t="str">
        <f t="shared" ref="K1967:K1972" si="379">J2062</f>
        <v/>
      </c>
      <c r="L1967" s="943" t="str">
        <f t="shared" ref="L1967:L1972" si="380">K2062</f>
        <v/>
      </c>
      <c r="M1967" s="943" t="str">
        <f t="shared" ref="M1967:M1972" si="381">L2062</f>
        <v/>
      </c>
      <c r="N1967" s="1389" t="str">
        <f t="shared" ref="N1967:N1972" si="382">M2062</f>
        <v/>
      </c>
      <c r="O1967" s="19"/>
      <c r="P1967" s="343"/>
      <c r="Q1967" s="343"/>
      <c r="R1967" s="343"/>
      <c r="S1967" s="343"/>
      <c r="T1967" s="343"/>
      <c r="U1967" s="349"/>
      <c r="V1967" s="349"/>
    </row>
    <row r="1968" spans="1:22" s="534" customFormat="1" ht="12.75" hidden="1" customHeight="1" x14ac:dyDescent="0.3">
      <c r="A1968" s="343" t="str">
        <f t="shared" si="378"/>
        <v>ausblenden</v>
      </c>
      <c r="B1968" s="15"/>
      <c r="C1968" s="17"/>
      <c r="D1968" s="1386"/>
      <c r="E1968" s="944" t="s">
        <v>339</v>
      </c>
      <c r="F1968" s="944"/>
      <c r="G1968" s="944"/>
      <c r="H1968" s="954" t="str">
        <f>EUconst_EUA</f>
        <v>EUA</v>
      </c>
      <c r="I1968" s="945"/>
      <c r="J1968" s="1209" t="str">
        <f>IF(T2068&gt;=$H$2595,S2063,I2063)</f>
        <v/>
      </c>
      <c r="K1968" s="1210" t="str">
        <f t="shared" si="379"/>
        <v/>
      </c>
      <c r="L1968" s="1210" t="str">
        <f t="shared" si="380"/>
        <v/>
      </c>
      <c r="M1968" s="1210" t="str">
        <f t="shared" si="381"/>
        <v/>
      </c>
      <c r="N1968" s="1390" t="str">
        <f t="shared" si="382"/>
        <v/>
      </c>
      <c r="O1968" s="19"/>
      <c r="P1968" s="343"/>
      <c r="Q1968" s="343"/>
      <c r="R1968" s="343"/>
      <c r="S1968" s="343"/>
      <c r="T1968" s="343"/>
      <c r="U1968" s="349"/>
      <c r="V1968" s="349"/>
    </row>
    <row r="1969" spans="1:22" s="534" customFormat="1" ht="12.75" hidden="1" customHeight="1" x14ac:dyDescent="0.3">
      <c r="A1969" s="343" t="str">
        <f t="shared" si="378"/>
        <v>ausblenden</v>
      </c>
      <c r="B1969" s="15"/>
      <c r="C1969" s="17"/>
      <c r="D1969" s="1386"/>
      <c r="E1969" s="947" t="s">
        <v>1560</v>
      </c>
      <c r="F1969" s="947"/>
      <c r="G1969" s="947"/>
      <c r="H1969" s="955" t="str">
        <f>EUconst_EUA</f>
        <v>EUA</v>
      </c>
      <c r="I1969" s="948"/>
      <c r="J1969" s="1165" t="str">
        <f>IF(T2068&gt;=$H$2595,S2064,I2064)</f>
        <v/>
      </c>
      <c r="K1969" s="975" t="str">
        <f t="shared" si="379"/>
        <v/>
      </c>
      <c r="L1969" s="975" t="str">
        <f t="shared" si="380"/>
        <v/>
      </c>
      <c r="M1969" s="975" t="str">
        <f t="shared" si="381"/>
        <v/>
      </c>
      <c r="N1969" s="1391" t="str">
        <f t="shared" si="382"/>
        <v/>
      </c>
      <c r="O1969" s="19"/>
      <c r="P1969" s="343"/>
      <c r="Q1969" s="343"/>
      <c r="R1969" s="343"/>
      <c r="S1969" s="343"/>
      <c r="T1969" s="343"/>
      <c r="U1969" s="349"/>
      <c r="V1969" s="349"/>
    </row>
    <row r="1970" spans="1:22" s="534" customFormat="1" ht="12.75" hidden="1" customHeight="1" x14ac:dyDescent="0.3">
      <c r="A1970" s="343" t="str">
        <f t="shared" si="378"/>
        <v>ausblenden</v>
      </c>
      <c r="B1970" s="15"/>
      <c r="C1970" s="17"/>
      <c r="D1970" s="1386"/>
      <c r="E1970" s="947" t="s">
        <v>1527</v>
      </c>
      <c r="F1970" s="947"/>
      <c r="G1970" s="947"/>
      <c r="H1970" s="955" t="str">
        <f>EUconst_EUA</f>
        <v>EUA</v>
      </c>
      <c r="I1970" s="948"/>
      <c r="J1970" s="1165" t="str">
        <f>IF(T2068&gt;=$H$2595,S2065,I2065)</f>
        <v/>
      </c>
      <c r="K1970" s="975" t="str">
        <f t="shared" si="379"/>
        <v/>
      </c>
      <c r="L1970" s="975" t="str">
        <f t="shared" si="380"/>
        <v/>
      </c>
      <c r="M1970" s="975" t="str">
        <f t="shared" si="381"/>
        <v/>
      </c>
      <c r="N1970" s="1391" t="str">
        <f t="shared" si="382"/>
        <v/>
      </c>
      <c r="O1970" s="19"/>
      <c r="P1970" s="343"/>
      <c r="Q1970" s="343"/>
      <c r="R1970" s="343"/>
      <c r="S1970" s="343"/>
      <c r="T1970" s="343"/>
      <c r="U1970" s="349"/>
      <c r="V1970" s="349"/>
    </row>
    <row r="1971" spans="1:22" s="534" customFormat="1" ht="12.75" hidden="1" customHeight="1" x14ac:dyDescent="0.3">
      <c r="A1971" s="343" t="str">
        <f t="shared" si="378"/>
        <v>ausblenden</v>
      </c>
      <c r="B1971" s="15"/>
      <c r="C1971" s="17"/>
      <c r="D1971" s="1386"/>
      <c r="E1971" s="947" t="s">
        <v>1526</v>
      </c>
      <c r="F1971" s="947"/>
      <c r="G1971" s="947"/>
      <c r="H1971" s="956" t="s">
        <v>1112</v>
      </c>
      <c r="I1971" s="948"/>
      <c r="J1971" s="1211" t="str">
        <f>IF(T2068&gt;=$H$2595,S2066,I2066)</f>
        <v/>
      </c>
      <c r="K1971" s="1212" t="str">
        <f t="shared" si="379"/>
        <v/>
      </c>
      <c r="L1971" s="1212" t="str">
        <f t="shared" si="380"/>
        <v/>
      </c>
      <c r="M1971" s="1212" t="str">
        <f t="shared" si="381"/>
        <v/>
      </c>
      <c r="N1971" s="1392" t="str">
        <f t="shared" si="382"/>
        <v/>
      </c>
      <c r="O1971" s="19"/>
      <c r="P1971" s="343"/>
      <c r="Q1971" s="343"/>
      <c r="R1971" s="343"/>
      <c r="S1971" s="343"/>
      <c r="T1971" s="343"/>
      <c r="U1971" s="349"/>
      <c r="V1971" s="349"/>
    </row>
    <row r="1972" spans="1:22" s="534" customFormat="1" ht="12.75" hidden="1" customHeight="1" x14ac:dyDescent="0.3">
      <c r="A1972" s="343" t="str">
        <f t="shared" si="378"/>
        <v>ausblenden</v>
      </c>
      <c r="B1972" s="15"/>
      <c r="C1972" s="17"/>
      <c r="D1972" s="1386"/>
      <c r="E1972" s="950" t="s">
        <v>1528</v>
      </c>
      <c r="F1972" s="950"/>
      <c r="G1972" s="950"/>
      <c r="H1972" s="957" t="s">
        <v>1112</v>
      </c>
      <c r="I1972" s="951"/>
      <c r="J1972" s="1213" t="str">
        <f>IF(T2068&gt;=$H$2595,S2067,I2067)</f>
        <v/>
      </c>
      <c r="K1972" s="1214" t="str">
        <f t="shared" si="379"/>
        <v/>
      </c>
      <c r="L1972" s="1214" t="str">
        <f t="shared" si="380"/>
        <v/>
      </c>
      <c r="M1972" s="1214" t="str">
        <f t="shared" si="381"/>
        <v/>
      </c>
      <c r="N1972" s="1393" t="str">
        <f t="shared" si="382"/>
        <v/>
      </c>
      <c r="O1972" s="19"/>
      <c r="P1972" s="343"/>
      <c r="Q1972" s="343"/>
      <c r="R1972" s="343"/>
      <c r="S1972" s="343"/>
      <c r="T1972" s="343"/>
      <c r="U1972" s="349"/>
      <c r="V1972" s="349"/>
    </row>
    <row r="1973" spans="1:22" s="534" customFormat="1" ht="12.75" customHeight="1" x14ac:dyDescent="0.3">
      <c r="A1973" s="343"/>
      <c r="B1973" s="15"/>
      <c r="C1973" s="17"/>
      <c r="D1973" s="1386"/>
      <c r="E1973" s="514" t="str">
        <f>Translations!$B$1565</f>
        <v>Preliminärt tilldelningsvärde</v>
      </c>
      <c r="F1973" s="514"/>
      <c r="G1973" s="514"/>
      <c r="H1973" s="129" t="str">
        <f>EUconst_EUA</f>
        <v>EUA</v>
      </c>
      <c r="I1973" s="1151"/>
      <c r="J1973" s="1131" t="str">
        <f>IF($I1953="","",MAX(0,ROUND((SUM($M1956)*SUM(J1967)*SUM(J1971)*SUM(J1972)-SUM(J1968)-SUM(J1969)+SUM(J1970))*IF($H1956=TRUE,1,J$2517),0)))</f>
        <v/>
      </c>
      <c r="K1973" s="421" t="str">
        <f>IF($I1953="","",MAX(0,ROUND((SUM($M1956)*SUM(K1967)*SUM(K1971)*SUM(K1972)-SUM(K1968)-SUM(K1969)+SUM(K1970))*IF($H1956=TRUE,1,K$2517),0)))</f>
        <v/>
      </c>
      <c r="L1973" s="421" t="str">
        <f>IF($I1953="","",MAX(0,ROUND((SUM($M1956)*SUM(L1967)*SUM(L1971)*SUM(L1972)-SUM(L1968)-SUM(L1969)+SUM(L1970))*IF($H1956=TRUE,1,L$2517),0)))</f>
        <v/>
      </c>
      <c r="M1973" s="421" t="str">
        <f>IF($I1953="","",MAX(0,ROUND((SUM($M1956)*SUM(M1967)*SUM(M1971)*SUM(M1972)-SUM(M1968)-SUM(M1969)+SUM(M1970))*IF($H1956=TRUE,1,M$2517),0)))</f>
        <v/>
      </c>
      <c r="N1973" s="967" t="str">
        <f>IF($I1953="","",MAX(0,ROUND((SUM($M1956+IF(L1956=52,0.415,0))*SUM(N1967)*SUM(N1971)*SUM(N1972)-SUM(N1968)-SUM(N1969)+SUM(N1970))*IF($H1956=TRUE,1,N$2517),0)))</f>
        <v/>
      </c>
      <c r="O1973" s="19"/>
      <c r="P1973" s="343"/>
      <c r="Q1973" s="343"/>
      <c r="R1973" s="343"/>
      <c r="S1973" s="343"/>
      <c r="T1973" s="343"/>
      <c r="U1973" s="349"/>
      <c r="V1973" s="349"/>
    </row>
    <row r="1974" spans="1:22" s="534" customFormat="1" ht="5.15" customHeight="1" x14ac:dyDescent="0.3">
      <c r="A1974" s="343"/>
      <c r="B1974" s="15"/>
      <c r="C1974" s="17"/>
      <c r="D1974" s="1386"/>
      <c r="E1974" s="17"/>
      <c r="F1974" s="17"/>
      <c r="G1974" s="17"/>
      <c r="H1974" s="17"/>
      <c r="I1974" s="17"/>
      <c r="J1974" s="17"/>
      <c r="K1974" s="17"/>
      <c r="L1974" s="17"/>
      <c r="M1974" s="17"/>
      <c r="N1974" s="1388"/>
      <c r="O1974" s="19"/>
      <c r="P1974" s="343"/>
      <c r="Q1974" s="343"/>
      <c r="R1974" s="343"/>
      <c r="S1974" s="343"/>
      <c r="T1974" s="343"/>
      <c r="U1974" s="349"/>
      <c r="V1974" s="349"/>
    </row>
    <row r="1975" spans="1:22" s="534" customFormat="1" ht="12.75" customHeight="1" x14ac:dyDescent="0.3">
      <c r="A1975" s="343"/>
      <c r="B1975" s="15"/>
      <c r="C1975" s="17"/>
      <c r="D1975" s="1386"/>
      <c r="E1975" s="42" t="str">
        <f>Translations!$B$1566</f>
        <v>Ändringar: Verksamhetsnivå</v>
      </c>
      <c r="F1975" s="188"/>
      <c r="G1975" s="188"/>
      <c r="H1975" s="30" t="str">
        <f>EUconst_Unit</f>
        <v>Enhet</v>
      </c>
      <c r="I1975" s="1157"/>
      <c r="J1975" s="1065">
        <f>J$2596</f>
        <v>2021</v>
      </c>
      <c r="K1975" s="350">
        <f>K$2596</f>
        <v>2022</v>
      </c>
      <c r="L1975" s="350">
        <f>L$2596</f>
        <v>2023</v>
      </c>
      <c r="M1975" s="350">
        <f>M$2596</f>
        <v>2024</v>
      </c>
      <c r="N1975" s="966">
        <f>N$2596</f>
        <v>2025</v>
      </c>
      <c r="O1975" s="19"/>
      <c r="P1975" s="343"/>
      <c r="Q1975" s="343"/>
      <c r="R1975" s="343"/>
      <c r="S1975" s="343"/>
      <c r="T1975" s="343"/>
      <c r="U1975" s="349"/>
      <c r="V1975" s="349"/>
    </row>
    <row r="1976" spans="1:22" s="534" customFormat="1" ht="12.75" customHeight="1" x14ac:dyDescent="0.3">
      <c r="A1976" s="343"/>
      <c r="B1976" s="15"/>
      <c r="C1976" s="17"/>
      <c r="D1976" s="1386"/>
      <c r="E1976" s="944" t="str">
        <f>Translations!$B$1482</f>
        <v>Genomsnittligt årligt värde</v>
      </c>
      <c r="F1976" s="944"/>
      <c r="G1976" s="944"/>
      <c r="H1976" s="1443" t="str">
        <f>H1967</f>
        <v>ton</v>
      </c>
      <c r="I1976" s="1367"/>
      <c r="J1976" s="1161" t="str">
        <f>INDEX(F_ProductBM!J:J,MATCH($P1976,F_ProductBM!$Q:$Q,0))</f>
        <v/>
      </c>
      <c r="K1976" s="946" t="str">
        <f>INDEX(F_ProductBM!K:K,MATCH($P1976,F_ProductBM!$Q:$Q,0))</f>
        <v/>
      </c>
      <c r="L1976" s="946" t="str">
        <f>INDEX(F_ProductBM!L:L,MATCH($P1976,F_ProductBM!$Q:$Q,0))</f>
        <v/>
      </c>
      <c r="M1976" s="946" t="str">
        <f>INDEX(F_ProductBM!M:M,MATCH($P1976,F_ProductBM!$Q:$Q,0))</f>
        <v/>
      </c>
      <c r="N1976" s="1046" t="str">
        <f>INDEX(F_ProductBM!N:N,MATCH($P1976,F_ProductBM!$Q:$Q,0))</f>
        <v/>
      </c>
      <c r="O1976" s="19"/>
      <c r="P1976" s="165" t="str">
        <f>EUconst_CNTR_HALinitial&amp;I1953</f>
        <v>HALini_</v>
      </c>
      <c r="Q1976" s="343"/>
      <c r="R1976" s="343"/>
      <c r="S1976" s="343"/>
      <c r="T1976" s="343"/>
      <c r="U1976" s="349"/>
      <c r="V1976" s="349"/>
    </row>
    <row r="1977" spans="1:22" s="534" customFormat="1" ht="12.75" customHeight="1" x14ac:dyDescent="0.3">
      <c r="A1977" s="343"/>
      <c r="B1977" s="15"/>
      <c r="C1977" s="17"/>
      <c r="D1977" s="1386"/>
      <c r="E1977" s="947" t="str">
        <f>Translations!$B$1567</f>
        <v>Ändring jämfört med historik verksamhetsnivå</v>
      </c>
      <c r="F1977" s="947"/>
      <c r="G1977" s="947"/>
      <c r="H1977" s="1442" t="s">
        <v>1112</v>
      </c>
      <c r="I1977" s="1371"/>
      <c r="J1977" s="1415" t="str">
        <f>INDEX(F_ProductBM!J:J,MATCH($P1977,F_ProductBM!$Q:$Q,0))</f>
        <v/>
      </c>
      <c r="K1977" s="1416" t="str">
        <f>INDEX(F_ProductBM!K:K,MATCH($P1977,F_ProductBM!$Q:$Q,0))</f>
        <v/>
      </c>
      <c r="L1977" s="1416" t="str">
        <f>INDEX(F_ProductBM!L:L,MATCH($P1977,F_ProductBM!$Q:$Q,0))</f>
        <v/>
      </c>
      <c r="M1977" s="1416" t="str">
        <f>INDEX(F_ProductBM!M:M,MATCH($P1977,F_ProductBM!$Q:$Q,0))</f>
        <v/>
      </c>
      <c r="N1977" s="1417" t="str">
        <f>INDEX(F_ProductBM!N:N,MATCH($P1977,F_ProductBM!$Q:$Q,0))</f>
        <v/>
      </c>
      <c r="O1977" s="19"/>
      <c r="P1977" s="165" t="str">
        <f>EUconst_CNTR_RelThreshold &amp; P1979</f>
        <v>RelThresh_HALprelim_</v>
      </c>
      <c r="Q1977" s="343"/>
      <c r="R1977" s="343"/>
      <c r="S1977" s="343"/>
      <c r="T1977" s="343"/>
      <c r="U1977" s="349"/>
      <c r="V1977" s="349"/>
    </row>
    <row r="1978" spans="1:22" s="534" customFormat="1" ht="12.75" customHeight="1" x14ac:dyDescent="0.3">
      <c r="A1978" s="343"/>
      <c r="B1978" s="15"/>
      <c r="C1978" s="17"/>
      <c r="D1978" s="1386"/>
      <c r="E1978" s="1418" t="str">
        <f>Translations!$B$1553</f>
        <v>Kriterium 3a: Har relativa tröskelvärden överskridits?</v>
      </c>
      <c r="F1978" s="1418"/>
      <c r="G1978" s="1418"/>
      <c r="H1978" s="1444" t="s">
        <v>1112</v>
      </c>
      <c r="I1978" s="1423"/>
      <c r="J1978" s="1420" t="str">
        <f>INDEX(F_ProductBM!V:V,MATCH($P1978,F_ProductBM!$Q:$Q,0)+1)</f>
        <v/>
      </c>
      <c r="K1978" s="1421" t="str">
        <f>INDEX(F_ProductBM!W:W,MATCH($P1978,F_ProductBM!$Q:$Q,0)+1)</f>
        <v/>
      </c>
      <c r="L1978" s="1421" t="str">
        <f>INDEX(F_ProductBM!X:X,MATCH($P1978,F_ProductBM!$Q:$Q,0)+1)</f>
        <v/>
      </c>
      <c r="M1978" s="1421" t="str">
        <f>INDEX(F_ProductBM!Y:Y,MATCH($P1978,F_ProductBM!$Q:$Q,0)+1)</f>
        <v/>
      </c>
      <c r="N1978" s="1422" t="str">
        <f>INDEX(F_ProductBM!Z:Z,MATCH($P1978,F_ProductBM!$Q:$Q,0)+1)</f>
        <v/>
      </c>
      <c r="O1978" s="19"/>
      <c r="P1978" s="165" t="str">
        <f>P1977</f>
        <v>RelThresh_HALprelim_</v>
      </c>
      <c r="Q1978" s="343"/>
      <c r="R1978" s="343"/>
      <c r="S1978" s="343"/>
      <c r="T1978" s="343"/>
      <c r="U1978" s="349"/>
      <c r="V1978" s="349"/>
    </row>
    <row r="1979" spans="1:22" s="534" customFormat="1" ht="12.75" customHeight="1" x14ac:dyDescent="0.3">
      <c r="A1979" s="343" t="str">
        <f t="shared" ref="A1979:A1984" si="383">IF(P1979="","ausblenden","")</f>
        <v/>
      </c>
      <c r="B1979" s="15"/>
      <c r="C1979" s="17"/>
      <c r="D1979" s="1386"/>
      <c r="E1979" s="950" t="str">
        <f>Translations!$B$1568</f>
        <v>Preliminärt värde</v>
      </c>
      <c r="F1979" s="950"/>
      <c r="G1979" s="950"/>
      <c r="H1979" s="1372" t="str">
        <f>F1959</f>
        <v>ton</v>
      </c>
      <c r="I1979" s="950"/>
      <c r="J1979" s="1373" t="str">
        <f>INDEX(F_ProductBM!J:J,MATCH($P1979,F_ProductBM!$Q:$Q,0))</f>
        <v/>
      </c>
      <c r="K1979" s="1374" t="str">
        <f>INDEX(F_ProductBM!K:K,MATCH($P1979,F_ProductBM!$Q:$Q,0))</f>
        <v/>
      </c>
      <c r="L1979" s="1374" t="str">
        <f>INDEX(F_ProductBM!L:L,MATCH($P1979,F_ProductBM!$Q:$Q,0))</f>
        <v/>
      </c>
      <c r="M1979" s="1374" t="str">
        <f>INDEX(F_ProductBM!M:M,MATCH($P1979,F_ProductBM!$Q:$Q,0))</f>
        <v/>
      </c>
      <c r="N1979" s="1395" t="str">
        <f>INDEX(F_ProductBM!N:N,MATCH($P1979,F_ProductBM!$Q:$Q,0))</f>
        <v/>
      </c>
      <c r="O1979" s="19"/>
      <c r="P1979" s="165" t="str">
        <f>EUconst_CNTR_HALprelim&amp;I1953</f>
        <v>HALprelim_</v>
      </c>
      <c r="Q1979" s="343"/>
      <c r="R1979" s="343"/>
      <c r="S1979" s="343"/>
      <c r="T1979" s="343"/>
      <c r="U1979" s="349"/>
      <c r="V1979" s="349"/>
    </row>
    <row r="1980" spans="1:22" s="534" customFormat="1" ht="12.75" hidden="1" customHeight="1" x14ac:dyDescent="0.3">
      <c r="A1980" s="343" t="str">
        <f t="shared" si="383"/>
        <v>ausblenden</v>
      </c>
      <c r="B1980" s="15"/>
      <c r="C1980" s="17"/>
      <c r="D1980" s="1386"/>
      <c r="E1980" s="944" t="s">
        <v>339</v>
      </c>
      <c r="F1980" s="944"/>
      <c r="G1980" s="944"/>
      <c r="H1980" s="954" t="str">
        <f>EUconst_EUA</f>
        <v>EUA</v>
      </c>
      <c r="I1980" s="945"/>
      <c r="J1980" s="1209" t="str">
        <f>J1968</f>
        <v/>
      </c>
      <c r="K1980" s="1210" t="str">
        <f t="shared" ref="K1980:K1984" si="384">J2063</f>
        <v/>
      </c>
      <c r="L1980" s="1210" t="str">
        <f t="shared" ref="L1980:L1984" si="385">K2063</f>
        <v/>
      </c>
      <c r="M1980" s="1210" t="str">
        <f t="shared" ref="M1980:M1984" si="386">L2063</f>
        <v/>
      </c>
      <c r="N1980" s="1390" t="str">
        <f t="shared" ref="N1980:N1984" si="387">M2063</f>
        <v/>
      </c>
      <c r="O1980" s="19"/>
      <c r="P1980" s="343"/>
      <c r="Q1980" s="343"/>
      <c r="R1980" s="343"/>
      <c r="S1980" s="343"/>
      <c r="T1980" s="343"/>
      <c r="U1980" s="349"/>
      <c r="V1980" s="349"/>
    </row>
    <row r="1981" spans="1:22" s="534" customFormat="1" ht="12.75" hidden="1" customHeight="1" x14ac:dyDescent="0.3">
      <c r="A1981" s="343" t="str">
        <f t="shared" si="383"/>
        <v>ausblenden</v>
      </c>
      <c r="B1981" s="15"/>
      <c r="C1981" s="17"/>
      <c r="D1981" s="1386"/>
      <c r="E1981" s="947" t="s">
        <v>1560</v>
      </c>
      <c r="F1981" s="947"/>
      <c r="G1981" s="947"/>
      <c r="H1981" s="955" t="str">
        <f>EUconst_EUA</f>
        <v>EUA</v>
      </c>
      <c r="I1981" s="948"/>
      <c r="J1981" s="1165" t="str">
        <f>J1969</f>
        <v/>
      </c>
      <c r="K1981" s="975" t="str">
        <f t="shared" si="384"/>
        <v/>
      </c>
      <c r="L1981" s="975" t="str">
        <f t="shared" si="385"/>
        <v/>
      </c>
      <c r="M1981" s="975" t="str">
        <f t="shared" si="386"/>
        <v/>
      </c>
      <c r="N1981" s="1391" t="str">
        <f t="shared" si="387"/>
        <v/>
      </c>
      <c r="O1981" s="19"/>
      <c r="P1981" s="343"/>
      <c r="Q1981" s="343"/>
      <c r="R1981" s="343"/>
      <c r="S1981" s="343"/>
      <c r="T1981" s="343"/>
      <c r="U1981" s="349"/>
      <c r="V1981" s="349"/>
    </row>
    <row r="1982" spans="1:22" s="534" customFormat="1" ht="12.75" hidden="1" customHeight="1" x14ac:dyDescent="0.3">
      <c r="A1982" s="343" t="str">
        <f t="shared" si="383"/>
        <v>ausblenden</v>
      </c>
      <c r="B1982" s="15"/>
      <c r="C1982" s="17"/>
      <c r="D1982" s="1386"/>
      <c r="E1982" s="947" t="s">
        <v>1527</v>
      </c>
      <c r="F1982" s="947"/>
      <c r="G1982" s="947"/>
      <c r="H1982" s="955" t="str">
        <f>EUconst_EUA</f>
        <v>EUA</v>
      </c>
      <c r="I1982" s="948"/>
      <c r="J1982" s="1165" t="str">
        <f>J1970</f>
        <v/>
      </c>
      <c r="K1982" s="975" t="str">
        <f t="shared" si="384"/>
        <v/>
      </c>
      <c r="L1982" s="975" t="str">
        <f t="shared" si="385"/>
        <v/>
      </c>
      <c r="M1982" s="975" t="str">
        <f t="shared" si="386"/>
        <v/>
      </c>
      <c r="N1982" s="1391" t="str">
        <f t="shared" si="387"/>
        <v/>
      </c>
      <c r="O1982" s="19"/>
      <c r="P1982" s="343"/>
      <c r="Q1982" s="343"/>
      <c r="R1982" s="343"/>
      <c r="S1982" s="343"/>
      <c r="T1982" s="343"/>
      <c r="U1982" s="349"/>
      <c r="V1982" s="349"/>
    </row>
    <row r="1983" spans="1:22" s="534" customFormat="1" ht="12.75" hidden="1" customHeight="1" x14ac:dyDescent="0.3">
      <c r="A1983" s="343" t="str">
        <f t="shared" si="383"/>
        <v>ausblenden</v>
      </c>
      <c r="B1983" s="15"/>
      <c r="C1983" s="17"/>
      <c r="D1983" s="1386"/>
      <c r="E1983" s="947" t="s">
        <v>1526</v>
      </c>
      <c r="F1983" s="947"/>
      <c r="G1983" s="947"/>
      <c r="H1983" s="956" t="s">
        <v>1112</v>
      </c>
      <c r="I1983" s="948"/>
      <c r="J1983" s="1211" t="str">
        <f>J1971</f>
        <v/>
      </c>
      <c r="K1983" s="1212" t="str">
        <f t="shared" si="384"/>
        <v/>
      </c>
      <c r="L1983" s="1212" t="str">
        <f t="shared" si="385"/>
        <v/>
      </c>
      <c r="M1983" s="1212" t="str">
        <f t="shared" si="386"/>
        <v/>
      </c>
      <c r="N1983" s="1392" t="str">
        <f t="shared" si="387"/>
        <v/>
      </c>
      <c r="O1983" s="19"/>
      <c r="P1983" s="343"/>
      <c r="Q1983" s="343"/>
      <c r="R1983" s="343"/>
      <c r="S1983" s="343"/>
      <c r="T1983" s="343"/>
      <c r="U1983" s="349"/>
      <c r="V1983" s="349"/>
    </row>
    <row r="1984" spans="1:22" s="534" customFormat="1" ht="12.75" hidden="1" customHeight="1" x14ac:dyDescent="0.3">
      <c r="A1984" s="343" t="str">
        <f t="shared" si="383"/>
        <v>ausblenden</v>
      </c>
      <c r="B1984" s="15"/>
      <c r="C1984" s="17"/>
      <c r="D1984" s="1386"/>
      <c r="E1984" s="950" t="s">
        <v>1528</v>
      </c>
      <c r="F1984" s="950"/>
      <c r="G1984" s="950"/>
      <c r="H1984" s="957" t="s">
        <v>1112</v>
      </c>
      <c r="I1984" s="951"/>
      <c r="J1984" s="1213" t="str">
        <f>J1972</f>
        <v/>
      </c>
      <c r="K1984" s="1214" t="str">
        <f t="shared" si="384"/>
        <v/>
      </c>
      <c r="L1984" s="1214" t="str">
        <f t="shared" si="385"/>
        <v/>
      </c>
      <c r="M1984" s="1214" t="str">
        <f t="shared" si="386"/>
        <v/>
      </c>
      <c r="N1984" s="1393" t="str">
        <f t="shared" si="387"/>
        <v/>
      </c>
      <c r="O1984" s="19"/>
      <c r="P1984" s="343"/>
      <c r="Q1984" s="343"/>
      <c r="R1984" s="343"/>
      <c r="S1984" s="343"/>
      <c r="T1984" s="343"/>
      <c r="U1984" s="349"/>
      <c r="V1984" s="349"/>
    </row>
    <row r="1985" spans="1:22" s="534" customFormat="1" ht="12.75" customHeight="1" x14ac:dyDescent="0.3">
      <c r="A1985" s="343"/>
      <c r="B1985" s="15"/>
      <c r="C1985" s="17"/>
      <c r="D1985" s="1386"/>
      <c r="E1985" s="514" t="str">
        <f>Translations!$B$1565</f>
        <v>Preliminärt tilldelningsvärde</v>
      </c>
      <c r="F1985" s="514"/>
      <c r="G1985" s="514"/>
      <c r="H1985" s="129" t="str">
        <f>EUconst_EUA</f>
        <v>EUA</v>
      </c>
      <c r="I1985" s="1151"/>
      <c r="J1985" s="1131" t="str">
        <f>IF($I1953="","",MAX(0,ROUND((SUM($M1956)*SUM(J1979)*SUM(J1983)*SUM(J1984)-SUM(J1980)-SUM(J1981)+SUM(J1982))*IF($H1956=TRUE,1,J$2517),0)))</f>
        <v/>
      </c>
      <c r="K1985" s="421" t="str">
        <f>IF($I1953="","",MAX(0,ROUND((SUM($M1956)*SUM(K1979)*SUM(K1983)*SUM(K1984)-SUM(K1980)-SUM(K1981)+SUM(K1982))*IF($H1956=TRUE,1,K$2517),0)))</f>
        <v/>
      </c>
      <c r="L1985" s="421" t="str">
        <f>IF($I1953="","",MAX(0,ROUND((SUM($M1956)*SUM(L1979)*SUM(L1983)*SUM(L1984)-SUM(L1980)-SUM(L1981)+SUM(L1982))*IF($H1956=TRUE,1,L$2517),0)))</f>
        <v/>
      </c>
      <c r="M1985" s="421" t="str">
        <f>IF($I1953="","",MAX(0,ROUND((SUM($M1956)*SUM(M1979)*SUM(M1983)*SUM(M1984)-SUM(M1980)-SUM(M1981)+SUM(M1982))*IF($H1956=TRUE,1,M$2517),0)))</f>
        <v/>
      </c>
      <c r="N1985" s="967" t="str">
        <f>IF($I1953="","",MAX(0,ROUND((SUM($M1956+IF(L1956=52,0.415,0))*SUM(N1979)*SUM(N1983)*SUM(N1984)-SUM(N1980)-SUM(N1981)+SUM(N1982))*IF($H1956=TRUE,1,N$2517),0)))</f>
        <v/>
      </c>
      <c r="O1985" s="19"/>
      <c r="P1985" s="343"/>
      <c r="Q1985" s="343"/>
      <c r="R1985" s="343"/>
      <c r="S1985" s="343"/>
      <c r="T1985" s="343"/>
      <c r="U1985" s="349"/>
      <c r="V1985" s="349"/>
    </row>
    <row r="1986" spans="1:22" s="534" customFormat="1" ht="12.75" customHeight="1" x14ac:dyDescent="0.3">
      <c r="A1986" s="343"/>
      <c r="B1986" s="15"/>
      <c r="C1986" s="17"/>
      <c r="D1986" s="1386"/>
      <c r="E1986" s="514" t="str">
        <f>Translations!$B$1569</f>
        <v>Skillnad i tilldelning</v>
      </c>
      <c r="F1986" s="514"/>
      <c r="G1986" s="514"/>
      <c r="H1986" s="129" t="str">
        <f>EUconst_EUA</f>
        <v>EUA</v>
      </c>
      <c r="I1986" s="1151"/>
      <c r="J1986" s="1131" t="str">
        <f>IF($I1953="","",ABS(SUM(J1985)-SUM(J1973)))</f>
        <v/>
      </c>
      <c r="K1986" s="421" t="str">
        <f>IF($I1953="","",ABS(SUM(K1985)-SUM(K1973)))</f>
        <v/>
      </c>
      <c r="L1986" s="421" t="str">
        <f>IF($I1953="","",ABS(SUM(L1985)-SUM(L1973)))</f>
        <v/>
      </c>
      <c r="M1986" s="421" t="str">
        <f>IF($I1953="","",ABS(SUM(M1985)-SUM(M1973)))</f>
        <v/>
      </c>
      <c r="N1986" s="967" t="str">
        <f>IF($I1953="","",ABS(SUM(N1985)-SUM(N1973)))</f>
        <v/>
      </c>
      <c r="O1986" s="19"/>
      <c r="P1986" s="343"/>
      <c r="Q1986" s="343"/>
      <c r="R1986" s="343"/>
      <c r="S1986" s="343"/>
      <c r="T1986" s="343"/>
      <c r="U1986" s="349"/>
      <c r="V1986" s="349"/>
    </row>
    <row r="1987" spans="1:22" s="534" customFormat="1" ht="12.75" customHeight="1" x14ac:dyDescent="0.3">
      <c r="A1987" s="343"/>
      <c r="B1987" s="15"/>
      <c r="C1987" s="17"/>
      <c r="D1987" s="1386"/>
      <c r="E1987" s="1419" t="str">
        <f>Translations!$B$1555</f>
        <v>Kriterium 4a: Är skillnaden minst 100 utsläppsrätter?</v>
      </c>
      <c r="F1987" s="1419"/>
      <c r="G1987" s="1419"/>
      <c r="H1987" s="1424" t="s">
        <v>1112</v>
      </c>
      <c r="I1987" s="1425"/>
      <c r="J1987" s="1426" t="str">
        <f>IF($I1953="","",J1986&gt;=100)</f>
        <v/>
      </c>
      <c r="K1987" s="1427" t="str">
        <f>IF($I1953="","",K1986&gt;=100)</f>
        <v/>
      </c>
      <c r="L1987" s="1427" t="str">
        <f>IF($I1953="","",L1986&gt;=100)</f>
        <v/>
      </c>
      <c r="M1987" s="1427" t="str">
        <f>IF($I1953="","",M1986&gt;=100)</f>
        <v/>
      </c>
      <c r="N1987" s="1428" t="str">
        <f>IF($I1953="","",N1986&gt;=100)</f>
        <v/>
      </c>
      <c r="O1987" s="19"/>
      <c r="P1987" s="165" t="str">
        <f>EUconst_CNTR_100EUA_ActivityLevel&amp;I1953</f>
        <v>EUA100AL_</v>
      </c>
      <c r="Q1987" s="343"/>
      <c r="R1987" s="343"/>
      <c r="S1987" s="343"/>
      <c r="T1987" s="343"/>
      <c r="U1987" s="349"/>
      <c r="V1987" s="349"/>
    </row>
    <row r="1988" spans="1:22" s="534" customFormat="1" ht="5.15" customHeight="1" x14ac:dyDescent="0.3">
      <c r="A1988" s="343"/>
      <c r="B1988" s="15"/>
      <c r="C1988" s="17"/>
      <c r="D1988" s="1386"/>
      <c r="E1988" s="15"/>
      <c r="F1988" s="15"/>
      <c r="G1988" s="15"/>
      <c r="H1988" s="15"/>
      <c r="I1988" s="941"/>
      <c r="J1988" s="15"/>
      <c r="K1988" s="15"/>
      <c r="L1988" s="15"/>
      <c r="M1988" s="15"/>
      <c r="N1988" s="968"/>
      <c r="O1988" s="19"/>
      <c r="P1988" s="343"/>
      <c r="Q1988" s="343"/>
      <c r="R1988" s="343"/>
      <c r="S1988" s="343"/>
      <c r="T1988" s="343"/>
      <c r="U1988" s="349"/>
      <c r="V1988" s="349"/>
    </row>
    <row r="1989" spans="1:22" s="534" customFormat="1" ht="12.75" customHeight="1" x14ac:dyDescent="0.3">
      <c r="A1989" s="343"/>
      <c r="B1989" s="15"/>
      <c r="C1989" s="17"/>
      <c r="D1989" s="1386"/>
      <c r="E1989" s="42" t="str">
        <f>Translations!$B$1570</f>
        <v>Ändringar: Utbytt el</v>
      </c>
      <c r="F1989" s="188"/>
      <c r="G1989" s="188"/>
      <c r="H1989" s="30" t="str">
        <f>EUconst_Unit</f>
        <v>Enhet</v>
      </c>
      <c r="I1989" s="1157"/>
      <c r="J1989" s="1065">
        <f>J$2596</f>
        <v>2021</v>
      </c>
      <c r="K1989" s="350">
        <f>K$2596</f>
        <v>2022</v>
      </c>
      <c r="L1989" s="350">
        <f>L$2596</f>
        <v>2023</v>
      </c>
      <c r="M1989" s="350">
        <f>M$2596</f>
        <v>2024</v>
      </c>
      <c r="N1989" s="966">
        <f>N$2596</f>
        <v>2025</v>
      </c>
      <c r="O1989" s="19"/>
      <c r="P1989" s="343"/>
      <c r="Q1989" s="343"/>
      <c r="R1989" s="343"/>
      <c r="S1989" s="343"/>
      <c r="T1989" s="343"/>
      <c r="U1989" s="349"/>
      <c r="V1989" s="349"/>
    </row>
    <row r="1990" spans="1:22" s="534" customFormat="1" ht="12.75" hidden="1" customHeight="1" x14ac:dyDescent="0.3">
      <c r="A1990" s="343" t="str">
        <f>IF(P1990="","ausblenden","")</f>
        <v>ausblenden</v>
      </c>
      <c r="B1990" s="15"/>
      <c r="C1990" s="17"/>
      <c r="D1990" s="1386"/>
      <c r="E1990" s="514" t="s">
        <v>1918</v>
      </c>
      <c r="F1990" s="514"/>
      <c r="G1990" s="514"/>
      <c r="H1990" s="917" t="str">
        <f>H1979</f>
        <v>ton</v>
      </c>
      <c r="I1990" s="514"/>
      <c r="J1990" s="1152" t="str">
        <f>J1967</f>
        <v/>
      </c>
      <c r="K1990" s="943" t="str">
        <f t="shared" ref="K1990:K1993" si="388">J2062</f>
        <v/>
      </c>
      <c r="L1990" s="943" t="str">
        <f t="shared" ref="L1990:L1993" si="389">K2062</f>
        <v/>
      </c>
      <c r="M1990" s="943" t="str">
        <f t="shared" ref="M1990:M1993" si="390">L2062</f>
        <v/>
      </c>
      <c r="N1990" s="1389" t="str">
        <f t="shared" ref="N1990:N1993" si="391">M2062</f>
        <v/>
      </c>
      <c r="O1990" s="19"/>
      <c r="P1990" s="343"/>
      <c r="Q1990" s="343"/>
      <c r="R1990" s="343"/>
      <c r="S1990" s="343"/>
      <c r="T1990" s="343"/>
      <c r="U1990" s="349"/>
      <c r="V1990" s="349"/>
    </row>
    <row r="1991" spans="1:22" s="534" customFormat="1" ht="12.75" hidden="1" customHeight="1" x14ac:dyDescent="0.3">
      <c r="A1991" s="343" t="str">
        <f>IF(P1991="","ausblenden","")</f>
        <v>ausblenden</v>
      </c>
      <c r="B1991" s="15"/>
      <c r="C1991" s="17"/>
      <c r="D1991" s="1386"/>
      <c r="E1991" s="944" t="s">
        <v>339</v>
      </c>
      <c r="F1991" s="944"/>
      <c r="G1991" s="944"/>
      <c r="H1991" s="954" t="str">
        <f>EUconst_EUA</f>
        <v>EUA</v>
      </c>
      <c r="I1991" s="945"/>
      <c r="J1991" s="1209" t="str">
        <f>J1968</f>
        <v/>
      </c>
      <c r="K1991" s="1210" t="str">
        <f t="shared" si="388"/>
        <v/>
      </c>
      <c r="L1991" s="1210" t="str">
        <f t="shared" si="389"/>
        <v/>
      </c>
      <c r="M1991" s="1210" t="str">
        <f t="shared" si="390"/>
        <v/>
      </c>
      <c r="N1991" s="1390" t="str">
        <f t="shared" si="391"/>
        <v/>
      </c>
      <c r="O1991" s="19"/>
      <c r="P1991" s="343"/>
      <c r="Q1991" s="343"/>
      <c r="R1991" s="343"/>
      <c r="S1991" s="343"/>
      <c r="T1991" s="343"/>
      <c r="U1991" s="349"/>
      <c r="V1991" s="349"/>
    </row>
    <row r="1992" spans="1:22" s="534" customFormat="1" ht="12.75" hidden="1" customHeight="1" x14ac:dyDescent="0.3">
      <c r="A1992" s="343" t="str">
        <f>IF(P1992="","ausblenden","")</f>
        <v>ausblenden</v>
      </c>
      <c r="B1992" s="15"/>
      <c r="C1992" s="17"/>
      <c r="D1992" s="1386"/>
      <c r="E1992" s="947" t="s">
        <v>1560</v>
      </c>
      <c r="F1992" s="947"/>
      <c r="G1992" s="947"/>
      <c r="H1992" s="955" t="str">
        <f>EUconst_EUA</f>
        <v>EUA</v>
      </c>
      <c r="I1992" s="948"/>
      <c r="J1992" s="1165" t="str">
        <f>J1969</f>
        <v/>
      </c>
      <c r="K1992" s="975" t="str">
        <f t="shared" si="388"/>
        <v/>
      </c>
      <c r="L1992" s="975" t="str">
        <f t="shared" si="389"/>
        <v/>
      </c>
      <c r="M1992" s="975" t="str">
        <f t="shared" si="390"/>
        <v/>
      </c>
      <c r="N1992" s="1391" t="str">
        <f t="shared" si="391"/>
        <v/>
      </c>
      <c r="O1992" s="19"/>
      <c r="P1992" s="343"/>
      <c r="Q1992" s="343"/>
      <c r="R1992" s="343"/>
      <c r="S1992" s="343"/>
      <c r="T1992" s="343"/>
      <c r="U1992" s="349"/>
      <c r="V1992" s="349"/>
    </row>
    <row r="1993" spans="1:22" s="534" customFormat="1" ht="12.75" hidden="1" customHeight="1" x14ac:dyDescent="0.3">
      <c r="A1993" s="343" t="str">
        <f>IF(P1993="","ausblenden","")</f>
        <v>ausblenden</v>
      </c>
      <c r="B1993" s="15"/>
      <c r="C1993" s="17"/>
      <c r="D1993" s="1386"/>
      <c r="E1993" s="1433" t="s">
        <v>1527</v>
      </c>
      <c r="F1993" s="1433"/>
      <c r="G1993" s="1433"/>
      <c r="H1993" s="1434" t="str">
        <f>EUconst_EUA</f>
        <v>EUA</v>
      </c>
      <c r="I1993" s="1435"/>
      <c r="J1993" s="1436" t="str">
        <f>J1970</f>
        <v/>
      </c>
      <c r="K1993" s="1437" t="str">
        <f t="shared" si="388"/>
        <v/>
      </c>
      <c r="L1993" s="1437" t="str">
        <f t="shared" si="389"/>
        <v/>
      </c>
      <c r="M1993" s="1437" t="str">
        <f t="shared" si="390"/>
        <v/>
      </c>
      <c r="N1993" s="1438" t="str">
        <f t="shared" si="391"/>
        <v/>
      </c>
      <c r="O1993" s="19"/>
      <c r="P1993" s="343"/>
      <c r="Q1993" s="343"/>
      <c r="R1993" s="343"/>
      <c r="S1993" s="343"/>
      <c r="T1993" s="343"/>
      <c r="U1993" s="349"/>
      <c r="V1993" s="349"/>
    </row>
    <row r="1994" spans="1:22" s="534" customFormat="1" ht="12.75" customHeight="1" x14ac:dyDescent="0.3">
      <c r="A1994" s="343"/>
      <c r="B1994" s="15"/>
      <c r="C1994" s="17"/>
      <c r="D1994" s="1386"/>
      <c r="E1994" s="944" t="str">
        <f>Translations!$B$1482</f>
        <v>Genomsnittligt årligt värde</v>
      </c>
      <c r="F1994" s="944"/>
      <c r="G1994" s="944"/>
      <c r="H1994" s="627" t="s">
        <v>1112</v>
      </c>
      <c r="I1994" s="945"/>
      <c r="J1994" s="1439" t="str">
        <f>INDEX(F_ProductBM!J:J,MATCH($P1994,F_ProductBM!$Q:$Q,0))</f>
        <v/>
      </c>
      <c r="K1994" s="1440" t="str">
        <f>INDEX(F_ProductBM!K:K,MATCH($P1994,F_ProductBM!$Q:$Q,0))</f>
        <v/>
      </c>
      <c r="L1994" s="1440" t="str">
        <f>INDEX(F_ProductBM!L:L,MATCH($P1994,F_ProductBM!$Q:$Q,0))</f>
        <v/>
      </c>
      <c r="M1994" s="1440" t="str">
        <f>INDEX(F_ProductBM!M:M,MATCH($P1994,F_ProductBM!$Q:$Q,0))</f>
        <v/>
      </c>
      <c r="N1994" s="1441" t="str">
        <f>INDEX(F_ProductBM!N:N,MATCH($P1994,F_ProductBM!$Q:$Q,0))</f>
        <v/>
      </c>
      <c r="O1994" s="19"/>
      <c r="P1994" s="165" t="str">
        <f>EUconst_CNTR_HAL &amp; EUconst_CNTR_ELEXCHInitial &amp; I1953</f>
        <v>HAL_ELEXCHIni_</v>
      </c>
      <c r="Q1994" s="343"/>
      <c r="R1994" s="343"/>
      <c r="S1994" s="343"/>
      <c r="T1994" s="343"/>
      <c r="U1994" s="349"/>
      <c r="V1994" s="349"/>
    </row>
    <row r="1995" spans="1:22" s="534" customFormat="1" ht="12.75" customHeight="1" x14ac:dyDescent="0.3">
      <c r="A1995" s="343"/>
      <c r="B1995" s="15"/>
      <c r="C1995" s="17"/>
      <c r="D1995" s="1386"/>
      <c r="E1995" s="947" t="str">
        <f>Translations!$B$1571</f>
        <v>Ändring jämfört med värde enligt nationella genomförandeåtgärder</v>
      </c>
      <c r="F1995" s="947"/>
      <c r="G1995" s="947"/>
      <c r="H1995" s="1442" t="s">
        <v>1112</v>
      </c>
      <c r="I1995" s="1371"/>
      <c r="J1995" s="1415" t="str">
        <f>INDEX(F_ProductBM!J:J,MATCH($P1995,F_ProductBM!$Q:$Q,0))</f>
        <v/>
      </c>
      <c r="K1995" s="1416" t="str">
        <f>INDEX(F_ProductBM!K:K,MATCH($P1995,F_ProductBM!$Q:$Q,0))</f>
        <v/>
      </c>
      <c r="L1995" s="1416" t="str">
        <f>INDEX(F_ProductBM!L:L,MATCH($P1995,F_ProductBM!$Q:$Q,0))</f>
        <v/>
      </c>
      <c r="M1995" s="1416" t="str">
        <f>INDEX(F_ProductBM!M:M,MATCH($P1995,F_ProductBM!$Q:$Q,0))</f>
        <v/>
      </c>
      <c r="N1995" s="1417" t="str">
        <f>INDEX(F_ProductBM!N:N,MATCH($P1995,F_ProductBM!$Q:$Q,0))</f>
        <v/>
      </c>
      <c r="O1995" s="19"/>
      <c r="P1995" s="165" t="str">
        <f>EUconst_CNTR_RelThreshold &amp; P1997</f>
        <v>RelThresh_HALprelim_ELEXCH_</v>
      </c>
      <c r="Q1995" s="343"/>
      <c r="R1995" s="343"/>
      <c r="S1995" s="343"/>
      <c r="T1995" s="343"/>
      <c r="U1995" s="349"/>
      <c r="V1995" s="349"/>
    </row>
    <row r="1996" spans="1:22" s="534" customFormat="1" ht="12.75" customHeight="1" x14ac:dyDescent="0.3">
      <c r="A1996" s="343"/>
      <c r="B1996" s="15"/>
      <c r="C1996" s="17"/>
      <c r="D1996" s="1386"/>
      <c r="E1996" s="1418" t="str">
        <f>Translations!$B$1572</f>
        <v>Kriterium 3b: Har relativa tröskelvärden överskridits?</v>
      </c>
      <c r="F1996" s="1418"/>
      <c r="G1996" s="1418"/>
      <c r="H1996" s="1444" t="s">
        <v>1112</v>
      </c>
      <c r="I1996" s="1423"/>
      <c r="J1996" s="1420" t="str">
        <f>INDEX(F_ProductBM!V:V,MATCH($P1996,F_ProductBM!$Q:$Q,0))</f>
        <v/>
      </c>
      <c r="K1996" s="1421" t="str">
        <f>INDEX(F_ProductBM!W:W,MATCH($P1996,F_ProductBM!$Q:$Q,0))</f>
        <v/>
      </c>
      <c r="L1996" s="1421" t="str">
        <f>INDEX(F_ProductBM!X:X,MATCH($P1996,F_ProductBM!$Q:$Q,0))</f>
        <v/>
      </c>
      <c r="M1996" s="1421" t="str">
        <f>INDEX(F_ProductBM!Y:Y,MATCH($P1996,F_ProductBM!$Q:$Q,0))</f>
        <v/>
      </c>
      <c r="N1996" s="1422" t="str">
        <f>INDEX(F_ProductBM!Z:Z,MATCH($P1996,F_ProductBM!$Q:$Q,0))</f>
        <v/>
      </c>
      <c r="O1996" s="19"/>
      <c r="P1996" s="165" t="str">
        <f>P1995</f>
        <v>RelThresh_HALprelim_ELEXCH_</v>
      </c>
      <c r="Q1996" s="343"/>
      <c r="R1996" s="343"/>
      <c r="S1996" s="343"/>
      <c r="T1996" s="343"/>
      <c r="U1996" s="349"/>
      <c r="V1996" s="349"/>
    </row>
    <row r="1997" spans="1:22" s="534" customFormat="1" ht="12.75" customHeight="1" x14ac:dyDescent="0.3">
      <c r="A1997" s="343" t="str">
        <f>IF(P1997="","ausblenden","")</f>
        <v/>
      </c>
      <c r="B1997" s="15"/>
      <c r="C1997" s="17"/>
      <c r="D1997" s="1386"/>
      <c r="E1997" s="950" t="str">
        <f>Translations!$B$1568</f>
        <v>Preliminärt värde</v>
      </c>
      <c r="F1997" s="950"/>
      <c r="G1997" s="950"/>
      <c r="H1997" s="629" t="s">
        <v>1112</v>
      </c>
      <c r="I1997" s="950"/>
      <c r="J1997" s="1404" t="str">
        <f>IF($I1956=TRUE,INDEX(F_ProductBM!J:J,MATCH($P1997,F_ProductBM!$Q:$Q,0)),"")</f>
        <v/>
      </c>
      <c r="K1997" s="1405" t="str">
        <f>IF($I1956=TRUE,INDEX(F_ProductBM!K:K,MATCH($P1997,F_ProductBM!$Q:$Q,0)),"")</f>
        <v/>
      </c>
      <c r="L1997" s="1405" t="str">
        <f>IF($I1956=TRUE,INDEX(F_ProductBM!L:L,MATCH($P1997,F_ProductBM!$Q:$Q,0)),"")</f>
        <v/>
      </c>
      <c r="M1997" s="1405" t="str">
        <f>IF($I1956=TRUE,INDEX(F_ProductBM!M:M,MATCH($P1997,F_ProductBM!$Q:$Q,0)),"")</f>
        <v/>
      </c>
      <c r="N1997" s="1406" t="str">
        <f>IF($I1956=TRUE,INDEX(F_ProductBM!N:N,MATCH($P1997,F_ProductBM!$Q:$Q,0)),"")</f>
        <v/>
      </c>
      <c r="O1997" s="19"/>
      <c r="P1997" s="165" t="str">
        <f>EUconst_CNTR_HALprelim&amp;EUconst_CNTR_ELEXCH&amp;$I1953</f>
        <v>HALprelim_ELEXCH_</v>
      </c>
      <c r="Q1997" s="343"/>
      <c r="R1997" s="343"/>
      <c r="S1997" s="343"/>
      <c r="T1997" s="343"/>
      <c r="U1997" s="349"/>
      <c r="V1997" s="349"/>
    </row>
    <row r="1998" spans="1:22" s="534" customFormat="1" ht="12.75" hidden="1" customHeight="1" x14ac:dyDescent="0.3">
      <c r="A1998" s="343" t="str">
        <f>IF(P1998="","ausblenden","")</f>
        <v>ausblenden</v>
      </c>
      <c r="B1998" s="15"/>
      <c r="C1998" s="17"/>
      <c r="D1998" s="1386"/>
      <c r="E1998" s="950" t="s">
        <v>1528</v>
      </c>
      <c r="F1998" s="950"/>
      <c r="G1998" s="950"/>
      <c r="H1998" s="1375" t="s">
        <v>1112</v>
      </c>
      <c r="I1998" s="951"/>
      <c r="J1998" s="1213" t="str">
        <f>J1972</f>
        <v/>
      </c>
      <c r="K1998" s="1214" t="str">
        <f>J2067</f>
        <v/>
      </c>
      <c r="L1998" s="1214" t="str">
        <f>K2067</f>
        <v/>
      </c>
      <c r="M1998" s="1214" t="str">
        <f>L2067</f>
        <v/>
      </c>
      <c r="N1998" s="1393" t="str">
        <f>M2067</f>
        <v/>
      </c>
      <c r="O1998" s="19"/>
      <c r="P1998" s="343"/>
      <c r="Q1998" s="343"/>
      <c r="R1998" s="343"/>
      <c r="S1998" s="343"/>
      <c r="T1998" s="343"/>
      <c r="U1998" s="349"/>
      <c r="V1998" s="349"/>
    </row>
    <row r="1999" spans="1:22" s="534" customFormat="1" ht="12.75" customHeight="1" x14ac:dyDescent="0.3">
      <c r="A1999" s="343"/>
      <c r="B1999" s="15"/>
      <c r="C1999" s="17"/>
      <c r="D1999" s="1386"/>
      <c r="E1999" s="514" t="str">
        <f>Translations!$B$1565</f>
        <v>Preliminärt tilldelningsvärde</v>
      </c>
      <c r="F1999" s="514"/>
      <c r="G1999" s="514"/>
      <c r="H1999" s="129" t="str">
        <f>EUconst_EUA</f>
        <v>EUA</v>
      </c>
      <c r="I1999" s="1151"/>
      <c r="J1999" s="1131" t="str">
        <f>IF($I1956=TRUE,MAX(0,ROUND((SUM($M1956)*SUM(J1990)*SUM(J1997)*SUM(J1998)-SUM(J1991)-SUM(J1992)+SUM(J1993))*IF($H1956=TRUE,1,J$2517),0)),"")</f>
        <v/>
      </c>
      <c r="K1999" s="421" t="str">
        <f>IF($I1956=TRUE,MAX(0,ROUND((SUM($M1956)*SUM(K1990)*SUM(K1997)*SUM(K1998)-SUM(K1991)-SUM(K1992)+SUM(K1993))*IF($H1956=TRUE,1,K$2517),0)),"")</f>
        <v/>
      </c>
      <c r="L1999" s="421" t="str">
        <f>IF($I1956=TRUE,MAX(0,ROUND((SUM($M1956)*SUM(L1990)*SUM(L1997)*SUM(L1998)-SUM(L1991)-SUM(L1992)+SUM(L1993))*IF($H1956=TRUE,1,L$2517),0)),"")</f>
        <v/>
      </c>
      <c r="M1999" s="421" t="str">
        <f>IF($I1956=TRUE,MAX(0,ROUND((SUM($M1956)*SUM(M1990)*SUM(M1997)*SUM(M1998)-SUM(M1991)-SUM(M1992)+SUM(M1993))*IF($H1956=TRUE,1,M$2517),0)),"")</f>
        <v/>
      </c>
      <c r="N1999" s="967" t="str">
        <f>IF($I1956=TRUE,MAX(0,ROUND((SUM($M1956)*SUM(N1990)*SUM(N1997)*SUM(N1998)-SUM(N1991)-SUM(N1992)+SUM(N1993))*IF($H1956=TRUE,1,N$2517),0)),"")</f>
        <v/>
      </c>
      <c r="O1999" s="19"/>
      <c r="P1999" s="343"/>
      <c r="Q1999" s="343"/>
      <c r="R1999" s="343"/>
      <c r="S1999" s="343"/>
      <c r="T1999" s="343"/>
      <c r="U1999" s="349"/>
      <c r="V1999" s="349"/>
    </row>
    <row r="2000" spans="1:22" s="534" customFormat="1" ht="12.75" customHeight="1" x14ac:dyDescent="0.3">
      <c r="A2000" s="343"/>
      <c r="B2000" s="15"/>
      <c r="C2000" s="17"/>
      <c r="D2000" s="1386"/>
      <c r="E2000" s="514" t="str">
        <f>Translations!$B$1569</f>
        <v>Skillnad i tilldelning</v>
      </c>
      <c r="F2000" s="514"/>
      <c r="G2000" s="514"/>
      <c r="H2000" s="129" t="str">
        <f>EUconst_EUA</f>
        <v>EUA</v>
      </c>
      <c r="I2000" s="1151"/>
      <c r="J2000" s="1131" t="str">
        <f>IF($I1956=TRUE,ABS(SUM(J1999)-SUM(J1973)),"")</f>
        <v/>
      </c>
      <c r="K2000" s="421" t="str">
        <f>IF($I1956=TRUE,ABS(SUM(K1999)-SUM(K1973)),"")</f>
        <v/>
      </c>
      <c r="L2000" s="421" t="str">
        <f>IF($I1956=TRUE,ABS(SUM(L1999)-SUM(L1973)),"")</f>
        <v/>
      </c>
      <c r="M2000" s="421" t="str">
        <f>IF($I1956=TRUE,ABS(SUM(M1999)-SUM(M1973)),"")</f>
        <v/>
      </c>
      <c r="N2000" s="967" t="str">
        <f>IF($I1956=TRUE,ABS(SUM(N1999)-SUM(N1973)),"")</f>
        <v/>
      </c>
      <c r="O2000" s="19"/>
      <c r="P2000" s="343"/>
      <c r="Q2000" s="343"/>
      <c r="R2000" s="343"/>
      <c r="S2000" s="343"/>
      <c r="T2000" s="343"/>
      <c r="U2000" s="349"/>
      <c r="V2000" s="349"/>
    </row>
    <row r="2001" spans="1:22" s="534" customFormat="1" ht="12.75" customHeight="1" x14ac:dyDescent="0.3">
      <c r="A2001" s="343"/>
      <c r="B2001" s="15"/>
      <c r="C2001" s="17"/>
      <c r="D2001" s="1386"/>
      <c r="E2001" s="1419" t="str">
        <f>Translations!$B$1573</f>
        <v>Kriterium 4b: Är skillnaden minst 100 utsläppsrätter?</v>
      </c>
      <c r="F2001" s="1419"/>
      <c r="G2001" s="1419"/>
      <c r="H2001" s="1424" t="s">
        <v>1112</v>
      </c>
      <c r="I2001" s="1425"/>
      <c r="J2001" s="1426" t="str">
        <f>IF($I1956=TRUE,J2000&gt;=100,"")</f>
        <v/>
      </c>
      <c r="K2001" s="1427" t="str">
        <f>IF($I1956=TRUE,K2000&gt;=100,"")</f>
        <v/>
      </c>
      <c r="L2001" s="1427" t="str">
        <f>IF($I1956=TRUE,L2000&gt;=100,"")</f>
        <v/>
      </c>
      <c r="M2001" s="1427" t="str">
        <f>IF($I1956=TRUE,M2000&gt;=100,"")</f>
        <v/>
      </c>
      <c r="N2001" s="1428" t="str">
        <f>IF($I1956=TRUE,N2000&gt;=100,"")</f>
        <v/>
      </c>
      <c r="O2001" s="19"/>
      <c r="P2001" s="165" t="str">
        <f>EUconst_CNTR_100EUA_ElExch&amp;I1953</f>
        <v>EUA100ElExch_</v>
      </c>
      <c r="Q2001" s="343"/>
      <c r="R2001" s="343"/>
      <c r="S2001" s="343"/>
      <c r="T2001" s="343"/>
      <c r="U2001" s="349"/>
      <c r="V2001" s="349"/>
    </row>
    <row r="2002" spans="1:22" s="534" customFormat="1" ht="5.15" customHeight="1" x14ac:dyDescent="0.3">
      <c r="A2002" s="343"/>
      <c r="B2002" s="15"/>
      <c r="C2002" s="17"/>
      <c r="D2002" s="1386"/>
      <c r="E2002" s="15"/>
      <c r="F2002" s="15"/>
      <c r="G2002" s="15"/>
      <c r="H2002" s="15"/>
      <c r="I2002" s="941"/>
      <c r="J2002" s="15"/>
      <c r="K2002" s="15"/>
      <c r="L2002" s="15"/>
      <c r="M2002" s="15"/>
      <c r="N2002" s="968"/>
      <c r="O2002" s="19"/>
      <c r="P2002" s="343"/>
      <c r="Q2002" s="343"/>
      <c r="R2002" s="343"/>
      <c r="S2002" s="343"/>
      <c r="T2002" s="343"/>
      <c r="U2002" s="349"/>
      <c r="V2002" s="349"/>
    </row>
    <row r="2003" spans="1:22" s="534" customFormat="1" ht="12.75" customHeight="1" x14ac:dyDescent="0.3">
      <c r="A2003" s="343"/>
      <c r="B2003" s="15"/>
      <c r="C2003" s="17"/>
      <c r="D2003" s="1386"/>
      <c r="E2003" s="42" t="str">
        <f>Translations!$B$1574</f>
        <v>Ändringar: Värme från icke-ETS</v>
      </c>
      <c r="F2003" s="188"/>
      <c r="G2003" s="188"/>
      <c r="H2003" s="30" t="str">
        <f>EUconst_Unit</f>
        <v>Enhet</v>
      </c>
      <c r="I2003" s="1157"/>
      <c r="J2003" s="1065">
        <f>J$2596</f>
        <v>2021</v>
      </c>
      <c r="K2003" s="350">
        <f>K$2596</f>
        <v>2022</v>
      </c>
      <c r="L2003" s="350">
        <f>L$2596</f>
        <v>2023</v>
      </c>
      <c r="M2003" s="350">
        <f>M$2596</f>
        <v>2024</v>
      </c>
      <c r="N2003" s="966">
        <f>N$2596</f>
        <v>2025</v>
      </c>
      <c r="O2003" s="19"/>
      <c r="P2003" s="343"/>
      <c r="Q2003" s="343"/>
      <c r="R2003" s="343"/>
      <c r="S2003" s="343"/>
      <c r="T2003" s="343"/>
      <c r="U2003" s="349"/>
      <c r="V2003" s="349"/>
    </row>
    <row r="2004" spans="1:22" s="534" customFormat="1" ht="12.75" hidden="1" customHeight="1" x14ac:dyDescent="0.3">
      <c r="A2004" s="343" t="str">
        <f>IF(P2004="","ausblenden","")</f>
        <v>ausblenden</v>
      </c>
      <c r="B2004" s="15"/>
      <c r="C2004" s="17"/>
      <c r="D2004" s="1386"/>
      <c r="E2004" s="514" t="s">
        <v>1918</v>
      </c>
      <c r="F2004" s="514"/>
      <c r="G2004" s="514"/>
      <c r="H2004" s="917" t="str">
        <f>H1990</f>
        <v>ton</v>
      </c>
      <c r="I2004" s="514"/>
      <c r="J2004" s="1152" t="str">
        <f>J1967</f>
        <v/>
      </c>
      <c r="K2004" s="943" t="str">
        <f>J2062</f>
        <v/>
      </c>
      <c r="L2004" s="943" t="str">
        <f>K2062</f>
        <v/>
      </c>
      <c r="M2004" s="943" t="str">
        <f>L2062</f>
        <v/>
      </c>
      <c r="N2004" s="1389" t="str">
        <f>M2062</f>
        <v/>
      </c>
      <c r="O2004" s="19"/>
      <c r="P2004" s="343"/>
      <c r="Q2004" s="343"/>
      <c r="R2004" s="343"/>
      <c r="S2004" s="343"/>
      <c r="T2004" s="343"/>
      <c r="U2004" s="349"/>
      <c r="V2004" s="349"/>
    </row>
    <row r="2005" spans="1:22" s="534" customFormat="1" ht="12.75" customHeight="1" x14ac:dyDescent="0.3">
      <c r="A2005" s="343"/>
      <c r="B2005" s="15"/>
      <c r="C2005" s="17"/>
      <c r="D2005" s="1386"/>
      <c r="E2005" s="944" t="str">
        <f>Translations!$B$1482</f>
        <v>Genomsnittligt årligt värde</v>
      </c>
      <c r="F2005" s="944"/>
      <c r="G2005" s="944"/>
      <c r="H2005" s="627" t="str">
        <f>EUconst_EUA</f>
        <v>EUA</v>
      </c>
      <c r="I2005" s="945"/>
      <c r="J2005" s="1161" t="str">
        <f>IF(R1959,SUM(INDEX(F_ProductBM!J:J,MATCH($P2005,F_ProductBM!$Q:$Q,0))),"")</f>
        <v/>
      </c>
      <c r="K2005" s="946" t="str">
        <f>IF(S1959,SUM(INDEX(F_ProductBM!K:K,MATCH($P2005,F_ProductBM!$Q:$Q,0))),"")</f>
        <v/>
      </c>
      <c r="L2005" s="946" t="str">
        <f>IF(T1959,SUM(INDEX(F_ProductBM!L:L,MATCH($P2005,F_ProductBM!$Q:$Q,0))),"")</f>
        <v/>
      </c>
      <c r="M2005" s="946" t="str">
        <f>IF(U1959,SUM(INDEX(F_ProductBM!M:M,MATCH($P2005,F_ProductBM!$Q:$Q,0))),"")</f>
        <v/>
      </c>
      <c r="N2005" s="1046" t="str">
        <f>IF(V1959,SUM(INDEX(F_ProductBM!N:N,MATCH($P2005,F_ProductBM!$Q:$Q,0))),"")</f>
        <v/>
      </c>
      <c r="O2005" s="19"/>
      <c r="P2005" s="165" t="str">
        <f>EUconst_CNTR_HEATInitial &amp; I1953</f>
        <v>HEATIni_</v>
      </c>
      <c r="Q2005" s="343"/>
      <c r="R2005" s="343"/>
      <c r="S2005" s="343"/>
      <c r="T2005" s="343"/>
      <c r="U2005" s="349"/>
      <c r="V2005" s="349"/>
    </row>
    <row r="2006" spans="1:22" s="534" customFormat="1" ht="12.75" customHeight="1" x14ac:dyDescent="0.3">
      <c r="A2006" s="343"/>
      <c r="B2006" s="15"/>
      <c r="C2006" s="17"/>
      <c r="D2006" s="1386"/>
      <c r="E2006" s="947" t="str">
        <f>Translations!$B$1571</f>
        <v>Ändring jämfört med värde enligt nationella genomförandeåtgärder</v>
      </c>
      <c r="F2006" s="947"/>
      <c r="G2006" s="947"/>
      <c r="H2006" s="1442" t="s">
        <v>1112</v>
      </c>
      <c r="I2006" s="1371"/>
      <c r="J2006" s="1415" t="str">
        <f>INDEX(F_ProductBM!J:J,MATCH($P2006,F_ProductBM!$Q:$Q,0))</f>
        <v/>
      </c>
      <c r="K2006" s="1416" t="str">
        <f>INDEX(F_ProductBM!K:K,MATCH($P2006,F_ProductBM!$Q:$Q,0))</f>
        <v/>
      </c>
      <c r="L2006" s="1416" t="str">
        <f>INDEX(F_ProductBM!L:L,MATCH($P2006,F_ProductBM!$Q:$Q,0))</f>
        <v/>
      </c>
      <c r="M2006" s="1416" t="str">
        <f>INDEX(F_ProductBM!M:M,MATCH($P2006,F_ProductBM!$Q:$Q,0))</f>
        <v/>
      </c>
      <c r="N2006" s="1417" t="str">
        <f>INDEX(F_ProductBM!N:N,MATCH($P2006,F_ProductBM!$Q:$Q,0))</f>
        <v/>
      </c>
      <c r="O2006" s="19"/>
      <c r="P2006" s="165" t="str">
        <f>EUconst_CNTR_RelThreshold &amp; P2008</f>
        <v>RelThresh_HEATprelim_</v>
      </c>
      <c r="Q2006" s="343"/>
      <c r="R2006" s="343"/>
      <c r="S2006" s="343"/>
      <c r="T2006" s="343"/>
      <c r="U2006" s="349"/>
      <c r="V2006" s="349"/>
    </row>
    <row r="2007" spans="1:22" s="534" customFormat="1" ht="12.75" customHeight="1" x14ac:dyDescent="0.3">
      <c r="A2007" s="343"/>
      <c r="B2007" s="15"/>
      <c r="C2007" s="17"/>
      <c r="D2007" s="1386"/>
      <c r="E2007" s="1418" t="str">
        <f>Translations!$B$1575</f>
        <v>Kriterium 3c: Har relativa tröskelvärden överskridits?</v>
      </c>
      <c r="F2007" s="1418"/>
      <c r="G2007" s="1418"/>
      <c r="H2007" s="1444" t="s">
        <v>1112</v>
      </c>
      <c r="I2007" s="1423"/>
      <c r="J2007" s="1420" t="str">
        <f>INDEX(F_ProductBM!V:V,MATCH($P2007,F_ProductBM!$Q:$Q,0))</f>
        <v/>
      </c>
      <c r="K2007" s="1421" t="str">
        <f>INDEX(F_ProductBM!W:W,MATCH($P2007,F_ProductBM!$Q:$Q,0))</f>
        <v/>
      </c>
      <c r="L2007" s="1421" t="str">
        <f>INDEX(F_ProductBM!X:X,MATCH($P2007,F_ProductBM!$Q:$Q,0))</f>
        <v/>
      </c>
      <c r="M2007" s="1421" t="str">
        <f>INDEX(F_ProductBM!Y:Y,MATCH($P2007,F_ProductBM!$Q:$Q,0))</f>
        <v/>
      </c>
      <c r="N2007" s="1422" t="str">
        <f>INDEX(F_ProductBM!Z:Z,MATCH($P2007,F_ProductBM!$Q:$Q,0))</f>
        <v/>
      </c>
      <c r="O2007" s="19"/>
      <c r="P2007" s="165" t="str">
        <f>P2006</f>
        <v>RelThresh_HEATprelim_</v>
      </c>
      <c r="Q2007" s="343"/>
      <c r="R2007" s="343"/>
      <c r="S2007" s="343"/>
      <c r="T2007" s="343"/>
      <c r="U2007" s="349"/>
      <c r="V2007" s="349"/>
    </row>
    <row r="2008" spans="1:22" s="534" customFormat="1" ht="12.75" customHeight="1" x14ac:dyDescent="0.3">
      <c r="A2008" s="343" t="str">
        <f>IF(P2008="","ausblenden","")</f>
        <v/>
      </c>
      <c r="B2008" s="15"/>
      <c r="C2008" s="17"/>
      <c r="D2008" s="1386"/>
      <c r="E2008" s="950" t="str">
        <f>Translations!$B$1568</f>
        <v>Preliminärt värde</v>
      </c>
      <c r="F2008" s="950"/>
      <c r="G2008" s="950"/>
      <c r="H2008" s="629" t="str">
        <f>EUconst_EUA</f>
        <v>EUA</v>
      </c>
      <c r="I2008" s="950"/>
      <c r="J2008" s="1373" t="str">
        <f>IF($I1953="","",INDEX(F_ProductBM!J:J,MATCH($P2008,F_ProductBM!$Q:$Q,0)))</f>
        <v/>
      </c>
      <c r="K2008" s="1374" t="str">
        <f>IF($I1953="","",INDEX(F_ProductBM!K:K,MATCH($P2008,F_ProductBM!$Q:$Q,0)))</f>
        <v/>
      </c>
      <c r="L2008" s="1374" t="str">
        <f>IF($I1953="","",INDEX(F_ProductBM!L:L,MATCH($P2008,F_ProductBM!$Q:$Q,0)))</f>
        <v/>
      </c>
      <c r="M2008" s="1374" t="str">
        <f>IF($I1953="","",INDEX(F_ProductBM!M:M,MATCH($P2008,F_ProductBM!$Q:$Q,0)))</f>
        <v/>
      </c>
      <c r="N2008" s="1395" t="str">
        <f>IF($I1953="","",INDEX(F_ProductBM!N:N,MATCH($P2008,F_ProductBM!$Q:$Q,0)))</f>
        <v/>
      </c>
      <c r="O2008" s="19"/>
      <c r="P2008" s="165" t="str">
        <f>EUconst_CNTR_HEATprelim&amp;I1953</f>
        <v>HEATprelim_</v>
      </c>
      <c r="Q2008" s="343"/>
      <c r="R2008" s="343"/>
      <c r="S2008" s="343"/>
      <c r="T2008" s="343"/>
      <c r="U2008" s="349"/>
      <c r="V2008" s="349"/>
    </row>
    <row r="2009" spans="1:22" s="534" customFormat="1" ht="12.75" hidden="1" customHeight="1" x14ac:dyDescent="0.3">
      <c r="A2009" s="343" t="str">
        <f>IF(P2009="","ausblenden","")</f>
        <v>ausblenden</v>
      </c>
      <c r="B2009" s="15"/>
      <c r="C2009" s="17"/>
      <c r="D2009" s="1386"/>
      <c r="E2009" s="947" t="s">
        <v>1560</v>
      </c>
      <c r="F2009" s="947"/>
      <c r="G2009" s="947"/>
      <c r="H2009" s="955" t="str">
        <f>EUconst_EUA</f>
        <v>EUA</v>
      </c>
      <c r="I2009" s="948"/>
      <c r="J2009" s="1165" t="str">
        <f>J1969</f>
        <v/>
      </c>
      <c r="K2009" s="975" t="str">
        <f t="shared" ref="K2009:K2012" si="392">J2064</f>
        <v/>
      </c>
      <c r="L2009" s="975" t="str">
        <f t="shared" ref="L2009:L2012" si="393">K2064</f>
        <v/>
      </c>
      <c r="M2009" s="975" t="str">
        <f t="shared" ref="M2009:M2012" si="394">L2064</f>
        <v/>
      </c>
      <c r="N2009" s="1391" t="str">
        <f t="shared" ref="N2009:N2012" si="395">M2064</f>
        <v/>
      </c>
      <c r="O2009" s="19"/>
      <c r="P2009" s="343"/>
      <c r="Q2009" s="343"/>
      <c r="R2009" s="343"/>
      <c r="S2009" s="343"/>
      <c r="T2009" s="343"/>
      <c r="U2009" s="349"/>
      <c r="V2009" s="349"/>
    </row>
    <row r="2010" spans="1:22" s="534" customFormat="1" ht="12.75" hidden="1" customHeight="1" x14ac:dyDescent="0.3">
      <c r="A2010" s="343" t="str">
        <f>IF(P2010="","ausblenden","")</f>
        <v>ausblenden</v>
      </c>
      <c r="B2010" s="15"/>
      <c r="C2010" s="17"/>
      <c r="D2010" s="1386"/>
      <c r="E2010" s="947" t="s">
        <v>1527</v>
      </c>
      <c r="F2010" s="947"/>
      <c r="G2010" s="947"/>
      <c r="H2010" s="955" t="str">
        <f>EUconst_EUA</f>
        <v>EUA</v>
      </c>
      <c r="I2010" s="948"/>
      <c r="J2010" s="1165" t="str">
        <f>J1970</f>
        <v/>
      </c>
      <c r="K2010" s="975" t="str">
        <f t="shared" si="392"/>
        <v/>
      </c>
      <c r="L2010" s="975" t="str">
        <f t="shared" si="393"/>
        <v/>
      </c>
      <c r="M2010" s="975" t="str">
        <f t="shared" si="394"/>
        <v/>
      </c>
      <c r="N2010" s="1391" t="str">
        <f t="shared" si="395"/>
        <v/>
      </c>
      <c r="O2010" s="19"/>
      <c r="P2010" s="343"/>
      <c r="Q2010" s="343"/>
      <c r="R2010" s="343"/>
      <c r="S2010" s="343"/>
      <c r="T2010" s="343"/>
      <c r="U2010" s="349"/>
      <c r="V2010" s="349"/>
    </row>
    <row r="2011" spans="1:22" s="534" customFormat="1" ht="12.75" hidden="1" customHeight="1" x14ac:dyDescent="0.3">
      <c r="A2011" s="343" t="str">
        <f>IF(P2011="","ausblenden","")</f>
        <v>ausblenden</v>
      </c>
      <c r="B2011" s="15"/>
      <c r="C2011" s="17"/>
      <c r="D2011" s="1386"/>
      <c r="E2011" s="947" t="s">
        <v>1526</v>
      </c>
      <c r="F2011" s="947"/>
      <c r="G2011" s="947"/>
      <c r="H2011" s="956" t="s">
        <v>1112</v>
      </c>
      <c r="I2011" s="948"/>
      <c r="J2011" s="1211" t="str">
        <f>J1971</f>
        <v/>
      </c>
      <c r="K2011" s="1212" t="str">
        <f t="shared" si="392"/>
        <v/>
      </c>
      <c r="L2011" s="1212" t="str">
        <f t="shared" si="393"/>
        <v/>
      </c>
      <c r="M2011" s="1212" t="str">
        <f t="shared" si="394"/>
        <v/>
      </c>
      <c r="N2011" s="1392" t="str">
        <f t="shared" si="395"/>
        <v/>
      </c>
      <c r="O2011" s="19"/>
      <c r="P2011" s="343"/>
      <c r="Q2011" s="343"/>
      <c r="R2011" s="343"/>
      <c r="S2011" s="343"/>
      <c r="T2011" s="343"/>
      <c r="U2011" s="349"/>
      <c r="V2011" s="349"/>
    </row>
    <row r="2012" spans="1:22" s="534" customFormat="1" ht="12.75" hidden="1" customHeight="1" x14ac:dyDescent="0.3">
      <c r="A2012" s="343" t="str">
        <f>IF(P2012="","ausblenden","")</f>
        <v>ausblenden</v>
      </c>
      <c r="B2012" s="15"/>
      <c r="C2012" s="17"/>
      <c r="D2012" s="1386"/>
      <c r="E2012" s="950" t="s">
        <v>1528</v>
      </c>
      <c r="F2012" s="950"/>
      <c r="G2012" s="950"/>
      <c r="H2012" s="957" t="s">
        <v>1112</v>
      </c>
      <c r="I2012" s="951"/>
      <c r="J2012" s="1213" t="str">
        <f>J1972</f>
        <v/>
      </c>
      <c r="K2012" s="1214" t="str">
        <f t="shared" si="392"/>
        <v/>
      </c>
      <c r="L2012" s="1214" t="str">
        <f t="shared" si="393"/>
        <v/>
      </c>
      <c r="M2012" s="1214" t="str">
        <f t="shared" si="394"/>
        <v/>
      </c>
      <c r="N2012" s="1393" t="str">
        <f t="shared" si="395"/>
        <v/>
      </c>
      <c r="O2012" s="19"/>
      <c r="P2012" s="343"/>
      <c r="Q2012" s="343"/>
      <c r="R2012" s="343"/>
      <c r="S2012" s="343"/>
      <c r="T2012" s="343"/>
      <c r="U2012" s="349"/>
      <c r="V2012" s="349"/>
    </row>
    <row r="2013" spans="1:22" s="534" customFormat="1" ht="12.75" customHeight="1" x14ac:dyDescent="0.3">
      <c r="A2013" s="343"/>
      <c r="B2013" s="15"/>
      <c r="C2013" s="17"/>
      <c r="D2013" s="1386"/>
      <c r="E2013" s="514" t="str">
        <f>Translations!$B$1565</f>
        <v>Preliminärt tilldelningsvärde</v>
      </c>
      <c r="F2013" s="514"/>
      <c r="G2013" s="514"/>
      <c r="H2013" s="129" t="str">
        <f>EUconst_EUA</f>
        <v>EUA</v>
      </c>
      <c r="I2013" s="1151"/>
      <c r="J2013" s="1131" t="str">
        <f>IF($I1953="","",MAX(0,ROUND((SUM($M1956)*SUM(J2004)*SUM(J2011)*SUM(J2012)-SUM(J2008)-SUM(J2009)+SUM(J2010))*IF($H1956=TRUE,1,J$2517),0)))</f>
        <v/>
      </c>
      <c r="K2013" s="421" t="str">
        <f>IF($I1953="","",MAX(0,ROUND((SUM($M1956)*SUM(K2004)*SUM(K2011)*SUM(K2012)-SUM(K2008)-SUM(K2009)+SUM(K2010))*IF($H1956=TRUE,1,K$2517),0)))</f>
        <v/>
      </c>
      <c r="L2013" s="421" t="str">
        <f>IF($I1953="","",MAX(0,ROUND((SUM($M1956)*SUM(L2004)*SUM(L2011)*SUM(L2012)-SUM(L2008)-SUM(L2009)+SUM(L2010))*IF($H1956=TRUE,1,L$2517),0)))</f>
        <v/>
      </c>
      <c r="M2013" s="421" t="str">
        <f>IF($I1953="","",MAX(0,ROUND((SUM($M1956)*SUM(M2004)*SUM(M2011)*SUM(M2012)-SUM(M2008)-SUM(M2009)+SUM(M2010))*IF($H1956=TRUE,1,M$2517),0)))</f>
        <v/>
      </c>
      <c r="N2013" s="967" t="str">
        <f>IF($I1953="","",MAX(0,ROUND((SUM($M1956+IF(L1956=52,0.415,0))*SUM(N2004)*SUM(N2011)*SUM(N2012)-SUM(N2008)-SUM(N2009)+SUM(N2010))*IF($H1956=TRUE,1,N$2517),0)))</f>
        <v/>
      </c>
      <c r="O2013" s="19"/>
      <c r="P2013" s="343"/>
      <c r="Q2013" s="343"/>
      <c r="R2013" s="343"/>
      <c r="S2013" s="343"/>
      <c r="T2013" s="343"/>
      <c r="U2013" s="349"/>
      <c r="V2013" s="349"/>
    </row>
    <row r="2014" spans="1:22" s="534" customFormat="1" ht="12.75" customHeight="1" x14ac:dyDescent="0.3">
      <c r="A2014" s="343"/>
      <c r="B2014" s="15"/>
      <c r="C2014" s="17"/>
      <c r="D2014" s="1386"/>
      <c r="E2014" s="514" t="str">
        <f>Translations!$B$1569</f>
        <v>Skillnad i tilldelning</v>
      </c>
      <c r="F2014" s="514"/>
      <c r="G2014" s="514"/>
      <c r="H2014" s="129" t="str">
        <f>EUconst_EUA</f>
        <v>EUA</v>
      </c>
      <c r="I2014" s="1151"/>
      <c r="J2014" s="1131" t="str">
        <f>IF($I1953="","",ABS(SUM(J2013)-SUM(J1973)))</f>
        <v/>
      </c>
      <c r="K2014" s="421" t="str">
        <f>IF($I1953="","",ABS(SUM(K2013)-SUM(K1973)))</f>
        <v/>
      </c>
      <c r="L2014" s="421" t="str">
        <f>IF($I1953="","",ABS(SUM(L2013)-SUM(L1973)))</f>
        <v/>
      </c>
      <c r="M2014" s="421" t="str">
        <f>IF($I1953="","",ABS(SUM(M2013)-SUM(M1973)))</f>
        <v/>
      </c>
      <c r="N2014" s="967" t="str">
        <f>IF($I1953="","",ABS(SUM(N2013)-SUM(N1973)))</f>
        <v/>
      </c>
      <c r="O2014" s="19"/>
      <c r="P2014" s="343"/>
      <c r="Q2014" s="343"/>
      <c r="R2014" s="343"/>
      <c r="S2014" s="343"/>
      <c r="T2014" s="343"/>
      <c r="U2014" s="349"/>
      <c r="V2014" s="349"/>
    </row>
    <row r="2015" spans="1:22" s="534" customFormat="1" ht="12.75" customHeight="1" x14ac:dyDescent="0.3">
      <c r="A2015" s="343"/>
      <c r="B2015" s="15"/>
      <c r="C2015" s="17"/>
      <c r="D2015" s="1386"/>
      <c r="E2015" s="1419" t="str">
        <f>Translations!$B$1576</f>
        <v>Kriterium 4c: Är skillnaden minst 100 utsläppsrätter?</v>
      </c>
      <c r="F2015" s="1419"/>
      <c r="G2015" s="1419"/>
      <c r="H2015" s="1424" t="s">
        <v>1112</v>
      </c>
      <c r="I2015" s="1425"/>
      <c r="J2015" s="1426" t="str">
        <f>IF($I1953="","",J2014&gt;=100)</f>
        <v/>
      </c>
      <c r="K2015" s="1427" t="str">
        <f>IF($I1953="","",K2014&gt;=100)</f>
        <v/>
      </c>
      <c r="L2015" s="1427" t="str">
        <f>IF($I1953="","",L2014&gt;=100)</f>
        <v/>
      </c>
      <c r="M2015" s="1427" t="str">
        <f>IF($I1953="","",M2014&gt;=100)</f>
        <v/>
      </c>
      <c r="N2015" s="1428" t="str">
        <f>IF($I1953="","",N2014&gt;=100)</f>
        <v/>
      </c>
      <c r="O2015" s="19"/>
      <c r="P2015" s="165" t="str">
        <f>EUconst_CNTR_100EUA_HEAT&amp;I1953</f>
        <v>EUA100HEAT_</v>
      </c>
      <c r="Q2015" s="343"/>
      <c r="R2015" s="343"/>
      <c r="S2015" s="343"/>
      <c r="T2015" s="343"/>
      <c r="U2015" s="349"/>
      <c r="V2015" s="349"/>
    </row>
    <row r="2016" spans="1:22" s="534" customFormat="1" ht="5.15" customHeight="1" x14ac:dyDescent="0.3">
      <c r="A2016" s="343"/>
      <c r="B2016" s="15"/>
      <c r="C2016" s="17"/>
      <c r="D2016" s="1386"/>
      <c r="E2016" s="15"/>
      <c r="F2016" s="15"/>
      <c r="G2016" s="15"/>
      <c r="H2016" s="15"/>
      <c r="I2016" s="941"/>
      <c r="J2016" s="15"/>
      <c r="K2016" s="15"/>
      <c r="L2016" s="15"/>
      <c r="M2016" s="15"/>
      <c r="N2016" s="968"/>
      <c r="O2016" s="19"/>
      <c r="P2016" s="343"/>
      <c r="Q2016" s="343"/>
      <c r="R2016" s="343"/>
      <c r="S2016" s="343"/>
      <c r="T2016" s="343"/>
      <c r="U2016" s="349"/>
      <c r="V2016" s="349"/>
    </row>
    <row r="2017" spans="1:22" s="534" customFormat="1" ht="12.75" customHeight="1" x14ac:dyDescent="0.3">
      <c r="A2017" s="343"/>
      <c r="B2017" s="15"/>
      <c r="C2017" s="17"/>
      <c r="D2017" s="1386"/>
      <c r="E2017" s="42" t="str">
        <f>Translations!$B$1577</f>
        <v>Ändringar: HVC-korrigering</v>
      </c>
      <c r="F2017" s="188"/>
      <c r="G2017" s="188"/>
      <c r="H2017" s="30" t="str">
        <f>EUconst_Unit</f>
        <v>Enhet</v>
      </c>
      <c r="I2017" s="1157"/>
      <c r="J2017" s="1065">
        <f>J$2596</f>
        <v>2021</v>
      </c>
      <c r="K2017" s="350">
        <f>K$2596</f>
        <v>2022</v>
      </c>
      <c r="L2017" s="350">
        <f>L$2596</f>
        <v>2023</v>
      </c>
      <c r="M2017" s="350">
        <f>M$2596</f>
        <v>2024</v>
      </c>
      <c r="N2017" s="966">
        <f>N$2596</f>
        <v>2025</v>
      </c>
      <c r="O2017" s="19"/>
      <c r="P2017" s="343"/>
      <c r="Q2017" s="343"/>
      <c r="R2017" s="343"/>
      <c r="S2017" s="343"/>
      <c r="T2017" s="343"/>
      <c r="U2017" s="349"/>
      <c r="V2017" s="349"/>
    </row>
    <row r="2018" spans="1:22" s="534" customFormat="1" ht="12.75" hidden="1" customHeight="1" x14ac:dyDescent="0.3">
      <c r="A2018" s="343" t="str">
        <f>IF(P2018="","ausblenden","")</f>
        <v>ausblenden</v>
      </c>
      <c r="B2018" s="15"/>
      <c r="C2018" s="17"/>
      <c r="D2018" s="1386"/>
      <c r="E2018" s="514" t="s">
        <v>1918</v>
      </c>
      <c r="F2018" s="514"/>
      <c r="G2018" s="514"/>
      <c r="H2018" s="917" t="str">
        <f>H2004</f>
        <v>ton</v>
      </c>
      <c r="I2018" s="514"/>
      <c r="J2018" s="1152" t="str">
        <f>J1967</f>
        <v/>
      </c>
      <c r="K2018" s="943" t="str">
        <f t="shared" ref="K2018:K2020" si="396">J2062</f>
        <v/>
      </c>
      <c r="L2018" s="943" t="str">
        <f t="shared" ref="L2018:L2020" si="397">K2062</f>
        <v/>
      </c>
      <c r="M2018" s="943" t="str">
        <f t="shared" ref="M2018:M2020" si="398">L2062</f>
        <v/>
      </c>
      <c r="N2018" s="1389" t="str">
        <f t="shared" ref="N2018:N2020" si="399">M2062</f>
        <v/>
      </c>
      <c r="O2018" s="19"/>
      <c r="P2018" s="343"/>
      <c r="Q2018" s="343"/>
      <c r="R2018" s="343"/>
      <c r="S2018" s="343"/>
      <c r="T2018" s="343"/>
      <c r="U2018" s="349"/>
      <c r="V2018" s="349"/>
    </row>
    <row r="2019" spans="1:22" s="534" customFormat="1" ht="12.75" hidden="1" customHeight="1" x14ac:dyDescent="0.3">
      <c r="A2019" s="343" t="str">
        <f>IF(P2019="","ausblenden","")</f>
        <v>ausblenden</v>
      </c>
      <c r="B2019" s="15"/>
      <c r="C2019" s="17"/>
      <c r="D2019" s="1386"/>
      <c r="E2019" s="944" t="s">
        <v>339</v>
      </c>
      <c r="F2019" s="944"/>
      <c r="G2019" s="944"/>
      <c r="H2019" s="954" t="str">
        <f>EUconst_EUA</f>
        <v>EUA</v>
      </c>
      <c r="I2019" s="945"/>
      <c r="J2019" s="1209" t="str">
        <f>J1968</f>
        <v/>
      </c>
      <c r="K2019" s="1210" t="str">
        <f t="shared" si="396"/>
        <v/>
      </c>
      <c r="L2019" s="1210" t="str">
        <f t="shared" si="397"/>
        <v/>
      </c>
      <c r="M2019" s="1210" t="str">
        <f t="shared" si="398"/>
        <v/>
      </c>
      <c r="N2019" s="1390" t="str">
        <f t="shared" si="399"/>
        <v/>
      </c>
      <c r="O2019" s="19"/>
      <c r="P2019" s="343"/>
      <c r="Q2019" s="343"/>
      <c r="R2019" s="343"/>
      <c r="S2019" s="343"/>
      <c r="T2019" s="343"/>
      <c r="U2019" s="349"/>
      <c r="V2019" s="349"/>
    </row>
    <row r="2020" spans="1:22" s="534" customFormat="1" ht="12.75" hidden="1" customHeight="1" x14ac:dyDescent="0.3">
      <c r="A2020" s="343" t="str">
        <f>IF(P2020="","ausblenden","")</f>
        <v>ausblenden</v>
      </c>
      <c r="B2020" s="15"/>
      <c r="C2020" s="17"/>
      <c r="D2020" s="1386"/>
      <c r="E2020" s="1433" t="s">
        <v>1560</v>
      </c>
      <c r="F2020" s="1433"/>
      <c r="G2020" s="1433"/>
      <c r="H2020" s="1434" t="str">
        <f>EUconst_EUA</f>
        <v>EUA</v>
      </c>
      <c r="I2020" s="1435"/>
      <c r="J2020" s="1436" t="str">
        <f>J1969</f>
        <v/>
      </c>
      <c r="K2020" s="1437" t="str">
        <f t="shared" si="396"/>
        <v/>
      </c>
      <c r="L2020" s="1437" t="str">
        <f t="shared" si="397"/>
        <v/>
      </c>
      <c r="M2020" s="1437" t="str">
        <f t="shared" si="398"/>
        <v/>
      </c>
      <c r="N2020" s="1438" t="str">
        <f t="shared" si="399"/>
        <v/>
      </c>
      <c r="O2020" s="19"/>
      <c r="P2020" s="343"/>
      <c r="Q2020" s="343"/>
      <c r="R2020" s="343"/>
      <c r="S2020" s="343"/>
      <c r="T2020" s="343"/>
      <c r="U2020" s="349"/>
      <c r="V2020" s="349"/>
    </row>
    <row r="2021" spans="1:22" s="534" customFormat="1" ht="12.75" customHeight="1" x14ac:dyDescent="0.3">
      <c r="A2021" s="343"/>
      <c r="B2021" s="15"/>
      <c r="C2021" s="17"/>
      <c r="D2021" s="1386"/>
      <c r="E2021" s="944" t="str">
        <f>Translations!$B$1482</f>
        <v>Genomsnittligt årligt värde</v>
      </c>
      <c r="F2021" s="944"/>
      <c r="G2021" s="944"/>
      <c r="H2021" s="954" t="str">
        <f>EUconst_EUA</f>
        <v>EUA</v>
      </c>
      <c r="I2021" s="945"/>
      <c r="J2021" s="1445" t="str">
        <f>IF(L1956=42,INDEX(H_SpecialBM!J:J,MATCH($P2021,H_SpecialBM!$Q:$Q,0)),"")</f>
        <v/>
      </c>
      <c r="K2021" s="1446" t="str">
        <f>IF(L1956=42,INDEX(H_SpecialBM!K:K,MATCH($P2021,H_SpecialBM!$Q:$Q,0)),"")</f>
        <v/>
      </c>
      <c r="L2021" s="1446" t="str">
        <f>IF(L1956=42,INDEX(H_SpecialBM!L:L,MATCH($P2021,H_SpecialBM!$Q:$Q,0)),"")</f>
        <v/>
      </c>
      <c r="M2021" s="1446" t="str">
        <f>IF(L1956=42,INDEX(H_SpecialBM!M:M,MATCH($P2021,H_SpecialBM!$Q:$Q,0)),"")</f>
        <v/>
      </c>
      <c r="N2021" s="1447" t="str">
        <f>IF(L1956=42,INDEX(H_SpecialBM!N:N,MATCH($P2021,H_SpecialBM!$Q:$Q,0)),"")</f>
        <v/>
      </c>
      <c r="O2021" s="19"/>
      <c r="P2021" s="165" t="str">
        <f>EUconst_CNTR_HVCInitial &amp; INDEX(EUconst_BMlistNames,42)</f>
        <v>HVCIni_Ångkrackning</v>
      </c>
      <c r="Q2021" s="343"/>
      <c r="R2021" s="343"/>
      <c r="S2021" s="343"/>
      <c r="T2021" s="343"/>
      <c r="U2021" s="349"/>
      <c r="V2021" s="349"/>
    </row>
    <row r="2022" spans="1:22" s="534" customFormat="1" ht="12.75" customHeight="1" x14ac:dyDescent="0.3">
      <c r="A2022" s="343"/>
      <c r="B2022" s="15"/>
      <c r="C2022" s="17"/>
      <c r="D2022" s="1386"/>
      <c r="E2022" s="947" t="str">
        <f>Translations!$B$1571</f>
        <v>Ändring jämfört med värde enligt nationella genomförandeåtgärder</v>
      </c>
      <c r="F2022" s="947"/>
      <c r="G2022" s="947"/>
      <c r="H2022" s="1370" t="s">
        <v>1112</v>
      </c>
      <c r="I2022" s="1371"/>
      <c r="J2022" s="1415" t="str">
        <f>IF(L1956=42,INDEX(H_SpecialBM!J:J,MATCH($P2022,H_SpecialBM!$Q:$Q,0)),"")</f>
        <v/>
      </c>
      <c r="K2022" s="1416" t="str">
        <f>IF(L1956=42,INDEX(H_SpecialBM!K:K,MATCH($P2022,H_SpecialBM!$Q:$Q,0)),"")</f>
        <v/>
      </c>
      <c r="L2022" s="1416" t="str">
        <f>IF(L1956=42,INDEX(H_SpecialBM!L:L,MATCH($P2022,H_SpecialBM!$Q:$Q,0)),"")</f>
        <v/>
      </c>
      <c r="M2022" s="1416" t="str">
        <f>IF(L1956=42,INDEX(H_SpecialBM!M:M,MATCH($P2022,H_SpecialBM!$Q:$Q,0)),"")</f>
        <v/>
      </c>
      <c r="N2022" s="1417" t="str">
        <f>IF(L1956=42,INDEX(H_SpecialBM!N:N,MATCH($P2022,H_SpecialBM!$Q:$Q,0)),"")</f>
        <v/>
      </c>
      <c r="O2022" s="19"/>
      <c r="P2022" s="165" t="str">
        <f>EUconst_CNTR_RelThreshold &amp; P2024</f>
        <v>RelThresh_HVCprelim_</v>
      </c>
      <c r="Q2022" s="343"/>
      <c r="R2022" s="343"/>
      <c r="S2022" s="343"/>
      <c r="T2022" s="343"/>
      <c r="U2022" s="349"/>
      <c r="V2022" s="349"/>
    </row>
    <row r="2023" spans="1:22" s="534" customFormat="1" ht="12.75" customHeight="1" x14ac:dyDescent="0.3">
      <c r="A2023" s="343"/>
      <c r="B2023" s="15"/>
      <c r="C2023" s="17"/>
      <c r="D2023" s="1386"/>
      <c r="E2023" s="1418" t="str">
        <f>Translations!$B$1578</f>
        <v>Kriterium 3d: Har relativa tröskelvärden överskridits?</v>
      </c>
      <c r="F2023" s="1418"/>
      <c r="G2023" s="1418"/>
      <c r="H2023" s="1423" t="s">
        <v>1112</v>
      </c>
      <c r="I2023" s="1423"/>
      <c r="J2023" s="1420" t="str">
        <f>IF(L1956=42,INDEX(H_SpecialBM!V:V,MATCH($P2023,H_SpecialBM!$Q:$Q,0)),"")</f>
        <v/>
      </c>
      <c r="K2023" s="1421" t="str">
        <f>IF(L1956=42,INDEX(H_SpecialBM!W:W,MATCH($P2023,H_SpecialBM!$Q:$Q,0)),"")</f>
        <v/>
      </c>
      <c r="L2023" s="1421" t="str">
        <f>IF(L1956=42,INDEX(H_SpecialBM!X:X,MATCH($P2023,H_SpecialBM!$Q:$Q,0)),"")</f>
        <v/>
      </c>
      <c r="M2023" s="1421" t="str">
        <f>IF(L1956=42,INDEX(H_SpecialBM!Y:Y,MATCH($P2023,H_SpecialBM!$Q:$Q,0)),"")</f>
        <v/>
      </c>
      <c r="N2023" s="1422" t="str">
        <f>IF(L1956=42,INDEX(H_SpecialBM!Z:Z,MATCH($P2023,H_SpecialBM!$Q:$Q,0)),"")</f>
        <v/>
      </c>
      <c r="O2023" s="19"/>
      <c r="P2023" s="165" t="str">
        <f>P2022</f>
        <v>RelThresh_HVCprelim_</v>
      </c>
      <c r="Q2023" s="343"/>
      <c r="R2023" s="343"/>
      <c r="S2023" s="343"/>
      <c r="T2023" s="343"/>
      <c r="U2023" s="349"/>
      <c r="V2023" s="349"/>
    </row>
    <row r="2024" spans="1:22" s="534" customFormat="1" ht="12.75" customHeight="1" x14ac:dyDescent="0.3">
      <c r="A2024" s="343" t="str">
        <f>IF(P2024="","ausblenden","")</f>
        <v/>
      </c>
      <c r="B2024" s="15"/>
      <c r="C2024" s="17"/>
      <c r="D2024" s="1386"/>
      <c r="E2024" s="950" t="str">
        <f>Translations!$B$1568</f>
        <v>Preliminärt värde</v>
      </c>
      <c r="F2024" s="950"/>
      <c r="G2024" s="950"/>
      <c r="H2024" s="957" t="str">
        <f>EUconst_EUA</f>
        <v>EUA</v>
      </c>
      <c r="I2024" s="951"/>
      <c r="J2024" s="1381" t="str">
        <f>IF($L1956=42,INDEX(H_SpecialBM!J:J,MATCH($P2024,H_SpecialBM!$Q:$Q,0)),"")</f>
        <v/>
      </c>
      <c r="K2024" s="1382" t="str">
        <f>IF($L1956=42,INDEX(H_SpecialBM!K:K,MATCH($P2024,H_SpecialBM!$Q:$Q,0)),"")</f>
        <v/>
      </c>
      <c r="L2024" s="1382" t="str">
        <f>IF($L1956=42,INDEX(H_SpecialBM!L:L,MATCH($P2024,H_SpecialBM!$Q:$Q,0)),"")</f>
        <v/>
      </c>
      <c r="M2024" s="1382" t="str">
        <f>IF($L1956=42,INDEX(H_SpecialBM!M:M,MATCH($P2024,H_SpecialBM!$Q:$Q,0)),"")</f>
        <v/>
      </c>
      <c r="N2024" s="1396" t="str">
        <f>IF($L1956=42,INDEX(H_SpecialBM!N:N,MATCH($P2024,H_SpecialBM!$Q:$Q,0)),"")</f>
        <v/>
      </c>
      <c r="O2024" s="19"/>
      <c r="P2024" s="165" t="str">
        <f>EUconst_CNTR_HVCprelim</f>
        <v>HVCprelim_</v>
      </c>
      <c r="Q2024" s="343"/>
      <c r="R2024" s="343"/>
      <c r="S2024" s="343"/>
      <c r="T2024" s="343"/>
      <c r="U2024" s="349"/>
      <c r="V2024" s="349"/>
    </row>
    <row r="2025" spans="1:22" s="534" customFormat="1" ht="12.75" hidden="1" customHeight="1" x14ac:dyDescent="0.3">
      <c r="A2025" s="343" t="str">
        <f>IF(P2025="","ausblenden","")</f>
        <v>ausblenden</v>
      </c>
      <c r="B2025" s="15"/>
      <c r="C2025" s="17"/>
      <c r="D2025" s="1386"/>
      <c r="E2025" s="1376" t="s">
        <v>1526</v>
      </c>
      <c r="F2025" s="1376"/>
      <c r="G2025" s="1376"/>
      <c r="H2025" s="1378" t="s">
        <v>1112</v>
      </c>
      <c r="I2025" s="1377"/>
      <c r="J2025" s="1379" t="str">
        <f>J1971</f>
        <v/>
      </c>
      <c r="K2025" s="1380" t="str">
        <f t="shared" ref="K2025:K2026" si="400">J2066</f>
        <v/>
      </c>
      <c r="L2025" s="1380" t="str">
        <f t="shared" ref="L2025:L2026" si="401">K2066</f>
        <v/>
      </c>
      <c r="M2025" s="1380" t="str">
        <f t="shared" ref="M2025:M2026" si="402">L2066</f>
        <v/>
      </c>
      <c r="N2025" s="1397" t="str">
        <f t="shared" ref="N2025:N2026" si="403">M2066</f>
        <v/>
      </c>
      <c r="O2025" s="19"/>
      <c r="P2025" s="343"/>
      <c r="Q2025" s="343"/>
      <c r="R2025" s="343"/>
      <c r="S2025" s="343"/>
      <c r="T2025" s="343"/>
      <c r="U2025" s="349"/>
      <c r="V2025" s="349"/>
    </row>
    <row r="2026" spans="1:22" s="534" customFormat="1" ht="12.75" hidden="1" customHeight="1" x14ac:dyDescent="0.3">
      <c r="A2026" s="343" t="str">
        <f>IF(P2026="","ausblenden","")</f>
        <v>ausblenden</v>
      </c>
      <c r="B2026" s="15"/>
      <c r="C2026" s="17"/>
      <c r="D2026" s="1386"/>
      <c r="E2026" s="950" t="s">
        <v>1528</v>
      </c>
      <c r="F2026" s="950"/>
      <c r="G2026" s="950"/>
      <c r="H2026" s="957" t="s">
        <v>1112</v>
      </c>
      <c r="I2026" s="951"/>
      <c r="J2026" s="1213" t="str">
        <f>J1972</f>
        <v/>
      </c>
      <c r="K2026" s="1214" t="str">
        <f t="shared" si="400"/>
        <v/>
      </c>
      <c r="L2026" s="1214" t="str">
        <f t="shared" si="401"/>
        <v/>
      </c>
      <c r="M2026" s="1214" t="str">
        <f t="shared" si="402"/>
        <v/>
      </c>
      <c r="N2026" s="1393" t="str">
        <f t="shared" si="403"/>
        <v/>
      </c>
      <c r="O2026" s="19"/>
      <c r="P2026" s="343"/>
      <c r="Q2026" s="343"/>
      <c r="R2026" s="343"/>
      <c r="S2026" s="343"/>
      <c r="T2026" s="343"/>
      <c r="U2026" s="349"/>
      <c r="V2026" s="349"/>
    </row>
    <row r="2027" spans="1:22" s="534" customFormat="1" ht="12.75" customHeight="1" x14ac:dyDescent="0.3">
      <c r="A2027" s="343"/>
      <c r="B2027" s="15"/>
      <c r="C2027" s="17"/>
      <c r="D2027" s="1386"/>
      <c r="E2027" s="514" t="str">
        <f>Translations!$B$1565</f>
        <v>Preliminärt tilldelningsvärde</v>
      </c>
      <c r="F2027" s="514"/>
      <c r="G2027" s="514"/>
      <c r="H2027" s="129" t="str">
        <f>EUconst_EUA</f>
        <v>EUA</v>
      </c>
      <c r="I2027" s="1151"/>
      <c r="J2027" s="1131" t="str">
        <f>IF(J2024="","",MAX(0,ROUND((SUM($M1956)*SUM(J2018)*SUM(J2025)*SUM(J2026)-SUM(J2019)-SUM(J2020)+SUM(J2024))*IF($H1956=TRUE,1,J$2517),0)))</f>
        <v/>
      </c>
      <c r="K2027" s="421" t="str">
        <f>IF(K2024="","",MAX(0,ROUND((SUM($M1956)*SUM(K2018)*SUM(K2025)*SUM(K2026)-SUM(K2019)-SUM(K2020)+SUM(K2024))*IF($H1956=TRUE,1,K$2517),0)))</f>
        <v/>
      </c>
      <c r="L2027" s="421" t="str">
        <f>IF(L2024="","",MAX(0,ROUND((SUM($M1956)*SUM(L2018)*SUM(L2025)*SUM(L2026)-SUM(L2019)-SUM(L2020)+SUM(L2024))*IF($H1956=TRUE,1,L$2517),0)))</f>
        <v/>
      </c>
      <c r="M2027" s="421" t="str">
        <f>IF(M2024="","",MAX(0,ROUND((SUM($M1956)*SUM(M2018)*SUM(M2025)*SUM(M2026)-SUM(M2019)-SUM(M2020)+SUM(M2024))*IF($H1956=TRUE,1,M$2517),0)))</f>
        <v/>
      </c>
      <c r="N2027" s="967" t="str">
        <f>IF(N2024="","",MAX(0,ROUND((SUM($M1956)*SUM(N2018)*SUM(N2025)*SUM(N2026)-SUM(N2019)-SUM(N2020)+SUM(N2024))*IF($H1956=TRUE,1,N$2517),0)))</f>
        <v/>
      </c>
      <c r="O2027" s="19"/>
      <c r="P2027" s="343"/>
      <c r="Q2027" s="343"/>
      <c r="R2027" s="343"/>
      <c r="S2027" s="343"/>
      <c r="T2027" s="343"/>
      <c r="U2027" s="349"/>
      <c r="V2027" s="349"/>
    </row>
    <row r="2028" spans="1:22" s="534" customFormat="1" ht="12.75" customHeight="1" x14ac:dyDescent="0.3">
      <c r="A2028" s="343"/>
      <c r="B2028" s="15"/>
      <c r="C2028" s="17"/>
      <c r="D2028" s="1386"/>
      <c r="E2028" s="514" t="str">
        <f>Translations!$B$1569</f>
        <v>Skillnad i tilldelning</v>
      </c>
      <c r="F2028" s="514"/>
      <c r="G2028" s="514"/>
      <c r="H2028" s="129" t="str">
        <f>EUconst_EUA</f>
        <v>EUA</v>
      </c>
      <c r="I2028" s="1151"/>
      <c r="J2028" s="1131" t="str">
        <f>IF(J2027="","",ABS(SUM(J2027)-SUM(J1973)))</f>
        <v/>
      </c>
      <c r="K2028" s="421" t="str">
        <f>IF(K2027="","",ABS(SUM(K2027)-SUM(K1973)))</f>
        <v/>
      </c>
      <c r="L2028" s="421" t="str">
        <f>IF(L2027="","",ABS(SUM(L2027)-SUM(L1973)))</f>
        <v/>
      </c>
      <c r="M2028" s="421" t="str">
        <f>IF(M2027="","",ABS(SUM(M2027)-SUM(M1973)))</f>
        <v/>
      </c>
      <c r="N2028" s="967" t="str">
        <f>IF(N2027="","",ABS(SUM(N2027)-SUM(N1973)))</f>
        <v/>
      </c>
      <c r="O2028" s="19"/>
      <c r="P2028" s="343"/>
      <c r="Q2028" s="343"/>
      <c r="R2028" s="343"/>
      <c r="S2028" s="343"/>
      <c r="T2028" s="343"/>
      <c r="U2028" s="349"/>
      <c r="V2028" s="349"/>
    </row>
    <row r="2029" spans="1:22" s="534" customFormat="1" ht="12.75" customHeight="1" x14ac:dyDescent="0.3">
      <c r="A2029" s="343"/>
      <c r="B2029" s="15"/>
      <c r="C2029" s="17"/>
      <c r="D2029" s="1386"/>
      <c r="E2029" s="1419" t="str">
        <f>Translations!$B$1579</f>
        <v>Kriterium 4d: Är skillnaden minst 100 utsläppsrätter?</v>
      </c>
      <c r="F2029" s="514"/>
      <c r="G2029" s="514"/>
      <c r="H2029" s="1424" t="s">
        <v>1112</v>
      </c>
      <c r="I2029" s="1425"/>
      <c r="J2029" s="1426" t="str">
        <f>IF(J2028="","",J2028&gt;=100)</f>
        <v/>
      </c>
      <c r="K2029" s="1427" t="str">
        <f>IF(K2028="","",K2028&gt;=100)</f>
        <v/>
      </c>
      <c r="L2029" s="1427" t="str">
        <f>IF(L2028="","",L2028&gt;=100)</f>
        <v/>
      </c>
      <c r="M2029" s="1427" t="str">
        <f>IF(M2028="","",M2028&gt;=100)</f>
        <v/>
      </c>
      <c r="N2029" s="1428" t="str">
        <f>IF(N2028="","",N2028&gt;=100)</f>
        <v/>
      </c>
      <c r="O2029" s="19"/>
      <c r="P2029" s="165" t="str">
        <f>EUconst_CNTR_100EUA_HVC&amp;I1953</f>
        <v>EUA100HVC_</v>
      </c>
      <c r="Q2029" s="343"/>
      <c r="R2029" s="343"/>
      <c r="S2029" s="343"/>
      <c r="T2029" s="343"/>
      <c r="U2029" s="349"/>
      <c r="V2029" s="349"/>
    </row>
    <row r="2030" spans="1:22" s="534" customFormat="1" ht="5.15" customHeight="1" x14ac:dyDescent="0.3">
      <c r="A2030" s="343"/>
      <c r="B2030" s="15"/>
      <c r="C2030" s="17"/>
      <c r="D2030" s="1386"/>
      <c r="E2030" s="15"/>
      <c r="F2030" s="15"/>
      <c r="G2030" s="15"/>
      <c r="H2030" s="15"/>
      <c r="I2030" s="941"/>
      <c r="J2030" s="15"/>
      <c r="K2030" s="15"/>
      <c r="L2030" s="15"/>
      <c r="M2030" s="15"/>
      <c r="N2030" s="968"/>
      <c r="O2030" s="19"/>
      <c r="P2030" s="343"/>
      <c r="Q2030" s="343"/>
      <c r="R2030" s="343"/>
      <c r="S2030" s="343"/>
      <c r="T2030" s="343"/>
      <c r="U2030" s="349"/>
      <c r="V2030" s="349"/>
    </row>
    <row r="2031" spans="1:22" s="534" customFormat="1" ht="12.75" customHeight="1" x14ac:dyDescent="0.3">
      <c r="A2031" s="343"/>
      <c r="B2031" s="15"/>
      <c r="C2031" s="17"/>
      <c r="D2031" s="1386"/>
      <c r="E2031" s="42" t="str">
        <f>Translations!$B$1580</f>
        <v>Ändringar: VCM-korrigering</v>
      </c>
      <c r="F2031" s="188"/>
      <c r="G2031" s="188"/>
      <c r="H2031" s="30" t="str">
        <f>EUconst_Unit</f>
        <v>Enhet</v>
      </c>
      <c r="I2031" s="1157"/>
      <c r="J2031" s="1065">
        <f>J$2596</f>
        <v>2021</v>
      </c>
      <c r="K2031" s="350">
        <f>K$2596</f>
        <v>2022</v>
      </c>
      <c r="L2031" s="350">
        <f>L$2596</f>
        <v>2023</v>
      </c>
      <c r="M2031" s="350">
        <f>M$2596</f>
        <v>2024</v>
      </c>
      <c r="N2031" s="966">
        <f>N$2596</f>
        <v>2025</v>
      </c>
      <c r="O2031" s="19"/>
      <c r="P2031" s="343"/>
      <c r="Q2031" s="343"/>
      <c r="R2031" s="343"/>
      <c r="S2031" s="343"/>
      <c r="T2031" s="343"/>
      <c r="U2031" s="349"/>
      <c r="V2031" s="349"/>
    </row>
    <row r="2032" spans="1:22" s="534" customFormat="1" ht="12.75" hidden="1" customHeight="1" x14ac:dyDescent="0.3">
      <c r="A2032" s="343" t="str">
        <f>IF(P2032="","ausblenden","")</f>
        <v>ausblenden</v>
      </c>
      <c r="B2032" s="15"/>
      <c r="C2032" s="17"/>
      <c r="D2032" s="1386"/>
      <c r="E2032" s="514" t="s">
        <v>1918</v>
      </c>
      <c r="F2032" s="514"/>
      <c r="G2032" s="514"/>
      <c r="H2032" s="917" t="str">
        <f>H2018</f>
        <v>ton</v>
      </c>
      <c r="I2032" s="514"/>
      <c r="J2032" s="1152" t="str">
        <f>J1967</f>
        <v/>
      </c>
      <c r="K2032" s="943" t="str">
        <f t="shared" ref="K2032:K2036" si="404">J2062</f>
        <v/>
      </c>
      <c r="L2032" s="943" t="str">
        <f t="shared" ref="L2032:L2036" si="405">K2062</f>
        <v/>
      </c>
      <c r="M2032" s="943" t="str">
        <f t="shared" ref="M2032:M2036" si="406">L2062</f>
        <v/>
      </c>
      <c r="N2032" s="1389" t="str">
        <f t="shared" ref="N2032:N2036" si="407">M2062</f>
        <v/>
      </c>
      <c r="O2032" s="19"/>
      <c r="P2032" s="343"/>
      <c r="Q2032" s="343"/>
      <c r="R2032" s="343"/>
      <c r="S2032" s="343"/>
      <c r="T2032" s="343"/>
      <c r="U2032" s="349"/>
      <c r="V2032" s="349"/>
    </row>
    <row r="2033" spans="1:22" s="534" customFormat="1" ht="12.75" hidden="1" customHeight="1" x14ac:dyDescent="0.3">
      <c r="A2033" s="343" t="str">
        <f>IF(P2033="","ausblenden","")</f>
        <v>ausblenden</v>
      </c>
      <c r="B2033" s="15"/>
      <c r="C2033" s="17"/>
      <c r="D2033" s="1386"/>
      <c r="E2033" s="944" t="s">
        <v>339</v>
      </c>
      <c r="F2033" s="944"/>
      <c r="G2033" s="944"/>
      <c r="H2033" s="954" t="str">
        <f>EUconst_EUA</f>
        <v>EUA</v>
      </c>
      <c r="I2033" s="945"/>
      <c r="J2033" s="1209" t="str">
        <f>J1968</f>
        <v/>
      </c>
      <c r="K2033" s="1210" t="str">
        <f t="shared" si="404"/>
        <v/>
      </c>
      <c r="L2033" s="1210" t="str">
        <f t="shared" si="405"/>
        <v/>
      </c>
      <c r="M2033" s="1210" t="str">
        <f t="shared" si="406"/>
        <v/>
      </c>
      <c r="N2033" s="1390" t="str">
        <f t="shared" si="407"/>
        <v/>
      </c>
      <c r="O2033" s="19"/>
      <c r="P2033" s="343"/>
      <c r="Q2033" s="343"/>
      <c r="R2033" s="343"/>
      <c r="S2033" s="343"/>
      <c r="T2033" s="343"/>
      <c r="U2033" s="349"/>
      <c r="V2033" s="349"/>
    </row>
    <row r="2034" spans="1:22" s="534" customFormat="1" ht="12.75" hidden="1" customHeight="1" x14ac:dyDescent="0.3">
      <c r="A2034" s="343" t="str">
        <f>IF(P2034="","ausblenden","")</f>
        <v>ausblenden</v>
      </c>
      <c r="B2034" s="15"/>
      <c r="C2034" s="17"/>
      <c r="D2034" s="1386"/>
      <c r="E2034" s="947" t="s">
        <v>1560</v>
      </c>
      <c r="F2034" s="947"/>
      <c r="G2034" s="947"/>
      <c r="H2034" s="955" t="str">
        <f>EUconst_EUA</f>
        <v>EUA</v>
      </c>
      <c r="I2034" s="948"/>
      <c r="J2034" s="1165" t="str">
        <f>J1969</f>
        <v/>
      </c>
      <c r="K2034" s="975" t="str">
        <f t="shared" si="404"/>
        <v/>
      </c>
      <c r="L2034" s="975" t="str">
        <f t="shared" si="405"/>
        <v/>
      </c>
      <c r="M2034" s="975" t="str">
        <f t="shared" si="406"/>
        <v/>
      </c>
      <c r="N2034" s="1391" t="str">
        <f t="shared" si="407"/>
        <v/>
      </c>
      <c r="O2034" s="19"/>
      <c r="P2034" s="343"/>
      <c r="Q2034" s="343"/>
      <c r="R2034" s="343"/>
      <c r="S2034" s="343"/>
      <c r="T2034" s="343"/>
      <c r="U2034" s="349"/>
      <c r="V2034" s="349"/>
    </row>
    <row r="2035" spans="1:22" s="534" customFormat="1" ht="12.75" hidden="1" customHeight="1" x14ac:dyDescent="0.3">
      <c r="A2035" s="343" t="str">
        <f>IF(P2035="","ausblenden","")</f>
        <v>ausblenden</v>
      </c>
      <c r="B2035" s="15"/>
      <c r="C2035" s="17"/>
      <c r="D2035" s="1386"/>
      <c r="E2035" s="947" t="s">
        <v>1527</v>
      </c>
      <c r="F2035" s="947"/>
      <c r="G2035" s="947"/>
      <c r="H2035" s="955" t="str">
        <f>EUconst_EUA</f>
        <v>EUA</v>
      </c>
      <c r="I2035" s="948"/>
      <c r="J2035" s="1165" t="str">
        <f>J1970</f>
        <v/>
      </c>
      <c r="K2035" s="975" t="str">
        <f t="shared" si="404"/>
        <v/>
      </c>
      <c r="L2035" s="975" t="str">
        <f t="shared" si="405"/>
        <v/>
      </c>
      <c r="M2035" s="975" t="str">
        <f t="shared" si="406"/>
        <v/>
      </c>
      <c r="N2035" s="1391" t="str">
        <f t="shared" si="407"/>
        <v/>
      </c>
      <c r="O2035" s="19"/>
      <c r="P2035" s="343"/>
      <c r="Q2035" s="343"/>
      <c r="R2035" s="343"/>
      <c r="S2035" s="343"/>
      <c r="T2035" s="343"/>
      <c r="U2035" s="349"/>
      <c r="V2035" s="349"/>
    </row>
    <row r="2036" spans="1:22" s="534" customFormat="1" ht="12.75" hidden="1" customHeight="1" x14ac:dyDescent="0.3">
      <c r="A2036" s="343" t="str">
        <f>IF(P2036="","ausblenden","")</f>
        <v>ausblenden</v>
      </c>
      <c r="B2036" s="15"/>
      <c r="C2036" s="17"/>
      <c r="D2036" s="1386"/>
      <c r="E2036" s="1433" t="s">
        <v>1526</v>
      </c>
      <c r="F2036" s="1433"/>
      <c r="G2036" s="1433"/>
      <c r="H2036" s="1448" t="s">
        <v>1112</v>
      </c>
      <c r="I2036" s="1435"/>
      <c r="J2036" s="1449" t="str">
        <f>J1971</f>
        <v/>
      </c>
      <c r="K2036" s="1450" t="str">
        <f t="shared" si="404"/>
        <v/>
      </c>
      <c r="L2036" s="1450" t="str">
        <f t="shared" si="405"/>
        <v/>
      </c>
      <c r="M2036" s="1450" t="str">
        <f t="shared" si="406"/>
        <v/>
      </c>
      <c r="N2036" s="1451" t="str">
        <f t="shared" si="407"/>
        <v/>
      </c>
      <c r="O2036" s="19"/>
      <c r="P2036" s="343"/>
      <c r="Q2036" s="343"/>
      <c r="R2036" s="343"/>
      <c r="S2036" s="343"/>
      <c r="T2036" s="343"/>
      <c r="U2036" s="349"/>
      <c r="V2036" s="349"/>
    </row>
    <row r="2037" spans="1:22" s="534" customFormat="1" ht="12.75" customHeight="1" x14ac:dyDescent="0.3">
      <c r="A2037" s="343"/>
      <c r="B2037" s="15"/>
      <c r="C2037" s="17"/>
      <c r="D2037" s="1386"/>
      <c r="E2037" s="944" t="str">
        <f>Translations!$B$1482</f>
        <v>Genomsnittligt årligt värde</v>
      </c>
      <c r="F2037" s="944"/>
      <c r="G2037" s="944"/>
      <c r="H2037" s="627" t="s">
        <v>1112</v>
      </c>
      <c r="I2037" s="945"/>
      <c r="J2037" s="1439" t="str">
        <f>IF(L1956=47,INDEX(H_SpecialBM!J:J,MATCH($P2037,H_SpecialBM!$Q:$Q,0)),"")</f>
        <v/>
      </c>
      <c r="K2037" s="1440" t="str">
        <f>IF(L1956=47,INDEX(H_SpecialBM!K:K,MATCH($P2037,H_SpecialBM!$Q:$Q,0)),"")</f>
        <v/>
      </c>
      <c r="L2037" s="1440" t="str">
        <f>IF(L1956=47,INDEX(H_SpecialBM!L:L,MATCH($P2037,H_SpecialBM!$Q:$Q,0)),"")</f>
        <v/>
      </c>
      <c r="M2037" s="1440" t="str">
        <f>IF(L1956=47,INDEX(H_SpecialBM!M:M,MATCH($P2037,H_SpecialBM!$Q:$Q,0)),"")</f>
        <v/>
      </c>
      <c r="N2037" s="1441" t="str">
        <f>IF(L1956=47,INDEX(H_SpecialBM!N:N,MATCH($P2037,H_SpecialBM!$Q:$Q,0)),"")</f>
        <v/>
      </c>
      <c r="O2037" s="19"/>
      <c r="P2037" s="165" t="str">
        <f>EUconst_CNTR_VCMInitial &amp; INDEX(EUconst_BMlistNames,47)</f>
        <v>VCMIni_Vinylkloridmonomer</v>
      </c>
      <c r="Q2037" s="343"/>
      <c r="R2037" s="343"/>
      <c r="S2037" s="343"/>
      <c r="T2037" s="343"/>
      <c r="U2037" s="349"/>
      <c r="V2037" s="349"/>
    </row>
    <row r="2038" spans="1:22" s="534" customFormat="1" ht="12.75" customHeight="1" x14ac:dyDescent="0.3">
      <c r="A2038" s="343"/>
      <c r="B2038" s="15"/>
      <c r="C2038" s="17"/>
      <c r="D2038" s="1386"/>
      <c r="E2038" s="947" t="str">
        <f>Translations!$B$1571</f>
        <v>Ändring jämfört med värde enligt nationella genomförandeåtgärder</v>
      </c>
      <c r="F2038" s="947"/>
      <c r="G2038" s="947"/>
      <c r="H2038" s="1370" t="s">
        <v>1112</v>
      </c>
      <c r="I2038" s="1371"/>
      <c r="J2038" s="1415" t="str">
        <f>IF(L1956=47,INDEX(H_SpecialBM!J:J,MATCH($P2038,H_SpecialBM!$Q:$Q,0)),"")</f>
        <v/>
      </c>
      <c r="K2038" s="1416" t="str">
        <f>IF(L1956=47,INDEX(H_SpecialBM!K:K,MATCH($P2038,H_SpecialBM!$Q:$Q,0)),"")</f>
        <v/>
      </c>
      <c r="L2038" s="1416" t="str">
        <f>IF(L1956=47,INDEX(H_SpecialBM!L:L,MATCH($P2038,H_SpecialBM!$Q:$Q,0)),"")</f>
        <v/>
      </c>
      <c r="M2038" s="1416" t="str">
        <f>IF(L1956=47,INDEX(H_SpecialBM!M:M,MATCH($P2038,H_SpecialBM!$Q:$Q,0)),"")</f>
        <v/>
      </c>
      <c r="N2038" s="1417" t="str">
        <f>IF(L1956=47,INDEX(H_SpecialBM!N:N,MATCH($P2038,H_SpecialBM!$Q:$Q,0)),"")</f>
        <v/>
      </c>
      <c r="O2038" s="19"/>
      <c r="P2038" s="165" t="str">
        <f>EUconst_CNTR_RelThreshold &amp; P2040</f>
        <v>RelThresh_VCMprelim_</v>
      </c>
      <c r="Q2038" s="343"/>
      <c r="R2038" s="343"/>
      <c r="S2038" s="343"/>
      <c r="T2038" s="343"/>
      <c r="U2038" s="349"/>
      <c r="V2038" s="349"/>
    </row>
    <row r="2039" spans="1:22" s="534" customFormat="1" ht="12.75" customHeight="1" x14ac:dyDescent="0.3">
      <c r="A2039" s="343"/>
      <c r="B2039" s="15"/>
      <c r="C2039" s="17"/>
      <c r="D2039" s="1386"/>
      <c r="E2039" s="1418" t="str">
        <f>Translations!$B$1581</f>
        <v>Kriterium 3e: Har relativa tröskelvärden överskridits?</v>
      </c>
      <c r="F2039" s="1418"/>
      <c r="G2039" s="1418"/>
      <c r="H2039" s="1423" t="s">
        <v>1112</v>
      </c>
      <c r="I2039" s="1423"/>
      <c r="J2039" s="1420" t="str">
        <f>IF(L1956=47,INDEX(H_SpecialBM!V:V,MATCH($P2039,H_SpecialBM!$Q:$Q,0)),"")</f>
        <v/>
      </c>
      <c r="K2039" s="1421" t="str">
        <f>IF(L1956=47,INDEX(H_SpecialBM!W:W,MATCH($P2039,H_SpecialBM!$Q:$Q,0)),"")</f>
        <v/>
      </c>
      <c r="L2039" s="1421" t="str">
        <f>IF(L1956=47,INDEX(H_SpecialBM!X:X,MATCH($P2039,H_SpecialBM!$Q:$Q,0)),"")</f>
        <v/>
      </c>
      <c r="M2039" s="1421" t="str">
        <f>IF(L1956=47,INDEX(H_SpecialBM!Y:Y,MATCH($P2039,H_SpecialBM!$Q:$Q,0)),"")</f>
        <v/>
      </c>
      <c r="N2039" s="1422" t="str">
        <f>IF(L1956=47,INDEX(H_SpecialBM!Z:Z,MATCH($P2039,H_SpecialBM!$Q:$Q,0)),"")</f>
        <v/>
      </c>
      <c r="O2039" s="19"/>
      <c r="P2039" s="165" t="str">
        <f>P2038</f>
        <v>RelThresh_VCMprelim_</v>
      </c>
      <c r="Q2039" s="343"/>
      <c r="R2039" s="343"/>
      <c r="S2039" s="343"/>
      <c r="T2039" s="343"/>
      <c r="U2039" s="349"/>
      <c r="V2039" s="349"/>
    </row>
    <row r="2040" spans="1:22" s="534" customFormat="1" ht="12.75" customHeight="1" x14ac:dyDescent="0.3">
      <c r="A2040" s="343" t="str">
        <f>IF(P2040="","ausblenden","")</f>
        <v/>
      </c>
      <c r="B2040" s="15"/>
      <c r="C2040" s="17"/>
      <c r="D2040" s="1386"/>
      <c r="E2040" s="950" t="str">
        <f>Translations!$B$1568</f>
        <v>Preliminärt värde</v>
      </c>
      <c r="F2040" s="950"/>
      <c r="G2040" s="950"/>
      <c r="H2040" s="957" t="s">
        <v>1112</v>
      </c>
      <c r="I2040" s="951"/>
      <c r="J2040" s="1404" t="str">
        <f>IF($L1956=47,IF(ISNUMBER(INDEX(H_SpecialBM!J:J,MATCH($P2040,H_SpecialBM!$Q:$Q,0))),INDEX(H_SpecialBM!J:J,MATCH($P2040,H_SpecialBM!$Q:$Q,0)),1),"")</f>
        <v/>
      </c>
      <c r="K2040" s="1405" t="str">
        <f>IF($L1956=47,IF(ISNUMBER(INDEX(H_SpecialBM!K:K,MATCH($P2040,H_SpecialBM!$Q:$Q,0))),INDEX(H_SpecialBM!K:K,MATCH($P2040,H_SpecialBM!$Q:$Q,0)),1),"")</f>
        <v/>
      </c>
      <c r="L2040" s="1405" t="str">
        <f>IF($L1956=47,IF(ISNUMBER(INDEX(H_SpecialBM!L:L,MATCH($P2040,H_SpecialBM!$Q:$Q,0))),INDEX(H_SpecialBM!L:L,MATCH($P2040,H_SpecialBM!$Q:$Q,0)),1),"")</f>
        <v/>
      </c>
      <c r="M2040" s="1405" t="str">
        <f>IF($L1956=47,IF(ISNUMBER(INDEX(H_SpecialBM!M:M,MATCH($P2040,H_SpecialBM!$Q:$Q,0))),INDEX(H_SpecialBM!M:M,MATCH($P2040,H_SpecialBM!$Q:$Q,0)),1),"")</f>
        <v/>
      </c>
      <c r="N2040" s="1406" t="str">
        <f>IF($L1956=47,IF(ISNUMBER(INDEX(H_SpecialBM!N:N,MATCH($P2040,H_SpecialBM!$Q:$Q,0))),INDEX(H_SpecialBM!N:N,MATCH($P2040,H_SpecialBM!$Q:$Q,0)),1),"")</f>
        <v/>
      </c>
      <c r="O2040" s="19"/>
      <c r="P2040" s="165" t="str">
        <f>EUconst_CNTR_VCMprelim</f>
        <v>VCMprelim_</v>
      </c>
      <c r="Q2040" s="343"/>
      <c r="R2040" s="343"/>
      <c r="S2040" s="343"/>
      <c r="T2040" s="343"/>
      <c r="U2040" s="349"/>
      <c r="V2040" s="349"/>
    </row>
    <row r="2041" spans="1:22" s="534" customFormat="1" ht="12.75" customHeight="1" x14ac:dyDescent="0.3">
      <c r="A2041" s="343"/>
      <c r="B2041" s="15"/>
      <c r="C2041" s="17"/>
      <c r="D2041" s="1386"/>
      <c r="E2041" s="514" t="str">
        <f>Translations!$B$1565</f>
        <v>Preliminärt tilldelningsvärde</v>
      </c>
      <c r="F2041" s="514"/>
      <c r="G2041" s="514"/>
      <c r="H2041" s="129" t="str">
        <f>EUconst_EUA</f>
        <v>EUA</v>
      </c>
      <c r="I2041" s="1151"/>
      <c r="J2041" s="1131" t="str">
        <f>IF(J2040="","",MAX(0,ROUND((SUM($M1956)*SUM(J2032)*SUM(J2036)*SUM(J2040)-SUM(J2033)-SUM(J2034)+SUM(J2035))*IF($H1956=TRUE,1,J$2517),0)))</f>
        <v/>
      </c>
      <c r="K2041" s="421" t="str">
        <f>IF(K2040="","",MAX(0,ROUND((SUM($M1956)*SUM(K2032)*SUM(K2036)*SUM(K2040)-SUM(K2033)-SUM(K2034)+SUM(K2035))*IF($H1956=TRUE,1,K$2517),0)))</f>
        <v/>
      </c>
      <c r="L2041" s="421" t="str">
        <f>IF(L2040="","",MAX(0,ROUND((SUM($M1956)*SUM(L2032)*SUM(L2036)*SUM(L2040)-SUM(L2033)-SUM(L2034)+SUM(L2035))*IF($H1956=TRUE,1,L$2517),0)))</f>
        <v/>
      </c>
      <c r="M2041" s="421" t="str">
        <f>IF(M2040="","",MAX(0,ROUND((SUM($M1956)*SUM(M2032)*SUM(M2036)*SUM(M2040)-SUM(M2033)-SUM(M2034)+SUM(M2035))*IF($H1956=TRUE,1,M$2517),0)))</f>
        <v/>
      </c>
      <c r="N2041" s="967" t="str">
        <f>IF(N2040="","",MAX(0,ROUND((SUM($M1956)*SUM(N2032)*SUM(N2036)*SUM(N2040)-SUM(N2033)-SUM(N2034)+SUM(N2035))*IF($H1956=TRUE,1,N$2517),0)))</f>
        <v/>
      </c>
      <c r="O2041" s="19"/>
      <c r="P2041" s="343"/>
      <c r="Q2041" s="343"/>
      <c r="R2041" s="343"/>
      <c r="S2041" s="343"/>
      <c r="T2041" s="343"/>
      <c r="U2041" s="349"/>
      <c r="V2041" s="349"/>
    </row>
    <row r="2042" spans="1:22" s="534" customFormat="1" ht="12.75" customHeight="1" x14ac:dyDescent="0.3">
      <c r="A2042" s="343"/>
      <c r="B2042" s="15"/>
      <c r="C2042" s="17"/>
      <c r="D2042" s="1386"/>
      <c r="E2042" s="514" t="str">
        <f>Translations!$B$1569</f>
        <v>Skillnad i tilldelning</v>
      </c>
      <c r="F2042" s="514"/>
      <c r="G2042" s="514"/>
      <c r="H2042" s="129" t="str">
        <f>EUconst_EUA</f>
        <v>EUA</v>
      </c>
      <c r="I2042" s="1151"/>
      <c r="J2042" s="1131" t="str">
        <f>IF(J2041="","",ABS(SUM(J2041)-SUM(J1973)))</f>
        <v/>
      </c>
      <c r="K2042" s="421" t="str">
        <f>IF(K2041="","",ABS(SUM(K2041)-SUM(K1973)))</f>
        <v/>
      </c>
      <c r="L2042" s="421" t="str">
        <f>IF(L2041="","",ABS(SUM(L2041)-SUM(L1973)))</f>
        <v/>
      </c>
      <c r="M2042" s="421" t="str">
        <f>IF(M2041="","",ABS(SUM(M2041)-SUM(M1973)))</f>
        <v/>
      </c>
      <c r="N2042" s="967" t="str">
        <f>IF(N2041="","",ABS(SUM(N2041)-SUM(N1973)))</f>
        <v/>
      </c>
      <c r="O2042" s="19"/>
      <c r="P2042" s="343"/>
      <c r="Q2042" s="343"/>
      <c r="R2042" s="343"/>
      <c r="S2042" s="343"/>
      <c r="T2042" s="343"/>
      <c r="U2042" s="349"/>
      <c r="V2042" s="349"/>
    </row>
    <row r="2043" spans="1:22" s="534" customFormat="1" ht="12.75" customHeight="1" x14ac:dyDescent="0.3">
      <c r="A2043" s="343"/>
      <c r="B2043" s="15"/>
      <c r="C2043" s="17"/>
      <c r="D2043" s="1386"/>
      <c r="E2043" s="1419" t="str">
        <f>Translations!$B$1582</f>
        <v>Kriterium 4e: Är skillnaden minst 100 utsläppsrätter?</v>
      </c>
      <c r="F2043" s="514"/>
      <c r="G2043" s="514"/>
      <c r="H2043" s="1424" t="s">
        <v>1112</v>
      </c>
      <c r="I2043" s="1425"/>
      <c r="J2043" s="1426" t="str">
        <f>IF(J2042="","",J2042&gt;=100)</f>
        <v/>
      </c>
      <c r="K2043" s="1427" t="str">
        <f>IF(K2042="","",K2042&gt;=100)</f>
        <v/>
      </c>
      <c r="L2043" s="1427" t="str">
        <f>IF(L2042="","",L2042&gt;=100)</f>
        <v/>
      </c>
      <c r="M2043" s="1427" t="str">
        <f>IF(M2042="","",M2042&gt;=100)</f>
        <v/>
      </c>
      <c r="N2043" s="1428" t="str">
        <f>IF(N2042="","",N2042&gt;=100)</f>
        <v/>
      </c>
      <c r="O2043" s="19"/>
      <c r="P2043" s="165" t="str">
        <f>EUconst_CNTR_100EUA_VCM&amp;I1980</f>
        <v>EUA100VCM_</v>
      </c>
      <c r="Q2043" s="343"/>
      <c r="R2043" s="343"/>
      <c r="S2043" s="343"/>
      <c r="T2043" s="343"/>
      <c r="U2043" s="349"/>
      <c r="V2043" s="349"/>
    </row>
    <row r="2044" spans="1:22" s="534" customFormat="1" ht="5.15" customHeight="1" x14ac:dyDescent="0.3">
      <c r="A2044" s="343"/>
      <c r="B2044" s="15"/>
      <c r="C2044" s="17"/>
      <c r="D2044" s="1386"/>
      <c r="E2044" s="15"/>
      <c r="F2044" s="15"/>
      <c r="G2044" s="15"/>
      <c r="H2044" s="15"/>
      <c r="I2044" s="941"/>
      <c r="J2044" s="15"/>
      <c r="K2044" s="15"/>
      <c r="L2044" s="15"/>
      <c r="M2044" s="15"/>
      <c r="N2044" s="968"/>
      <c r="O2044" s="19"/>
      <c r="P2044" s="343"/>
      <c r="Q2044" s="343"/>
      <c r="R2044" s="343"/>
      <c r="S2044" s="343"/>
      <c r="T2044" s="343"/>
      <c r="U2044" s="349"/>
      <c r="V2044" s="349"/>
    </row>
    <row r="2045" spans="1:22" s="534" customFormat="1" ht="12.75" customHeight="1" x14ac:dyDescent="0.3">
      <c r="A2045" s="343"/>
      <c r="B2045" s="15"/>
      <c r="C2045" s="17"/>
      <c r="D2045" s="1386"/>
      <c r="E2045" s="42" t="str">
        <f>Translations!$B$1583</f>
        <v>Ändringar: Facklad restgas</v>
      </c>
      <c r="F2045" s="188"/>
      <c r="G2045" s="188"/>
      <c r="H2045" s="30" t="str">
        <f>EUconst_Unit</f>
        <v>Enhet</v>
      </c>
      <c r="I2045" s="1157"/>
      <c r="J2045" s="1065">
        <f>J$2596</f>
        <v>2021</v>
      </c>
      <c r="K2045" s="350">
        <f>K$2596</f>
        <v>2022</v>
      </c>
      <c r="L2045" s="350">
        <f>L$2596</f>
        <v>2023</v>
      </c>
      <c r="M2045" s="350">
        <f>M$2596</f>
        <v>2024</v>
      </c>
      <c r="N2045" s="966">
        <f>N$2596</f>
        <v>2025</v>
      </c>
      <c r="O2045" s="19"/>
      <c r="P2045" s="343"/>
      <c r="Q2045" s="343"/>
      <c r="R2045" s="343"/>
      <c r="S2045" s="343"/>
      <c r="T2045" s="343"/>
      <c r="U2045" s="349"/>
      <c r="V2045" s="349"/>
    </row>
    <row r="2046" spans="1:22" s="534" customFormat="1" ht="12.75" hidden="1" customHeight="1" x14ac:dyDescent="0.3">
      <c r="A2046" s="343" t="str">
        <f>IF(P2046="","ausblenden","")</f>
        <v>ausblenden</v>
      </c>
      <c r="B2046" s="15"/>
      <c r="C2046" s="17"/>
      <c r="D2046" s="1386"/>
      <c r="E2046" s="514" t="s">
        <v>1918</v>
      </c>
      <c r="F2046" s="514"/>
      <c r="G2046" s="514"/>
      <c r="H2046" s="917" t="str">
        <f>H2032</f>
        <v>ton</v>
      </c>
      <c r="I2046" s="514"/>
      <c r="J2046" s="1152" t="str">
        <f>J1967</f>
        <v/>
      </c>
      <c r="K2046" s="943" t="str">
        <f t="shared" ref="K2046:K2047" si="408">J2062</f>
        <v/>
      </c>
      <c r="L2046" s="943" t="str">
        <f t="shared" ref="L2046:L2047" si="409">K2062</f>
        <v/>
      </c>
      <c r="M2046" s="943" t="str">
        <f t="shared" ref="M2046:M2047" si="410">L2062</f>
        <v/>
      </c>
      <c r="N2046" s="1389" t="str">
        <f t="shared" ref="N2046:N2047" si="411">M2062</f>
        <v/>
      </c>
      <c r="O2046" s="19"/>
      <c r="P2046" s="343"/>
      <c r="Q2046" s="343"/>
      <c r="R2046" s="343"/>
      <c r="S2046" s="343"/>
      <c r="T2046" s="343"/>
      <c r="U2046" s="349"/>
      <c r="V2046" s="349"/>
    </row>
    <row r="2047" spans="1:22" s="534" customFormat="1" ht="12.75" hidden="1" customHeight="1" x14ac:dyDescent="0.3">
      <c r="A2047" s="343" t="str">
        <f>IF(P2047="","ausblenden","")</f>
        <v>ausblenden</v>
      </c>
      <c r="B2047" s="15"/>
      <c r="C2047" s="17"/>
      <c r="D2047" s="1386"/>
      <c r="E2047" s="944" t="s">
        <v>339</v>
      </c>
      <c r="F2047" s="944"/>
      <c r="G2047" s="944"/>
      <c r="H2047" s="954" t="str">
        <f>EUconst_EUA</f>
        <v>EUA</v>
      </c>
      <c r="I2047" s="945"/>
      <c r="J2047" s="1209" t="str">
        <f>J1968</f>
        <v/>
      </c>
      <c r="K2047" s="1210" t="str">
        <f t="shared" si="408"/>
        <v/>
      </c>
      <c r="L2047" s="1210" t="str">
        <f t="shared" si="409"/>
        <v/>
      </c>
      <c r="M2047" s="1210" t="str">
        <f t="shared" si="410"/>
        <v/>
      </c>
      <c r="N2047" s="1390" t="str">
        <f t="shared" si="411"/>
        <v/>
      </c>
      <c r="O2047" s="19"/>
      <c r="P2047" s="343"/>
      <c r="Q2047" s="343"/>
      <c r="R2047" s="343"/>
      <c r="S2047" s="343"/>
      <c r="T2047" s="343"/>
      <c r="U2047" s="349"/>
      <c r="V2047" s="349"/>
    </row>
    <row r="2048" spans="1:22" s="534" customFormat="1" ht="12.75" customHeight="1" x14ac:dyDescent="0.3">
      <c r="A2048" s="343"/>
      <c r="B2048" s="15"/>
      <c r="C2048" s="17"/>
      <c r="D2048" s="1386"/>
      <c r="E2048" s="944" t="str">
        <f>Translations!$B$1482</f>
        <v>Genomsnittligt årligt värde</v>
      </c>
      <c r="F2048" s="944"/>
      <c r="G2048" s="944"/>
      <c r="H2048" s="627" t="str">
        <f>EUconst_tCO2</f>
        <v>t CO2</v>
      </c>
      <c r="I2048" s="945"/>
      <c r="J2048" s="1161" t="str">
        <f>INDEX(F_ProductBM!J:J,MATCH($P2048,F_ProductBM!$Q:$Q,0))</f>
        <v/>
      </c>
      <c r="K2048" s="946" t="str">
        <f>INDEX(F_ProductBM!K:K,MATCH($P2048,F_ProductBM!$Q:$Q,0))</f>
        <v/>
      </c>
      <c r="L2048" s="946" t="str">
        <f>INDEX(F_ProductBM!L:L,MATCH($P2048,F_ProductBM!$Q:$Q,0))</f>
        <v/>
      </c>
      <c r="M2048" s="946" t="str">
        <f>INDEX(F_ProductBM!M:M,MATCH($P2048,F_ProductBM!$Q:$Q,0))</f>
        <v/>
      </c>
      <c r="N2048" s="1046" t="str">
        <f>INDEX(F_ProductBM!N:N,MATCH($P2048,F_ProductBM!$Q:$Q,0))</f>
        <v/>
      </c>
      <c r="O2048" s="19"/>
      <c r="P2048" s="165" t="str">
        <f>EUconst_CNTR_HALinitial &amp; EUconst_CNTR_WGFlared &amp; I1953</f>
        <v>HALini_WasteGasFlare_</v>
      </c>
      <c r="Q2048" s="343"/>
      <c r="R2048" s="343"/>
      <c r="S2048" s="343"/>
      <c r="T2048" s="343"/>
      <c r="U2048" s="349"/>
      <c r="V2048" s="349"/>
    </row>
    <row r="2049" spans="1:22" s="534" customFormat="1" ht="12.75" customHeight="1" x14ac:dyDescent="0.3">
      <c r="A2049" s="343"/>
      <c r="B2049" s="15"/>
      <c r="C2049" s="17"/>
      <c r="D2049" s="1386"/>
      <c r="E2049" s="947" t="str">
        <f>Translations!$B$1571</f>
        <v>Ändring jämfört med värde enligt nationella genomförandeåtgärder</v>
      </c>
      <c r="F2049" s="947"/>
      <c r="G2049" s="947"/>
      <c r="H2049" s="1442" t="s">
        <v>1112</v>
      </c>
      <c r="I2049" s="1371"/>
      <c r="J2049" s="1415" t="str">
        <f>INDEX(F_ProductBM!J:J,MATCH($P2049,F_ProductBM!$Q:$Q,0))</f>
        <v/>
      </c>
      <c r="K2049" s="1416" t="str">
        <f>INDEX(F_ProductBM!K:K,MATCH($P2049,F_ProductBM!$Q:$Q,0))</f>
        <v/>
      </c>
      <c r="L2049" s="1416" t="str">
        <f>INDEX(F_ProductBM!L:L,MATCH($P2049,F_ProductBM!$Q:$Q,0))</f>
        <v/>
      </c>
      <c r="M2049" s="1416" t="str">
        <f>INDEX(F_ProductBM!M:M,MATCH($P2049,F_ProductBM!$Q:$Q,0))</f>
        <v/>
      </c>
      <c r="N2049" s="1417" t="str">
        <f>INDEX(F_ProductBM!N:N,MATCH($P2049,F_ProductBM!$Q:$Q,0))</f>
        <v/>
      </c>
      <c r="O2049" s="19"/>
      <c r="P2049" s="165" t="str">
        <f>EUconst_CNTR_RelThreshold &amp; P2051</f>
        <v>RelThresh_HALprelim_WasteGasFlare_</v>
      </c>
      <c r="Q2049" s="343"/>
      <c r="R2049" s="343"/>
      <c r="S2049" s="343"/>
      <c r="T2049" s="343"/>
      <c r="U2049" s="349"/>
      <c r="V2049" s="349"/>
    </row>
    <row r="2050" spans="1:22" s="534" customFormat="1" ht="12.75" customHeight="1" x14ac:dyDescent="0.3">
      <c r="A2050" s="343"/>
      <c r="B2050" s="15"/>
      <c r="C2050" s="17"/>
      <c r="D2050" s="1386"/>
      <c r="E2050" s="1418" t="str">
        <f>Translations!$B$1584</f>
        <v>Kriterium 3f: Har relativa tröskelvärden överskridits?</v>
      </c>
      <c r="F2050" s="1418"/>
      <c r="G2050" s="1418"/>
      <c r="H2050" s="1444" t="s">
        <v>1112</v>
      </c>
      <c r="I2050" s="1423"/>
      <c r="J2050" s="1420" t="str">
        <f>INDEX(F_ProductBM!V:V,MATCH($P2050,F_ProductBM!$Q:$Q,0))</f>
        <v/>
      </c>
      <c r="K2050" s="1421" t="str">
        <f>INDEX(F_ProductBM!W:W,MATCH($P2050,F_ProductBM!$Q:$Q,0))</f>
        <v/>
      </c>
      <c r="L2050" s="1421" t="str">
        <f>INDEX(F_ProductBM!X:X,MATCH($P2050,F_ProductBM!$Q:$Q,0))</f>
        <v/>
      </c>
      <c r="M2050" s="1421" t="str">
        <f>INDEX(F_ProductBM!Y:Y,MATCH($P2050,F_ProductBM!$Q:$Q,0))</f>
        <v/>
      </c>
      <c r="N2050" s="1422" t="str">
        <f>INDEX(F_ProductBM!Z:Z,MATCH($P2050,F_ProductBM!$Q:$Q,0))</f>
        <v/>
      </c>
      <c r="O2050" s="19"/>
      <c r="P2050" s="165" t="str">
        <f>P2049</f>
        <v>RelThresh_HALprelim_WasteGasFlare_</v>
      </c>
      <c r="Q2050" s="343"/>
      <c r="R2050" s="343"/>
      <c r="S2050" s="343"/>
      <c r="T2050" s="343"/>
      <c r="U2050" s="349"/>
      <c r="V2050" s="349"/>
    </row>
    <row r="2051" spans="1:22" s="534" customFormat="1" ht="12.75" customHeight="1" x14ac:dyDescent="0.3">
      <c r="A2051" s="343" t="str">
        <f>IF(P2051="","ausblenden","")</f>
        <v/>
      </c>
      <c r="B2051" s="15"/>
      <c r="C2051" s="17"/>
      <c r="D2051" s="1386"/>
      <c r="E2051" s="950" t="str">
        <f>Translations!$B$1568</f>
        <v>Preliminärt värde</v>
      </c>
      <c r="F2051" s="950"/>
      <c r="G2051" s="950"/>
      <c r="H2051" s="957" t="str">
        <f>EUconst_tCO2</f>
        <v>t CO2</v>
      </c>
      <c r="I2051" s="951"/>
      <c r="J2051" s="1373" t="str">
        <f>IF(OR($I1953="",CNTR_SubPeriod=1),"",INDEX(F_ProductBM!J:J,MATCH($P2051,F_ProductBM!$Q:$Q,0)))</f>
        <v/>
      </c>
      <c r="K2051" s="1374" t="str">
        <f>IF(OR($I1953="",CNTR_SubPeriod=1),"",INDEX(F_ProductBM!K:K,MATCH($P2051,F_ProductBM!$Q:$Q,0)))</f>
        <v/>
      </c>
      <c r="L2051" s="1374" t="str">
        <f>IF(OR($I1953="",CNTR_SubPeriod=1),"",INDEX(F_ProductBM!L:L,MATCH($P2051,F_ProductBM!$Q:$Q,0)))</f>
        <v/>
      </c>
      <c r="M2051" s="1374" t="str">
        <f>IF(OR($I1953="",CNTR_SubPeriod=1),"",INDEX(F_ProductBM!M:M,MATCH($P2051,F_ProductBM!$Q:$Q,0)))</f>
        <v/>
      </c>
      <c r="N2051" s="1395" t="str">
        <f>IF(OR($I1953="",CNTR_SubPeriod=1),"",INDEX(F_ProductBM!N:N,MATCH($P2051,F_ProductBM!$Q:$Q,0)))</f>
        <v/>
      </c>
      <c r="O2051" s="19"/>
      <c r="P2051" s="165" t="str">
        <f>EUconst_CNTR_HALprelim&amp;EUconst_CNTR_WGFlared&amp;$I1953</f>
        <v>HALprelim_WasteGasFlare_</v>
      </c>
      <c r="Q2051" s="343"/>
      <c r="R2051" s="343"/>
      <c r="S2051" s="343"/>
      <c r="T2051" s="343"/>
      <c r="U2051" s="349"/>
      <c r="V2051" s="349"/>
    </row>
    <row r="2052" spans="1:22" s="534" customFormat="1" ht="12.75" hidden="1" customHeight="1" x14ac:dyDescent="0.3">
      <c r="A2052" s="343" t="str">
        <f>IF(P2052="","ausblenden","")</f>
        <v>ausblenden</v>
      </c>
      <c r="B2052" s="15"/>
      <c r="C2052" s="17"/>
      <c r="D2052" s="1386"/>
      <c r="E2052" s="947" t="s">
        <v>1527</v>
      </c>
      <c r="F2052" s="947"/>
      <c r="G2052" s="947"/>
      <c r="H2052" s="955" t="str">
        <f>EUconst_EUA</f>
        <v>EUA</v>
      </c>
      <c r="I2052" s="948"/>
      <c r="J2052" s="1165" t="str">
        <f>J1970</f>
        <v/>
      </c>
      <c r="K2052" s="975" t="str">
        <f t="shared" ref="K2052:K2054" si="412">J2065</f>
        <v/>
      </c>
      <c r="L2052" s="975" t="str">
        <f t="shared" ref="L2052:L2054" si="413">K2065</f>
        <v/>
      </c>
      <c r="M2052" s="975" t="str">
        <f t="shared" ref="M2052:M2054" si="414">L2065</f>
        <v/>
      </c>
      <c r="N2052" s="1391" t="str">
        <f t="shared" ref="N2052:N2054" si="415">M2065</f>
        <v/>
      </c>
      <c r="O2052" s="19"/>
      <c r="P2052" s="343"/>
      <c r="Q2052" s="343"/>
      <c r="R2052" s="343"/>
      <c r="S2052" s="343"/>
      <c r="T2052" s="343"/>
      <c r="U2052" s="349"/>
      <c r="V2052" s="349"/>
    </row>
    <row r="2053" spans="1:22" s="534" customFormat="1" ht="12.75" hidden="1" customHeight="1" x14ac:dyDescent="0.3">
      <c r="A2053" s="343" t="str">
        <f>IF(P2053="","ausblenden","")</f>
        <v>ausblenden</v>
      </c>
      <c r="B2053" s="15"/>
      <c r="C2053" s="17"/>
      <c r="D2053" s="1386"/>
      <c r="E2053" s="947" t="s">
        <v>1526</v>
      </c>
      <c r="F2053" s="947"/>
      <c r="G2053" s="947"/>
      <c r="H2053" s="956" t="s">
        <v>1112</v>
      </c>
      <c r="I2053" s="948"/>
      <c r="J2053" s="1211" t="str">
        <f>J1971</f>
        <v/>
      </c>
      <c r="K2053" s="1212" t="str">
        <f t="shared" si="412"/>
        <v/>
      </c>
      <c r="L2053" s="1212" t="str">
        <f t="shared" si="413"/>
        <v/>
      </c>
      <c r="M2053" s="1212" t="str">
        <f t="shared" si="414"/>
        <v/>
      </c>
      <c r="N2053" s="1392" t="str">
        <f t="shared" si="415"/>
        <v/>
      </c>
      <c r="O2053" s="19"/>
      <c r="P2053" s="343"/>
      <c r="Q2053" s="343"/>
      <c r="R2053" s="343"/>
      <c r="S2053" s="343"/>
      <c r="T2053" s="343"/>
      <c r="U2053" s="349"/>
      <c r="V2053" s="349"/>
    </row>
    <row r="2054" spans="1:22" s="534" customFormat="1" ht="12.75" hidden="1" customHeight="1" x14ac:dyDescent="0.3">
      <c r="A2054" s="343" t="str">
        <f>IF(P2054="","ausblenden","")</f>
        <v>ausblenden</v>
      </c>
      <c r="B2054" s="15"/>
      <c r="C2054" s="17"/>
      <c r="D2054" s="1386"/>
      <c r="E2054" s="950" t="s">
        <v>1528</v>
      </c>
      <c r="F2054" s="950"/>
      <c r="G2054" s="950"/>
      <c r="H2054" s="957" t="s">
        <v>1112</v>
      </c>
      <c r="I2054" s="951"/>
      <c r="J2054" s="1213" t="str">
        <f>J1972</f>
        <v/>
      </c>
      <c r="K2054" s="1214" t="str">
        <f t="shared" si="412"/>
        <v/>
      </c>
      <c r="L2054" s="1214" t="str">
        <f t="shared" si="413"/>
        <v/>
      </c>
      <c r="M2054" s="1214" t="str">
        <f t="shared" si="414"/>
        <v/>
      </c>
      <c r="N2054" s="1393" t="str">
        <f t="shared" si="415"/>
        <v/>
      </c>
      <c r="O2054" s="19"/>
      <c r="P2054" s="343"/>
      <c r="Q2054" s="343"/>
      <c r="R2054" s="343"/>
      <c r="S2054" s="343"/>
      <c r="T2054" s="343"/>
      <c r="U2054" s="349"/>
      <c r="V2054" s="349"/>
    </row>
    <row r="2055" spans="1:22" s="534" customFormat="1" ht="12.75" customHeight="1" x14ac:dyDescent="0.3">
      <c r="A2055" s="343"/>
      <c r="B2055" s="15"/>
      <c r="C2055" s="17"/>
      <c r="D2055" s="1386"/>
      <c r="E2055" s="514" t="str">
        <f>Translations!$B$1565</f>
        <v>Preliminärt tilldelningsvärde</v>
      </c>
      <c r="F2055" s="514"/>
      <c r="G2055" s="514"/>
      <c r="H2055" s="129" t="str">
        <f>EUconst_EUA</f>
        <v>EUA</v>
      </c>
      <c r="I2055" s="1151"/>
      <c r="J2055" s="1131" t="str">
        <f>IF(J2051="","",MAX(0,ROUND((SUM($M1956)*SUM(J2046)*SUM(J2053)*SUM(J2054)-SUM(J2047)-SUM(J2051)+SUM(J2052))*IF($H1956=TRUE,1,J$2517),0)))</f>
        <v/>
      </c>
      <c r="K2055" s="421" t="str">
        <f>IF(K2051="","",MAX(0,ROUND((SUM($M1956)*SUM(K2046)*SUM(K2053)*SUM(K2054)-SUM(K2047)-SUM(K2051)+SUM(K2052))*IF($H1956=TRUE,1,K$2517),0)))</f>
        <v/>
      </c>
      <c r="L2055" s="421" t="str">
        <f>IF(L2051="","",MAX(0,ROUND((SUM($M1956)*SUM(L2046)*SUM(L2053)*SUM(L2054)-SUM(L2047)-SUM(L2051)+SUM(L2052))*IF($H1956=TRUE,1,L$2517),0)))</f>
        <v/>
      </c>
      <c r="M2055" s="421" t="str">
        <f>IF(M2051="","",MAX(0,ROUND((SUM($M1956)*SUM(M2046)*SUM(M2053)*SUM(M2054)-SUM(M2047)-SUM(M2051)+SUM(M2052))*IF($H1956=TRUE,1,M$2517),0)))</f>
        <v/>
      </c>
      <c r="N2055" s="967" t="str">
        <f>IF(N2051="","",MAX(0,ROUND((SUM($M1956)*SUM(N2046)*SUM(N2053)*SUM(N2054)-SUM(N2047)-SUM(N2051)+SUM(N2052))*IF($H1956=TRUE,1,N$2517),0)))</f>
        <v/>
      </c>
      <c r="O2055" s="19"/>
      <c r="P2055" s="343"/>
      <c r="Q2055" s="343"/>
      <c r="R2055" s="343"/>
      <c r="S2055" s="343"/>
      <c r="T2055" s="343"/>
      <c r="U2055" s="349"/>
      <c r="V2055" s="349"/>
    </row>
    <row r="2056" spans="1:22" s="534" customFormat="1" ht="12.75" customHeight="1" x14ac:dyDescent="0.3">
      <c r="A2056" s="343"/>
      <c r="B2056" s="15"/>
      <c r="C2056" s="17"/>
      <c r="D2056" s="1386"/>
      <c r="E2056" s="514" t="str">
        <f>Translations!$B$1569</f>
        <v>Skillnad i tilldelning</v>
      </c>
      <c r="F2056" s="514"/>
      <c r="G2056" s="514"/>
      <c r="H2056" s="129" t="str">
        <f>EUconst_EUA</f>
        <v>EUA</v>
      </c>
      <c r="I2056" s="1151"/>
      <c r="J2056" s="1131" t="str">
        <f>IF(J2055="","",ABS(SUM(J2055)-SUM(J1973)))</f>
        <v/>
      </c>
      <c r="K2056" s="421" t="str">
        <f>IF(K2055="","",ABS(SUM(K2055)-SUM(K1973)))</f>
        <v/>
      </c>
      <c r="L2056" s="421" t="str">
        <f>IF(L2055="","",ABS(SUM(L2055)-SUM(L1973)))</f>
        <v/>
      </c>
      <c r="M2056" s="421" t="str">
        <f>IF(M2055="","",ABS(SUM(M2055)-SUM(M1973)))</f>
        <v/>
      </c>
      <c r="N2056" s="967" t="str">
        <f>IF(N2055="","",ABS(SUM(N2055)-SUM(N1973)))</f>
        <v/>
      </c>
      <c r="O2056" s="19"/>
      <c r="P2056" s="343"/>
      <c r="Q2056" s="343"/>
      <c r="R2056" s="343"/>
      <c r="S2056" s="343"/>
      <c r="T2056" s="343"/>
      <c r="U2056" s="349"/>
      <c r="V2056" s="349"/>
    </row>
    <row r="2057" spans="1:22" s="534" customFormat="1" ht="12.75" customHeight="1" x14ac:dyDescent="0.3">
      <c r="A2057" s="343"/>
      <c r="B2057" s="15"/>
      <c r="C2057" s="17"/>
      <c r="D2057" s="1386"/>
      <c r="E2057" s="1419" t="str">
        <f>Translations!$B$1585</f>
        <v>Kriterium 4f: Är skillnaden minst 100 utsläppsrätter?</v>
      </c>
      <c r="F2057" s="514"/>
      <c r="G2057" s="514"/>
      <c r="H2057" s="1424" t="s">
        <v>1112</v>
      </c>
      <c r="I2057" s="1425"/>
      <c r="J2057" s="1426" t="str">
        <f>IF(J2056="","",J2056&gt;=100)</f>
        <v/>
      </c>
      <c r="K2057" s="1427" t="str">
        <f>IF(K2056="","",K2056&gt;=100)</f>
        <v/>
      </c>
      <c r="L2057" s="1427" t="str">
        <f>IF(L2056="","",L2056&gt;=100)</f>
        <v/>
      </c>
      <c r="M2057" s="1427" t="str">
        <f>IF(M2056="","",M2056&gt;=100)</f>
        <v/>
      </c>
      <c r="N2057" s="1428" t="str">
        <f>IF(N2056="","",N2056&gt;=100)</f>
        <v/>
      </c>
      <c r="O2057" s="19"/>
      <c r="P2057" s="165" t="str">
        <f>EUconst_CNTR_100EUA_WGFlare&amp;I1953</f>
        <v>EUA100WGFlare_</v>
      </c>
      <c r="Q2057" s="343"/>
      <c r="R2057" s="343"/>
      <c r="S2057" s="343"/>
      <c r="T2057" s="343"/>
      <c r="U2057" s="349"/>
      <c r="V2057" s="349"/>
    </row>
    <row r="2058" spans="1:22" s="534" customFormat="1" ht="12.75" customHeight="1" thickBot="1" x14ac:dyDescent="0.35">
      <c r="A2058" s="343"/>
      <c r="B2058" s="15"/>
      <c r="C2058" s="17"/>
      <c r="D2058" s="1398"/>
      <c r="E2058" s="973"/>
      <c r="F2058" s="973"/>
      <c r="G2058" s="973"/>
      <c r="H2058" s="973"/>
      <c r="I2058" s="1399"/>
      <c r="J2058" s="973"/>
      <c r="K2058" s="973"/>
      <c r="L2058" s="973"/>
      <c r="M2058" s="973"/>
      <c r="N2058" s="974"/>
      <c r="O2058" s="19"/>
      <c r="P2058" s="343"/>
      <c r="Q2058" s="343"/>
      <c r="R2058" s="343"/>
      <c r="S2058" s="343"/>
      <c r="T2058" s="343"/>
      <c r="U2058" s="349"/>
      <c r="V2058" s="349"/>
    </row>
    <row r="2059" spans="1:22" s="534" customFormat="1" ht="5.15" customHeight="1" thickBot="1" x14ac:dyDescent="0.35">
      <c r="A2059" s="343"/>
      <c r="B2059" s="15"/>
      <c r="C2059" s="17"/>
      <c r="D2059" s="17"/>
      <c r="E2059" s="15"/>
      <c r="F2059" s="15"/>
      <c r="G2059" s="15"/>
      <c r="H2059" s="15"/>
      <c r="I2059" s="941"/>
      <c r="J2059" s="15"/>
      <c r="K2059" s="15"/>
      <c r="L2059" s="15"/>
      <c r="M2059" s="15"/>
      <c r="N2059" s="15"/>
      <c r="O2059" s="19"/>
      <c r="P2059" s="343"/>
      <c r="Q2059" s="343"/>
      <c r="R2059" s="343"/>
      <c r="S2059" s="343"/>
      <c r="T2059" s="343"/>
      <c r="U2059" s="349"/>
      <c r="V2059" s="349"/>
    </row>
    <row r="2060" spans="1:22" s="534" customFormat="1" ht="5.15" customHeight="1" x14ac:dyDescent="0.25">
      <c r="A2060" s="343"/>
      <c r="B2060" s="15"/>
      <c r="C2060" s="15"/>
      <c r="D2060" s="961"/>
      <c r="E2060" s="962"/>
      <c r="F2060" s="962"/>
      <c r="G2060" s="962"/>
      <c r="H2060" s="962"/>
      <c r="I2060" s="963"/>
      <c r="J2060" s="962"/>
      <c r="K2060" s="962"/>
      <c r="L2060" s="962"/>
      <c r="M2060" s="962"/>
      <c r="N2060" s="964"/>
      <c r="O2060" s="19"/>
      <c r="P2060" s="343"/>
      <c r="Q2060" s="343"/>
      <c r="R2060" s="343"/>
      <c r="S2060" s="343"/>
      <c r="T2060" s="7"/>
      <c r="U2060" s="349"/>
      <c r="V2060" s="349"/>
    </row>
    <row r="2061" spans="1:22" s="534" customFormat="1" ht="13" x14ac:dyDescent="0.25">
      <c r="A2061" s="343"/>
      <c r="B2061" s="15"/>
      <c r="C2061" s="15"/>
      <c r="D2061" s="965"/>
      <c r="E2061" s="39" t="str">
        <f>Translations!$B$1586</f>
        <v>Faktiska använda värden</v>
      </c>
      <c r="F2061" s="15"/>
      <c r="G2061" s="15"/>
      <c r="H2061" s="30" t="str">
        <f>EUconst_Unit</f>
        <v>Enhet</v>
      </c>
      <c r="I2061" s="1614" t="str">
        <f>Translations!$B$1510</f>
        <v>Basvärde</v>
      </c>
      <c r="J2061" s="1065">
        <f>J$2596</f>
        <v>2021</v>
      </c>
      <c r="K2061" s="350">
        <f>K$2596</f>
        <v>2022</v>
      </c>
      <c r="L2061" s="350">
        <f>L$2596</f>
        <v>2023</v>
      </c>
      <c r="M2061" s="350">
        <f>M$2596</f>
        <v>2024</v>
      </c>
      <c r="N2061" s="966">
        <f>N$2596</f>
        <v>2025</v>
      </c>
      <c r="O2061" s="19"/>
      <c r="P2061" s="343"/>
      <c r="Q2061" s="343"/>
      <c r="R2061" s="343"/>
      <c r="S2061" s="297" t="s">
        <v>1846</v>
      </c>
      <c r="T2061" s="7"/>
      <c r="U2061" s="349"/>
      <c r="V2061" s="349"/>
    </row>
    <row r="2062" spans="1:22" s="534" customFormat="1" x14ac:dyDescent="0.25">
      <c r="A2062" s="343"/>
      <c r="B2062" s="15"/>
      <c r="C2062" s="15"/>
      <c r="D2062" s="965"/>
      <c r="E2062" s="944" t="str">
        <f>Translations!$B$1587</f>
        <v>Verksamhetsnivå</v>
      </c>
      <c r="F2062" s="944"/>
      <c r="G2062" s="944"/>
      <c r="H2062" s="1443" t="str">
        <f>H2046</f>
        <v>ton</v>
      </c>
      <c r="I2062" s="1615" t="str">
        <f>IF($I1953="","",IF(T2068&gt;=$H$2595,0,S2062))</f>
        <v/>
      </c>
      <c r="J2062" s="1161" t="str">
        <f>IF($I1953="","",INDEX(F_ProductBM!J:J,MATCH($P2062,F_ProductBM!$Q:$Q,0)))</f>
        <v/>
      </c>
      <c r="K2062" s="946" t="str">
        <f>IF($I1953="","",INDEX(F_ProductBM!K:K,MATCH($P2062,F_ProductBM!$Q:$Q,0)))</f>
        <v/>
      </c>
      <c r="L2062" s="946" t="str">
        <f>IF($I1953="","",INDEX(F_ProductBM!L:L,MATCH($P2062,F_ProductBM!$Q:$Q,0)))</f>
        <v/>
      </c>
      <c r="M2062" s="946" t="str">
        <f>IF($I1953="","",INDEX(F_ProductBM!M:M,MATCH($P2062,F_ProductBM!$Q:$Q,0)))</f>
        <v/>
      </c>
      <c r="N2062" s="1046" t="str">
        <f>IF($I1953="","",INDEX(F_ProductBM!N:N,MATCH($P2062,F_ProductBM!$Q:$Q,0)))</f>
        <v/>
      </c>
      <c r="O2062" s="19"/>
      <c r="P2062" s="165" t="str">
        <f>EUconst_CNTR_HALfinal&amp;I1953</f>
        <v>HALfinal_</v>
      </c>
      <c r="Q2062" s="343"/>
      <c r="R2062" s="343"/>
      <c r="S2062" s="1691" t="str">
        <f>IF($I1953="","",INDEX(F_ProductBM!I:I,MATCH($P2062,F_ProductBM!$Q:$Q,0)))</f>
        <v/>
      </c>
      <c r="T2062" s="7"/>
      <c r="U2062" s="349"/>
      <c r="V2062" s="349"/>
    </row>
    <row r="2063" spans="1:22" s="534" customFormat="1" x14ac:dyDescent="0.25">
      <c r="A2063" s="343"/>
      <c r="B2063" s="15"/>
      <c r="C2063" s="15"/>
      <c r="D2063" s="965"/>
      <c r="E2063" s="1376" t="str">
        <f>Translations!$B$1036</f>
        <v>Värme utanför ETS</v>
      </c>
      <c r="F2063" s="1376"/>
      <c r="G2063" s="1376"/>
      <c r="H2063" s="1429" t="str">
        <f>EUconst_EUA</f>
        <v>EUA</v>
      </c>
      <c r="I2063" s="1616" t="str">
        <f>IF($I1953="","",IF(YEAR(J1956)&gt;=$H$2595-1,0,S2063))</f>
        <v/>
      </c>
      <c r="J2063" s="1430" t="str">
        <f>IF($I1953="","",INDEX(F_ProductBM!J:J,MATCH($P2063,F_ProductBM!$Q:$Q,0)))</f>
        <v/>
      </c>
      <c r="K2063" s="1431" t="str">
        <f>IF($I1953="","",INDEX(F_ProductBM!K:K,MATCH($P2063,F_ProductBM!$Q:$Q,0)))</f>
        <v/>
      </c>
      <c r="L2063" s="1431" t="str">
        <f>IF($I1953="","",INDEX(F_ProductBM!L:L,MATCH($P2063,F_ProductBM!$Q:$Q,0)))</f>
        <v/>
      </c>
      <c r="M2063" s="1431" t="str">
        <f>IF($I1953="","",INDEX(F_ProductBM!M:M,MATCH($P2063,F_ProductBM!$Q:$Q,0)))</f>
        <v/>
      </c>
      <c r="N2063" s="1432" t="str">
        <f>IF($I1953="","",INDEX(F_ProductBM!N:N,MATCH($P2063,F_ProductBM!$Q:$Q,0)))</f>
        <v/>
      </c>
      <c r="O2063" s="19"/>
      <c r="P2063" s="165" t="str">
        <f>EUconst_CNTR_HEATfinal&amp;I1953</f>
        <v>HEATfinal_</v>
      </c>
      <c r="Q2063" s="343"/>
      <c r="R2063" s="343"/>
      <c r="S2063" s="1692" t="str">
        <f>IF($I1953="","",INDEX(F_ProductBM!I:I,MATCH($P2063,F_ProductBM!$Q:$Q,0)))</f>
        <v/>
      </c>
      <c r="T2063" s="7"/>
      <c r="U2063" s="349"/>
      <c r="V2063" s="349"/>
    </row>
    <row r="2064" spans="1:22" s="534" customFormat="1" x14ac:dyDescent="0.25">
      <c r="A2064" s="343"/>
      <c r="B2064" s="15"/>
      <c r="C2064" s="15"/>
      <c r="D2064" s="965"/>
      <c r="E2064" s="947" t="str">
        <f>Translations!$B$1038</f>
        <v>Wgfacklad</v>
      </c>
      <c r="F2064" s="947"/>
      <c r="G2064" s="947"/>
      <c r="H2064" s="955" t="str">
        <f>EUconst_EUA</f>
        <v>EUA</v>
      </c>
      <c r="I2064" s="1617" t="str">
        <f>IF($I1953="","",IF(T2068&gt;=$H$2595,0,S2064))</f>
        <v/>
      </c>
      <c r="J2064" s="1162" t="str">
        <f>IF($I1953="","",INDEX(F_ProductBM!J:J,MATCH($P2064,F_ProductBM!$Q:$Q,0)))</f>
        <v/>
      </c>
      <c r="K2064" s="949" t="str">
        <f>IF($I1953="","",INDEX(F_ProductBM!K:K,MATCH($P2064,F_ProductBM!$Q:$Q,0)))</f>
        <v/>
      </c>
      <c r="L2064" s="949" t="str">
        <f>IF($I1953="","",INDEX(F_ProductBM!L:L,MATCH($P2064,F_ProductBM!$Q:$Q,0)))</f>
        <v/>
      </c>
      <c r="M2064" s="949" t="str">
        <f>IF($I1953="","",INDEX(F_ProductBM!M:M,MATCH($P2064,F_ProductBM!$Q:$Q,0)))</f>
        <v/>
      </c>
      <c r="N2064" s="969" t="str">
        <f>IF($I1953="","",INDEX(F_ProductBM!N:N,MATCH($P2064,F_ProductBM!$Q:$Q,0)))</f>
        <v/>
      </c>
      <c r="O2064" s="19"/>
      <c r="P2064" s="165" t="str">
        <f>EUconst_CNTR_HALfinal&amp;EUconst_CNTR_WGFlared&amp;$I1953</f>
        <v>HALfinal_WasteGasFlare_</v>
      </c>
      <c r="Q2064" s="343"/>
      <c r="R2064" s="343"/>
      <c r="S2064" s="1693" t="str">
        <f>IF($I1953="","",INDEX(F_ProductBM!I:I,MATCH($P2064,F_ProductBM!$Q:$Q,0)))</f>
        <v/>
      </c>
      <c r="T2064" s="7"/>
      <c r="U2064" s="349"/>
      <c r="V2064" s="349"/>
    </row>
    <row r="2065" spans="1:22" s="534" customFormat="1" x14ac:dyDescent="0.25">
      <c r="A2065" s="343"/>
      <c r="B2065" s="15"/>
      <c r="C2065" s="15"/>
      <c r="D2065" s="965"/>
      <c r="E2065" s="947" t="s">
        <v>1527</v>
      </c>
      <c r="F2065" s="947"/>
      <c r="G2065" s="947"/>
      <c r="H2065" s="955" t="str">
        <f>EUconst_EUA</f>
        <v>EUA</v>
      </c>
      <c r="I2065" s="1617" t="str">
        <f>IF($I1953="","",IF(T2068&gt;=$H$2595,0,IF(L1956=42,S2065,0)))</f>
        <v/>
      </c>
      <c r="J2065" s="1162" t="str">
        <f>IF($I1953="","",IF($L1956=42,INDEX(H_SpecialBM!J:J,MATCH($P2065,H_SpecialBM!$Q:$Q,0)),0))</f>
        <v/>
      </c>
      <c r="K2065" s="949" t="str">
        <f>IF($I1953="","",IF($L1956=42,INDEX(H_SpecialBM!K:K,MATCH($P2065,H_SpecialBM!$Q:$Q,0)),0))</f>
        <v/>
      </c>
      <c r="L2065" s="949" t="str">
        <f>IF($I1953="","",IF($L1956=42,INDEX(H_SpecialBM!L:L,MATCH($P2065,H_SpecialBM!$Q:$Q,0)),0))</f>
        <v/>
      </c>
      <c r="M2065" s="949" t="str">
        <f>IF($I1953="","",IF($L1956=42,INDEX(H_SpecialBM!M:M,MATCH($P2065,H_SpecialBM!$Q:$Q,0)),0))</f>
        <v/>
      </c>
      <c r="N2065" s="969" t="str">
        <f>IF($I1953="","",IF($L1956=42,INDEX(H_SpecialBM!N:N,MATCH($P2065,H_SpecialBM!$Q:$Q,0)),0))</f>
        <v/>
      </c>
      <c r="O2065" s="19"/>
      <c r="P2065" s="165" t="str">
        <f>EUconst_CNTR_HVCfinal</f>
        <v>HVCfinal_</v>
      </c>
      <c r="Q2065" s="343"/>
      <c r="R2065" s="343"/>
      <c r="S2065" s="1693" t="str">
        <f>IF($I1953="","",IF(L1956=42,INDEX(H_SpecialBM!I:I,MATCH($P2065,H_SpecialBM!$Q:$Q,0)),0))</f>
        <v/>
      </c>
      <c r="T2065" s="7"/>
      <c r="U2065" s="349"/>
      <c r="V2065" s="349"/>
    </row>
    <row r="2066" spans="1:22" s="534" customFormat="1" x14ac:dyDescent="0.25">
      <c r="A2066" s="343"/>
      <c r="B2066" s="15"/>
      <c r="C2066" s="15"/>
      <c r="D2066" s="965"/>
      <c r="E2066" s="947" t="s">
        <v>1526</v>
      </c>
      <c r="F2066" s="947"/>
      <c r="G2066" s="947"/>
      <c r="H2066" s="956" t="s">
        <v>1112</v>
      </c>
      <c r="I2066" s="1618" t="str">
        <f>IF(AND($I1953&lt;&gt;"",$I1956=TRUE),IF(T2068&gt;=$H$2595,1,S2066),IF($I1953="","",1))</f>
        <v/>
      </c>
      <c r="J2066" s="1163" t="str">
        <f>IF(AND($I1953&lt;&gt;"",$I1956=TRUE),INDEX(F_ProductBM!J:J,MATCH($P2066,F_ProductBM!$Q:$Q,0)),IF($I1953="","",1))</f>
        <v/>
      </c>
      <c r="K2066" s="959" t="str">
        <f>IF(AND($I1953&lt;&gt;"",$I1956=TRUE),INDEX(F_ProductBM!K:K,MATCH($P2066,F_ProductBM!$Q:$Q,0)),IF($I1953="","",1))</f>
        <v/>
      </c>
      <c r="L2066" s="959" t="str">
        <f>IF(AND($I1953&lt;&gt;"",$I1956=TRUE),INDEX(F_ProductBM!L:L,MATCH($P2066,F_ProductBM!$Q:$Q,0)),IF($I1953="","",1))</f>
        <v/>
      </c>
      <c r="M2066" s="959" t="str">
        <f>IF(AND($I1953&lt;&gt;"",$I1956=TRUE),INDEX(F_ProductBM!M:M,MATCH($P2066,F_ProductBM!$Q:$Q,0)),IF($I1953="","",1))</f>
        <v/>
      </c>
      <c r="N2066" s="970" t="str">
        <f>IF(AND($I1953&lt;&gt;"",$I1956=TRUE),INDEX(F_ProductBM!N:N,MATCH($P2066,F_ProductBM!$Q:$Q,0)),IF($I1953="","",1))</f>
        <v/>
      </c>
      <c r="O2066" s="19"/>
      <c r="P2066" s="165" t="str">
        <f>EUconst_CNTR_HALfinal&amp;EUconst_CNTR_ELEXCH&amp;$I1953</f>
        <v>HALfinal_ELEXCH_</v>
      </c>
      <c r="Q2066" s="343"/>
      <c r="R2066" s="343"/>
      <c r="S2066" s="1694" t="str">
        <f>IF(AND($I1953&lt;&gt;"",$I1956=TRUE),INDEX(F_ProductBM!I:I,MATCH($P2066,F_ProductBM!$Q:$Q,0)),IF($I1953="","",1))</f>
        <v/>
      </c>
      <c r="T2066" s="343"/>
      <c r="U2066" s="349"/>
      <c r="V2066" s="349"/>
    </row>
    <row r="2067" spans="1:22" s="534" customFormat="1" x14ac:dyDescent="0.25">
      <c r="A2067" s="343"/>
      <c r="B2067" s="15"/>
      <c r="C2067" s="15"/>
      <c r="D2067" s="965"/>
      <c r="E2067" s="950" t="s">
        <v>1528</v>
      </c>
      <c r="F2067" s="950"/>
      <c r="G2067" s="950"/>
      <c r="H2067" s="957" t="s">
        <v>1112</v>
      </c>
      <c r="I2067" s="1619" t="str">
        <f>IF($I1953="","",IF($L1956=47,IF(AND(ISNUMBER(S2067),YEAR(J1956)&lt;2021),S2067,1),1))</f>
        <v/>
      </c>
      <c r="J2067" s="1164" t="str">
        <f>IF($I1953="","",IF($L1956=47,IF(ISNUMBER(INDEX(H_SpecialBM!J:J,MATCH($P2067,H_SpecialBM!$Q:$Q,0))),INDEX(H_SpecialBM!J:J,MATCH($P2067,H_SpecialBM!$Q:$Q,0)),1),1))</f>
        <v/>
      </c>
      <c r="K2067" s="958" t="str">
        <f>IF($I1953="","",IF($L1956=47,IF(ISNUMBER(INDEX(H_SpecialBM!K:K,MATCH($P2067,H_SpecialBM!$Q:$Q,0))),INDEX(H_SpecialBM!K:K,MATCH($P2067,H_SpecialBM!$Q:$Q,0)),1),1))</f>
        <v/>
      </c>
      <c r="L2067" s="958" t="str">
        <f>IF($I1953="","",IF($L1956=47,IF(ISNUMBER(INDEX(H_SpecialBM!L:L,MATCH($P2067,H_SpecialBM!$Q:$Q,0))),INDEX(H_SpecialBM!L:L,MATCH($P2067,H_SpecialBM!$Q:$Q,0)),1),1))</f>
        <v/>
      </c>
      <c r="M2067" s="958" t="str">
        <f>IF($I1953="","",IF($L1956=47,IF(ISNUMBER(INDEX(H_SpecialBM!M:M,MATCH($P2067,H_SpecialBM!$Q:$Q,0))),INDEX(H_SpecialBM!M:M,MATCH($P2067,H_SpecialBM!$Q:$Q,0)),1),1))</f>
        <v/>
      </c>
      <c r="N2067" s="971" t="str">
        <f>IF($I1953="","",IF($L1956=47,IF(ISNUMBER(INDEX(H_SpecialBM!N:N,MATCH($P2067,H_SpecialBM!$Q:$Q,0))),INDEX(H_SpecialBM!N:N,MATCH($P2067,H_SpecialBM!$Q:$Q,0)),1),1))</f>
        <v/>
      </c>
      <c r="O2067" s="19"/>
      <c r="P2067" s="165" t="str">
        <f>EUconst_CNTR_VCMfinal</f>
        <v>VCMfinal_</v>
      </c>
      <c r="Q2067" s="343"/>
      <c r="R2067" s="343"/>
      <c r="S2067" s="1695" t="str">
        <f>IF($I1953="","",IF($L1956=47,IF(ISNUMBER(INDEX(H_SpecialBM!I:I,MATCH($P2067,H_SpecialBM!$Q:$Q,0))),INDEX(H_SpecialBM!I:I,MATCH($P2067,H_SpecialBM!$Q:$Q,0)),1),1))</f>
        <v/>
      </c>
      <c r="T2067" s="343"/>
      <c r="U2067" s="349"/>
      <c r="V2067" s="349"/>
    </row>
    <row r="2068" spans="1:22" s="534" customFormat="1" x14ac:dyDescent="0.25">
      <c r="A2068" s="343"/>
      <c r="B2068" s="15"/>
      <c r="C2068" s="15"/>
      <c r="D2068" s="965"/>
      <c r="E2068" s="514" t="str">
        <f>Translations!$B$956</f>
        <v>Preliminär tilldelning</v>
      </c>
      <c r="F2068" s="514"/>
      <c r="G2068" s="514"/>
      <c r="H2068" s="129" t="str">
        <f>EUconst_EUA</f>
        <v>EUA</v>
      </c>
      <c r="I2068" s="1620" t="str">
        <f>IF($I1953="","",MAX(0,ROUND((SUM($M1956)*SUM(I2062)*SUM(I2066)*SUM(I2067)-SUM(I2063)-SUM(I2064)+SUM(I2065))*IF($H1956=TRUE,1,J$2517),0)))</f>
        <v/>
      </c>
      <c r="J2068" s="1131" t="str">
        <f>IF($I1953="","",MAX(0,ROUND((SUM($M1956)*SUM(J2062)*SUM(J2066)*SUM(J2067)-SUM(J2063)-SUM(J2064)+SUM(J2065))*IF($H1956=TRUE,1,J$2517),0)))</f>
        <v/>
      </c>
      <c r="K2068" s="421" t="str">
        <f>IF($I1953="","",MAX(0,ROUND((SUM($M1956)*SUM(K2062)*SUM(K2066)*SUM(K2067)-SUM(K2063)-SUM(K2064)+SUM(K2065))*IF($H1956=TRUE,1,K$2517),0)))</f>
        <v/>
      </c>
      <c r="L2068" s="421" t="str">
        <f>IF($I1953="","",MAX(0,ROUND((SUM($M1956)*SUM(L2062)*SUM(L2066)*SUM(L2067)-SUM(L2063)-SUM(L2064)+SUM(L2065))*IF($H1956=TRUE,1,L$2517),0)))</f>
        <v/>
      </c>
      <c r="M2068" s="421" t="str">
        <f>IF($I1953="","",MAX(0,ROUND((SUM($M1956)*SUM(M2062)*SUM(M2066)*SUM(M2067)-SUM(M2063)-SUM(M2064)+SUM(M2065))*IF($H1956=TRUE,1,M$2517),0)))</f>
        <v/>
      </c>
      <c r="N2068" s="967" t="str">
        <f>IF($I1953="","",MAX(0,ROUND((SUM($M1956+IF(L1956=52,0.415,0))*SUM(N2062)*SUM(N2066)*SUM(N2067)-SUM(N2063)-SUM(N2064)+SUM(N2065))*IF($H1956=TRUE,1,N$2517),0)))</f>
        <v/>
      </c>
      <c r="O2068" s="19"/>
      <c r="P2068" s="165" t="str">
        <f>EUconst_AllocPrelim&amp;I1953</f>
        <v>AllocPrelim_</v>
      </c>
      <c r="Q2068" s="343"/>
      <c r="R2068" s="343"/>
      <c r="S2068" s="1696" t="str">
        <f>IF($I1953="","",MAX(0,ROUND((SUM($M1956)*SUM(S2062)*SUM(S2066)*SUM(S2067)-SUM(S2063)-SUM(S2064)+SUM(S2065))*IF($H1956=TRUE,1,J$2517),0)))</f>
        <v/>
      </c>
      <c r="T2068" s="663">
        <f>INDEX(F_ProductBM!V:V,MATCH(C1953,F_ProductBM!C:C,0))</f>
        <v>2005</v>
      </c>
      <c r="U2068" s="603" t="e">
        <f>OR(INDEX(I2068:N2068,CNTR_ReportingYear-$I$2596)&lt;&gt;INDEX(I2068:N2068,CNTR_ReportingYear-$H$2596),
(CNTR_ReportingYear-T2068)&lt;=1)</f>
        <v>#REF!</v>
      </c>
      <c r="V2068" s="355" t="b">
        <f ca="1">IF(I2068="",FALSE,COUNTIF(OFFSET(I2068,,,,MAX(1,CNTR_ReportingYear-$I$2596)),"&lt;&gt;" &amp; INDEX(I2068:N2068,CNTR_ReportingYear-$H$2596))&gt;0)</f>
        <v>0</v>
      </c>
    </row>
    <row r="2069" spans="1:22" s="534" customFormat="1" ht="5.15" customHeight="1" thickBot="1" x14ac:dyDescent="0.3">
      <c r="A2069" s="343"/>
      <c r="B2069" s="15"/>
      <c r="C2069" s="15"/>
      <c r="D2069" s="972"/>
      <c r="E2069" s="973"/>
      <c r="F2069" s="973"/>
      <c r="G2069" s="973"/>
      <c r="H2069" s="973"/>
      <c r="I2069" s="973"/>
      <c r="J2069" s="973"/>
      <c r="K2069" s="973"/>
      <c r="L2069" s="973"/>
      <c r="M2069" s="973"/>
      <c r="N2069" s="974"/>
      <c r="O2069" s="19"/>
      <c r="P2069" s="343"/>
      <c r="Q2069" s="343"/>
      <c r="R2069" s="343"/>
      <c r="S2069" s="343"/>
      <c r="T2069" s="343"/>
      <c r="U2069" s="349"/>
      <c r="V2069" s="349"/>
    </row>
    <row r="2070" spans="1:22" s="534" customFormat="1" ht="5.15" customHeight="1" thickBot="1" x14ac:dyDescent="0.3">
      <c r="A2070" s="343"/>
      <c r="B2070" s="15"/>
      <c r="C2070" s="15"/>
      <c r="E2070" s="289"/>
      <c r="F2070" s="15"/>
      <c r="G2070" s="15"/>
      <c r="H2070" s="15"/>
      <c r="I2070" s="15"/>
      <c r="J2070" s="15"/>
      <c r="K2070" s="15"/>
      <c r="L2070" s="15"/>
      <c r="M2070" s="15"/>
      <c r="N2070" s="15"/>
      <c r="O2070" s="19"/>
      <c r="P2070" s="343"/>
      <c r="Q2070" s="343"/>
      <c r="R2070" s="343"/>
      <c r="S2070" s="343"/>
      <c r="T2070" s="343"/>
      <c r="U2070" s="349"/>
      <c r="V2070" s="349"/>
    </row>
    <row r="2071" spans="1:22" s="534" customFormat="1" ht="12.75" customHeight="1" x14ac:dyDescent="0.25">
      <c r="A2071" s="343"/>
      <c r="B2071" s="15"/>
      <c r="C2071" s="15"/>
      <c r="D2071" s="1452"/>
      <c r="E2071" s="1453"/>
      <c r="F2071" s="1453"/>
      <c r="G2071" s="777"/>
      <c r="H2071" s="777"/>
      <c r="I2071" s="777"/>
      <c r="J2071" s="777"/>
      <c r="K2071" s="777"/>
      <c r="L2071" s="777"/>
      <c r="M2071" s="777"/>
      <c r="N2071" s="778"/>
      <c r="O2071" s="19"/>
      <c r="P2071" s="343"/>
      <c r="Q2071" s="343"/>
      <c r="R2071" s="343"/>
      <c r="S2071" s="343"/>
      <c r="T2071" s="343"/>
      <c r="U2071" s="349"/>
      <c r="V2071" s="349"/>
    </row>
    <row r="2072" spans="1:22" s="534" customFormat="1" ht="13.5" thickBot="1" x14ac:dyDescent="0.3">
      <c r="A2072" s="343"/>
      <c r="B2072" s="15"/>
      <c r="C2072" s="15"/>
      <c r="D2072" s="1454"/>
      <c r="E2072" s="416"/>
      <c r="F2072" s="416"/>
      <c r="G2072" s="415" t="str">
        <f>EUconst_Unit</f>
        <v>Enhet</v>
      </c>
      <c r="H2072" s="744">
        <f t="shared" ref="H2072:M2072" si="416">H$2596</f>
        <v>2019</v>
      </c>
      <c r="I2072" s="1155">
        <f t="shared" si="416"/>
        <v>2020</v>
      </c>
      <c r="J2072" s="1104">
        <f t="shared" si="416"/>
        <v>2021</v>
      </c>
      <c r="K2072" s="362">
        <f t="shared" si="416"/>
        <v>2022</v>
      </c>
      <c r="L2072" s="362">
        <f t="shared" si="416"/>
        <v>2023</v>
      </c>
      <c r="M2072" s="362">
        <f t="shared" si="416"/>
        <v>2024</v>
      </c>
      <c r="N2072" s="1141">
        <f>N$2596</f>
        <v>2025</v>
      </c>
      <c r="O2072" s="19"/>
      <c r="P2072" s="343"/>
      <c r="Q2072" s="343"/>
      <c r="R2072" s="343"/>
      <c r="S2072" s="343"/>
      <c r="T2072" s="7"/>
      <c r="U2072" s="349"/>
      <c r="V2072" s="349"/>
    </row>
    <row r="2073" spans="1:22" s="534" customFormat="1" ht="13.5" customHeight="1" thickBot="1" x14ac:dyDescent="0.3">
      <c r="A2073" s="343"/>
      <c r="B2073" s="15"/>
      <c r="C2073" s="15"/>
      <c r="D2073" s="1454"/>
      <c r="E2073" s="2747" t="str">
        <f>Translations!$B$1056</f>
        <v>Totala tillskrivna utsläpp</v>
      </c>
      <c r="F2073" s="2747"/>
      <c r="G2073" s="710" t="str">
        <f>EUconst_tCO2epa</f>
        <v>t CO2e/år</v>
      </c>
      <c r="H2073" s="735" t="str">
        <f t="shared" ref="H2073:N2073" si="417">INDEX(H$92:H$108,MATCH($I1953,$E$92:$E$108,0))</f>
        <v/>
      </c>
      <c r="I2073" s="1156" t="str">
        <f t="shared" si="417"/>
        <v/>
      </c>
      <c r="J2073" s="735" t="str">
        <f t="shared" si="417"/>
        <v/>
      </c>
      <c r="K2073" s="736" t="str">
        <f t="shared" si="417"/>
        <v/>
      </c>
      <c r="L2073" s="736" t="str">
        <f t="shared" si="417"/>
        <v/>
      </c>
      <c r="M2073" s="736" t="str">
        <f t="shared" si="417"/>
        <v/>
      </c>
      <c r="N2073" s="737" t="str">
        <f t="shared" si="417"/>
        <v/>
      </c>
      <c r="O2073" s="19"/>
      <c r="P2073" s="343"/>
      <c r="Q2073" s="343"/>
      <c r="R2073" s="343"/>
      <c r="S2073" s="343"/>
      <c r="T2073" s="7"/>
      <c r="U2073" s="349"/>
      <c r="V2073" s="349"/>
    </row>
    <row r="2074" spans="1:22" s="534" customFormat="1" ht="5.15" customHeight="1" x14ac:dyDescent="0.25">
      <c r="A2074" s="343"/>
      <c r="B2074" s="15"/>
      <c r="C2074" s="15"/>
      <c r="D2074" s="1454"/>
      <c r="E2074" s="899"/>
      <c r="F2074" s="899"/>
      <c r="G2074" s="416"/>
      <c r="H2074" s="738"/>
      <c r="I2074" s="738"/>
      <c r="J2074" s="738"/>
      <c r="K2074" s="738"/>
      <c r="L2074" s="738"/>
      <c r="M2074" s="738"/>
      <c r="N2074" s="1455"/>
      <c r="O2074" s="19"/>
      <c r="P2074" s="343"/>
      <c r="Q2074" s="343"/>
      <c r="R2074" s="343"/>
      <c r="S2074" s="343"/>
      <c r="T2074" s="7"/>
      <c r="U2074" s="349"/>
      <c r="V2074" s="349"/>
    </row>
    <row r="2075" spans="1:22" s="534" customFormat="1" ht="12.75" customHeight="1" x14ac:dyDescent="0.25">
      <c r="A2075" s="343"/>
      <c r="B2075" s="15"/>
      <c r="C2075" s="15"/>
      <c r="D2075" s="1454"/>
      <c r="E2075" s="2611" t="str">
        <f>Translations!$B$571</f>
        <v>Insatsbränsle</v>
      </c>
      <c r="F2075" s="2484"/>
      <c r="G2075" s="365" t="str">
        <f>EUconst_TJpa</f>
        <v>TJ / år</v>
      </c>
      <c r="H2075" s="739" t="str">
        <f>IF($I1953="","",IF(INDEX(F_ProductBM!H:H,MATCH($P2075,F_ProductBM!$Q:$Q,0))="","",INDEX(F_ProductBM!H:H,MATCH($P2075,F_ProductBM!$Q:$Q,0))))</f>
        <v/>
      </c>
      <c r="I2075" s="1153" t="str">
        <f>IF($I1953="","",IF(INDEX(F_ProductBM!I:I,MATCH($P2075,F_ProductBM!$Q:$Q,0))="","",INDEX(F_ProductBM!I:I,MATCH($P2075,F_ProductBM!$Q:$Q,0))))</f>
        <v/>
      </c>
      <c r="J2075" s="1159" t="str">
        <f>IF($I1953="","",IF(INDEX(F_ProductBM!J:J,MATCH($P2075,F_ProductBM!$Q:$Q,0))="","",INDEX(F_ProductBM!J:J,MATCH($P2075,F_ProductBM!$Q:$Q,0))))</f>
        <v/>
      </c>
      <c r="K2075" s="739" t="str">
        <f>IF($I1953="","",IF(INDEX(F_ProductBM!K:K,MATCH($P2075,F_ProductBM!$Q:$Q,0))="","",INDEX(F_ProductBM!K:K,MATCH($P2075,F_ProductBM!$Q:$Q,0))))</f>
        <v/>
      </c>
      <c r="L2075" s="739" t="str">
        <f>IF($I1953="","",IF(INDEX(F_ProductBM!L:L,MATCH($P2075,F_ProductBM!$Q:$Q,0))="","",INDEX(F_ProductBM!L:L,MATCH($P2075,F_ProductBM!$Q:$Q,0))))</f>
        <v/>
      </c>
      <c r="M2075" s="739" t="str">
        <f>IF($I1953="","",IF(INDEX(F_ProductBM!M:M,MATCH($P2075,F_ProductBM!$Q:$Q,0))="","",INDEX(F_ProductBM!M:M,MATCH($P2075,F_ProductBM!$Q:$Q,0))))</f>
        <v/>
      </c>
      <c r="N2075" s="1456" t="str">
        <f>IF($I1953="","",IF(INDEX(F_ProductBM!N:N,MATCH($P2075,F_ProductBM!$Q:$Q,0))="","",INDEX(F_ProductBM!N:N,MATCH($P2075,F_ProductBM!$Q:$Q,0))))</f>
        <v/>
      </c>
      <c r="O2075" s="19"/>
      <c r="P2075" s="622" t="str">
        <f>EUconst_CNTR_FuelInput &amp; I1953</f>
        <v>FuelInput_</v>
      </c>
      <c r="Q2075" s="343"/>
      <c r="R2075" s="343"/>
      <c r="S2075" s="343"/>
      <c r="T2075" s="7"/>
      <c r="U2075" s="349"/>
      <c r="V2075" s="349"/>
    </row>
    <row r="2076" spans="1:22" s="534" customFormat="1" ht="12.75" customHeight="1" x14ac:dyDescent="0.25">
      <c r="A2076" s="343"/>
      <c r="B2076" s="15"/>
      <c r="C2076" s="15"/>
      <c r="D2076" s="1454"/>
      <c r="E2076" s="2612" t="str">
        <f>Translations!$B$572</f>
        <v>Viktad emissionsfaktor</v>
      </c>
      <c r="F2076" s="2487"/>
      <c r="G2076" s="384" t="str">
        <f>EUconst_tCO2pTJ</f>
        <v>t CO2 / TJ</v>
      </c>
      <c r="H2076" s="740" t="str">
        <f>IF($I1953="","",IF(INDEX(F_ProductBM!H:H,MATCH($P2076,F_ProductBM!$Q:$Q,0))="","",INDEX(F_ProductBM!H:H,MATCH($P2076,F_ProductBM!$Q:$Q,0))))</f>
        <v/>
      </c>
      <c r="I2076" s="1154" t="str">
        <f>IF($I1953="","",IF(INDEX(F_ProductBM!I:I,MATCH($P2076,F_ProductBM!$Q:$Q,0))="","",INDEX(F_ProductBM!I:I,MATCH($P2076,F_ProductBM!$Q:$Q,0))))</f>
        <v/>
      </c>
      <c r="J2076" s="1160" t="str">
        <f>IF($I1953="","",IF(INDEX(F_ProductBM!J:J,MATCH($P2076,F_ProductBM!$Q:$Q,0))="","",INDEX(F_ProductBM!J:J,MATCH($P2076,F_ProductBM!$Q:$Q,0))))</f>
        <v/>
      </c>
      <c r="K2076" s="740" t="str">
        <f>IF($I1953="","",IF(INDEX(F_ProductBM!K:K,MATCH($P2076,F_ProductBM!$Q:$Q,0))="","",INDEX(F_ProductBM!K:K,MATCH($P2076,F_ProductBM!$Q:$Q,0))))</f>
        <v/>
      </c>
      <c r="L2076" s="740" t="str">
        <f>IF($I1953="","",IF(INDEX(F_ProductBM!L:L,MATCH($P2076,F_ProductBM!$Q:$Q,0))="","",INDEX(F_ProductBM!L:L,MATCH($P2076,F_ProductBM!$Q:$Q,0))))</f>
        <v/>
      </c>
      <c r="M2076" s="740" t="str">
        <f>IF($I1953="","",IF(INDEX(F_ProductBM!M:M,MATCH($P2076,F_ProductBM!$Q:$Q,0))="","",INDEX(F_ProductBM!M:M,MATCH($P2076,F_ProductBM!$Q:$Q,0))))</f>
        <v/>
      </c>
      <c r="N2076" s="1457" t="str">
        <f>IF($I1953="","",IF(INDEX(F_ProductBM!N:N,MATCH($P2076,F_ProductBM!$Q:$Q,0))="","",INDEX(F_ProductBM!N:N,MATCH($P2076,F_ProductBM!$Q:$Q,0))))</f>
        <v/>
      </c>
      <c r="O2076" s="19"/>
      <c r="P2076" s="298" t="str">
        <f>EUconst_CNTR_FuelEF &amp; I1953</f>
        <v>FuelEF_</v>
      </c>
      <c r="Q2076" s="343"/>
      <c r="R2076" s="343"/>
      <c r="S2076" s="343"/>
      <c r="T2076" s="7"/>
      <c r="U2076" s="349"/>
      <c r="V2076" s="349"/>
    </row>
    <row r="2077" spans="1:22" s="534" customFormat="1" ht="5.15" customHeight="1" x14ac:dyDescent="0.25">
      <c r="A2077" s="343"/>
      <c r="B2077" s="15"/>
      <c r="C2077" s="15"/>
      <c r="D2077" s="1454"/>
      <c r="E2077" s="899"/>
      <c r="F2077" s="899"/>
      <c r="G2077" s="623"/>
      <c r="H2077" s="741"/>
      <c r="I2077" s="741"/>
      <c r="J2077" s="741"/>
      <c r="K2077" s="741"/>
      <c r="L2077" s="741"/>
      <c r="M2077" s="741"/>
      <c r="N2077" s="1458"/>
      <c r="O2077" s="19"/>
      <c r="P2077" s="343"/>
      <c r="Q2077" s="343"/>
      <c r="R2077" s="343"/>
      <c r="S2077" s="343"/>
      <c r="T2077" s="7"/>
      <c r="U2077" s="349"/>
      <c r="V2077" s="349"/>
    </row>
    <row r="2078" spans="1:22" s="534" customFormat="1" ht="12.75" customHeight="1" x14ac:dyDescent="0.25">
      <c r="A2078" s="343"/>
      <c r="B2078" s="15"/>
      <c r="C2078" s="15"/>
      <c r="D2078" s="1454"/>
      <c r="E2078" s="2613" t="str">
        <f>Translations!$B$528</f>
        <v>Direkta utsläpp</v>
      </c>
      <c r="F2078" s="1997"/>
      <c r="G2078" s="364" t="str">
        <f>EUconst_tCO2pa</f>
        <v>t CO2 / år</v>
      </c>
      <c r="H2078" s="742" t="str">
        <f>IF($I1953="","",IF(INDEX(F_ProductBM!H:H,MATCH($P2078,F_ProductBM!$Q:$Q,0))="","",INDEX(F_ProductBM!H:H,MATCH($P2078,F_ProductBM!$Q:$Q,0))))</f>
        <v/>
      </c>
      <c r="I2078" s="1021" t="str">
        <f>IF($I1953="","",IF(INDEX(F_ProductBM!I:I,MATCH($P2078,F_ProductBM!$Q:$Q,0))="","",INDEX(F_ProductBM!I:I,MATCH($P2078,F_ProductBM!$Q:$Q,0))))</f>
        <v/>
      </c>
      <c r="J2078" s="1158" t="str">
        <f>IF($I1953="","",IF(INDEX(F_ProductBM!J:J,MATCH($P2078,F_ProductBM!$Q:$Q,0))="","",INDEX(F_ProductBM!J:J,MATCH($P2078,F_ProductBM!$Q:$Q,0))))</f>
        <v/>
      </c>
      <c r="K2078" s="742" t="str">
        <f>IF($I1953="","",IF(INDEX(F_ProductBM!K:K,MATCH($P2078,F_ProductBM!$Q:$Q,0))="","",INDEX(F_ProductBM!K:K,MATCH($P2078,F_ProductBM!$Q:$Q,0))))</f>
        <v/>
      </c>
      <c r="L2078" s="742" t="str">
        <f>IF($I1953="","",IF(INDEX(F_ProductBM!L:L,MATCH($P2078,F_ProductBM!$Q:$Q,0))="","",INDEX(F_ProductBM!L:L,MATCH($P2078,F_ProductBM!$Q:$Q,0))))</f>
        <v/>
      </c>
      <c r="M2078" s="742" t="str">
        <f>IF($I1953="","",IF(INDEX(F_ProductBM!M:M,MATCH($P2078,F_ProductBM!$Q:$Q,0))="","",INDEX(F_ProductBM!M:M,MATCH($P2078,F_ProductBM!$Q:$Q,0))))</f>
        <v/>
      </c>
      <c r="N2078" s="1459" t="str">
        <f>IF($I1953="","",IF(INDEX(F_ProductBM!N:N,MATCH($P2078,F_ProductBM!$Q:$Q,0))="","",INDEX(F_ProductBM!N:N,MATCH($P2078,F_ProductBM!$Q:$Q,0))))</f>
        <v/>
      </c>
      <c r="O2078" s="19"/>
      <c r="P2078" s="298" t="str">
        <f>EUconst_CNTR_Emissions &amp; I1953</f>
        <v>DirEmissions_</v>
      </c>
      <c r="Q2078" s="343"/>
      <c r="R2078" s="343"/>
      <c r="S2078" s="343"/>
      <c r="T2078" s="7"/>
      <c r="U2078" s="349"/>
      <c r="V2078" s="349"/>
    </row>
    <row r="2079" spans="1:22" s="534" customFormat="1" ht="12.75" customHeight="1" x14ac:dyDescent="0.25">
      <c r="A2079" s="343"/>
      <c r="B2079" s="15"/>
      <c r="C2079" s="15"/>
      <c r="D2079" s="1454"/>
      <c r="E2079" s="2613" t="str">
        <f>Translations!$B$582</f>
        <v>Andra bränsle-/materialmängder – 1</v>
      </c>
      <c r="F2079" s="1997"/>
      <c r="G2079" s="364" t="str">
        <f>EUconst_tCO2pa</f>
        <v>t CO2 / år</v>
      </c>
      <c r="H2079" s="742" t="str">
        <f>IF($I1953="","",IF(INDEX(F_ProductBM!H:H,MATCH($P2079,F_ProductBM!$Q:$Q,0))="","",INDEX(F_ProductBM!H:H,MATCH($P2079,F_ProductBM!$Q:$Q,0))))</f>
        <v/>
      </c>
      <c r="I2079" s="1021" t="str">
        <f>IF($I1953="","",IF(INDEX(F_ProductBM!I:I,MATCH($P2079,F_ProductBM!$Q:$Q,0))="","",INDEX(F_ProductBM!I:I,MATCH($P2079,F_ProductBM!$Q:$Q,0))))</f>
        <v/>
      </c>
      <c r="J2079" s="1158" t="str">
        <f>IF($I1953="","",IF(INDEX(F_ProductBM!J:J,MATCH($P2079,F_ProductBM!$Q:$Q,0))="","",INDEX(F_ProductBM!J:J,MATCH($P2079,F_ProductBM!$Q:$Q,0))))</f>
        <v/>
      </c>
      <c r="K2079" s="742" t="str">
        <f>IF($I1953="","",IF(INDEX(F_ProductBM!K:K,MATCH($P2079,F_ProductBM!$Q:$Q,0))="","",INDEX(F_ProductBM!K:K,MATCH($P2079,F_ProductBM!$Q:$Q,0))))</f>
        <v/>
      </c>
      <c r="L2079" s="742" t="str">
        <f>IF($I1953="","",IF(INDEX(F_ProductBM!L:L,MATCH($P2079,F_ProductBM!$Q:$Q,0))="","",INDEX(F_ProductBM!L:L,MATCH($P2079,F_ProductBM!$Q:$Q,0))))</f>
        <v/>
      </c>
      <c r="M2079" s="742" t="str">
        <f>IF($I1953="","",IF(INDEX(F_ProductBM!M:M,MATCH($P2079,F_ProductBM!$Q:$Q,0))="","",INDEX(F_ProductBM!M:M,MATCH($P2079,F_ProductBM!$Q:$Q,0))))</f>
        <v/>
      </c>
      <c r="N2079" s="1459" t="str">
        <f>IF($I1953="","",IF(INDEX(F_ProductBM!N:N,MATCH($P2079,F_ProductBM!$Q:$Q,0))="","",INDEX(F_ProductBM!N:N,MATCH($P2079,F_ProductBM!$Q:$Q,0))))</f>
        <v/>
      </c>
      <c r="O2079" s="19"/>
      <c r="P2079" s="298" t="str">
        <f>EUconst_CNTR_EmissionsIntSource1 &amp; I1953</f>
        <v>EmInternalSource1_</v>
      </c>
      <c r="Q2079" s="343"/>
      <c r="R2079" s="343"/>
      <c r="S2079" s="343"/>
      <c r="T2079" s="7"/>
      <c r="U2079" s="349"/>
      <c r="V2079" s="349"/>
    </row>
    <row r="2080" spans="1:22" s="534" customFormat="1" ht="12.75" customHeight="1" x14ac:dyDescent="0.25">
      <c r="A2080" s="343"/>
      <c r="B2080" s="15"/>
      <c r="C2080" s="15"/>
      <c r="D2080" s="1454"/>
      <c r="E2080" s="2613" t="str">
        <f>Translations!$B$592</f>
        <v>Andra bränsle-/materialmängder – 2</v>
      </c>
      <c r="F2080" s="1997"/>
      <c r="G2080" s="364" t="str">
        <f>EUconst_tCO2pa</f>
        <v>t CO2 / år</v>
      </c>
      <c r="H2080" s="742" t="str">
        <f>IF($I1953="","",IF(INDEX(F_ProductBM!H:H,MATCH($P2080,F_ProductBM!$Q:$Q,0))="","",INDEX(F_ProductBM!H:H,MATCH($P2080,F_ProductBM!$Q:$Q,0))))</f>
        <v/>
      </c>
      <c r="I2080" s="1021" t="str">
        <f>IF($I1953="","",IF(INDEX(F_ProductBM!I:I,MATCH($P2080,F_ProductBM!$Q:$Q,0))="","",INDEX(F_ProductBM!I:I,MATCH($P2080,F_ProductBM!$Q:$Q,0))))</f>
        <v/>
      </c>
      <c r="J2080" s="1158" t="str">
        <f>IF($I1953="","",IF(INDEX(F_ProductBM!J:J,MATCH($P2080,F_ProductBM!$Q:$Q,0))="","",INDEX(F_ProductBM!J:J,MATCH($P2080,F_ProductBM!$Q:$Q,0))))</f>
        <v/>
      </c>
      <c r="K2080" s="742" t="str">
        <f>IF($I1953="","",IF(INDEX(F_ProductBM!K:K,MATCH($P2080,F_ProductBM!$Q:$Q,0))="","",INDEX(F_ProductBM!K:K,MATCH($P2080,F_ProductBM!$Q:$Q,0))))</f>
        <v/>
      </c>
      <c r="L2080" s="742" t="str">
        <f>IF($I1953="","",IF(INDEX(F_ProductBM!L:L,MATCH($P2080,F_ProductBM!$Q:$Q,0))="","",INDEX(F_ProductBM!L:L,MATCH($P2080,F_ProductBM!$Q:$Q,0))))</f>
        <v/>
      </c>
      <c r="M2080" s="742" t="str">
        <f>IF($I1953="","",IF(INDEX(F_ProductBM!M:M,MATCH($P2080,F_ProductBM!$Q:$Q,0))="","",INDEX(F_ProductBM!M:M,MATCH($P2080,F_ProductBM!$Q:$Q,0))))</f>
        <v/>
      </c>
      <c r="N2080" s="1459" t="str">
        <f>IF($I1953="","",IF(INDEX(F_ProductBM!N:N,MATCH($P2080,F_ProductBM!$Q:$Q,0))="","",INDEX(F_ProductBM!N:N,MATCH($P2080,F_ProductBM!$Q:$Q,0))))</f>
        <v/>
      </c>
      <c r="O2080" s="19"/>
      <c r="P2080" s="298" t="str">
        <f>EUconst_CNTR_EmissionsIntSource2 &amp; I1953</f>
        <v>EmInternalSource2_</v>
      </c>
      <c r="Q2080" s="343"/>
      <c r="R2080" s="343"/>
      <c r="S2080" s="343"/>
      <c r="T2080" s="7"/>
      <c r="U2080" s="349"/>
      <c r="V2080" s="349"/>
    </row>
    <row r="2081" spans="1:22" s="534" customFormat="1" ht="12.75" customHeight="1" x14ac:dyDescent="0.25">
      <c r="A2081" s="343"/>
      <c r="B2081" s="15"/>
      <c r="C2081" s="15"/>
      <c r="D2081" s="1454"/>
      <c r="E2081" s="2613" t="str">
        <f>Translations!$B$596</f>
        <v>Importerade eller exporterade växthusgaser</v>
      </c>
      <c r="F2081" s="1997"/>
      <c r="G2081" s="364" t="str">
        <f>EUconst_tCO2epa</f>
        <v>t CO2e/år</v>
      </c>
      <c r="H2081" s="742" t="str">
        <f>IF($I1953="","",IF(INDEX(F_ProductBM!H:H,MATCH($P2081,F_ProductBM!$Q:$Q,0))="","",INDEX(F_ProductBM!H:H,MATCH($P2081,F_ProductBM!$Q:$Q,0))))</f>
        <v/>
      </c>
      <c r="I2081" s="1021" t="str">
        <f>IF($I1953="","",IF(INDEX(F_ProductBM!I:I,MATCH($P2081,F_ProductBM!$Q:$Q,0))="","",INDEX(F_ProductBM!I:I,MATCH($P2081,F_ProductBM!$Q:$Q,0))))</f>
        <v/>
      </c>
      <c r="J2081" s="1158" t="str">
        <f>IF($I1953="","",IF(INDEX(F_ProductBM!J:J,MATCH($P2081,F_ProductBM!$Q:$Q,0))="","",INDEX(F_ProductBM!J:J,MATCH($P2081,F_ProductBM!$Q:$Q,0))))</f>
        <v/>
      </c>
      <c r="K2081" s="742" t="str">
        <f>IF($I1953="","",IF(INDEX(F_ProductBM!K:K,MATCH($P2081,F_ProductBM!$Q:$Q,0))="","",INDEX(F_ProductBM!K:K,MATCH($P2081,F_ProductBM!$Q:$Q,0))))</f>
        <v/>
      </c>
      <c r="L2081" s="742" t="str">
        <f>IF($I1953="","",IF(INDEX(F_ProductBM!L:L,MATCH($P2081,F_ProductBM!$Q:$Q,0))="","",INDEX(F_ProductBM!L:L,MATCH($P2081,F_ProductBM!$Q:$Q,0))))</f>
        <v/>
      </c>
      <c r="M2081" s="742" t="str">
        <f>IF($I1953="","",IF(INDEX(F_ProductBM!M:M,MATCH($P2081,F_ProductBM!$Q:$Q,0))="","",INDEX(F_ProductBM!M:M,MATCH($P2081,F_ProductBM!$Q:$Q,0))))</f>
        <v/>
      </c>
      <c r="N2081" s="1459" t="str">
        <f>IF($I1953="","",IF(INDEX(F_ProductBM!N:N,MATCH($P2081,F_ProductBM!$Q:$Q,0))="","",INDEX(F_ProductBM!N:N,MATCH($P2081,F_ProductBM!$Q:$Q,0))))</f>
        <v/>
      </c>
      <c r="O2081" s="19"/>
      <c r="P2081" s="298" t="str">
        <f>EUconst_CNTR_CO2Feedstock &amp; I1953</f>
        <v>EmCO2Feedstock_</v>
      </c>
      <c r="Q2081" s="343"/>
      <c r="R2081" s="343"/>
      <c r="S2081" s="343"/>
      <c r="T2081" s="7"/>
      <c r="U2081" s="349"/>
      <c r="V2081" s="349"/>
    </row>
    <row r="2082" spans="1:22" s="534" customFormat="1" ht="5.15" customHeight="1" x14ac:dyDescent="0.25">
      <c r="A2082" s="343"/>
      <c r="B2082" s="15"/>
      <c r="C2082" s="15"/>
      <c r="D2082" s="1454"/>
      <c r="E2082" s="899"/>
      <c r="F2082" s="899"/>
      <c r="G2082" s="623"/>
      <c r="H2082" s="741"/>
      <c r="I2082" s="741"/>
      <c r="J2082" s="741"/>
      <c r="K2082" s="741"/>
      <c r="L2082" s="741"/>
      <c r="M2082" s="741"/>
      <c r="N2082" s="1458"/>
      <c r="O2082" s="19"/>
      <c r="P2082" s="343"/>
      <c r="Q2082" s="343"/>
      <c r="R2082" s="343"/>
      <c r="S2082" s="343"/>
      <c r="T2082" s="7"/>
      <c r="U2082" s="349"/>
      <c r="V2082" s="349"/>
    </row>
    <row r="2083" spans="1:22" s="534" customFormat="1" ht="12.75" customHeight="1" x14ac:dyDescent="0.25">
      <c r="A2083" s="343"/>
      <c r="B2083" s="15"/>
      <c r="C2083" s="15"/>
      <c r="D2083" s="1454"/>
      <c r="E2083" s="2611" t="str">
        <f>Translations!$B$604</f>
        <v>Nettomängd importerad värme</v>
      </c>
      <c r="F2083" s="2484"/>
      <c r="G2083" s="365" t="str">
        <f>EUconst_TJpa</f>
        <v>TJ / år</v>
      </c>
      <c r="H2083" s="739" t="str">
        <f>IF($I1953="","",IF(INDEX(F_ProductBM!H:H,MATCH($P2083,F_ProductBM!$Q:$Q,0))="","",INDEX(F_ProductBM!H:H,MATCH($P2083,F_ProductBM!$Q:$Q,0))))</f>
        <v/>
      </c>
      <c r="I2083" s="1153" t="str">
        <f>IF($I1953="","",IF(INDEX(F_ProductBM!I:I,MATCH($P2083,F_ProductBM!$Q:$Q,0))="","",INDEX(F_ProductBM!I:I,MATCH($P2083,F_ProductBM!$Q:$Q,0))))</f>
        <v/>
      </c>
      <c r="J2083" s="1159" t="str">
        <f>IF($I1953="","",IF(INDEX(F_ProductBM!J:J,MATCH($P2083,F_ProductBM!$Q:$Q,0))="","",INDEX(F_ProductBM!J:J,MATCH($P2083,F_ProductBM!$Q:$Q,0))))</f>
        <v/>
      </c>
      <c r="K2083" s="739" t="str">
        <f>IF($I1953="","",IF(INDEX(F_ProductBM!K:K,MATCH($P2083,F_ProductBM!$Q:$Q,0))="","",INDEX(F_ProductBM!K:K,MATCH($P2083,F_ProductBM!$Q:$Q,0))))</f>
        <v/>
      </c>
      <c r="L2083" s="739" t="str">
        <f>IF($I1953="","",IF(INDEX(F_ProductBM!L:L,MATCH($P2083,F_ProductBM!$Q:$Q,0))="","",INDEX(F_ProductBM!L:L,MATCH($P2083,F_ProductBM!$Q:$Q,0))))</f>
        <v/>
      </c>
      <c r="M2083" s="739" t="str">
        <f>IF($I1953="","",IF(INDEX(F_ProductBM!M:M,MATCH($P2083,F_ProductBM!$Q:$Q,0))="","",INDEX(F_ProductBM!M:M,MATCH($P2083,F_ProductBM!$Q:$Q,0))))</f>
        <v/>
      </c>
      <c r="N2083" s="1456" t="str">
        <f>IF($I1953="","",IF(INDEX(F_ProductBM!N:N,MATCH($P2083,F_ProductBM!$Q:$Q,0))="","",INDEX(F_ProductBM!N:N,MATCH($P2083,F_ProductBM!$Q:$Q,0))))</f>
        <v/>
      </c>
      <c r="O2083" s="19"/>
      <c r="P2083" s="298" t="str">
        <f>EUconst_CNTR_HeatImport &amp; I1953</f>
        <v>HeatIm_</v>
      </c>
      <c r="Q2083" s="343"/>
      <c r="R2083" s="343"/>
      <c r="S2083" s="343"/>
      <c r="T2083" s="7"/>
      <c r="U2083" s="349"/>
      <c r="V2083" s="349"/>
    </row>
    <row r="2084" spans="1:22" s="534" customFormat="1" ht="12.75" customHeight="1" x14ac:dyDescent="0.25">
      <c r="A2084" s="343"/>
      <c r="B2084" s="15"/>
      <c r="C2084" s="15"/>
      <c r="D2084" s="1454"/>
      <c r="E2084" s="2612" t="str">
        <f>Translations!$B$605</f>
        <v>Särskild emissionsfaktor (importerad värme)</v>
      </c>
      <c r="F2084" s="2487"/>
      <c r="G2084" s="384" t="str">
        <f>EUconst_tCO2pTJ</f>
        <v>t CO2 / TJ</v>
      </c>
      <c r="H2084" s="740" t="str">
        <f>IF($I1953="","",IF(INDEX(F_ProductBM!H:H,MATCH($P2084,F_ProductBM!$Q:$Q,0))="","",INDEX(F_ProductBM!H:H,MATCH($P2084,F_ProductBM!$Q:$Q,0))))</f>
        <v/>
      </c>
      <c r="I2084" s="1154" t="str">
        <f>IF($I1953="","",IF(INDEX(F_ProductBM!I:I,MATCH($P2084,F_ProductBM!$Q:$Q,0))="","",INDEX(F_ProductBM!I:I,MATCH($P2084,F_ProductBM!$Q:$Q,0))))</f>
        <v/>
      </c>
      <c r="J2084" s="1160" t="str">
        <f>IF($I1953="","",IF(INDEX(F_ProductBM!J:J,MATCH($P2084,F_ProductBM!$Q:$Q,0))="","",INDEX(F_ProductBM!J:J,MATCH($P2084,F_ProductBM!$Q:$Q,0))))</f>
        <v/>
      </c>
      <c r="K2084" s="740" t="str">
        <f>IF($I1953="","",IF(INDEX(F_ProductBM!K:K,MATCH($P2084,F_ProductBM!$Q:$Q,0))="","",INDEX(F_ProductBM!K:K,MATCH($P2084,F_ProductBM!$Q:$Q,0))))</f>
        <v/>
      </c>
      <c r="L2084" s="740" t="str">
        <f>IF($I1953="","",IF(INDEX(F_ProductBM!L:L,MATCH($P2084,F_ProductBM!$Q:$Q,0))="","",INDEX(F_ProductBM!L:L,MATCH($P2084,F_ProductBM!$Q:$Q,0))))</f>
        <v/>
      </c>
      <c r="M2084" s="740" t="str">
        <f>IF($I1953="","",IF(INDEX(F_ProductBM!M:M,MATCH($P2084,F_ProductBM!$Q:$Q,0))="","",INDEX(F_ProductBM!M:M,MATCH($P2084,F_ProductBM!$Q:$Q,0))))</f>
        <v/>
      </c>
      <c r="N2084" s="1457" t="str">
        <f>IF($I1953="","",IF(INDEX(F_ProductBM!N:N,MATCH($P2084,F_ProductBM!$Q:$Q,0))="","",INDEX(F_ProductBM!N:N,MATCH($P2084,F_ProductBM!$Q:$Q,0))))</f>
        <v/>
      </c>
      <c r="O2084" s="19"/>
      <c r="P2084" s="298" t="str">
        <f>EUconst_CNTR_HeatImportEF &amp; I1953</f>
        <v>HeatImEF_</v>
      </c>
      <c r="Q2084" s="343"/>
      <c r="R2084" s="343"/>
      <c r="S2084" s="343"/>
      <c r="T2084" s="7"/>
      <c r="U2084" s="349"/>
      <c r="V2084" s="349"/>
    </row>
    <row r="2085" spans="1:22" s="534" customFormat="1" ht="5.15" customHeight="1" x14ac:dyDescent="0.25">
      <c r="A2085" s="343"/>
      <c r="B2085" s="15"/>
      <c r="C2085" s="15"/>
      <c r="D2085" s="1454"/>
      <c r="E2085" s="899"/>
      <c r="F2085" s="899"/>
      <c r="G2085" s="623"/>
      <c r="H2085" s="741"/>
      <c r="I2085" s="741"/>
      <c r="J2085" s="741"/>
      <c r="K2085" s="741"/>
      <c r="L2085" s="741"/>
      <c r="M2085" s="741"/>
      <c r="N2085" s="1458"/>
      <c r="O2085" s="19"/>
      <c r="P2085" s="7"/>
      <c r="Q2085" s="343"/>
      <c r="R2085" s="343"/>
      <c r="S2085" s="343"/>
      <c r="T2085" s="7"/>
      <c r="U2085" s="349"/>
      <c r="V2085" s="349"/>
    </row>
    <row r="2086" spans="1:22" s="534" customFormat="1" ht="12.75" customHeight="1" x14ac:dyDescent="0.25">
      <c r="A2086" s="343"/>
      <c r="B2086" s="15"/>
      <c r="C2086" s="15"/>
      <c r="D2086" s="1454"/>
      <c r="E2086" s="2613" t="str">
        <f>Translations!$B$659</f>
        <v>Importerad nettovärme från massa</v>
      </c>
      <c r="F2086" s="1997"/>
      <c r="G2086" s="364" t="str">
        <f>EUconst_TJpa</f>
        <v>TJ / år</v>
      </c>
      <c r="H2086" s="742" t="str">
        <f>IF($I1953="","",IF(INDEX(F_ProductBM!H:H,MATCH($P2086,F_ProductBM!$Q:$Q,0))="","",INDEX(F_ProductBM!H:H,MATCH($P2086,F_ProductBM!$Q:$Q,0))))</f>
        <v/>
      </c>
      <c r="I2086" s="1021" t="str">
        <f>IF($I1953="","",IF(INDEX(F_ProductBM!I:I,MATCH($P2086,F_ProductBM!$Q:$Q,0))="","",INDEX(F_ProductBM!I:I,MATCH($P2086,F_ProductBM!$Q:$Q,0))))</f>
        <v/>
      </c>
      <c r="J2086" s="1158" t="str">
        <f>IF($I1953="","",IF(INDEX(F_ProductBM!J:J,MATCH($P2086,F_ProductBM!$Q:$Q,0))="","",INDEX(F_ProductBM!J:J,MATCH($P2086,F_ProductBM!$Q:$Q,0))))</f>
        <v/>
      </c>
      <c r="K2086" s="742" t="str">
        <f>IF($I1953="","",IF(INDEX(F_ProductBM!K:K,MATCH($P2086,F_ProductBM!$Q:$Q,0))="","",INDEX(F_ProductBM!K:K,MATCH($P2086,F_ProductBM!$Q:$Q,0))))</f>
        <v/>
      </c>
      <c r="L2086" s="742" t="str">
        <f>IF($I1953="","",IF(INDEX(F_ProductBM!L:L,MATCH($P2086,F_ProductBM!$Q:$Q,0))="","",INDEX(F_ProductBM!L:L,MATCH($P2086,F_ProductBM!$Q:$Q,0))))</f>
        <v/>
      </c>
      <c r="M2086" s="742" t="str">
        <f>IF($I1953="","",IF(INDEX(F_ProductBM!M:M,MATCH($P2086,F_ProductBM!$Q:$Q,0))="","",INDEX(F_ProductBM!M:M,MATCH($P2086,F_ProductBM!$Q:$Q,0))))</f>
        <v/>
      </c>
      <c r="N2086" s="1459" t="str">
        <f>IF($I1953="","",IF(INDEX(F_ProductBM!N:N,MATCH($P2086,F_ProductBM!$Q:$Q,0))="","",INDEX(F_ProductBM!N:N,MATCH($P2086,F_ProductBM!$Q:$Q,0))))</f>
        <v/>
      </c>
      <c r="O2086" s="19"/>
      <c r="P2086" s="298" t="str">
        <f>EUconst_CNTR_HeatImportPulp &amp; I1953</f>
        <v>HeatImPulp_</v>
      </c>
      <c r="Q2086" s="343"/>
      <c r="R2086" s="343"/>
      <c r="S2086" s="343"/>
      <c r="T2086" s="7"/>
      <c r="U2086" s="349"/>
      <c r="V2086" s="349"/>
    </row>
    <row r="2087" spans="1:22" s="534" customFormat="1" ht="12.75" customHeight="1" x14ac:dyDescent="0.25">
      <c r="A2087" s="343"/>
      <c r="B2087" s="15"/>
      <c r="C2087" s="15"/>
      <c r="D2087" s="1454"/>
      <c r="E2087" s="2613" t="str">
        <f>Translations!$B$608</f>
        <v>Nettomängd importerad värme från delanläggningar för salpetersyra</v>
      </c>
      <c r="F2087" s="1997"/>
      <c r="G2087" s="364" t="str">
        <f>EUconst_TJpa</f>
        <v>TJ / år</v>
      </c>
      <c r="H2087" s="742" t="str">
        <f>IF($I1953="","",IF(INDEX(F_ProductBM!H:H,MATCH($P2087,F_ProductBM!$Q:$Q,0))="","",INDEX(F_ProductBM!H:H,MATCH($P2087,F_ProductBM!$Q:$Q,0))))</f>
        <v/>
      </c>
      <c r="I2087" s="1021" t="str">
        <f>IF($I1953="","",IF(INDEX(F_ProductBM!I:I,MATCH($P2087,F_ProductBM!$Q:$Q,0))="","",INDEX(F_ProductBM!I:I,MATCH($P2087,F_ProductBM!$Q:$Q,0))))</f>
        <v/>
      </c>
      <c r="J2087" s="1158" t="str">
        <f>IF($I1953="","",IF(INDEX(F_ProductBM!J:J,MATCH($P2087,F_ProductBM!$Q:$Q,0))="","",INDEX(F_ProductBM!J:J,MATCH($P2087,F_ProductBM!$Q:$Q,0))))</f>
        <v/>
      </c>
      <c r="K2087" s="742" t="str">
        <f>IF($I1953="","",IF(INDEX(F_ProductBM!K:K,MATCH($P2087,F_ProductBM!$Q:$Q,0))="","",INDEX(F_ProductBM!K:K,MATCH($P2087,F_ProductBM!$Q:$Q,0))))</f>
        <v/>
      </c>
      <c r="L2087" s="742" t="str">
        <f>IF($I1953="","",IF(INDEX(F_ProductBM!L:L,MATCH($P2087,F_ProductBM!$Q:$Q,0))="","",INDEX(F_ProductBM!L:L,MATCH($P2087,F_ProductBM!$Q:$Q,0))))</f>
        <v/>
      </c>
      <c r="M2087" s="742" t="str">
        <f>IF($I1953="","",IF(INDEX(F_ProductBM!M:M,MATCH($P2087,F_ProductBM!$Q:$Q,0))="","",INDEX(F_ProductBM!M:M,MATCH($P2087,F_ProductBM!$Q:$Q,0))))</f>
        <v/>
      </c>
      <c r="N2087" s="1459" t="str">
        <f>IF($I1953="","",IF(INDEX(F_ProductBM!N:N,MATCH($P2087,F_ProductBM!$Q:$Q,0))="","",INDEX(F_ProductBM!N:N,MATCH($P2087,F_ProductBM!$Q:$Q,0))))</f>
        <v/>
      </c>
      <c r="O2087" s="19"/>
      <c r="P2087" s="298" t="str">
        <f>EUconst_CNTR_HeatImportNitric &amp; I1953</f>
        <v>HeatImNitric_</v>
      </c>
      <c r="Q2087" s="343"/>
      <c r="R2087" s="343"/>
      <c r="S2087" s="343"/>
      <c r="T2087" s="7"/>
      <c r="U2087" s="349"/>
      <c r="V2087" s="349"/>
    </row>
    <row r="2088" spans="1:22" s="534" customFormat="1" ht="5.15" customHeight="1" x14ac:dyDescent="0.25">
      <c r="A2088" s="343"/>
      <c r="B2088" s="15"/>
      <c r="C2088" s="15"/>
      <c r="D2088" s="1454"/>
      <c r="E2088" s="899"/>
      <c r="F2088" s="899"/>
      <c r="G2088" s="416"/>
      <c r="H2088" s="741"/>
      <c r="I2088" s="741"/>
      <c r="J2088" s="741"/>
      <c r="K2088" s="741"/>
      <c r="L2088" s="741"/>
      <c r="M2088" s="741"/>
      <c r="N2088" s="1458"/>
      <c r="O2088" s="19"/>
      <c r="P2088" s="7"/>
      <c r="Q2088" s="343"/>
      <c r="R2088" s="343"/>
      <c r="S2088" s="343"/>
      <c r="T2088" s="7"/>
      <c r="U2088" s="349"/>
      <c r="V2088" s="349"/>
    </row>
    <row r="2089" spans="1:22" s="534" customFormat="1" ht="12.75" customHeight="1" x14ac:dyDescent="0.25">
      <c r="A2089" s="343"/>
      <c r="B2089" s="15"/>
      <c r="C2089" s="15"/>
      <c r="D2089" s="1454"/>
      <c r="E2089" s="2611" t="str">
        <f>Translations!$B$610</f>
        <v>Nettomängd exporterad värme</v>
      </c>
      <c r="F2089" s="2484"/>
      <c r="G2089" s="365" t="str">
        <f>EUconst_TJpa</f>
        <v>TJ / år</v>
      </c>
      <c r="H2089" s="739" t="str">
        <f>IF($I1953="","",IF(INDEX(F_ProductBM!H:H,MATCH($P2089,F_ProductBM!$Q:$Q,0))="","",INDEX(F_ProductBM!H:H,MATCH($P2089,F_ProductBM!$Q:$Q,0))))</f>
        <v/>
      </c>
      <c r="I2089" s="1153" t="str">
        <f>IF($I1953="","",IF(INDEX(F_ProductBM!I:I,MATCH($P2089,F_ProductBM!$Q:$Q,0))="","",INDEX(F_ProductBM!I:I,MATCH($P2089,F_ProductBM!$Q:$Q,0))))</f>
        <v/>
      </c>
      <c r="J2089" s="1159" t="str">
        <f>IF($I1953="","",IF(INDEX(F_ProductBM!J:J,MATCH($P2089,F_ProductBM!$Q:$Q,0))="","",INDEX(F_ProductBM!J:J,MATCH($P2089,F_ProductBM!$Q:$Q,0))))</f>
        <v/>
      </c>
      <c r="K2089" s="739" t="str">
        <f>IF($I1953="","",IF(INDEX(F_ProductBM!K:K,MATCH($P2089,F_ProductBM!$Q:$Q,0))="","",INDEX(F_ProductBM!K:K,MATCH($P2089,F_ProductBM!$Q:$Q,0))))</f>
        <v/>
      </c>
      <c r="L2089" s="739" t="str">
        <f>IF($I1953="","",IF(INDEX(F_ProductBM!L:L,MATCH($P2089,F_ProductBM!$Q:$Q,0))="","",INDEX(F_ProductBM!L:L,MATCH($P2089,F_ProductBM!$Q:$Q,0))))</f>
        <v/>
      </c>
      <c r="M2089" s="739" t="str">
        <f>IF($I1953="","",IF(INDEX(F_ProductBM!M:M,MATCH($P2089,F_ProductBM!$Q:$Q,0))="","",INDEX(F_ProductBM!M:M,MATCH($P2089,F_ProductBM!$Q:$Q,0))))</f>
        <v/>
      </c>
      <c r="N2089" s="1456" t="str">
        <f>IF($I1953="","",IF(INDEX(F_ProductBM!N:N,MATCH($P2089,F_ProductBM!$Q:$Q,0))="","",INDEX(F_ProductBM!N:N,MATCH($P2089,F_ProductBM!$Q:$Q,0))))</f>
        <v/>
      </c>
      <c r="O2089" s="19"/>
      <c r="P2089" s="298" t="str">
        <f>EUconst_CNTR_HeatExport &amp; I1953</f>
        <v>HeatEx_</v>
      </c>
      <c r="Q2089" s="343"/>
      <c r="R2089" s="343"/>
      <c r="S2089" s="343"/>
      <c r="T2089" s="7"/>
      <c r="U2089" s="349"/>
      <c r="V2089" s="349"/>
    </row>
    <row r="2090" spans="1:22" s="534" customFormat="1" ht="12.75" customHeight="1" x14ac:dyDescent="0.25">
      <c r="A2090" s="343"/>
      <c r="B2090" s="15"/>
      <c r="C2090" s="15"/>
      <c r="D2090" s="1454"/>
      <c r="E2090" s="2612" t="str">
        <f>Translations!$B$611</f>
        <v>Särskild emissionsfaktor (exporterad värme)</v>
      </c>
      <c r="F2090" s="2487"/>
      <c r="G2090" s="384" t="str">
        <f>EUconst_tCO2pTJ</f>
        <v>t CO2 / TJ</v>
      </c>
      <c r="H2090" s="740" t="str">
        <f>IF($I1953="","",IF(INDEX(F_ProductBM!H:H,MATCH($P2090,F_ProductBM!$Q:$Q,0))="","",INDEX(F_ProductBM!H:H,MATCH($P2090,F_ProductBM!$Q:$Q,0))))</f>
        <v/>
      </c>
      <c r="I2090" s="1154" t="str">
        <f>IF($I1953="","",IF(INDEX(F_ProductBM!I:I,MATCH($P2090,F_ProductBM!$Q:$Q,0))="","",INDEX(F_ProductBM!I:I,MATCH($P2090,F_ProductBM!$Q:$Q,0))))</f>
        <v/>
      </c>
      <c r="J2090" s="1160" t="str">
        <f>IF($I1953="","",IF(INDEX(F_ProductBM!J:J,MATCH($P2090,F_ProductBM!$Q:$Q,0))="","",INDEX(F_ProductBM!J:J,MATCH($P2090,F_ProductBM!$Q:$Q,0))))</f>
        <v/>
      </c>
      <c r="K2090" s="740" t="str">
        <f>IF($I1953="","",IF(INDEX(F_ProductBM!K:K,MATCH($P2090,F_ProductBM!$Q:$Q,0))="","",INDEX(F_ProductBM!K:K,MATCH($P2090,F_ProductBM!$Q:$Q,0))))</f>
        <v/>
      </c>
      <c r="L2090" s="740" t="str">
        <f>IF($I1953="","",IF(INDEX(F_ProductBM!L:L,MATCH($P2090,F_ProductBM!$Q:$Q,0))="","",INDEX(F_ProductBM!L:L,MATCH($P2090,F_ProductBM!$Q:$Q,0))))</f>
        <v/>
      </c>
      <c r="M2090" s="740" t="str">
        <f>IF($I1953="","",IF(INDEX(F_ProductBM!M:M,MATCH($P2090,F_ProductBM!$Q:$Q,0))="","",INDEX(F_ProductBM!M:M,MATCH($P2090,F_ProductBM!$Q:$Q,0))))</f>
        <v/>
      </c>
      <c r="N2090" s="1457" t="str">
        <f>IF($I1953="","",IF(INDEX(F_ProductBM!N:N,MATCH($P2090,F_ProductBM!$Q:$Q,0))="","",INDEX(F_ProductBM!N:N,MATCH($P2090,F_ProductBM!$Q:$Q,0))))</f>
        <v/>
      </c>
      <c r="O2090" s="19"/>
      <c r="P2090" s="298" t="str">
        <f>EUconst_CNTR_HeatExportEF &amp; I1953</f>
        <v>HeatExEF_</v>
      </c>
      <c r="Q2090" s="343"/>
      <c r="R2090" s="343"/>
      <c r="S2090" s="343"/>
      <c r="T2090" s="7"/>
      <c r="U2090" s="349"/>
      <c r="V2090" s="349"/>
    </row>
    <row r="2091" spans="1:22" s="534" customFormat="1" ht="5.15" customHeight="1" x14ac:dyDescent="0.25">
      <c r="A2091" s="343"/>
      <c r="B2091" s="15"/>
      <c r="C2091" s="15"/>
      <c r="D2091" s="1454"/>
      <c r="E2091" s="899"/>
      <c r="F2091" s="899"/>
      <c r="G2091" s="416"/>
      <c r="H2091" s="741"/>
      <c r="I2091" s="741"/>
      <c r="J2091" s="741"/>
      <c r="K2091" s="741"/>
      <c r="L2091" s="741"/>
      <c r="M2091" s="741"/>
      <c r="N2091" s="1458"/>
      <c r="O2091" s="19"/>
      <c r="P2091" s="7"/>
      <c r="Q2091" s="343"/>
      <c r="R2091" s="343"/>
      <c r="S2091" s="343"/>
      <c r="T2091" s="7"/>
      <c r="U2091" s="349"/>
      <c r="V2091" s="349"/>
    </row>
    <row r="2092" spans="1:22" s="534" customFormat="1" ht="12.75" customHeight="1" x14ac:dyDescent="0.25">
      <c r="A2092" s="343"/>
      <c r="B2092" s="15"/>
      <c r="C2092" s="15"/>
      <c r="D2092" s="1454"/>
      <c r="E2092" s="2611" t="str">
        <f>Translations!$B$618</f>
        <v>Producerad restgas</v>
      </c>
      <c r="F2092" s="2484"/>
      <c r="G2092" s="365" t="str">
        <f>EUconst_TJpa</f>
        <v>TJ / år</v>
      </c>
      <c r="H2092" s="739" t="str">
        <f>IF($I1953="","",IF(INDEX(F_ProductBM!H:H,MATCH($P2092,F_ProductBM!$Q:$Q,0))="","",INDEX(F_ProductBM!H:H,MATCH($P2092,F_ProductBM!$Q:$Q,0))))</f>
        <v/>
      </c>
      <c r="I2092" s="1153" t="str">
        <f>IF($I1953="","",IF(INDEX(F_ProductBM!I:I,MATCH($P2092,F_ProductBM!$Q:$Q,0))="","",INDEX(F_ProductBM!I:I,MATCH($P2092,F_ProductBM!$Q:$Q,0))))</f>
        <v/>
      </c>
      <c r="J2092" s="1159" t="str">
        <f>IF($I1953="","",IF(INDEX(F_ProductBM!J:J,MATCH($P2092,F_ProductBM!$Q:$Q,0))="","",INDEX(F_ProductBM!J:J,MATCH($P2092,F_ProductBM!$Q:$Q,0))))</f>
        <v/>
      </c>
      <c r="K2092" s="739" t="str">
        <f>IF($I1953="","",IF(INDEX(F_ProductBM!K:K,MATCH($P2092,F_ProductBM!$Q:$Q,0))="","",INDEX(F_ProductBM!K:K,MATCH($P2092,F_ProductBM!$Q:$Q,0))))</f>
        <v/>
      </c>
      <c r="L2092" s="739" t="str">
        <f>IF($I1953="","",IF(INDEX(F_ProductBM!L:L,MATCH($P2092,F_ProductBM!$Q:$Q,0))="","",INDEX(F_ProductBM!L:L,MATCH($P2092,F_ProductBM!$Q:$Q,0))))</f>
        <v/>
      </c>
      <c r="M2092" s="739" t="str">
        <f>IF($I1953="","",IF(INDEX(F_ProductBM!M:M,MATCH($P2092,F_ProductBM!$Q:$Q,0))="","",INDEX(F_ProductBM!M:M,MATCH($P2092,F_ProductBM!$Q:$Q,0))))</f>
        <v/>
      </c>
      <c r="N2092" s="1456" t="str">
        <f>IF($I1953="","",IF(INDEX(F_ProductBM!N:N,MATCH($P2092,F_ProductBM!$Q:$Q,0))="","",INDEX(F_ProductBM!N:N,MATCH($P2092,F_ProductBM!$Q:$Q,0))))</f>
        <v/>
      </c>
      <c r="O2092" s="19"/>
      <c r="P2092" s="622" t="str">
        <f>EUconst_CNTR_WGProduced &amp; I1953</f>
        <v>WasteGasProd_</v>
      </c>
      <c r="Q2092" s="343"/>
      <c r="R2092" s="343"/>
      <c r="S2092" s="343"/>
      <c r="T2092" s="7"/>
      <c r="U2092" s="349"/>
      <c r="V2092" s="349"/>
    </row>
    <row r="2093" spans="1:22" s="534" customFormat="1" ht="12.75" customHeight="1" x14ac:dyDescent="0.25">
      <c r="A2093" s="343"/>
      <c r="B2093" s="15"/>
      <c r="C2093" s="15"/>
      <c r="D2093" s="1454"/>
      <c r="E2093" s="2612" t="str">
        <f>Translations!$B$619</f>
        <v>Särskild emissionsfaktor (producerad restgas)</v>
      </c>
      <c r="F2093" s="2487"/>
      <c r="G2093" s="384" t="str">
        <f>EUconst_tCO2pTJ</f>
        <v>t CO2 / TJ</v>
      </c>
      <c r="H2093" s="740" t="str">
        <f>IF($I1953="","",IF(INDEX(F_ProductBM!H:H,MATCH($P2093,F_ProductBM!$Q:$Q,0))="","",INDEX(F_ProductBM!H:H,MATCH($P2093,F_ProductBM!$Q:$Q,0))))</f>
        <v/>
      </c>
      <c r="I2093" s="1154" t="str">
        <f>IF($I1953="","",IF(INDEX(F_ProductBM!I:I,MATCH($P2093,F_ProductBM!$Q:$Q,0))="","",INDEX(F_ProductBM!I:I,MATCH($P2093,F_ProductBM!$Q:$Q,0))))</f>
        <v/>
      </c>
      <c r="J2093" s="1160" t="str">
        <f>IF($I1953="","",IF(INDEX(F_ProductBM!J:J,MATCH($P2093,F_ProductBM!$Q:$Q,0))="","",INDEX(F_ProductBM!J:J,MATCH($P2093,F_ProductBM!$Q:$Q,0))))</f>
        <v/>
      </c>
      <c r="K2093" s="740" t="str">
        <f>IF($I1953="","",IF(INDEX(F_ProductBM!K:K,MATCH($P2093,F_ProductBM!$Q:$Q,0))="","",INDEX(F_ProductBM!K:K,MATCH($P2093,F_ProductBM!$Q:$Q,0))))</f>
        <v/>
      </c>
      <c r="L2093" s="740" t="str">
        <f>IF($I1953="","",IF(INDEX(F_ProductBM!L:L,MATCH($P2093,F_ProductBM!$Q:$Q,0))="","",INDEX(F_ProductBM!L:L,MATCH($P2093,F_ProductBM!$Q:$Q,0))))</f>
        <v/>
      </c>
      <c r="M2093" s="740" t="str">
        <f>IF($I1953="","",IF(INDEX(F_ProductBM!M:M,MATCH($P2093,F_ProductBM!$Q:$Q,0))="","",INDEX(F_ProductBM!M:M,MATCH($P2093,F_ProductBM!$Q:$Q,0))))</f>
        <v/>
      </c>
      <c r="N2093" s="1457" t="str">
        <f>IF($I1953="","",IF(INDEX(F_ProductBM!N:N,MATCH($P2093,F_ProductBM!$Q:$Q,0))="","",INDEX(F_ProductBM!N:N,MATCH($P2093,F_ProductBM!$Q:$Q,0))))</f>
        <v/>
      </c>
      <c r="O2093" s="19"/>
      <c r="P2093" s="298" t="str">
        <f>EUconst_CNTR_WGProducedEF &amp; I1953</f>
        <v>WasteGasProdEF_</v>
      </c>
      <c r="Q2093" s="343"/>
      <c r="R2093" s="343"/>
      <c r="S2093" s="343"/>
      <c r="T2093" s="7"/>
      <c r="U2093" s="349"/>
      <c r="V2093" s="349"/>
    </row>
    <row r="2094" spans="1:22" s="534" customFormat="1" ht="12.75" customHeight="1" x14ac:dyDescent="0.25">
      <c r="A2094" s="343"/>
      <c r="B2094" s="15"/>
      <c r="C2094" s="15"/>
      <c r="D2094" s="1454"/>
      <c r="E2094" s="2611" t="str">
        <f>Translations!$B$623</f>
        <v>Förbrukad restgas</v>
      </c>
      <c r="F2094" s="2484"/>
      <c r="G2094" s="365" t="str">
        <f>EUconst_TJpa</f>
        <v>TJ / år</v>
      </c>
      <c r="H2094" s="739" t="str">
        <f>IF($I1953="","",IF(INDEX(F_ProductBM!H:H,MATCH($P2094,F_ProductBM!$Q:$Q,0))="","",INDEX(F_ProductBM!H:H,MATCH($P2094,F_ProductBM!$Q:$Q,0))))</f>
        <v/>
      </c>
      <c r="I2094" s="1153" t="str">
        <f>IF($I1953="","",IF(INDEX(F_ProductBM!I:I,MATCH($P2094,F_ProductBM!$Q:$Q,0))="","",INDEX(F_ProductBM!I:I,MATCH($P2094,F_ProductBM!$Q:$Q,0))))</f>
        <v/>
      </c>
      <c r="J2094" s="1159" t="str">
        <f>IF($I1953="","",IF(INDEX(F_ProductBM!J:J,MATCH($P2094,F_ProductBM!$Q:$Q,0))="","",INDEX(F_ProductBM!J:J,MATCH($P2094,F_ProductBM!$Q:$Q,0))))</f>
        <v/>
      </c>
      <c r="K2094" s="739" t="str">
        <f>IF($I1953="","",IF(INDEX(F_ProductBM!K:K,MATCH($P2094,F_ProductBM!$Q:$Q,0))="","",INDEX(F_ProductBM!K:K,MATCH($P2094,F_ProductBM!$Q:$Q,0))))</f>
        <v/>
      </c>
      <c r="L2094" s="739" t="str">
        <f>IF($I1953="","",IF(INDEX(F_ProductBM!L:L,MATCH($P2094,F_ProductBM!$Q:$Q,0))="","",INDEX(F_ProductBM!L:L,MATCH($P2094,F_ProductBM!$Q:$Q,0))))</f>
        <v/>
      </c>
      <c r="M2094" s="739" t="str">
        <f>IF($I1953="","",IF(INDEX(F_ProductBM!M:M,MATCH($P2094,F_ProductBM!$Q:$Q,0))="","",INDEX(F_ProductBM!M:M,MATCH($P2094,F_ProductBM!$Q:$Q,0))))</f>
        <v/>
      </c>
      <c r="N2094" s="1456" t="str">
        <f>IF($I1953="","",IF(INDEX(F_ProductBM!N:N,MATCH($P2094,F_ProductBM!$Q:$Q,0))="","",INDEX(F_ProductBM!N:N,MATCH($P2094,F_ProductBM!$Q:$Q,0))))</f>
        <v/>
      </c>
      <c r="O2094" s="19"/>
      <c r="P2094" s="298" t="str">
        <f>EUconst_CNTR_WGConsumed &amp; I1953</f>
        <v>WasteGasCons_</v>
      </c>
      <c r="Q2094" s="343"/>
      <c r="R2094" s="343"/>
      <c r="S2094" s="343"/>
      <c r="T2094" s="7"/>
      <c r="U2094" s="349"/>
      <c r="V2094" s="349"/>
    </row>
    <row r="2095" spans="1:22" s="534" customFormat="1" ht="12.75" customHeight="1" x14ac:dyDescent="0.25">
      <c r="A2095" s="343"/>
      <c r="B2095" s="15"/>
      <c r="C2095" s="15"/>
      <c r="D2095" s="1454"/>
      <c r="E2095" s="2612" t="str">
        <f>Translations!$B$624</f>
        <v>Särskild emissionsfaktor (förbrukad restgas)</v>
      </c>
      <c r="F2095" s="2487"/>
      <c r="G2095" s="384" t="str">
        <f>EUconst_tCO2pTJ</f>
        <v>t CO2 / TJ</v>
      </c>
      <c r="H2095" s="740" t="str">
        <f>IF($I1953="","",IF(INDEX(F_ProductBM!H:H,MATCH($P2095,F_ProductBM!$Q:$Q,0))="","",INDEX(F_ProductBM!H:H,MATCH($P2095,F_ProductBM!$Q:$Q,0))))</f>
        <v/>
      </c>
      <c r="I2095" s="1154" t="str">
        <f>IF($I1953="","",IF(INDEX(F_ProductBM!I:I,MATCH($P2095,F_ProductBM!$Q:$Q,0))="","",INDEX(F_ProductBM!I:I,MATCH($P2095,F_ProductBM!$Q:$Q,0))))</f>
        <v/>
      </c>
      <c r="J2095" s="1160" t="str">
        <f>IF($I1953="","",IF(INDEX(F_ProductBM!J:J,MATCH($P2095,F_ProductBM!$Q:$Q,0))="","",INDEX(F_ProductBM!J:J,MATCH($P2095,F_ProductBM!$Q:$Q,0))))</f>
        <v/>
      </c>
      <c r="K2095" s="740" t="str">
        <f>IF($I1953="","",IF(INDEX(F_ProductBM!K:K,MATCH($P2095,F_ProductBM!$Q:$Q,0))="","",INDEX(F_ProductBM!K:K,MATCH($P2095,F_ProductBM!$Q:$Q,0))))</f>
        <v/>
      </c>
      <c r="L2095" s="740" t="str">
        <f>IF($I1953="","",IF(INDEX(F_ProductBM!L:L,MATCH($P2095,F_ProductBM!$Q:$Q,0))="","",INDEX(F_ProductBM!L:L,MATCH($P2095,F_ProductBM!$Q:$Q,0))))</f>
        <v/>
      </c>
      <c r="M2095" s="740" t="str">
        <f>IF($I1953="","",IF(INDEX(F_ProductBM!M:M,MATCH($P2095,F_ProductBM!$Q:$Q,0))="","",INDEX(F_ProductBM!M:M,MATCH($P2095,F_ProductBM!$Q:$Q,0))))</f>
        <v/>
      </c>
      <c r="N2095" s="1457" t="str">
        <f>IF($I1953="","",IF(INDEX(F_ProductBM!N:N,MATCH($P2095,F_ProductBM!$Q:$Q,0))="","",INDEX(F_ProductBM!N:N,MATCH($P2095,F_ProductBM!$Q:$Q,0))))</f>
        <v/>
      </c>
      <c r="O2095" s="19"/>
      <c r="P2095" s="298" t="str">
        <f>EUconst_CNTR_WGConsumedEF &amp; I1953</f>
        <v>WasteGasConsEF_</v>
      </c>
      <c r="Q2095" s="343"/>
      <c r="R2095" s="343"/>
      <c r="S2095" s="343"/>
      <c r="T2095" s="7"/>
      <c r="U2095" s="349"/>
      <c r="V2095" s="349"/>
    </row>
    <row r="2096" spans="1:22" s="534" customFormat="1" ht="12.75" customHeight="1" x14ac:dyDescent="0.25">
      <c r="A2096" s="343"/>
      <c r="B2096" s="15"/>
      <c r="C2096" s="15"/>
      <c r="D2096" s="1454"/>
      <c r="E2096" s="2611" t="str">
        <f>Translations!$B$630</f>
        <v>Facklad restgas</v>
      </c>
      <c r="F2096" s="2484"/>
      <c r="G2096" s="365" t="str">
        <f>EUconst_TJpa</f>
        <v>TJ / år</v>
      </c>
      <c r="H2096" s="739" t="str">
        <f>IF($I1953="","",IF(INDEX(F_ProductBM!H:H,MATCH($P2096,F_ProductBM!$Q:$Q,0))="","",INDEX(F_ProductBM!H:H,MATCH($P2096,F_ProductBM!$Q:$Q,0))))</f>
        <v/>
      </c>
      <c r="I2096" s="1153" t="str">
        <f>IF($I1953="","",IF(INDEX(F_ProductBM!I:I,MATCH($P2096,F_ProductBM!$Q:$Q,0))="","",INDEX(F_ProductBM!I:I,MATCH($P2096,F_ProductBM!$Q:$Q,0))))</f>
        <v/>
      </c>
      <c r="J2096" s="1159" t="str">
        <f>IF($I1953="","",IF(INDEX(F_ProductBM!J:J,MATCH($P2096,F_ProductBM!$Q:$Q,0))="","",INDEX(F_ProductBM!J:J,MATCH($P2096,F_ProductBM!$Q:$Q,0))))</f>
        <v/>
      </c>
      <c r="K2096" s="739" t="str">
        <f>IF($I1953="","",IF(INDEX(F_ProductBM!K:K,MATCH($P2096,F_ProductBM!$Q:$Q,0))="","",INDEX(F_ProductBM!K:K,MATCH($P2096,F_ProductBM!$Q:$Q,0))))</f>
        <v/>
      </c>
      <c r="L2096" s="739" t="str">
        <f>IF($I1953="","",IF(INDEX(F_ProductBM!L:L,MATCH($P2096,F_ProductBM!$Q:$Q,0))="","",INDEX(F_ProductBM!L:L,MATCH($P2096,F_ProductBM!$Q:$Q,0))))</f>
        <v/>
      </c>
      <c r="M2096" s="739" t="str">
        <f>IF($I1953="","",IF(INDEX(F_ProductBM!M:M,MATCH($P2096,F_ProductBM!$Q:$Q,0))="","",INDEX(F_ProductBM!M:M,MATCH($P2096,F_ProductBM!$Q:$Q,0))))</f>
        <v/>
      </c>
      <c r="N2096" s="1456" t="str">
        <f>IF($I1953="","",IF(INDEX(F_ProductBM!N:N,MATCH($P2096,F_ProductBM!$Q:$Q,0))="","",INDEX(F_ProductBM!N:N,MATCH($P2096,F_ProductBM!$Q:$Q,0))))</f>
        <v/>
      </c>
      <c r="O2096" s="19"/>
      <c r="P2096" s="298" t="str">
        <f>EUconst_CNTR_WGFlared &amp; I1953</f>
        <v>WasteGasFlare_</v>
      </c>
      <c r="Q2096" s="343"/>
      <c r="R2096" s="343"/>
      <c r="S2096" s="343"/>
      <c r="T2096" s="7"/>
      <c r="U2096" s="349"/>
      <c r="V2096" s="349"/>
    </row>
    <row r="2097" spans="1:22" s="534" customFormat="1" ht="12.75" customHeight="1" x14ac:dyDescent="0.25">
      <c r="A2097" s="343"/>
      <c r="B2097" s="15"/>
      <c r="C2097" s="15"/>
      <c r="D2097" s="1454"/>
      <c r="E2097" s="2612" t="str">
        <f>Translations!$B$631</f>
        <v>Särskild emissionsfaktor (facklad restgas)</v>
      </c>
      <c r="F2097" s="2487"/>
      <c r="G2097" s="384" t="str">
        <f>EUconst_tCO2pTJ</f>
        <v>t CO2 / TJ</v>
      </c>
      <c r="H2097" s="740" t="str">
        <f>IF($I1953="","",IF(INDEX(F_ProductBM!H:H,MATCH($P2097,F_ProductBM!$Q:$Q,0))="","",INDEX(F_ProductBM!H:H,MATCH($P2097,F_ProductBM!$Q:$Q,0))))</f>
        <v/>
      </c>
      <c r="I2097" s="1154" t="str">
        <f>IF($I1953="","",IF(INDEX(F_ProductBM!I:I,MATCH($P2097,F_ProductBM!$Q:$Q,0))="","",INDEX(F_ProductBM!I:I,MATCH($P2097,F_ProductBM!$Q:$Q,0))))</f>
        <v/>
      </c>
      <c r="J2097" s="1160" t="str">
        <f>IF($I1953="","",IF(INDEX(F_ProductBM!J:J,MATCH($P2097,F_ProductBM!$Q:$Q,0))="","",INDEX(F_ProductBM!J:J,MATCH($P2097,F_ProductBM!$Q:$Q,0))))</f>
        <v/>
      </c>
      <c r="K2097" s="740" t="str">
        <f>IF($I1953="","",IF(INDEX(F_ProductBM!K:K,MATCH($P2097,F_ProductBM!$Q:$Q,0))="","",INDEX(F_ProductBM!K:K,MATCH($P2097,F_ProductBM!$Q:$Q,0))))</f>
        <v/>
      </c>
      <c r="L2097" s="740" t="str">
        <f>IF($I1953="","",IF(INDEX(F_ProductBM!L:L,MATCH($P2097,F_ProductBM!$Q:$Q,0))="","",INDEX(F_ProductBM!L:L,MATCH($P2097,F_ProductBM!$Q:$Q,0))))</f>
        <v/>
      </c>
      <c r="M2097" s="740" t="str">
        <f>IF($I1953="","",IF(INDEX(F_ProductBM!M:M,MATCH($P2097,F_ProductBM!$Q:$Q,0))="","",INDEX(F_ProductBM!M:M,MATCH($P2097,F_ProductBM!$Q:$Q,0))))</f>
        <v/>
      </c>
      <c r="N2097" s="1457" t="str">
        <f>IF($I1953="","",IF(INDEX(F_ProductBM!N:N,MATCH($P2097,F_ProductBM!$Q:$Q,0))="","",INDEX(F_ProductBM!N:N,MATCH($P2097,F_ProductBM!$Q:$Q,0))))</f>
        <v/>
      </c>
      <c r="O2097" s="19"/>
      <c r="P2097" s="298" t="str">
        <f>EUconst_CNTR_WGFlaredEF &amp; I1953</f>
        <v>WasteGasFlareEF_</v>
      </c>
      <c r="Q2097" s="343"/>
      <c r="R2097" s="343"/>
      <c r="S2097" s="343"/>
      <c r="T2097" s="7"/>
      <c r="U2097" s="349"/>
      <c r="V2097" s="349"/>
    </row>
    <row r="2098" spans="1:22" s="534" customFormat="1" ht="12.75" customHeight="1" x14ac:dyDescent="0.25">
      <c r="A2098" s="343"/>
      <c r="B2098" s="15"/>
      <c r="C2098" s="15"/>
      <c r="D2098" s="1454"/>
      <c r="E2098" s="2611" t="str">
        <f>Translations!$B$636</f>
        <v>Importerad restgas</v>
      </c>
      <c r="F2098" s="2484"/>
      <c r="G2098" s="365" t="str">
        <f>EUconst_TJpa</f>
        <v>TJ / år</v>
      </c>
      <c r="H2098" s="739" t="str">
        <f>IF($I1953="","",IF(INDEX(F_ProductBM!H:H,MATCH($P2098,F_ProductBM!$Q:$Q,0))="","",INDEX(F_ProductBM!H:H,MATCH($P2098,F_ProductBM!$Q:$Q,0))))</f>
        <v/>
      </c>
      <c r="I2098" s="1153" t="str">
        <f>IF($I1953="","",IF(INDEX(F_ProductBM!I:I,MATCH($P2098,F_ProductBM!$Q:$Q,0))="","",INDEX(F_ProductBM!I:I,MATCH($P2098,F_ProductBM!$Q:$Q,0))))</f>
        <v/>
      </c>
      <c r="J2098" s="1159" t="str">
        <f>IF($I1953="","",IF(INDEX(F_ProductBM!J:J,MATCH($P2098,F_ProductBM!$Q:$Q,0))="","",INDEX(F_ProductBM!J:J,MATCH($P2098,F_ProductBM!$Q:$Q,0))))</f>
        <v/>
      </c>
      <c r="K2098" s="739" t="str">
        <f>IF($I1953="","",IF(INDEX(F_ProductBM!K:K,MATCH($P2098,F_ProductBM!$Q:$Q,0))="","",INDEX(F_ProductBM!K:K,MATCH($P2098,F_ProductBM!$Q:$Q,0))))</f>
        <v/>
      </c>
      <c r="L2098" s="739" t="str">
        <f>IF($I1953="","",IF(INDEX(F_ProductBM!L:L,MATCH($P2098,F_ProductBM!$Q:$Q,0))="","",INDEX(F_ProductBM!L:L,MATCH($P2098,F_ProductBM!$Q:$Q,0))))</f>
        <v/>
      </c>
      <c r="M2098" s="739" t="str">
        <f>IF($I1953="","",IF(INDEX(F_ProductBM!M:M,MATCH($P2098,F_ProductBM!$Q:$Q,0))="","",INDEX(F_ProductBM!M:M,MATCH($P2098,F_ProductBM!$Q:$Q,0))))</f>
        <v/>
      </c>
      <c r="N2098" s="1456" t="str">
        <f>IF($I1953="","",IF(INDEX(F_ProductBM!N:N,MATCH($P2098,F_ProductBM!$Q:$Q,0))="","",INDEX(F_ProductBM!N:N,MATCH($P2098,F_ProductBM!$Q:$Q,0))))</f>
        <v/>
      </c>
      <c r="O2098" s="19"/>
      <c r="P2098" s="298" t="str">
        <f>EUconst_CNTR_WGImport &amp; I1953</f>
        <v>WasteGasIm_</v>
      </c>
      <c r="Q2098" s="343"/>
      <c r="R2098" s="343"/>
      <c r="S2098" s="343"/>
      <c r="T2098" s="7"/>
      <c r="U2098" s="349"/>
      <c r="V2098" s="349"/>
    </row>
    <row r="2099" spans="1:22" s="534" customFormat="1" ht="12.75" customHeight="1" x14ac:dyDescent="0.25">
      <c r="A2099" s="343"/>
      <c r="B2099" s="15"/>
      <c r="C2099" s="15"/>
      <c r="D2099" s="1454"/>
      <c r="E2099" s="1776" t="str">
        <f>Translations!$B$637</f>
        <v>Särskild emissionsfaktor (importerad restgas)</v>
      </c>
      <c r="F2099" s="1776"/>
      <c r="G2099" s="624" t="str">
        <f>EUconst_tCO2pTJ</f>
        <v>t CO2 / TJ</v>
      </c>
      <c r="H2099" s="740" t="str">
        <f>IF($I1953="","",IF(INDEX(F_ProductBM!H:H,MATCH($P2099,F_ProductBM!$Q:$Q,0))="","",INDEX(F_ProductBM!H:H,MATCH($P2099,F_ProductBM!$Q:$Q,0))))</f>
        <v/>
      </c>
      <c r="I2099" s="1154" t="str">
        <f>IF($I1953="","",IF(INDEX(F_ProductBM!I:I,MATCH($P2099,F_ProductBM!$Q:$Q,0))="","",INDEX(F_ProductBM!I:I,MATCH($P2099,F_ProductBM!$Q:$Q,0))))</f>
        <v/>
      </c>
      <c r="J2099" s="1160" t="str">
        <f>IF($I1953="","",IF(INDEX(F_ProductBM!J:J,MATCH($P2099,F_ProductBM!$Q:$Q,0))="","",INDEX(F_ProductBM!J:J,MATCH($P2099,F_ProductBM!$Q:$Q,0))))</f>
        <v/>
      </c>
      <c r="K2099" s="740" t="str">
        <f>IF($I1953="","",IF(INDEX(F_ProductBM!K:K,MATCH($P2099,F_ProductBM!$Q:$Q,0))="","",INDEX(F_ProductBM!K:K,MATCH($P2099,F_ProductBM!$Q:$Q,0))))</f>
        <v/>
      </c>
      <c r="L2099" s="740" t="str">
        <f>IF($I1953="","",IF(INDEX(F_ProductBM!L:L,MATCH($P2099,F_ProductBM!$Q:$Q,0))="","",INDEX(F_ProductBM!L:L,MATCH($P2099,F_ProductBM!$Q:$Q,0))))</f>
        <v/>
      </c>
      <c r="M2099" s="740" t="str">
        <f>IF($I1953="","",IF(INDEX(F_ProductBM!M:M,MATCH($P2099,F_ProductBM!$Q:$Q,0))="","",INDEX(F_ProductBM!M:M,MATCH($P2099,F_ProductBM!$Q:$Q,0))))</f>
        <v/>
      </c>
      <c r="N2099" s="1457" t="str">
        <f>IF($I1953="","",IF(INDEX(F_ProductBM!N:N,MATCH($P2099,F_ProductBM!$Q:$Q,0))="","",INDEX(F_ProductBM!N:N,MATCH($P2099,F_ProductBM!$Q:$Q,0))))</f>
        <v/>
      </c>
      <c r="O2099" s="19"/>
      <c r="P2099" s="298" t="str">
        <f>EUconst_CNTR_WGImportEF &amp; I1953</f>
        <v>WasteGasImEF_</v>
      </c>
      <c r="Q2099" s="343"/>
      <c r="R2099" s="343"/>
      <c r="S2099" s="343"/>
      <c r="T2099" s="7"/>
      <c r="U2099" s="349"/>
      <c r="V2099" s="349"/>
    </row>
    <row r="2100" spans="1:22" s="534" customFormat="1" ht="12.75" customHeight="1" x14ac:dyDescent="0.25">
      <c r="A2100" s="343"/>
      <c r="B2100" s="15"/>
      <c r="C2100" s="15"/>
      <c r="D2100" s="1454"/>
      <c r="E2100" s="2611" t="str">
        <f>Translations!$B$641</f>
        <v>Exporterad restgas</v>
      </c>
      <c r="F2100" s="2484"/>
      <c r="G2100" s="365" t="str">
        <f>EUconst_TJpa</f>
        <v>TJ / år</v>
      </c>
      <c r="H2100" s="739" t="str">
        <f>IF($I1953="","",IF(INDEX(F_ProductBM!H:H,MATCH($P2100,F_ProductBM!$Q:$Q,0))="","",INDEX(F_ProductBM!H:H,MATCH($P2100,F_ProductBM!$Q:$Q,0))))</f>
        <v/>
      </c>
      <c r="I2100" s="1153" t="str">
        <f>IF($I1953="","",IF(INDEX(F_ProductBM!I:I,MATCH($P2100,F_ProductBM!$Q:$Q,0))="","",INDEX(F_ProductBM!I:I,MATCH($P2100,F_ProductBM!$Q:$Q,0))))</f>
        <v/>
      </c>
      <c r="J2100" s="1159" t="str">
        <f>IF($I1953="","",IF(INDEX(F_ProductBM!J:J,MATCH($P2100,F_ProductBM!$Q:$Q,0))="","",INDEX(F_ProductBM!J:J,MATCH($P2100,F_ProductBM!$Q:$Q,0))))</f>
        <v/>
      </c>
      <c r="K2100" s="739" t="str">
        <f>IF($I1953="","",IF(INDEX(F_ProductBM!K:K,MATCH($P2100,F_ProductBM!$Q:$Q,0))="","",INDEX(F_ProductBM!K:K,MATCH($P2100,F_ProductBM!$Q:$Q,0))))</f>
        <v/>
      </c>
      <c r="L2100" s="739" t="str">
        <f>IF($I1953="","",IF(INDEX(F_ProductBM!L:L,MATCH($P2100,F_ProductBM!$Q:$Q,0))="","",INDEX(F_ProductBM!L:L,MATCH($P2100,F_ProductBM!$Q:$Q,0))))</f>
        <v/>
      </c>
      <c r="M2100" s="739" t="str">
        <f>IF($I1953="","",IF(INDEX(F_ProductBM!M:M,MATCH($P2100,F_ProductBM!$Q:$Q,0))="","",INDEX(F_ProductBM!M:M,MATCH($P2100,F_ProductBM!$Q:$Q,0))))</f>
        <v/>
      </c>
      <c r="N2100" s="1456" t="str">
        <f>IF($I1953="","",IF(INDEX(F_ProductBM!N:N,MATCH($P2100,F_ProductBM!$Q:$Q,0))="","",INDEX(F_ProductBM!N:N,MATCH($P2100,F_ProductBM!$Q:$Q,0))))</f>
        <v/>
      </c>
      <c r="O2100" s="19"/>
      <c r="P2100" s="298" t="str">
        <f>EUconst_CNTR_WGExport &amp; I1953</f>
        <v>WasteGasEx_</v>
      </c>
      <c r="Q2100" s="343"/>
      <c r="R2100" s="343"/>
      <c r="S2100" s="343"/>
      <c r="T2100" s="7"/>
      <c r="U2100" s="349"/>
      <c r="V2100" s="349"/>
    </row>
    <row r="2101" spans="1:22" s="534" customFormat="1" ht="12.75" customHeight="1" x14ac:dyDescent="0.25">
      <c r="A2101" s="343"/>
      <c r="B2101" s="15"/>
      <c r="C2101" s="15"/>
      <c r="D2101" s="1454"/>
      <c r="E2101" s="2612" t="str">
        <f>Translations!$B$642</f>
        <v>Särskild emissionsfaktor (exporterad restgas)</v>
      </c>
      <c r="F2101" s="2487"/>
      <c r="G2101" s="624" t="str">
        <f>EUconst_tCO2pTJ</f>
        <v>t CO2 / TJ</v>
      </c>
      <c r="H2101" s="740" t="str">
        <f>IF($I1953="","",IF(INDEX(F_ProductBM!H:H,MATCH($P2101,F_ProductBM!$Q:$Q,0))="","",INDEX(F_ProductBM!H:H,MATCH($P2101,F_ProductBM!$Q:$Q,0))))</f>
        <v/>
      </c>
      <c r="I2101" s="1154" t="str">
        <f>IF($I1953="","",IF(INDEX(F_ProductBM!I:I,MATCH($P2101,F_ProductBM!$Q:$Q,0))="","",INDEX(F_ProductBM!I:I,MATCH($P2101,F_ProductBM!$Q:$Q,0))))</f>
        <v/>
      </c>
      <c r="J2101" s="1160" t="str">
        <f>IF($I1953="","",IF(INDEX(F_ProductBM!J:J,MATCH($P2101,F_ProductBM!$Q:$Q,0))="","",INDEX(F_ProductBM!J:J,MATCH($P2101,F_ProductBM!$Q:$Q,0))))</f>
        <v/>
      </c>
      <c r="K2101" s="740" t="str">
        <f>IF($I1953="","",IF(INDEX(F_ProductBM!K:K,MATCH($P2101,F_ProductBM!$Q:$Q,0))="","",INDEX(F_ProductBM!K:K,MATCH($P2101,F_ProductBM!$Q:$Q,0))))</f>
        <v/>
      </c>
      <c r="L2101" s="740" t="str">
        <f>IF($I1953="","",IF(INDEX(F_ProductBM!L:L,MATCH($P2101,F_ProductBM!$Q:$Q,0))="","",INDEX(F_ProductBM!L:L,MATCH($P2101,F_ProductBM!$Q:$Q,0))))</f>
        <v/>
      </c>
      <c r="M2101" s="740" t="str">
        <f>IF($I1953="","",IF(INDEX(F_ProductBM!M:M,MATCH($P2101,F_ProductBM!$Q:$Q,0))="","",INDEX(F_ProductBM!M:M,MATCH($P2101,F_ProductBM!$Q:$Q,0))))</f>
        <v/>
      </c>
      <c r="N2101" s="1457" t="str">
        <f>IF($I1953="","",IF(INDEX(F_ProductBM!N:N,MATCH($P2101,F_ProductBM!$Q:$Q,0))="","",INDEX(F_ProductBM!N:N,MATCH($P2101,F_ProductBM!$Q:$Q,0))))</f>
        <v/>
      </c>
      <c r="O2101" s="19"/>
      <c r="P2101" s="298" t="str">
        <f>EUconst_CNTR_WGExportEF &amp; I1953</f>
        <v>WasteGasExEF_</v>
      </c>
      <c r="Q2101" s="343"/>
      <c r="R2101" s="343"/>
      <c r="S2101" s="343"/>
      <c r="T2101" s="7"/>
      <c r="U2101" s="349"/>
      <c r="V2101" s="349"/>
    </row>
    <row r="2102" spans="1:22" s="534" customFormat="1" ht="5.15" customHeight="1" x14ac:dyDescent="0.25">
      <c r="A2102" s="343"/>
      <c r="B2102" s="15"/>
      <c r="C2102" s="15"/>
      <c r="D2102" s="1454"/>
      <c r="E2102" s="899"/>
      <c r="F2102" s="899"/>
      <c r="G2102" s="416"/>
      <c r="H2102" s="741"/>
      <c r="I2102" s="741"/>
      <c r="J2102" s="741"/>
      <c r="K2102" s="741"/>
      <c r="L2102" s="741"/>
      <c r="M2102" s="741"/>
      <c r="N2102" s="1458"/>
      <c r="O2102" s="19"/>
      <c r="P2102" s="7"/>
      <c r="Q2102" s="343"/>
      <c r="R2102" s="343"/>
      <c r="S2102" s="343"/>
      <c r="T2102" s="7"/>
      <c r="U2102" s="349"/>
      <c r="V2102" s="349"/>
    </row>
    <row r="2103" spans="1:22" s="534" customFormat="1" ht="12.75" customHeight="1" x14ac:dyDescent="0.25">
      <c r="A2103" s="343"/>
      <c r="B2103" s="15"/>
      <c r="C2103" s="15"/>
      <c r="D2103" s="1454"/>
      <c r="E2103" s="2613" t="str">
        <f>Translations!$B$530</f>
        <v>Relevant elförbrukning</v>
      </c>
      <c r="F2103" s="1997"/>
      <c r="G2103" s="364" t="str">
        <f>EUconst_MWhpa</f>
        <v>MWh / år</v>
      </c>
      <c r="H2103" s="742" t="str">
        <f>IF($I1953="","",IF(INDEX(F_ProductBM!H:H,MATCH($P2103,F_ProductBM!$R:$R,0))="","",INDEX(F_ProductBM!H:H,MATCH($P2103,F_ProductBM!$R:$R,0))))</f>
        <v/>
      </c>
      <c r="I2103" s="1021" t="str">
        <f>IF($I1953="","",IF(INDEX(F_ProductBM!I:I,MATCH($P2103,F_ProductBM!$R:$R,0))="","",INDEX(F_ProductBM!I:I,MATCH($P2103,F_ProductBM!$R:$R,0))))</f>
        <v/>
      </c>
      <c r="J2103" s="1158" t="str">
        <f>IF($I1953="","",IF(INDEX(F_ProductBM!J:J,MATCH($P2103,F_ProductBM!$R:$R,0))="","",INDEX(F_ProductBM!J:J,MATCH($P2103,F_ProductBM!$R:$R,0))))</f>
        <v/>
      </c>
      <c r="K2103" s="742" t="str">
        <f>IF($I1953="","",IF(INDEX(F_ProductBM!K:K,MATCH($P2103,F_ProductBM!$R:$R,0))="","",INDEX(F_ProductBM!K:K,MATCH($P2103,F_ProductBM!$R:$R,0))))</f>
        <v/>
      </c>
      <c r="L2103" s="742" t="str">
        <f>IF($I1953="","",IF(INDEX(F_ProductBM!L:L,MATCH($P2103,F_ProductBM!$R:$R,0))="","",INDEX(F_ProductBM!L:L,MATCH($P2103,F_ProductBM!$R:$R,0))))</f>
        <v/>
      </c>
      <c r="M2103" s="742" t="str">
        <f>IF($I1953="","",IF(INDEX(F_ProductBM!M:M,MATCH($P2103,F_ProductBM!$R:$R,0))="","",INDEX(F_ProductBM!M:M,MATCH($P2103,F_ProductBM!$R:$R,0))))</f>
        <v/>
      </c>
      <c r="N2103" s="1459" t="str">
        <f>IF($I1953="","",IF(INDEX(F_ProductBM!N:N,MATCH($P2103,F_ProductBM!$R:$R,0))="","",INDEX(F_ProductBM!N:N,MATCH($P2103,F_ProductBM!$R:$R,0))))</f>
        <v/>
      </c>
      <c r="O2103" s="19"/>
      <c r="P2103" s="165" t="str">
        <f>EUconst_CNTR_HAL&amp;EUconst_CNTR_ELEXCH &amp; I1953</f>
        <v>HAL_ELEXCH_</v>
      </c>
      <c r="Q2103" s="343"/>
      <c r="R2103" s="343"/>
      <c r="S2103" s="343"/>
      <c r="T2103" s="7"/>
      <c r="U2103" s="349"/>
      <c r="V2103" s="349"/>
    </row>
    <row r="2104" spans="1:22" s="534" customFormat="1" ht="12.75" customHeight="1" x14ac:dyDescent="0.25">
      <c r="A2104" s="343"/>
      <c r="B2104" s="15"/>
      <c r="C2104" s="15"/>
      <c r="D2104" s="1454"/>
      <c r="E2104" s="2613" t="str">
        <f>Translations!$B$645</f>
        <v>Producerad el</v>
      </c>
      <c r="F2104" s="1997"/>
      <c r="G2104" s="364" t="str">
        <f>EUconst_MWhpa</f>
        <v>MWh / år</v>
      </c>
      <c r="H2104" s="742" t="str">
        <f>IF($I1953="","",IF(INDEX(F_ProductBM!H:H,MATCH($P2104,F_ProductBM!$Q:$Q,0))="","",INDEX(F_ProductBM!H:H,MATCH($P2104,F_ProductBM!$Q:$Q,0))))</f>
        <v/>
      </c>
      <c r="I2104" s="1021" t="str">
        <f>IF($I1953="","",IF(INDEX(F_ProductBM!I:I,MATCH($P2104,F_ProductBM!$Q:$Q,0))="","",INDEX(F_ProductBM!I:I,MATCH($P2104,F_ProductBM!$Q:$Q,0))))</f>
        <v/>
      </c>
      <c r="J2104" s="1158" t="str">
        <f>IF($I1953="","",IF(INDEX(F_ProductBM!J:J,MATCH($P2104,F_ProductBM!$Q:$Q,0))="","",INDEX(F_ProductBM!J:J,MATCH($P2104,F_ProductBM!$Q:$Q,0))))</f>
        <v/>
      </c>
      <c r="K2104" s="742" t="str">
        <f>IF($I1953="","",IF(INDEX(F_ProductBM!K:K,MATCH($P2104,F_ProductBM!$Q:$Q,0))="","",INDEX(F_ProductBM!K:K,MATCH($P2104,F_ProductBM!$Q:$Q,0))))</f>
        <v/>
      </c>
      <c r="L2104" s="742" t="str">
        <f>IF($I1953="","",IF(INDEX(F_ProductBM!L:L,MATCH($P2104,F_ProductBM!$Q:$Q,0))="","",INDEX(F_ProductBM!L:L,MATCH($P2104,F_ProductBM!$Q:$Q,0))))</f>
        <v/>
      </c>
      <c r="M2104" s="742" t="str">
        <f>IF($I1953="","",IF(INDEX(F_ProductBM!M:M,MATCH($P2104,F_ProductBM!$Q:$Q,0))="","",INDEX(F_ProductBM!M:M,MATCH($P2104,F_ProductBM!$Q:$Q,0))))</f>
        <v/>
      </c>
      <c r="N2104" s="1459" t="str">
        <f>IF($I1953="","",IF(INDEX(F_ProductBM!N:N,MATCH($P2104,F_ProductBM!$Q:$Q,0))="","",INDEX(F_ProductBM!N:N,MATCH($P2104,F_ProductBM!$Q:$Q,0))))</f>
        <v/>
      </c>
      <c r="O2104" s="19"/>
      <c r="P2104" s="298" t="str">
        <f>EUconst_CNTR_ElectricityExported &amp; I1953</f>
        <v>ElecEx_</v>
      </c>
      <c r="Q2104" s="343"/>
      <c r="R2104" s="343"/>
      <c r="S2104" s="343"/>
      <c r="T2104" s="7"/>
      <c r="U2104" s="349"/>
      <c r="V2104" s="349"/>
    </row>
    <row r="2105" spans="1:22" s="534" customFormat="1" ht="5.15" customHeight="1" x14ac:dyDescent="0.25">
      <c r="A2105" s="343"/>
      <c r="B2105" s="15"/>
      <c r="C2105" s="15"/>
      <c r="D2105" s="1454"/>
      <c r="E2105" s="899"/>
      <c r="F2105" s="899"/>
      <c r="G2105" s="416"/>
      <c r="H2105" s="741"/>
      <c r="I2105" s="741"/>
      <c r="J2105" s="741"/>
      <c r="K2105" s="741"/>
      <c r="L2105" s="741"/>
      <c r="M2105" s="741"/>
      <c r="N2105" s="1458"/>
      <c r="O2105" s="19"/>
      <c r="P2105" s="7"/>
      <c r="Q2105" s="343"/>
      <c r="R2105" s="343"/>
      <c r="S2105" s="343"/>
      <c r="T2105" s="7"/>
      <c r="U2105" s="349"/>
      <c r="V2105" s="349"/>
    </row>
    <row r="2106" spans="1:22" s="534" customFormat="1" ht="12.75" customHeight="1" x14ac:dyDescent="0.25">
      <c r="A2106" s="343"/>
      <c r="B2106" s="15"/>
      <c r="C2106" s="15"/>
      <c r="D2106" s="1454"/>
      <c r="E2106" s="2613" t="str">
        <f>Translations!$B$646</f>
        <v>Total producerad massamängd</v>
      </c>
      <c r="F2106" s="1997"/>
      <c r="G2106" s="364" t="str">
        <f>EUconst_Tons</f>
        <v>ton</v>
      </c>
      <c r="H2106" s="742" t="str">
        <f>IF($I1953="","",IF(INDEX(F_ProductBM!H:H,MATCH($P2106,F_ProductBM!$Q:$Q,0))="","",INDEX(F_ProductBM!H:H,MATCH($P2106,F_ProductBM!$Q:$Q,0))))</f>
        <v/>
      </c>
      <c r="I2106" s="1021" t="str">
        <f>IF($I1953="","",IF(INDEX(F_ProductBM!I:I,MATCH($P2106,F_ProductBM!$Q:$Q,0))="","",INDEX(F_ProductBM!I:I,MATCH($P2106,F_ProductBM!$Q:$Q,0))))</f>
        <v/>
      </c>
      <c r="J2106" s="1158" t="str">
        <f>IF($I1953="","",IF(INDEX(F_ProductBM!J:J,MATCH($P2106,F_ProductBM!$Q:$Q,0))="","",INDEX(F_ProductBM!J:J,MATCH($P2106,F_ProductBM!$Q:$Q,0))))</f>
        <v/>
      </c>
      <c r="K2106" s="742" t="str">
        <f>IF($I1953="","",IF(INDEX(F_ProductBM!K:K,MATCH($P2106,F_ProductBM!$Q:$Q,0))="","",INDEX(F_ProductBM!K:K,MATCH($P2106,F_ProductBM!$Q:$Q,0))))</f>
        <v/>
      </c>
      <c r="L2106" s="742" t="str">
        <f>IF($I1953="","",IF(INDEX(F_ProductBM!L:L,MATCH($P2106,F_ProductBM!$Q:$Q,0))="","",INDEX(F_ProductBM!L:L,MATCH($P2106,F_ProductBM!$Q:$Q,0))))</f>
        <v/>
      </c>
      <c r="M2106" s="742" t="str">
        <f>IF($I1953="","",IF(INDEX(F_ProductBM!M:M,MATCH($P2106,F_ProductBM!$Q:$Q,0))="","",INDEX(F_ProductBM!M:M,MATCH($P2106,F_ProductBM!$Q:$Q,0))))</f>
        <v/>
      </c>
      <c r="N2106" s="1459" t="str">
        <f>IF($I1953="","",IF(INDEX(F_ProductBM!N:N,MATCH($P2106,F_ProductBM!$Q:$Q,0))="","",INDEX(F_ProductBM!N:N,MATCH($P2106,F_ProductBM!$Q:$Q,0))))</f>
        <v/>
      </c>
      <c r="O2106" s="19"/>
      <c r="P2106" s="298" t="str">
        <f>EUconst_CNTR_HALPulpTotal &amp; I1953</f>
        <v>HALPulpTotal_</v>
      </c>
      <c r="Q2106" s="343"/>
      <c r="R2106" s="343"/>
      <c r="S2106" s="343"/>
      <c r="T2106" s="7"/>
      <c r="U2106" s="349"/>
      <c r="V2106" s="349"/>
    </row>
    <row r="2107" spans="1:22" s="534" customFormat="1" ht="5.15" customHeight="1" x14ac:dyDescent="0.25">
      <c r="A2107" s="343"/>
      <c r="B2107" s="15"/>
      <c r="C2107" s="15"/>
      <c r="D2107" s="1454"/>
      <c r="E2107" s="899"/>
      <c r="F2107" s="899"/>
      <c r="G2107" s="416"/>
      <c r="H2107" s="741"/>
      <c r="I2107" s="741"/>
      <c r="J2107" s="741"/>
      <c r="K2107" s="741"/>
      <c r="L2107" s="741"/>
      <c r="M2107" s="741"/>
      <c r="N2107" s="1458"/>
      <c r="O2107" s="19"/>
      <c r="P2107" s="7"/>
      <c r="Q2107" s="343"/>
      <c r="R2107" s="343"/>
      <c r="S2107" s="343"/>
      <c r="T2107" s="7"/>
      <c r="U2107" s="349"/>
      <c r="V2107" s="349"/>
    </row>
    <row r="2108" spans="1:22" s="534" customFormat="1" x14ac:dyDescent="0.25">
      <c r="A2108" s="343"/>
      <c r="B2108" s="15"/>
      <c r="C2108" s="15"/>
      <c r="D2108" s="1454"/>
      <c r="E2108" s="2785" t="str">
        <f>Translations!$B$1057</f>
        <v>Mellanimport:</v>
      </c>
      <c r="F2108" s="2497"/>
      <c r="G2108" s="416"/>
      <c r="H2108" s="741"/>
      <c r="I2108" s="741"/>
      <c r="J2108" s="741"/>
      <c r="K2108" s="741"/>
      <c r="L2108" s="741"/>
      <c r="M2108" s="741"/>
      <c r="N2108" s="1458"/>
      <c r="O2108" s="19"/>
      <c r="P2108" s="7"/>
      <c r="Q2108" s="343"/>
      <c r="R2108" s="343"/>
      <c r="S2108" s="343"/>
      <c r="T2108" s="7"/>
      <c r="U2108" s="349"/>
      <c r="V2108" s="349"/>
    </row>
    <row r="2109" spans="1:22" s="534" customFormat="1" x14ac:dyDescent="0.25">
      <c r="A2109" s="343"/>
      <c r="B2109" s="15"/>
      <c r="C2109" s="15"/>
      <c r="D2109" s="1454"/>
      <c r="E2109" s="2617" t="str">
        <f>IF(I1953="","",IF(INDEX(F_ProductBM!E:E,MATCH($P2109,F_ProductBM!$Q:$Q,0))="","",INDEX(F_ProductBM!E:E,MATCH($P2109,F_ProductBM!$Q:$Q,0))))</f>
        <v/>
      </c>
      <c r="F2109" s="2617"/>
      <c r="G2109" s="364" t="str">
        <f>EUconst_Tons</f>
        <v>ton</v>
      </c>
      <c r="H2109" s="742" t="str">
        <f>IF($I1953="","",IF(INDEX(F_ProductBM!H:H,MATCH($P2109,F_ProductBM!$Q:$Q,0))="","",INDEX(F_ProductBM!H:H,MATCH($P2109,F_ProductBM!$Q:$Q,0))))</f>
        <v/>
      </c>
      <c r="I2109" s="1021" t="str">
        <f>IF($I1953="","",IF(INDEX(F_ProductBM!I:I,MATCH($P2109,F_ProductBM!$Q:$Q,0))="","",INDEX(F_ProductBM!I:I,MATCH($P2109,F_ProductBM!$Q:$Q,0))))</f>
        <v/>
      </c>
      <c r="J2109" s="1158" t="str">
        <f>IF($I1953="","",IF(INDEX(F_ProductBM!J:J,MATCH($P2109,F_ProductBM!$Q:$Q,0))="","",INDEX(F_ProductBM!J:J,MATCH($P2109,F_ProductBM!$Q:$Q,0))))</f>
        <v/>
      </c>
      <c r="K2109" s="742" t="str">
        <f>IF($I1953="","",IF(INDEX(F_ProductBM!K:K,MATCH($P2109,F_ProductBM!$Q:$Q,0))="","",INDEX(F_ProductBM!K:K,MATCH($P2109,F_ProductBM!$Q:$Q,0))))</f>
        <v/>
      </c>
      <c r="L2109" s="742" t="str">
        <f>IF($I1953="","",IF(INDEX(F_ProductBM!L:L,MATCH($P2109,F_ProductBM!$Q:$Q,0))="","",INDEX(F_ProductBM!L:L,MATCH($P2109,F_ProductBM!$Q:$Q,0))))</f>
        <v/>
      </c>
      <c r="M2109" s="742" t="str">
        <f>IF($I1953="","",IF(INDEX(F_ProductBM!M:M,MATCH($P2109,F_ProductBM!$Q:$Q,0))="","",INDEX(F_ProductBM!M:M,MATCH($P2109,F_ProductBM!$Q:$Q,0))))</f>
        <v/>
      </c>
      <c r="N2109" s="1459" t="str">
        <f>IF($I1953="","",IF(INDEX(F_ProductBM!N:N,MATCH($P2109,F_ProductBM!$Q:$Q,0))="","",INDEX(F_ProductBM!N:N,MATCH($P2109,F_ProductBM!$Q:$Q,0))))</f>
        <v/>
      </c>
      <c r="O2109" s="19"/>
      <c r="P2109" s="298" t="str">
        <f>EUconst_CNTR_IntermediateImport &amp; R2109 &amp; "_" &amp; I1953</f>
        <v>IntImp_1_</v>
      </c>
      <c r="Q2109" s="343"/>
      <c r="R2109" s="663">
        <v>1</v>
      </c>
      <c r="S2109" s="343"/>
      <c r="T2109" s="7"/>
      <c r="U2109" s="349"/>
      <c r="V2109" s="349"/>
    </row>
    <row r="2110" spans="1:22" s="534" customFormat="1" x14ac:dyDescent="0.25">
      <c r="A2110" s="343"/>
      <c r="B2110" s="15"/>
      <c r="C2110" s="15"/>
      <c r="D2110" s="1454"/>
      <c r="E2110" s="2617" t="str">
        <f>IF(I1953="","",IF(INDEX(F_ProductBM!E:E,MATCH($P2110,F_ProductBM!$Q:$Q,0))="","",INDEX(F_ProductBM!E:E,MATCH($P2110,F_ProductBM!$Q:$Q,0))))</f>
        <v/>
      </c>
      <c r="F2110" s="1997"/>
      <c r="G2110" s="364" t="str">
        <f>EUconst_Tons</f>
        <v>ton</v>
      </c>
      <c r="H2110" s="742" t="str">
        <f>IF($I1953="","",IF(INDEX(F_ProductBM!H:H,MATCH($P2110,F_ProductBM!$Q:$Q,0))="","",INDEX(F_ProductBM!H:H,MATCH($P2110,F_ProductBM!$Q:$Q,0))))</f>
        <v/>
      </c>
      <c r="I2110" s="1021" t="str">
        <f>IF($I1953="","",IF(INDEX(F_ProductBM!I:I,MATCH($P2110,F_ProductBM!$Q:$Q,0))="","",INDEX(F_ProductBM!I:I,MATCH($P2110,F_ProductBM!$Q:$Q,0))))</f>
        <v/>
      </c>
      <c r="J2110" s="1158" t="str">
        <f>IF($I1953="","",IF(INDEX(F_ProductBM!J:J,MATCH($P2110,F_ProductBM!$Q:$Q,0))="","",INDEX(F_ProductBM!J:J,MATCH($P2110,F_ProductBM!$Q:$Q,0))))</f>
        <v/>
      </c>
      <c r="K2110" s="742" t="str">
        <f>IF($I1953="","",IF(INDEX(F_ProductBM!K:K,MATCH($P2110,F_ProductBM!$Q:$Q,0))="","",INDEX(F_ProductBM!K:K,MATCH($P2110,F_ProductBM!$Q:$Q,0))))</f>
        <v/>
      </c>
      <c r="L2110" s="742" t="str">
        <f>IF($I1953="","",IF(INDEX(F_ProductBM!L:L,MATCH($P2110,F_ProductBM!$Q:$Q,0))="","",INDEX(F_ProductBM!L:L,MATCH($P2110,F_ProductBM!$Q:$Q,0))))</f>
        <v/>
      </c>
      <c r="M2110" s="742" t="str">
        <f>IF($I1953="","",IF(INDEX(F_ProductBM!M:M,MATCH($P2110,F_ProductBM!$Q:$Q,0))="","",INDEX(F_ProductBM!M:M,MATCH($P2110,F_ProductBM!$Q:$Q,0))))</f>
        <v/>
      </c>
      <c r="N2110" s="1459" t="str">
        <f>IF($I1953="","",IF(INDEX(F_ProductBM!N:N,MATCH($P2110,F_ProductBM!$Q:$Q,0))="","",INDEX(F_ProductBM!N:N,MATCH($P2110,F_ProductBM!$Q:$Q,0))))</f>
        <v/>
      </c>
      <c r="O2110" s="19"/>
      <c r="P2110" s="298" t="str">
        <f>EUconst_CNTR_IntermediateImport &amp; R2110 &amp; "_" &amp; I1953</f>
        <v>IntImp_2_</v>
      </c>
      <c r="Q2110" s="343"/>
      <c r="R2110" s="663">
        <v>2</v>
      </c>
      <c r="S2110" s="343"/>
      <c r="T2110" s="7"/>
      <c r="U2110" s="349"/>
      <c r="V2110" s="349"/>
    </row>
    <row r="2111" spans="1:22" s="534" customFormat="1" x14ac:dyDescent="0.25">
      <c r="A2111" s="343"/>
      <c r="B2111" s="15"/>
      <c r="C2111" s="15"/>
      <c r="D2111" s="1454"/>
      <c r="E2111" s="2613" t="str">
        <f>Translations!$B$1058</f>
        <v>Mellanexport:</v>
      </c>
      <c r="F2111" s="1997"/>
      <c r="G2111" s="416"/>
      <c r="H2111" s="741"/>
      <c r="I2111" s="741"/>
      <c r="J2111" s="741"/>
      <c r="K2111" s="741"/>
      <c r="L2111" s="741"/>
      <c r="M2111" s="741"/>
      <c r="N2111" s="1458"/>
      <c r="O2111" s="19"/>
      <c r="P2111" s="7"/>
      <c r="Q2111" s="343"/>
      <c r="R2111" s="343"/>
      <c r="S2111" s="343"/>
      <c r="T2111" s="7"/>
      <c r="U2111" s="349"/>
      <c r="V2111" s="349"/>
    </row>
    <row r="2112" spans="1:22" s="534" customFormat="1" x14ac:dyDescent="0.25">
      <c r="A2112" s="343"/>
      <c r="B2112" s="15"/>
      <c r="C2112" s="15"/>
      <c r="D2112" s="1454"/>
      <c r="E2112" s="2617" t="str">
        <f>IF(I1953="","",IF(INDEX(F_ProductBM!E:E,MATCH($P2112,F_ProductBM!$Q:$Q,0))="","",INDEX(F_ProductBM!E:E,MATCH($P2112,F_ProductBM!$Q:$Q,0))))</f>
        <v/>
      </c>
      <c r="F2112" s="1997"/>
      <c r="G2112" s="364" t="str">
        <f>EUconst_Tons</f>
        <v>ton</v>
      </c>
      <c r="H2112" s="742" t="str">
        <f>IF($I1953="","",IF(INDEX(F_ProductBM!H:H,MATCH($P2112,F_ProductBM!$Q:$Q,0))="","",INDEX(F_ProductBM!H:H,MATCH($P2112,F_ProductBM!$Q:$Q,0))))</f>
        <v/>
      </c>
      <c r="I2112" s="1021" t="str">
        <f>IF($I1953="","",IF(INDEX(F_ProductBM!I:I,MATCH($P2112,F_ProductBM!$Q:$Q,0))="","",INDEX(F_ProductBM!I:I,MATCH($P2112,F_ProductBM!$Q:$Q,0))))</f>
        <v/>
      </c>
      <c r="J2112" s="1158" t="str">
        <f>IF($I1953="","",IF(INDEX(F_ProductBM!J:J,MATCH($P2112,F_ProductBM!$Q:$Q,0))="","",INDEX(F_ProductBM!J:J,MATCH($P2112,F_ProductBM!$Q:$Q,0))))</f>
        <v/>
      </c>
      <c r="K2112" s="742" t="str">
        <f>IF($I1953="","",IF(INDEX(F_ProductBM!K:K,MATCH($P2112,F_ProductBM!$Q:$Q,0))="","",INDEX(F_ProductBM!K:K,MATCH($P2112,F_ProductBM!$Q:$Q,0))))</f>
        <v/>
      </c>
      <c r="L2112" s="742" t="str">
        <f>IF($I1953="","",IF(INDEX(F_ProductBM!L:L,MATCH($P2112,F_ProductBM!$Q:$Q,0))="","",INDEX(F_ProductBM!L:L,MATCH($P2112,F_ProductBM!$Q:$Q,0))))</f>
        <v/>
      </c>
      <c r="M2112" s="742" t="str">
        <f>IF($I1953="","",IF(INDEX(F_ProductBM!M:M,MATCH($P2112,F_ProductBM!$Q:$Q,0))="","",INDEX(F_ProductBM!M:M,MATCH($P2112,F_ProductBM!$Q:$Q,0))))</f>
        <v/>
      </c>
      <c r="N2112" s="1459" t="str">
        <f>IF($I1953="","",IF(INDEX(F_ProductBM!N:N,MATCH($P2112,F_ProductBM!$Q:$Q,0))="","",INDEX(F_ProductBM!N:N,MATCH($P2112,F_ProductBM!$Q:$Q,0))))</f>
        <v/>
      </c>
      <c r="O2112" s="19"/>
      <c r="P2112" s="298" t="str">
        <f>EUconst_CNTR_IntermediateExport &amp; R2109 &amp; "_" &amp; I1953</f>
        <v>IntExp_1_</v>
      </c>
      <c r="Q2112" s="343"/>
      <c r="R2112" s="663">
        <v>1</v>
      </c>
      <c r="S2112" s="343"/>
      <c r="T2112" s="7"/>
      <c r="U2112" s="349"/>
      <c r="V2112" s="349"/>
    </row>
    <row r="2113" spans="1:22" s="534" customFormat="1" x14ac:dyDescent="0.25">
      <c r="A2113" s="343"/>
      <c r="B2113" s="15"/>
      <c r="C2113" s="15"/>
      <c r="D2113" s="1454"/>
      <c r="E2113" s="2617" t="str">
        <f>IF(I1953="","",IF(INDEX(F_ProductBM!E:E,MATCH($P2113,F_ProductBM!$Q:$Q,0))="","",INDEX(F_ProductBM!E:E,MATCH($P2113,F_ProductBM!$Q:$Q,0))))</f>
        <v/>
      </c>
      <c r="F2113" s="1997"/>
      <c r="G2113" s="364" t="str">
        <f>EUconst_Tons</f>
        <v>ton</v>
      </c>
      <c r="H2113" s="742" t="str">
        <f>IF($I1953="","",IF(INDEX(F_ProductBM!H:H,MATCH($P2113,F_ProductBM!$Q:$Q,0))="","",INDEX(F_ProductBM!H:H,MATCH($P2113,F_ProductBM!$Q:$Q,0))))</f>
        <v/>
      </c>
      <c r="I2113" s="1021" t="str">
        <f>IF($I1953="","",IF(INDEX(F_ProductBM!I:I,MATCH($P2113,F_ProductBM!$Q:$Q,0))="","",INDEX(F_ProductBM!I:I,MATCH($P2113,F_ProductBM!$Q:$Q,0))))</f>
        <v/>
      </c>
      <c r="J2113" s="1158" t="str">
        <f>IF($I1953="","",IF(INDEX(F_ProductBM!J:J,MATCH($P2113,F_ProductBM!$Q:$Q,0))="","",INDEX(F_ProductBM!J:J,MATCH($P2113,F_ProductBM!$Q:$Q,0))))</f>
        <v/>
      </c>
      <c r="K2113" s="742" t="str">
        <f>IF($I1953="","",IF(INDEX(F_ProductBM!K:K,MATCH($P2113,F_ProductBM!$Q:$Q,0))="","",INDEX(F_ProductBM!K:K,MATCH($P2113,F_ProductBM!$Q:$Q,0))))</f>
        <v/>
      </c>
      <c r="L2113" s="742" t="str">
        <f>IF($I1953="","",IF(INDEX(F_ProductBM!L:L,MATCH($P2113,F_ProductBM!$Q:$Q,0))="","",INDEX(F_ProductBM!L:L,MATCH($P2113,F_ProductBM!$Q:$Q,0))))</f>
        <v/>
      </c>
      <c r="M2113" s="742" t="str">
        <f>IF($I1953="","",IF(INDEX(F_ProductBM!M:M,MATCH($P2113,F_ProductBM!$Q:$Q,0))="","",INDEX(F_ProductBM!M:M,MATCH($P2113,F_ProductBM!$Q:$Q,0))))</f>
        <v/>
      </c>
      <c r="N2113" s="1459" t="str">
        <f>IF($I1953="","",IF(INDEX(F_ProductBM!N:N,MATCH($P2113,F_ProductBM!$Q:$Q,0))="","",INDEX(F_ProductBM!N:N,MATCH($P2113,F_ProductBM!$Q:$Q,0))))</f>
        <v/>
      </c>
      <c r="O2113" s="19"/>
      <c r="P2113" s="298" t="str">
        <f>EUconst_CNTR_IntermediateExport &amp; R2113 &amp; "_" &amp; I1953</f>
        <v>IntExp_2_</v>
      </c>
      <c r="Q2113" s="343"/>
      <c r="R2113" s="663">
        <v>2</v>
      </c>
      <c r="S2113" s="343"/>
      <c r="T2113" s="7"/>
      <c r="U2113" s="349"/>
      <c r="V2113" s="349"/>
    </row>
    <row r="2114" spans="1:22" s="534" customFormat="1" ht="12.75" customHeight="1" thickBot="1" x14ac:dyDescent="0.3">
      <c r="A2114" s="343"/>
      <c r="B2114" s="15"/>
      <c r="C2114" s="15"/>
      <c r="D2114" s="1460"/>
      <c r="E2114" s="1461"/>
      <c r="F2114" s="1461"/>
      <c r="G2114" s="1462"/>
      <c r="H2114" s="1462"/>
      <c r="I2114" s="783"/>
      <c r="J2114" s="783"/>
      <c r="K2114" s="783"/>
      <c r="L2114" s="783"/>
      <c r="M2114" s="783"/>
      <c r="N2114" s="784"/>
      <c r="O2114" s="19"/>
      <c r="P2114" s="7"/>
      <c r="Q2114" s="343"/>
      <c r="R2114" s="343"/>
      <c r="S2114" s="343"/>
      <c r="T2114" s="7"/>
      <c r="U2114" s="349"/>
      <c r="V2114" s="349"/>
    </row>
    <row r="2115" spans="1:22" s="534" customFormat="1" ht="5.15" customHeight="1" thickBot="1" x14ac:dyDescent="0.3">
      <c r="A2115" s="343"/>
      <c r="B2115" s="15"/>
      <c r="C2115" s="15"/>
      <c r="D2115" s="15"/>
      <c r="E2115" s="748"/>
      <c r="O2115" s="19"/>
      <c r="P2115" s="343"/>
      <c r="Q2115" s="343"/>
      <c r="R2115" s="343"/>
      <c r="S2115" s="343"/>
      <c r="T2115" s="343"/>
      <c r="U2115" s="349"/>
      <c r="V2115" s="349"/>
    </row>
    <row r="2116" spans="1:22" s="534" customFormat="1" ht="5.15" customHeight="1" thickBot="1" x14ac:dyDescent="0.3">
      <c r="A2116" s="343"/>
      <c r="B2116" s="3"/>
      <c r="C2116" s="230"/>
      <c r="D2116" s="230"/>
      <c r="E2116" s="230"/>
      <c r="F2116" s="230"/>
      <c r="G2116" s="230"/>
      <c r="H2116" s="230"/>
      <c r="I2116" s="230"/>
      <c r="J2116" s="230"/>
      <c r="K2116" s="230"/>
      <c r="L2116" s="230"/>
      <c r="M2116" s="230"/>
      <c r="N2116" s="230"/>
      <c r="O2116" s="19"/>
      <c r="P2116" s="343"/>
      <c r="Q2116" s="343"/>
      <c r="R2116" s="343"/>
      <c r="S2116" s="343"/>
      <c r="T2116" s="343"/>
      <c r="U2116" s="349"/>
      <c r="V2116" s="349"/>
    </row>
    <row r="2117" spans="1:22" s="534" customFormat="1" ht="5.15" customHeight="1" thickBot="1" x14ac:dyDescent="0.3">
      <c r="A2117" s="343"/>
      <c r="B2117" s="3"/>
      <c r="C2117" s="230"/>
      <c r="D2117" s="230"/>
      <c r="E2117" s="230"/>
      <c r="F2117" s="230"/>
      <c r="G2117" s="230"/>
      <c r="H2117" s="230"/>
      <c r="I2117" s="230"/>
      <c r="J2117" s="230"/>
      <c r="K2117" s="230"/>
      <c r="L2117" s="230"/>
      <c r="M2117" s="230"/>
      <c r="N2117" s="230"/>
      <c r="O2117" s="19"/>
      <c r="P2117" s="343"/>
      <c r="Q2117" s="343"/>
      <c r="R2117" s="343"/>
      <c r="S2117" s="343"/>
      <c r="T2117" s="343"/>
      <c r="U2117" s="349"/>
      <c r="V2117" s="349"/>
    </row>
    <row r="2118" spans="1:22" s="534" customFormat="1" ht="15" customHeight="1" thickBot="1" x14ac:dyDescent="0.35">
      <c r="A2118" s="343"/>
      <c r="B2118" s="15"/>
      <c r="C2118" s="17">
        <v>11</v>
      </c>
      <c r="D2118" s="2053" t="str">
        <f>CONCATENATE(EUconst_FBSubinst," ",C2118-10, ":")</f>
        <v>”Fall-back”-delanläggning 1:</v>
      </c>
      <c r="E2118" s="2053"/>
      <c r="F2118" s="2053"/>
      <c r="G2118" s="2053"/>
      <c r="H2118" s="2081"/>
      <c r="I2118" s="2082" t="str">
        <f>INDEX(EUconst_FallBackListNames,$C2118-10)</f>
        <v>Delanläggning med värmeriktmärke, KL</v>
      </c>
      <c r="J2118" s="2083"/>
      <c r="K2118" s="2083"/>
      <c r="L2118" s="2084"/>
      <c r="M2118" s="2085" t="str">
        <f>IF(INDEX(CNTR_FallBackSubInstRelevant,C2118-10)="","",IF(INDEX(CNTR_FallBackSubInstRelevant,C2118-10),EUconst_Relevant,EUconst_NotRelevant))</f>
        <v/>
      </c>
      <c r="N2118" s="2086"/>
      <c r="O2118" s="19"/>
      <c r="P2118" s="343"/>
      <c r="Q2118" s="723">
        <f>C2118</f>
        <v>11</v>
      </c>
      <c r="R2118" s="722" t="str">
        <f>I2118</f>
        <v>Delanläggning med värmeriktmärke, KL</v>
      </c>
      <c r="S2118" s="343"/>
      <c r="T2118" s="343"/>
      <c r="U2118" s="349"/>
      <c r="V2118" s="349"/>
    </row>
    <row r="2119" spans="1:22" s="534" customFormat="1" ht="5.15" customHeight="1" x14ac:dyDescent="0.3">
      <c r="A2119" s="343"/>
      <c r="B2119" s="15"/>
      <c r="C2119" s="17"/>
      <c r="D2119" s="17"/>
      <c r="E2119" s="17"/>
      <c r="F2119" s="17"/>
      <c r="G2119" s="17"/>
      <c r="H2119" s="17"/>
      <c r="I2119" s="17"/>
      <c r="J2119" s="17"/>
      <c r="K2119" s="17"/>
      <c r="L2119" s="17"/>
      <c r="M2119" s="17"/>
      <c r="N2119" s="17"/>
      <c r="O2119" s="19"/>
      <c r="P2119" s="343"/>
      <c r="Q2119" s="343"/>
      <c r="R2119" s="343"/>
      <c r="S2119" s="343"/>
      <c r="T2119" s="343"/>
      <c r="U2119" s="349"/>
      <c r="V2119" s="349"/>
    </row>
    <row r="2120" spans="1:22" s="534" customFormat="1" ht="12.75" customHeight="1" x14ac:dyDescent="0.3">
      <c r="A2120" s="343"/>
      <c r="B2120" s="15"/>
      <c r="C2120" s="17"/>
      <c r="D2120" s="17"/>
      <c r="E2120" s="17"/>
      <c r="F2120" s="17"/>
      <c r="H2120" s="506" t="str">
        <f>Translations!$B$1022</f>
        <v>KL-risk</v>
      </c>
      <c r="I2120" s="15"/>
      <c r="J2120" s="506" t="str">
        <f>Translations!$B$1026</f>
        <v>I drift</v>
      </c>
      <c r="K2120" s="506" t="str">
        <f>Translations!$B$1545</f>
        <v>Upphört</v>
      </c>
      <c r="L2120" s="952" t="str">
        <f>Translations!$B$1024</f>
        <v>RM-nummer</v>
      </c>
      <c r="M2120" s="2786" t="str">
        <f>Translations!$B$1028</f>
        <v>RM-värde</v>
      </c>
      <c r="N2120" s="2786"/>
      <c r="O2120" s="19"/>
      <c r="P2120" s="343"/>
      <c r="Q2120" s="343"/>
      <c r="R2120" s="343"/>
      <c r="S2120" s="343"/>
      <c r="T2120" s="343"/>
      <c r="U2120" s="349"/>
      <c r="V2120" s="349"/>
    </row>
    <row r="2121" spans="1:22" s="534" customFormat="1" ht="12.75" customHeight="1" x14ac:dyDescent="0.3">
      <c r="A2121" s="343"/>
      <c r="B2121" s="15"/>
      <c r="C2121" s="17"/>
      <c r="D2121" s="17"/>
      <c r="E2121" s="508" t="str">
        <f>I2118</f>
        <v>Delanläggning med värmeriktmärke, KL</v>
      </c>
      <c r="F2121" s="509"/>
      <c r="G2121" s="509"/>
      <c r="H2121" s="510" t="b">
        <f>INDEX(EUconst_FallBackListCLstatus,MATCH(I2118,EUconst_FallBackListNames,0))</f>
        <v>1</v>
      </c>
      <c r="I2121" s="15"/>
      <c r="J2121" s="1045" t="str">
        <f>IF($M2118&lt;&gt;EUconst_Relevant,EUconst_NA,INDEX(CNTR_SubInstStartDate,MATCH(I2118,CNTR_SubInstListNames,0)))</f>
        <v>Ej tillämpligt</v>
      </c>
      <c r="K2121" s="1045" t="str">
        <f>IF($M2118&lt;&gt;EUconst_Relevant,EUconst_NA,IF(INDEX(CNTR_SubInstCessationDate,MATCH(I2118,CNTR_SubInstListNames,0))=0,"",INDEX(CNTR_SubInstCessationDate,MATCH(I2118,CNTR_SubInstListNames,0))))</f>
        <v>Ej tillämpligt</v>
      </c>
      <c r="L2121" s="953">
        <f>C2118-10</f>
        <v>1</v>
      </c>
      <c r="M2121" s="1746" t="str">
        <f>IF(M2118&lt;&gt;EUconst_Relevant,EUconst_NA,INDEX(EUconst_FallBackListBMvaluesMatrix,L2121,3))</f>
        <v>Ej tillämpligt</v>
      </c>
      <c r="N2121" s="1041" t="str">
        <f>EUconst_EUA &amp; "/" &amp; F2124</f>
        <v>EUA/TJ</v>
      </c>
      <c r="O2121" s="19"/>
      <c r="P2121" s="343"/>
      <c r="Q2121" s="343"/>
      <c r="R2121" s="343"/>
      <c r="S2121" s="343"/>
      <c r="T2121" s="343"/>
      <c r="U2121" s="349"/>
      <c r="V2121" s="349"/>
    </row>
    <row r="2122" spans="1:22" s="534" customFormat="1" ht="5.15" customHeight="1" thickBot="1" x14ac:dyDescent="0.35">
      <c r="A2122" s="343"/>
      <c r="B2122" s="15"/>
      <c r="C2122" s="15"/>
      <c r="D2122" s="15"/>
      <c r="E2122" s="17"/>
      <c r="J2122" s="15"/>
      <c r="K2122" s="15"/>
      <c r="L2122" s="15"/>
      <c r="M2122" s="15"/>
      <c r="N2122" s="15"/>
      <c r="O2122" s="19"/>
      <c r="P2122" s="343"/>
      <c r="Q2122" s="343"/>
      <c r="R2122" s="343"/>
      <c r="S2122" s="343"/>
      <c r="T2122" s="7"/>
      <c r="U2122" s="349"/>
      <c r="V2122" s="349"/>
    </row>
    <row r="2123" spans="1:22" s="534" customFormat="1" ht="12.75" customHeight="1" x14ac:dyDescent="0.25">
      <c r="A2123" s="343"/>
      <c r="B2123" s="15"/>
      <c r="C2123" s="15"/>
      <c r="D2123" s="15"/>
      <c r="E2123" s="39"/>
      <c r="F2123" s="13" t="str">
        <f>EUconst_Unit</f>
        <v>Enhet</v>
      </c>
      <c r="G2123" s="1201" t="str">
        <f>Translations!$B$1432</f>
        <v>HAL</v>
      </c>
      <c r="H2123" s="987">
        <f t="shared" ref="H2123:N2123" si="418">H$2596</f>
        <v>2019</v>
      </c>
      <c r="I2123" s="342">
        <f t="shared" si="418"/>
        <v>2020</v>
      </c>
      <c r="J2123" s="987">
        <f t="shared" si="418"/>
        <v>2021</v>
      </c>
      <c r="K2123" s="320">
        <f t="shared" si="418"/>
        <v>2022</v>
      </c>
      <c r="L2123" s="320">
        <f t="shared" si="418"/>
        <v>2023</v>
      </c>
      <c r="M2123" s="320">
        <f t="shared" si="418"/>
        <v>2024</v>
      </c>
      <c r="N2123" s="320">
        <f t="shared" si="418"/>
        <v>2025</v>
      </c>
      <c r="O2123" s="19"/>
      <c r="P2123" s="343"/>
      <c r="Q2123" s="343" t="s">
        <v>2010</v>
      </c>
      <c r="R2123" s="1635">
        <f>J$2596</f>
        <v>2021</v>
      </c>
      <c r="S2123" s="1636">
        <f>K$2596</f>
        <v>2022</v>
      </c>
      <c r="T2123" s="1636">
        <f>L$2596</f>
        <v>2023</v>
      </c>
      <c r="U2123" s="1636">
        <f>M$2596</f>
        <v>2024</v>
      </c>
      <c r="V2123" s="1637">
        <f>N$2596</f>
        <v>2025</v>
      </c>
    </row>
    <row r="2124" spans="1:22" s="534" customFormat="1" ht="12.75" customHeight="1" thickBot="1" x14ac:dyDescent="0.3">
      <c r="A2124" s="343"/>
      <c r="B2124" s="15"/>
      <c r="C2124" s="15"/>
      <c r="D2124" s="15"/>
      <c r="E2124" s="514" t="str">
        <f>Translations!$B$1562</f>
        <v>Rapporterad verksamhetsnivå</v>
      </c>
      <c r="F2124" s="563" t="str">
        <f>INDEX(EUconst_FallBackListUnits,L2121)</f>
        <v>TJ</v>
      </c>
      <c r="G2124" s="1407" t="str">
        <f>I2155</f>
        <v/>
      </c>
      <c r="H2124" s="1408" t="str">
        <f>IF($M2118&lt;&gt;EUconst_Relevant,"",IF(H2123&gt;=CNTR_ReportingYear,"",SUMIF('G_Fall-back'!$Q:$Q,$P2124,'G_Fall-back'!H:H)))</f>
        <v/>
      </c>
      <c r="I2124" s="1409" t="str">
        <f>IF($M2118&lt;&gt;EUconst_Relevant,"",IF(I2123&gt;=CNTR_ReportingYear,"",SUMIF('G_Fall-back'!$Q:$Q,$P2124,'G_Fall-back'!I:I)))</f>
        <v/>
      </c>
      <c r="J2124" s="1408" t="str">
        <f>IF($M2118&lt;&gt;EUconst_Relevant,"",IF(J2123&gt;=CNTR_ReportingYear,"",SUMIF('G_Fall-back'!$Q:$Q,$P2124,'G_Fall-back'!J:J)))</f>
        <v/>
      </c>
      <c r="K2124" s="1410" t="str">
        <f>IF($M2118&lt;&gt;EUconst_Relevant,"",IF(K2123&gt;=CNTR_ReportingYear,"",SUMIF('G_Fall-back'!$Q:$Q,$P2124,'G_Fall-back'!K:K)))</f>
        <v/>
      </c>
      <c r="L2124" s="1410" t="str">
        <f>IF($M2118&lt;&gt;EUconst_Relevant,"",IF(L2123&gt;=CNTR_ReportingYear,"",SUMIF('G_Fall-back'!$Q:$Q,$P2124,'G_Fall-back'!L:L)))</f>
        <v/>
      </c>
      <c r="M2124" s="1410" t="str">
        <f>IF($M2118&lt;&gt;EUconst_Relevant,"",IF(M2123&gt;=CNTR_ReportingYear,"",SUMIF('G_Fall-back'!$Q:$Q,$P2124,'G_Fall-back'!M:M)))</f>
        <v/>
      </c>
      <c r="N2124" s="1410" t="str">
        <f>IF($M2118&lt;&gt;EUconst_Relevant,"",IF(N2123&gt;=CNTR_ReportingYear,"",SUMIF('G_Fall-back'!$Q:$Q,$P2124,'G_Fall-back'!N:N)))</f>
        <v/>
      </c>
      <c r="O2124" s="19"/>
      <c r="P2124" s="165" t="str">
        <f>EUconst_CNTR_HAL&amp;I2118</f>
        <v>HAL_Delanläggning med värmeriktmärke, KL</v>
      </c>
      <c r="Q2124" s="343"/>
      <c r="R2124" s="1329" t="b">
        <f>AND($M2118=EUconst_Relevant,R2123&lt;=CNTR_ReportingYear,IF($J2121&lt;&gt;EUconst_NA,R2123&gt;=YEAR($J2121),TRUE))</f>
        <v>0</v>
      </c>
      <c r="S2124" s="1330" t="b">
        <f>AND($M2118=EUconst_Relevant,S2123&lt;=CNTR_ReportingYear,IF($J2121&lt;&gt;EUconst_NA,S2123&gt;=YEAR($J2121),TRUE))</f>
        <v>0</v>
      </c>
      <c r="T2124" s="1330" t="b">
        <f>AND($M2118=EUconst_Relevant,T2123&lt;=CNTR_ReportingYear,IF($J2121&lt;&gt;EUconst_NA,T2123&gt;=YEAR($J2121),TRUE))</f>
        <v>0</v>
      </c>
      <c r="U2124" s="1330" t="b">
        <f>AND($M2118=EUconst_Relevant,U2123&lt;=CNTR_ReportingYear,IF($J2121&lt;&gt;EUconst_NA,U2123&gt;=YEAR($J2121),TRUE))</f>
        <v>0</v>
      </c>
      <c r="V2124" s="1331" t="b">
        <f>AND($M2118=EUconst_Relevant,V2123&lt;=CNTR_ReportingYear,IF($J2121&lt;&gt;EUconst_NA,V2123&gt;=YEAR($J2121),TRUE))</f>
        <v>0</v>
      </c>
    </row>
    <row r="2125" spans="1:22" s="534" customFormat="1" x14ac:dyDescent="0.25">
      <c r="A2125" s="343"/>
      <c r="B2125" s="15"/>
      <c r="C2125" s="15"/>
      <c r="D2125" s="15"/>
      <c r="E2125" s="514" t="str">
        <f>Translations!$B$1588</f>
        <v>Rapporterad effektivitet</v>
      </c>
      <c r="F2125" s="563" t="str">
        <f>IF($M2118&lt;&gt;EUconst_Relevant,"",INDEX('G_Fall-back'!H:H,MATCH($P2147,'G_Fall-back'!$Q:$Q,0)-1))</f>
        <v/>
      </c>
      <c r="G2125" s="1414" t="str">
        <f>IF($M2118&lt;&gt;EUconst_Relevant,"",INDEX('G_Fall-back'!I:I,MATCH($P2147,'G_Fall-back'!$Q:$Q,0)-1))</f>
        <v/>
      </c>
      <c r="H2125" s="1132" t="str">
        <f>IF($M2118&lt;&gt;EUconst_Relevant,"",INDEX('G_Fall-back'!H:H,MATCH($P2125,'G_Fall-back'!$Q:$Q,0)))</f>
        <v/>
      </c>
      <c r="I2125" s="1133" t="str">
        <f>IF($M2118&lt;&gt;EUconst_Relevant,"",INDEX('G_Fall-back'!I:I,MATCH($P2125,'G_Fall-back'!$Q:$Q,0)))</f>
        <v/>
      </c>
      <c r="J2125" s="1132" t="str">
        <f>IF($M2118&lt;&gt;EUconst_Relevant,"",INDEX('G_Fall-back'!J:J,MATCH($P2125,'G_Fall-back'!$Q:$Q,0)))</f>
        <v/>
      </c>
      <c r="K2125" s="662" t="str">
        <f>IF($M2118&lt;&gt;EUconst_Relevant,"",INDEX('G_Fall-back'!K:K,MATCH($P2125,'G_Fall-back'!$Q:$Q,0)))</f>
        <v/>
      </c>
      <c r="L2125" s="662" t="str">
        <f>IF($M2118&lt;&gt;EUconst_Relevant,"",INDEX('G_Fall-back'!L:L,MATCH($P2125,'G_Fall-back'!$Q:$Q,0)))</f>
        <v/>
      </c>
      <c r="M2125" s="662" t="str">
        <f>IF($M2118&lt;&gt;EUconst_Relevant,"",INDEX('G_Fall-back'!M:M,MATCH($P2125,'G_Fall-back'!$Q:$Q,0)))</f>
        <v/>
      </c>
      <c r="N2125" s="662" t="str">
        <f>IF($M2118&lt;&gt;EUconst_Relevant,"",INDEX('G_Fall-back'!N:N,MATCH($P2125,'G_Fall-back'!$Q:$Q,0)))</f>
        <v/>
      </c>
      <c r="O2125" s="19"/>
      <c r="P2125" s="165" t="str">
        <f>EUconst_CNTR_EnEff&amp;I2118</f>
        <v>EnEff_Delanläggning med värmeriktmärke, KL</v>
      </c>
      <c r="Q2125" s="343"/>
      <c r="R2125" s="343"/>
      <c r="S2125" s="343"/>
      <c r="T2125" s="7"/>
      <c r="U2125" s="349"/>
      <c r="V2125" s="349"/>
    </row>
    <row r="2126" spans="1:22" s="534" customFormat="1" ht="5.15" customHeight="1" thickBot="1" x14ac:dyDescent="0.3">
      <c r="A2126" s="343"/>
      <c r="B2126" s="15"/>
      <c r="C2126" s="15"/>
      <c r="D2126" s="15"/>
      <c r="F2126" s="15"/>
      <c r="G2126" s="15"/>
      <c r="H2126" s="15"/>
      <c r="I2126" s="941"/>
      <c r="J2126" s="15"/>
      <c r="K2126" s="15"/>
      <c r="L2126" s="15"/>
      <c r="M2126" s="15"/>
      <c r="N2126" s="15"/>
      <c r="O2126" s="19"/>
      <c r="P2126" s="343"/>
      <c r="Q2126" s="343"/>
      <c r="R2126" s="343"/>
      <c r="S2126" s="343"/>
      <c r="T2126" s="7"/>
      <c r="U2126" s="349"/>
      <c r="V2126" s="349"/>
    </row>
    <row r="2127" spans="1:22" s="534" customFormat="1" ht="5.15" customHeight="1" x14ac:dyDescent="0.3">
      <c r="A2127" s="343"/>
      <c r="B2127" s="15"/>
      <c r="C2127" s="17"/>
      <c r="D2127" s="1383"/>
      <c r="E2127" s="1384"/>
      <c r="F2127" s="1384"/>
      <c r="G2127" s="1384"/>
      <c r="H2127" s="1384"/>
      <c r="I2127" s="1384"/>
      <c r="J2127" s="1384"/>
      <c r="K2127" s="1384"/>
      <c r="L2127" s="1384"/>
      <c r="M2127" s="1384"/>
      <c r="N2127" s="1385"/>
      <c r="O2127" s="19"/>
      <c r="P2127" s="343"/>
      <c r="Q2127" s="343"/>
      <c r="R2127" s="343"/>
      <c r="S2127" s="343"/>
      <c r="T2127" s="343"/>
      <c r="U2127" s="349"/>
      <c r="V2127" s="349"/>
    </row>
    <row r="2128" spans="1:22" s="534" customFormat="1" ht="12.75" customHeight="1" x14ac:dyDescent="0.3">
      <c r="A2128" s="343"/>
      <c r="B2128" s="15"/>
      <c r="C2128" s="17"/>
      <c r="D2128" s="1386"/>
      <c r="E2128" s="42" t="str">
        <f>Translations!$B$1563</f>
        <v>Tillämplighet av glidande medelvärde</v>
      </c>
      <c r="F2128" s="188"/>
      <c r="G2128" s="188"/>
      <c r="H2128" s="30" t="str">
        <f>EUconst_Unit</f>
        <v>Enhet</v>
      </c>
      <c r="I2128" s="1157"/>
      <c r="J2128" s="1065">
        <f>J$2596</f>
        <v>2021</v>
      </c>
      <c r="K2128" s="350">
        <f>K$2596</f>
        <v>2022</v>
      </c>
      <c r="L2128" s="350">
        <f>L$2596</f>
        <v>2023</v>
      </c>
      <c r="M2128" s="350">
        <f>M$2596</f>
        <v>2024</v>
      </c>
      <c r="N2128" s="966">
        <f>N$2596</f>
        <v>2025</v>
      </c>
      <c r="O2128" s="19"/>
      <c r="P2128" s="343"/>
      <c r="Q2128" s="343"/>
      <c r="R2128" s="343"/>
      <c r="S2128" s="343"/>
      <c r="T2128" s="343"/>
      <c r="U2128" s="349"/>
      <c r="V2128" s="349"/>
    </row>
    <row r="2129" spans="1:22" s="534" customFormat="1" ht="12.75" customHeight="1" x14ac:dyDescent="0.3">
      <c r="A2129" s="343"/>
      <c r="B2129" s="15"/>
      <c r="C2129" s="17"/>
      <c r="D2129" s="1386"/>
      <c r="E2129" s="1477" t="str">
        <f>Translations!$B$1549</f>
        <v>Kriterium 1: Verksam &gt;2 år?</v>
      </c>
      <c r="F2129" s="1478"/>
      <c r="G2129" s="1478"/>
      <c r="H2129" s="1366" t="s">
        <v>1112</v>
      </c>
      <c r="I2129" s="1478"/>
      <c r="J2129" s="1469" t="str">
        <f>IF(R2124,INDEX('G_Fall-back'!V:V,MATCH($P2129,'G_Fall-back'!$Q:$Q,0))&gt;=3,"")</f>
        <v/>
      </c>
      <c r="K2129" s="1470" t="str">
        <f>IF(S2124,INDEX('G_Fall-back'!W:W,MATCH($P2129,'G_Fall-back'!$Q:$Q,0))&gt;=3,"")</f>
        <v/>
      </c>
      <c r="L2129" s="1470" t="str">
        <f>IF(T2124,INDEX('G_Fall-back'!X:X,MATCH($P2129,'G_Fall-back'!$Q:$Q,0))&gt;=3,"")</f>
        <v/>
      </c>
      <c r="M2129" s="1470" t="str">
        <f>IF(U2124,INDEX('G_Fall-back'!Y:Y,MATCH($P2129,'G_Fall-back'!$Q:$Q,0))&gt;=3,"")</f>
        <v/>
      </c>
      <c r="N2129" s="1471" t="str">
        <f>IF(V2124,INDEX('G_Fall-back'!Z:Z,MATCH($P2129,'G_Fall-back'!$Q:$Q,0))&gt;=3,"")</f>
        <v/>
      </c>
      <c r="O2129" s="19"/>
      <c r="P2129" s="165" t="str">
        <f>EUconst_CNTR_HALinitial&amp;I2118</f>
        <v>HALini_Delanläggning med värmeriktmärke, KL</v>
      </c>
      <c r="Q2129" s="343"/>
      <c r="R2129" s="343"/>
      <c r="S2129" s="343"/>
      <c r="T2129" s="343"/>
      <c r="U2129" s="349"/>
      <c r="V2129" s="349"/>
    </row>
    <row r="2130" spans="1:22" s="534" customFormat="1" ht="12.75" customHeight="1" x14ac:dyDescent="0.3">
      <c r="A2130" s="343"/>
      <c r="B2130" s="15"/>
      <c r="C2130" s="17"/>
      <c r="D2130" s="1386"/>
      <c r="E2130" s="1472" t="str">
        <f>Translations!$B$1551</f>
        <v>Kriterium 2: Upphörde inte föregående år?</v>
      </c>
      <c r="F2130" s="1479"/>
      <c r="G2130" s="1479"/>
      <c r="H2130" s="1473" t="s">
        <v>1112</v>
      </c>
      <c r="I2130" s="1479"/>
      <c r="J2130" s="1474" t="str">
        <f>IF(R2124,IF($K2121="",2050,YEAR($K2121))&lt;&gt;(J2128-1),"")</f>
        <v/>
      </c>
      <c r="K2130" s="1475" t="str">
        <f>IF(S2124,IF($K2121="",2050,YEAR($K2121))&lt;&gt;(K2128-1),"")</f>
        <v/>
      </c>
      <c r="L2130" s="1475" t="str">
        <f>IF(T2124,IF($K2121="",2050,YEAR($K2121))&lt;&gt;(L2128-1),"")</f>
        <v/>
      </c>
      <c r="M2130" s="1475" t="str">
        <f>IF(U2124,IF($K2121="",2050,YEAR($K2121))&lt;&gt;(M2128-1),"")</f>
        <v/>
      </c>
      <c r="N2130" s="1476" t="str">
        <f>IF(V2124,IF($K2121="",2050,YEAR($K2121))&lt;&gt;(N2128-1),"")</f>
        <v/>
      </c>
      <c r="O2130" s="19"/>
      <c r="P2130" s="343"/>
      <c r="Q2130" s="343"/>
      <c r="R2130" s="343"/>
      <c r="S2130" s="343"/>
      <c r="T2130" s="343"/>
      <c r="U2130" s="349"/>
      <c r="V2130" s="349"/>
    </row>
    <row r="2131" spans="1:22" s="534" customFormat="1" ht="5.15" customHeight="1" x14ac:dyDescent="0.3">
      <c r="A2131" s="343"/>
      <c r="B2131" s="15"/>
      <c r="C2131" s="17"/>
      <c r="D2131" s="1386"/>
      <c r="E2131" s="17"/>
      <c r="F2131" s="17"/>
      <c r="G2131" s="17"/>
      <c r="H2131" s="17"/>
      <c r="I2131" s="17"/>
      <c r="J2131" s="17"/>
      <c r="K2131" s="17"/>
      <c r="L2131" s="17"/>
      <c r="M2131" s="17"/>
      <c r="N2131" s="1388"/>
      <c r="O2131" s="19"/>
      <c r="P2131" s="343"/>
      <c r="Q2131" s="343"/>
      <c r="R2131" s="343"/>
      <c r="S2131" s="343"/>
      <c r="T2131" s="343"/>
      <c r="U2131" s="349"/>
      <c r="V2131" s="349"/>
    </row>
    <row r="2132" spans="1:22" s="534" customFormat="1" ht="12.75" customHeight="1" x14ac:dyDescent="0.3">
      <c r="A2132" s="343"/>
      <c r="B2132" s="15"/>
      <c r="C2132" s="17"/>
      <c r="D2132" s="1386"/>
      <c r="E2132" s="39" t="str">
        <f>Translations!$B$1564</f>
        <v>Ändringar: Ingen ändring (bas)</v>
      </c>
      <c r="F2132" s="15"/>
      <c r="G2132" s="15"/>
      <c r="H2132" s="30" t="str">
        <f>EUconst_Unit</f>
        <v>Enhet</v>
      </c>
      <c r="I2132" s="1157"/>
      <c r="J2132" s="987">
        <f>J$2596</f>
        <v>2021</v>
      </c>
      <c r="K2132" s="320">
        <f>K$2596</f>
        <v>2022</v>
      </c>
      <c r="L2132" s="320">
        <f>L$2596</f>
        <v>2023</v>
      </c>
      <c r="M2132" s="320">
        <f>M$2596</f>
        <v>2024</v>
      </c>
      <c r="N2132" s="1387">
        <f>N$2596</f>
        <v>2025</v>
      </c>
      <c r="O2132" s="19"/>
      <c r="P2132" s="343"/>
      <c r="Q2132" s="343"/>
      <c r="R2132" s="343"/>
      <c r="S2132" s="343"/>
      <c r="T2132" s="343"/>
      <c r="U2132" s="349"/>
      <c r="V2132" s="349"/>
    </row>
    <row r="2133" spans="1:22" s="534" customFormat="1" ht="12.75" hidden="1" customHeight="1" x14ac:dyDescent="0.3">
      <c r="A2133" s="343" t="str">
        <f>IF(P2133="","ausblenden","")</f>
        <v>ausblenden</v>
      </c>
      <c r="B2133" s="15"/>
      <c r="C2133" s="17"/>
      <c r="D2133" s="1386"/>
      <c r="E2133" s="514" t="s">
        <v>1918</v>
      </c>
      <c r="F2133" s="514"/>
      <c r="G2133" s="514"/>
      <c r="H2133" s="917" t="str">
        <f>F2124</f>
        <v>TJ</v>
      </c>
      <c r="I2133" s="514"/>
      <c r="J2133" s="1411" t="str">
        <f>IF(T2156&gt;=$H$2595,S2155,I2155)</f>
        <v/>
      </c>
      <c r="K2133" s="1413" t="str">
        <f>J2155</f>
        <v/>
      </c>
      <c r="L2133" s="1413" t="str">
        <f>K2155</f>
        <v/>
      </c>
      <c r="M2133" s="1413" t="str">
        <f>L2155</f>
        <v/>
      </c>
      <c r="N2133" s="1466" t="str">
        <f>M2155</f>
        <v/>
      </c>
      <c r="O2133" s="19"/>
      <c r="P2133" s="343"/>
      <c r="Q2133" s="343"/>
      <c r="R2133" s="343"/>
      <c r="S2133" s="343"/>
      <c r="T2133" s="343"/>
      <c r="U2133" s="349"/>
      <c r="V2133" s="349"/>
    </row>
    <row r="2134" spans="1:22" s="534" customFormat="1" ht="12.75" customHeight="1" x14ac:dyDescent="0.3">
      <c r="A2134" s="343"/>
      <c r="B2134" s="15"/>
      <c r="C2134" s="17"/>
      <c r="D2134" s="1386"/>
      <c r="E2134" s="514" t="str">
        <f>Translations!$B$1565</f>
        <v>Preliminärt tilldelningsvärde</v>
      </c>
      <c r="F2134" s="514"/>
      <c r="G2134" s="514"/>
      <c r="H2134" s="129" t="str">
        <f>EUconst_EUA</f>
        <v>EUA</v>
      </c>
      <c r="I2134" s="1151"/>
      <c r="J2134" s="1131" t="str">
        <f>IF($M2118&lt;&gt;EUconst_Relevant,"",MAX(0,ROUND((SUM($M2121)*SUM(J2133))*IF($H2121=TRUE,1,J$2517),0)))</f>
        <v/>
      </c>
      <c r="K2134" s="421" t="str">
        <f>IF($M2118&lt;&gt;EUconst_Relevant,"",MAX(0,ROUND((SUM($M2121)*SUM(K2133))*IF($H2121=TRUE,1,K$2517),0)))</f>
        <v/>
      </c>
      <c r="L2134" s="421" t="str">
        <f>IF($M2118&lt;&gt;EUconst_Relevant,"",MAX(0,ROUND((SUM($M2121)*SUM(L2133))*IF($H2121=TRUE,1,L$2517),0)))</f>
        <v/>
      </c>
      <c r="M2134" s="421" t="str">
        <f>IF($M2118&lt;&gt;EUconst_Relevant,"",MAX(0,ROUND((SUM($M2121)*SUM(M2133))*IF($H2121=TRUE,1,M$2517),0)))</f>
        <v/>
      </c>
      <c r="N2134" s="967" t="str">
        <f>IF($M2118&lt;&gt;EUconst_Relevant,"",MAX(0,ROUND((SUM($M2121)*SUM(N2133))*IF($H2121=TRUE,1,N$2517),0)))</f>
        <v/>
      </c>
      <c r="O2134" s="19"/>
      <c r="P2134" s="343"/>
      <c r="Q2134" s="343"/>
      <c r="R2134" s="343"/>
      <c r="S2134" s="343"/>
      <c r="T2134" s="343"/>
      <c r="U2134" s="349"/>
      <c r="V2134" s="349"/>
    </row>
    <row r="2135" spans="1:22" s="534" customFormat="1" ht="5.15" customHeight="1" x14ac:dyDescent="0.3">
      <c r="A2135" s="343"/>
      <c r="B2135" s="15"/>
      <c r="C2135" s="17"/>
      <c r="D2135" s="1386"/>
      <c r="E2135" s="17"/>
      <c r="F2135" s="17"/>
      <c r="G2135" s="17"/>
      <c r="H2135" s="17"/>
      <c r="I2135" s="17"/>
      <c r="J2135" s="17"/>
      <c r="K2135" s="17"/>
      <c r="L2135" s="17"/>
      <c r="M2135" s="17"/>
      <c r="N2135" s="1388"/>
      <c r="O2135" s="19"/>
      <c r="P2135" s="343"/>
      <c r="Q2135" s="343"/>
      <c r="R2135" s="343"/>
      <c r="S2135" s="343"/>
      <c r="T2135" s="343"/>
      <c r="U2135" s="349"/>
      <c r="V2135" s="349"/>
    </row>
    <row r="2136" spans="1:22" s="534" customFormat="1" ht="12.75" customHeight="1" x14ac:dyDescent="0.3">
      <c r="A2136" s="343"/>
      <c r="B2136" s="15"/>
      <c r="C2136" s="17"/>
      <c r="D2136" s="1386"/>
      <c r="E2136" s="42" t="str">
        <f>Translations!$B$1566</f>
        <v>Ändringar: Verksamhetsnivå</v>
      </c>
      <c r="F2136" s="188"/>
      <c r="G2136" s="188"/>
      <c r="H2136" s="30" t="str">
        <f>EUconst_Unit</f>
        <v>Enhet</v>
      </c>
      <c r="I2136" s="1157"/>
      <c r="J2136" s="1065">
        <f>J$2596</f>
        <v>2021</v>
      </c>
      <c r="K2136" s="350">
        <f>K$2596</f>
        <v>2022</v>
      </c>
      <c r="L2136" s="350">
        <f>L$2596</f>
        <v>2023</v>
      </c>
      <c r="M2136" s="350">
        <f>M$2596</f>
        <v>2024</v>
      </c>
      <c r="N2136" s="966">
        <f>N$2596</f>
        <v>2025</v>
      </c>
      <c r="O2136" s="19"/>
      <c r="P2136" s="343"/>
      <c r="Q2136" s="343"/>
      <c r="R2136" s="343"/>
      <c r="S2136" s="343"/>
      <c r="T2136" s="343"/>
      <c r="U2136" s="349"/>
      <c r="V2136" s="349"/>
    </row>
    <row r="2137" spans="1:22" s="534" customFormat="1" ht="12.75" customHeight="1" x14ac:dyDescent="0.3">
      <c r="A2137" s="343"/>
      <c r="B2137" s="15"/>
      <c r="C2137" s="17"/>
      <c r="D2137" s="1386"/>
      <c r="E2137" s="944" t="str">
        <f>Translations!$B$1482</f>
        <v>Genomsnittligt årligt värde</v>
      </c>
      <c r="F2137" s="944"/>
      <c r="G2137" s="944"/>
      <c r="H2137" s="1443" t="str">
        <f>H2133</f>
        <v>TJ</v>
      </c>
      <c r="I2137" s="1367"/>
      <c r="J2137" s="1463" t="str">
        <f>INDEX('G_Fall-back'!J:J,MATCH($P2137,'G_Fall-back'!$Q:$Q,0))</f>
        <v/>
      </c>
      <c r="K2137" s="1464" t="str">
        <f>INDEX('G_Fall-back'!K:K,MATCH($P2137,'G_Fall-back'!$Q:$Q,0))</f>
        <v/>
      </c>
      <c r="L2137" s="1464" t="str">
        <f>INDEX('G_Fall-back'!L:L,MATCH($P2137,'G_Fall-back'!$Q:$Q,0))</f>
        <v/>
      </c>
      <c r="M2137" s="1464" t="str">
        <f>INDEX('G_Fall-back'!M:M,MATCH($P2137,'G_Fall-back'!$Q:$Q,0))</f>
        <v/>
      </c>
      <c r="N2137" s="1465" t="str">
        <f>INDEX('G_Fall-back'!N:N,MATCH($P2137,'G_Fall-back'!$Q:$Q,0))</f>
        <v/>
      </c>
      <c r="O2137" s="19"/>
      <c r="P2137" s="165" t="str">
        <f>EUconst_CNTR_HALinitial&amp;I2118</f>
        <v>HALini_Delanläggning med värmeriktmärke, KL</v>
      </c>
      <c r="Q2137" s="343"/>
      <c r="R2137" s="343"/>
      <c r="S2137" s="343"/>
      <c r="T2137" s="343"/>
      <c r="U2137" s="349"/>
      <c r="V2137" s="349"/>
    </row>
    <row r="2138" spans="1:22" s="534" customFormat="1" ht="12.75" customHeight="1" x14ac:dyDescent="0.3">
      <c r="A2138" s="343"/>
      <c r="B2138" s="15"/>
      <c r="C2138" s="17"/>
      <c r="D2138" s="1386"/>
      <c r="E2138" s="947" t="str">
        <f>Translations!$B$1567</f>
        <v>Ändring jämfört med historik verksamhetsnivå</v>
      </c>
      <c r="F2138" s="947"/>
      <c r="G2138" s="947"/>
      <c r="H2138" s="1442" t="s">
        <v>1112</v>
      </c>
      <c r="I2138" s="1371"/>
      <c r="J2138" s="1415" t="str">
        <f>INDEX('G_Fall-back'!J:J,MATCH($P2138,'G_Fall-back'!$Q:$Q,0))</f>
        <v/>
      </c>
      <c r="K2138" s="1416" t="str">
        <f>INDEX('G_Fall-back'!K:K,MATCH($P2138,'G_Fall-back'!$Q:$Q,0))</f>
        <v/>
      </c>
      <c r="L2138" s="1416" t="str">
        <f>INDEX('G_Fall-back'!L:L,MATCH($P2138,'G_Fall-back'!$Q:$Q,0))</f>
        <v/>
      </c>
      <c r="M2138" s="1416" t="str">
        <f>INDEX('G_Fall-back'!M:M,MATCH($P2138,'G_Fall-back'!$Q:$Q,0))</f>
        <v/>
      </c>
      <c r="N2138" s="1417" t="str">
        <f>INDEX('G_Fall-back'!N:N,MATCH($P2138,'G_Fall-back'!$Q:$Q,0))</f>
        <v/>
      </c>
      <c r="O2138" s="19"/>
      <c r="P2138" s="165" t="str">
        <f>EUconst_CNTR_RelThreshold &amp; I2118</f>
        <v>RelThresh_Delanläggning med värmeriktmärke, KL</v>
      </c>
      <c r="Q2138" s="343"/>
      <c r="R2138" s="343"/>
      <c r="S2138" s="343"/>
      <c r="T2138" s="343"/>
      <c r="U2138" s="349"/>
      <c r="V2138" s="349"/>
    </row>
    <row r="2139" spans="1:22" s="534" customFormat="1" ht="12.75" customHeight="1" x14ac:dyDescent="0.3">
      <c r="A2139" s="343"/>
      <c r="B2139" s="15"/>
      <c r="C2139" s="17"/>
      <c r="D2139" s="1386"/>
      <c r="E2139" s="1418" t="str">
        <f>Translations!$B$1589</f>
        <v>Kriterium 3: Har relativa tröskelvärden överskridits?</v>
      </c>
      <c r="F2139" s="1418"/>
      <c r="G2139" s="1418"/>
      <c r="H2139" s="1444" t="s">
        <v>1112</v>
      </c>
      <c r="I2139" s="1423"/>
      <c r="J2139" s="1420" t="str">
        <f>INDEX('G_Fall-back'!V:V,MATCH($P2139,'G_Fall-back'!$Q:$Q,0)+1)</f>
        <v/>
      </c>
      <c r="K2139" s="1421" t="str">
        <f>INDEX('G_Fall-back'!W:W,MATCH($P2139,'G_Fall-back'!$Q:$Q,0)+1)</f>
        <v/>
      </c>
      <c r="L2139" s="1421" t="str">
        <f>INDEX('G_Fall-back'!X:X,MATCH($P2139,'G_Fall-back'!$Q:$Q,0)+1)</f>
        <v/>
      </c>
      <c r="M2139" s="1421" t="str">
        <f>INDEX('G_Fall-back'!Y:Y,MATCH($P2139,'G_Fall-back'!$Q:$Q,0)+1)</f>
        <v/>
      </c>
      <c r="N2139" s="1422" t="str">
        <f>INDEX('G_Fall-back'!Z:Z,MATCH($P2139,'G_Fall-back'!$Q:$Q,0)+1)</f>
        <v/>
      </c>
      <c r="O2139" s="19"/>
      <c r="P2139" s="165" t="str">
        <f>P2138</f>
        <v>RelThresh_Delanläggning med värmeriktmärke, KL</v>
      </c>
      <c r="Q2139" s="343"/>
      <c r="R2139" s="343"/>
      <c r="S2139" s="343"/>
      <c r="T2139" s="343"/>
      <c r="U2139" s="349"/>
      <c r="V2139" s="349"/>
    </row>
    <row r="2140" spans="1:22" s="534" customFormat="1" ht="12.75" customHeight="1" x14ac:dyDescent="0.3">
      <c r="A2140" s="343" t="str">
        <f>IF(P2140="","ausblenden","")</f>
        <v/>
      </c>
      <c r="B2140" s="15"/>
      <c r="C2140" s="17"/>
      <c r="D2140" s="1386"/>
      <c r="E2140" s="950" t="str">
        <f>Translations!$B$1568</f>
        <v>Preliminärt värde</v>
      </c>
      <c r="F2140" s="950"/>
      <c r="G2140" s="950"/>
      <c r="H2140" s="1372" t="str">
        <f>F2124</f>
        <v>TJ</v>
      </c>
      <c r="I2140" s="950"/>
      <c r="J2140" s="1401" t="str">
        <f>INDEX('G_Fall-back'!J:J,MATCH($P2140,'G_Fall-back'!$Q:$Q,0))</f>
        <v/>
      </c>
      <c r="K2140" s="1402" t="str">
        <f>INDEX('G_Fall-back'!K:K,MATCH($P2140,'G_Fall-back'!$Q:$Q,0))</f>
        <v/>
      </c>
      <c r="L2140" s="1402" t="str">
        <f>INDEX('G_Fall-back'!L:L,MATCH($P2140,'G_Fall-back'!$Q:$Q,0))</f>
        <v/>
      </c>
      <c r="M2140" s="1402" t="str">
        <f>INDEX('G_Fall-back'!M:M,MATCH($P2140,'G_Fall-back'!$Q:$Q,0))</f>
        <v/>
      </c>
      <c r="N2140" s="1403" t="str">
        <f>INDEX('G_Fall-back'!N:N,MATCH($P2140,'G_Fall-back'!$Q:$Q,0))</f>
        <v/>
      </c>
      <c r="O2140" s="19"/>
      <c r="P2140" s="165" t="str">
        <f>EUconst_CNTR_HALprelim&amp;I2118</f>
        <v>HALprelim_Delanläggning med värmeriktmärke, KL</v>
      </c>
      <c r="Q2140" s="343"/>
      <c r="R2140" s="343"/>
      <c r="S2140" s="343"/>
      <c r="T2140" s="343"/>
      <c r="U2140" s="349"/>
      <c r="V2140" s="349"/>
    </row>
    <row r="2141" spans="1:22" s="534" customFormat="1" ht="12.75" customHeight="1" x14ac:dyDescent="0.3">
      <c r="A2141" s="343"/>
      <c r="B2141" s="15"/>
      <c r="C2141" s="17"/>
      <c r="D2141" s="1386"/>
      <c r="E2141" s="514" t="str">
        <f>Translations!$B$1565</f>
        <v>Preliminärt tilldelningsvärde</v>
      </c>
      <c r="F2141" s="514"/>
      <c r="G2141" s="514"/>
      <c r="H2141" s="129" t="str">
        <f>EUconst_EUA</f>
        <v>EUA</v>
      </c>
      <c r="I2141" s="1151"/>
      <c r="J2141" s="1131" t="str">
        <f>IF($M2118&lt;&gt;EUconst_Relevant,"",MAX(0,ROUND((SUM($M2121)*SUM(J2140))*IF($H2121=TRUE,1,J$2517),0)))</f>
        <v/>
      </c>
      <c r="K2141" s="421" t="str">
        <f>IF($M2118&lt;&gt;EUconst_Relevant,"",MAX(0,ROUND((SUM($M2121)*SUM(K2140))*IF($H2121=TRUE,1,K$2517),0)))</f>
        <v/>
      </c>
      <c r="L2141" s="421" t="str">
        <f>IF($M2118&lt;&gt;EUconst_Relevant,"",MAX(0,ROUND((SUM($M2121)*SUM(L2140))*IF($H2121=TRUE,1,L$2517),0)))</f>
        <v/>
      </c>
      <c r="M2141" s="421" t="str">
        <f>IF($M2118&lt;&gt;EUconst_Relevant,"",MAX(0,ROUND((SUM($M2121)*SUM(M2140))*IF($H2121=TRUE,1,M$2517),0)))</f>
        <v/>
      </c>
      <c r="N2141" s="967" t="str">
        <f>IF($M2118&lt;&gt;EUconst_Relevant,"",MAX(0,ROUND((SUM($M2121)*SUM(N2140))*IF($H2121=TRUE,1,N$2517),0)))</f>
        <v/>
      </c>
      <c r="O2141" s="19"/>
      <c r="P2141" s="343"/>
      <c r="Q2141" s="343"/>
      <c r="R2141" s="343"/>
      <c r="S2141" s="343"/>
      <c r="T2141" s="343"/>
      <c r="U2141" s="349"/>
      <c r="V2141" s="349"/>
    </row>
    <row r="2142" spans="1:22" s="534" customFormat="1" ht="12.75" customHeight="1" x14ac:dyDescent="0.3">
      <c r="A2142" s="343"/>
      <c r="B2142" s="15"/>
      <c r="C2142" s="17"/>
      <c r="D2142" s="1386"/>
      <c r="E2142" s="514" t="str">
        <f>Translations!$B$1569</f>
        <v>Skillnad i tilldelning</v>
      </c>
      <c r="F2142" s="514"/>
      <c r="G2142" s="514"/>
      <c r="H2142" s="129" t="str">
        <f>EUconst_EUA</f>
        <v>EUA</v>
      </c>
      <c r="I2142" s="1151"/>
      <c r="J2142" s="1131" t="str">
        <f>IF($M2118&lt;&gt;EUconst_Relevant,"",ABS(SUM(J2141)-SUM(J2134)))</f>
        <v/>
      </c>
      <c r="K2142" s="421" t="str">
        <f>IF($M2118&lt;&gt;EUconst_Relevant,"",ABS(SUM(K2141)-SUM(K2134)))</f>
        <v/>
      </c>
      <c r="L2142" s="421" t="str">
        <f>IF($M2118&lt;&gt;EUconst_Relevant,"",ABS(SUM(L2141)-SUM(L2134)))</f>
        <v/>
      </c>
      <c r="M2142" s="421" t="str">
        <f>IF($M2118&lt;&gt;EUconst_Relevant,"",ABS(SUM(M2141)-SUM(M2134)))</f>
        <v/>
      </c>
      <c r="N2142" s="967" t="str">
        <f>IF($M2118&lt;&gt;EUconst_Relevant,"",ABS(SUM(N2141)-SUM(N2134)))</f>
        <v/>
      </c>
      <c r="O2142" s="19"/>
      <c r="P2142" s="343"/>
      <c r="Q2142" s="343"/>
      <c r="R2142" s="343"/>
      <c r="S2142" s="343"/>
      <c r="T2142" s="343"/>
      <c r="U2142" s="349"/>
      <c r="V2142" s="349"/>
    </row>
    <row r="2143" spans="1:22" s="534" customFormat="1" ht="12.75" customHeight="1" x14ac:dyDescent="0.3">
      <c r="A2143" s="343"/>
      <c r="B2143" s="15"/>
      <c r="C2143" s="17"/>
      <c r="D2143" s="1386"/>
      <c r="E2143" s="1419" t="str">
        <f>Translations!$B$1590</f>
        <v>Kriterium 4: Är skillnaden minst 100 utsläppsrätter?</v>
      </c>
      <c r="F2143" s="1419"/>
      <c r="G2143" s="1419"/>
      <c r="H2143" s="1424" t="s">
        <v>1112</v>
      </c>
      <c r="I2143" s="1425"/>
      <c r="J2143" s="1426" t="str">
        <f>IF($M2118&lt;&gt;EUconst_Relevant,"",J2142&gt;=100)</f>
        <v/>
      </c>
      <c r="K2143" s="1427" t="str">
        <f>IF($M2118&lt;&gt;EUconst_Relevant,"",K2142&gt;=100)</f>
        <v/>
      </c>
      <c r="L2143" s="1427" t="str">
        <f>IF($M2118&lt;&gt;EUconst_Relevant,"",L2142&gt;=100)</f>
        <v/>
      </c>
      <c r="M2143" s="1427" t="str">
        <f>IF($M2118&lt;&gt;EUconst_Relevant,"",M2142&gt;=100)</f>
        <v/>
      </c>
      <c r="N2143" s="1428" t="str">
        <f>IF($M2118&lt;&gt;EUconst_Relevant,"",N2142&gt;=100)</f>
        <v/>
      </c>
      <c r="O2143" s="19"/>
      <c r="P2143" s="165" t="str">
        <f>EUconst_CNTR_100EUA_ActivityLevel&amp;I2118</f>
        <v>EUA100AL_Delanläggning med värmeriktmärke, KL</v>
      </c>
      <c r="Q2143" s="343"/>
      <c r="R2143" s="343"/>
      <c r="S2143" s="343"/>
      <c r="T2143" s="343"/>
      <c r="U2143" s="349"/>
      <c r="V2143" s="349"/>
    </row>
    <row r="2144" spans="1:22" s="534" customFormat="1" ht="5.15" customHeight="1" x14ac:dyDescent="0.3">
      <c r="A2144" s="343"/>
      <c r="B2144" s="15"/>
      <c r="C2144" s="17"/>
      <c r="D2144" s="1386"/>
      <c r="E2144" s="15"/>
      <c r="F2144" s="15"/>
      <c r="G2144" s="15"/>
      <c r="H2144" s="15"/>
      <c r="I2144" s="941"/>
      <c r="J2144" s="15"/>
      <c r="K2144" s="15"/>
      <c r="L2144" s="15"/>
      <c r="M2144" s="15"/>
      <c r="N2144" s="968"/>
      <c r="O2144" s="19"/>
      <c r="P2144" s="343"/>
      <c r="Q2144" s="343"/>
      <c r="R2144" s="343"/>
      <c r="S2144" s="343"/>
      <c r="T2144" s="343"/>
      <c r="U2144" s="349"/>
      <c r="V2144" s="349"/>
    </row>
    <row r="2145" spans="1:22" s="534" customFormat="1" ht="13" x14ac:dyDescent="0.25">
      <c r="A2145" s="343"/>
      <c r="B2145" s="15"/>
      <c r="C2145" s="15"/>
      <c r="D2145" s="965"/>
      <c r="E2145" s="42" t="str">
        <f>Translations!$B$1591</f>
        <v>Ändringar: Effektivitet</v>
      </c>
      <c r="F2145" s="188"/>
      <c r="G2145" s="188"/>
      <c r="H2145" s="30"/>
      <c r="I2145" s="1157"/>
      <c r="J2145" s="987">
        <f>J$2596</f>
        <v>2021</v>
      </c>
      <c r="K2145" s="320">
        <f>K$2596</f>
        <v>2022</v>
      </c>
      <c r="L2145" s="320">
        <f>L$2596</f>
        <v>2023</v>
      </c>
      <c r="M2145" s="320">
        <f>M$2596</f>
        <v>2024</v>
      </c>
      <c r="N2145" s="1387">
        <f>N$2596</f>
        <v>2025</v>
      </c>
      <c r="O2145" s="19"/>
      <c r="P2145" s="343"/>
      <c r="Q2145" s="343"/>
      <c r="R2145" s="343"/>
      <c r="S2145" s="343"/>
      <c r="T2145" s="7"/>
      <c r="U2145" s="349"/>
      <c r="V2145" s="349"/>
    </row>
    <row r="2146" spans="1:22" s="534" customFormat="1" x14ac:dyDescent="0.25">
      <c r="A2146" s="343"/>
      <c r="B2146" s="15"/>
      <c r="C2146" s="15"/>
      <c r="D2146" s="965"/>
      <c r="E2146" s="944" t="str">
        <f>Translations!$B$1482</f>
        <v>Genomsnittligt årligt värde</v>
      </c>
      <c r="F2146" s="944"/>
      <c r="G2146" s="944"/>
      <c r="H2146" s="944"/>
      <c r="I2146" s="1486"/>
      <c r="J2146" s="1368" t="str">
        <f>IF($M2118&lt;&gt;EUconst_Relevant,"",INDEX('G_Fall-back'!J:J,MATCH($P2146,'G_Fall-back'!$Q:$Q,0)))</f>
        <v/>
      </c>
      <c r="K2146" s="1369" t="str">
        <f>IF($M2118&lt;&gt;EUconst_Relevant,"",INDEX('G_Fall-back'!K:K,MATCH($P2146,'G_Fall-back'!$Q:$Q,0)))</f>
        <v/>
      </c>
      <c r="L2146" s="1369" t="str">
        <f>IF($M2118&lt;&gt;EUconst_Relevant,"",INDEX('G_Fall-back'!L:L,MATCH($P2146,'G_Fall-back'!$Q:$Q,0)))</f>
        <v/>
      </c>
      <c r="M2146" s="1369" t="str">
        <f>IF($M2118&lt;&gt;EUconst_Relevant,"",INDEX('G_Fall-back'!M:M,MATCH($P2146,'G_Fall-back'!$Q:$Q,0)))</f>
        <v/>
      </c>
      <c r="N2146" s="1394" t="str">
        <f>IF($M2118&lt;&gt;EUconst_Relevant,"",INDEX('G_Fall-back'!N:N,MATCH($P2146,'G_Fall-back'!$Q:$Q,0)))</f>
        <v/>
      </c>
      <c r="O2146" s="19"/>
      <c r="P2146" s="165" t="str">
        <f>EUconst_CNTR_EnEffInitial&amp;I2118</f>
        <v>EnEffIni_Delanläggning med värmeriktmärke, KL</v>
      </c>
      <c r="Q2146" s="343"/>
      <c r="R2146" s="343"/>
      <c r="S2146" s="343"/>
      <c r="T2146" s="7"/>
      <c r="U2146" s="349"/>
      <c r="V2146" s="349"/>
    </row>
    <row r="2147" spans="1:22" s="534" customFormat="1" ht="13" thickBot="1" x14ac:dyDescent="0.3">
      <c r="A2147" s="343"/>
      <c r="B2147" s="15"/>
      <c r="C2147" s="15"/>
      <c r="D2147" s="965"/>
      <c r="E2147" s="950" t="str">
        <f>Translations!$B$1567</f>
        <v>Ändring jämfört med historik verksamhetsnivå</v>
      </c>
      <c r="F2147" s="950"/>
      <c r="G2147" s="950"/>
      <c r="H2147" s="950"/>
      <c r="I2147" s="1487"/>
      <c r="J2147" s="1488" t="str">
        <f>IF($M2118&lt;&gt;EUconst_Relevant,"",INDEX('G_Fall-back'!J:J,MATCH($P2147,'G_Fall-back'!$Q:$Q,0)))</f>
        <v/>
      </c>
      <c r="K2147" s="1489" t="str">
        <f>IF($M2118&lt;&gt;EUconst_Relevant,"",INDEX('G_Fall-back'!K:K,MATCH($P2147,'G_Fall-back'!$Q:$Q,0)))</f>
        <v/>
      </c>
      <c r="L2147" s="1489" t="str">
        <f>IF($M2118&lt;&gt;EUconst_Relevant,"",INDEX('G_Fall-back'!L:L,MATCH($P2147,'G_Fall-back'!$Q:$Q,0)))</f>
        <v/>
      </c>
      <c r="M2147" s="1489" t="str">
        <f>IF($M2118&lt;&gt;EUconst_Relevant,"",INDEX('G_Fall-back'!M:M,MATCH($P2147,'G_Fall-back'!$Q:$Q,0)))</f>
        <v/>
      </c>
      <c r="N2147" s="1490" t="str">
        <f>IF($M2118&lt;&gt;EUconst_Relevant,"",INDEX('G_Fall-back'!N:N,MATCH($P2147,'G_Fall-back'!$Q:$Q,0)))</f>
        <v/>
      </c>
      <c r="O2147" s="19"/>
      <c r="P2147" s="1485" t="str">
        <f>EUconst_CNTR_EnEffPct&amp;I2118</f>
        <v>EnEffPct_Delanläggning med värmeriktmärke, KL</v>
      </c>
      <c r="Q2147" s="343"/>
      <c r="R2147" s="343"/>
      <c r="S2147" s="343"/>
      <c r="T2147" s="7"/>
      <c r="U2147" s="349"/>
      <c r="V2147" s="349"/>
    </row>
    <row r="2148" spans="1:22" s="534" customFormat="1" ht="13" x14ac:dyDescent="0.25">
      <c r="A2148" s="343"/>
      <c r="B2148" s="15"/>
      <c r="C2148" s="15"/>
      <c r="D2148" s="965"/>
      <c r="E2148" s="1467" t="str">
        <f>Translations!$B$1557</f>
        <v>Kriterium 5: Kan behörig myndighet besluta?</v>
      </c>
      <c r="F2148" s="1467"/>
      <c r="G2148" s="1467"/>
      <c r="H2148" s="1481" t="s">
        <v>1112</v>
      </c>
      <c r="I2148" s="1468"/>
      <c r="J2148" s="1469" t="str">
        <f>IF($M2118&lt;&gt;EUconst_Relevant,"",INDEX('G_Fall-back'!J:J,MATCH($P2148,'G_Fall-back'!$Q:$Q,0)))</f>
        <v/>
      </c>
      <c r="K2148" s="1470" t="str">
        <f>IF($M2118&lt;&gt;EUconst_Relevant,"",INDEX('G_Fall-back'!K:K,MATCH($P2148,'G_Fall-back'!$Q:$Q,0)))</f>
        <v/>
      </c>
      <c r="L2148" s="1470" t="str">
        <f>IF($M2118&lt;&gt;EUconst_Relevant,"",INDEX('G_Fall-back'!L:L,MATCH($P2148,'G_Fall-back'!$Q:$Q,0)))</f>
        <v/>
      </c>
      <c r="M2148" s="1470" t="str">
        <f>IF($M2118&lt;&gt;EUconst_Relevant,"",INDEX('G_Fall-back'!M:M,MATCH($P2148,'G_Fall-back'!$Q:$Q,0)))</f>
        <v/>
      </c>
      <c r="N2148" s="1471" t="str">
        <f>IF($M2118&lt;&gt;EUconst_Relevant,"",INDEX('G_Fall-back'!N:N,MATCH($P2148,'G_Fall-back'!$Q:$Q,0)))</f>
        <v/>
      </c>
      <c r="O2148" s="19"/>
      <c r="P2148" s="165" t="str">
        <f>EUconst_CNTR_CARejectionRelevant&amp;I2118</f>
        <v>CARejectRel_Delanläggning med värmeriktmärke, KL</v>
      </c>
      <c r="Q2148" s="343"/>
      <c r="R2148" s="1635">
        <f>J$2596</f>
        <v>2021</v>
      </c>
      <c r="S2148" s="1636">
        <f>K$2596</f>
        <v>2022</v>
      </c>
      <c r="T2148" s="1636">
        <f>L$2596</f>
        <v>2023</v>
      </c>
      <c r="U2148" s="1636">
        <f>M$2596</f>
        <v>2024</v>
      </c>
      <c r="V2148" s="1637">
        <f>N$2596</f>
        <v>2025</v>
      </c>
    </row>
    <row r="2149" spans="1:22" s="534" customFormat="1" ht="13.5" thickBot="1" x14ac:dyDescent="0.3">
      <c r="A2149" s="343"/>
      <c r="B2149" s="15"/>
      <c r="C2149" s="15"/>
      <c r="D2149" s="965"/>
      <c r="E2149" s="1472" t="str">
        <f>Translations!$B$1559</f>
        <v>Kriterium 6: Ej avslag från behörig myndighet?</v>
      </c>
      <c r="F2149" s="1472"/>
      <c r="G2149" s="1472"/>
      <c r="H2149" s="1482" t="s">
        <v>1112</v>
      </c>
      <c r="I2149" s="1473"/>
      <c r="J2149" s="1474" t="str">
        <f>IF($M2118&lt;&gt;EUconst_Relevant,"",IF(R2149=0,EUconst_ERR_CADecision,R2149))</f>
        <v/>
      </c>
      <c r="K2149" s="1475" t="str">
        <f>IF($M2118&lt;&gt;EUconst_Relevant,"",IF(S2149=0,EUconst_ERR_CADecision,S2149))</f>
        <v/>
      </c>
      <c r="L2149" s="1475" t="str">
        <f>IF($M2118&lt;&gt;EUconst_Relevant,"",IF(T2149=0,EUconst_ERR_CADecision,T2149))</f>
        <v/>
      </c>
      <c r="M2149" s="1475" t="str">
        <f>IF($M2118&lt;&gt;EUconst_Relevant,"",IF(U2149=0,EUconst_ERR_CADecision,U2149))</f>
        <v/>
      </c>
      <c r="N2149" s="1476" t="str">
        <f>IF($M2118&lt;&gt;EUconst_Relevant,"",IF(V2149=0,EUconst_ERR_CADecision,V2149))</f>
        <v/>
      </c>
      <c r="O2149" s="19"/>
      <c r="P2149" s="165" t="str">
        <f>EUconst_CNTR_CARejection &amp; I2118</f>
        <v>CAReject_Delanläggning med värmeriktmärke, KL</v>
      </c>
      <c r="Q2149" s="343"/>
      <c r="R2149" s="1329" t="str">
        <f>IF(J2148=TRUE,INDEX('G_Fall-back'!J:J,MATCH($P2149,'G_Fall-back'!$Q:$Q,0)),EUconst_NA)</f>
        <v>Ej tillämpligt</v>
      </c>
      <c r="S2149" s="1330" t="str">
        <f>IF(K2148=TRUE,INDEX('G_Fall-back'!K:K,MATCH($P2149,'G_Fall-back'!$Q:$Q,0)),EUconst_NA)</f>
        <v>Ej tillämpligt</v>
      </c>
      <c r="T2149" s="1330" t="str">
        <f>IF(L2148=TRUE,INDEX('G_Fall-back'!L:L,MATCH($P2149,'G_Fall-back'!$Q:$Q,0)),EUconst_NA)</f>
        <v>Ej tillämpligt</v>
      </c>
      <c r="U2149" s="1330" t="str">
        <f>IF(M2148=TRUE,INDEX('G_Fall-back'!M:M,MATCH($P2149,'G_Fall-back'!$Q:$Q,0)),EUconst_NA)</f>
        <v>Ej tillämpligt</v>
      </c>
      <c r="V2149" s="1331" t="str">
        <f>IF(N2148=TRUE,INDEX('G_Fall-back'!N:N,MATCH($P2149,'G_Fall-back'!$Q:$Q,0)),EUconst_NA)</f>
        <v>Ej tillämpligt</v>
      </c>
    </row>
    <row r="2150" spans="1:22" s="534" customFormat="1" ht="13" x14ac:dyDescent="0.25">
      <c r="A2150" s="343"/>
      <c r="B2150" s="15"/>
      <c r="C2150" s="15"/>
      <c r="D2150" s="965"/>
      <c r="E2150" s="514" t="str">
        <f>Translations!$B$1592</f>
        <v>Faktisk justering av verksamhetsnivån</v>
      </c>
      <c r="F2150" s="514"/>
      <c r="G2150" s="514"/>
      <c r="H2150" s="1168" t="s">
        <v>1112</v>
      </c>
      <c r="I2150" s="1480"/>
      <c r="J2150" s="1169" t="str">
        <f>INDEX('G_Fall-back'!J:J,MATCH($P2150,'G_Fall-back'!$Q:$Q,0))</f>
        <v/>
      </c>
      <c r="K2150" s="1170" t="str">
        <f>INDEX('G_Fall-back'!K:K,MATCH($P2150,'G_Fall-back'!$Q:$Q,0))</f>
        <v/>
      </c>
      <c r="L2150" s="1170" t="str">
        <f>INDEX('G_Fall-back'!L:L,MATCH($P2150,'G_Fall-back'!$Q:$Q,0))</f>
        <v/>
      </c>
      <c r="M2150" s="1170" t="str">
        <f>INDEX('G_Fall-back'!M:M,MATCH($P2150,'G_Fall-back'!$Q:$Q,0))</f>
        <v/>
      </c>
      <c r="N2150" s="1171" t="str">
        <f>INDEX('G_Fall-back'!N:N,MATCH($P2150,'G_Fall-back'!$Q:$Q,0))</f>
        <v/>
      </c>
      <c r="O2150" s="19"/>
      <c r="P2150" s="165" t="str">
        <f>EUconst_CNTR_HALAdjPct&amp;I2118</f>
        <v>HALAdjPct_Delanläggning med värmeriktmärke, KL</v>
      </c>
      <c r="Q2150" s="343"/>
      <c r="R2150" s="343"/>
      <c r="S2150" s="343"/>
      <c r="T2150" s="7"/>
      <c r="U2150" s="349"/>
      <c r="V2150" s="349"/>
    </row>
    <row r="2151" spans="1:22" s="534" customFormat="1" ht="5.15" customHeight="1" thickBot="1" x14ac:dyDescent="0.3">
      <c r="A2151" s="343"/>
      <c r="B2151" s="15"/>
      <c r="C2151" s="15"/>
      <c r="D2151" s="972"/>
      <c r="E2151" s="973"/>
      <c r="F2151" s="973"/>
      <c r="G2151" s="973"/>
      <c r="H2151" s="973"/>
      <c r="I2151" s="1483"/>
      <c r="J2151" s="973"/>
      <c r="K2151" s="973"/>
      <c r="L2151" s="973"/>
      <c r="M2151" s="973"/>
      <c r="N2151" s="974"/>
      <c r="O2151" s="19"/>
      <c r="P2151" s="343"/>
      <c r="Q2151" s="343"/>
      <c r="R2151" s="343"/>
      <c r="S2151" s="343"/>
      <c r="T2151" s="7"/>
      <c r="U2151" s="349"/>
      <c r="V2151" s="349"/>
    </row>
    <row r="2152" spans="1:22" s="534" customFormat="1" ht="5.15" customHeight="1" thickBot="1" x14ac:dyDescent="0.3">
      <c r="A2152" s="343"/>
      <c r="B2152" s="15"/>
      <c r="C2152" s="15"/>
      <c r="D2152" s="15"/>
      <c r="E2152" s="15"/>
      <c r="F2152" s="15"/>
      <c r="G2152" s="15"/>
      <c r="H2152" s="15"/>
      <c r="I2152" s="942"/>
      <c r="J2152" s="15"/>
      <c r="K2152" s="15"/>
      <c r="L2152" s="15"/>
      <c r="M2152" s="15"/>
      <c r="N2152" s="15"/>
      <c r="O2152" s="19"/>
      <c r="P2152" s="343"/>
      <c r="Q2152" s="343"/>
      <c r="R2152" s="343"/>
      <c r="S2152" s="343"/>
      <c r="T2152" s="7"/>
      <c r="U2152" s="349"/>
      <c r="V2152" s="349"/>
    </row>
    <row r="2153" spans="1:22" s="534" customFormat="1" ht="5.15" customHeight="1" x14ac:dyDescent="0.25">
      <c r="A2153" s="343"/>
      <c r="B2153" s="15"/>
      <c r="C2153" s="15"/>
      <c r="D2153" s="961"/>
      <c r="E2153" s="962"/>
      <c r="F2153" s="962"/>
      <c r="G2153" s="962"/>
      <c r="H2153" s="962"/>
      <c r="I2153" s="963"/>
      <c r="J2153" s="962"/>
      <c r="K2153" s="962"/>
      <c r="L2153" s="962"/>
      <c r="M2153" s="962"/>
      <c r="N2153" s="964"/>
      <c r="O2153" s="19"/>
      <c r="P2153" s="343"/>
      <c r="Q2153" s="343"/>
      <c r="R2153" s="343"/>
      <c r="S2153" s="343"/>
      <c r="T2153" s="7"/>
      <c r="U2153" s="349"/>
      <c r="V2153" s="349"/>
    </row>
    <row r="2154" spans="1:22" s="534" customFormat="1" ht="13" x14ac:dyDescent="0.25">
      <c r="A2154" s="343"/>
      <c r="B2154" s="15"/>
      <c r="C2154" s="15"/>
      <c r="D2154" s="965"/>
      <c r="E2154" s="39" t="str">
        <f>Translations!$B$1586</f>
        <v>Faktiska använda värden</v>
      </c>
      <c r="F2154" s="15"/>
      <c r="G2154" s="15"/>
      <c r="H2154" s="30" t="str">
        <f>EUconst_Unit</f>
        <v>Enhet</v>
      </c>
      <c r="I2154" s="1613" t="str">
        <f>Translations!$B$1510</f>
        <v>Basvärde</v>
      </c>
      <c r="J2154" s="1065">
        <f>J$2596</f>
        <v>2021</v>
      </c>
      <c r="K2154" s="350">
        <f>K$2596</f>
        <v>2022</v>
      </c>
      <c r="L2154" s="350">
        <f>L$2596</f>
        <v>2023</v>
      </c>
      <c r="M2154" s="350">
        <f>M$2596</f>
        <v>2024</v>
      </c>
      <c r="N2154" s="966">
        <f>N$2596</f>
        <v>2025</v>
      </c>
      <c r="O2154" s="19"/>
      <c r="P2154" s="343"/>
      <c r="Q2154" s="343"/>
      <c r="R2154" s="343"/>
      <c r="S2154" s="297" t="s">
        <v>1846</v>
      </c>
      <c r="T2154" s="7"/>
      <c r="U2154" s="349"/>
      <c r="V2154" s="349"/>
    </row>
    <row r="2155" spans="1:22" s="534" customFormat="1" x14ac:dyDescent="0.25">
      <c r="A2155" s="343"/>
      <c r="B2155" s="15"/>
      <c r="C2155" s="15"/>
      <c r="D2155" s="965"/>
      <c r="E2155" s="514" t="str">
        <f>Translations!$B$1593</f>
        <v>Använd verksamhetsnivå</v>
      </c>
      <c r="F2155" s="514"/>
      <c r="G2155" s="514"/>
      <c r="H2155" s="917" t="str">
        <f>F2124</f>
        <v>TJ</v>
      </c>
      <c r="I2155" s="1411" t="str">
        <f>IF($M2118&lt;&gt;EUconst_Relevant,"",IF(T2156&gt;=$H$2595,0,S2155))</f>
        <v/>
      </c>
      <c r="J2155" s="1408" t="str">
        <f>INDEX('G_Fall-back'!J:J,MATCH($P2155,'G_Fall-back'!$Q:$Q,0))</f>
        <v/>
      </c>
      <c r="K2155" s="1410" t="str">
        <f>INDEX('G_Fall-back'!K:K,MATCH($P2155,'G_Fall-back'!$Q:$Q,0))</f>
        <v/>
      </c>
      <c r="L2155" s="1410" t="str">
        <f>INDEX('G_Fall-back'!L:L,MATCH($P2155,'G_Fall-back'!$Q:$Q,0))</f>
        <v/>
      </c>
      <c r="M2155" s="1410" t="str">
        <f>INDEX('G_Fall-back'!M:M,MATCH($P2155,'G_Fall-back'!$Q:$Q,0))</f>
        <v/>
      </c>
      <c r="N2155" s="1412" t="str">
        <f>INDEX('G_Fall-back'!N:N,MATCH($P2155,'G_Fall-back'!$Q:$Q,0))</f>
        <v/>
      </c>
      <c r="O2155" s="19"/>
      <c r="P2155" s="165" t="str">
        <f>EUconst_CNTR_HALfinal&amp;I2118</f>
        <v>HALfinal_Delanläggning med värmeriktmärke, KL</v>
      </c>
      <c r="Q2155" s="343"/>
      <c r="R2155" s="343"/>
      <c r="S2155" s="1696" t="str">
        <f>IF($M2118&lt;&gt;EUconst_Relevant,"",SUMIF('G_Fall-back'!$Q:$Q,$P2155,'G_Fall-back'!I:I))</f>
        <v/>
      </c>
      <c r="T2155" s="7"/>
      <c r="U2155" s="349"/>
      <c r="V2155" s="355" t="e">
        <f ca="1">AND(COUNTIF(OFFSET(I2149,,,,MAX(1,CNTR_ReportingYear-$I$2596)),TRUE)&gt;0,
INDEX(J2149:N2149,MAX(1,CNTR_ReportingYear-$I$2596)))</f>
        <v>#REF!</v>
      </c>
    </row>
    <row r="2156" spans="1:22" s="534" customFormat="1" x14ac:dyDescent="0.25">
      <c r="A2156" s="343"/>
      <c r="B2156" s="15"/>
      <c r="C2156" s="15"/>
      <c r="D2156" s="965"/>
      <c r="E2156" s="514" t="str">
        <f>Translations!$B$956</f>
        <v>Preliminär tilldelning</v>
      </c>
      <c r="F2156" s="514"/>
      <c r="G2156" s="514"/>
      <c r="H2156" s="129" t="str">
        <f>EUconst_EUA</f>
        <v>EUA</v>
      </c>
      <c r="I2156" s="1634" t="str">
        <f>IF($M2118&lt;&gt;EUconst_Relevant,"",MAX(0,ROUND((SUM($M2121)*SUM(I2155))*IF($H2121=TRUE,1,J$2517),0)))</f>
        <v/>
      </c>
      <c r="J2156" s="1131" t="str">
        <f>IF($M2118&lt;&gt;EUconst_Relevant,"",MAX(0,ROUND((SUM($M2121)*SUM(J2155))*IF($H2121=TRUE,1,J$2517),0)))</f>
        <v/>
      </c>
      <c r="K2156" s="421" t="str">
        <f>IF($M2118&lt;&gt;EUconst_Relevant,"",MAX(0,ROUND((SUM($M2121)*SUM(K2155))*IF($H2121=TRUE,1,K$2517),0)))</f>
        <v/>
      </c>
      <c r="L2156" s="421" t="str">
        <f>IF($M2118&lt;&gt;EUconst_Relevant,"",MAX(0,ROUND((SUM($M2121)*SUM(L2155))*IF($H2121=TRUE,1,L$2517),0)))</f>
        <v/>
      </c>
      <c r="M2156" s="421" t="str">
        <f>IF($M2118&lt;&gt;EUconst_Relevant,"",MAX(0,ROUND((SUM($M2121)*SUM(M2155))*IF($H2121=TRUE,1,M$2517),0)))</f>
        <v/>
      </c>
      <c r="N2156" s="967" t="str">
        <f>IF($M2118&lt;&gt;EUconst_Relevant,"",MAX(0,ROUND((SUM($M2121)*SUM(N2155))*IF($H2121=TRUE,1,N$2517),0)))</f>
        <v/>
      </c>
      <c r="O2156" s="19"/>
      <c r="P2156" s="165" t="str">
        <f>EUconst_AllocPrelim&amp;I2118</f>
        <v>AllocPrelim_Delanläggning med värmeriktmärke, KL</v>
      </c>
      <c r="Q2156" s="343"/>
      <c r="R2156" s="343"/>
      <c r="S2156" s="343"/>
      <c r="T2156" s="663">
        <f>INDEX('G_Fall-back'!V:V,MATCH(L2121,'G_Fall-back'!C:C,0))</f>
        <v>2005</v>
      </c>
      <c r="U2156" s="603" t="e">
        <f>OR(INDEX(I2156:N2156,CNTR_ReportingYear-$I$2596)&lt;&gt;INDEX(I2156:N2156,CNTR_ReportingYear-$H$2596),
(CNTR_ReportingYear-T2156)&lt;=1)</f>
        <v>#REF!</v>
      </c>
      <c r="V2156" s="355" t="b">
        <f ca="1">IF(I2156="",FALSE,COUNTIF(OFFSET(I2156,,,,MAX(1,CNTR_ReportingYear-$I$2596)),"&lt;&gt;" &amp; INDEX(I2156:N2156,CNTR_ReportingYear-$H$2596))&gt;0)</f>
        <v>0</v>
      </c>
    </row>
    <row r="2157" spans="1:22" s="534" customFormat="1" ht="5.15" customHeight="1" thickBot="1" x14ac:dyDescent="0.3">
      <c r="A2157" s="343"/>
      <c r="B2157" s="15"/>
      <c r="C2157" s="15"/>
      <c r="D2157" s="972"/>
      <c r="E2157" s="973"/>
      <c r="F2157" s="973"/>
      <c r="G2157" s="973"/>
      <c r="H2157" s="973"/>
      <c r="I2157" s="973"/>
      <c r="J2157" s="973"/>
      <c r="K2157" s="973"/>
      <c r="L2157" s="973"/>
      <c r="M2157" s="973"/>
      <c r="N2157" s="974"/>
      <c r="O2157" s="19"/>
      <c r="P2157" s="343"/>
      <c r="Q2157" s="343"/>
      <c r="R2157" s="343"/>
      <c r="S2157" s="343"/>
      <c r="T2157" s="7"/>
      <c r="U2157" s="349"/>
      <c r="V2157" s="349"/>
    </row>
    <row r="2158" spans="1:22" s="534" customFormat="1" ht="5.15" customHeight="1" thickBot="1" x14ac:dyDescent="0.3">
      <c r="A2158" s="343"/>
      <c r="B2158" s="15"/>
      <c r="C2158" s="15"/>
      <c r="D2158" s="15"/>
      <c r="E2158" s="15"/>
      <c r="F2158" s="15"/>
      <c r="G2158" s="15"/>
      <c r="M2158" s="15"/>
      <c r="N2158" s="15"/>
      <c r="O2158" s="19"/>
      <c r="P2158" s="343"/>
      <c r="Q2158" s="343"/>
      <c r="R2158" s="343"/>
      <c r="S2158" s="343"/>
      <c r="T2158" s="343"/>
      <c r="U2158" s="349"/>
      <c r="V2158" s="349"/>
    </row>
    <row r="2159" spans="1:22" s="534" customFormat="1" ht="5.15" customHeight="1" x14ac:dyDescent="0.25">
      <c r="A2159" s="343"/>
      <c r="B2159" s="15"/>
      <c r="C2159" s="15"/>
      <c r="D2159" s="1452"/>
      <c r="E2159" s="1453"/>
      <c r="F2159" s="777"/>
      <c r="G2159" s="777"/>
      <c r="H2159" s="777"/>
      <c r="I2159" s="777"/>
      <c r="J2159" s="777"/>
      <c r="K2159" s="777"/>
      <c r="L2159" s="777"/>
      <c r="M2159" s="777"/>
      <c r="N2159" s="778"/>
      <c r="O2159" s="19"/>
      <c r="P2159" s="343"/>
      <c r="Q2159" s="343"/>
      <c r="R2159" s="343"/>
      <c r="S2159" s="343"/>
      <c r="T2159" s="343"/>
      <c r="U2159" s="349"/>
      <c r="V2159" s="349"/>
    </row>
    <row r="2160" spans="1:22" s="534" customFormat="1" ht="13.5" thickBot="1" x14ac:dyDescent="0.3">
      <c r="A2160" s="343"/>
      <c r="B2160" s="15"/>
      <c r="C2160" s="15"/>
      <c r="D2160" s="1454"/>
      <c r="E2160" s="416"/>
      <c r="F2160" s="623"/>
      <c r="G2160" s="415" t="str">
        <f>EUconst_Unit</f>
        <v>Enhet</v>
      </c>
      <c r="H2160" s="744">
        <f t="shared" ref="H2160:N2160" si="419">H$2596</f>
        <v>2019</v>
      </c>
      <c r="I2160" s="744">
        <f t="shared" si="419"/>
        <v>2020</v>
      </c>
      <c r="J2160" s="744">
        <f t="shared" si="419"/>
        <v>2021</v>
      </c>
      <c r="K2160" s="362">
        <f t="shared" si="419"/>
        <v>2022</v>
      </c>
      <c r="L2160" s="362">
        <f t="shared" si="419"/>
        <v>2023</v>
      </c>
      <c r="M2160" s="362">
        <f t="shared" si="419"/>
        <v>2024</v>
      </c>
      <c r="N2160" s="1141">
        <f t="shared" si="419"/>
        <v>2025</v>
      </c>
      <c r="O2160" s="19"/>
      <c r="P2160" s="343"/>
      <c r="Q2160" s="343"/>
      <c r="R2160" s="343"/>
      <c r="S2160" s="343"/>
      <c r="T2160" s="343"/>
      <c r="U2160" s="349"/>
      <c r="V2160" s="349"/>
    </row>
    <row r="2161" spans="1:22" s="534" customFormat="1" ht="13.5" customHeight="1" thickBot="1" x14ac:dyDescent="0.3">
      <c r="A2161" s="343"/>
      <c r="B2161" s="15"/>
      <c r="C2161" s="15"/>
      <c r="D2161" s="1454"/>
      <c r="E2161" s="2747" t="str">
        <f>Translations!$B$380</f>
        <v>Producerad mätbar värme</v>
      </c>
      <c r="F2161" s="1997"/>
      <c r="G2161" s="710" t="str">
        <f>EUconst_TJpa</f>
        <v>TJ / år</v>
      </c>
      <c r="H2161" s="735" t="str">
        <f>IF($M2118&lt;&gt;EUconst_Relevant,"",IF(INDEX('G_Fall-back'!H:H,MATCH($P2161,'G_Fall-back'!$Q:$Q,0))="","",INDEX('G_Fall-back'!H:H,MATCH($P2161,'G_Fall-back'!$Q:$Q,0))))</f>
        <v/>
      </c>
      <c r="I2161" s="737" t="str">
        <f>IF($M2118&lt;&gt;EUconst_Relevant,"",IF(INDEX('G_Fall-back'!I:I,MATCH($P2161,'G_Fall-back'!$Q:$Q,0))="","",INDEX('G_Fall-back'!I:I,MATCH($P2161,'G_Fall-back'!$Q:$Q,0))))</f>
        <v/>
      </c>
      <c r="J2161" s="735" t="str">
        <f>IF($M2118&lt;&gt;EUconst_Relevant,"",IF(INDEX('G_Fall-back'!J:J,MATCH($P2161,'G_Fall-back'!$Q:$Q,0))="","",INDEX('G_Fall-back'!J:J,MATCH($P2161,'G_Fall-back'!$Q:$Q,0))))</f>
        <v/>
      </c>
      <c r="K2161" s="736" t="str">
        <f>IF($M2118&lt;&gt;EUconst_Relevant,"",IF(INDEX('G_Fall-back'!K:K,MATCH($P2161,'G_Fall-back'!$Q:$Q,0))="","",INDEX('G_Fall-back'!K:K,MATCH($P2161,'G_Fall-back'!$Q:$Q,0))))</f>
        <v/>
      </c>
      <c r="L2161" s="736" t="str">
        <f>IF($M2118&lt;&gt;EUconst_Relevant,"",IF(INDEX('G_Fall-back'!L:L,MATCH($P2161,'G_Fall-back'!$Q:$Q,0))="","",INDEX('G_Fall-back'!L:L,MATCH($P2161,'G_Fall-back'!$Q:$Q,0))))</f>
        <v/>
      </c>
      <c r="M2161" s="736" t="str">
        <f>IF($M2118&lt;&gt;EUconst_Relevant,"",IF(INDEX('G_Fall-back'!M:M,MATCH($P2161,'G_Fall-back'!$Q:$Q,0))="","",INDEX('G_Fall-back'!M:M,MATCH($P2161,'G_Fall-back'!$Q:$Q,0))))</f>
        <v/>
      </c>
      <c r="N2161" s="737" t="str">
        <f>IF($M2118&lt;&gt;EUconst_Relevant,"",IF(INDEX('G_Fall-back'!N:N,MATCH($P2161,'G_Fall-back'!$Q:$Q,0))="","",INDEX('G_Fall-back'!N:N,MATCH($P2161,'G_Fall-back'!$Q:$Q,0))))</f>
        <v/>
      </c>
      <c r="O2161" s="19"/>
      <c r="P2161" s="298" t="str">
        <f>EUconst_CNTR_HeatProduced &amp;I2118</f>
        <v>HeatProd_Delanläggning med värmeriktmärke, KL</v>
      </c>
      <c r="Q2161" s="343"/>
      <c r="R2161" s="343"/>
      <c r="S2161" s="343"/>
      <c r="T2161" s="343"/>
      <c r="U2161" s="349"/>
      <c r="V2161" s="349"/>
    </row>
    <row r="2162" spans="1:22" s="534" customFormat="1" ht="5.15" customHeight="1" thickBot="1" x14ac:dyDescent="0.3">
      <c r="A2162" s="343"/>
      <c r="B2162" s="15"/>
      <c r="C2162" s="15"/>
      <c r="D2162" s="1454"/>
      <c r="E2162" s="416"/>
      <c r="F2162" s="416"/>
      <c r="G2162" s="416"/>
      <c r="H2162" s="741"/>
      <c r="I2162" s="741"/>
      <c r="J2162" s="741"/>
      <c r="K2162" s="741"/>
      <c r="L2162" s="741"/>
      <c r="M2162" s="741"/>
      <c r="N2162" s="1458"/>
      <c r="O2162" s="19"/>
      <c r="P2162" s="343"/>
      <c r="Q2162" s="343"/>
      <c r="R2162" s="343"/>
      <c r="S2162" s="343"/>
      <c r="T2162" s="343"/>
      <c r="U2162" s="349"/>
      <c r="V2162" s="349"/>
    </row>
    <row r="2163" spans="1:22" s="534" customFormat="1" ht="13.5" customHeight="1" thickBot="1" x14ac:dyDescent="0.3">
      <c r="A2163" s="343"/>
      <c r="B2163" s="15"/>
      <c r="C2163" s="15"/>
      <c r="D2163" s="1454"/>
      <c r="E2163" s="2747" t="str">
        <f>Translations!$B$1056</f>
        <v>Totala tillskrivna utsläpp</v>
      </c>
      <c r="F2163" s="1997"/>
      <c r="G2163" s="710" t="str">
        <f>EUconst_tCO2epa</f>
        <v>t CO2e/år</v>
      </c>
      <c r="H2163" s="735" t="str">
        <f t="shared" ref="H2163:N2163" si="420">INDEX(H$92:H$108,MATCH($I2118,$E$92:$E$108,0))</f>
        <v/>
      </c>
      <c r="I2163" s="737" t="str">
        <f t="shared" si="420"/>
        <v/>
      </c>
      <c r="J2163" s="735" t="str">
        <f t="shared" si="420"/>
        <v/>
      </c>
      <c r="K2163" s="736" t="str">
        <f t="shared" si="420"/>
        <v/>
      </c>
      <c r="L2163" s="736" t="str">
        <f t="shared" si="420"/>
        <v/>
      </c>
      <c r="M2163" s="736" t="str">
        <f t="shared" si="420"/>
        <v/>
      </c>
      <c r="N2163" s="737" t="str">
        <f t="shared" si="420"/>
        <v/>
      </c>
      <c r="O2163" s="19"/>
      <c r="P2163" s="343"/>
      <c r="Q2163" s="343"/>
      <c r="R2163" s="343"/>
      <c r="S2163" s="343"/>
      <c r="T2163" s="7"/>
      <c r="U2163" s="349"/>
      <c r="V2163" s="349"/>
    </row>
    <row r="2164" spans="1:22" s="534" customFormat="1" ht="5.15" customHeight="1" x14ac:dyDescent="0.25">
      <c r="A2164" s="343"/>
      <c r="B2164" s="15"/>
      <c r="C2164" s="15"/>
      <c r="D2164" s="1454"/>
      <c r="E2164" s="416"/>
      <c r="F2164" s="416"/>
      <c r="G2164" s="416"/>
      <c r="H2164" s="738"/>
      <c r="I2164" s="738"/>
      <c r="J2164" s="738"/>
      <c r="K2164" s="738"/>
      <c r="L2164" s="738"/>
      <c r="M2164" s="738"/>
      <c r="N2164" s="1455"/>
      <c r="O2164" s="19"/>
      <c r="P2164" s="343"/>
      <c r="Q2164" s="343"/>
      <c r="R2164" s="343"/>
      <c r="S2164" s="343"/>
      <c r="T2164" s="7"/>
      <c r="U2164" s="349"/>
      <c r="V2164" s="349"/>
    </row>
    <row r="2165" spans="1:22" s="534" customFormat="1" x14ac:dyDescent="0.25">
      <c r="A2165" s="343"/>
      <c r="B2165" s="15"/>
      <c r="C2165" s="15"/>
      <c r="D2165" s="1454"/>
      <c r="E2165" s="2611" t="str">
        <f>Translations!$B$571</f>
        <v>Insatsbränsle</v>
      </c>
      <c r="F2165" s="2484"/>
      <c r="G2165" s="365" t="str">
        <f>EUconst_TJpa</f>
        <v>TJ / år</v>
      </c>
      <c r="H2165" s="739" t="str">
        <f>IF($M2118&lt;&gt;EUconst_Relevant,"",IF(INDEX('G_Fall-back'!H:H,MATCH($P2165,'G_Fall-back'!$Q:$Q,0))="","",INDEX('G_Fall-back'!H:H,MATCH($P2165,'G_Fall-back'!$Q:$Q,0))))</f>
        <v/>
      </c>
      <c r="I2165" s="1153" t="str">
        <f>IF($M2118&lt;&gt;EUconst_Relevant,"",IF(INDEX('G_Fall-back'!I:I,MATCH($P2165,'G_Fall-back'!$Q:$Q,0))="","",INDEX('G_Fall-back'!I:I,MATCH($P2165,'G_Fall-back'!$Q:$Q,0))))</f>
        <v/>
      </c>
      <c r="J2165" s="1159" t="str">
        <f>IF($M2118&lt;&gt;EUconst_Relevant,"",IF(INDEX('G_Fall-back'!J:J,MATCH($P2165,'G_Fall-back'!$Q:$Q,0))="","",INDEX('G_Fall-back'!J:J,MATCH($P2165,'G_Fall-back'!$Q:$Q,0))))</f>
        <v/>
      </c>
      <c r="K2165" s="739" t="str">
        <f>IF($M2118&lt;&gt;EUconst_Relevant,"",IF(INDEX('G_Fall-back'!K:K,MATCH($P2165,'G_Fall-back'!$Q:$Q,0))="","",INDEX('G_Fall-back'!K:K,MATCH($P2165,'G_Fall-back'!$Q:$Q,0))))</f>
        <v/>
      </c>
      <c r="L2165" s="739" t="str">
        <f>IF($M2118&lt;&gt;EUconst_Relevant,"",IF(INDEX('G_Fall-back'!L:L,MATCH($P2165,'G_Fall-back'!$Q:$Q,0))="","",INDEX('G_Fall-back'!L:L,MATCH($P2165,'G_Fall-back'!$Q:$Q,0))))</f>
        <v/>
      </c>
      <c r="M2165" s="739" t="str">
        <f>IF($M2118&lt;&gt;EUconst_Relevant,"",IF(INDEX('G_Fall-back'!M:M,MATCH($P2165,'G_Fall-back'!$Q:$Q,0))="","",INDEX('G_Fall-back'!M:M,MATCH($P2165,'G_Fall-back'!$Q:$Q,0))))</f>
        <v/>
      </c>
      <c r="N2165" s="1456" t="str">
        <f>IF($M2118&lt;&gt;EUconst_Relevant,"",IF(INDEX('G_Fall-back'!N:N,MATCH($P2165,'G_Fall-back'!$Q:$Q,0))="","",INDEX('G_Fall-back'!N:N,MATCH($P2165,'G_Fall-back'!$Q:$Q,0))))</f>
        <v/>
      </c>
      <c r="O2165" s="19"/>
      <c r="P2165" s="622" t="str">
        <f>EUconst_CNTR_FuelInput &amp;I2118</f>
        <v>FuelInput_Delanläggning med värmeriktmärke, KL</v>
      </c>
      <c r="Q2165" s="343"/>
      <c r="R2165" s="343"/>
      <c r="S2165" s="343"/>
      <c r="T2165" s="343"/>
      <c r="U2165" s="349"/>
      <c r="V2165" s="349"/>
    </row>
    <row r="2166" spans="1:22" s="534" customFormat="1" ht="12.75" customHeight="1" x14ac:dyDescent="0.25">
      <c r="A2166" s="343"/>
      <c r="B2166" s="15"/>
      <c r="C2166" s="15"/>
      <c r="D2166" s="1454"/>
      <c r="E2166" s="2612" t="str">
        <f>Translations!$B$572</f>
        <v>Viktad emissionsfaktor</v>
      </c>
      <c r="F2166" s="2487"/>
      <c r="G2166" s="384" t="str">
        <f>EUconst_tCO2pTJ</f>
        <v>t CO2 / TJ</v>
      </c>
      <c r="H2166" s="740" t="str">
        <f>IF($M2118&lt;&gt;EUconst_Relevant,"",IF(INDEX('G_Fall-back'!H:H,MATCH($P2166,'G_Fall-back'!$Q:$Q,0))="","",INDEX('G_Fall-back'!H:H,MATCH($P2166,'G_Fall-back'!$Q:$Q,0))))</f>
        <v/>
      </c>
      <c r="I2166" s="1154" t="str">
        <f>IF($M2118&lt;&gt;EUconst_Relevant,"",IF(INDEX('G_Fall-back'!I:I,MATCH($P2166,'G_Fall-back'!$Q:$Q,0))="","",INDEX('G_Fall-back'!I:I,MATCH($P2166,'G_Fall-back'!$Q:$Q,0))))</f>
        <v/>
      </c>
      <c r="J2166" s="1160" t="str">
        <f>IF($M2118&lt;&gt;EUconst_Relevant,"",IF(INDEX('G_Fall-back'!J:J,MATCH($P2166,'G_Fall-back'!$Q:$Q,0))="","",INDEX('G_Fall-back'!J:J,MATCH($P2166,'G_Fall-back'!$Q:$Q,0))))</f>
        <v/>
      </c>
      <c r="K2166" s="740" t="str">
        <f>IF($M2118&lt;&gt;EUconst_Relevant,"",IF(INDEX('G_Fall-back'!K:K,MATCH($P2166,'G_Fall-back'!$Q:$Q,0))="","",INDEX('G_Fall-back'!K:K,MATCH($P2166,'G_Fall-back'!$Q:$Q,0))))</f>
        <v/>
      </c>
      <c r="L2166" s="740" t="str">
        <f>IF($M2118&lt;&gt;EUconst_Relevant,"",IF(INDEX('G_Fall-back'!L:L,MATCH($P2166,'G_Fall-back'!$Q:$Q,0))="","",INDEX('G_Fall-back'!L:L,MATCH($P2166,'G_Fall-back'!$Q:$Q,0))))</f>
        <v/>
      </c>
      <c r="M2166" s="740" t="str">
        <f>IF($M2118&lt;&gt;EUconst_Relevant,"",IF(INDEX('G_Fall-back'!M:M,MATCH($P2166,'G_Fall-back'!$Q:$Q,0))="","",INDEX('G_Fall-back'!M:M,MATCH($P2166,'G_Fall-back'!$Q:$Q,0))))</f>
        <v/>
      </c>
      <c r="N2166" s="1457" t="str">
        <f>IF($M2118&lt;&gt;EUconst_Relevant,"",IF(INDEX('G_Fall-back'!N:N,MATCH($P2166,'G_Fall-back'!$Q:$Q,0))="","",INDEX('G_Fall-back'!N:N,MATCH($P2166,'G_Fall-back'!$Q:$Q,0))))</f>
        <v/>
      </c>
      <c r="O2166" s="19"/>
      <c r="P2166" s="298" t="str">
        <f>EUconst_CNTR_FuelEF &amp;I2118</f>
        <v>FuelEF_Delanläggning med värmeriktmärke, KL</v>
      </c>
      <c r="Q2166" s="343"/>
      <c r="R2166" s="343"/>
      <c r="S2166" s="343"/>
      <c r="T2166" s="343"/>
      <c r="U2166" s="349"/>
      <c r="V2166" s="349"/>
    </row>
    <row r="2167" spans="1:22" s="534" customFormat="1" ht="12.75" customHeight="1" x14ac:dyDescent="0.25">
      <c r="A2167" s="343"/>
      <c r="B2167" s="15"/>
      <c r="C2167" s="15"/>
      <c r="D2167" s="1454"/>
      <c r="E2167" s="2611" t="str">
        <f>Translations!$B$688</f>
        <v>Insatsbränsle från restgaser</v>
      </c>
      <c r="F2167" s="2484"/>
      <c r="G2167" s="365" t="str">
        <f>EUconst_TJpa</f>
        <v>TJ / år</v>
      </c>
      <c r="H2167" s="739" t="str">
        <f>IF($M2118&lt;&gt;EUconst_Relevant,"",IF(INDEX('G_Fall-back'!H:H,MATCH($P2167,'G_Fall-back'!$Q:$Q,0))="","",INDEX('G_Fall-back'!H:H,MATCH($P2167,'G_Fall-back'!$Q:$Q,0))))</f>
        <v/>
      </c>
      <c r="I2167" s="1153" t="str">
        <f>IF($M2118&lt;&gt;EUconst_Relevant,"",IF(INDEX('G_Fall-back'!I:I,MATCH($P2167,'G_Fall-back'!$Q:$Q,0))="","",INDEX('G_Fall-back'!I:I,MATCH($P2167,'G_Fall-back'!$Q:$Q,0))))</f>
        <v/>
      </c>
      <c r="J2167" s="1159" t="str">
        <f>IF($M2118&lt;&gt;EUconst_Relevant,"",IF(INDEX('G_Fall-back'!J:J,MATCH($P2167,'G_Fall-back'!$Q:$Q,0))="","",INDEX('G_Fall-back'!J:J,MATCH($P2167,'G_Fall-back'!$Q:$Q,0))))</f>
        <v/>
      </c>
      <c r="K2167" s="739" t="str">
        <f>IF($M2118&lt;&gt;EUconst_Relevant,"",IF(INDEX('G_Fall-back'!K:K,MATCH($P2167,'G_Fall-back'!$Q:$Q,0))="","",INDEX('G_Fall-back'!K:K,MATCH($P2167,'G_Fall-back'!$Q:$Q,0))))</f>
        <v/>
      </c>
      <c r="L2167" s="739" t="str">
        <f>IF($M2118&lt;&gt;EUconst_Relevant,"",IF(INDEX('G_Fall-back'!L:L,MATCH($P2167,'G_Fall-back'!$Q:$Q,0))="","",INDEX('G_Fall-back'!L:L,MATCH($P2167,'G_Fall-back'!$Q:$Q,0))))</f>
        <v/>
      </c>
      <c r="M2167" s="739" t="str">
        <f>IF($M2118&lt;&gt;EUconst_Relevant,"",IF(INDEX('G_Fall-back'!M:M,MATCH($P2167,'G_Fall-back'!$Q:$Q,0))="","",INDEX('G_Fall-back'!M:M,MATCH($P2167,'G_Fall-back'!$Q:$Q,0))))</f>
        <v/>
      </c>
      <c r="N2167" s="1456" t="str">
        <f>IF($M2118&lt;&gt;EUconst_Relevant,"",IF(INDEX('G_Fall-back'!N:N,MATCH($P2167,'G_Fall-back'!$Q:$Q,0))="","",INDEX('G_Fall-back'!N:N,MATCH($P2167,'G_Fall-back'!$Q:$Q,0))))</f>
        <v/>
      </c>
      <c r="O2167" s="19"/>
      <c r="P2167" s="355" t="str">
        <f>EUconst_CNTR_WGConsumed &amp;I2118</f>
        <v>WasteGasCons_Delanläggning med värmeriktmärke, KL</v>
      </c>
      <c r="Q2167" s="343"/>
      <c r="R2167" s="343"/>
      <c r="S2167" s="343"/>
      <c r="T2167" s="343"/>
      <c r="U2167" s="349"/>
      <c r="V2167" s="349"/>
    </row>
    <row r="2168" spans="1:22" s="534" customFormat="1" ht="12.75" customHeight="1" x14ac:dyDescent="0.25">
      <c r="A2168" s="343"/>
      <c r="B2168" s="15"/>
      <c r="C2168" s="15"/>
      <c r="D2168" s="1454"/>
      <c r="E2168" s="2612" t="str">
        <f>Translations!$B$572</f>
        <v>Viktad emissionsfaktor</v>
      </c>
      <c r="F2168" s="2487"/>
      <c r="G2168" s="384" t="str">
        <f>EUconst_tCO2pTJ</f>
        <v>t CO2 / TJ</v>
      </c>
      <c r="H2168" s="740" t="str">
        <f>IF($M2118&lt;&gt;EUconst_Relevant,"",IF(INDEX('G_Fall-back'!H:H,MATCH($P2168,'G_Fall-back'!$Q:$Q,0))="","",INDEX('G_Fall-back'!H:H,MATCH($P2168,'G_Fall-back'!$Q:$Q,0))))</f>
        <v/>
      </c>
      <c r="I2168" s="1154" t="str">
        <f>IF($M2118&lt;&gt;EUconst_Relevant,"",IF(INDEX('G_Fall-back'!I:I,MATCH($P2168,'G_Fall-back'!$Q:$Q,0))="","",INDEX('G_Fall-back'!I:I,MATCH($P2168,'G_Fall-back'!$Q:$Q,0))))</f>
        <v/>
      </c>
      <c r="J2168" s="1160" t="str">
        <f>IF($M2118&lt;&gt;EUconst_Relevant,"",IF(INDEX('G_Fall-back'!J:J,MATCH($P2168,'G_Fall-back'!$Q:$Q,0))="","",INDEX('G_Fall-back'!J:J,MATCH($P2168,'G_Fall-back'!$Q:$Q,0))))</f>
        <v/>
      </c>
      <c r="K2168" s="740" t="str">
        <f>IF($M2118&lt;&gt;EUconst_Relevant,"",IF(INDEX('G_Fall-back'!K:K,MATCH($P2168,'G_Fall-back'!$Q:$Q,0))="","",INDEX('G_Fall-back'!K:K,MATCH($P2168,'G_Fall-back'!$Q:$Q,0))))</f>
        <v/>
      </c>
      <c r="L2168" s="740" t="str">
        <f>IF($M2118&lt;&gt;EUconst_Relevant,"",IF(INDEX('G_Fall-back'!L:L,MATCH($P2168,'G_Fall-back'!$Q:$Q,0))="","",INDEX('G_Fall-back'!L:L,MATCH($P2168,'G_Fall-back'!$Q:$Q,0))))</f>
        <v/>
      </c>
      <c r="M2168" s="740" t="str">
        <f>IF($M2118&lt;&gt;EUconst_Relevant,"",IF(INDEX('G_Fall-back'!M:M,MATCH($P2168,'G_Fall-back'!$Q:$Q,0))="","",INDEX('G_Fall-back'!M:M,MATCH($P2168,'G_Fall-back'!$Q:$Q,0))))</f>
        <v/>
      </c>
      <c r="N2168" s="1457" t="str">
        <f>IF($M2118&lt;&gt;EUconst_Relevant,"",IF(INDEX('G_Fall-back'!N:N,MATCH($P2168,'G_Fall-back'!$Q:$Q,0))="","",INDEX('G_Fall-back'!N:N,MATCH($P2168,'G_Fall-back'!$Q:$Q,0))))</f>
        <v/>
      </c>
      <c r="O2168" s="19"/>
      <c r="P2168" s="298" t="str">
        <f>EUconst_CNTR_WGConsumedEF &amp;I2118</f>
        <v>WasteGasConsEF_Delanläggning med värmeriktmärke, KL</v>
      </c>
      <c r="Q2168" s="343"/>
      <c r="R2168" s="343"/>
      <c r="S2168" s="343"/>
      <c r="T2168" s="343"/>
      <c r="U2168" s="349"/>
      <c r="V2168" s="349"/>
    </row>
    <row r="2169" spans="1:22" s="534" customFormat="1" ht="5.15" customHeight="1" x14ac:dyDescent="0.25">
      <c r="A2169" s="343"/>
      <c r="B2169" s="15"/>
      <c r="C2169" s="15"/>
      <c r="D2169" s="1454"/>
      <c r="E2169" s="416"/>
      <c r="F2169" s="623"/>
      <c r="G2169" s="623"/>
      <c r="H2169" s="741"/>
      <c r="I2169" s="741"/>
      <c r="J2169" s="741"/>
      <c r="K2169" s="741"/>
      <c r="L2169" s="741"/>
      <c r="M2169" s="741"/>
      <c r="N2169" s="1458"/>
      <c r="O2169" s="19"/>
      <c r="P2169" s="343"/>
      <c r="Q2169" s="343"/>
      <c r="R2169" s="343"/>
      <c r="S2169" s="343"/>
      <c r="T2169" s="343"/>
      <c r="U2169" s="349"/>
      <c r="V2169" s="349"/>
    </row>
    <row r="2170" spans="1:22" s="534" customFormat="1" x14ac:dyDescent="0.25">
      <c r="A2170" s="343"/>
      <c r="B2170" s="15"/>
      <c r="C2170" s="15"/>
      <c r="D2170" s="1454"/>
      <c r="E2170" s="2613" t="str">
        <f>Translations!$B$528</f>
        <v>Direkta utsläpp</v>
      </c>
      <c r="F2170" s="1997"/>
      <c r="G2170" s="364" t="str">
        <f>EUconst_tCO2pa</f>
        <v>t CO2 / år</v>
      </c>
      <c r="H2170" s="742" t="str">
        <f>IF($M2118&lt;&gt;EUconst_Relevant,"",IF(INDEX('G_Fall-back'!H:H,MATCH($P2170,'G_Fall-back'!$Q:$Q,0))="","",INDEX('G_Fall-back'!H:H,MATCH($P2170,'G_Fall-back'!$Q:$Q,0))))</f>
        <v/>
      </c>
      <c r="I2170" s="1021" t="str">
        <f>IF($M2118&lt;&gt;EUconst_Relevant,"",IF(INDEX('G_Fall-back'!I:I,MATCH($P2170,'G_Fall-back'!$Q:$Q,0))="","",INDEX('G_Fall-back'!I:I,MATCH($P2170,'G_Fall-back'!$Q:$Q,0))))</f>
        <v/>
      </c>
      <c r="J2170" s="1158" t="str">
        <f>IF($M2118&lt;&gt;EUconst_Relevant,"",IF(INDEX('G_Fall-back'!J:J,MATCH($P2170,'G_Fall-back'!$Q:$Q,0))="","",INDEX('G_Fall-back'!J:J,MATCH($P2170,'G_Fall-back'!$Q:$Q,0))))</f>
        <v/>
      </c>
      <c r="K2170" s="742" t="str">
        <f>IF($M2118&lt;&gt;EUconst_Relevant,"",IF(INDEX('G_Fall-back'!K:K,MATCH($P2170,'G_Fall-back'!$Q:$Q,0))="","",INDEX('G_Fall-back'!K:K,MATCH($P2170,'G_Fall-back'!$Q:$Q,0))))</f>
        <v/>
      </c>
      <c r="L2170" s="742" t="str">
        <f>IF($M2118&lt;&gt;EUconst_Relevant,"",IF(INDEX('G_Fall-back'!L:L,MATCH($P2170,'G_Fall-back'!$Q:$Q,0))="","",INDEX('G_Fall-back'!L:L,MATCH($P2170,'G_Fall-back'!$Q:$Q,0))))</f>
        <v/>
      </c>
      <c r="M2170" s="742" t="str">
        <f>IF($M2118&lt;&gt;EUconst_Relevant,"",IF(INDEX('G_Fall-back'!M:M,MATCH($P2170,'G_Fall-back'!$Q:$Q,0))="","",INDEX('G_Fall-back'!M:M,MATCH($P2170,'G_Fall-back'!$Q:$Q,0))))</f>
        <v/>
      </c>
      <c r="N2170" s="1459" t="str">
        <f>IF($M2118&lt;&gt;EUconst_Relevant,"",IF(INDEX('G_Fall-back'!N:N,MATCH($P2170,'G_Fall-back'!$Q:$Q,0))="","",INDEX('G_Fall-back'!N:N,MATCH($P2170,'G_Fall-back'!$Q:$Q,0))))</f>
        <v/>
      </c>
      <c r="O2170" s="19"/>
      <c r="P2170" s="298" t="str">
        <f>EUconst_CNTR_Emissions &amp;I2118</f>
        <v>DirEmissions_Delanläggning med värmeriktmärke, KL</v>
      </c>
      <c r="Q2170" s="343"/>
      <c r="R2170" s="343"/>
      <c r="S2170" s="343"/>
      <c r="T2170" s="343"/>
      <c r="U2170" s="349"/>
      <c r="V2170" s="349"/>
    </row>
    <row r="2171" spans="1:22" s="534" customFormat="1" ht="5.15" customHeight="1" x14ac:dyDescent="0.25">
      <c r="A2171" s="343"/>
      <c r="B2171" s="15"/>
      <c r="C2171" s="15"/>
      <c r="D2171" s="1454"/>
      <c r="E2171" s="416"/>
      <c r="F2171" s="416"/>
      <c r="G2171" s="416"/>
      <c r="H2171" s="741"/>
      <c r="I2171" s="741"/>
      <c r="J2171" s="741"/>
      <c r="K2171" s="741"/>
      <c r="L2171" s="741"/>
      <c r="M2171" s="741"/>
      <c r="N2171" s="1458"/>
      <c r="O2171" s="19"/>
      <c r="P2171" s="343"/>
      <c r="Q2171" s="343"/>
      <c r="R2171" s="343"/>
      <c r="S2171" s="343"/>
      <c r="T2171" s="343"/>
      <c r="U2171" s="349"/>
      <c r="V2171" s="349"/>
    </row>
    <row r="2172" spans="1:22" s="534" customFormat="1" ht="12.75" customHeight="1" x14ac:dyDescent="0.25">
      <c r="A2172" s="343"/>
      <c r="B2172" s="15"/>
      <c r="C2172" s="15"/>
      <c r="D2172" s="1454"/>
      <c r="E2172" s="2611" t="str">
        <f>Translations!$B$1059</f>
        <v>Importerad nettovärme (annat)</v>
      </c>
      <c r="F2172" s="2484"/>
      <c r="G2172" s="365" t="str">
        <f>EUconst_TJpa</f>
        <v>TJ / år</v>
      </c>
      <c r="H2172" s="739" t="str">
        <f>IF($M2118&lt;&gt;EUconst_Relevant,"",IF(INDEX('G_Fall-back'!H:H,MATCH($P2172,'G_Fall-back'!$Q:$Q,0))="","",INDEX('G_Fall-back'!H:H,MATCH($P2172,'G_Fall-back'!$Q:$Q,0))))</f>
        <v/>
      </c>
      <c r="I2172" s="1153" t="str">
        <f>IF($M2118&lt;&gt;EUconst_Relevant,"",IF(INDEX('G_Fall-back'!I:I,MATCH($P2172,'G_Fall-back'!$Q:$Q,0))="","",INDEX('G_Fall-back'!I:I,MATCH($P2172,'G_Fall-back'!$Q:$Q,0))))</f>
        <v/>
      </c>
      <c r="J2172" s="1159" t="str">
        <f>IF($M2118&lt;&gt;EUconst_Relevant,"",IF(INDEX('G_Fall-back'!J:J,MATCH($P2172,'G_Fall-back'!$Q:$Q,0))="","",INDEX('G_Fall-back'!J:J,MATCH($P2172,'G_Fall-back'!$Q:$Q,0))))</f>
        <v/>
      </c>
      <c r="K2172" s="739" t="str">
        <f>IF($M2118&lt;&gt;EUconst_Relevant,"",IF(INDEX('G_Fall-back'!K:K,MATCH($P2172,'G_Fall-back'!$Q:$Q,0))="","",INDEX('G_Fall-back'!K:K,MATCH($P2172,'G_Fall-back'!$Q:$Q,0))))</f>
        <v/>
      </c>
      <c r="L2172" s="739" t="str">
        <f>IF($M2118&lt;&gt;EUconst_Relevant,"",IF(INDEX('G_Fall-back'!L:L,MATCH($P2172,'G_Fall-back'!$Q:$Q,0))="","",INDEX('G_Fall-back'!L:L,MATCH($P2172,'G_Fall-back'!$Q:$Q,0))))</f>
        <v/>
      </c>
      <c r="M2172" s="739" t="str">
        <f>IF($M2118&lt;&gt;EUconst_Relevant,"",IF(INDEX('G_Fall-back'!M:M,MATCH($P2172,'G_Fall-back'!$Q:$Q,0))="","",INDEX('G_Fall-back'!M:M,MATCH($P2172,'G_Fall-back'!$Q:$Q,0))))</f>
        <v/>
      </c>
      <c r="N2172" s="1456" t="str">
        <f>IF($M2118&lt;&gt;EUconst_Relevant,"",IF(INDEX('G_Fall-back'!N:N,MATCH($P2172,'G_Fall-back'!$Q:$Q,0))="","",INDEX('G_Fall-back'!N:N,MATCH($P2172,'G_Fall-back'!$Q:$Q,0))))</f>
        <v/>
      </c>
      <c r="O2172" s="19"/>
      <c r="P2172" s="298" t="str">
        <f>EUconst_CNTR_HeatImport &amp;I2118</f>
        <v>HeatIm_Delanläggning med värmeriktmärke, KL</v>
      </c>
      <c r="Q2172" s="343"/>
      <c r="R2172" s="343"/>
      <c r="S2172" s="343"/>
      <c r="T2172" s="343"/>
      <c r="U2172" s="349"/>
      <c r="V2172" s="349"/>
    </row>
    <row r="2173" spans="1:22" s="534" customFormat="1" ht="12.75" customHeight="1" x14ac:dyDescent="0.25">
      <c r="A2173" s="343"/>
      <c r="B2173" s="15"/>
      <c r="C2173" s="15"/>
      <c r="D2173" s="1454"/>
      <c r="E2173" s="2612" t="str">
        <f>Translations!$B$605</f>
        <v>Särskild emissionsfaktor (importerad värme)</v>
      </c>
      <c r="F2173" s="2487"/>
      <c r="G2173" s="384" t="str">
        <f>EUconst_tCO2pTJ</f>
        <v>t CO2 / TJ</v>
      </c>
      <c r="H2173" s="740" t="str">
        <f>IF($M2118&lt;&gt;EUconst_Relevant,"",IF(INDEX('G_Fall-back'!H:H,MATCH($P2173,'G_Fall-back'!$Q:$Q,0))="","",INDEX('G_Fall-back'!H:H,MATCH($P2173,'G_Fall-back'!$Q:$Q,0))))</f>
        <v/>
      </c>
      <c r="I2173" s="1154" t="str">
        <f>IF($M2118&lt;&gt;EUconst_Relevant,"",IF(INDEX('G_Fall-back'!I:I,MATCH($P2173,'G_Fall-back'!$Q:$Q,0))="","",INDEX('G_Fall-back'!I:I,MATCH($P2173,'G_Fall-back'!$Q:$Q,0))))</f>
        <v/>
      </c>
      <c r="J2173" s="1160" t="str">
        <f>IF($M2118&lt;&gt;EUconst_Relevant,"",IF(INDEX('G_Fall-back'!J:J,MATCH($P2173,'G_Fall-back'!$Q:$Q,0))="","",INDEX('G_Fall-back'!J:J,MATCH($P2173,'G_Fall-back'!$Q:$Q,0))))</f>
        <v/>
      </c>
      <c r="K2173" s="740" t="str">
        <f>IF($M2118&lt;&gt;EUconst_Relevant,"",IF(INDEX('G_Fall-back'!K:K,MATCH($P2173,'G_Fall-back'!$Q:$Q,0))="","",INDEX('G_Fall-back'!K:K,MATCH($P2173,'G_Fall-back'!$Q:$Q,0))))</f>
        <v/>
      </c>
      <c r="L2173" s="740" t="str">
        <f>IF($M2118&lt;&gt;EUconst_Relevant,"",IF(INDEX('G_Fall-back'!L:L,MATCH($P2173,'G_Fall-back'!$Q:$Q,0))="","",INDEX('G_Fall-back'!L:L,MATCH($P2173,'G_Fall-back'!$Q:$Q,0))))</f>
        <v/>
      </c>
      <c r="M2173" s="740" t="str">
        <f>IF($M2118&lt;&gt;EUconst_Relevant,"",IF(INDEX('G_Fall-back'!M:M,MATCH($P2173,'G_Fall-back'!$Q:$Q,0))="","",INDEX('G_Fall-back'!M:M,MATCH($P2173,'G_Fall-back'!$Q:$Q,0))))</f>
        <v/>
      </c>
      <c r="N2173" s="1457" t="str">
        <f>IF($M2118&lt;&gt;EUconst_Relevant,"",IF(INDEX('G_Fall-back'!N:N,MATCH($P2173,'G_Fall-back'!$Q:$Q,0))="","",INDEX('G_Fall-back'!N:N,MATCH($P2173,'G_Fall-back'!$Q:$Q,0))))</f>
        <v/>
      </c>
      <c r="O2173" s="19"/>
      <c r="P2173" s="298" t="str">
        <f>EUconst_CNTR_HeatImportEF &amp;I2118</f>
        <v>HeatImEF_Delanläggning med värmeriktmärke, KL</v>
      </c>
      <c r="Q2173" s="343"/>
      <c r="R2173" s="343"/>
      <c r="S2173" s="343"/>
      <c r="T2173" s="343"/>
      <c r="U2173" s="349"/>
      <c r="V2173" s="349"/>
    </row>
    <row r="2174" spans="1:22" s="534" customFormat="1" ht="12.75" customHeight="1" x14ac:dyDescent="0.25">
      <c r="A2174" s="343"/>
      <c r="B2174" s="15"/>
      <c r="C2174" s="15"/>
      <c r="D2174" s="1454"/>
      <c r="E2174" s="2611" t="str">
        <f>Translations!$B$1060</f>
        <v>Importerad nettovärme (produktriktmärke)</v>
      </c>
      <c r="F2174" s="2484"/>
      <c r="G2174" s="365" t="str">
        <f>EUconst_TJpa</f>
        <v>TJ / år</v>
      </c>
      <c r="H2174" s="739" t="str">
        <f>IF($M2118&lt;&gt;EUconst_Relevant,"",IF(INDEX('G_Fall-back'!H:H,MATCH($P2174,'G_Fall-back'!$Q:$Q,0))="","",INDEX('G_Fall-back'!H:H,MATCH($P2174,'G_Fall-back'!$Q:$Q,0))))</f>
        <v/>
      </c>
      <c r="I2174" s="1153" t="str">
        <f>IF($M2118&lt;&gt;EUconst_Relevant,"",IF(INDEX('G_Fall-back'!I:I,MATCH($P2174,'G_Fall-back'!$Q:$Q,0))="","",INDEX('G_Fall-back'!I:I,MATCH($P2174,'G_Fall-back'!$Q:$Q,0))))</f>
        <v/>
      </c>
      <c r="J2174" s="1159" t="str">
        <f>IF($M2118&lt;&gt;EUconst_Relevant,"",IF(INDEX('G_Fall-back'!J:J,MATCH($P2174,'G_Fall-back'!$Q:$Q,0))="","",INDEX('G_Fall-back'!J:J,MATCH($P2174,'G_Fall-back'!$Q:$Q,0))))</f>
        <v/>
      </c>
      <c r="K2174" s="739" t="str">
        <f>IF($M2118&lt;&gt;EUconst_Relevant,"",IF(INDEX('G_Fall-back'!K:K,MATCH($P2174,'G_Fall-back'!$Q:$Q,0))="","",INDEX('G_Fall-back'!K:K,MATCH($P2174,'G_Fall-back'!$Q:$Q,0))))</f>
        <v/>
      </c>
      <c r="L2174" s="739" t="str">
        <f>IF($M2118&lt;&gt;EUconst_Relevant,"",IF(INDEX('G_Fall-back'!L:L,MATCH($P2174,'G_Fall-back'!$Q:$Q,0))="","",INDEX('G_Fall-back'!L:L,MATCH($P2174,'G_Fall-back'!$Q:$Q,0))))</f>
        <v/>
      </c>
      <c r="M2174" s="739" t="str">
        <f>IF($M2118&lt;&gt;EUconst_Relevant,"",IF(INDEX('G_Fall-back'!M:M,MATCH($P2174,'G_Fall-back'!$Q:$Q,0))="","",INDEX('G_Fall-back'!M:M,MATCH($P2174,'G_Fall-back'!$Q:$Q,0))))</f>
        <v/>
      </c>
      <c r="N2174" s="1456" t="str">
        <f>IF($M2118&lt;&gt;EUconst_Relevant,"",IF(INDEX('G_Fall-back'!N:N,MATCH($P2174,'G_Fall-back'!$Q:$Q,0))="","",INDEX('G_Fall-back'!N:N,MATCH($P2174,'G_Fall-back'!$Q:$Q,0))))</f>
        <v/>
      </c>
      <c r="O2174" s="19"/>
      <c r="P2174" s="298" t="str">
        <f>EUconst_CNTR_HeatImportProduct &amp;I2118</f>
        <v>HeatImProd_Delanläggning med värmeriktmärke, KL</v>
      </c>
      <c r="Q2174" s="343"/>
      <c r="R2174" s="343"/>
      <c r="S2174" s="343"/>
      <c r="T2174" s="343"/>
      <c r="U2174" s="349"/>
      <c r="V2174" s="349"/>
    </row>
    <row r="2175" spans="1:22" s="534" customFormat="1" ht="12.75" customHeight="1" x14ac:dyDescent="0.25">
      <c r="A2175" s="343"/>
      <c r="B2175" s="15"/>
      <c r="C2175" s="15"/>
      <c r="D2175" s="1454"/>
      <c r="E2175" s="2612" t="str">
        <f>Translations!$B$703</f>
        <v>Särskild emissionsfaktor (från produktriktmärke)</v>
      </c>
      <c r="F2175" s="2487"/>
      <c r="G2175" s="384" t="str">
        <f>EUconst_tCO2pTJ</f>
        <v>t CO2 / TJ</v>
      </c>
      <c r="H2175" s="740" t="str">
        <f>IF($M2118&lt;&gt;EUconst_Relevant,"",IF(INDEX('G_Fall-back'!H:H,MATCH($P2175,'G_Fall-back'!$Q:$Q,0))="","",INDEX('G_Fall-back'!H:H,MATCH($P2175,'G_Fall-back'!$Q:$Q,0))))</f>
        <v/>
      </c>
      <c r="I2175" s="1154" t="str">
        <f>IF($M2118&lt;&gt;EUconst_Relevant,"",IF(INDEX('G_Fall-back'!I:I,MATCH($P2175,'G_Fall-back'!$Q:$Q,0))="","",INDEX('G_Fall-back'!I:I,MATCH($P2175,'G_Fall-back'!$Q:$Q,0))))</f>
        <v/>
      </c>
      <c r="J2175" s="1160" t="str">
        <f>IF($M2118&lt;&gt;EUconst_Relevant,"",IF(INDEX('G_Fall-back'!J:J,MATCH($P2175,'G_Fall-back'!$Q:$Q,0))="","",INDEX('G_Fall-back'!J:J,MATCH($P2175,'G_Fall-back'!$Q:$Q,0))))</f>
        <v/>
      </c>
      <c r="K2175" s="740" t="str">
        <f>IF($M2118&lt;&gt;EUconst_Relevant,"",IF(INDEX('G_Fall-back'!K:K,MATCH($P2175,'G_Fall-back'!$Q:$Q,0))="","",INDEX('G_Fall-back'!K:K,MATCH($P2175,'G_Fall-back'!$Q:$Q,0))))</f>
        <v/>
      </c>
      <c r="L2175" s="740" t="str">
        <f>IF($M2118&lt;&gt;EUconst_Relevant,"",IF(INDEX('G_Fall-back'!L:L,MATCH($P2175,'G_Fall-back'!$Q:$Q,0))="","",INDEX('G_Fall-back'!L:L,MATCH($P2175,'G_Fall-back'!$Q:$Q,0))))</f>
        <v/>
      </c>
      <c r="M2175" s="740" t="str">
        <f>IF($M2118&lt;&gt;EUconst_Relevant,"",IF(INDEX('G_Fall-back'!M:M,MATCH($P2175,'G_Fall-back'!$Q:$Q,0))="","",INDEX('G_Fall-back'!M:M,MATCH($P2175,'G_Fall-back'!$Q:$Q,0))))</f>
        <v/>
      </c>
      <c r="N2175" s="1457" t="str">
        <f>IF($M2118&lt;&gt;EUconst_Relevant,"",IF(INDEX('G_Fall-back'!N:N,MATCH($P2175,'G_Fall-back'!$Q:$Q,0))="","",INDEX('G_Fall-back'!N:N,MATCH($P2175,'G_Fall-back'!$Q:$Q,0))))</f>
        <v/>
      </c>
      <c r="O2175" s="19"/>
      <c r="P2175" s="298" t="str">
        <f>EUconst_CNTR_HeatImportProductEF &amp;I2118</f>
        <v>HeatImProdEF_Delanläggning med värmeriktmärke, KL</v>
      </c>
      <c r="Q2175" s="343"/>
      <c r="R2175" s="343"/>
      <c r="S2175" s="343"/>
      <c r="T2175" s="343"/>
      <c r="U2175" s="349"/>
      <c r="V2175" s="349"/>
    </row>
    <row r="2176" spans="1:22" s="534" customFormat="1" ht="12.75" customHeight="1" x14ac:dyDescent="0.25">
      <c r="A2176" s="343"/>
      <c r="B2176" s="15"/>
      <c r="C2176" s="15"/>
      <c r="D2176" s="1454"/>
      <c r="E2176" s="2611" t="str">
        <f>Translations!$B$1061</f>
        <v>Importerad nettovärme (massa)</v>
      </c>
      <c r="F2176" s="2484"/>
      <c r="G2176" s="365" t="str">
        <f>EUconst_TJpa</f>
        <v>TJ / år</v>
      </c>
      <c r="H2176" s="739" t="str">
        <f>IF($M2118&lt;&gt;EUconst_Relevant,"",IF(INDEX('G_Fall-back'!H:H,MATCH($P2176,'G_Fall-back'!$Q:$Q,0))="","",INDEX('G_Fall-back'!H:H,MATCH($P2176,'G_Fall-back'!$Q:$Q,0))))</f>
        <v/>
      </c>
      <c r="I2176" s="1153" t="str">
        <f>IF($M2118&lt;&gt;EUconst_Relevant,"",IF(INDEX('G_Fall-back'!I:I,MATCH($P2176,'G_Fall-back'!$Q:$Q,0))="","",INDEX('G_Fall-back'!I:I,MATCH($P2176,'G_Fall-back'!$Q:$Q,0))))</f>
        <v/>
      </c>
      <c r="J2176" s="1159" t="str">
        <f>IF($M2118&lt;&gt;EUconst_Relevant,"",IF(INDEX('G_Fall-back'!J:J,MATCH($P2176,'G_Fall-back'!$Q:$Q,0))="","",INDEX('G_Fall-back'!J:J,MATCH($P2176,'G_Fall-back'!$Q:$Q,0))))</f>
        <v/>
      </c>
      <c r="K2176" s="739" t="str">
        <f>IF($M2118&lt;&gt;EUconst_Relevant,"",IF(INDEX('G_Fall-back'!K:K,MATCH($P2176,'G_Fall-back'!$Q:$Q,0))="","",INDEX('G_Fall-back'!K:K,MATCH($P2176,'G_Fall-back'!$Q:$Q,0))))</f>
        <v/>
      </c>
      <c r="L2176" s="739" t="str">
        <f>IF($M2118&lt;&gt;EUconst_Relevant,"",IF(INDEX('G_Fall-back'!L:L,MATCH($P2176,'G_Fall-back'!$Q:$Q,0))="","",INDEX('G_Fall-back'!L:L,MATCH($P2176,'G_Fall-back'!$Q:$Q,0))))</f>
        <v/>
      </c>
      <c r="M2176" s="739" t="str">
        <f>IF($M2118&lt;&gt;EUconst_Relevant,"",IF(INDEX('G_Fall-back'!M:M,MATCH($P2176,'G_Fall-back'!$Q:$Q,0))="","",INDEX('G_Fall-back'!M:M,MATCH($P2176,'G_Fall-back'!$Q:$Q,0))))</f>
        <v/>
      </c>
      <c r="N2176" s="1456" t="str">
        <f>IF($M2118&lt;&gt;EUconst_Relevant,"",IF(INDEX('G_Fall-back'!N:N,MATCH($P2176,'G_Fall-back'!$Q:$Q,0))="","",INDEX('G_Fall-back'!N:N,MATCH($P2176,'G_Fall-back'!$Q:$Q,0))))</f>
        <v/>
      </c>
      <c r="O2176" s="19"/>
      <c r="P2176" s="298" t="str">
        <f>EUconst_CNTR_HeatImportPulp &amp;I2118</f>
        <v>HeatImPulp_Delanläggning med värmeriktmärke, KL</v>
      </c>
      <c r="Q2176" s="343"/>
      <c r="R2176" s="343"/>
      <c r="S2176" s="343"/>
      <c r="T2176" s="343"/>
      <c r="U2176" s="349"/>
      <c r="V2176" s="349"/>
    </row>
    <row r="2177" spans="1:22" s="534" customFormat="1" x14ac:dyDescent="0.25">
      <c r="A2177" s="343"/>
      <c r="B2177" s="15"/>
      <c r="C2177" s="15"/>
      <c r="D2177" s="1454"/>
      <c r="E2177" s="2612" t="str">
        <f>Translations!$B$705</f>
        <v>Särskild emissionsfaktor (från massa)</v>
      </c>
      <c r="F2177" s="2487"/>
      <c r="G2177" s="384" t="str">
        <f>EUconst_tCO2pTJ</f>
        <v>t CO2 / TJ</v>
      </c>
      <c r="H2177" s="740" t="str">
        <f>IF($M2118&lt;&gt;EUconst_Relevant,"",IF(INDEX('G_Fall-back'!H:H,MATCH($P2177,'G_Fall-back'!$Q:$Q,0))="","",INDEX('G_Fall-back'!H:H,MATCH($P2177,'G_Fall-back'!$Q:$Q,0))))</f>
        <v/>
      </c>
      <c r="I2177" s="1154" t="str">
        <f>IF($M2118&lt;&gt;EUconst_Relevant,"",IF(INDEX('G_Fall-back'!I:I,MATCH($P2177,'G_Fall-back'!$Q:$Q,0))="","",INDEX('G_Fall-back'!I:I,MATCH($P2177,'G_Fall-back'!$Q:$Q,0))))</f>
        <v/>
      </c>
      <c r="J2177" s="1160" t="str">
        <f>IF($M2118&lt;&gt;EUconst_Relevant,"",IF(INDEX('G_Fall-back'!J:J,MATCH($P2177,'G_Fall-back'!$Q:$Q,0))="","",INDEX('G_Fall-back'!J:J,MATCH($P2177,'G_Fall-back'!$Q:$Q,0))))</f>
        <v/>
      </c>
      <c r="K2177" s="740" t="str">
        <f>IF($M2118&lt;&gt;EUconst_Relevant,"",IF(INDEX('G_Fall-back'!K:K,MATCH($P2177,'G_Fall-back'!$Q:$Q,0))="","",INDEX('G_Fall-back'!K:K,MATCH($P2177,'G_Fall-back'!$Q:$Q,0))))</f>
        <v/>
      </c>
      <c r="L2177" s="740" t="str">
        <f>IF($M2118&lt;&gt;EUconst_Relevant,"",IF(INDEX('G_Fall-back'!L:L,MATCH($P2177,'G_Fall-back'!$Q:$Q,0))="","",INDEX('G_Fall-back'!L:L,MATCH($P2177,'G_Fall-back'!$Q:$Q,0))))</f>
        <v/>
      </c>
      <c r="M2177" s="740" t="str">
        <f>IF($M2118&lt;&gt;EUconst_Relevant,"",IF(INDEX('G_Fall-back'!M:M,MATCH($P2177,'G_Fall-back'!$Q:$Q,0))="","",INDEX('G_Fall-back'!M:M,MATCH($P2177,'G_Fall-back'!$Q:$Q,0))))</f>
        <v/>
      </c>
      <c r="N2177" s="1457" t="str">
        <f>IF($M2118&lt;&gt;EUconst_Relevant,"",IF(INDEX('G_Fall-back'!N:N,MATCH($P2177,'G_Fall-back'!$Q:$Q,0))="","",INDEX('G_Fall-back'!N:N,MATCH($P2177,'G_Fall-back'!$Q:$Q,0))))</f>
        <v/>
      </c>
      <c r="O2177" s="19"/>
      <c r="P2177" s="298" t="str">
        <f>EUconst_CNTR_HeatImportPulpEF &amp;I2118</f>
        <v>HeatImPulpEF_Delanläggning med värmeriktmärke, KL</v>
      </c>
      <c r="Q2177" s="343"/>
      <c r="R2177" s="343"/>
      <c r="S2177" s="343"/>
      <c r="T2177" s="343"/>
      <c r="U2177" s="349"/>
      <c r="V2177" s="349"/>
    </row>
    <row r="2178" spans="1:22" s="534" customFormat="1" ht="12.75" customHeight="1" x14ac:dyDescent="0.25">
      <c r="A2178" s="343"/>
      <c r="B2178" s="15"/>
      <c r="C2178" s="15"/>
      <c r="D2178" s="1454"/>
      <c r="E2178" s="2611" t="str">
        <f>Translations!$B$1062</f>
        <v>Importerad nettovärme (bränsleriktmärke)</v>
      </c>
      <c r="F2178" s="2484"/>
      <c r="G2178" s="365" t="str">
        <f>EUconst_TJpa</f>
        <v>TJ / år</v>
      </c>
      <c r="H2178" s="739" t="str">
        <f>IF($M2118&lt;&gt;EUconst_Relevant,"",IF(INDEX('G_Fall-back'!H:H,MATCH($P2178,'G_Fall-back'!$Q:$Q,0))="","",INDEX('G_Fall-back'!H:H,MATCH($P2178,'G_Fall-back'!$Q:$Q,0))))</f>
        <v/>
      </c>
      <c r="I2178" s="1153" t="str">
        <f>IF($M2118&lt;&gt;EUconst_Relevant,"",IF(INDEX('G_Fall-back'!I:I,MATCH($P2178,'G_Fall-back'!$Q:$Q,0))="","",INDEX('G_Fall-back'!I:I,MATCH($P2178,'G_Fall-back'!$Q:$Q,0))))</f>
        <v/>
      </c>
      <c r="J2178" s="1159" t="str">
        <f>IF($M2118&lt;&gt;EUconst_Relevant,"",IF(INDEX('G_Fall-back'!J:J,MATCH($P2178,'G_Fall-back'!$Q:$Q,0))="","",INDEX('G_Fall-back'!J:J,MATCH($P2178,'G_Fall-back'!$Q:$Q,0))))</f>
        <v/>
      </c>
      <c r="K2178" s="739" t="str">
        <f>IF($M2118&lt;&gt;EUconst_Relevant,"",IF(INDEX('G_Fall-back'!K:K,MATCH($P2178,'G_Fall-back'!$Q:$Q,0))="","",INDEX('G_Fall-back'!K:K,MATCH($P2178,'G_Fall-back'!$Q:$Q,0))))</f>
        <v/>
      </c>
      <c r="L2178" s="739" t="str">
        <f>IF($M2118&lt;&gt;EUconst_Relevant,"",IF(INDEX('G_Fall-back'!L:L,MATCH($P2178,'G_Fall-back'!$Q:$Q,0))="","",INDEX('G_Fall-back'!L:L,MATCH($P2178,'G_Fall-back'!$Q:$Q,0))))</f>
        <v/>
      </c>
      <c r="M2178" s="739" t="str">
        <f>IF($M2118&lt;&gt;EUconst_Relevant,"",IF(INDEX('G_Fall-back'!M:M,MATCH($P2178,'G_Fall-back'!$Q:$Q,0))="","",INDEX('G_Fall-back'!M:M,MATCH($P2178,'G_Fall-back'!$Q:$Q,0))))</f>
        <v/>
      </c>
      <c r="N2178" s="1456" t="str">
        <f>IF($M2118&lt;&gt;EUconst_Relevant,"",IF(INDEX('G_Fall-back'!N:N,MATCH($P2178,'G_Fall-back'!$Q:$Q,0))="","",INDEX('G_Fall-back'!N:N,MATCH($P2178,'G_Fall-back'!$Q:$Q,0))))</f>
        <v/>
      </c>
      <c r="O2178" s="19"/>
      <c r="P2178" s="298" t="str">
        <f>EUconst_CNTR_HeatImportFuel &amp;I2118</f>
        <v>HeatImFuel_Delanläggning med värmeriktmärke, KL</v>
      </c>
      <c r="Q2178" s="343"/>
      <c r="R2178" s="343"/>
      <c r="S2178" s="343"/>
      <c r="T2178" s="343"/>
      <c r="U2178" s="349"/>
      <c r="V2178" s="349"/>
    </row>
    <row r="2179" spans="1:22" s="534" customFormat="1" ht="12.75" customHeight="1" x14ac:dyDescent="0.25">
      <c r="A2179" s="343"/>
      <c r="B2179" s="15"/>
      <c r="C2179" s="15"/>
      <c r="D2179" s="1454"/>
      <c r="E2179" s="2612" t="str">
        <f>Translations!$B$707</f>
        <v>Särskild emissionsfaktor (från bränsleriktmärke)</v>
      </c>
      <c r="F2179" s="2487"/>
      <c r="G2179" s="624" t="str">
        <f>EUconst_tCO2pTJ</f>
        <v>t CO2 / TJ</v>
      </c>
      <c r="H2179" s="740" t="str">
        <f>IF($M2118&lt;&gt;EUconst_Relevant,"",IF(INDEX('G_Fall-back'!H:H,MATCH($P2179,'G_Fall-back'!$Q:$Q,0))="","",INDEX('G_Fall-back'!H:H,MATCH($P2179,'G_Fall-back'!$Q:$Q,0))))</f>
        <v/>
      </c>
      <c r="I2179" s="1154" t="str">
        <f>IF($M2118&lt;&gt;EUconst_Relevant,"",IF(INDEX('G_Fall-back'!I:I,MATCH($P2179,'G_Fall-back'!$Q:$Q,0))="","",INDEX('G_Fall-back'!I:I,MATCH($P2179,'G_Fall-back'!$Q:$Q,0))))</f>
        <v/>
      </c>
      <c r="J2179" s="1160" t="str">
        <f>IF($M2118&lt;&gt;EUconst_Relevant,"",IF(INDEX('G_Fall-back'!J:J,MATCH($P2179,'G_Fall-back'!$Q:$Q,0))="","",INDEX('G_Fall-back'!J:J,MATCH($P2179,'G_Fall-back'!$Q:$Q,0))))</f>
        <v/>
      </c>
      <c r="K2179" s="740" t="str">
        <f>IF($M2118&lt;&gt;EUconst_Relevant,"",IF(INDEX('G_Fall-back'!K:K,MATCH($P2179,'G_Fall-back'!$Q:$Q,0))="","",INDEX('G_Fall-back'!K:K,MATCH($P2179,'G_Fall-back'!$Q:$Q,0))))</f>
        <v/>
      </c>
      <c r="L2179" s="740" t="str">
        <f>IF($M2118&lt;&gt;EUconst_Relevant,"",IF(INDEX('G_Fall-back'!L:L,MATCH($P2179,'G_Fall-back'!$Q:$Q,0))="","",INDEX('G_Fall-back'!L:L,MATCH($P2179,'G_Fall-back'!$Q:$Q,0))))</f>
        <v/>
      </c>
      <c r="M2179" s="740" t="str">
        <f>IF($M2118&lt;&gt;EUconst_Relevant,"",IF(INDEX('G_Fall-back'!M:M,MATCH($P2179,'G_Fall-back'!$Q:$Q,0))="","",INDEX('G_Fall-back'!M:M,MATCH($P2179,'G_Fall-back'!$Q:$Q,0))))</f>
        <v/>
      </c>
      <c r="N2179" s="1457" t="str">
        <f>IF($M2118&lt;&gt;EUconst_Relevant,"",IF(INDEX('G_Fall-back'!N:N,MATCH($P2179,'G_Fall-back'!$Q:$Q,0))="","",INDEX('G_Fall-back'!N:N,MATCH($P2179,'G_Fall-back'!$Q:$Q,0))))</f>
        <v/>
      </c>
      <c r="O2179" s="19"/>
      <c r="P2179" s="298" t="str">
        <f>EUconst_CNTR_HeatImportFuelEF &amp;I2118</f>
        <v>HeatImFuelEF_Delanläggning med värmeriktmärke, KL</v>
      </c>
      <c r="Q2179" s="343"/>
      <c r="R2179" s="343"/>
      <c r="S2179" s="343"/>
      <c r="T2179" s="343"/>
      <c r="U2179" s="349"/>
      <c r="V2179" s="349"/>
    </row>
    <row r="2180" spans="1:22" s="534" customFormat="1" ht="12.75" customHeight="1" x14ac:dyDescent="0.25">
      <c r="A2180" s="343"/>
      <c r="B2180" s="15"/>
      <c r="C2180" s="15"/>
      <c r="D2180" s="1454"/>
      <c r="E2180" s="2611" t="str">
        <f>Translations!$B$1063</f>
        <v>Importerad nettovärme (restgaser)</v>
      </c>
      <c r="F2180" s="2484"/>
      <c r="G2180" s="365" t="str">
        <f>EUconst_TJpa</f>
        <v>TJ / år</v>
      </c>
      <c r="H2180" s="739" t="str">
        <f>IF($M2118&lt;&gt;EUconst_Relevant,"",IF(INDEX('G_Fall-back'!H:H,MATCH($P2180,'G_Fall-back'!$Q:$Q,0))="","",INDEX('G_Fall-back'!H:H,MATCH($P2180,'G_Fall-back'!$Q:$Q,0))))</f>
        <v/>
      </c>
      <c r="I2180" s="1153" t="str">
        <f>IF($M2118&lt;&gt;EUconst_Relevant,"",IF(INDEX('G_Fall-back'!I:I,MATCH($P2180,'G_Fall-back'!$Q:$Q,0))="","",INDEX('G_Fall-back'!I:I,MATCH($P2180,'G_Fall-back'!$Q:$Q,0))))</f>
        <v/>
      </c>
      <c r="J2180" s="1159" t="str">
        <f>IF($M2118&lt;&gt;EUconst_Relevant,"",IF(INDEX('G_Fall-back'!J:J,MATCH($P2180,'G_Fall-back'!$Q:$Q,0))="","",INDEX('G_Fall-back'!J:J,MATCH($P2180,'G_Fall-back'!$Q:$Q,0))))</f>
        <v/>
      </c>
      <c r="K2180" s="739" t="str">
        <f>IF($M2118&lt;&gt;EUconst_Relevant,"",IF(INDEX('G_Fall-back'!K:K,MATCH($P2180,'G_Fall-back'!$Q:$Q,0))="","",INDEX('G_Fall-back'!K:K,MATCH($P2180,'G_Fall-back'!$Q:$Q,0))))</f>
        <v/>
      </c>
      <c r="L2180" s="739" t="str">
        <f>IF($M2118&lt;&gt;EUconst_Relevant,"",IF(INDEX('G_Fall-back'!L:L,MATCH($P2180,'G_Fall-back'!$Q:$Q,0))="","",INDEX('G_Fall-back'!L:L,MATCH($P2180,'G_Fall-back'!$Q:$Q,0))))</f>
        <v/>
      </c>
      <c r="M2180" s="739" t="str">
        <f>IF($M2118&lt;&gt;EUconst_Relevant,"",IF(INDEX('G_Fall-back'!M:M,MATCH($P2180,'G_Fall-back'!$Q:$Q,0))="","",INDEX('G_Fall-back'!M:M,MATCH($P2180,'G_Fall-back'!$Q:$Q,0))))</f>
        <v/>
      </c>
      <c r="N2180" s="1456" t="str">
        <f>IF($M2118&lt;&gt;EUconst_Relevant,"",IF(INDEX('G_Fall-back'!N:N,MATCH($P2180,'G_Fall-back'!$Q:$Q,0))="","",INDEX('G_Fall-back'!N:N,MATCH($P2180,'G_Fall-back'!$Q:$Q,0))))</f>
        <v/>
      </c>
      <c r="O2180" s="19"/>
      <c r="P2180" s="298" t="str">
        <f>EUconst_CNTR_WGImport &amp;I2118</f>
        <v>WasteGasIm_Delanläggning med värmeriktmärke, KL</v>
      </c>
      <c r="Q2180" s="343"/>
      <c r="R2180" s="343"/>
      <c r="S2180" s="343"/>
      <c r="T2180" s="343"/>
      <c r="U2180" s="349"/>
      <c r="V2180" s="349"/>
    </row>
    <row r="2181" spans="1:22" s="534" customFormat="1" ht="12.75" customHeight="1" x14ac:dyDescent="0.25">
      <c r="A2181" s="343"/>
      <c r="B2181" s="15"/>
      <c r="C2181" s="15"/>
      <c r="D2181" s="1454"/>
      <c r="E2181" s="2612" t="str">
        <f>Translations!$B$709</f>
        <v>Särskild emissionsfaktor (från restgas)</v>
      </c>
      <c r="F2181" s="2487"/>
      <c r="G2181" s="624" t="str">
        <f>EUconst_tCO2pTJ</f>
        <v>t CO2 / TJ</v>
      </c>
      <c r="H2181" s="740" t="str">
        <f>IF($M2118&lt;&gt;EUconst_Relevant,"",IF(INDEX('G_Fall-back'!H:H,MATCH($P2181,'G_Fall-back'!$Q:$Q,0))="","",INDEX('G_Fall-back'!H:H,MATCH($P2181,'G_Fall-back'!$Q:$Q,0))))</f>
        <v/>
      </c>
      <c r="I2181" s="1154" t="str">
        <f>IF($M2118&lt;&gt;EUconst_Relevant,"",IF(INDEX('G_Fall-back'!I:I,MATCH($P2181,'G_Fall-back'!$Q:$Q,0))="","",INDEX('G_Fall-back'!I:I,MATCH($P2181,'G_Fall-back'!$Q:$Q,0))))</f>
        <v/>
      </c>
      <c r="J2181" s="1160" t="str">
        <f>IF($M2118&lt;&gt;EUconst_Relevant,"",IF(INDEX('G_Fall-back'!J:J,MATCH($P2181,'G_Fall-back'!$Q:$Q,0))="","",INDEX('G_Fall-back'!J:J,MATCH($P2181,'G_Fall-back'!$Q:$Q,0))))</f>
        <v/>
      </c>
      <c r="K2181" s="740" t="str">
        <f>IF($M2118&lt;&gt;EUconst_Relevant,"",IF(INDEX('G_Fall-back'!K:K,MATCH($P2181,'G_Fall-back'!$Q:$Q,0))="","",INDEX('G_Fall-back'!K:K,MATCH($P2181,'G_Fall-back'!$Q:$Q,0))))</f>
        <v/>
      </c>
      <c r="L2181" s="740" t="str">
        <f>IF($M2118&lt;&gt;EUconst_Relevant,"",IF(INDEX('G_Fall-back'!L:L,MATCH($P2181,'G_Fall-back'!$Q:$Q,0))="","",INDEX('G_Fall-back'!L:L,MATCH($P2181,'G_Fall-back'!$Q:$Q,0))))</f>
        <v/>
      </c>
      <c r="M2181" s="740" t="str">
        <f>IF($M2118&lt;&gt;EUconst_Relevant,"",IF(INDEX('G_Fall-back'!M:M,MATCH($P2181,'G_Fall-back'!$Q:$Q,0))="","",INDEX('G_Fall-back'!M:M,MATCH($P2181,'G_Fall-back'!$Q:$Q,0))))</f>
        <v/>
      </c>
      <c r="N2181" s="1457" t="str">
        <f>IF($M2118&lt;&gt;EUconst_Relevant,"",IF(INDEX('G_Fall-back'!N:N,MATCH($P2181,'G_Fall-back'!$Q:$Q,0))="","",INDEX('G_Fall-back'!N:N,MATCH($P2181,'G_Fall-back'!$Q:$Q,0))))</f>
        <v/>
      </c>
      <c r="O2181" s="19"/>
      <c r="P2181" s="298" t="str">
        <f>EUconst_CNTR_WGImportEF &amp;I2118</f>
        <v>WasteGasImEF_Delanläggning med värmeriktmärke, KL</v>
      </c>
      <c r="Q2181" s="343"/>
      <c r="R2181" s="343"/>
      <c r="S2181" s="343"/>
      <c r="T2181" s="343"/>
      <c r="U2181" s="349"/>
      <c r="V2181" s="349"/>
    </row>
    <row r="2182" spans="1:22" s="534" customFormat="1" ht="5.15" customHeight="1" thickBot="1" x14ac:dyDescent="0.3">
      <c r="A2182" s="343"/>
      <c r="B2182" s="15"/>
      <c r="C2182" s="15"/>
      <c r="D2182" s="1484"/>
      <c r="E2182" s="783"/>
      <c r="F2182" s="783"/>
      <c r="G2182" s="783"/>
      <c r="H2182" s="783"/>
      <c r="I2182" s="783"/>
      <c r="J2182" s="783"/>
      <c r="K2182" s="783"/>
      <c r="L2182" s="783"/>
      <c r="M2182" s="783"/>
      <c r="N2182" s="784"/>
      <c r="O2182" s="19"/>
      <c r="P2182" s="343"/>
      <c r="Q2182" s="343"/>
      <c r="R2182" s="343"/>
      <c r="S2182" s="343"/>
      <c r="T2182" s="343"/>
      <c r="U2182" s="349"/>
      <c r="V2182" s="349"/>
    </row>
    <row r="2183" spans="1:22" s="534" customFormat="1" ht="5.15" customHeight="1" thickBot="1" x14ac:dyDescent="0.3">
      <c r="A2183" s="343"/>
      <c r="B2183" s="15"/>
      <c r="C2183" s="15"/>
      <c r="D2183" s="15"/>
      <c r="E2183" s="15"/>
      <c r="F2183" s="15"/>
      <c r="G2183" s="15"/>
      <c r="M2183" s="15"/>
      <c r="N2183" s="15"/>
      <c r="O2183" s="19"/>
      <c r="P2183" s="343"/>
      <c r="Q2183" s="343"/>
      <c r="R2183" s="343"/>
      <c r="S2183" s="343"/>
      <c r="T2183" s="343"/>
      <c r="U2183" s="349"/>
      <c r="V2183" s="349"/>
    </row>
    <row r="2184" spans="1:22" s="534" customFormat="1" ht="5.15" customHeight="1" thickBot="1" x14ac:dyDescent="0.3">
      <c r="A2184" s="343"/>
      <c r="B2184" s="3"/>
      <c r="C2184" s="230"/>
      <c r="D2184" s="230"/>
      <c r="E2184" s="230"/>
      <c r="F2184" s="230"/>
      <c r="G2184" s="230"/>
      <c r="H2184" s="230"/>
      <c r="I2184" s="230"/>
      <c r="J2184" s="230"/>
      <c r="K2184" s="230"/>
      <c r="L2184" s="230"/>
      <c r="M2184" s="230"/>
      <c r="N2184" s="230"/>
      <c r="O2184" s="19"/>
      <c r="P2184" s="343"/>
      <c r="Q2184" s="343"/>
      <c r="R2184" s="343"/>
      <c r="S2184" s="343"/>
      <c r="T2184" s="343"/>
      <c r="U2184" s="349"/>
      <c r="V2184" s="349"/>
    </row>
    <row r="2185" spans="1:22" s="534" customFormat="1" ht="15" customHeight="1" thickBot="1" x14ac:dyDescent="0.35">
      <c r="A2185" s="343"/>
      <c r="B2185" s="15"/>
      <c r="C2185" s="17">
        <f>C2118+1</f>
        <v>12</v>
      </c>
      <c r="D2185" s="2053" t="str">
        <f>CONCATENATE(EUconst_FBSubinst," ",C2185-10, ":")</f>
        <v>”Fall-back”-delanläggning 2:</v>
      </c>
      <c r="E2185" s="2053"/>
      <c r="F2185" s="2053"/>
      <c r="G2185" s="2053"/>
      <c r="H2185" s="2081"/>
      <c r="I2185" s="2082" t="str">
        <f>INDEX(EUconst_FallBackListNames,$C2185-10)</f>
        <v>Delanläggning med värmeriktmärke, ej KL</v>
      </c>
      <c r="J2185" s="2083"/>
      <c r="K2185" s="2083"/>
      <c r="L2185" s="2084"/>
      <c r="M2185" s="2085" t="str">
        <f>IF(INDEX(CNTR_FallBackSubInstRelevant,C2185-10)="","",IF(INDEX(CNTR_FallBackSubInstRelevant,C2185-10),EUconst_Relevant,EUconst_NotRelevant))</f>
        <v/>
      </c>
      <c r="N2185" s="2086"/>
      <c r="O2185" s="19"/>
      <c r="P2185" s="343"/>
      <c r="Q2185" s="723">
        <f>C2185</f>
        <v>12</v>
      </c>
      <c r="R2185" s="722" t="str">
        <f>I2185</f>
        <v>Delanläggning med värmeriktmärke, ej KL</v>
      </c>
      <c r="S2185" s="343"/>
      <c r="T2185" s="343"/>
      <c r="U2185" s="349"/>
      <c r="V2185" s="349"/>
    </row>
    <row r="2186" spans="1:22" s="534" customFormat="1" ht="5.15" customHeight="1" x14ac:dyDescent="0.3">
      <c r="A2186" s="343"/>
      <c r="B2186" s="15"/>
      <c r="C2186" s="17"/>
      <c r="D2186" s="17"/>
      <c r="E2186" s="17"/>
      <c r="F2186" s="17"/>
      <c r="G2186" s="17"/>
      <c r="H2186" s="17"/>
      <c r="I2186" s="17"/>
      <c r="J2186" s="17"/>
      <c r="K2186" s="17"/>
      <c r="L2186" s="17"/>
      <c r="M2186" s="17"/>
      <c r="N2186" s="17"/>
      <c r="O2186" s="19"/>
      <c r="P2186" s="343"/>
      <c r="Q2186" s="343"/>
      <c r="R2186" s="343"/>
      <c r="S2186" s="343"/>
      <c r="T2186" s="343"/>
      <c r="U2186" s="349"/>
      <c r="V2186" s="349"/>
    </row>
    <row r="2187" spans="1:22" s="534" customFormat="1" ht="12.75" customHeight="1" x14ac:dyDescent="0.3">
      <c r="A2187" s="343"/>
      <c r="B2187" s="15"/>
      <c r="C2187" s="17"/>
      <c r="D2187" s="17"/>
      <c r="E2187" s="17"/>
      <c r="F2187" s="17"/>
      <c r="H2187" s="506" t="str">
        <f>Translations!$B$1022</f>
        <v>KL-risk</v>
      </c>
      <c r="I2187" s="15"/>
      <c r="J2187" s="506" t="str">
        <f>Translations!$B$1026</f>
        <v>I drift</v>
      </c>
      <c r="K2187" s="506" t="str">
        <f>Translations!$B$1545</f>
        <v>Upphört</v>
      </c>
      <c r="L2187" s="952" t="str">
        <f>Translations!$B$1024</f>
        <v>RM-nummer</v>
      </c>
      <c r="M2187" s="2786" t="str">
        <f>Translations!$B$1028</f>
        <v>RM-värde</v>
      </c>
      <c r="N2187" s="2786"/>
      <c r="O2187" s="19"/>
      <c r="P2187" s="343"/>
      <c r="Q2187" s="343"/>
      <c r="R2187" s="343"/>
      <c r="S2187" s="343"/>
      <c r="T2187" s="343"/>
      <c r="U2187" s="349"/>
      <c r="V2187" s="349"/>
    </row>
    <row r="2188" spans="1:22" s="534" customFormat="1" ht="12.75" customHeight="1" x14ac:dyDescent="0.3">
      <c r="A2188" s="343"/>
      <c r="B2188" s="15"/>
      <c r="C2188" s="17"/>
      <c r="D2188" s="17"/>
      <c r="E2188" s="508" t="str">
        <f>I2185</f>
        <v>Delanläggning med värmeriktmärke, ej KL</v>
      </c>
      <c r="F2188" s="509"/>
      <c r="G2188" s="509"/>
      <c r="H2188" s="510" t="b">
        <f>INDEX(EUconst_FallBackListCLstatus,MATCH(I2185,EUconst_FallBackListNames,0))</f>
        <v>0</v>
      </c>
      <c r="I2188" s="15"/>
      <c r="J2188" s="1045" t="str">
        <f>IF($M2185&lt;&gt;EUconst_Relevant,EUconst_NA,INDEX(CNTR_SubInstStartDate,MATCH(I2185,CNTR_SubInstListNames,0)))</f>
        <v>Ej tillämpligt</v>
      </c>
      <c r="K2188" s="1045" t="str">
        <f>IF($M2185&lt;&gt;EUconst_Relevant,EUconst_NA,IF(INDEX(CNTR_SubInstCessationDate,MATCH(I2185,CNTR_SubInstListNames,0))=0,"",INDEX(CNTR_SubInstCessationDate,MATCH(I2185,CNTR_SubInstListNames,0))))</f>
        <v>Ej tillämpligt</v>
      </c>
      <c r="L2188" s="953">
        <f>C2185-10</f>
        <v>2</v>
      </c>
      <c r="M2188" s="1746" t="str">
        <f>IF(M2185&lt;&gt;EUconst_Relevant,EUconst_NA,INDEX(EUconst_FallBackListBMvaluesMatrix,L2188,3))</f>
        <v>Ej tillämpligt</v>
      </c>
      <c r="N2188" s="1041" t="str">
        <f>EUconst_EUA &amp; "/" &amp; F2191</f>
        <v>EUA/TJ</v>
      </c>
      <c r="O2188" s="19"/>
      <c r="P2188" s="343"/>
      <c r="Q2188" s="343"/>
      <c r="R2188" s="343"/>
      <c r="S2188" s="343"/>
      <c r="T2188" s="343"/>
      <c r="U2188" s="349"/>
      <c r="V2188" s="349"/>
    </row>
    <row r="2189" spans="1:22" s="534" customFormat="1" ht="5.15" customHeight="1" thickBot="1" x14ac:dyDescent="0.35">
      <c r="A2189" s="343"/>
      <c r="B2189" s="15"/>
      <c r="C2189" s="15"/>
      <c r="D2189" s="15"/>
      <c r="E2189" s="17"/>
      <c r="J2189" s="15"/>
      <c r="K2189" s="15"/>
      <c r="L2189" s="15"/>
      <c r="M2189" s="15"/>
      <c r="N2189" s="15"/>
      <c r="O2189" s="19"/>
      <c r="P2189" s="343"/>
      <c r="Q2189" s="343"/>
      <c r="R2189" s="343"/>
      <c r="S2189" s="343"/>
      <c r="T2189" s="7"/>
      <c r="U2189" s="349"/>
      <c r="V2189" s="349"/>
    </row>
    <row r="2190" spans="1:22" s="534" customFormat="1" ht="12.75" customHeight="1" x14ac:dyDescent="0.25">
      <c r="A2190" s="343"/>
      <c r="B2190" s="15"/>
      <c r="C2190" s="15"/>
      <c r="D2190" s="15"/>
      <c r="E2190" s="39"/>
      <c r="F2190" s="13" t="str">
        <f>EUconst_Unit</f>
        <v>Enhet</v>
      </c>
      <c r="G2190" s="1201" t="str">
        <f>Translations!$B$1432</f>
        <v>HAL</v>
      </c>
      <c r="H2190" s="987">
        <f t="shared" ref="H2190:N2190" si="421">H$2596</f>
        <v>2019</v>
      </c>
      <c r="I2190" s="342">
        <f t="shared" si="421"/>
        <v>2020</v>
      </c>
      <c r="J2190" s="987">
        <f t="shared" si="421"/>
        <v>2021</v>
      </c>
      <c r="K2190" s="320">
        <f t="shared" si="421"/>
        <v>2022</v>
      </c>
      <c r="L2190" s="320">
        <f t="shared" si="421"/>
        <v>2023</v>
      </c>
      <c r="M2190" s="320">
        <f t="shared" si="421"/>
        <v>2024</v>
      </c>
      <c r="N2190" s="320">
        <f t="shared" si="421"/>
        <v>2025</v>
      </c>
      <c r="O2190" s="19"/>
      <c r="P2190" s="343"/>
      <c r="Q2190" s="343" t="s">
        <v>2010</v>
      </c>
      <c r="R2190" s="1635">
        <f>J$2596</f>
        <v>2021</v>
      </c>
      <c r="S2190" s="1636">
        <f>K$2596</f>
        <v>2022</v>
      </c>
      <c r="T2190" s="1636">
        <f>L$2596</f>
        <v>2023</v>
      </c>
      <c r="U2190" s="1636">
        <f>M$2596</f>
        <v>2024</v>
      </c>
      <c r="V2190" s="1637">
        <f>N$2596</f>
        <v>2025</v>
      </c>
    </row>
    <row r="2191" spans="1:22" s="534" customFormat="1" ht="12.75" customHeight="1" thickBot="1" x14ac:dyDescent="0.3">
      <c r="A2191" s="343"/>
      <c r="B2191" s="15"/>
      <c r="C2191" s="15"/>
      <c r="D2191" s="15"/>
      <c r="E2191" s="514" t="str">
        <f>Translations!$B$1562</f>
        <v>Rapporterad verksamhetsnivå</v>
      </c>
      <c r="F2191" s="563" t="str">
        <f>INDEX(EUconst_FallBackListUnits,L2188)</f>
        <v>TJ</v>
      </c>
      <c r="G2191" s="1407" t="str">
        <f>I2222</f>
        <v/>
      </c>
      <c r="H2191" s="1408" t="str">
        <f>IF($M2185&lt;&gt;EUconst_Relevant,"",IF(H2190&gt;=CNTR_ReportingYear,"",SUMIF('G_Fall-back'!$Q:$Q,$P2191,'G_Fall-back'!H:H)))</f>
        <v/>
      </c>
      <c r="I2191" s="1409" t="str">
        <f>IF($M2185&lt;&gt;EUconst_Relevant,"",IF(I2190&gt;=CNTR_ReportingYear,"",SUMIF('G_Fall-back'!$Q:$Q,$P2191,'G_Fall-back'!I:I)))</f>
        <v/>
      </c>
      <c r="J2191" s="1408" t="str">
        <f>IF($M2185&lt;&gt;EUconst_Relevant,"",IF(J2190&gt;=CNTR_ReportingYear,"",SUMIF('G_Fall-back'!$Q:$Q,$P2191,'G_Fall-back'!J:J)))</f>
        <v/>
      </c>
      <c r="K2191" s="1410" t="str">
        <f>IF($M2185&lt;&gt;EUconst_Relevant,"",IF(K2190&gt;=CNTR_ReportingYear,"",SUMIF('G_Fall-back'!$Q:$Q,$P2191,'G_Fall-back'!K:K)))</f>
        <v/>
      </c>
      <c r="L2191" s="1410" t="str">
        <f>IF($M2185&lt;&gt;EUconst_Relevant,"",IF(L2190&gt;=CNTR_ReportingYear,"",SUMIF('G_Fall-back'!$Q:$Q,$P2191,'G_Fall-back'!L:L)))</f>
        <v/>
      </c>
      <c r="M2191" s="1410" t="str">
        <f>IF($M2185&lt;&gt;EUconst_Relevant,"",IF(M2190&gt;=CNTR_ReportingYear,"",SUMIF('G_Fall-back'!$Q:$Q,$P2191,'G_Fall-back'!M:M)))</f>
        <v/>
      </c>
      <c r="N2191" s="1410" t="str">
        <f>IF($M2185&lt;&gt;EUconst_Relevant,"",IF(N2190&gt;=CNTR_ReportingYear,"",SUMIF('G_Fall-back'!$Q:$Q,$P2191,'G_Fall-back'!N:N)))</f>
        <v/>
      </c>
      <c r="O2191" s="19"/>
      <c r="P2191" s="165" t="str">
        <f>EUconst_CNTR_HAL&amp;I2185</f>
        <v>HAL_Delanläggning med värmeriktmärke, ej KL</v>
      </c>
      <c r="Q2191" s="343"/>
      <c r="R2191" s="1329" t="b">
        <f>AND($M2185=EUconst_Relevant,R2190&lt;=CNTR_ReportingYear,IF($J2188&lt;&gt;EUconst_NA,R2190&gt;=YEAR($J2188),TRUE))</f>
        <v>0</v>
      </c>
      <c r="S2191" s="1330" t="b">
        <f>AND($M2185=EUconst_Relevant,S2190&lt;=CNTR_ReportingYear,IF($J2188&lt;&gt;EUconst_NA,S2190&gt;=YEAR($J2188),TRUE))</f>
        <v>0</v>
      </c>
      <c r="T2191" s="1330" t="b">
        <f>AND($M2185=EUconst_Relevant,T2190&lt;=CNTR_ReportingYear,IF($J2188&lt;&gt;EUconst_NA,T2190&gt;=YEAR($J2188),TRUE))</f>
        <v>0</v>
      </c>
      <c r="U2191" s="1330" t="b">
        <f>AND($M2185=EUconst_Relevant,U2190&lt;=CNTR_ReportingYear,IF($J2188&lt;&gt;EUconst_NA,U2190&gt;=YEAR($J2188),TRUE))</f>
        <v>0</v>
      </c>
      <c r="V2191" s="1331" t="b">
        <f>AND($M2185=EUconst_Relevant,V2190&lt;=CNTR_ReportingYear,IF($J2188&lt;&gt;EUconst_NA,V2190&gt;=YEAR($J2188),TRUE))</f>
        <v>0</v>
      </c>
    </row>
    <row r="2192" spans="1:22" s="534" customFormat="1" x14ac:dyDescent="0.25">
      <c r="A2192" s="343"/>
      <c r="B2192" s="15"/>
      <c r="C2192" s="15"/>
      <c r="D2192" s="15"/>
      <c r="E2192" s="514" t="str">
        <f>Translations!$B$1588</f>
        <v>Rapporterad effektivitet</v>
      </c>
      <c r="F2192" s="563" t="str">
        <f>IF($M2185&lt;&gt;EUconst_Relevant,"",INDEX('G_Fall-back'!H:H,MATCH($P2214,'G_Fall-back'!$Q:$Q,0)-1))</f>
        <v/>
      </c>
      <c r="G2192" s="1414" t="str">
        <f>IF($M2185&lt;&gt;EUconst_Relevant,"",INDEX('G_Fall-back'!I:I,MATCH($P2214,'G_Fall-back'!$Q:$Q,0)-1))</f>
        <v/>
      </c>
      <c r="H2192" s="1132" t="str">
        <f>IF($M2185&lt;&gt;EUconst_Relevant,"",INDEX('G_Fall-back'!H:H,MATCH($P2192,'G_Fall-back'!$Q:$Q,0)))</f>
        <v/>
      </c>
      <c r="I2192" s="1133" t="str">
        <f>IF($M2185&lt;&gt;EUconst_Relevant,"",INDEX('G_Fall-back'!I:I,MATCH($P2192,'G_Fall-back'!$Q:$Q,0)))</f>
        <v/>
      </c>
      <c r="J2192" s="1132" t="str">
        <f>IF($M2185&lt;&gt;EUconst_Relevant,"",INDEX('G_Fall-back'!J:J,MATCH($P2192,'G_Fall-back'!$Q:$Q,0)))</f>
        <v/>
      </c>
      <c r="K2192" s="662" t="str">
        <f>IF($M2185&lt;&gt;EUconst_Relevant,"",INDEX('G_Fall-back'!K:K,MATCH($P2192,'G_Fall-back'!$Q:$Q,0)))</f>
        <v/>
      </c>
      <c r="L2192" s="662" t="str">
        <f>IF($M2185&lt;&gt;EUconst_Relevant,"",INDEX('G_Fall-back'!L:L,MATCH($P2192,'G_Fall-back'!$Q:$Q,0)))</f>
        <v/>
      </c>
      <c r="M2192" s="662" t="str">
        <f>IF($M2185&lt;&gt;EUconst_Relevant,"",INDEX('G_Fall-back'!M:M,MATCH($P2192,'G_Fall-back'!$Q:$Q,0)))</f>
        <v/>
      </c>
      <c r="N2192" s="662" t="str">
        <f>IF($M2185&lt;&gt;EUconst_Relevant,"",INDEX('G_Fall-back'!N:N,MATCH($P2192,'G_Fall-back'!$Q:$Q,0)))</f>
        <v/>
      </c>
      <c r="O2192" s="19"/>
      <c r="P2192" s="165" t="str">
        <f>EUconst_CNTR_EnEff&amp;I2185</f>
        <v>EnEff_Delanläggning med värmeriktmärke, ej KL</v>
      </c>
      <c r="Q2192" s="343"/>
      <c r="R2192" s="343"/>
      <c r="S2192" s="343"/>
      <c r="T2192" s="7"/>
      <c r="U2192" s="349"/>
      <c r="V2192" s="349"/>
    </row>
    <row r="2193" spans="1:22" s="534" customFormat="1" ht="5.15" customHeight="1" thickBot="1" x14ac:dyDescent="0.3">
      <c r="A2193" s="343"/>
      <c r="B2193" s="15"/>
      <c r="C2193" s="15"/>
      <c r="D2193" s="15"/>
      <c r="F2193" s="15"/>
      <c r="G2193" s="15"/>
      <c r="H2193" s="15"/>
      <c r="I2193" s="941"/>
      <c r="J2193" s="15"/>
      <c r="K2193" s="15"/>
      <c r="L2193" s="15"/>
      <c r="M2193" s="15"/>
      <c r="N2193" s="15"/>
      <c r="O2193" s="19"/>
      <c r="P2193" s="343"/>
      <c r="Q2193" s="343"/>
      <c r="R2193" s="343"/>
      <c r="S2193" s="343"/>
      <c r="T2193" s="7"/>
      <c r="U2193" s="349"/>
      <c r="V2193" s="349"/>
    </row>
    <row r="2194" spans="1:22" s="534" customFormat="1" ht="5.15" customHeight="1" x14ac:dyDescent="0.3">
      <c r="A2194" s="343"/>
      <c r="B2194" s="15"/>
      <c r="C2194" s="17"/>
      <c r="D2194" s="1383"/>
      <c r="E2194" s="1384"/>
      <c r="F2194" s="1384"/>
      <c r="G2194" s="1384"/>
      <c r="H2194" s="1384"/>
      <c r="I2194" s="1384"/>
      <c r="J2194" s="1384"/>
      <c r="K2194" s="1384"/>
      <c r="L2194" s="1384"/>
      <c r="M2194" s="1384"/>
      <c r="N2194" s="1385"/>
      <c r="O2194" s="19"/>
      <c r="P2194" s="343"/>
      <c r="Q2194" s="343"/>
      <c r="R2194" s="343"/>
      <c r="S2194" s="343"/>
      <c r="T2194" s="343"/>
      <c r="U2194" s="349"/>
      <c r="V2194" s="349"/>
    </row>
    <row r="2195" spans="1:22" s="534" customFormat="1" ht="12.75" customHeight="1" x14ac:dyDescent="0.3">
      <c r="A2195" s="343"/>
      <c r="B2195" s="15"/>
      <c r="C2195" s="17"/>
      <c r="D2195" s="1386"/>
      <c r="E2195" s="42" t="str">
        <f>Translations!$B$1563</f>
        <v>Tillämplighet av glidande medelvärde</v>
      </c>
      <c r="F2195" s="188"/>
      <c r="G2195" s="188"/>
      <c r="H2195" s="30" t="str">
        <f>EUconst_Unit</f>
        <v>Enhet</v>
      </c>
      <c r="I2195" s="1157"/>
      <c r="J2195" s="1065">
        <f>J$2596</f>
        <v>2021</v>
      </c>
      <c r="K2195" s="350">
        <f>K$2596</f>
        <v>2022</v>
      </c>
      <c r="L2195" s="350">
        <f>L$2596</f>
        <v>2023</v>
      </c>
      <c r="M2195" s="350">
        <f>M$2596</f>
        <v>2024</v>
      </c>
      <c r="N2195" s="966">
        <f>N$2596</f>
        <v>2025</v>
      </c>
      <c r="O2195" s="19"/>
      <c r="P2195" s="343"/>
      <c r="Q2195" s="343"/>
      <c r="R2195" s="343"/>
      <c r="S2195" s="343"/>
      <c r="T2195" s="343"/>
      <c r="U2195" s="349"/>
      <c r="V2195" s="349"/>
    </row>
    <row r="2196" spans="1:22" s="534" customFormat="1" ht="12.75" customHeight="1" x14ac:dyDescent="0.3">
      <c r="A2196" s="343"/>
      <c r="B2196" s="15"/>
      <c r="C2196" s="17"/>
      <c r="D2196" s="1386"/>
      <c r="E2196" s="1477" t="str">
        <f>Translations!$B$1549</f>
        <v>Kriterium 1: Verksam &gt;2 år?</v>
      </c>
      <c r="F2196" s="1478"/>
      <c r="G2196" s="1478"/>
      <c r="H2196" s="1366" t="s">
        <v>1112</v>
      </c>
      <c r="I2196" s="1478"/>
      <c r="J2196" s="1469" t="str">
        <f>IF(R2191,INDEX('G_Fall-back'!V:V,MATCH($P2196,'G_Fall-back'!$Q:$Q,0))&gt;=3,"")</f>
        <v/>
      </c>
      <c r="K2196" s="1470" t="str">
        <f>IF(S2191,INDEX('G_Fall-back'!W:W,MATCH($P2196,'G_Fall-back'!$Q:$Q,0))&gt;=3,"")</f>
        <v/>
      </c>
      <c r="L2196" s="1470" t="str">
        <f>IF(T2191,INDEX('G_Fall-back'!X:X,MATCH($P2196,'G_Fall-back'!$Q:$Q,0))&gt;=3,"")</f>
        <v/>
      </c>
      <c r="M2196" s="1470" t="str">
        <f>IF(U2191,INDEX('G_Fall-back'!Y:Y,MATCH($P2196,'G_Fall-back'!$Q:$Q,0))&gt;=3,"")</f>
        <v/>
      </c>
      <c r="N2196" s="1471" t="str">
        <f>IF(V2191,INDEX('G_Fall-back'!Z:Z,MATCH($P2196,'G_Fall-back'!$Q:$Q,0))&gt;=3,"")</f>
        <v/>
      </c>
      <c r="O2196" s="19"/>
      <c r="P2196" s="165" t="str">
        <f>EUconst_CNTR_HALinitial&amp;I2185</f>
        <v>HALini_Delanläggning med värmeriktmärke, ej KL</v>
      </c>
      <c r="Q2196" s="343"/>
      <c r="R2196" s="343"/>
      <c r="S2196" s="343"/>
      <c r="T2196" s="343"/>
      <c r="U2196" s="349"/>
      <c r="V2196" s="349"/>
    </row>
    <row r="2197" spans="1:22" s="534" customFormat="1" ht="12.75" customHeight="1" x14ac:dyDescent="0.3">
      <c r="A2197" s="343"/>
      <c r="B2197" s="15"/>
      <c r="C2197" s="17"/>
      <c r="D2197" s="1386"/>
      <c r="E2197" s="1472" t="str">
        <f>Translations!$B$1551</f>
        <v>Kriterium 2: Upphörde inte föregående år?</v>
      </c>
      <c r="F2197" s="1479"/>
      <c r="G2197" s="1479"/>
      <c r="H2197" s="1473" t="s">
        <v>1112</v>
      </c>
      <c r="I2197" s="1479"/>
      <c r="J2197" s="1474" t="str">
        <f>IF(R2191,IF($K2188="",2050,YEAR($K2188))&lt;&gt;(J2195-1),"")</f>
        <v/>
      </c>
      <c r="K2197" s="1475" t="str">
        <f>IF(S2191,IF($K2188="",2050,YEAR($K2188))&lt;&gt;(K2195-1),"")</f>
        <v/>
      </c>
      <c r="L2197" s="1475" t="str">
        <f>IF(T2191,IF($K2188="",2050,YEAR($K2188))&lt;&gt;(L2195-1),"")</f>
        <v/>
      </c>
      <c r="M2197" s="1475" t="str">
        <f>IF(U2191,IF($K2188="",2050,YEAR($K2188))&lt;&gt;(M2195-1),"")</f>
        <v/>
      </c>
      <c r="N2197" s="1476" t="str">
        <f>IF(V2191,IF($K2188="",2050,YEAR($K2188))&lt;&gt;(N2195-1),"")</f>
        <v/>
      </c>
      <c r="O2197" s="19"/>
      <c r="P2197" s="343"/>
      <c r="Q2197" s="343"/>
      <c r="R2197" s="343"/>
      <c r="S2197" s="343"/>
      <c r="T2197" s="343"/>
      <c r="U2197" s="349"/>
      <c r="V2197" s="349"/>
    </row>
    <row r="2198" spans="1:22" s="534" customFormat="1" ht="5.15" customHeight="1" x14ac:dyDescent="0.3">
      <c r="A2198" s="343"/>
      <c r="B2198" s="15"/>
      <c r="C2198" s="17"/>
      <c r="D2198" s="1386"/>
      <c r="E2198" s="17"/>
      <c r="F2198" s="17"/>
      <c r="G2198" s="17"/>
      <c r="H2198" s="17"/>
      <c r="I2198" s="17"/>
      <c r="J2198" s="17"/>
      <c r="K2198" s="17"/>
      <c r="L2198" s="17"/>
      <c r="M2198" s="17"/>
      <c r="N2198" s="1388"/>
      <c r="O2198" s="19"/>
      <c r="P2198" s="343"/>
      <c r="Q2198" s="343"/>
      <c r="R2198" s="343"/>
      <c r="S2198" s="343"/>
      <c r="T2198" s="343"/>
      <c r="U2198" s="349"/>
      <c r="V2198" s="349"/>
    </row>
    <row r="2199" spans="1:22" s="534" customFormat="1" ht="12.75" customHeight="1" x14ac:dyDescent="0.3">
      <c r="A2199" s="343"/>
      <c r="B2199" s="15"/>
      <c r="C2199" s="17"/>
      <c r="D2199" s="1386"/>
      <c r="E2199" s="39" t="str">
        <f>Translations!$B$1564</f>
        <v>Ändringar: Ingen ändring (bas)</v>
      </c>
      <c r="F2199" s="15"/>
      <c r="G2199" s="15"/>
      <c r="H2199" s="30" t="str">
        <f>EUconst_Unit</f>
        <v>Enhet</v>
      </c>
      <c r="I2199" s="1157"/>
      <c r="J2199" s="987">
        <f>J$2596</f>
        <v>2021</v>
      </c>
      <c r="K2199" s="320">
        <f>K$2596</f>
        <v>2022</v>
      </c>
      <c r="L2199" s="320">
        <f>L$2596</f>
        <v>2023</v>
      </c>
      <c r="M2199" s="320">
        <f>M$2596</f>
        <v>2024</v>
      </c>
      <c r="N2199" s="1387">
        <f>N$2596</f>
        <v>2025</v>
      </c>
      <c r="O2199" s="19"/>
      <c r="P2199" s="343"/>
      <c r="Q2199" s="343"/>
      <c r="R2199" s="343"/>
      <c r="S2199" s="343"/>
      <c r="T2199" s="343"/>
      <c r="U2199" s="349"/>
      <c r="V2199" s="349"/>
    </row>
    <row r="2200" spans="1:22" s="534" customFormat="1" ht="12.75" hidden="1" customHeight="1" x14ac:dyDescent="0.3">
      <c r="A2200" s="343" t="str">
        <f>IF(P2200="","ausblenden","")</f>
        <v>ausblenden</v>
      </c>
      <c r="B2200" s="15"/>
      <c r="C2200" s="17"/>
      <c r="D2200" s="1386"/>
      <c r="E2200" s="514" t="s">
        <v>1918</v>
      </c>
      <c r="F2200" s="514"/>
      <c r="G2200" s="514"/>
      <c r="H2200" s="917" t="str">
        <f>F2191</f>
        <v>TJ</v>
      </c>
      <c r="I2200" s="514"/>
      <c r="J2200" s="1411" t="str">
        <f>IF(T2223&gt;=$H$2595,S2222,I2222)</f>
        <v/>
      </c>
      <c r="K2200" s="1413" t="str">
        <f>J2222</f>
        <v/>
      </c>
      <c r="L2200" s="1413" t="str">
        <f>K2222</f>
        <v/>
      </c>
      <c r="M2200" s="1413" t="str">
        <f>L2222</f>
        <v/>
      </c>
      <c r="N2200" s="1466" t="str">
        <f>M2222</f>
        <v/>
      </c>
      <c r="O2200" s="19"/>
      <c r="P2200" s="343"/>
      <c r="Q2200" s="343"/>
      <c r="R2200" s="343"/>
      <c r="S2200" s="343"/>
      <c r="T2200" s="343"/>
      <c r="U2200" s="349"/>
      <c r="V2200" s="349"/>
    </row>
    <row r="2201" spans="1:22" s="534" customFormat="1" ht="12.75" customHeight="1" x14ac:dyDescent="0.3">
      <c r="A2201" s="343"/>
      <c r="B2201" s="15"/>
      <c r="C2201" s="17"/>
      <c r="D2201" s="1386"/>
      <c r="E2201" s="514" t="str">
        <f>Translations!$B$1565</f>
        <v>Preliminärt tilldelningsvärde</v>
      </c>
      <c r="F2201" s="514"/>
      <c r="G2201" s="514"/>
      <c r="H2201" s="129" t="str">
        <f>EUconst_EUA</f>
        <v>EUA</v>
      </c>
      <c r="I2201" s="1151"/>
      <c r="J2201" s="1131" t="str">
        <f>IF($M2185&lt;&gt;EUconst_Relevant,"",MAX(0,ROUND((SUM($M2188)*SUM(J2200))*IF($H2188=TRUE,1,J$2517),0)))</f>
        <v/>
      </c>
      <c r="K2201" s="421" t="str">
        <f>IF($M2185&lt;&gt;EUconst_Relevant,"",MAX(0,ROUND((SUM($M2188)*SUM(K2200))*IF($H2188=TRUE,1,K$2517),0)))</f>
        <v/>
      </c>
      <c r="L2201" s="421" t="str">
        <f>IF($M2185&lt;&gt;EUconst_Relevant,"",MAX(0,ROUND((SUM($M2188)*SUM(L2200))*IF($H2188=TRUE,1,L$2517),0)))</f>
        <v/>
      </c>
      <c r="M2201" s="421" t="str">
        <f>IF($M2185&lt;&gt;EUconst_Relevant,"",MAX(0,ROUND((SUM($M2188)*SUM(M2200))*IF($H2188=TRUE,1,M$2517),0)))</f>
        <v/>
      </c>
      <c r="N2201" s="967" t="str">
        <f>IF($M2185&lt;&gt;EUconst_Relevant,"",MAX(0,ROUND((SUM($M2188)*SUM(N2200))*IF($H2188=TRUE,1,N$2517),0)))</f>
        <v/>
      </c>
      <c r="O2201" s="19"/>
      <c r="P2201" s="343"/>
      <c r="Q2201" s="343"/>
      <c r="R2201" s="343"/>
      <c r="S2201" s="343"/>
      <c r="T2201" s="343"/>
      <c r="U2201" s="349"/>
      <c r="V2201" s="349"/>
    </row>
    <row r="2202" spans="1:22" s="534" customFormat="1" ht="5.15" customHeight="1" x14ac:dyDescent="0.3">
      <c r="A2202" s="343"/>
      <c r="B2202" s="15"/>
      <c r="C2202" s="17"/>
      <c r="D2202" s="1386"/>
      <c r="E2202" s="17"/>
      <c r="F2202" s="17"/>
      <c r="G2202" s="17"/>
      <c r="H2202" s="17"/>
      <c r="I2202" s="17"/>
      <c r="J2202" s="17"/>
      <c r="K2202" s="17"/>
      <c r="L2202" s="17"/>
      <c r="M2202" s="17"/>
      <c r="N2202" s="1388"/>
      <c r="O2202" s="19"/>
      <c r="P2202" s="343"/>
      <c r="Q2202" s="343"/>
      <c r="R2202" s="343"/>
      <c r="S2202" s="343"/>
      <c r="T2202" s="343"/>
      <c r="U2202" s="349"/>
      <c r="V2202" s="349"/>
    </row>
    <row r="2203" spans="1:22" s="534" customFormat="1" ht="12.75" customHeight="1" x14ac:dyDescent="0.3">
      <c r="A2203" s="343"/>
      <c r="B2203" s="15"/>
      <c r="C2203" s="17"/>
      <c r="D2203" s="1386"/>
      <c r="E2203" s="42" t="str">
        <f>Translations!$B$1566</f>
        <v>Ändringar: Verksamhetsnivå</v>
      </c>
      <c r="F2203" s="188"/>
      <c r="G2203" s="188"/>
      <c r="H2203" s="30" t="str">
        <f>EUconst_Unit</f>
        <v>Enhet</v>
      </c>
      <c r="I2203" s="1157"/>
      <c r="J2203" s="1065">
        <f>J$2596</f>
        <v>2021</v>
      </c>
      <c r="K2203" s="350">
        <f>K$2596</f>
        <v>2022</v>
      </c>
      <c r="L2203" s="350">
        <f>L$2596</f>
        <v>2023</v>
      </c>
      <c r="M2203" s="350">
        <f>M$2596</f>
        <v>2024</v>
      </c>
      <c r="N2203" s="966">
        <f>N$2596</f>
        <v>2025</v>
      </c>
      <c r="O2203" s="19"/>
      <c r="P2203" s="343"/>
      <c r="Q2203" s="343"/>
      <c r="R2203" s="343"/>
      <c r="S2203" s="343"/>
      <c r="T2203" s="343"/>
      <c r="U2203" s="349"/>
      <c r="V2203" s="349"/>
    </row>
    <row r="2204" spans="1:22" s="534" customFormat="1" ht="12.75" customHeight="1" x14ac:dyDescent="0.3">
      <c r="A2204" s="343"/>
      <c r="B2204" s="15"/>
      <c r="C2204" s="17"/>
      <c r="D2204" s="1386"/>
      <c r="E2204" s="944" t="str">
        <f>Translations!$B$1482</f>
        <v>Genomsnittligt årligt värde</v>
      </c>
      <c r="F2204" s="944"/>
      <c r="G2204" s="944"/>
      <c r="H2204" s="1443" t="str">
        <f>H2200</f>
        <v>TJ</v>
      </c>
      <c r="I2204" s="1367"/>
      <c r="J2204" s="1463" t="str">
        <f>INDEX('G_Fall-back'!J:J,MATCH($P2204,'G_Fall-back'!$Q:$Q,0))</f>
        <v/>
      </c>
      <c r="K2204" s="1464" t="str">
        <f>INDEX('G_Fall-back'!K:K,MATCH($P2204,'G_Fall-back'!$Q:$Q,0))</f>
        <v/>
      </c>
      <c r="L2204" s="1464" t="str">
        <f>INDEX('G_Fall-back'!L:L,MATCH($P2204,'G_Fall-back'!$Q:$Q,0))</f>
        <v/>
      </c>
      <c r="M2204" s="1464" t="str">
        <f>INDEX('G_Fall-back'!M:M,MATCH($P2204,'G_Fall-back'!$Q:$Q,0))</f>
        <v/>
      </c>
      <c r="N2204" s="1465" t="str">
        <f>INDEX('G_Fall-back'!N:N,MATCH($P2204,'G_Fall-back'!$Q:$Q,0))</f>
        <v/>
      </c>
      <c r="O2204" s="19"/>
      <c r="P2204" s="165" t="str">
        <f>EUconst_CNTR_HALinitial&amp;I2185</f>
        <v>HALini_Delanläggning med värmeriktmärke, ej KL</v>
      </c>
      <c r="Q2204" s="343"/>
      <c r="R2204" s="343"/>
      <c r="S2204" s="343"/>
      <c r="T2204" s="343"/>
      <c r="U2204" s="349"/>
      <c r="V2204" s="349"/>
    </row>
    <row r="2205" spans="1:22" s="534" customFormat="1" ht="12.75" customHeight="1" x14ac:dyDescent="0.3">
      <c r="A2205" s="343"/>
      <c r="B2205" s="15"/>
      <c r="C2205" s="17"/>
      <c r="D2205" s="1386"/>
      <c r="E2205" s="947" t="str">
        <f>Translations!$B$1567</f>
        <v>Ändring jämfört med historik verksamhetsnivå</v>
      </c>
      <c r="F2205" s="947"/>
      <c r="G2205" s="947"/>
      <c r="H2205" s="1442" t="s">
        <v>1112</v>
      </c>
      <c r="I2205" s="1371"/>
      <c r="J2205" s="1415" t="str">
        <f>INDEX('G_Fall-back'!J:J,MATCH($P2205,'G_Fall-back'!$Q:$Q,0))</f>
        <v/>
      </c>
      <c r="K2205" s="1416" t="str">
        <f>INDEX('G_Fall-back'!K:K,MATCH($P2205,'G_Fall-back'!$Q:$Q,0))</f>
        <v/>
      </c>
      <c r="L2205" s="1416" t="str">
        <f>INDEX('G_Fall-back'!L:L,MATCH($P2205,'G_Fall-back'!$Q:$Q,0))</f>
        <v/>
      </c>
      <c r="M2205" s="1416" t="str">
        <f>INDEX('G_Fall-back'!M:M,MATCH($P2205,'G_Fall-back'!$Q:$Q,0))</f>
        <v/>
      </c>
      <c r="N2205" s="1417" t="str">
        <f>INDEX('G_Fall-back'!N:N,MATCH($P2205,'G_Fall-back'!$Q:$Q,0))</f>
        <v/>
      </c>
      <c r="O2205" s="19"/>
      <c r="P2205" s="165" t="str">
        <f>EUconst_CNTR_RelThreshold &amp; I2185</f>
        <v>RelThresh_Delanläggning med värmeriktmärke, ej KL</v>
      </c>
      <c r="Q2205" s="343"/>
      <c r="R2205" s="343"/>
      <c r="S2205" s="343"/>
      <c r="T2205" s="343"/>
      <c r="U2205" s="349"/>
      <c r="V2205" s="349"/>
    </row>
    <row r="2206" spans="1:22" s="534" customFormat="1" ht="12.75" customHeight="1" x14ac:dyDescent="0.3">
      <c r="A2206" s="343"/>
      <c r="B2206" s="15"/>
      <c r="C2206" s="17"/>
      <c r="D2206" s="1386"/>
      <c r="E2206" s="1418" t="str">
        <f>Translations!$B$1589</f>
        <v>Kriterium 3: Har relativa tröskelvärden överskridits?</v>
      </c>
      <c r="F2206" s="1418"/>
      <c r="G2206" s="1418"/>
      <c r="H2206" s="1444" t="s">
        <v>1112</v>
      </c>
      <c r="I2206" s="1423"/>
      <c r="J2206" s="1420" t="str">
        <f>INDEX('G_Fall-back'!V:V,MATCH($P2206,'G_Fall-back'!$Q:$Q,0)+1)</f>
        <v/>
      </c>
      <c r="K2206" s="1421" t="str">
        <f>INDEX('G_Fall-back'!W:W,MATCH($P2206,'G_Fall-back'!$Q:$Q,0)+1)</f>
        <v/>
      </c>
      <c r="L2206" s="1421" t="str">
        <f>INDEX('G_Fall-back'!X:X,MATCH($P2206,'G_Fall-back'!$Q:$Q,0)+1)</f>
        <v/>
      </c>
      <c r="M2206" s="1421" t="str">
        <f>INDEX('G_Fall-back'!Y:Y,MATCH($P2206,'G_Fall-back'!$Q:$Q,0)+1)</f>
        <v/>
      </c>
      <c r="N2206" s="1422" t="str">
        <f>INDEX('G_Fall-back'!Z:Z,MATCH($P2206,'G_Fall-back'!$Q:$Q,0)+1)</f>
        <v/>
      </c>
      <c r="O2206" s="19"/>
      <c r="P2206" s="165" t="str">
        <f>P2205</f>
        <v>RelThresh_Delanläggning med värmeriktmärke, ej KL</v>
      </c>
      <c r="Q2206" s="343"/>
      <c r="R2206" s="343"/>
      <c r="S2206" s="343"/>
      <c r="T2206" s="343"/>
      <c r="U2206" s="349"/>
      <c r="V2206" s="349"/>
    </row>
    <row r="2207" spans="1:22" s="534" customFormat="1" ht="12.75" customHeight="1" x14ac:dyDescent="0.3">
      <c r="A2207" s="343" t="str">
        <f>IF(P2207="","ausblenden","")</f>
        <v/>
      </c>
      <c r="B2207" s="15"/>
      <c r="C2207" s="17"/>
      <c r="D2207" s="1386"/>
      <c r="E2207" s="950" t="str">
        <f>Translations!$B$1568</f>
        <v>Preliminärt värde</v>
      </c>
      <c r="F2207" s="950"/>
      <c r="G2207" s="950"/>
      <c r="H2207" s="1372" t="str">
        <f>F2191</f>
        <v>TJ</v>
      </c>
      <c r="I2207" s="950"/>
      <c r="J2207" s="1401" t="str">
        <f>INDEX('G_Fall-back'!J:J,MATCH($P2207,'G_Fall-back'!$Q:$Q,0))</f>
        <v/>
      </c>
      <c r="K2207" s="1402" t="str">
        <f>INDEX('G_Fall-back'!K:K,MATCH($P2207,'G_Fall-back'!$Q:$Q,0))</f>
        <v/>
      </c>
      <c r="L2207" s="1402" t="str">
        <f>INDEX('G_Fall-back'!L:L,MATCH($P2207,'G_Fall-back'!$Q:$Q,0))</f>
        <v/>
      </c>
      <c r="M2207" s="1402" t="str">
        <f>INDEX('G_Fall-back'!M:M,MATCH($P2207,'G_Fall-back'!$Q:$Q,0))</f>
        <v/>
      </c>
      <c r="N2207" s="1403" t="str">
        <f>INDEX('G_Fall-back'!N:N,MATCH($P2207,'G_Fall-back'!$Q:$Q,0))</f>
        <v/>
      </c>
      <c r="O2207" s="19"/>
      <c r="P2207" s="165" t="str">
        <f>EUconst_CNTR_HALprelim&amp;I2185</f>
        <v>HALprelim_Delanläggning med värmeriktmärke, ej KL</v>
      </c>
      <c r="Q2207" s="343"/>
      <c r="R2207" s="343"/>
      <c r="S2207" s="343"/>
      <c r="T2207" s="343"/>
      <c r="U2207" s="349"/>
      <c r="V2207" s="349"/>
    </row>
    <row r="2208" spans="1:22" s="534" customFormat="1" ht="12.75" customHeight="1" x14ac:dyDescent="0.3">
      <c r="A2208" s="343"/>
      <c r="B2208" s="15"/>
      <c r="C2208" s="17"/>
      <c r="D2208" s="1386"/>
      <c r="E2208" s="514" t="str">
        <f>Translations!$B$1565</f>
        <v>Preliminärt tilldelningsvärde</v>
      </c>
      <c r="F2208" s="514"/>
      <c r="G2208" s="514"/>
      <c r="H2208" s="129" t="str">
        <f>EUconst_EUA</f>
        <v>EUA</v>
      </c>
      <c r="I2208" s="1151"/>
      <c r="J2208" s="1131" t="str">
        <f>IF($M2185&lt;&gt;EUconst_Relevant,"",MAX(0,ROUND((SUM($M2188)*SUM(J2207))*IF($H2188=TRUE,1,J$2517),0)))</f>
        <v/>
      </c>
      <c r="K2208" s="421" t="str">
        <f>IF($M2185&lt;&gt;EUconst_Relevant,"",MAX(0,ROUND((SUM($M2188)*SUM(K2207))*IF($H2188=TRUE,1,K$2517),0)))</f>
        <v/>
      </c>
      <c r="L2208" s="421" t="str">
        <f>IF($M2185&lt;&gt;EUconst_Relevant,"",MAX(0,ROUND((SUM($M2188)*SUM(L2207))*IF($H2188=TRUE,1,L$2517),0)))</f>
        <v/>
      </c>
      <c r="M2208" s="421" t="str">
        <f>IF($M2185&lt;&gt;EUconst_Relevant,"",MAX(0,ROUND((SUM($M2188)*SUM(M2207))*IF($H2188=TRUE,1,M$2517),0)))</f>
        <v/>
      </c>
      <c r="N2208" s="967" t="str">
        <f>IF($M2185&lt;&gt;EUconst_Relevant,"",MAX(0,ROUND((SUM($M2188)*SUM(N2207))*IF($H2188=TRUE,1,N$2517),0)))</f>
        <v/>
      </c>
      <c r="O2208" s="19"/>
      <c r="P2208" s="343"/>
      <c r="Q2208" s="343"/>
      <c r="R2208" s="343"/>
      <c r="S2208" s="343"/>
      <c r="T2208" s="343"/>
      <c r="U2208" s="349"/>
      <c r="V2208" s="349"/>
    </row>
    <row r="2209" spans="1:22" s="534" customFormat="1" ht="12.75" customHeight="1" x14ac:dyDescent="0.3">
      <c r="A2209" s="343"/>
      <c r="B2209" s="15"/>
      <c r="C2209" s="17"/>
      <c r="D2209" s="1386"/>
      <c r="E2209" s="514" t="str">
        <f>Translations!$B$1569</f>
        <v>Skillnad i tilldelning</v>
      </c>
      <c r="F2209" s="514"/>
      <c r="G2209" s="514"/>
      <c r="H2209" s="129" t="str">
        <f>EUconst_EUA</f>
        <v>EUA</v>
      </c>
      <c r="I2209" s="1151"/>
      <c r="J2209" s="1131" t="str">
        <f>IF($M2185&lt;&gt;EUconst_Relevant,"",ABS(SUM(J2208)-SUM(J2201)))</f>
        <v/>
      </c>
      <c r="K2209" s="421" t="str">
        <f>IF($M2185&lt;&gt;EUconst_Relevant,"",ABS(SUM(K2208)-SUM(K2201)))</f>
        <v/>
      </c>
      <c r="L2209" s="421" t="str">
        <f>IF($M2185&lt;&gt;EUconst_Relevant,"",ABS(SUM(L2208)-SUM(L2201)))</f>
        <v/>
      </c>
      <c r="M2209" s="421" t="str">
        <f>IF($M2185&lt;&gt;EUconst_Relevant,"",ABS(SUM(M2208)-SUM(M2201)))</f>
        <v/>
      </c>
      <c r="N2209" s="967" t="str">
        <f>IF($M2185&lt;&gt;EUconst_Relevant,"",ABS(SUM(N2208)-SUM(N2201)))</f>
        <v/>
      </c>
      <c r="O2209" s="19"/>
      <c r="P2209" s="343"/>
      <c r="Q2209" s="343"/>
      <c r="R2209" s="343"/>
      <c r="S2209" s="343"/>
      <c r="T2209" s="343"/>
      <c r="U2209" s="349"/>
      <c r="V2209" s="349"/>
    </row>
    <row r="2210" spans="1:22" s="534" customFormat="1" ht="12.75" customHeight="1" x14ac:dyDescent="0.3">
      <c r="A2210" s="343"/>
      <c r="B2210" s="15"/>
      <c r="C2210" s="17"/>
      <c r="D2210" s="1386"/>
      <c r="E2210" s="1419" t="str">
        <f>Translations!$B$1590</f>
        <v>Kriterium 4: Är skillnaden minst 100 utsläppsrätter?</v>
      </c>
      <c r="F2210" s="1419"/>
      <c r="G2210" s="1419"/>
      <c r="H2210" s="1424" t="s">
        <v>1112</v>
      </c>
      <c r="I2210" s="1425"/>
      <c r="J2210" s="1426" t="str">
        <f>IF($M2185&lt;&gt;EUconst_Relevant,"",J2209&gt;=100)</f>
        <v/>
      </c>
      <c r="K2210" s="1427" t="str">
        <f>IF($M2185&lt;&gt;EUconst_Relevant,"",K2209&gt;=100)</f>
        <v/>
      </c>
      <c r="L2210" s="1427" t="str">
        <f>IF($M2185&lt;&gt;EUconst_Relevant,"",L2209&gt;=100)</f>
        <v/>
      </c>
      <c r="M2210" s="1427" t="str">
        <f>IF($M2185&lt;&gt;EUconst_Relevant,"",M2209&gt;=100)</f>
        <v/>
      </c>
      <c r="N2210" s="1428" t="str">
        <f>IF($M2185&lt;&gt;EUconst_Relevant,"",N2209&gt;=100)</f>
        <v/>
      </c>
      <c r="O2210" s="19"/>
      <c r="P2210" s="165" t="str">
        <f>EUconst_CNTR_100EUA_ActivityLevel&amp;I2185</f>
        <v>EUA100AL_Delanläggning med värmeriktmärke, ej KL</v>
      </c>
      <c r="Q2210" s="343"/>
      <c r="R2210" s="343"/>
      <c r="S2210" s="343"/>
      <c r="T2210" s="343"/>
      <c r="U2210" s="349"/>
      <c r="V2210" s="349"/>
    </row>
    <row r="2211" spans="1:22" s="534" customFormat="1" ht="5.15" customHeight="1" x14ac:dyDescent="0.3">
      <c r="A2211" s="343"/>
      <c r="B2211" s="15"/>
      <c r="C2211" s="17"/>
      <c r="D2211" s="1386"/>
      <c r="E2211" s="15"/>
      <c r="F2211" s="15"/>
      <c r="G2211" s="15"/>
      <c r="H2211" s="15"/>
      <c r="I2211" s="941"/>
      <c r="J2211" s="15"/>
      <c r="K2211" s="15"/>
      <c r="L2211" s="15"/>
      <c r="M2211" s="15"/>
      <c r="N2211" s="968"/>
      <c r="O2211" s="19"/>
      <c r="P2211" s="343"/>
      <c r="Q2211" s="343"/>
      <c r="R2211" s="343"/>
      <c r="S2211" s="343"/>
      <c r="T2211" s="343"/>
      <c r="U2211" s="349"/>
      <c r="V2211" s="349"/>
    </row>
    <row r="2212" spans="1:22" s="534" customFormat="1" ht="13" x14ac:dyDescent="0.25">
      <c r="A2212" s="343"/>
      <c r="B2212" s="15"/>
      <c r="C2212" s="15"/>
      <c r="D2212" s="965"/>
      <c r="E2212" s="42" t="str">
        <f>Translations!$B$1591</f>
        <v>Ändringar: Effektivitet</v>
      </c>
      <c r="F2212" s="188"/>
      <c r="G2212" s="188"/>
      <c r="H2212" s="30"/>
      <c r="I2212" s="1157"/>
      <c r="J2212" s="987">
        <f>J$2596</f>
        <v>2021</v>
      </c>
      <c r="K2212" s="320">
        <f>K$2596</f>
        <v>2022</v>
      </c>
      <c r="L2212" s="320">
        <f>L$2596</f>
        <v>2023</v>
      </c>
      <c r="M2212" s="320">
        <f>M$2596</f>
        <v>2024</v>
      </c>
      <c r="N2212" s="1387">
        <f>N$2596</f>
        <v>2025</v>
      </c>
      <c r="O2212" s="19"/>
      <c r="P2212" s="343"/>
      <c r="Q2212" s="343"/>
      <c r="R2212" s="343"/>
      <c r="S2212" s="343"/>
      <c r="T2212" s="7"/>
      <c r="U2212" s="349"/>
      <c r="V2212" s="349"/>
    </row>
    <row r="2213" spans="1:22" s="534" customFormat="1" x14ac:dyDescent="0.25">
      <c r="A2213" s="343"/>
      <c r="B2213" s="15"/>
      <c r="C2213" s="15"/>
      <c r="D2213" s="965"/>
      <c r="E2213" s="944" t="str">
        <f>Translations!$B$1482</f>
        <v>Genomsnittligt årligt värde</v>
      </c>
      <c r="F2213" s="944"/>
      <c r="G2213" s="944"/>
      <c r="H2213" s="944"/>
      <c r="I2213" s="1486"/>
      <c r="J2213" s="1368" t="str">
        <f>IF($M2185&lt;&gt;EUconst_Relevant,"",INDEX('G_Fall-back'!J:J,MATCH($P2213,'G_Fall-back'!$Q:$Q,0)))</f>
        <v/>
      </c>
      <c r="K2213" s="1369" t="str">
        <f>IF($M2185&lt;&gt;EUconst_Relevant,"",INDEX('G_Fall-back'!K:K,MATCH($P2213,'G_Fall-back'!$Q:$Q,0)))</f>
        <v/>
      </c>
      <c r="L2213" s="1369" t="str">
        <f>IF($M2185&lt;&gt;EUconst_Relevant,"",INDEX('G_Fall-back'!L:L,MATCH($P2213,'G_Fall-back'!$Q:$Q,0)))</f>
        <v/>
      </c>
      <c r="M2213" s="1369" t="str">
        <f>IF($M2185&lt;&gt;EUconst_Relevant,"",INDEX('G_Fall-back'!M:M,MATCH($P2213,'G_Fall-back'!$Q:$Q,0)))</f>
        <v/>
      </c>
      <c r="N2213" s="1394" t="str">
        <f>IF($M2185&lt;&gt;EUconst_Relevant,"",INDEX('G_Fall-back'!N:N,MATCH($P2213,'G_Fall-back'!$Q:$Q,0)))</f>
        <v/>
      </c>
      <c r="O2213" s="19"/>
      <c r="P2213" s="165" t="str">
        <f>EUconst_CNTR_EnEffInitial&amp;I2185</f>
        <v>EnEffIni_Delanläggning med värmeriktmärke, ej KL</v>
      </c>
      <c r="Q2213" s="343"/>
      <c r="R2213" s="343"/>
      <c r="S2213" s="343"/>
      <c r="T2213" s="7"/>
      <c r="U2213" s="349"/>
      <c r="V2213" s="349"/>
    </row>
    <row r="2214" spans="1:22" s="534" customFormat="1" ht="13" thickBot="1" x14ac:dyDescent="0.3">
      <c r="A2214" s="343"/>
      <c r="B2214" s="15"/>
      <c r="C2214" s="15"/>
      <c r="D2214" s="965"/>
      <c r="E2214" s="950" t="str">
        <f>Translations!$B$1567</f>
        <v>Ändring jämfört med historik verksamhetsnivå</v>
      </c>
      <c r="F2214" s="950"/>
      <c r="G2214" s="950"/>
      <c r="H2214" s="950"/>
      <c r="I2214" s="1487"/>
      <c r="J2214" s="1488" t="str">
        <f>IF($M2185&lt;&gt;EUconst_Relevant,"",INDEX('G_Fall-back'!J:J,MATCH($P2214,'G_Fall-back'!$Q:$Q,0)))</f>
        <v/>
      </c>
      <c r="K2214" s="1489" t="str">
        <f>IF($M2185&lt;&gt;EUconst_Relevant,"",INDEX('G_Fall-back'!K:K,MATCH($P2214,'G_Fall-back'!$Q:$Q,0)))</f>
        <v/>
      </c>
      <c r="L2214" s="1489" t="str">
        <f>IF($M2185&lt;&gt;EUconst_Relevant,"",INDEX('G_Fall-back'!L:L,MATCH($P2214,'G_Fall-back'!$Q:$Q,0)))</f>
        <v/>
      </c>
      <c r="M2214" s="1489" t="str">
        <f>IF($M2185&lt;&gt;EUconst_Relevant,"",INDEX('G_Fall-back'!M:M,MATCH($P2214,'G_Fall-back'!$Q:$Q,0)))</f>
        <v/>
      </c>
      <c r="N2214" s="1490" t="str">
        <f>IF($M2185&lt;&gt;EUconst_Relevant,"",INDEX('G_Fall-back'!N:N,MATCH($P2214,'G_Fall-back'!$Q:$Q,0)))</f>
        <v/>
      </c>
      <c r="O2214" s="19"/>
      <c r="P2214" s="1485" t="str">
        <f>EUconst_CNTR_EnEffPct&amp;I2185</f>
        <v>EnEffPct_Delanläggning med värmeriktmärke, ej KL</v>
      </c>
      <c r="Q2214" s="343"/>
      <c r="R2214" s="343"/>
      <c r="S2214" s="343"/>
      <c r="T2214" s="7"/>
      <c r="U2214" s="349"/>
      <c r="V2214" s="349"/>
    </row>
    <row r="2215" spans="1:22" s="534" customFormat="1" ht="13" x14ac:dyDescent="0.25">
      <c r="A2215" s="343"/>
      <c r="B2215" s="15"/>
      <c r="C2215" s="15"/>
      <c r="D2215" s="965"/>
      <c r="E2215" s="1467" t="str">
        <f>Translations!$B$1557</f>
        <v>Kriterium 5: Kan behörig myndighet besluta?</v>
      </c>
      <c r="F2215" s="1467"/>
      <c r="G2215" s="1467"/>
      <c r="H2215" s="1481" t="s">
        <v>1112</v>
      </c>
      <c r="I2215" s="1468"/>
      <c r="J2215" s="1469" t="str">
        <f>IF($M2185&lt;&gt;EUconst_Relevant,"",INDEX('G_Fall-back'!J:J,MATCH($P2215,'G_Fall-back'!$Q:$Q,0)))</f>
        <v/>
      </c>
      <c r="K2215" s="1470" t="str">
        <f>IF($M2185&lt;&gt;EUconst_Relevant,"",INDEX('G_Fall-back'!K:K,MATCH($P2215,'G_Fall-back'!$Q:$Q,0)))</f>
        <v/>
      </c>
      <c r="L2215" s="1470" t="str">
        <f>IF($M2185&lt;&gt;EUconst_Relevant,"",INDEX('G_Fall-back'!L:L,MATCH($P2215,'G_Fall-back'!$Q:$Q,0)))</f>
        <v/>
      </c>
      <c r="M2215" s="1470" t="str">
        <f>IF($M2185&lt;&gt;EUconst_Relevant,"",INDEX('G_Fall-back'!M:M,MATCH($P2215,'G_Fall-back'!$Q:$Q,0)))</f>
        <v/>
      </c>
      <c r="N2215" s="1471" t="str">
        <f>IF($M2185&lt;&gt;EUconst_Relevant,"",INDEX('G_Fall-back'!N:N,MATCH($P2215,'G_Fall-back'!$Q:$Q,0)))</f>
        <v/>
      </c>
      <c r="O2215" s="19"/>
      <c r="P2215" s="165" t="str">
        <f>EUconst_CNTR_CARejectionRelevant&amp;I2185</f>
        <v>CARejectRel_Delanläggning med värmeriktmärke, ej KL</v>
      </c>
      <c r="Q2215" s="343"/>
      <c r="R2215" s="1635">
        <f>J$2596</f>
        <v>2021</v>
      </c>
      <c r="S2215" s="1636">
        <f>K$2596</f>
        <v>2022</v>
      </c>
      <c r="T2215" s="1636">
        <f>L$2596</f>
        <v>2023</v>
      </c>
      <c r="U2215" s="1636">
        <f>M$2596</f>
        <v>2024</v>
      </c>
      <c r="V2215" s="1637">
        <f>N$2596</f>
        <v>2025</v>
      </c>
    </row>
    <row r="2216" spans="1:22" s="534" customFormat="1" ht="13.5" thickBot="1" x14ac:dyDescent="0.3">
      <c r="A2216" s="343"/>
      <c r="B2216" s="15"/>
      <c r="C2216" s="15"/>
      <c r="D2216" s="965"/>
      <c r="E2216" s="1472" t="str">
        <f>Translations!$B$1559</f>
        <v>Kriterium 6: Ej avslag från behörig myndighet?</v>
      </c>
      <c r="F2216" s="1472"/>
      <c r="G2216" s="1472"/>
      <c r="H2216" s="1482" t="s">
        <v>1112</v>
      </c>
      <c r="I2216" s="1473"/>
      <c r="J2216" s="1474" t="str">
        <f>IF($M2185&lt;&gt;EUconst_Relevant,"",IF(R2216=0,EUconst_ERR_CADecision,R2216))</f>
        <v/>
      </c>
      <c r="K2216" s="1475" t="str">
        <f>IF($M2185&lt;&gt;EUconst_Relevant,"",IF(S2216=0,EUconst_ERR_CADecision,S2216))</f>
        <v/>
      </c>
      <c r="L2216" s="1475" t="str">
        <f>IF($M2185&lt;&gt;EUconst_Relevant,"",IF(T2216=0,EUconst_ERR_CADecision,T2216))</f>
        <v/>
      </c>
      <c r="M2216" s="1475" t="str">
        <f>IF($M2185&lt;&gt;EUconst_Relevant,"",IF(U2216=0,EUconst_ERR_CADecision,U2216))</f>
        <v/>
      </c>
      <c r="N2216" s="1476" t="str">
        <f>IF($M2185&lt;&gt;EUconst_Relevant,"",IF(V2216=0,EUconst_ERR_CADecision,V2216))</f>
        <v/>
      </c>
      <c r="O2216" s="19"/>
      <c r="P2216" s="165" t="str">
        <f>EUconst_CNTR_CARejection &amp; I2185</f>
        <v>CAReject_Delanläggning med värmeriktmärke, ej KL</v>
      </c>
      <c r="Q2216" s="343"/>
      <c r="R2216" s="1329" t="str">
        <f>IF(J2215=TRUE,INDEX('G_Fall-back'!J:J,MATCH($P2216,'G_Fall-back'!$Q:$Q,0)),EUconst_NA)</f>
        <v>Ej tillämpligt</v>
      </c>
      <c r="S2216" s="1330" t="str">
        <f>IF(K2215=TRUE,INDEX('G_Fall-back'!K:K,MATCH($P2216,'G_Fall-back'!$Q:$Q,0)),EUconst_NA)</f>
        <v>Ej tillämpligt</v>
      </c>
      <c r="T2216" s="1330" t="str">
        <f>IF(L2215=TRUE,INDEX('G_Fall-back'!L:L,MATCH($P2216,'G_Fall-back'!$Q:$Q,0)),EUconst_NA)</f>
        <v>Ej tillämpligt</v>
      </c>
      <c r="U2216" s="1330" t="str">
        <f>IF(M2215=TRUE,INDEX('G_Fall-back'!M:M,MATCH($P2216,'G_Fall-back'!$Q:$Q,0)),EUconst_NA)</f>
        <v>Ej tillämpligt</v>
      </c>
      <c r="V2216" s="1331" t="str">
        <f>IF(N2215=TRUE,INDEX('G_Fall-back'!N:N,MATCH($P2216,'G_Fall-back'!$Q:$Q,0)),EUconst_NA)</f>
        <v>Ej tillämpligt</v>
      </c>
    </row>
    <row r="2217" spans="1:22" s="534" customFormat="1" ht="13" x14ac:dyDescent="0.25">
      <c r="A2217" s="343"/>
      <c r="B2217" s="15"/>
      <c r="C2217" s="15"/>
      <c r="D2217" s="965"/>
      <c r="E2217" s="514" t="str">
        <f>Translations!$B$1592</f>
        <v>Faktisk justering av verksamhetsnivån</v>
      </c>
      <c r="F2217" s="514"/>
      <c r="G2217" s="514"/>
      <c r="H2217" s="1168" t="s">
        <v>1112</v>
      </c>
      <c r="I2217" s="1480"/>
      <c r="J2217" s="1169" t="str">
        <f>INDEX('G_Fall-back'!J:J,MATCH($P2217,'G_Fall-back'!$Q:$Q,0))</f>
        <v/>
      </c>
      <c r="K2217" s="1170" t="str">
        <f>INDEX('G_Fall-back'!K:K,MATCH($P2217,'G_Fall-back'!$Q:$Q,0))</f>
        <v/>
      </c>
      <c r="L2217" s="1170" t="str">
        <f>INDEX('G_Fall-back'!L:L,MATCH($P2217,'G_Fall-back'!$Q:$Q,0))</f>
        <v/>
      </c>
      <c r="M2217" s="1170" t="str">
        <f>INDEX('G_Fall-back'!M:M,MATCH($P2217,'G_Fall-back'!$Q:$Q,0))</f>
        <v/>
      </c>
      <c r="N2217" s="1171" t="str">
        <f>INDEX('G_Fall-back'!N:N,MATCH($P2217,'G_Fall-back'!$Q:$Q,0))</f>
        <v/>
      </c>
      <c r="O2217" s="19"/>
      <c r="P2217" s="165" t="str">
        <f>EUconst_CNTR_HALAdjPct&amp;I2185</f>
        <v>HALAdjPct_Delanläggning med värmeriktmärke, ej KL</v>
      </c>
      <c r="Q2217" s="343"/>
      <c r="R2217" s="343"/>
      <c r="S2217" s="343"/>
      <c r="T2217" s="7"/>
      <c r="U2217" s="349"/>
      <c r="V2217" s="349"/>
    </row>
    <row r="2218" spans="1:22" s="534" customFormat="1" ht="5.15" customHeight="1" thickBot="1" x14ac:dyDescent="0.3">
      <c r="A2218" s="343"/>
      <c r="B2218" s="15"/>
      <c r="C2218" s="15"/>
      <c r="D2218" s="972"/>
      <c r="E2218" s="973"/>
      <c r="F2218" s="973"/>
      <c r="G2218" s="973"/>
      <c r="H2218" s="973"/>
      <c r="I2218" s="1483"/>
      <c r="J2218" s="973"/>
      <c r="K2218" s="973"/>
      <c r="L2218" s="973"/>
      <c r="M2218" s="973"/>
      <c r="N2218" s="974"/>
      <c r="O2218" s="19"/>
      <c r="P2218" s="343"/>
      <c r="Q2218" s="343"/>
      <c r="R2218" s="343"/>
      <c r="S2218" s="343"/>
      <c r="T2218" s="7"/>
      <c r="U2218" s="349"/>
      <c r="V2218" s="349"/>
    </row>
    <row r="2219" spans="1:22" s="534" customFormat="1" ht="5.15" customHeight="1" thickBot="1" x14ac:dyDescent="0.3">
      <c r="A2219" s="343"/>
      <c r="B2219" s="15"/>
      <c r="C2219" s="15"/>
      <c r="D2219" s="15"/>
      <c r="E2219" s="15"/>
      <c r="F2219" s="15"/>
      <c r="G2219" s="15"/>
      <c r="H2219" s="15"/>
      <c r="I2219" s="942"/>
      <c r="J2219" s="15"/>
      <c r="K2219" s="15"/>
      <c r="L2219" s="15"/>
      <c r="M2219" s="15"/>
      <c r="N2219" s="15"/>
      <c r="O2219" s="19"/>
      <c r="P2219" s="343"/>
      <c r="Q2219" s="343"/>
      <c r="R2219" s="343"/>
      <c r="S2219" s="343"/>
      <c r="T2219" s="7"/>
      <c r="U2219" s="349"/>
      <c r="V2219" s="349"/>
    </row>
    <row r="2220" spans="1:22" s="534" customFormat="1" ht="5.15" customHeight="1" x14ac:dyDescent="0.25">
      <c r="A2220" s="343"/>
      <c r="B2220" s="15"/>
      <c r="C2220" s="15"/>
      <c r="D2220" s="961"/>
      <c r="E2220" s="962"/>
      <c r="F2220" s="962"/>
      <c r="G2220" s="962"/>
      <c r="H2220" s="962"/>
      <c r="I2220" s="963"/>
      <c r="J2220" s="962"/>
      <c r="K2220" s="962"/>
      <c r="L2220" s="962"/>
      <c r="M2220" s="962"/>
      <c r="N2220" s="964"/>
      <c r="O2220" s="19"/>
      <c r="P2220" s="343"/>
      <c r="Q2220" s="343"/>
      <c r="R2220" s="343"/>
      <c r="S2220" s="343"/>
      <c r="T2220" s="7"/>
      <c r="U2220" s="349"/>
      <c r="V2220" s="349"/>
    </row>
    <row r="2221" spans="1:22" s="534" customFormat="1" ht="13" x14ac:dyDescent="0.25">
      <c r="A2221" s="343"/>
      <c r="B2221" s="15"/>
      <c r="C2221" s="15"/>
      <c r="D2221" s="965"/>
      <c r="E2221" s="39" t="str">
        <f>Translations!$B$1586</f>
        <v>Faktiska använda värden</v>
      </c>
      <c r="F2221" s="15"/>
      <c r="G2221" s="15"/>
      <c r="H2221" s="30" t="str">
        <f>EUconst_Unit</f>
        <v>Enhet</v>
      </c>
      <c r="I2221" s="1613" t="str">
        <f>Translations!$B$1510</f>
        <v>Basvärde</v>
      </c>
      <c r="J2221" s="1065">
        <f>J$2596</f>
        <v>2021</v>
      </c>
      <c r="K2221" s="350">
        <f>K$2596</f>
        <v>2022</v>
      </c>
      <c r="L2221" s="350">
        <f>L$2596</f>
        <v>2023</v>
      </c>
      <c r="M2221" s="350">
        <f>M$2596</f>
        <v>2024</v>
      </c>
      <c r="N2221" s="966">
        <f>N$2596</f>
        <v>2025</v>
      </c>
      <c r="O2221" s="19"/>
      <c r="P2221" s="343"/>
      <c r="Q2221" s="343"/>
      <c r="R2221" s="343"/>
      <c r="S2221" s="297" t="s">
        <v>1846</v>
      </c>
      <c r="T2221" s="7"/>
      <c r="U2221" s="349"/>
      <c r="V2221" s="349"/>
    </row>
    <row r="2222" spans="1:22" s="534" customFormat="1" x14ac:dyDescent="0.25">
      <c r="A2222" s="343"/>
      <c r="B2222" s="15"/>
      <c r="C2222" s="15"/>
      <c r="D2222" s="965"/>
      <c r="E2222" s="514" t="str">
        <f>Translations!$B$1593</f>
        <v>Använd verksamhetsnivå</v>
      </c>
      <c r="F2222" s="514"/>
      <c r="G2222" s="514"/>
      <c r="H2222" s="917" t="str">
        <f>F2191</f>
        <v>TJ</v>
      </c>
      <c r="I2222" s="1411" t="str">
        <f>IF($M2185&lt;&gt;EUconst_Relevant,"",IF(T2223&gt;=$H$2595,0,S2222))</f>
        <v/>
      </c>
      <c r="J2222" s="1408" t="str">
        <f>INDEX('G_Fall-back'!J:J,MATCH($P2222,'G_Fall-back'!$Q:$Q,0))</f>
        <v/>
      </c>
      <c r="K2222" s="1410" t="str">
        <f>INDEX('G_Fall-back'!K:K,MATCH($P2222,'G_Fall-back'!$Q:$Q,0))</f>
        <v/>
      </c>
      <c r="L2222" s="1410" t="str">
        <f>INDEX('G_Fall-back'!L:L,MATCH($P2222,'G_Fall-back'!$Q:$Q,0))</f>
        <v/>
      </c>
      <c r="M2222" s="1410" t="str">
        <f>INDEX('G_Fall-back'!M:M,MATCH($P2222,'G_Fall-back'!$Q:$Q,0))</f>
        <v/>
      </c>
      <c r="N2222" s="1412" t="str">
        <f>INDEX('G_Fall-back'!N:N,MATCH($P2222,'G_Fall-back'!$Q:$Q,0))</f>
        <v/>
      </c>
      <c r="O2222" s="19"/>
      <c r="P2222" s="165" t="str">
        <f>EUconst_CNTR_HALfinal&amp;I2185</f>
        <v>HALfinal_Delanläggning med värmeriktmärke, ej KL</v>
      </c>
      <c r="Q2222" s="343"/>
      <c r="R2222" s="343"/>
      <c r="S2222" s="1696" t="str">
        <f>IF($M2185&lt;&gt;EUconst_Relevant,"",SUMIF('G_Fall-back'!$Q:$Q,$P2222,'G_Fall-back'!I:I))</f>
        <v/>
      </c>
      <c r="T2222" s="7"/>
      <c r="U2222" s="349"/>
      <c r="V2222" s="355" t="e">
        <f ca="1">AND(COUNTIF(OFFSET(I2216,,,,MAX(1,CNTR_ReportingYear-$I$2596)),TRUE)&gt;0,
INDEX(J2216:N2216,MAX(1,CNTR_ReportingYear-$I$2596)))</f>
        <v>#REF!</v>
      </c>
    </row>
    <row r="2223" spans="1:22" s="534" customFormat="1" x14ac:dyDescent="0.25">
      <c r="A2223" s="343"/>
      <c r="B2223" s="15"/>
      <c r="C2223" s="15"/>
      <c r="D2223" s="965"/>
      <c r="E2223" s="514" t="str">
        <f>Translations!$B$956</f>
        <v>Preliminär tilldelning</v>
      </c>
      <c r="F2223" s="514"/>
      <c r="G2223" s="514"/>
      <c r="H2223" s="129" t="str">
        <f>EUconst_EUA</f>
        <v>EUA</v>
      </c>
      <c r="I2223" s="1634" t="str">
        <f>IF($M2185&lt;&gt;EUconst_Relevant,"",MAX(0,ROUND((SUM($M2188)*SUM(I2222))*IF($H2188=TRUE,1,J$2517),0)))</f>
        <v/>
      </c>
      <c r="J2223" s="1131" t="str">
        <f>IF($M2185&lt;&gt;EUconst_Relevant,"",MAX(0,ROUND((SUM($M2188)*SUM(J2222))*IF($H2188=TRUE,1,J$2517),0)))</f>
        <v/>
      </c>
      <c r="K2223" s="421" t="str">
        <f>IF($M2185&lt;&gt;EUconst_Relevant,"",MAX(0,ROUND((SUM($M2188)*SUM(K2222))*IF($H2188=TRUE,1,K$2517),0)))</f>
        <v/>
      </c>
      <c r="L2223" s="421" t="str">
        <f>IF($M2185&lt;&gt;EUconst_Relevant,"",MAX(0,ROUND((SUM($M2188)*SUM(L2222))*IF($H2188=TRUE,1,L$2517),0)))</f>
        <v/>
      </c>
      <c r="M2223" s="421" t="str">
        <f>IF($M2185&lt;&gt;EUconst_Relevant,"",MAX(0,ROUND((SUM($M2188)*SUM(M2222))*IF($H2188=TRUE,1,M$2517),0)))</f>
        <v/>
      </c>
      <c r="N2223" s="967" t="str">
        <f>IF($M2185&lt;&gt;EUconst_Relevant,"",MAX(0,ROUND((SUM($M2188)*SUM(N2222))*IF($H2188=TRUE,1,N$2517),0)))</f>
        <v/>
      </c>
      <c r="O2223" s="19"/>
      <c r="P2223" s="165" t="str">
        <f>EUconst_AllocPrelim&amp;I2185</f>
        <v>AllocPrelim_Delanläggning med värmeriktmärke, ej KL</v>
      </c>
      <c r="Q2223" s="343"/>
      <c r="R2223" s="343"/>
      <c r="S2223" s="343"/>
      <c r="T2223" s="663">
        <f>INDEX('G_Fall-back'!V:V,MATCH(L2188,'G_Fall-back'!C:C,0))</f>
        <v>2005</v>
      </c>
      <c r="U2223" s="603" t="e">
        <f>OR(INDEX(I2223:N2223,CNTR_ReportingYear-$I$2596)&lt;&gt;INDEX(I2223:N2223,CNTR_ReportingYear-$H$2596),
(CNTR_ReportingYear-T2223)&lt;=1)</f>
        <v>#REF!</v>
      </c>
      <c r="V2223" s="355" t="b">
        <f ca="1">IF(I2223="",FALSE,COUNTIF(OFFSET(I2223,,,,MAX(1,CNTR_ReportingYear-$I$2596)),"&lt;&gt;" &amp; INDEX(I2223:N2223,CNTR_ReportingYear-$H$2596))&gt;0)</f>
        <v>0</v>
      </c>
    </row>
    <row r="2224" spans="1:22" s="534" customFormat="1" ht="5.15" customHeight="1" thickBot="1" x14ac:dyDescent="0.3">
      <c r="A2224" s="343"/>
      <c r="B2224" s="15"/>
      <c r="C2224" s="15"/>
      <c r="D2224" s="972"/>
      <c r="E2224" s="973"/>
      <c r="F2224" s="973"/>
      <c r="G2224" s="973"/>
      <c r="H2224" s="973"/>
      <c r="I2224" s="973"/>
      <c r="J2224" s="973"/>
      <c r="K2224" s="973"/>
      <c r="L2224" s="973"/>
      <c r="M2224" s="973"/>
      <c r="N2224" s="974"/>
      <c r="O2224" s="19"/>
      <c r="P2224" s="343"/>
      <c r="Q2224" s="343"/>
      <c r="R2224" s="343"/>
      <c r="S2224" s="343"/>
      <c r="T2224" s="7"/>
      <c r="U2224" s="349"/>
      <c r="V2224" s="349"/>
    </row>
    <row r="2225" spans="1:22" s="534" customFormat="1" ht="5.15" customHeight="1" thickBot="1" x14ac:dyDescent="0.3">
      <c r="A2225" s="343"/>
      <c r="B2225" s="15"/>
      <c r="C2225" s="15"/>
      <c r="D2225" s="15"/>
      <c r="E2225" s="15"/>
      <c r="F2225" s="15"/>
      <c r="G2225" s="15"/>
      <c r="M2225" s="15"/>
      <c r="N2225" s="15"/>
      <c r="O2225" s="19"/>
      <c r="P2225" s="343"/>
      <c r="Q2225" s="343"/>
      <c r="R2225" s="343"/>
      <c r="S2225" s="343"/>
      <c r="T2225" s="343"/>
      <c r="U2225" s="349"/>
      <c r="V2225" s="349"/>
    </row>
    <row r="2226" spans="1:22" s="534" customFormat="1" ht="5.15" customHeight="1" x14ac:dyDescent="0.25">
      <c r="A2226" s="343"/>
      <c r="B2226" s="15"/>
      <c r="C2226" s="15"/>
      <c r="D2226" s="1452"/>
      <c r="E2226" s="1453"/>
      <c r="F2226" s="777"/>
      <c r="G2226" s="777"/>
      <c r="H2226" s="777"/>
      <c r="I2226" s="777"/>
      <c r="J2226" s="777"/>
      <c r="K2226" s="777"/>
      <c r="L2226" s="777"/>
      <c r="M2226" s="777"/>
      <c r="N2226" s="778"/>
      <c r="O2226" s="19"/>
      <c r="P2226" s="343"/>
      <c r="Q2226" s="343"/>
      <c r="R2226" s="343"/>
      <c r="S2226" s="343"/>
      <c r="T2226" s="343"/>
      <c r="U2226" s="349"/>
      <c r="V2226" s="349"/>
    </row>
    <row r="2227" spans="1:22" s="534" customFormat="1" ht="13.5" thickBot="1" x14ac:dyDescent="0.3">
      <c r="A2227" s="343"/>
      <c r="B2227" s="15"/>
      <c r="C2227" s="15"/>
      <c r="D2227" s="1454"/>
      <c r="E2227" s="416"/>
      <c r="F2227" s="623"/>
      <c r="G2227" s="415" t="str">
        <f>EUconst_Unit</f>
        <v>Enhet</v>
      </c>
      <c r="H2227" s="744">
        <f t="shared" ref="H2227:N2227" si="422">H$2596</f>
        <v>2019</v>
      </c>
      <c r="I2227" s="744">
        <f t="shared" si="422"/>
        <v>2020</v>
      </c>
      <c r="J2227" s="744">
        <f t="shared" si="422"/>
        <v>2021</v>
      </c>
      <c r="K2227" s="362">
        <f t="shared" si="422"/>
        <v>2022</v>
      </c>
      <c r="L2227" s="362">
        <f t="shared" si="422"/>
        <v>2023</v>
      </c>
      <c r="M2227" s="362">
        <f t="shared" si="422"/>
        <v>2024</v>
      </c>
      <c r="N2227" s="1141">
        <f t="shared" si="422"/>
        <v>2025</v>
      </c>
      <c r="O2227" s="19"/>
      <c r="P2227" s="343"/>
      <c r="Q2227" s="343"/>
      <c r="R2227" s="343"/>
      <c r="S2227" s="343"/>
      <c r="T2227" s="343"/>
      <c r="U2227" s="349"/>
      <c r="V2227" s="349"/>
    </row>
    <row r="2228" spans="1:22" s="534" customFormat="1" ht="13.5" customHeight="1" thickBot="1" x14ac:dyDescent="0.3">
      <c r="A2228" s="343"/>
      <c r="B2228" s="15"/>
      <c r="C2228" s="15"/>
      <c r="D2228" s="1454"/>
      <c r="E2228" s="2747" t="str">
        <f>Translations!$B$380</f>
        <v>Producerad mätbar värme</v>
      </c>
      <c r="F2228" s="1997"/>
      <c r="G2228" s="710" t="str">
        <f>EUconst_TJpa</f>
        <v>TJ / år</v>
      </c>
      <c r="H2228" s="735" t="str">
        <f>IF($M2185&lt;&gt;EUconst_Relevant,"",IF(INDEX('G_Fall-back'!H:H,MATCH($P2228,'G_Fall-back'!$Q:$Q,0))="","",INDEX('G_Fall-back'!H:H,MATCH($P2228,'G_Fall-back'!$Q:$Q,0))))</f>
        <v/>
      </c>
      <c r="I2228" s="737" t="str">
        <f>IF($M2185&lt;&gt;EUconst_Relevant,"",IF(INDEX('G_Fall-back'!I:I,MATCH($P2228,'G_Fall-back'!$Q:$Q,0))="","",INDEX('G_Fall-back'!I:I,MATCH($P2228,'G_Fall-back'!$Q:$Q,0))))</f>
        <v/>
      </c>
      <c r="J2228" s="735" t="str">
        <f>IF($M2185&lt;&gt;EUconst_Relevant,"",IF(INDEX('G_Fall-back'!J:J,MATCH($P2228,'G_Fall-back'!$Q:$Q,0))="","",INDEX('G_Fall-back'!J:J,MATCH($P2228,'G_Fall-back'!$Q:$Q,0))))</f>
        <v/>
      </c>
      <c r="K2228" s="736" t="str">
        <f>IF($M2185&lt;&gt;EUconst_Relevant,"",IF(INDEX('G_Fall-back'!K:K,MATCH($P2228,'G_Fall-back'!$Q:$Q,0))="","",INDEX('G_Fall-back'!K:K,MATCH($P2228,'G_Fall-back'!$Q:$Q,0))))</f>
        <v/>
      </c>
      <c r="L2228" s="736" t="str">
        <f>IF($M2185&lt;&gt;EUconst_Relevant,"",IF(INDEX('G_Fall-back'!L:L,MATCH($P2228,'G_Fall-back'!$Q:$Q,0))="","",INDEX('G_Fall-back'!L:L,MATCH($P2228,'G_Fall-back'!$Q:$Q,0))))</f>
        <v/>
      </c>
      <c r="M2228" s="736" t="str">
        <f>IF($M2185&lt;&gt;EUconst_Relevant,"",IF(INDEX('G_Fall-back'!M:M,MATCH($P2228,'G_Fall-back'!$Q:$Q,0))="","",INDEX('G_Fall-back'!M:M,MATCH($P2228,'G_Fall-back'!$Q:$Q,0))))</f>
        <v/>
      </c>
      <c r="N2228" s="737" t="str">
        <f>IF($M2185&lt;&gt;EUconst_Relevant,"",IF(INDEX('G_Fall-back'!N:N,MATCH($P2228,'G_Fall-back'!$Q:$Q,0))="","",INDEX('G_Fall-back'!N:N,MATCH($P2228,'G_Fall-back'!$Q:$Q,0))))</f>
        <v/>
      </c>
      <c r="O2228" s="19"/>
      <c r="P2228" s="298" t="str">
        <f>EUconst_CNTR_HeatProduced &amp;I2185</f>
        <v>HeatProd_Delanläggning med värmeriktmärke, ej KL</v>
      </c>
      <c r="Q2228" s="343"/>
      <c r="R2228" s="343"/>
      <c r="S2228" s="343"/>
      <c r="T2228" s="343"/>
      <c r="U2228" s="349"/>
      <c r="V2228" s="349"/>
    </row>
    <row r="2229" spans="1:22" s="534" customFormat="1" ht="5.15" customHeight="1" thickBot="1" x14ac:dyDescent="0.3">
      <c r="A2229" s="343"/>
      <c r="B2229" s="15"/>
      <c r="C2229" s="15"/>
      <c r="D2229" s="1454"/>
      <c r="E2229" s="416"/>
      <c r="F2229" s="416"/>
      <c r="G2229" s="416"/>
      <c r="H2229" s="741"/>
      <c r="I2229" s="741"/>
      <c r="J2229" s="741"/>
      <c r="K2229" s="741"/>
      <c r="L2229" s="741"/>
      <c r="M2229" s="741"/>
      <c r="N2229" s="1458"/>
      <c r="O2229" s="19"/>
      <c r="P2229" s="343"/>
      <c r="Q2229" s="343"/>
      <c r="R2229" s="343"/>
      <c r="S2229" s="343"/>
      <c r="T2229" s="343"/>
      <c r="U2229" s="349"/>
      <c r="V2229" s="349"/>
    </row>
    <row r="2230" spans="1:22" s="534" customFormat="1" ht="13.5" customHeight="1" thickBot="1" x14ac:dyDescent="0.3">
      <c r="A2230" s="343"/>
      <c r="B2230" s="15"/>
      <c r="C2230" s="15"/>
      <c r="D2230" s="1454"/>
      <c r="E2230" s="2747" t="str">
        <f>Translations!$B$1056</f>
        <v>Totala tillskrivna utsläpp</v>
      </c>
      <c r="F2230" s="1997"/>
      <c r="G2230" s="710" t="str">
        <f>EUconst_tCO2epa</f>
        <v>t CO2e/år</v>
      </c>
      <c r="H2230" s="735" t="str">
        <f t="shared" ref="H2230:N2230" si="423">INDEX(H$92:H$108,MATCH($I2185,$E$92:$E$108,0))</f>
        <v/>
      </c>
      <c r="I2230" s="737" t="str">
        <f t="shared" si="423"/>
        <v/>
      </c>
      <c r="J2230" s="735" t="str">
        <f t="shared" si="423"/>
        <v/>
      </c>
      <c r="K2230" s="736" t="str">
        <f t="shared" si="423"/>
        <v/>
      </c>
      <c r="L2230" s="736" t="str">
        <f t="shared" si="423"/>
        <v/>
      </c>
      <c r="M2230" s="736" t="str">
        <f t="shared" si="423"/>
        <v/>
      </c>
      <c r="N2230" s="737" t="str">
        <f t="shared" si="423"/>
        <v/>
      </c>
      <c r="O2230" s="19"/>
      <c r="P2230" s="343"/>
      <c r="Q2230" s="343"/>
      <c r="R2230" s="343"/>
      <c r="S2230" s="343"/>
      <c r="T2230" s="7"/>
      <c r="U2230" s="349"/>
      <c r="V2230" s="349"/>
    </row>
    <row r="2231" spans="1:22" s="534" customFormat="1" ht="5.15" customHeight="1" x14ac:dyDescent="0.25">
      <c r="A2231" s="343"/>
      <c r="B2231" s="15"/>
      <c r="C2231" s="15"/>
      <c r="D2231" s="1454"/>
      <c r="E2231" s="416"/>
      <c r="F2231" s="416"/>
      <c r="G2231" s="416"/>
      <c r="H2231" s="738"/>
      <c r="I2231" s="738"/>
      <c r="J2231" s="738"/>
      <c r="K2231" s="738"/>
      <c r="L2231" s="738"/>
      <c r="M2231" s="738"/>
      <c r="N2231" s="1455"/>
      <c r="O2231" s="19"/>
      <c r="P2231" s="343"/>
      <c r="Q2231" s="343"/>
      <c r="R2231" s="343"/>
      <c r="S2231" s="343"/>
      <c r="T2231" s="7"/>
      <c r="U2231" s="349"/>
      <c r="V2231" s="349"/>
    </row>
    <row r="2232" spans="1:22" s="534" customFormat="1" x14ac:dyDescent="0.25">
      <c r="A2232" s="343"/>
      <c r="B2232" s="15"/>
      <c r="C2232" s="15"/>
      <c r="D2232" s="1454"/>
      <c r="E2232" s="2611" t="str">
        <f>Translations!$B$571</f>
        <v>Insatsbränsle</v>
      </c>
      <c r="F2232" s="2484"/>
      <c r="G2232" s="365" t="str">
        <f>EUconst_TJpa</f>
        <v>TJ / år</v>
      </c>
      <c r="H2232" s="739" t="str">
        <f>IF($M2185&lt;&gt;EUconst_Relevant,"",IF(INDEX('G_Fall-back'!H:H,MATCH($P2232,'G_Fall-back'!$Q:$Q,0))="","",INDEX('G_Fall-back'!H:H,MATCH($P2232,'G_Fall-back'!$Q:$Q,0))))</f>
        <v/>
      </c>
      <c r="I2232" s="1153" t="str">
        <f>IF($M2185&lt;&gt;EUconst_Relevant,"",IF(INDEX('G_Fall-back'!I:I,MATCH($P2232,'G_Fall-back'!$Q:$Q,0))="","",INDEX('G_Fall-back'!I:I,MATCH($P2232,'G_Fall-back'!$Q:$Q,0))))</f>
        <v/>
      </c>
      <c r="J2232" s="1159" t="str">
        <f>IF($M2185&lt;&gt;EUconst_Relevant,"",IF(INDEX('G_Fall-back'!J:J,MATCH($P2232,'G_Fall-back'!$Q:$Q,0))="","",INDEX('G_Fall-back'!J:J,MATCH($P2232,'G_Fall-back'!$Q:$Q,0))))</f>
        <v/>
      </c>
      <c r="K2232" s="739" t="str">
        <f>IF($M2185&lt;&gt;EUconst_Relevant,"",IF(INDEX('G_Fall-back'!K:K,MATCH($P2232,'G_Fall-back'!$Q:$Q,0))="","",INDEX('G_Fall-back'!K:K,MATCH($P2232,'G_Fall-back'!$Q:$Q,0))))</f>
        <v/>
      </c>
      <c r="L2232" s="739" t="str">
        <f>IF($M2185&lt;&gt;EUconst_Relevant,"",IF(INDEX('G_Fall-back'!L:L,MATCH($P2232,'G_Fall-back'!$Q:$Q,0))="","",INDEX('G_Fall-back'!L:L,MATCH($P2232,'G_Fall-back'!$Q:$Q,0))))</f>
        <v/>
      </c>
      <c r="M2232" s="739" t="str">
        <f>IF($M2185&lt;&gt;EUconst_Relevant,"",IF(INDEX('G_Fall-back'!M:M,MATCH($P2232,'G_Fall-back'!$Q:$Q,0))="","",INDEX('G_Fall-back'!M:M,MATCH($P2232,'G_Fall-back'!$Q:$Q,0))))</f>
        <v/>
      </c>
      <c r="N2232" s="1456" t="str">
        <f>IF($M2185&lt;&gt;EUconst_Relevant,"",IF(INDEX('G_Fall-back'!N:N,MATCH($P2232,'G_Fall-back'!$Q:$Q,0))="","",INDEX('G_Fall-back'!N:N,MATCH($P2232,'G_Fall-back'!$Q:$Q,0))))</f>
        <v/>
      </c>
      <c r="O2232" s="19"/>
      <c r="P2232" s="622" t="str">
        <f>EUconst_CNTR_FuelInput &amp;I2185</f>
        <v>FuelInput_Delanläggning med värmeriktmärke, ej KL</v>
      </c>
      <c r="Q2232" s="343"/>
      <c r="R2232" s="343"/>
      <c r="S2232" s="343"/>
      <c r="T2232" s="343"/>
      <c r="U2232" s="349"/>
      <c r="V2232" s="349"/>
    </row>
    <row r="2233" spans="1:22" s="534" customFormat="1" ht="12.75" customHeight="1" x14ac:dyDescent="0.25">
      <c r="A2233" s="343"/>
      <c r="B2233" s="15"/>
      <c r="C2233" s="15"/>
      <c r="D2233" s="1454"/>
      <c r="E2233" s="2612" t="str">
        <f>Translations!$B$572</f>
        <v>Viktad emissionsfaktor</v>
      </c>
      <c r="F2233" s="2487"/>
      <c r="G2233" s="384" t="str">
        <f>EUconst_tCO2pTJ</f>
        <v>t CO2 / TJ</v>
      </c>
      <c r="H2233" s="740" t="str">
        <f>IF($M2185&lt;&gt;EUconst_Relevant,"",IF(INDEX('G_Fall-back'!H:H,MATCH($P2233,'G_Fall-back'!$Q:$Q,0))="","",INDEX('G_Fall-back'!H:H,MATCH($P2233,'G_Fall-back'!$Q:$Q,0))))</f>
        <v/>
      </c>
      <c r="I2233" s="1154" t="str">
        <f>IF($M2185&lt;&gt;EUconst_Relevant,"",IF(INDEX('G_Fall-back'!I:I,MATCH($P2233,'G_Fall-back'!$Q:$Q,0))="","",INDEX('G_Fall-back'!I:I,MATCH($P2233,'G_Fall-back'!$Q:$Q,0))))</f>
        <v/>
      </c>
      <c r="J2233" s="1160" t="str">
        <f>IF($M2185&lt;&gt;EUconst_Relevant,"",IF(INDEX('G_Fall-back'!J:J,MATCH($P2233,'G_Fall-back'!$Q:$Q,0))="","",INDEX('G_Fall-back'!J:J,MATCH($P2233,'G_Fall-back'!$Q:$Q,0))))</f>
        <v/>
      </c>
      <c r="K2233" s="740" t="str">
        <f>IF($M2185&lt;&gt;EUconst_Relevant,"",IF(INDEX('G_Fall-back'!K:K,MATCH($P2233,'G_Fall-back'!$Q:$Q,0))="","",INDEX('G_Fall-back'!K:K,MATCH($P2233,'G_Fall-back'!$Q:$Q,0))))</f>
        <v/>
      </c>
      <c r="L2233" s="740" t="str">
        <f>IF($M2185&lt;&gt;EUconst_Relevant,"",IF(INDEX('G_Fall-back'!L:L,MATCH($P2233,'G_Fall-back'!$Q:$Q,0))="","",INDEX('G_Fall-back'!L:L,MATCH($P2233,'G_Fall-back'!$Q:$Q,0))))</f>
        <v/>
      </c>
      <c r="M2233" s="740" t="str">
        <f>IF($M2185&lt;&gt;EUconst_Relevant,"",IF(INDEX('G_Fall-back'!M:M,MATCH($P2233,'G_Fall-back'!$Q:$Q,0))="","",INDEX('G_Fall-back'!M:M,MATCH($P2233,'G_Fall-back'!$Q:$Q,0))))</f>
        <v/>
      </c>
      <c r="N2233" s="1457" t="str">
        <f>IF($M2185&lt;&gt;EUconst_Relevant,"",IF(INDEX('G_Fall-back'!N:N,MATCH($P2233,'G_Fall-back'!$Q:$Q,0))="","",INDEX('G_Fall-back'!N:N,MATCH($P2233,'G_Fall-back'!$Q:$Q,0))))</f>
        <v/>
      </c>
      <c r="O2233" s="19"/>
      <c r="P2233" s="298" t="str">
        <f>EUconst_CNTR_FuelEF &amp;I2185</f>
        <v>FuelEF_Delanläggning med värmeriktmärke, ej KL</v>
      </c>
      <c r="Q2233" s="343"/>
      <c r="R2233" s="343"/>
      <c r="S2233" s="343"/>
      <c r="T2233" s="343"/>
      <c r="U2233" s="349"/>
      <c r="V2233" s="349"/>
    </row>
    <row r="2234" spans="1:22" s="534" customFormat="1" ht="12.75" customHeight="1" x14ac:dyDescent="0.25">
      <c r="A2234" s="343"/>
      <c r="B2234" s="15"/>
      <c r="C2234" s="15"/>
      <c r="D2234" s="1454"/>
      <c r="E2234" s="2611" t="str">
        <f>Translations!$B$688</f>
        <v>Insatsbränsle från restgaser</v>
      </c>
      <c r="F2234" s="2484"/>
      <c r="G2234" s="365" t="str">
        <f>EUconst_TJpa</f>
        <v>TJ / år</v>
      </c>
      <c r="H2234" s="739" t="str">
        <f>IF($M2185&lt;&gt;EUconst_Relevant,"",IF(INDEX('G_Fall-back'!H:H,MATCH($P2234,'G_Fall-back'!$Q:$Q,0))="","",INDEX('G_Fall-back'!H:H,MATCH($P2234,'G_Fall-back'!$Q:$Q,0))))</f>
        <v/>
      </c>
      <c r="I2234" s="1153" t="str">
        <f>IF($M2185&lt;&gt;EUconst_Relevant,"",IF(INDEX('G_Fall-back'!I:I,MATCH($P2234,'G_Fall-back'!$Q:$Q,0))="","",INDEX('G_Fall-back'!I:I,MATCH($P2234,'G_Fall-back'!$Q:$Q,0))))</f>
        <v/>
      </c>
      <c r="J2234" s="1159" t="str">
        <f>IF($M2185&lt;&gt;EUconst_Relevant,"",IF(INDEX('G_Fall-back'!J:J,MATCH($P2234,'G_Fall-back'!$Q:$Q,0))="","",INDEX('G_Fall-back'!J:J,MATCH($P2234,'G_Fall-back'!$Q:$Q,0))))</f>
        <v/>
      </c>
      <c r="K2234" s="739" t="str">
        <f>IF($M2185&lt;&gt;EUconst_Relevant,"",IF(INDEX('G_Fall-back'!K:K,MATCH($P2234,'G_Fall-back'!$Q:$Q,0))="","",INDEX('G_Fall-back'!K:K,MATCH($P2234,'G_Fall-back'!$Q:$Q,0))))</f>
        <v/>
      </c>
      <c r="L2234" s="739" t="str">
        <f>IF($M2185&lt;&gt;EUconst_Relevant,"",IF(INDEX('G_Fall-back'!L:L,MATCH($P2234,'G_Fall-back'!$Q:$Q,0))="","",INDEX('G_Fall-back'!L:L,MATCH($P2234,'G_Fall-back'!$Q:$Q,0))))</f>
        <v/>
      </c>
      <c r="M2234" s="739" t="str">
        <f>IF($M2185&lt;&gt;EUconst_Relevant,"",IF(INDEX('G_Fall-back'!M:M,MATCH($P2234,'G_Fall-back'!$Q:$Q,0))="","",INDEX('G_Fall-back'!M:M,MATCH($P2234,'G_Fall-back'!$Q:$Q,0))))</f>
        <v/>
      </c>
      <c r="N2234" s="1456" t="str">
        <f>IF($M2185&lt;&gt;EUconst_Relevant,"",IF(INDEX('G_Fall-back'!N:N,MATCH($P2234,'G_Fall-back'!$Q:$Q,0))="","",INDEX('G_Fall-back'!N:N,MATCH($P2234,'G_Fall-back'!$Q:$Q,0))))</f>
        <v/>
      </c>
      <c r="O2234" s="19"/>
      <c r="P2234" s="355" t="str">
        <f>EUconst_CNTR_WGConsumed &amp;I2185</f>
        <v>WasteGasCons_Delanläggning med värmeriktmärke, ej KL</v>
      </c>
      <c r="Q2234" s="343"/>
      <c r="R2234" s="343"/>
      <c r="S2234" s="343"/>
      <c r="T2234" s="343"/>
      <c r="U2234" s="349"/>
      <c r="V2234" s="349"/>
    </row>
    <row r="2235" spans="1:22" s="534" customFormat="1" ht="12.75" customHeight="1" x14ac:dyDescent="0.25">
      <c r="A2235" s="343"/>
      <c r="B2235" s="15"/>
      <c r="C2235" s="15"/>
      <c r="D2235" s="1454"/>
      <c r="E2235" s="2612" t="str">
        <f>Translations!$B$572</f>
        <v>Viktad emissionsfaktor</v>
      </c>
      <c r="F2235" s="2487"/>
      <c r="G2235" s="384" t="str">
        <f>EUconst_tCO2pTJ</f>
        <v>t CO2 / TJ</v>
      </c>
      <c r="H2235" s="740" t="str">
        <f>IF($M2185&lt;&gt;EUconst_Relevant,"",IF(INDEX('G_Fall-back'!H:H,MATCH($P2235,'G_Fall-back'!$Q:$Q,0))="","",INDEX('G_Fall-back'!H:H,MATCH($P2235,'G_Fall-back'!$Q:$Q,0))))</f>
        <v/>
      </c>
      <c r="I2235" s="1154" t="str">
        <f>IF($M2185&lt;&gt;EUconst_Relevant,"",IF(INDEX('G_Fall-back'!I:I,MATCH($P2235,'G_Fall-back'!$Q:$Q,0))="","",INDEX('G_Fall-back'!I:I,MATCH($P2235,'G_Fall-back'!$Q:$Q,0))))</f>
        <v/>
      </c>
      <c r="J2235" s="1160" t="str">
        <f>IF($M2185&lt;&gt;EUconst_Relevant,"",IF(INDEX('G_Fall-back'!J:J,MATCH($P2235,'G_Fall-back'!$Q:$Q,0))="","",INDEX('G_Fall-back'!J:J,MATCH($P2235,'G_Fall-back'!$Q:$Q,0))))</f>
        <v/>
      </c>
      <c r="K2235" s="740" t="str">
        <f>IF($M2185&lt;&gt;EUconst_Relevant,"",IF(INDEX('G_Fall-back'!K:K,MATCH($P2235,'G_Fall-back'!$Q:$Q,0))="","",INDEX('G_Fall-back'!K:K,MATCH($P2235,'G_Fall-back'!$Q:$Q,0))))</f>
        <v/>
      </c>
      <c r="L2235" s="740" t="str">
        <f>IF($M2185&lt;&gt;EUconst_Relevant,"",IF(INDEX('G_Fall-back'!L:L,MATCH($P2235,'G_Fall-back'!$Q:$Q,0))="","",INDEX('G_Fall-back'!L:L,MATCH($P2235,'G_Fall-back'!$Q:$Q,0))))</f>
        <v/>
      </c>
      <c r="M2235" s="740" t="str">
        <f>IF($M2185&lt;&gt;EUconst_Relevant,"",IF(INDEX('G_Fall-back'!M:M,MATCH($P2235,'G_Fall-back'!$Q:$Q,0))="","",INDEX('G_Fall-back'!M:M,MATCH($P2235,'G_Fall-back'!$Q:$Q,0))))</f>
        <v/>
      </c>
      <c r="N2235" s="1457" t="str">
        <f>IF($M2185&lt;&gt;EUconst_Relevant,"",IF(INDEX('G_Fall-back'!N:N,MATCH($P2235,'G_Fall-back'!$Q:$Q,0))="","",INDEX('G_Fall-back'!N:N,MATCH($P2235,'G_Fall-back'!$Q:$Q,0))))</f>
        <v/>
      </c>
      <c r="O2235" s="19"/>
      <c r="P2235" s="298" t="str">
        <f>EUconst_CNTR_WGConsumedEF &amp;I2185</f>
        <v>WasteGasConsEF_Delanläggning med värmeriktmärke, ej KL</v>
      </c>
      <c r="Q2235" s="343"/>
      <c r="R2235" s="343"/>
      <c r="S2235" s="343"/>
      <c r="T2235" s="343"/>
      <c r="U2235" s="349"/>
      <c r="V2235" s="349"/>
    </row>
    <row r="2236" spans="1:22" s="534" customFormat="1" ht="5.15" customHeight="1" x14ac:dyDescent="0.25">
      <c r="A2236" s="343"/>
      <c r="B2236" s="15"/>
      <c r="C2236" s="15"/>
      <c r="D2236" s="1454"/>
      <c r="E2236" s="416"/>
      <c r="F2236" s="623"/>
      <c r="G2236" s="623"/>
      <c r="H2236" s="741"/>
      <c r="I2236" s="741"/>
      <c r="J2236" s="741"/>
      <c r="K2236" s="741"/>
      <c r="L2236" s="741"/>
      <c r="M2236" s="741"/>
      <c r="N2236" s="1458"/>
      <c r="O2236" s="19"/>
      <c r="P2236" s="343"/>
      <c r="Q2236" s="343"/>
      <c r="R2236" s="343"/>
      <c r="S2236" s="343"/>
      <c r="T2236" s="343"/>
      <c r="U2236" s="349"/>
      <c r="V2236" s="349"/>
    </row>
    <row r="2237" spans="1:22" s="534" customFormat="1" x14ac:dyDescent="0.25">
      <c r="A2237" s="343"/>
      <c r="B2237" s="15"/>
      <c r="C2237" s="15"/>
      <c r="D2237" s="1454"/>
      <c r="E2237" s="2613" t="str">
        <f>Translations!$B$528</f>
        <v>Direkta utsläpp</v>
      </c>
      <c r="F2237" s="1997"/>
      <c r="G2237" s="364" t="str">
        <f>EUconst_tCO2pa</f>
        <v>t CO2 / år</v>
      </c>
      <c r="H2237" s="742" t="str">
        <f>IF($M2185&lt;&gt;EUconst_Relevant,"",IF(INDEX('G_Fall-back'!H:H,MATCH($P2237,'G_Fall-back'!$Q:$Q,0))="","",INDEX('G_Fall-back'!H:H,MATCH($P2237,'G_Fall-back'!$Q:$Q,0))))</f>
        <v/>
      </c>
      <c r="I2237" s="1021" t="str">
        <f>IF($M2185&lt;&gt;EUconst_Relevant,"",IF(INDEX('G_Fall-back'!I:I,MATCH($P2237,'G_Fall-back'!$Q:$Q,0))="","",INDEX('G_Fall-back'!I:I,MATCH($P2237,'G_Fall-back'!$Q:$Q,0))))</f>
        <v/>
      </c>
      <c r="J2237" s="1158" t="str">
        <f>IF($M2185&lt;&gt;EUconst_Relevant,"",IF(INDEX('G_Fall-back'!J:J,MATCH($P2237,'G_Fall-back'!$Q:$Q,0))="","",INDEX('G_Fall-back'!J:J,MATCH($P2237,'G_Fall-back'!$Q:$Q,0))))</f>
        <v/>
      </c>
      <c r="K2237" s="742" t="str">
        <f>IF($M2185&lt;&gt;EUconst_Relevant,"",IF(INDEX('G_Fall-back'!K:K,MATCH($P2237,'G_Fall-back'!$Q:$Q,0))="","",INDEX('G_Fall-back'!K:K,MATCH($P2237,'G_Fall-back'!$Q:$Q,0))))</f>
        <v/>
      </c>
      <c r="L2237" s="742" t="str">
        <f>IF($M2185&lt;&gt;EUconst_Relevant,"",IF(INDEX('G_Fall-back'!L:L,MATCH($P2237,'G_Fall-back'!$Q:$Q,0))="","",INDEX('G_Fall-back'!L:L,MATCH($P2237,'G_Fall-back'!$Q:$Q,0))))</f>
        <v/>
      </c>
      <c r="M2237" s="742" t="str">
        <f>IF($M2185&lt;&gt;EUconst_Relevant,"",IF(INDEX('G_Fall-back'!M:M,MATCH($P2237,'G_Fall-back'!$Q:$Q,0))="","",INDEX('G_Fall-back'!M:M,MATCH($P2237,'G_Fall-back'!$Q:$Q,0))))</f>
        <v/>
      </c>
      <c r="N2237" s="1459" t="str">
        <f>IF($M2185&lt;&gt;EUconst_Relevant,"",IF(INDEX('G_Fall-back'!N:N,MATCH($P2237,'G_Fall-back'!$Q:$Q,0))="","",INDEX('G_Fall-back'!N:N,MATCH($P2237,'G_Fall-back'!$Q:$Q,0))))</f>
        <v/>
      </c>
      <c r="O2237" s="19"/>
      <c r="P2237" s="298" t="str">
        <f>EUconst_CNTR_Emissions &amp;I2185</f>
        <v>DirEmissions_Delanläggning med värmeriktmärke, ej KL</v>
      </c>
      <c r="Q2237" s="343"/>
      <c r="R2237" s="343"/>
      <c r="S2237" s="343"/>
      <c r="T2237" s="343"/>
      <c r="U2237" s="349"/>
      <c r="V2237" s="349"/>
    </row>
    <row r="2238" spans="1:22" s="534" customFormat="1" ht="5.15" customHeight="1" x14ac:dyDescent="0.25">
      <c r="A2238" s="343"/>
      <c r="B2238" s="15"/>
      <c r="C2238" s="15"/>
      <c r="D2238" s="1454"/>
      <c r="E2238" s="416"/>
      <c r="F2238" s="416"/>
      <c r="G2238" s="416"/>
      <c r="H2238" s="741"/>
      <c r="I2238" s="741"/>
      <c r="J2238" s="741"/>
      <c r="K2238" s="741"/>
      <c r="L2238" s="741"/>
      <c r="M2238" s="741"/>
      <c r="N2238" s="1458"/>
      <c r="O2238" s="19"/>
      <c r="P2238" s="343"/>
      <c r="Q2238" s="343"/>
      <c r="R2238" s="343"/>
      <c r="S2238" s="343"/>
      <c r="T2238" s="343"/>
      <c r="U2238" s="349"/>
      <c r="V2238" s="349"/>
    </row>
    <row r="2239" spans="1:22" s="534" customFormat="1" ht="12.75" customHeight="1" x14ac:dyDescent="0.25">
      <c r="A2239" s="343"/>
      <c r="B2239" s="15"/>
      <c r="C2239" s="15"/>
      <c r="D2239" s="1454"/>
      <c r="E2239" s="2611" t="str">
        <f>Translations!$B$1059</f>
        <v>Importerad nettovärme (annat)</v>
      </c>
      <c r="F2239" s="2484"/>
      <c r="G2239" s="365" t="str">
        <f>EUconst_TJpa</f>
        <v>TJ / år</v>
      </c>
      <c r="H2239" s="739" t="str">
        <f>IF($M2185&lt;&gt;EUconst_Relevant,"",IF(INDEX('G_Fall-back'!H:H,MATCH($P2239,'G_Fall-back'!$Q:$Q,0))="","",INDEX('G_Fall-back'!H:H,MATCH($P2239,'G_Fall-back'!$Q:$Q,0))))</f>
        <v/>
      </c>
      <c r="I2239" s="1153" t="str">
        <f>IF($M2185&lt;&gt;EUconst_Relevant,"",IF(INDEX('G_Fall-back'!I:I,MATCH($P2239,'G_Fall-back'!$Q:$Q,0))="","",INDEX('G_Fall-back'!I:I,MATCH($P2239,'G_Fall-back'!$Q:$Q,0))))</f>
        <v/>
      </c>
      <c r="J2239" s="1159" t="str">
        <f>IF($M2185&lt;&gt;EUconst_Relevant,"",IF(INDEX('G_Fall-back'!J:J,MATCH($P2239,'G_Fall-back'!$Q:$Q,0))="","",INDEX('G_Fall-back'!J:J,MATCH($P2239,'G_Fall-back'!$Q:$Q,0))))</f>
        <v/>
      </c>
      <c r="K2239" s="739" t="str">
        <f>IF($M2185&lt;&gt;EUconst_Relevant,"",IF(INDEX('G_Fall-back'!K:K,MATCH($P2239,'G_Fall-back'!$Q:$Q,0))="","",INDEX('G_Fall-back'!K:K,MATCH($P2239,'G_Fall-back'!$Q:$Q,0))))</f>
        <v/>
      </c>
      <c r="L2239" s="739" t="str">
        <f>IF($M2185&lt;&gt;EUconst_Relevant,"",IF(INDEX('G_Fall-back'!L:L,MATCH($P2239,'G_Fall-back'!$Q:$Q,0))="","",INDEX('G_Fall-back'!L:L,MATCH($P2239,'G_Fall-back'!$Q:$Q,0))))</f>
        <v/>
      </c>
      <c r="M2239" s="739" t="str">
        <f>IF($M2185&lt;&gt;EUconst_Relevant,"",IF(INDEX('G_Fall-back'!M:M,MATCH($P2239,'G_Fall-back'!$Q:$Q,0))="","",INDEX('G_Fall-back'!M:M,MATCH($P2239,'G_Fall-back'!$Q:$Q,0))))</f>
        <v/>
      </c>
      <c r="N2239" s="1456" t="str">
        <f>IF($M2185&lt;&gt;EUconst_Relevant,"",IF(INDEX('G_Fall-back'!N:N,MATCH($P2239,'G_Fall-back'!$Q:$Q,0))="","",INDEX('G_Fall-back'!N:N,MATCH($P2239,'G_Fall-back'!$Q:$Q,0))))</f>
        <v/>
      </c>
      <c r="O2239" s="19"/>
      <c r="P2239" s="298" t="str">
        <f>EUconst_CNTR_HeatImport &amp;I2185</f>
        <v>HeatIm_Delanläggning med värmeriktmärke, ej KL</v>
      </c>
      <c r="Q2239" s="343"/>
      <c r="R2239" s="343"/>
      <c r="S2239" s="343"/>
      <c r="T2239" s="343"/>
      <c r="U2239" s="349"/>
      <c r="V2239" s="349"/>
    </row>
    <row r="2240" spans="1:22" s="534" customFormat="1" ht="12.75" customHeight="1" x14ac:dyDescent="0.25">
      <c r="A2240" s="343"/>
      <c r="B2240" s="15"/>
      <c r="C2240" s="15"/>
      <c r="D2240" s="1454"/>
      <c r="E2240" s="2612" t="str">
        <f>Translations!$B$605</f>
        <v>Särskild emissionsfaktor (importerad värme)</v>
      </c>
      <c r="F2240" s="2487"/>
      <c r="G2240" s="384" t="str">
        <f>EUconst_tCO2pTJ</f>
        <v>t CO2 / TJ</v>
      </c>
      <c r="H2240" s="740" t="str">
        <f>IF($M2185&lt;&gt;EUconst_Relevant,"",IF(INDEX('G_Fall-back'!H:H,MATCH($P2240,'G_Fall-back'!$Q:$Q,0))="","",INDEX('G_Fall-back'!H:H,MATCH($P2240,'G_Fall-back'!$Q:$Q,0))))</f>
        <v/>
      </c>
      <c r="I2240" s="1154" t="str">
        <f>IF($M2185&lt;&gt;EUconst_Relevant,"",IF(INDEX('G_Fall-back'!I:I,MATCH($P2240,'G_Fall-back'!$Q:$Q,0))="","",INDEX('G_Fall-back'!I:I,MATCH($P2240,'G_Fall-back'!$Q:$Q,0))))</f>
        <v/>
      </c>
      <c r="J2240" s="1160" t="str">
        <f>IF($M2185&lt;&gt;EUconst_Relevant,"",IF(INDEX('G_Fall-back'!J:J,MATCH($P2240,'G_Fall-back'!$Q:$Q,0))="","",INDEX('G_Fall-back'!J:J,MATCH($P2240,'G_Fall-back'!$Q:$Q,0))))</f>
        <v/>
      </c>
      <c r="K2240" s="740" t="str">
        <f>IF($M2185&lt;&gt;EUconst_Relevant,"",IF(INDEX('G_Fall-back'!K:K,MATCH($P2240,'G_Fall-back'!$Q:$Q,0))="","",INDEX('G_Fall-back'!K:K,MATCH($P2240,'G_Fall-back'!$Q:$Q,0))))</f>
        <v/>
      </c>
      <c r="L2240" s="740" t="str">
        <f>IF($M2185&lt;&gt;EUconst_Relevant,"",IF(INDEX('G_Fall-back'!L:L,MATCH($P2240,'G_Fall-back'!$Q:$Q,0))="","",INDEX('G_Fall-back'!L:L,MATCH($P2240,'G_Fall-back'!$Q:$Q,0))))</f>
        <v/>
      </c>
      <c r="M2240" s="740" t="str">
        <f>IF($M2185&lt;&gt;EUconst_Relevant,"",IF(INDEX('G_Fall-back'!M:M,MATCH($P2240,'G_Fall-back'!$Q:$Q,0))="","",INDEX('G_Fall-back'!M:M,MATCH($P2240,'G_Fall-back'!$Q:$Q,0))))</f>
        <v/>
      </c>
      <c r="N2240" s="1457" t="str">
        <f>IF($M2185&lt;&gt;EUconst_Relevant,"",IF(INDEX('G_Fall-back'!N:N,MATCH($P2240,'G_Fall-back'!$Q:$Q,0))="","",INDEX('G_Fall-back'!N:N,MATCH($P2240,'G_Fall-back'!$Q:$Q,0))))</f>
        <v/>
      </c>
      <c r="O2240" s="19"/>
      <c r="P2240" s="298" t="str">
        <f>EUconst_CNTR_HeatImportEF &amp;I2185</f>
        <v>HeatImEF_Delanläggning med värmeriktmärke, ej KL</v>
      </c>
      <c r="Q2240" s="343"/>
      <c r="R2240" s="343"/>
      <c r="S2240" s="343"/>
      <c r="T2240" s="343"/>
      <c r="U2240" s="349"/>
      <c r="V2240" s="349"/>
    </row>
    <row r="2241" spans="1:22" s="534" customFormat="1" ht="12.75" customHeight="1" x14ac:dyDescent="0.25">
      <c r="A2241" s="343"/>
      <c r="B2241" s="15"/>
      <c r="C2241" s="15"/>
      <c r="D2241" s="1454"/>
      <c r="E2241" s="2611" t="str">
        <f>Translations!$B$1060</f>
        <v>Importerad nettovärme (produktriktmärke)</v>
      </c>
      <c r="F2241" s="2484"/>
      <c r="G2241" s="365" t="str">
        <f>EUconst_TJpa</f>
        <v>TJ / år</v>
      </c>
      <c r="H2241" s="739" t="str">
        <f>IF($M2185&lt;&gt;EUconst_Relevant,"",IF(INDEX('G_Fall-back'!H:H,MATCH($P2241,'G_Fall-back'!$Q:$Q,0))="","",INDEX('G_Fall-back'!H:H,MATCH($P2241,'G_Fall-back'!$Q:$Q,0))))</f>
        <v/>
      </c>
      <c r="I2241" s="1153" t="str">
        <f>IF($M2185&lt;&gt;EUconst_Relevant,"",IF(INDEX('G_Fall-back'!I:I,MATCH($P2241,'G_Fall-back'!$Q:$Q,0))="","",INDEX('G_Fall-back'!I:I,MATCH($P2241,'G_Fall-back'!$Q:$Q,0))))</f>
        <v/>
      </c>
      <c r="J2241" s="1159" t="str">
        <f>IF($M2185&lt;&gt;EUconst_Relevant,"",IF(INDEX('G_Fall-back'!J:J,MATCH($P2241,'G_Fall-back'!$Q:$Q,0))="","",INDEX('G_Fall-back'!J:J,MATCH($P2241,'G_Fall-back'!$Q:$Q,0))))</f>
        <v/>
      </c>
      <c r="K2241" s="739" t="str">
        <f>IF($M2185&lt;&gt;EUconst_Relevant,"",IF(INDEX('G_Fall-back'!K:K,MATCH($P2241,'G_Fall-back'!$Q:$Q,0))="","",INDEX('G_Fall-back'!K:K,MATCH($P2241,'G_Fall-back'!$Q:$Q,0))))</f>
        <v/>
      </c>
      <c r="L2241" s="739" t="str">
        <f>IF($M2185&lt;&gt;EUconst_Relevant,"",IF(INDEX('G_Fall-back'!L:L,MATCH($P2241,'G_Fall-back'!$Q:$Q,0))="","",INDEX('G_Fall-back'!L:L,MATCH($P2241,'G_Fall-back'!$Q:$Q,0))))</f>
        <v/>
      </c>
      <c r="M2241" s="739" t="str">
        <f>IF($M2185&lt;&gt;EUconst_Relevant,"",IF(INDEX('G_Fall-back'!M:M,MATCH($P2241,'G_Fall-back'!$Q:$Q,0))="","",INDEX('G_Fall-back'!M:M,MATCH($P2241,'G_Fall-back'!$Q:$Q,0))))</f>
        <v/>
      </c>
      <c r="N2241" s="1456" t="str">
        <f>IF($M2185&lt;&gt;EUconst_Relevant,"",IF(INDEX('G_Fall-back'!N:N,MATCH($P2241,'G_Fall-back'!$Q:$Q,0))="","",INDEX('G_Fall-back'!N:N,MATCH($P2241,'G_Fall-back'!$Q:$Q,0))))</f>
        <v/>
      </c>
      <c r="O2241" s="19"/>
      <c r="P2241" s="298" t="str">
        <f>EUconst_CNTR_HeatImportProduct &amp;I2185</f>
        <v>HeatImProd_Delanläggning med värmeriktmärke, ej KL</v>
      </c>
      <c r="Q2241" s="343"/>
      <c r="R2241" s="343"/>
      <c r="S2241" s="343"/>
      <c r="T2241" s="343"/>
      <c r="U2241" s="349"/>
      <c r="V2241" s="349"/>
    </row>
    <row r="2242" spans="1:22" s="534" customFormat="1" ht="12.75" customHeight="1" x14ac:dyDescent="0.25">
      <c r="A2242" s="343"/>
      <c r="B2242" s="15"/>
      <c r="C2242" s="15"/>
      <c r="D2242" s="1454"/>
      <c r="E2242" s="2612" t="str">
        <f>Translations!$B$703</f>
        <v>Särskild emissionsfaktor (från produktriktmärke)</v>
      </c>
      <c r="F2242" s="2487"/>
      <c r="G2242" s="384" t="str">
        <f>EUconst_tCO2pTJ</f>
        <v>t CO2 / TJ</v>
      </c>
      <c r="H2242" s="740" t="str">
        <f>IF($M2185&lt;&gt;EUconst_Relevant,"",IF(INDEX('G_Fall-back'!H:H,MATCH($P2242,'G_Fall-back'!$Q:$Q,0))="","",INDEX('G_Fall-back'!H:H,MATCH($P2242,'G_Fall-back'!$Q:$Q,0))))</f>
        <v/>
      </c>
      <c r="I2242" s="1154" t="str">
        <f>IF($M2185&lt;&gt;EUconst_Relevant,"",IF(INDEX('G_Fall-back'!I:I,MATCH($P2242,'G_Fall-back'!$Q:$Q,0))="","",INDEX('G_Fall-back'!I:I,MATCH($P2242,'G_Fall-back'!$Q:$Q,0))))</f>
        <v/>
      </c>
      <c r="J2242" s="1160" t="str">
        <f>IF($M2185&lt;&gt;EUconst_Relevant,"",IF(INDEX('G_Fall-back'!J:J,MATCH($P2242,'G_Fall-back'!$Q:$Q,0))="","",INDEX('G_Fall-back'!J:J,MATCH($P2242,'G_Fall-back'!$Q:$Q,0))))</f>
        <v/>
      </c>
      <c r="K2242" s="740" t="str">
        <f>IF($M2185&lt;&gt;EUconst_Relevant,"",IF(INDEX('G_Fall-back'!K:K,MATCH($P2242,'G_Fall-back'!$Q:$Q,0))="","",INDEX('G_Fall-back'!K:K,MATCH($P2242,'G_Fall-back'!$Q:$Q,0))))</f>
        <v/>
      </c>
      <c r="L2242" s="740" t="str">
        <f>IF($M2185&lt;&gt;EUconst_Relevant,"",IF(INDEX('G_Fall-back'!L:L,MATCH($P2242,'G_Fall-back'!$Q:$Q,0))="","",INDEX('G_Fall-back'!L:L,MATCH($P2242,'G_Fall-back'!$Q:$Q,0))))</f>
        <v/>
      </c>
      <c r="M2242" s="740" t="str">
        <f>IF($M2185&lt;&gt;EUconst_Relevant,"",IF(INDEX('G_Fall-back'!M:M,MATCH($P2242,'G_Fall-back'!$Q:$Q,0))="","",INDEX('G_Fall-back'!M:M,MATCH($P2242,'G_Fall-back'!$Q:$Q,0))))</f>
        <v/>
      </c>
      <c r="N2242" s="1457" t="str">
        <f>IF($M2185&lt;&gt;EUconst_Relevant,"",IF(INDEX('G_Fall-back'!N:N,MATCH($P2242,'G_Fall-back'!$Q:$Q,0))="","",INDEX('G_Fall-back'!N:N,MATCH($P2242,'G_Fall-back'!$Q:$Q,0))))</f>
        <v/>
      </c>
      <c r="O2242" s="19"/>
      <c r="P2242" s="298" t="str">
        <f>EUconst_CNTR_HeatImportProductEF &amp;I2185</f>
        <v>HeatImProdEF_Delanläggning med värmeriktmärke, ej KL</v>
      </c>
      <c r="Q2242" s="343"/>
      <c r="R2242" s="343"/>
      <c r="S2242" s="343"/>
      <c r="T2242" s="343"/>
      <c r="U2242" s="349"/>
      <c r="V2242" s="349"/>
    </row>
    <row r="2243" spans="1:22" s="534" customFormat="1" ht="12.75" customHeight="1" x14ac:dyDescent="0.25">
      <c r="A2243" s="343"/>
      <c r="B2243" s="15"/>
      <c r="C2243" s="15"/>
      <c r="D2243" s="1454"/>
      <c r="E2243" s="2611" t="str">
        <f>Translations!$B$1061</f>
        <v>Importerad nettovärme (massa)</v>
      </c>
      <c r="F2243" s="2484"/>
      <c r="G2243" s="365" t="str">
        <f>EUconst_TJpa</f>
        <v>TJ / år</v>
      </c>
      <c r="H2243" s="739" t="str">
        <f>IF($M2185&lt;&gt;EUconst_Relevant,"",IF(INDEX('G_Fall-back'!H:H,MATCH($P2243,'G_Fall-back'!$Q:$Q,0))="","",INDEX('G_Fall-back'!H:H,MATCH($P2243,'G_Fall-back'!$Q:$Q,0))))</f>
        <v/>
      </c>
      <c r="I2243" s="1153" t="str">
        <f>IF($M2185&lt;&gt;EUconst_Relevant,"",IF(INDEX('G_Fall-back'!I:I,MATCH($P2243,'G_Fall-back'!$Q:$Q,0))="","",INDEX('G_Fall-back'!I:I,MATCH($P2243,'G_Fall-back'!$Q:$Q,0))))</f>
        <v/>
      </c>
      <c r="J2243" s="1159" t="str">
        <f>IF($M2185&lt;&gt;EUconst_Relevant,"",IF(INDEX('G_Fall-back'!J:J,MATCH($P2243,'G_Fall-back'!$Q:$Q,0))="","",INDEX('G_Fall-back'!J:J,MATCH($P2243,'G_Fall-back'!$Q:$Q,0))))</f>
        <v/>
      </c>
      <c r="K2243" s="739" t="str">
        <f>IF($M2185&lt;&gt;EUconst_Relevant,"",IF(INDEX('G_Fall-back'!K:K,MATCH($P2243,'G_Fall-back'!$Q:$Q,0))="","",INDEX('G_Fall-back'!K:K,MATCH($P2243,'G_Fall-back'!$Q:$Q,0))))</f>
        <v/>
      </c>
      <c r="L2243" s="739" t="str">
        <f>IF($M2185&lt;&gt;EUconst_Relevant,"",IF(INDEX('G_Fall-back'!L:L,MATCH($P2243,'G_Fall-back'!$Q:$Q,0))="","",INDEX('G_Fall-back'!L:L,MATCH($P2243,'G_Fall-back'!$Q:$Q,0))))</f>
        <v/>
      </c>
      <c r="M2243" s="739" t="str">
        <f>IF($M2185&lt;&gt;EUconst_Relevant,"",IF(INDEX('G_Fall-back'!M:M,MATCH($P2243,'G_Fall-back'!$Q:$Q,0))="","",INDEX('G_Fall-back'!M:M,MATCH($P2243,'G_Fall-back'!$Q:$Q,0))))</f>
        <v/>
      </c>
      <c r="N2243" s="1456" t="str">
        <f>IF($M2185&lt;&gt;EUconst_Relevant,"",IF(INDEX('G_Fall-back'!N:N,MATCH($P2243,'G_Fall-back'!$Q:$Q,0))="","",INDEX('G_Fall-back'!N:N,MATCH($P2243,'G_Fall-back'!$Q:$Q,0))))</f>
        <v/>
      </c>
      <c r="O2243" s="19"/>
      <c r="P2243" s="298" t="str">
        <f>EUconst_CNTR_HeatImportPulp &amp;I2185</f>
        <v>HeatImPulp_Delanläggning med värmeriktmärke, ej KL</v>
      </c>
      <c r="Q2243" s="343"/>
      <c r="R2243" s="343"/>
      <c r="S2243" s="343"/>
      <c r="T2243" s="343"/>
      <c r="U2243" s="349"/>
      <c r="V2243" s="349"/>
    </row>
    <row r="2244" spans="1:22" s="534" customFormat="1" x14ac:dyDescent="0.25">
      <c r="A2244" s="343"/>
      <c r="B2244" s="15"/>
      <c r="C2244" s="15"/>
      <c r="D2244" s="1454"/>
      <c r="E2244" s="2612" t="str">
        <f>Translations!$B$705</f>
        <v>Särskild emissionsfaktor (från massa)</v>
      </c>
      <c r="F2244" s="2487"/>
      <c r="G2244" s="384" t="str">
        <f>EUconst_tCO2pTJ</f>
        <v>t CO2 / TJ</v>
      </c>
      <c r="H2244" s="740" t="str">
        <f>IF($M2185&lt;&gt;EUconst_Relevant,"",IF(INDEX('G_Fall-back'!H:H,MATCH($P2244,'G_Fall-back'!$Q:$Q,0))="","",INDEX('G_Fall-back'!H:H,MATCH($P2244,'G_Fall-back'!$Q:$Q,0))))</f>
        <v/>
      </c>
      <c r="I2244" s="1154" t="str">
        <f>IF($M2185&lt;&gt;EUconst_Relevant,"",IF(INDEX('G_Fall-back'!I:I,MATCH($P2244,'G_Fall-back'!$Q:$Q,0))="","",INDEX('G_Fall-back'!I:I,MATCH($P2244,'G_Fall-back'!$Q:$Q,0))))</f>
        <v/>
      </c>
      <c r="J2244" s="1160" t="str">
        <f>IF($M2185&lt;&gt;EUconst_Relevant,"",IF(INDEX('G_Fall-back'!J:J,MATCH($P2244,'G_Fall-back'!$Q:$Q,0))="","",INDEX('G_Fall-back'!J:J,MATCH($P2244,'G_Fall-back'!$Q:$Q,0))))</f>
        <v/>
      </c>
      <c r="K2244" s="740" t="str">
        <f>IF($M2185&lt;&gt;EUconst_Relevant,"",IF(INDEX('G_Fall-back'!K:K,MATCH($P2244,'G_Fall-back'!$Q:$Q,0))="","",INDEX('G_Fall-back'!K:K,MATCH($P2244,'G_Fall-back'!$Q:$Q,0))))</f>
        <v/>
      </c>
      <c r="L2244" s="740" t="str">
        <f>IF($M2185&lt;&gt;EUconst_Relevant,"",IF(INDEX('G_Fall-back'!L:L,MATCH($P2244,'G_Fall-back'!$Q:$Q,0))="","",INDEX('G_Fall-back'!L:L,MATCH($P2244,'G_Fall-back'!$Q:$Q,0))))</f>
        <v/>
      </c>
      <c r="M2244" s="740" t="str">
        <f>IF($M2185&lt;&gt;EUconst_Relevant,"",IF(INDEX('G_Fall-back'!M:M,MATCH($P2244,'G_Fall-back'!$Q:$Q,0))="","",INDEX('G_Fall-back'!M:M,MATCH($P2244,'G_Fall-back'!$Q:$Q,0))))</f>
        <v/>
      </c>
      <c r="N2244" s="1457" t="str">
        <f>IF($M2185&lt;&gt;EUconst_Relevant,"",IF(INDEX('G_Fall-back'!N:N,MATCH($P2244,'G_Fall-back'!$Q:$Q,0))="","",INDEX('G_Fall-back'!N:N,MATCH($P2244,'G_Fall-back'!$Q:$Q,0))))</f>
        <v/>
      </c>
      <c r="O2244" s="19"/>
      <c r="P2244" s="298" t="str">
        <f>EUconst_CNTR_HeatImportPulpEF &amp;I2185</f>
        <v>HeatImPulpEF_Delanläggning med värmeriktmärke, ej KL</v>
      </c>
      <c r="Q2244" s="343"/>
      <c r="R2244" s="343"/>
      <c r="S2244" s="343"/>
      <c r="T2244" s="343"/>
      <c r="U2244" s="349"/>
      <c r="V2244" s="349"/>
    </row>
    <row r="2245" spans="1:22" s="534" customFormat="1" ht="12.75" customHeight="1" x14ac:dyDescent="0.25">
      <c r="A2245" s="343"/>
      <c r="B2245" s="15"/>
      <c r="C2245" s="15"/>
      <c r="D2245" s="1454"/>
      <c r="E2245" s="2611" t="str">
        <f>Translations!$B$1062</f>
        <v>Importerad nettovärme (bränsleriktmärke)</v>
      </c>
      <c r="F2245" s="2484"/>
      <c r="G2245" s="365" t="str">
        <f>EUconst_TJpa</f>
        <v>TJ / år</v>
      </c>
      <c r="H2245" s="739" t="str">
        <f>IF($M2185&lt;&gt;EUconst_Relevant,"",IF(INDEX('G_Fall-back'!H:H,MATCH($P2245,'G_Fall-back'!$Q:$Q,0))="","",INDEX('G_Fall-back'!H:H,MATCH($P2245,'G_Fall-back'!$Q:$Q,0))))</f>
        <v/>
      </c>
      <c r="I2245" s="1153" t="str">
        <f>IF($M2185&lt;&gt;EUconst_Relevant,"",IF(INDEX('G_Fall-back'!I:I,MATCH($P2245,'G_Fall-back'!$Q:$Q,0))="","",INDEX('G_Fall-back'!I:I,MATCH($P2245,'G_Fall-back'!$Q:$Q,0))))</f>
        <v/>
      </c>
      <c r="J2245" s="1159" t="str">
        <f>IF($M2185&lt;&gt;EUconst_Relevant,"",IF(INDEX('G_Fall-back'!J:J,MATCH($P2245,'G_Fall-back'!$Q:$Q,0))="","",INDEX('G_Fall-back'!J:J,MATCH($P2245,'G_Fall-back'!$Q:$Q,0))))</f>
        <v/>
      </c>
      <c r="K2245" s="739" t="str">
        <f>IF($M2185&lt;&gt;EUconst_Relevant,"",IF(INDEX('G_Fall-back'!K:K,MATCH($P2245,'G_Fall-back'!$Q:$Q,0))="","",INDEX('G_Fall-back'!K:K,MATCH($P2245,'G_Fall-back'!$Q:$Q,0))))</f>
        <v/>
      </c>
      <c r="L2245" s="739" t="str">
        <f>IF($M2185&lt;&gt;EUconst_Relevant,"",IF(INDEX('G_Fall-back'!L:L,MATCH($P2245,'G_Fall-back'!$Q:$Q,0))="","",INDEX('G_Fall-back'!L:L,MATCH($P2245,'G_Fall-back'!$Q:$Q,0))))</f>
        <v/>
      </c>
      <c r="M2245" s="739" t="str">
        <f>IF($M2185&lt;&gt;EUconst_Relevant,"",IF(INDEX('G_Fall-back'!M:M,MATCH($P2245,'G_Fall-back'!$Q:$Q,0))="","",INDEX('G_Fall-back'!M:M,MATCH($P2245,'G_Fall-back'!$Q:$Q,0))))</f>
        <v/>
      </c>
      <c r="N2245" s="1456" t="str">
        <f>IF($M2185&lt;&gt;EUconst_Relevant,"",IF(INDEX('G_Fall-back'!N:N,MATCH($P2245,'G_Fall-back'!$Q:$Q,0))="","",INDEX('G_Fall-back'!N:N,MATCH($P2245,'G_Fall-back'!$Q:$Q,0))))</f>
        <v/>
      </c>
      <c r="O2245" s="19"/>
      <c r="P2245" s="298" t="str">
        <f>EUconst_CNTR_HeatImportFuel &amp;I2185</f>
        <v>HeatImFuel_Delanläggning med värmeriktmärke, ej KL</v>
      </c>
      <c r="Q2245" s="343"/>
      <c r="R2245" s="343"/>
      <c r="S2245" s="343"/>
      <c r="T2245" s="343"/>
      <c r="U2245" s="349"/>
      <c r="V2245" s="349"/>
    </row>
    <row r="2246" spans="1:22" s="534" customFormat="1" ht="12.75" customHeight="1" x14ac:dyDescent="0.25">
      <c r="A2246" s="343"/>
      <c r="B2246" s="15"/>
      <c r="C2246" s="15"/>
      <c r="D2246" s="1454"/>
      <c r="E2246" s="2612" t="str">
        <f>Translations!$B$707</f>
        <v>Särskild emissionsfaktor (från bränsleriktmärke)</v>
      </c>
      <c r="F2246" s="2487"/>
      <c r="G2246" s="624" t="str">
        <f>EUconst_tCO2pTJ</f>
        <v>t CO2 / TJ</v>
      </c>
      <c r="H2246" s="740" t="str">
        <f>IF($M2185&lt;&gt;EUconst_Relevant,"",IF(INDEX('G_Fall-back'!H:H,MATCH($P2246,'G_Fall-back'!$Q:$Q,0))="","",INDEX('G_Fall-back'!H:H,MATCH($P2246,'G_Fall-back'!$Q:$Q,0))))</f>
        <v/>
      </c>
      <c r="I2246" s="1154" t="str">
        <f>IF($M2185&lt;&gt;EUconst_Relevant,"",IF(INDEX('G_Fall-back'!I:I,MATCH($P2246,'G_Fall-back'!$Q:$Q,0))="","",INDEX('G_Fall-back'!I:I,MATCH($P2246,'G_Fall-back'!$Q:$Q,0))))</f>
        <v/>
      </c>
      <c r="J2246" s="1160" t="str">
        <f>IF($M2185&lt;&gt;EUconst_Relevant,"",IF(INDEX('G_Fall-back'!J:J,MATCH($P2246,'G_Fall-back'!$Q:$Q,0))="","",INDEX('G_Fall-back'!J:J,MATCH($P2246,'G_Fall-back'!$Q:$Q,0))))</f>
        <v/>
      </c>
      <c r="K2246" s="740" t="str">
        <f>IF($M2185&lt;&gt;EUconst_Relevant,"",IF(INDEX('G_Fall-back'!K:K,MATCH($P2246,'G_Fall-back'!$Q:$Q,0))="","",INDEX('G_Fall-back'!K:K,MATCH($P2246,'G_Fall-back'!$Q:$Q,0))))</f>
        <v/>
      </c>
      <c r="L2246" s="740" t="str">
        <f>IF($M2185&lt;&gt;EUconst_Relevant,"",IF(INDEX('G_Fall-back'!L:L,MATCH($P2246,'G_Fall-back'!$Q:$Q,0))="","",INDEX('G_Fall-back'!L:L,MATCH($P2246,'G_Fall-back'!$Q:$Q,0))))</f>
        <v/>
      </c>
      <c r="M2246" s="740" t="str">
        <f>IF($M2185&lt;&gt;EUconst_Relevant,"",IF(INDEX('G_Fall-back'!M:M,MATCH($P2246,'G_Fall-back'!$Q:$Q,0))="","",INDEX('G_Fall-back'!M:M,MATCH($P2246,'G_Fall-back'!$Q:$Q,0))))</f>
        <v/>
      </c>
      <c r="N2246" s="1457" t="str">
        <f>IF($M2185&lt;&gt;EUconst_Relevant,"",IF(INDEX('G_Fall-back'!N:N,MATCH($P2246,'G_Fall-back'!$Q:$Q,0))="","",INDEX('G_Fall-back'!N:N,MATCH($P2246,'G_Fall-back'!$Q:$Q,0))))</f>
        <v/>
      </c>
      <c r="O2246" s="19"/>
      <c r="P2246" s="298" t="str">
        <f>EUconst_CNTR_HeatImportFuelEF &amp;I2185</f>
        <v>HeatImFuelEF_Delanläggning med värmeriktmärke, ej KL</v>
      </c>
      <c r="Q2246" s="343"/>
      <c r="R2246" s="343"/>
      <c r="S2246" s="343"/>
      <c r="T2246" s="343"/>
      <c r="U2246" s="349"/>
      <c r="V2246" s="349"/>
    </row>
    <row r="2247" spans="1:22" s="534" customFormat="1" ht="12.75" customHeight="1" x14ac:dyDescent="0.25">
      <c r="A2247" s="343"/>
      <c r="B2247" s="15"/>
      <c r="C2247" s="15"/>
      <c r="D2247" s="1454"/>
      <c r="E2247" s="2611" t="str">
        <f>Translations!$B$1063</f>
        <v>Importerad nettovärme (restgaser)</v>
      </c>
      <c r="F2247" s="2484"/>
      <c r="G2247" s="365" t="str">
        <f>EUconst_TJpa</f>
        <v>TJ / år</v>
      </c>
      <c r="H2247" s="739" t="str">
        <f>IF($M2185&lt;&gt;EUconst_Relevant,"",IF(INDEX('G_Fall-back'!H:H,MATCH($P2247,'G_Fall-back'!$Q:$Q,0))="","",INDEX('G_Fall-back'!H:H,MATCH($P2247,'G_Fall-back'!$Q:$Q,0))))</f>
        <v/>
      </c>
      <c r="I2247" s="1153" t="str">
        <f>IF($M2185&lt;&gt;EUconst_Relevant,"",IF(INDEX('G_Fall-back'!I:I,MATCH($P2247,'G_Fall-back'!$Q:$Q,0))="","",INDEX('G_Fall-back'!I:I,MATCH($P2247,'G_Fall-back'!$Q:$Q,0))))</f>
        <v/>
      </c>
      <c r="J2247" s="1159" t="str">
        <f>IF($M2185&lt;&gt;EUconst_Relevant,"",IF(INDEX('G_Fall-back'!J:J,MATCH($P2247,'G_Fall-back'!$Q:$Q,0))="","",INDEX('G_Fall-back'!J:J,MATCH($P2247,'G_Fall-back'!$Q:$Q,0))))</f>
        <v/>
      </c>
      <c r="K2247" s="739" t="str">
        <f>IF($M2185&lt;&gt;EUconst_Relevant,"",IF(INDEX('G_Fall-back'!K:K,MATCH($P2247,'G_Fall-back'!$Q:$Q,0))="","",INDEX('G_Fall-back'!K:K,MATCH($P2247,'G_Fall-back'!$Q:$Q,0))))</f>
        <v/>
      </c>
      <c r="L2247" s="739" t="str">
        <f>IF($M2185&lt;&gt;EUconst_Relevant,"",IF(INDEX('G_Fall-back'!L:L,MATCH($P2247,'G_Fall-back'!$Q:$Q,0))="","",INDEX('G_Fall-back'!L:L,MATCH($P2247,'G_Fall-back'!$Q:$Q,0))))</f>
        <v/>
      </c>
      <c r="M2247" s="739" t="str">
        <f>IF($M2185&lt;&gt;EUconst_Relevant,"",IF(INDEX('G_Fall-back'!M:M,MATCH($P2247,'G_Fall-back'!$Q:$Q,0))="","",INDEX('G_Fall-back'!M:M,MATCH($P2247,'G_Fall-back'!$Q:$Q,0))))</f>
        <v/>
      </c>
      <c r="N2247" s="1456" t="str">
        <f>IF($M2185&lt;&gt;EUconst_Relevant,"",IF(INDEX('G_Fall-back'!N:N,MATCH($P2247,'G_Fall-back'!$Q:$Q,0))="","",INDEX('G_Fall-back'!N:N,MATCH($P2247,'G_Fall-back'!$Q:$Q,0))))</f>
        <v/>
      </c>
      <c r="O2247" s="19"/>
      <c r="P2247" s="298" t="str">
        <f>EUconst_CNTR_WGImport &amp;I2185</f>
        <v>WasteGasIm_Delanläggning med värmeriktmärke, ej KL</v>
      </c>
      <c r="Q2247" s="343"/>
      <c r="R2247" s="343"/>
      <c r="S2247" s="343"/>
      <c r="T2247" s="343"/>
      <c r="U2247" s="349"/>
      <c r="V2247" s="349"/>
    </row>
    <row r="2248" spans="1:22" s="534" customFormat="1" ht="12.75" customHeight="1" x14ac:dyDescent="0.25">
      <c r="A2248" s="343"/>
      <c r="B2248" s="15"/>
      <c r="C2248" s="15"/>
      <c r="D2248" s="1454"/>
      <c r="E2248" s="2612" t="str">
        <f>Translations!$B$709</f>
        <v>Särskild emissionsfaktor (från restgas)</v>
      </c>
      <c r="F2248" s="2487"/>
      <c r="G2248" s="624" t="str">
        <f>EUconst_tCO2pTJ</f>
        <v>t CO2 / TJ</v>
      </c>
      <c r="H2248" s="740" t="str">
        <f>IF($M2185&lt;&gt;EUconst_Relevant,"",IF(INDEX('G_Fall-back'!H:H,MATCH($P2248,'G_Fall-back'!$Q:$Q,0))="","",INDEX('G_Fall-back'!H:H,MATCH($P2248,'G_Fall-back'!$Q:$Q,0))))</f>
        <v/>
      </c>
      <c r="I2248" s="1154" t="str">
        <f>IF($M2185&lt;&gt;EUconst_Relevant,"",IF(INDEX('G_Fall-back'!I:I,MATCH($P2248,'G_Fall-back'!$Q:$Q,0))="","",INDEX('G_Fall-back'!I:I,MATCH($P2248,'G_Fall-back'!$Q:$Q,0))))</f>
        <v/>
      </c>
      <c r="J2248" s="1160" t="str">
        <f>IF($M2185&lt;&gt;EUconst_Relevant,"",IF(INDEX('G_Fall-back'!J:J,MATCH($P2248,'G_Fall-back'!$Q:$Q,0))="","",INDEX('G_Fall-back'!J:J,MATCH($P2248,'G_Fall-back'!$Q:$Q,0))))</f>
        <v/>
      </c>
      <c r="K2248" s="740" t="str">
        <f>IF($M2185&lt;&gt;EUconst_Relevant,"",IF(INDEX('G_Fall-back'!K:K,MATCH($P2248,'G_Fall-back'!$Q:$Q,0))="","",INDEX('G_Fall-back'!K:K,MATCH($P2248,'G_Fall-back'!$Q:$Q,0))))</f>
        <v/>
      </c>
      <c r="L2248" s="740" t="str">
        <f>IF($M2185&lt;&gt;EUconst_Relevant,"",IF(INDEX('G_Fall-back'!L:L,MATCH($P2248,'G_Fall-back'!$Q:$Q,0))="","",INDEX('G_Fall-back'!L:L,MATCH($P2248,'G_Fall-back'!$Q:$Q,0))))</f>
        <v/>
      </c>
      <c r="M2248" s="740" t="str">
        <f>IF($M2185&lt;&gt;EUconst_Relevant,"",IF(INDEX('G_Fall-back'!M:M,MATCH($P2248,'G_Fall-back'!$Q:$Q,0))="","",INDEX('G_Fall-back'!M:M,MATCH($P2248,'G_Fall-back'!$Q:$Q,0))))</f>
        <v/>
      </c>
      <c r="N2248" s="1457" t="str">
        <f>IF($M2185&lt;&gt;EUconst_Relevant,"",IF(INDEX('G_Fall-back'!N:N,MATCH($P2248,'G_Fall-back'!$Q:$Q,0))="","",INDEX('G_Fall-back'!N:N,MATCH($P2248,'G_Fall-back'!$Q:$Q,0))))</f>
        <v/>
      </c>
      <c r="O2248" s="19"/>
      <c r="P2248" s="298" t="str">
        <f>EUconst_CNTR_WGImportEF &amp;I2185</f>
        <v>WasteGasImEF_Delanläggning med värmeriktmärke, ej KL</v>
      </c>
      <c r="Q2248" s="343"/>
      <c r="R2248" s="343"/>
      <c r="S2248" s="343"/>
      <c r="T2248" s="343"/>
      <c r="U2248" s="349"/>
      <c r="V2248" s="349"/>
    </row>
    <row r="2249" spans="1:22" s="534" customFormat="1" ht="5.15" customHeight="1" thickBot="1" x14ac:dyDescent="0.3">
      <c r="A2249" s="343"/>
      <c r="B2249" s="15"/>
      <c r="C2249" s="15"/>
      <c r="D2249" s="1484"/>
      <c r="E2249" s="783"/>
      <c r="F2249" s="783"/>
      <c r="G2249" s="783"/>
      <c r="H2249" s="783"/>
      <c r="I2249" s="783"/>
      <c r="J2249" s="783"/>
      <c r="K2249" s="783"/>
      <c r="L2249" s="783"/>
      <c r="M2249" s="783"/>
      <c r="N2249" s="784"/>
      <c r="O2249" s="19"/>
      <c r="P2249" s="343"/>
      <c r="Q2249" s="343"/>
      <c r="R2249" s="343"/>
      <c r="S2249" s="343"/>
      <c r="T2249" s="343"/>
      <c r="U2249" s="349"/>
      <c r="V2249" s="349"/>
    </row>
    <row r="2250" spans="1:22" s="534" customFormat="1" ht="5.15" customHeight="1" thickBot="1" x14ac:dyDescent="0.3">
      <c r="A2250" s="343"/>
      <c r="B2250" s="15"/>
      <c r="C2250" s="15"/>
      <c r="D2250" s="15"/>
      <c r="E2250" s="15"/>
      <c r="F2250" s="15"/>
      <c r="G2250" s="15"/>
      <c r="M2250" s="15"/>
      <c r="N2250" s="15"/>
      <c r="O2250" s="19"/>
      <c r="P2250" s="343"/>
      <c r="Q2250" s="343"/>
      <c r="R2250" s="343"/>
      <c r="S2250" s="343"/>
      <c r="T2250" s="343"/>
      <c r="U2250" s="349"/>
      <c r="V2250" s="349"/>
    </row>
    <row r="2251" spans="1:22" s="534" customFormat="1" ht="5.15" customHeight="1" thickBot="1" x14ac:dyDescent="0.3">
      <c r="A2251" s="343"/>
      <c r="B2251" s="3"/>
      <c r="C2251" s="230"/>
      <c r="D2251" s="230"/>
      <c r="E2251" s="230"/>
      <c r="F2251" s="230"/>
      <c r="G2251" s="230"/>
      <c r="H2251" s="230"/>
      <c r="I2251" s="230"/>
      <c r="J2251" s="230"/>
      <c r="K2251" s="230"/>
      <c r="L2251" s="230"/>
      <c r="M2251" s="230"/>
      <c r="N2251" s="230"/>
      <c r="O2251" s="19"/>
      <c r="P2251" s="343"/>
      <c r="Q2251" s="343"/>
      <c r="R2251" s="343"/>
      <c r="S2251" s="343"/>
      <c r="T2251" s="343"/>
      <c r="U2251" s="349"/>
      <c r="V2251" s="349"/>
    </row>
    <row r="2252" spans="1:22" s="534" customFormat="1" ht="15" customHeight="1" thickBot="1" x14ac:dyDescent="0.35">
      <c r="A2252" s="343"/>
      <c r="B2252" s="15"/>
      <c r="C2252" s="17">
        <f>C2185+1</f>
        <v>13</v>
      </c>
      <c r="D2252" s="2053" t="str">
        <f>CONCATENATE(EUconst_FBSubinst," ",C2252-10, ":")</f>
        <v>”Fall-back”-delanläggning 3:</v>
      </c>
      <c r="E2252" s="2053"/>
      <c r="F2252" s="2053"/>
      <c r="G2252" s="2053"/>
      <c r="H2252" s="2081"/>
      <c r="I2252" s="2082" t="str">
        <f>INDEX(EUconst_FallBackListNames,$C2252-10)</f>
        <v>Fjärrvärmedelanläggning</v>
      </c>
      <c r="J2252" s="2083"/>
      <c r="K2252" s="2083"/>
      <c r="L2252" s="2084"/>
      <c r="M2252" s="2085" t="str">
        <f>IF(INDEX(CNTR_FallBackSubInstRelevant,C2252-10)="","",IF(INDEX(CNTR_FallBackSubInstRelevant,C2252-10),EUconst_Relevant,EUconst_NotRelevant))</f>
        <v/>
      </c>
      <c r="N2252" s="2086"/>
      <c r="O2252" s="19"/>
      <c r="P2252" s="343"/>
      <c r="Q2252" s="723">
        <f>C2252</f>
        <v>13</v>
      </c>
      <c r="R2252" s="722" t="str">
        <f>I2252</f>
        <v>Fjärrvärmedelanläggning</v>
      </c>
      <c r="S2252" s="343"/>
      <c r="T2252" s="343"/>
      <c r="U2252" s="349"/>
      <c r="V2252" s="349"/>
    </row>
    <row r="2253" spans="1:22" s="534" customFormat="1" ht="5.15" customHeight="1" x14ac:dyDescent="0.3">
      <c r="A2253" s="343"/>
      <c r="B2253" s="15"/>
      <c r="C2253" s="17"/>
      <c r="D2253" s="17"/>
      <c r="E2253" s="17"/>
      <c r="F2253" s="17"/>
      <c r="G2253" s="17"/>
      <c r="H2253" s="17"/>
      <c r="I2253" s="17"/>
      <c r="J2253" s="17"/>
      <c r="K2253" s="17"/>
      <c r="L2253" s="17"/>
      <c r="M2253" s="17"/>
      <c r="N2253" s="17"/>
      <c r="O2253" s="19"/>
      <c r="P2253" s="343"/>
      <c r="Q2253" s="343"/>
      <c r="R2253" s="343"/>
      <c r="S2253" s="343"/>
      <c r="T2253" s="343"/>
      <c r="U2253" s="349"/>
      <c r="V2253" s="349"/>
    </row>
    <row r="2254" spans="1:22" s="534" customFormat="1" ht="12.75" customHeight="1" x14ac:dyDescent="0.3">
      <c r="A2254" s="343"/>
      <c r="B2254" s="15"/>
      <c r="C2254" s="17"/>
      <c r="D2254" s="17"/>
      <c r="E2254" s="17"/>
      <c r="F2254" s="17"/>
      <c r="H2254" s="506" t="str">
        <f>Translations!$B$1022</f>
        <v>KL-risk</v>
      </c>
      <c r="I2254" s="15"/>
      <c r="J2254" s="506" t="str">
        <f>Translations!$B$1026</f>
        <v>I drift</v>
      </c>
      <c r="K2254" s="506" t="str">
        <f>Translations!$B$1545</f>
        <v>Upphört</v>
      </c>
      <c r="L2254" s="952" t="str">
        <f>Translations!$B$1024</f>
        <v>RM-nummer</v>
      </c>
      <c r="M2254" s="2786" t="str">
        <f>Translations!$B$1028</f>
        <v>RM-värde</v>
      </c>
      <c r="N2254" s="2786"/>
      <c r="O2254" s="19"/>
      <c r="P2254" s="343"/>
      <c r="Q2254" s="343"/>
      <c r="R2254" s="343"/>
      <c r="S2254" s="343"/>
      <c r="T2254" s="343"/>
      <c r="U2254" s="349"/>
      <c r="V2254" s="349"/>
    </row>
    <row r="2255" spans="1:22" s="534" customFormat="1" ht="12.75" customHeight="1" x14ac:dyDescent="0.3">
      <c r="A2255" s="343"/>
      <c r="B2255" s="15"/>
      <c r="C2255" s="17"/>
      <c r="D2255" s="17"/>
      <c r="E2255" s="508" t="str">
        <f>I2252</f>
        <v>Fjärrvärmedelanläggning</v>
      </c>
      <c r="F2255" s="509"/>
      <c r="G2255" s="509"/>
      <c r="H2255" s="510" t="b">
        <f>INDEX(EUconst_FallBackListCLstatus,MATCH(I2252,EUconst_FallBackListNames,0))</f>
        <v>0</v>
      </c>
      <c r="I2255" s="15"/>
      <c r="J2255" s="1045" t="str">
        <f>IF($M2252&lt;&gt;EUconst_Relevant,EUconst_NA,INDEX(CNTR_SubInstStartDate,MATCH(I2252,CNTR_SubInstListNames,0)))</f>
        <v>Ej tillämpligt</v>
      </c>
      <c r="K2255" s="1045" t="str">
        <f>IF($M2252&lt;&gt;EUconst_Relevant,EUconst_NA,IF(INDEX(CNTR_SubInstCessationDate,MATCH(I2252,CNTR_SubInstListNames,0))=0,"",INDEX(CNTR_SubInstCessationDate,MATCH(I2252,CNTR_SubInstListNames,0))))</f>
        <v>Ej tillämpligt</v>
      </c>
      <c r="L2255" s="953">
        <f>C2252-10</f>
        <v>3</v>
      </c>
      <c r="M2255" s="1746" t="str">
        <f>IF(M2252&lt;&gt;EUconst_Relevant,EUconst_NA,INDEX(EUconst_FallBackListBMvaluesMatrix,L2255,3))</f>
        <v>Ej tillämpligt</v>
      </c>
      <c r="N2255" s="1041" t="str">
        <f>EUconst_EUA &amp; "/" &amp; F2258</f>
        <v>EUA/TJ</v>
      </c>
      <c r="O2255" s="19"/>
      <c r="P2255" s="343"/>
      <c r="Q2255" s="343"/>
      <c r="R2255" s="343"/>
      <c r="S2255" s="343"/>
      <c r="T2255" s="343"/>
      <c r="U2255" s="349"/>
      <c r="V2255" s="349"/>
    </row>
    <row r="2256" spans="1:22" s="534" customFormat="1" ht="5.15" customHeight="1" thickBot="1" x14ac:dyDescent="0.35">
      <c r="A2256" s="343"/>
      <c r="B2256" s="15"/>
      <c r="C2256" s="15"/>
      <c r="D2256" s="15"/>
      <c r="E2256" s="17"/>
      <c r="J2256" s="15"/>
      <c r="K2256" s="15"/>
      <c r="L2256" s="15"/>
      <c r="M2256" s="15"/>
      <c r="N2256" s="15"/>
      <c r="O2256" s="19"/>
      <c r="P2256" s="343"/>
      <c r="Q2256" s="343"/>
      <c r="R2256" s="343"/>
      <c r="S2256" s="343"/>
      <c r="T2256" s="7"/>
      <c r="U2256" s="349"/>
      <c r="V2256" s="349"/>
    </row>
    <row r="2257" spans="1:22" s="534" customFormat="1" ht="12.75" customHeight="1" x14ac:dyDescent="0.25">
      <c r="A2257" s="343"/>
      <c r="B2257" s="15"/>
      <c r="C2257" s="15"/>
      <c r="D2257" s="15"/>
      <c r="E2257" s="39"/>
      <c r="F2257" s="13" t="str">
        <f>EUconst_Unit</f>
        <v>Enhet</v>
      </c>
      <c r="G2257" s="1201" t="str">
        <f>Translations!$B$1432</f>
        <v>HAL</v>
      </c>
      <c r="H2257" s="987">
        <f t="shared" ref="H2257:N2257" si="424">H$2596</f>
        <v>2019</v>
      </c>
      <c r="I2257" s="342">
        <f t="shared" si="424"/>
        <v>2020</v>
      </c>
      <c r="J2257" s="987">
        <f t="shared" si="424"/>
        <v>2021</v>
      </c>
      <c r="K2257" s="320">
        <f t="shared" si="424"/>
        <v>2022</v>
      </c>
      <c r="L2257" s="320">
        <f t="shared" si="424"/>
        <v>2023</v>
      </c>
      <c r="M2257" s="320">
        <f t="shared" si="424"/>
        <v>2024</v>
      </c>
      <c r="N2257" s="320">
        <f t="shared" si="424"/>
        <v>2025</v>
      </c>
      <c r="O2257" s="19"/>
      <c r="P2257" s="343"/>
      <c r="Q2257" s="343" t="s">
        <v>2010</v>
      </c>
      <c r="R2257" s="1635">
        <f>J$2596</f>
        <v>2021</v>
      </c>
      <c r="S2257" s="1636">
        <f>K$2596</f>
        <v>2022</v>
      </c>
      <c r="T2257" s="1636">
        <f>L$2596</f>
        <v>2023</v>
      </c>
      <c r="U2257" s="1636">
        <f>M$2596</f>
        <v>2024</v>
      </c>
      <c r="V2257" s="1637">
        <f>N$2596</f>
        <v>2025</v>
      </c>
    </row>
    <row r="2258" spans="1:22" s="534" customFormat="1" ht="12.75" customHeight="1" thickBot="1" x14ac:dyDescent="0.3">
      <c r="A2258" s="343"/>
      <c r="B2258" s="15"/>
      <c r="C2258" s="15"/>
      <c r="D2258" s="15"/>
      <c r="E2258" s="514" t="str">
        <f>Translations!$B$1562</f>
        <v>Rapporterad verksamhetsnivå</v>
      </c>
      <c r="F2258" s="563" t="str">
        <f>INDEX(EUconst_FallBackListUnits,L2255)</f>
        <v>TJ</v>
      </c>
      <c r="G2258" s="1407" t="str">
        <f>I2281</f>
        <v/>
      </c>
      <c r="H2258" s="1408" t="str">
        <f>IF($M2252&lt;&gt;EUconst_Relevant,"",IF(H2257&gt;=CNTR_ReportingYear,"",SUMIF('G_Fall-back'!$Q:$Q,$P2258,'G_Fall-back'!H:H)))</f>
        <v/>
      </c>
      <c r="I2258" s="1409" t="str">
        <f>IF($M2252&lt;&gt;EUconst_Relevant,"",IF(I2257&gt;=CNTR_ReportingYear,"",SUMIF('G_Fall-back'!$Q:$Q,$P2258,'G_Fall-back'!I:I)))</f>
        <v/>
      </c>
      <c r="J2258" s="1408" t="str">
        <f>IF($M2252&lt;&gt;EUconst_Relevant,"",IF(J2257&gt;=CNTR_ReportingYear,"",SUMIF('G_Fall-back'!$Q:$Q,$P2258,'G_Fall-back'!J:J)))</f>
        <v/>
      </c>
      <c r="K2258" s="1410" t="str">
        <f>IF($M2252&lt;&gt;EUconst_Relevant,"",IF(K2257&gt;=CNTR_ReportingYear,"",SUMIF('G_Fall-back'!$Q:$Q,$P2258,'G_Fall-back'!K:K)))</f>
        <v/>
      </c>
      <c r="L2258" s="1410" t="str">
        <f>IF($M2252&lt;&gt;EUconst_Relevant,"",IF(L2257&gt;=CNTR_ReportingYear,"",SUMIF('G_Fall-back'!$Q:$Q,$P2258,'G_Fall-back'!L:L)))</f>
        <v/>
      </c>
      <c r="M2258" s="1410" t="str">
        <f>IF($M2252&lt;&gt;EUconst_Relevant,"",IF(M2257&gt;=CNTR_ReportingYear,"",SUMIF('G_Fall-back'!$Q:$Q,$P2258,'G_Fall-back'!M:M)))</f>
        <v/>
      </c>
      <c r="N2258" s="1410" t="str">
        <f>IF($M2252&lt;&gt;EUconst_Relevant,"",IF(N2257&gt;=CNTR_ReportingYear,"",SUMIF('G_Fall-back'!$Q:$Q,$P2258,'G_Fall-back'!N:N)))</f>
        <v/>
      </c>
      <c r="O2258" s="19"/>
      <c r="P2258" s="165" t="str">
        <f>EUconst_CNTR_HAL&amp;I2252</f>
        <v>HAL_Fjärrvärmedelanläggning</v>
      </c>
      <c r="Q2258" s="343"/>
      <c r="R2258" s="1329" t="b">
        <f>AND($M2252=EUconst_Relevant,R2257&lt;=CNTR_ReportingYear,IF($J2255&lt;&gt;EUconst_NA,R2257&gt;=YEAR($J2255),TRUE))</f>
        <v>0</v>
      </c>
      <c r="S2258" s="1330" t="b">
        <f>AND($M2252=EUconst_Relevant,S2257&lt;=CNTR_ReportingYear,IF($J2255&lt;&gt;EUconst_NA,S2257&gt;=YEAR($J2255),TRUE))</f>
        <v>0</v>
      </c>
      <c r="T2258" s="1330" t="b">
        <f>AND($M2252=EUconst_Relevant,T2257&lt;=CNTR_ReportingYear,IF($J2255&lt;&gt;EUconst_NA,T2257&gt;=YEAR($J2255),TRUE))</f>
        <v>0</v>
      </c>
      <c r="U2258" s="1330" t="b">
        <f>AND($M2252=EUconst_Relevant,U2257&lt;=CNTR_ReportingYear,IF($J2255&lt;&gt;EUconst_NA,U2257&gt;=YEAR($J2255),TRUE))</f>
        <v>0</v>
      </c>
      <c r="V2258" s="1331" t="b">
        <f>AND($M2252=EUconst_Relevant,V2257&lt;=CNTR_ReportingYear,IF($J2255&lt;&gt;EUconst_NA,V2257&gt;=YEAR($J2255),TRUE))</f>
        <v>0</v>
      </c>
    </row>
    <row r="2259" spans="1:22" s="534" customFormat="1" ht="5.15" customHeight="1" thickBot="1" x14ac:dyDescent="0.3">
      <c r="A2259" s="343"/>
      <c r="B2259" s="15"/>
      <c r="C2259" s="15"/>
      <c r="D2259" s="15"/>
      <c r="F2259" s="15"/>
      <c r="G2259" s="15"/>
      <c r="H2259" s="15"/>
      <c r="I2259" s="941"/>
      <c r="J2259" s="15"/>
      <c r="K2259" s="15"/>
      <c r="L2259" s="15"/>
      <c r="M2259" s="15"/>
      <c r="N2259" s="15"/>
      <c r="O2259" s="19"/>
      <c r="P2259" s="343"/>
      <c r="Q2259" s="343"/>
      <c r="R2259" s="343"/>
      <c r="S2259" s="343"/>
      <c r="T2259" s="7"/>
      <c r="U2259" s="349"/>
      <c r="V2259" s="349"/>
    </row>
    <row r="2260" spans="1:22" s="534" customFormat="1" ht="5.15" customHeight="1" x14ac:dyDescent="0.3">
      <c r="A2260" s="343"/>
      <c r="B2260" s="15"/>
      <c r="C2260" s="17"/>
      <c r="D2260" s="1383"/>
      <c r="E2260" s="1384"/>
      <c r="F2260" s="1384"/>
      <c r="G2260" s="1384"/>
      <c r="H2260" s="1384"/>
      <c r="I2260" s="1384"/>
      <c r="J2260" s="1384"/>
      <c r="K2260" s="1384"/>
      <c r="L2260" s="1384"/>
      <c r="M2260" s="1384"/>
      <c r="N2260" s="1385"/>
      <c r="O2260" s="19"/>
      <c r="P2260" s="343"/>
      <c r="Q2260" s="343"/>
      <c r="R2260" s="343"/>
      <c r="S2260" s="343"/>
      <c r="T2260" s="343"/>
      <c r="U2260" s="349"/>
      <c r="V2260" s="349"/>
    </row>
    <row r="2261" spans="1:22" s="534" customFormat="1" ht="12.75" customHeight="1" x14ac:dyDescent="0.3">
      <c r="A2261" s="343"/>
      <c r="B2261" s="15"/>
      <c r="C2261" s="17"/>
      <c r="D2261" s="1386"/>
      <c r="E2261" s="42" t="str">
        <f>Translations!$B$1563</f>
        <v>Tillämplighet av glidande medelvärde</v>
      </c>
      <c r="F2261" s="188"/>
      <c r="G2261" s="188"/>
      <c r="H2261" s="30" t="str">
        <f>EUconst_Unit</f>
        <v>Enhet</v>
      </c>
      <c r="I2261" s="1157"/>
      <c r="J2261" s="1065">
        <f>J$2596</f>
        <v>2021</v>
      </c>
      <c r="K2261" s="350">
        <f>K$2596</f>
        <v>2022</v>
      </c>
      <c r="L2261" s="350">
        <f>L$2596</f>
        <v>2023</v>
      </c>
      <c r="M2261" s="350">
        <f>M$2596</f>
        <v>2024</v>
      </c>
      <c r="N2261" s="966">
        <f>N$2596</f>
        <v>2025</v>
      </c>
      <c r="O2261" s="19"/>
      <c r="P2261" s="343"/>
      <c r="Q2261" s="343"/>
      <c r="R2261" s="343"/>
      <c r="S2261" s="343"/>
      <c r="T2261" s="343"/>
      <c r="U2261" s="349"/>
      <c r="V2261" s="349"/>
    </row>
    <row r="2262" spans="1:22" s="534" customFormat="1" ht="12.75" customHeight="1" x14ac:dyDescent="0.3">
      <c r="A2262" s="343"/>
      <c r="B2262" s="15"/>
      <c r="C2262" s="17"/>
      <c r="D2262" s="1386"/>
      <c r="E2262" s="1477" t="str">
        <f>Translations!$B$1549</f>
        <v>Kriterium 1: Verksam &gt;2 år?</v>
      </c>
      <c r="F2262" s="1478"/>
      <c r="G2262" s="1478"/>
      <c r="H2262" s="1366" t="s">
        <v>1112</v>
      </c>
      <c r="I2262" s="1478"/>
      <c r="J2262" s="1469" t="str">
        <f>IF(R2258,INDEX('G_Fall-back'!V:V,MATCH($P2262,'G_Fall-back'!$Q:$Q,0))&gt;=3,"")</f>
        <v/>
      </c>
      <c r="K2262" s="1470" t="str">
        <f>IF(S2258,INDEX('G_Fall-back'!W:W,MATCH($P2262,'G_Fall-back'!$Q:$Q,0))&gt;=3,"")</f>
        <v/>
      </c>
      <c r="L2262" s="1470" t="str">
        <f>IF(T2258,INDEX('G_Fall-back'!X:X,MATCH($P2262,'G_Fall-back'!$Q:$Q,0))&gt;=3,"")</f>
        <v/>
      </c>
      <c r="M2262" s="1470" t="str">
        <f>IF(U2258,INDEX('G_Fall-back'!Y:Y,MATCH($P2262,'G_Fall-back'!$Q:$Q,0))&gt;=3,"")</f>
        <v/>
      </c>
      <c r="N2262" s="1471" t="str">
        <f>IF(V2258,INDEX('G_Fall-back'!Z:Z,MATCH($P2262,'G_Fall-back'!$Q:$Q,0))&gt;=3,"")</f>
        <v/>
      </c>
      <c r="O2262" s="19"/>
      <c r="P2262" s="165" t="str">
        <f>EUconst_CNTR_HALinitial&amp;I2252</f>
        <v>HALini_Fjärrvärmedelanläggning</v>
      </c>
      <c r="Q2262" s="343"/>
      <c r="R2262" s="343"/>
      <c r="S2262" s="343"/>
      <c r="T2262" s="343"/>
      <c r="U2262" s="349"/>
      <c r="V2262" s="349"/>
    </row>
    <row r="2263" spans="1:22" s="534" customFormat="1" ht="12.75" customHeight="1" x14ac:dyDescent="0.3">
      <c r="A2263" s="343"/>
      <c r="B2263" s="15"/>
      <c r="C2263" s="17"/>
      <c r="D2263" s="1386"/>
      <c r="E2263" s="1472" t="str">
        <f>Translations!$B$1551</f>
        <v>Kriterium 2: Upphörde inte föregående år?</v>
      </c>
      <c r="F2263" s="1479"/>
      <c r="G2263" s="1479"/>
      <c r="H2263" s="1473" t="s">
        <v>1112</v>
      </c>
      <c r="I2263" s="1479"/>
      <c r="J2263" s="1474" t="str">
        <f>IF(R2258,IF($K2255="",2050,YEAR($K2255))&lt;&gt;(J2261-1),"")</f>
        <v/>
      </c>
      <c r="K2263" s="1475" t="str">
        <f>IF(S2258,IF($K2255="",2050,YEAR($K2255))&lt;&gt;(K2261-1),"")</f>
        <v/>
      </c>
      <c r="L2263" s="1475" t="str">
        <f>IF(T2258,IF($K2255="",2050,YEAR($K2255))&lt;&gt;(L2261-1),"")</f>
        <v/>
      </c>
      <c r="M2263" s="1475" t="str">
        <f>IF(U2258,IF($K2255="",2050,YEAR($K2255))&lt;&gt;(M2261-1),"")</f>
        <v/>
      </c>
      <c r="N2263" s="1476" t="str">
        <f>IF(V2258,IF($K2255="",2050,YEAR($K2255))&lt;&gt;(N2261-1),"")</f>
        <v/>
      </c>
      <c r="O2263" s="19"/>
      <c r="P2263" s="343"/>
      <c r="Q2263" s="343"/>
      <c r="R2263" s="343"/>
      <c r="S2263" s="343"/>
      <c r="T2263" s="343"/>
      <c r="U2263" s="349"/>
      <c r="V2263" s="349"/>
    </row>
    <row r="2264" spans="1:22" s="534" customFormat="1" ht="5.15" customHeight="1" x14ac:dyDescent="0.3">
      <c r="A2264" s="343"/>
      <c r="B2264" s="15"/>
      <c r="C2264" s="17"/>
      <c r="D2264" s="1386"/>
      <c r="E2264" s="17"/>
      <c r="F2264" s="17"/>
      <c r="G2264" s="17"/>
      <c r="H2264" s="17"/>
      <c r="I2264" s="17"/>
      <c r="J2264" s="17"/>
      <c r="K2264" s="17"/>
      <c r="L2264" s="17"/>
      <c r="M2264" s="17"/>
      <c r="N2264" s="1388"/>
      <c r="O2264" s="19"/>
      <c r="P2264" s="343"/>
      <c r="Q2264" s="343"/>
      <c r="R2264" s="343"/>
      <c r="S2264" s="343"/>
      <c r="T2264" s="343"/>
      <c r="U2264" s="349"/>
      <c r="V2264" s="349"/>
    </row>
    <row r="2265" spans="1:22" s="534" customFormat="1" ht="12.75" customHeight="1" x14ac:dyDescent="0.3">
      <c r="A2265" s="343"/>
      <c r="B2265" s="15"/>
      <c r="C2265" s="17"/>
      <c r="D2265" s="1386"/>
      <c r="E2265" s="39" t="str">
        <f>Translations!$B$1564</f>
        <v>Ändringar: Ingen ändring (bas)</v>
      </c>
      <c r="F2265" s="15"/>
      <c r="G2265" s="15"/>
      <c r="H2265" s="30" t="str">
        <f>EUconst_Unit</f>
        <v>Enhet</v>
      </c>
      <c r="I2265" s="1157"/>
      <c r="J2265" s="987">
        <f>J$2596</f>
        <v>2021</v>
      </c>
      <c r="K2265" s="320">
        <f>K$2596</f>
        <v>2022</v>
      </c>
      <c r="L2265" s="320">
        <f>L$2596</f>
        <v>2023</v>
      </c>
      <c r="M2265" s="320">
        <f>M$2596</f>
        <v>2024</v>
      </c>
      <c r="N2265" s="1387">
        <f>N$2596</f>
        <v>2025</v>
      </c>
      <c r="O2265" s="19"/>
      <c r="P2265" s="343"/>
      <c r="Q2265" s="343"/>
      <c r="R2265" s="343"/>
      <c r="S2265" s="343"/>
      <c r="T2265" s="343"/>
      <c r="U2265" s="349"/>
      <c r="V2265" s="349"/>
    </row>
    <row r="2266" spans="1:22" s="534" customFormat="1" ht="12.75" hidden="1" customHeight="1" x14ac:dyDescent="0.3">
      <c r="A2266" s="343" t="str">
        <f>IF(P2266="","ausblenden","")</f>
        <v>ausblenden</v>
      </c>
      <c r="B2266" s="15"/>
      <c r="C2266" s="17"/>
      <c r="D2266" s="1386"/>
      <c r="E2266" s="514" t="s">
        <v>1918</v>
      </c>
      <c r="F2266" s="514"/>
      <c r="G2266" s="514"/>
      <c r="H2266" s="917" t="str">
        <f>F2258</f>
        <v>TJ</v>
      </c>
      <c r="I2266" s="514"/>
      <c r="J2266" s="1411" t="str">
        <f>IF(T2282&gt;=$H$2595,S2281,I2281)</f>
        <v/>
      </c>
      <c r="K2266" s="1413" t="str">
        <f>J2281</f>
        <v/>
      </c>
      <c r="L2266" s="1413" t="str">
        <f>K2281</f>
        <v/>
      </c>
      <c r="M2266" s="1413" t="str">
        <f>L2281</f>
        <v/>
      </c>
      <c r="N2266" s="1466" t="str">
        <f>M2281</f>
        <v/>
      </c>
      <c r="O2266" s="19"/>
      <c r="P2266" s="343"/>
      <c r="Q2266" s="343"/>
      <c r="R2266" s="343"/>
      <c r="S2266" s="343"/>
      <c r="T2266" s="343"/>
      <c r="U2266" s="349"/>
      <c r="V2266" s="349"/>
    </row>
    <row r="2267" spans="1:22" s="534" customFormat="1" ht="12.75" customHeight="1" x14ac:dyDescent="0.3">
      <c r="A2267" s="343"/>
      <c r="B2267" s="15"/>
      <c r="C2267" s="17"/>
      <c r="D2267" s="1386"/>
      <c r="E2267" s="514" t="str">
        <f>Translations!$B$1565</f>
        <v>Preliminärt tilldelningsvärde</v>
      </c>
      <c r="F2267" s="514"/>
      <c r="G2267" s="514"/>
      <c r="H2267" s="129" t="str">
        <f>EUconst_EUA</f>
        <v>EUA</v>
      </c>
      <c r="I2267" s="1151"/>
      <c r="J2267" s="1131" t="str">
        <f>IF($M2252&lt;&gt;EUconst_Relevant,"",MAX(0,ROUND((SUM($M2255)*SUM(J2266))*IF($H2255=TRUE,1,J$2517),0)))</f>
        <v/>
      </c>
      <c r="K2267" s="421" t="str">
        <f>IF($M2252&lt;&gt;EUconst_Relevant,"",MAX(0,ROUND((SUM($M2255)*SUM(K2266))*IF($H2255=TRUE,1,K$2517),0)))</f>
        <v/>
      </c>
      <c r="L2267" s="421" t="str">
        <f>IF($M2252&lt;&gt;EUconst_Relevant,"",MAX(0,ROUND((SUM($M2255)*SUM(L2266))*IF($H2255=TRUE,1,L$2517),0)))</f>
        <v/>
      </c>
      <c r="M2267" s="421" t="str">
        <f>IF($M2252&lt;&gt;EUconst_Relevant,"",MAX(0,ROUND((SUM($M2255)*SUM(M2266))*IF($H2255=TRUE,1,M$2517),0)))</f>
        <v/>
      </c>
      <c r="N2267" s="967" t="str">
        <f>IF($M2252&lt;&gt;EUconst_Relevant,"",MAX(0,ROUND((SUM($M2255)*SUM(N2266))*IF($H2255=TRUE,1,N$2517),0)))</f>
        <v/>
      </c>
      <c r="O2267" s="19"/>
      <c r="P2267" s="343"/>
      <c r="Q2267" s="343"/>
      <c r="R2267" s="343"/>
      <c r="S2267" s="343"/>
      <c r="T2267" s="343"/>
      <c r="U2267" s="349"/>
      <c r="V2267" s="349"/>
    </row>
    <row r="2268" spans="1:22" s="534" customFormat="1" ht="5.15" customHeight="1" x14ac:dyDescent="0.3">
      <c r="A2268" s="343"/>
      <c r="B2268" s="15"/>
      <c r="C2268" s="17"/>
      <c r="D2268" s="1386"/>
      <c r="E2268" s="17"/>
      <c r="F2268" s="17"/>
      <c r="G2268" s="17"/>
      <c r="H2268" s="17"/>
      <c r="I2268" s="17"/>
      <c r="J2268" s="17"/>
      <c r="K2268" s="17"/>
      <c r="L2268" s="17"/>
      <c r="M2268" s="17"/>
      <c r="N2268" s="1388"/>
      <c r="O2268" s="19"/>
      <c r="P2268" s="343"/>
      <c r="Q2268" s="343"/>
      <c r="R2268" s="343"/>
      <c r="S2268" s="343"/>
      <c r="T2268" s="343"/>
      <c r="U2268" s="349"/>
      <c r="V2268" s="349"/>
    </row>
    <row r="2269" spans="1:22" s="534" customFormat="1" ht="12.75" customHeight="1" x14ac:dyDescent="0.3">
      <c r="A2269" s="343"/>
      <c r="B2269" s="15"/>
      <c r="C2269" s="17"/>
      <c r="D2269" s="1386"/>
      <c r="E2269" s="42" t="str">
        <f>Translations!$B$1566</f>
        <v>Ändringar: Verksamhetsnivå</v>
      </c>
      <c r="F2269" s="188"/>
      <c r="G2269" s="188"/>
      <c r="H2269" s="30" t="str">
        <f>EUconst_Unit</f>
        <v>Enhet</v>
      </c>
      <c r="I2269" s="1157"/>
      <c r="J2269" s="1065">
        <f>J$2596</f>
        <v>2021</v>
      </c>
      <c r="K2269" s="350">
        <f>K$2596</f>
        <v>2022</v>
      </c>
      <c r="L2269" s="350">
        <f>L$2596</f>
        <v>2023</v>
      </c>
      <c r="M2269" s="350">
        <f>M$2596</f>
        <v>2024</v>
      </c>
      <c r="N2269" s="966">
        <f>N$2596</f>
        <v>2025</v>
      </c>
      <c r="O2269" s="19"/>
      <c r="P2269" s="343"/>
      <c r="Q2269" s="343"/>
      <c r="R2269" s="343"/>
      <c r="S2269" s="343"/>
      <c r="T2269" s="343"/>
      <c r="U2269" s="349"/>
      <c r="V2269" s="349"/>
    </row>
    <row r="2270" spans="1:22" s="534" customFormat="1" ht="12.75" customHeight="1" x14ac:dyDescent="0.3">
      <c r="A2270" s="343"/>
      <c r="B2270" s="15"/>
      <c r="C2270" s="17"/>
      <c r="D2270" s="1386"/>
      <c r="E2270" s="944" t="str">
        <f>Translations!$B$1482</f>
        <v>Genomsnittligt årligt värde</v>
      </c>
      <c r="F2270" s="944"/>
      <c r="G2270" s="944"/>
      <c r="H2270" s="1443" t="str">
        <f>H2266</f>
        <v>TJ</v>
      </c>
      <c r="I2270" s="1367"/>
      <c r="J2270" s="1463" t="str">
        <f>INDEX('G_Fall-back'!J:J,MATCH($P2270,'G_Fall-back'!$Q:$Q,0))</f>
        <v/>
      </c>
      <c r="K2270" s="1464" t="str">
        <f>INDEX('G_Fall-back'!K:K,MATCH($P2270,'G_Fall-back'!$Q:$Q,0))</f>
        <v/>
      </c>
      <c r="L2270" s="1464" t="str">
        <f>INDEX('G_Fall-back'!L:L,MATCH($P2270,'G_Fall-back'!$Q:$Q,0))</f>
        <v/>
      </c>
      <c r="M2270" s="1464" t="str">
        <f>INDEX('G_Fall-back'!M:M,MATCH($P2270,'G_Fall-back'!$Q:$Q,0))</f>
        <v/>
      </c>
      <c r="N2270" s="1465" t="str">
        <f>INDEX('G_Fall-back'!N:N,MATCH($P2270,'G_Fall-back'!$Q:$Q,0))</f>
        <v/>
      </c>
      <c r="O2270" s="19"/>
      <c r="P2270" s="165" t="str">
        <f>EUconst_CNTR_HALinitial&amp;I2252</f>
        <v>HALini_Fjärrvärmedelanläggning</v>
      </c>
      <c r="Q2270" s="343"/>
      <c r="R2270" s="343"/>
      <c r="S2270" s="343"/>
      <c r="T2270" s="343"/>
      <c r="U2270" s="349"/>
      <c r="V2270" s="349"/>
    </row>
    <row r="2271" spans="1:22" s="534" customFormat="1" ht="12.75" customHeight="1" x14ac:dyDescent="0.3">
      <c r="A2271" s="343"/>
      <c r="B2271" s="15"/>
      <c r="C2271" s="17"/>
      <c r="D2271" s="1386"/>
      <c r="E2271" s="947" t="str">
        <f>Translations!$B$1567</f>
        <v>Ändring jämfört med historik verksamhetsnivå</v>
      </c>
      <c r="F2271" s="947"/>
      <c r="G2271" s="947"/>
      <c r="H2271" s="1442" t="s">
        <v>1112</v>
      </c>
      <c r="I2271" s="1371"/>
      <c r="J2271" s="1415" t="str">
        <f>INDEX('G_Fall-back'!J:J,MATCH($P2271,'G_Fall-back'!$Q:$Q,0))</f>
        <v/>
      </c>
      <c r="K2271" s="1416" t="str">
        <f>INDEX('G_Fall-back'!K:K,MATCH($P2271,'G_Fall-back'!$Q:$Q,0))</f>
        <v/>
      </c>
      <c r="L2271" s="1416" t="str">
        <f>INDEX('G_Fall-back'!L:L,MATCH($P2271,'G_Fall-back'!$Q:$Q,0))</f>
        <v/>
      </c>
      <c r="M2271" s="1416" t="str">
        <f>INDEX('G_Fall-back'!M:M,MATCH($P2271,'G_Fall-back'!$Q:$Q,0))</f>
        <v/>
      </c>
      <c r="N2271" s="1417" t="str">
        <f>INDEX('G_Fall-back'!N:N,MATCH($P2271,'G_Fall-back'!$Q:$Q,0))</f>
        <v/>
      </c>
      <c r="O2271" s="19"/>
      <c r="P2271" s="165" t="str">
        <f>EUconst_CNTR_RelThreshold &amp; I2252</f>
        <v>RelThresh_Fjärrvärmedelanläggning</v>
      </c>
      <c r="Q2271" s="343"/>
      <c r="R2271" s="343"/>
      <c r="S2271" s="343"/>
      <c r="T2271" s="343"/>
      <c r="U2271" s="349"/>
      <c r="V2271" s="349"/>
    </row>
    <row r="2272" spans="1:22" s="534" customFormat="1" ht="12.75" customHeight="1" x14ac:dyDescent="0.3">
      <c r="A2272" s="343"/>
      <c r="B2272" s="15"/>
      <c r="C2272" s="17"/>
      <c r="D2272" s="1386"/>
      <c r="E2272" s="1418" t="str">
        <f>Translations!$B$1589</f>
        <v>Kriterium 3: Har relativa tröskelvärden överskridits?</v>
      </c>
      <c r="F2272" s="1418"/>
      <c r="G2272" s="1418"/>
      <c r="H2272" s="1444" t="s">
        <v>1112</v>
      </c>
      <c r="I2272" s="1423"/>
      <c r="J2272" s="1420" t="str">
        <f>INDEX('G_Fall-back'!V:V,MATCH($P2272,'G_Fall-back'!$Q:$Q,0)+1)</f>
        <v/>
      </c>
      <c r="K2272" s="1421" t="str">
        <f>INDEX('G_Fall-back'!W:W,MATCH($P2272,'G_Fall-back'!$Q:$Q,0)+1)</f>
        <v/>
      </c>
      <c r="L2272" s="1421" t="str">
        <f>INDEX('G_Fall-back'!X:X,MATCH($P2272,'G_Fall-back'!$Q:$Q,0)+1)</f>
        <v/>
      </c>
      <c r="M2272" s="1421" t="str">
        <f>INDEX('G_Fall-back'!Y:Y,MATCH($P2272,'G_Fall-back'!$Q:$Q,0)+1)</f>
        <v/>
      </c>
      <c r="N2272" s="1422" t="str">
        <f>INDEX('G_Fall-back'!Z:Z,MATCH($P2272,'G_Fall-back'!$Q:$Q,0)+1)</f>
        <v/>
      </c>
      <c r="O2272" s="19"/>
      <c r="P2272" s="165" t="str">
        <f>P2271</f>
        <v>RelThresh_Fjärrvärmedelanläggning</v>
      </c>
      <c r="Q2272" s="343"/>
      <c r="R2272" s="343"/>
      <c r="S2272" s="343"/>
      <c r="T2272" s="343"/>
      <c r="U2272" s="349"/>
      <c r="V2272" s="349"/>
    </row>
    <row r="2273" spans="1:22" s="534" customFormat="1" ht="12.75" customHeight="1" x14ac:dyDescent="0.3">
      <c r="A2273" s="343" t="str">
        <f>IF(P2273="","ausblenden","")</f>
        <v/>
      </c>
      <c r="B2273" s="15"/>
      <c r="C2273" s="17"/>
      <c r="D2273" s="1386"/>
      <c r="E2273" s="950" t="str">
        <f>Translations!$B$1568</f>
        <v>Preliminärt värde</v>
      </c>
      <c r="F2273" s="950"/>
      <c r="G2273" s="950"/>
      <c r="H2273" s="1372" t="str">
        <f>F2258</f>
        <v>TJ</v>
      </c>
      <c r="I2273" s="950"/>
      <c r="J2273" s="1401" t="str">
        <f>INDEX('G_Fall-back'!J:J,MATCH($P2273,'G_Fall-back'!$Q:$Q,0))</f>
        <v/>
      </c>
      <c r="K2273" s="1402" t="str">
        <f>INDEX('G_Fall-back'!K:K,MATCH($P2273,'G_Fall-back'!$Q:$Q,0))</f>
        <v/>
      </c>
      <c r="L2273" s="1402" t="str">
        <f>INDEX('G_Fall-back'!L:L,MATCH($P2273,'G_Fall-back'!$Q:$Q,0))</f>
        <v/>
      </c>
      <c r="M2273" s="1402" t="str">
        <f>INDEX('G_Fall-back'!M:M,MATCH($P2273,'G_Fall-back'!$Q:$Q,0))</f>
        <v/>
      </c>
      <c r="N2273" s="1403" t="str">
        <f>INDEX('G_Fall-back'!N:N,MATCH($P2273,'G_Fall-back'!$Q:$Q,0))</f>
        <v/>
      </c>
      <c r="O2273" s="19"/>
      <c r="P2273" s="165" t="str">
        <f>EUconst_CNTR_HALprelim&amp;I2252</f>
        <v>HALprelim_Fjärrvärmedelanläggning</v>
      </c>
      <c r="Q2273" s="343"/>
      <c r="R2273" s="343"/>
      <c r="S2273" s="343"/>
      <c r="T2273" s="343"/>
      <c r="U2273" s="349"/>
      <c r="V2273" s="349"/>
    </row>
    <row r="2274" spans="1:22" s="534" customFormat="1" ht="12.75" customHeight="1" x14ac:dyDescent="0.3">
      <c r="A2274" s="343"/>
      <c r="B2274" s="15"/>
      <c r="C2274" s="17"/>
      <c r="D2274" s="1386"/>
      <c r="E2274" s="514" t="str">
        <f>Translations!$B$1565</f>
        <v>Preliminärt tilldelningsvärde</v>
      </c>
      <c r="F2274" s="514"/>
      <c r="G2274" s="514"/>
      <c r="H2274" s="129" t="str">
        <f>EUconst_EUA</f>
        <v>EUA</v>
      </c>
      <c r="I2274" s="1151"/>
      <c r="J2274" s="1131" t="str">
        <f>IF($M2252&lt;&gt;EUconst_Relevant,"",MAX(0,ROUND((SUM($M2255)*SUM(J2273))*IF($H2255=TRUE,1,J$2517),0)))</f>
        <v/>
      </c>
      <c r="K2274" s="421" t="str">
        <f>IF($M2252&lt;&gt;EUconst_Relevant,"",MAX(0,ROUND((SUM($M2255)*SUM(K2273))*IF($H2255=TRUE,1,K$2517),0)))</f>
        <v/>
      </c>
      <c r="L2274" s="421" t="str">
        <f>IF($M2252&lt;&gt;EUconst_Relevant,"",MAX(0,ROUND((SUM($M2255)*SUM(L2273))*IF($H2255=TRUE,1,L$2517),0)))</f>
        <v/>
      </c>
      <c r="M2274" s="421" t="str">
        <f>IF($M2252&lt;&gt;EUconst_Relevant,"",MAX(0,ROUND((SUM($M2255)*SUM(M2273))*IF($H2255=TRUE,1,M$2517),0)))</f>
        <v/>
      </c>
      <c r="N2274" s="967" t="str">
        <f>IF($M2252&lt;&gt;EUconst_Relevant,"",MAX(0,ROUND((SUM($M2255)*SUM(N2273))*IF($H2255=TRUE,1,N$2517),0)))</f>
        <v/>
      </c>
      <c r="O2274" s="19"/>
      <c r="P2274" s="343"/>
      <c r="Q2274" s="343"/>
      <c r="R2274" s="343"/>
      <c r="S2274" s="343"/>
      <c r="T2274" s="343"/>
      <c r="U2274" s="349"/>
      <c r="V2274" s="349"/>
    </row>
    <row r="2275" spans="1:22" s="534" customFormat="1" ht="12.75" customHeight="1" x14ac:dyDescent="0.3">
      <c r="A2275" s="343"/>
      <c r="B2275" s="15"/>
      <c r="C2275" s="17"/>
      <c r="D2275" s="1386"/>
      <c r="E2275" s="514" t="str">
        <f>Translations!$B$1569</f>
        <v>Skillnad i tilldelning</v>
      </c>
      <c r="F2275" s="514"/>
      <c r="G2275" s="514"/>
      <c r="H2275" s="129" t="str">
        <f>EUconst_EUA</f>
        <v>EUA</v>
      </c>
      <c r="I2275" s="1151"/>
      <c r="J2275" s="1131" t="str">
        <f>IF($M2252&lt;&gt;EUconst_Relevant,"",ABS(SUM(J2274)-SUM(J2267)))</f>
        <v/>
      </c>
      <c r="K2275" s="421" t="str">
        <f>IF($M2252&lt;&gt;EUconst_Relevant,"",ABS(SUM(K2274)-SUM(K2267)))</f>
        <v/>
      </c>
      <c r="L2275" s="421" t="str">
        <f>IF($M2252&lt;&gt;EUconst_Relevant,"",ABS(SUM(L2274)-SUM(L2267)))</f>
        <v/>
      </c>
      <c r="M2275" s="421" t="str">
        <f>IF($M2252&lt;&gt;EUconst_Relevant,"",ABS(SUM(M2274)-SUM(M2267)))</f>
        <v/>
      </c>
      <c r="N2275" s="967" t="str">
        <f>IF($M2252&lt;&gt;EUconst_Relevant,"",ABS(SUM(N2274)-SUM(N2267)))</f>
        <v/>
      </c>
      <c r="O2275" s="19"/>
      <c r="P2275" s="343"/>
      <c r="Q2275" s="343"/>
      <c r="R2275" s="343"/>
      <c r="S2275" s="343"/>
      <c r="T2275" s="343"/>
      <c r="U2275" s="349"/>
      <c r="V2275" s="349"/>
    </row>
    <row r="2276" spans="1:22" s="534" customFormat="1" ht="12.75" customHeight="1" x14ac:dyDescent="0.3">
      <c r="A2276" s="343"/>
      <c r="B2276" s="15"/>
      <c r="C2276" s="17"/>
      <c r="D2276" s="1386"/>
      <c r="E2276" s="1419" t="str">
        <f>Translations!$B$1590</f>
        <v>Kriterium 4: Är skillnaden minst 100 utsläppsrätter?</v>
      </c>
      <c r="F2276" s="1419"/>
      <c r="G2276" s="1419"/>
      <c r="H2276" s="1424" t="s">
        <v>1112</v>
      </c>
      <c r="I2276" s="1425"/>
      <c r="J2276" s="1426" t="str">
        <f>IF($M2252&lt;&gt;EUconst_Relevant,"",J2275&gt;=100)</f>
        <v/>
      </c>
      <c r="K2276" s="1427" t="str">
        <f>IF($M2252&lt;&gt;EUconst_Relevant,"",K2275&gt;=100)</f>
        <v/>
      </c>
      <c r="L2276" s="1427" t="str">
        <f>IF($M2252&lt;&gt;EUconst_Relevant,"",L2275&gt;=100)</f>
        <v/>
      </c>
      <c r="M2276" s="1427" t="str">
        <f>IF($M2252&lt;&gt;EUconst_Relevant,"",M2275&gt;=100)</f>
        <v/>
      </c>
      <c r="N2276" s="1428" t="str">
        <f>IF($M2252&lt;&gt;EUconst_Relevant,"",N2275&gt;=100)</f>
        <v/>
      </c>
      <c r="O2276" s="19"/>
      <c r="P2276" s="165" t="str">
        <f>EUconst_CNTR_100EUA_ActivityLevel&amp;I2252</f>
        <v>EUA100AL_Fjärrvärmedelanläggning</v>
      </c>
      <c r="Q2276" s="343"/>
      <c r="R2276" s="343"/>
      <c r="S2276" s="343"/>
      <c r="T2276" s="343"/>
      <c r="U2276" s="349"/>
      <c r="V2276" s="349"/>
    </row>
    <row r="2277" spans="1:22" s="534" customFormat="1" ht="5.15" customHeight="1" thickBot="1" x14ac:dyDescent="0.3">
      <c r="A2277" s="343"/>
      <c r="B2277" s="15"/>
      <c r="C2277" s="15"/>
      <c r="D2277" s="972"/>
      <c r="E2277" s="973"/>
      <c r="F2277" s="973"/>
      <c r="G2277" s="973"/>
      <c r="H2277" s="973"/>
      <c r="I2277" s="1483"/>
      <c r="J2277" s="973"/>
      <c r="K2277" s="973"/>
      <c r="L2277" s="973"/>
      <c r="M2277" s="973"/>
      <c r="N2277" s="974"/>
      <c r="O2277" s="19"/>
      <c r="P2277" s="343"/>
      <c r="Q2277" s="343"/>
      <c r="R2277" s="343"/>
      <c r="S2277" s="343"/>
      <c r="T2277" s="7"/>
      <c r="U2277" s="349"/>
      <c r="V2277" s="349"/>
    </row>
    <row r="2278" spans="1:22" s="534" customFormat="1" ht="5.15" customHeight="1" thickBot="1" x14ac:dyDescent="0.3">
      <c r="A2278" s="343"/>
      <c r="B2278" s="15"/>
      <c r="C2278" s="15"/>
      <c r="D2278" s="15"/>
      <c r="E2278" s="15"/>
      <c r="F2278" s="15"/>
      <c r="G2278" s="15"/>
      <c r="H2278" s="15"/>
      <c r="I2278" s="942"/>
      <c r="J2278" s="15"/>
      <c r="K2278" s="15"/>
      <c r="L2278" s="15"/>
      <c r="M2278" s="15"/>
      <c r="N2278" s="15"/>
      <c r="O2278" s="19"/>
      <c r="P2278" s="343"/>
      <c r="Q2278" s="343"/>
      <c r="R2278" s="343"/>
      <c r="S2278" s="343"/>
      <c r="T2278" s="7"/>
      <c r="U2278" s="349"/>
      <c r="V2278" s="349"/>
    </row>
    <row r="2279" spans="1:22" s="534" customFormat="1" ht="5.15" customHeight="1" x14ac:dyDescent="0.25">
      <c r="A2279" s="343"/>
      <c r="B2279" s="15"/>
      <c r="C2279" s="15"/>
      <c r="D2279" s="961"/>
      <c r="E2279" s="962"/>
      <c r="F2279" s="962"/>
      <c r="G2279" s="962"/>
      <c r="H2279" s="962"/>
      <c r="I2279" s="963"/>
      <c r="J2279" s="962"/>
      <c r="K2279" s="962"/>
      <c r="L2279" s="962"/>
      <c r="M2279" s="962"/>
      <c r="N2279" s="964"/>
      <c r="O2279" s="19"/>
      <c r="P2279" s="343"/>
      <c r="Q2279" s="343"/>
      <c r="R2279" s="343"/>
      <c r="S2279" s="343"/>
      <c r="T2279" s="7"/>
      <c r="U2279" s="349"/>
      <c r="V2279" s="349"/>
    </row>
    <row r="2280" spans="1:22" s="534" customFormat="1" ht="13" x14ac:dyDescent="0.25">
      <c r="A2280" s="343"/>
      <c r="B2280" s="15"/>
      <c r="C2280" s="15"/>
      <c r="D2280" s="965"/>
      <c r="E2280" s="39" t="str">
        <f>Translations!$B$1586</f>
        <v>Faktiska använda värden</v>
      </c>
      <c r="F2280" s="15"/>
      <c r="G2280" s="15"/>
      <c r="H2280" s="30" t="str">
        <f>EUconst_Unit</f>
        <v>Enhet</v>
      </c>
      <c r="I2280" s="1613" t="str">
        <f>Translations!$B$1510</f>
        <v>Basvärde</v>
      </c>
      <c r="J2280" s="1065">
        <f>J$2596</f>
        <v>2021</v>
      </c>
      <c r="K2280" s="350">
        <f>K$2596</f>
        <v>2022</v>
      </c>
      <c r="L2280" s="350">
        <f>L$2596</f>
        <v>2023</v>
      </c>
      <c r="M2280" s="350">
        <f>M$2596</f>
        <v>2024</v>
      </c>
      <c r="N2280" s="966">
        <f>N$2596</f>
        <v>2025</v>
      </c>
      <c r="O2280" s="19"/>
      <c r="P2280" s="343"/>
      <c r="Q2280" s="343"/>
      <c r="R2280" s="343"/>
      <c r="S2280" s="297" t="s">
        <v>1846</v>
      </c>
      <c r="T2280" s="7"/>
      <c r="U2280" s="349"/>
      <c r="V2280" s="349"/>
    </row>
    <row r="2281" spans="1:22" s="534" customFormat="1" x14ac:dyDescent="0.25">
      <c r="A2281" s="343"/>
      <c r="B2281" s="15"/>
      <c r="C2281" s="15"/>
      <c r="D2281" s="965"/>
      <c r="E2281" s="514" t="str">
        <f>Translations!$B$1593</f>
        <v>Använd verksamhetsnivå</v>
      </c>
      <c r="F2281" s="514"/>
      <c r="G2281" s="514"/>
      <c r="H2281" s="917" t="str">
        <f>F2258</f>
        <v>TJ</v>
      </c>
      <c r="I2281" s="1411" t="str">
        <f>IF($M2252&lt;&gt;EUconst_Relevant,"",IF(T2282&gt;=$H$2595,0,S2281))</f>
        <v/>
      </c>
      <c r="J2281" s="1408" t="str">
        <f>INDEX('G_Fall-back'!J:J,MATCH($P2281,'G_Fall-back'!$Q:$Q,0))</f>
        <v/>
      </c>
      <c r="K2281" s="1410" t="str">
        <f>INDEX('G_Fall-back'!K:K,MATCH($P2281,'G_Fall-back'!$Q:$Q,0))</f>
        <v/>
      </c>
      <c r="L2281" s="1410" t="str">
        <f>INDEX('G_Fall-back'!L:L,MATCH($P2281,'G_Fall-back'!$Q:$Q,0))</f>
        <v/>
      </c>
      <c r="M2281" s="1410" t="str">
        <f>INDEX('G_Fall-back'!M:M,MATCH($P2281,'G_Fall-back'!$Q:$Q,0))</f>
        <v/>
      </c>
      <c r="N2281" s="1412" t="str">
        <f>INDEX('G_Fall-back'!N:N,MATCH($P2281,'G_Fall-back'!$Q:$Q,0))</f>
        <v/>
      </c>
      <c r="O2281" s="19"/>
      <c r="P2281" s="165" t="str">
        <f>EUconst_CNTR_HALfinal&amp;I2252</f>
        <v>HALfinal_Fjärrvärmedelanläggning</v>
      </c>
      <c r="Q2281" s="343"/>
      <c r="R2281" s="343"/>
      <c r="S2281" s="1696" t="str">
        <f>IF($M2252&lt;&gt;EUconst_Relevant,"",SUMIF('G_Fall-back'!$Q:$Q,$P2281,'G_Fall-back'!I:I))</f>
        <v/>
      </c>
      <c r="T2281" s="7"/>
      <c r="U2281" s="349"/>
      <c r="V2281" s="349"/>
    </row>
    <row r="2282" spans="1:22" s="534" customFormat="1" x14ac:dyDescent="0.25">
      <c r="A2282" s="343"/>
      <c r="B2282" s="15"/>
      <c r="C2282" s="15"/>
      <c r="D2282" s="965"/>
      <c r="E2282" s="514" t="str">
        <f>Translations!$B$956</f>
        <v>Preliminär tilldelning</v>
      </c>
      <c r="F2282" s="514"/>
      <c r="G2282" s="514"/>
      <c r="H2282" s="129" t="str">
        <f>EUconst_EUA</f>
        <v>EUA</v>
      </c>
      <c r="I2282" s="1634" t="str">
        <f>IF($M2252&lt;&gt;EUconst_Relevant,"",MAX(0,ROUND((SUM($M2255)*SUM(I2281))*IF($H2255=TRUE,1,J$2517),0)))</f>
        <v/>
      </c>
      <c r="J2282" s="1131" t="str">
        <f>IF($M2252&lt;&gt;EUconst_Relevant,"",MAX(0,ROUND((SUM($M2255)*SUM(J2281))*IF($H2255=TRUE,1,J$2517),0)))</f>
        <v/>
      </c>
      <c r="K2282" s="421" t="str">
        <f>IF($M2252&lt;&gt;EUconst_Relevant,"",MAX(0,ROUND((SUM($M2255)*SUM(K2281))*IF($H2255=TRUE,1,K$2517),0)))</f>
        <v/>
      </c>
      <c r="L2282" s="421" t="str">
        <f>IF($M2252&lt;&gt;EUconst_Relevant,"",MAX(0,ROUND((SUM($M2255)*SUM(L2281))*IF($H2255=TRUE,1,L$2517),0)))</f>
        <v/>
      </c>
      <c r="M2282" s="421" t="str">
        <f>IF($M2252&lt;&gt;EUconst_Relevant,"",MAX(0,ROUND((SUM($M2255)*SUM(M2281))*IF($H2255=TRUE,1,M$2517),0)))</f>
        <v/>
      </c>
      <c r="N2282" s="967" t="str">
        <f>IF($M2252&lt;&gt;EUconst_Relevant,"",MAX(0,ROUND((SUM($M2255)*SUM(N2281))*IF($H2255=TRUE,1,N$2517),0)))</f>
        <v/>
      </c>
      <c r="O2282" s="19"/>
      <c r="P2282" s="165" t="str">
        <f>EUconst_AllocPrelim&amp;I2252</f>
        <v>AllocPrelim_Fjärrvärmedelanläggning</v>
      </c>
      <c r="Q2282" s="343"/>
      <c r="R2282" s="343"/>
      <c r="S2282" s="343"/>
      <c r="T2282" s="663">
        <f>INDEX('G_Fall-back'!V:V,MATCH(L2255,'G_Fall-back'!C:C,0))</f>
        <v>2005</v>
      </c>
      <c r="U2282" s="603" t="e">
        <f>OR(INDEX(I2282:N2282,CNTR_ReportingYear-$I$2596)&lt;&gt;INDEX(I2282:N2282,CNTR_ReportingYear-$H$2596),
(CNTR_ReportingYear-T2282)&lt;=1)</f>
        <v>#REF!</v>
      </c>
      <c r="V2282" s="355" t="b">
        <f ca="1">IF(I2282="",FALSE,COUNTIF(OFFSET(I2282,,,,MAX(1,CNTR_ReportingYear-$I$2596)),"&lt;&gt;" &amp; INDEX(I2282:N2282,CNTR_ReportingYear-$H$2596))&gt;0)</f>
        <v>0</v>
      </c>
    </row>
    <row r="2283" spans="1:22" s="534" customFormat="1" ht="5.15" customHeight="1" thickBot="1" x14ac:dyDescent="0.3">
      <c r="A2283" s="343"/>
      <c r="B2283" s="15"/>
      <c r="C2283" s="15"/>
      <c r="D2283" s="972"/>
      <c r="E2283" s="973"/>
      <c r="F2283" s="973"/>
      <c r="G2283" s="973"/>
      <c r="H2283" s="973"/>
      <c r="I2283" s="973"/>
      <c r="J2283" s="973"/>
      <c r="K2283" s="973"/>
      <c r="L2283" s="973"/>
      <c r="M2283" s="973"/>
      <c r="N2283" s="974"/>
      <c r="O2283" s="19"/>
      <c r="P2283" s="343"/>
      <c r="Q2283" s="343"/>
      <c r="R2283" s="343"/>
      <c r="S2283" s="343"/>
      <c r="T2283" s="7"/>
      <c r="U2283" s="349"/>
      <c r="V2283" s="349"/>
    </row>
    <row r="2284" spans="1:22" s="534" customFormat="1" ht="5.15" customHeight="1" thickBot="1" x14ac:dyDescent="0.3">
      <c r="A2284" s="343"/>
      <c r="B2284" s="15"/>
      <c r="C2284" s="15"/>
      <c r="D2284" s="15"/>
      <c r="E2284" s="15"/>
      <c r="F2284" s="15"/>
      <c r="G2284" s="15"/>
      <c r="M2284" s="15"/>
      <c r="N2284" s="15"/>
      <c r="O2284" s="19"/>
      <c r="P2284" s="343"/>
      <c r="Q2284" s="343"/>
      <c r="R2284" s="343"/>
      <c r="S2284" s="343"/>
      <c r="T2284" s="343"/>
      <c r="U2284" s="349"/>
      <c r="V2284" s="349"/>
    </row>
    <row r="2285" spans="1:22" s="534" customFormat="1" ht="5.15" customHeight="1" x14ac:dyDescent="0.25">
      <c r="A2285" s="343"/>
      <c r="B2285" s="15"/>
      <c r="C2285" s="15"/>
      <c r="D2285" s="1452"/>
      <c r="E2285" s="1453"/>
      <c r="F2285" s="777"/>
      <c r="G2285" s="777"/>
      <c r="H2285" s="777"/>
      <c r="I2285" s="777"/>
      <c r="J2285" s="777"/>
      <c r="K2285" s="777"/>
      <c r="L2285" s="777"/>
      <c r="M2285" s="777"/>
      <c r="N2285" s="778"/>
      <c r="O2285" s="19"/>
      <c r="P2285" s="343"/>
      <c r="Q2285" s="343"/>
      <c r="R2285" s="343"/>
      <c r="S2285" s="343"/>
      <c r="T2285" s="343"/>
      <c r="U2285" s="349"/>
      <c r="V2285" s="349"/>
    </row>
    <row r="2286" spans="1:22" s="534" customFormat="1" ht="13.5" thickBot="1" x14ac:dyDescent="0.3">
      <c r="A2286" s="343"/>
      <c r="B2286" s="15"/>
      <c r="C2286" s="15"/>
      <c r="D2286" s="1454"/>
      <c r="E2286" s="416"/>
      <c r="F2286" s="623"/>
      <c r="G2286" s="415" t="str">
        <f>EUconst_Unit</f>
        <v>Enhet</v>
      </c>
      <c r="H2286" s="744">
        <f t="shared" ref="H2286:N2286" si="425">H$2596</f>
        <v>2019</v>
      </c>
      <c r="I2286" s="744">
        <f t="shared" si="425"/>
        <v>2020</v>
      </c>
      <c r="J2286" s="744">
        <f t="shared" si="425"/>
        <v>2021</v>
      </c>
      <c r="K2286" s="362">
        <f t="shared" si="425"/>
        <v>2022</v>
      </c>
      <c r="L2286" s="362">
        <f t="shared" si="425"/>
        <v>2023</v>
      </c>
      <c r="M2286" s="362">
        <f t="shared" si="425"/>
        <v>2024</v>
      </c>
      <c r="N2286" s="1141">
        <f t="shared" si="425"/>
        <v>2025</v>
      </c>
      <c r="O2286" s="19"/>
      <c r="P2286" s="343"/>
      <c r="Q2286" s="343"/>
      <c r="R2286" s="343"/>
      <c r="S2286" s="343"/>
      <c r="T2286" s="343"/>
      <c r="U2286" s="349"/>
      <c r="V2286" s="349"/>
    </row>
    <row r="2287" spans="1:22" s="534" customFormat="1" ht="13.5" customHeight="1" thickBot="1" x14ac:dyDescent="0.3">
      <c r="A2287" s="343"/>
      <c r="B2287" s="15"/>
      <c r="C2287" s="15"/>
      <c r="D2287" s="1454"/>
      <c r="E2287" s="2747" t="str">
        <f>Translations!$B$380</f>
        <v>Producerad mätbar värme</v>
      </c>
      <c r="F2287" s="1997"/>
      <c r="G2287" s="710" t="str">
        <f>EUconst_TJpa</f>
        <v>TJ / år</v>
      </c>
      <c r="H2287" s="735" t="str">
        <f>IF($M2252&lt;&gt;EUconst_Relevant,"",IF(INDEX('G_Fall-back'!H:H,MATCH($P2287,'G_Fall-back'!$Q:$Q,0))="","",INDEX('G_Fall-back'!H:H,MATCH($P2287,'G_Fall-back'!$Q:$Q,0))))</f>
        <v/>
      </c>
      <c r="I2287" s="737" t="str">
        <f>IF($M2252&lt;&gt;EUconst_Relevant,"",IF(INDEX('G_Fall-back'!I:I,MATCH($P2287,'G_Fall-back'!$Q:$Q,0))="","",INDEX('G_Fall-back'!I:I,MATCH($P2287,'G_Fall-back'!$Q:$Q,0))))</f>
        <v/>
      </c>
      <c r="J2287" s="735" t="str">
        <f>IF($M2252&lt;&gt;EUconst_Relevant,"",IF(INDEX('G_Fall-back'!J:J,MATCH($P2287,'G_Fall-back'!$Q:$Q,0))="","",INDEX('G_Fall-back'!J:J,MATCH($P2287,'G_Fall-back'!$Q:$Q,0))))</f>
        <v/>
      </c>
      <c r="K2287" s="736" t="str">
        <f>IF($M2252&lt;&gt;EUconst_Relevant,"",IF(INDEX('G_Fall-back'!K:K,MATCH($P2287,'G_Fall-back'!$Q:$Q,0))="","",INDEX('G_Fall-back'!K:K,MATCH($P2287,'G_Fall-back'!$Q:$Q,0))))</f>
        <v/>
      </c>
      <c r="L2287" s="736" t="str">
        <f>IF($M2252&lt;&gt;EUconst_Relevant,"",IF(INDEX('G_Fall-back'!L:L,MATCH($P2287,'G_Fall-back'!$Q:$Q,0))="","",INDEX('G_Fall-back'!L:L,MATCH($P2287,'G_Fall-back'!$Q:$Q,0))))</f>
        <v/>
      </c>
      <c r="M2287" s="736" t="str">
        <f>IF($M2252&lt;&gt;EUconst_Relevant,"",IF(INDEX('G_Fall-back'!M:M,MATCH($P2287,'G_Fall-back'!$Q:$Q,0))="","",INDEX('G_Fall-back'!M:M,MATCH($P2287,'G_Fall-back'!$Q:$Q,0))))</f>
        <v/>
      </c>
      <c r="N2287" s="737" t="str">
        <f>IF($M2252&lt;&gt;EUconst_Relevant,"",IF(INDEX('G_Fall-back'!N:N,MATCH($P2287,'G_Fall-back'!$Q:$Q,0))="","",INDEX('G_Fall-back'!N:N,MATCH($P2287,'G_Fall-back'!$Q:$Q,0))))</f>
        <v/>
      </c>
      <c r="O2287" s="19"/>
      <c r="P2287" s="298" t="str">
        <f>EUconst_CNTR_HeatProduced &amp;I2252</f>
        <v>HeatProd_Fjärrvärmedelanläggning</v>
      </c>
      <c r="Q2287" s="343"/>
      <c r="R2287" s="343"/>
      <c r="S2287" s="343"/>
      <c r="T2287" s="343"/>
      <c r="U2287" s="349"/>
      <c r="V2287" s="349"/>
    </row>
    <row r="2288" spans="1:22" s="534" customFormat="1" ht="5.15" customHeight="1" thickBot="1" x14ac:dyDescent="0.3">
      <c r="A2288" s="343"/>
      <c r="B2288" s="15"/>
      <c r="C2288" s="15"/>
      <c r="D2288" s="1454"/>
      <c r="E2288" s="416"/>
      <c r="F2288" s="416"/>
      <c r="G2288" s="416"/>
      <c r="H2288" s="741"/>
      <c r="I2288" s="741"/>
      <c r="J2288" s="741"/>
      <c r="K2288" s="741"/>
      <c r="L2288" s="741"/>
      <c r="M2288" s="741"/>
      <c r="N2288" s="1458"/>
      <c r="O2288" s="19"/>
      <c r="P2288" s="343"/>
      <c r="Q2288" s="343"/>
      <c r="R2288" s="343"/>
      <c r="S2288" s="343"/>
      <c r="T2288" s="343"/>
      <c r="U2288" s="349"/>
      <c r="V2288" s="349"/>
    </row>
    <row r="2289" spans="1:22" s="534" customFormat="1" ht="13.5" customHeight="1" thickBot="1" x14ac:dyDescent="0.3">
      <c r="A2289" s="343"/>
      <c r="B2289" s="15"/>
      <c r="C2289" s="15"/>
      <c r="D2289" s="1454"/>
      <c r="E2289" s="2747" t="str">
        <f>Translations!$B$1056</f>
        <v>Totala tillskrivna utsläpp</v>
      </c>
      <c r="F2289" s="1997"/>
      <c r="G2289" s="710" t="str">
        <f>EUconst_tCO2epa</f>
        <v>t CO2e/år</v>
      </c>
      <c r="H2289" s="735" t="str">
        <f t="shared" ref="H2289:N2289" si="426">INDEX(H$92:H$108,MATCH($I2252,$E$92:$E$108,0))</f>
        <v/>
      </c>
      <c r="I2289" s="737" t="str">
        <f t="shared" si="426"/>
        <v/>
      </c>
      <c r="J2289" s="735" t="str">
        <f t="shared" si="426"/>
        <v/>
      </c>
      <c r="K2289" s="736" t="str">
        <f t="shared" si="426"/>
        <v/>
      </c>
      <c r="L2289" s="736" t="str">
        <f t="shared" si="426"/>
        <v/>
      </c>
      <c r="M2289" s="736" t="str">
        <f t="shared" si="426"/>
        <v/>
      </c>
      <c r="N2289" s="737" t="str">
        <f t="shared" si="426"/>
        <v/>
      </c>
      <c r="O2289" s="19"/>
      <c r="P2289" s="343"/>
      <c r="Q2289" s="343"/>
      <c r="R2289" s="343"/>
      <c r="S2289" s="343"/>
      <c r="T2289" s="7"/>
      <c r="U2289" s="349"/>
      <c r="V2289" s="349"/>
    </row>
    <row r="2290" spans="1:22" s="534" customFormat="1" ht="5.15" customHeight="1" x14ac:dyDescent="0.25">
      <c r="A2290" s="343"/>
      <c r="B2290" s="15"/>
      <c r="C2290" s="15"/>
      <c r="D2290" s="1454"/>
      <c r="E2290" s="416"/>
      <c r="F2290" s="416"/>
      <c r="G2290" s="416"/>
      <c r="H2290" s="738"/>
      <c r="I2290" s="738"/>
      <c r="J2290" s="738"/>
      <c r="K2290" s="738"/>
      <c r="L2290" s="738"/>
      <c r="M2290" s="738"/>
      <c r="N2290" s="1455"/>
      <c r="O2290" s="19"/>
      <c r="P2290" s="343"/>
      <c r="Q2290" s="343"/>
      <c r="R2290" s="343"/>
      <c r="S2290" s="343"/>
      <c r="T2290" s="7"/>
      <c r="U2290" s="349"/>
      <c r="V2290" s="349"/>
    </row>
    <row r="2291" spans="1:22" s="534" customFormat="1" x14ac:dyDescent="0.25">
      <c r="A2291" s="343"/>
      <c r="B2291" s="15"/>
      <c r="C2291" s="15"/>
      <c r="D2291" s="1454"/>
      <c r="E2291" s="2611" t="str">
        <f>Translations!$B$571</f>
        <v>Insatsbränsle</v>
      </c>
      <c r="F2291" s="2484"/>
      <c r="G2291" s="365" t="str">
        <f>EUconst_TJpa</f>
        <v>TJ / år</v>
      </c>
      <c r="H2291" s="739" t="str">
        <f>IF($M2252&lt;&gt;EUconst_Relevant,"",IF(INDEX('G_Fall-back'!H:H,MATCH($P2291,'G_Fall-back'!$Q:$Q,0))="","",INDEX('G_Fall-back'!H:H,MATCH($P2291,'G_Fall-back'!$Q:$Q,0))))</f>
        <v/>
      </c>
      <c r="I2291" s="1153" t="str">
        <f>IF($M2252&lt;&gt;EUconst_Relevant,"",IF(INDEX('G_Fall-back'!I:I,MATCH($P2291,'G_Fall-back'!$Q:$Q,0))="","",INDEX('G_Fall-back'!I:I,MATCH($P2291,'G_Fall-back'!$Q:$Q,0))))</f>
        <v/>
      </c>
      <c r="J2291" s="1159" t="str">
        <f>IF($M2252&lt;&gt;EUconst_Relevant,"",IF(INDEX('G_Fall-back'!J:J,MATCH($P2291,'G_Fall-back'!$Q:$Q,0))="","",INDEX('G_Fall-back'!J:J,MATCH($P2291,'G_Fall-back'!$Q:$Q,0))))</f>
        <v/>
      </c>
      <c r="K2291" s="739" t="str">
        <f>IF($M2252&lt;&gt;EUconst_Relevant,"",IF(INDEX('G_Fall-back'!K:K,MATCH($P2291,'G_Fall-back'!$Q:$Q,0))="","",INDEX('G_Fall-back'!K:K,MATCH($P2291,'G_Fall-back'!$Q:$Q,0))))</f>
        <v/>
      </c>
      <c r="L2291" s="739" t="str">
        <f>IF($M2252&lt;&gt;EUconst_Relevant,"",IF(INDEX('G_Fall-back'!L:L,MATCH($P2291,'G_Fall-back'!$Q:$Q,0))="","",INDEX('G_Fall-back'!L:L,MATCH($P2291,'G_Fall-back'!$Q:$Q,0))))</f>
        <v/>
      </c>
      <c r="M2291" s="739" t="str">
        <f>IF($M2252&lt;&gt;EUconst_Relevant,"",IF(INDEX('G_Fall-back'!M:M,MATCH($P2291,'G_Fall-back'!$Q:$Q,0))="","",INDEX('G_Fall-back'!M:M,MATCH($P2291,'G_Fall-back'!$Q:$Q,0))))</f>
        <v/>
      </c>
      <c r="N2291" s="1456" t="str">
        <f>IF($M2252&lt;&gt;EUconst_Relevant,"",IF(INDEX('G_Fall-back'!N:N,MATCH($P2291,'G_Fall-back'!$Q:$Q,0))="","",INDEX('G_Fall-back'!N:N,MATCH($P2291,'G_Fall-back'!$Q:$Q,0))))</f>
        <v/>
      </c>
      <c r="O2291" s="19"/>
      <c r="P2291" s="622" t="str">
        <f>EUconst_CNTR_FuelInput &amp;I2252</f>
        <v>FuelInput_Fjärrvärmedelanläggning</v>
      </c>
      <c r="Q2291" s="343"/>
      <c r="R2291" s="343"/>
      <c r="S2291" s="343"/>
      <c r="T2291" s="343"/>
      <c r="U2291" s="349"/>
      <c r="V2291" s="349"/>
    </row>
    <row r="2292" spans="1:22" s="534" customFormat="1" ht="12.75" customHeight="1" x14ac:dyDescent="0.25">
      <c r="A2292" s="343"/>
      <c r="B2292" s="15"/>
      <c r="C2292" s="15"/>
      <c r="D2292" s="1454"/>
      <c r="E2292" s="2612" t="str">
        <f>Translations!$B$572</f>
        <v>Viktad emissionsfaktor</v>
      </c>
      <c r="F2292" s="2487"/>
      <c r="G2292" s="384" t="str">
        <f>EUconst_tCO2pTJ</f>
        <v>t CO2 / TJ</v>
      </c>
      <c r="H2292" s="740" t="str">
        <f>IF($M2252&lt;&gt;EUconst_Relevant,"",IF(INDEX('G_Fall-back'!H:H,MATCH($P2292,'G_Fall-back'!$Q:$Q,0))="","",INDEX('G_Fall-back'!H:H,MATCH($P2292,'G_Fall-back'!$Q:$Q,0))))</f>
        <v/>
      </c>
      <c r="I2292" s="1154" t="str">
        <f>IF($M2252&lt;&gt;EUconst_Relevant,"",IF(INDEX('G_Fall-back'!I:I,MATCH($P2292,'G_Fall-back'!$Q:$Q,0))="","",INDEX('G_Fall-back'!I:I,MATCH($P2292,'G_Fall-back'!$Q:$Q,0))))</f>
        <v/>
      </c>
      <c r="J2292" s="1160" t="str">
        <f>IF($M2252&lt;&gt;EUconst_Relevant,"",IF(INDEX('G_Fall-back'!J:J,MATCH($P2292,'G_Fall-back'!$Q:$Q,0))="","",INDEX('G_Fall-back'!J:J,MATCH($P2292,'G_Fall-back'!$Q:$Q,0))))</f>
        <v/>
      </c>
      <c r="K2292" s="740" t="str">
        <f>IF($M2252&lt;&gt;EUconst_Relevant,"",IF(INDEX('G_Fall-back'!K:K,MATCH($P2292,'G_Fall-back'!$Q:$Q,0))="","",INDEX('G_Fall-back'!K:K,MATCH($P2292,'G_Fall-back'!$Q:$Q,0))))</f>
        <v/>
      </c>
      <c r="L2292" s="740" t="str">
        <f>IF($M2252&lt;&gt;EUconst_Relevant,"",IF(INDEX('G_Fall-back'!L:L,MATCH($P2292,'G_Fall-back'!$Q:$Q,0))="","",INDEX('G_Fall-back'!L:L,MATCH($P2292,'G_Fall-back'!$Q:$Q,0))))</f>
        <v/>
      </c>
      <c r="M2292" s="740" t="str">
        <f>IF($M2252&lt;&gt;EUconst_Relevant,"",IF(INDEX('G_Fall-back'!M:M,MATCH($P2292,'G_Fall-back'!$Q:$Q,0))="","",INDEX('G_Fall-back'!M:M,MATCH($P2292,'G_Fall-back'!$Q:$Q,0))))</f>
        <v/>
      </c>
      <c r="N2292" s="1457" t="str">
        <f>IF($M2252&lt;&gt;EUconst_Relevant,"",IF(INDEX('G_Fall-back'!N:N,MATCH($P2292,'G_Fall-back'!$Q:$Q,0))="","",INDEX('G_Fall-back'!N:N,MATCH($P2292,'G_Fall-back'!$Q:$Q,0))))</f>
        <v/>
      </c>
      <c r="O2292" s="19"/>
      <c r="P2292" s="298" t="str">
        <f>EUconst_CNTR_FuelEF &amp;I2252</f>
        <v>FuelEF_Fjärrvärmedelanläggning</v>
      </c>
      <c r="Q2292" s="343"/>
      <c r="R2292" s="343"/>
      <c r="S2292" s="343"/>
      <c r="T2292" s="343"/>
      <c r="U2292" s="349"/>
      <c r="V2292" s="349"/>
    </row>
    <row r="2293" spans="1:22" s="534" customFormat="1" ht="12.75" customHeight="1" x14ac:dyDescent="0.25">
      <c r="A2293" s="343"/>
      <c r="B2293" s="15"/>
      <c r="C2293" s="15"/>
      <c r="D2293" s="1454"/>
      <c r="E2293" s="2611" t="str">
        <f>Translations!$B$688</f>
        <v>Insatsbränsle från restgaser</v>
      </c>
      <c r="F2293" s="2484"/>
      <c r="G2293" s="365" t="str">
        <f>EUconst_TJpa</f>
        <v>TJ / år</v>
      </c>
      <c r="H2293" s="739" t="str">
        <f>IF($M2252&lt;&gt;EUconst_Relevant,"",IF(INDEX('G_Fall-back'!H:H,MATCH($P2293,'G_Fall-back'!$Q:$Q,0))="","",INDEX('G_Fall-back'!H:H,MATCH($P2293,'G_Fall-back'!$Q:$Q,0))))</f>
        <v/>
      </c>
      <c r="I2293" s="1153" t="str">
        <f>IF($M2252&lt;&gt;EUconst_Relevant,"",IF(INDEX('G_Fall-back'!I:I,MATCH($P2293,'G_Fall-back'!$Q:$Q,0))="","",INDEX('G_Fall-back'!I:I,MATCH($P2293,'G_Fall-back'!$Q:$Q,0))))</f>
        <v/>
      </c>
      <c r="J2293" s="1159" t="str">
        <f>IF($M2252&lt;&gt;EUconst_Relevant,"",IF(INDEX('G_Fall-back'!J:J,MATCH($P2293,'G_Fall-back'!$Q:$Q,0))="","",INDEX('G_Fall-back'!J:J,MATCH($P2293,'G_Fall-back'!$Q:$Q,0))))</f>
        <v/>
      </c>
      <c r="K2293" s="739" t="str">
        <f>IF($M2252&lt;&gt;EUconst_Relevant,"",IF(INDEX('G_Fall-back'!K:K,MATCH($P2293,'G_Fall-back'!$Q:$Q,0))="","",INDEX('G_Fall-back'!K:K,MATCH($P2293,'G_Fall-back'!$Q:$Q,0))))</f>
        <v/>
      </c>
      <c r="L2293" s="739" t="str">
        <f>IF($M2252&lt;&gt;EUconst_Relevant,"",IF(INDEX('G_Fall-back'!L:L,MATCH($P2293,'G_Fall-back'!$Q:$Q,0))="","",INDEX('G_Fall-back'!L:L,MATCH($P2293,'G_Fall-back'!$Q:$Q,0))))</f>
        <v/>
      </c>
      <c r="M2293" s="739" t="str">
        <f>IF($M2252&lt;&gt;EUconst_Relevant,"",IF(INDEX('G_Fall-back'!M:M,MATCH($P2293,'G_Fall-back'!$Q:$Q,0))="","",INDEX('G_Fall-back'!M:M,MATCH($P2293,'G_Fall-back'!$Q:$Q,0))))</f>
        <v/>
      </c>
      <c r="N2293" s="1456" t="str">
        <f>IF($M2252&lt;&gt;EUconst_Relevant,"",IF(INDEX('G_Fall-back'!N:N,MATCH($P2293,'G_Fall-back'!$Q:$Q,0))="","",INDEX('G_Fall-back'!N:N,MATCH($P2293,'G_Fall-back'!$Q:$Q,0))))</f>
        <v/>
      </c>
      <c r="O2293" s="19"/>
      <c r="P2293" s="355" t="str">
        <f>EUconst_CNTR_WGConsumed &amp;I2252</f>
        <v>WasteGasCons_Fjärrvärmedelanläggning</v>
      </c>
      <c r="Q2293" s="343"/>
      <c r="R2293" s="343"/>
      <c r="S2293" s="343"/>
      <c r="T2293" s="343"/>
      <c r="U2293" s="349"/>
      <c r="V2293" s="349"/>
    </row>
    <row r="2294" spans="1:22" s="534" customFormat="1" ht="12.75" customHeight="1" x14ac:dyDescent="0.25">
      <c r="A2294" s="343"/>
      <c r="B2294" s="15"/>
      <c r="C2294" s="15"/>
      <c r="D2294" s="1454"/>
      <c r="E2294" s="2612" t="str">
        <f>Translations!$B$572</f>
        <v>Viktad emissionsfaktor</v>
      </c>
      <c r="F2294" s="2487"/>
      <c r="G2294" s="384" t="str">
        <f>EUconst_tCO2pTJ</f>
        <v>t CO2 / TJ</v>
      </c>
      <c r="H2294" s="740" t="str">
        <f>IF($M2252&lt;&gt;EUconst_Relevant,"",IF(INDEX('G_Fall-back'!H:H,MATCH($P2294,'G_Fall-back'!$Q:$Q,0))="","",INDEX('G_Fall-back'!H:H,MATCH($P2294,'G_Fall-back'!$Q:$Q,0))))</f>
        <v/>
      </c>
      <c r="I2294" s="1154" t="str">
        <f>IF($M2252&lt;&gt;EUconst_Relevant,"",IF(INDEX('G_Fall-back'!I:I,MATCH($P2294,'G_Fall-back'!$Q:$Q,0))="","",INDEX('G_Fall-back'!I:I,MATCH($P2294,'G_Fall-back'!$Q:$Q,0))))</f>
        <v/>
      </c>
      <c r="J2294" s="1160" t="str">
        <f>IF($M2252&lt;&gt;EUconst_Relevant,"",IF(INDEX('G_Fall-back'!J:J,MATCH($P2294,'G_Fall-back'!$Q:$Q,0))="","",INDEX('G_Fall-back'!J:J,MATCH($P2294,'G_Fall-back'!$Q:$Q,0))))</f>
        <v/>
      </c>
      <c r="K2294" s="740" t="str">
        <f>IF($M2252&lt;&gt;EUconst_Relevant,"",IF(INDEX('G_Fall-back'!K:K,MATCH($P2294,'G_Fall-back'!$Q:$Q,0))="","",INDEX('G_Fall-back'!K:K,MATCH($P2294,'G_Fall-back'!$Q:$Q,0))))</f>
        <v/>
      </c>
      <c r="L2294" s="740" t="str">
        <f>IF($M2252&lt;&gt;EUconst_Relevant,"",IF(INDEX('G_Fall-back'!L:L,MATCH($P2294,'G_Fall-back'!$Q:$Q,0))="","",INDEX('G_Fall-back'!L:L,MATCH($P2294,'G_Fall-back'!$Q:$Q,0))))</f>
        <v/>
      </c>
      <c r="M2294" s="740" t="str">
        <f>IF($M2252&lt;&gt;EUconst_Relevant,"",IF(INDEX('G_Fall-back'!M:M,MATCH($P2294,'G_Fall-back'!$Q:$Q,0))="","",INDEX('G_Fall-back'!M:M,MATCH($P2294,'G_Fall-back'!$Q:$Q,0))))</f>
        <v/>
      </c>
      <c r="N2294" s="1457" t="str">
        <f>IF($M2252&lt;&gt;EUconst_Relevant,"",IF(INDEX('G_Fall-back'!N:N,MATCH($P2294,'G_Fall-back'!$Q:$Q,0))="","",INDEX('G_Fall-back'!N:N,MATCH($P2294,'G_Fall-back'!$Q:$Q,0))))</f>
        <v/>
      </c>
      <c r="O2294" s="19"/>
      <c r="P2294" s="298" t="str">
        <f>EUconst_CNTR_WGConsumedEF &amp;I2252</f>
        <v>WasteGasConsEF_Fjärrvärmedelanläggning</v>
      </c>
      <c r="Q2294" s="343"/>
      <c r="R2294" s="343"/>
      <c r="S2294" s="343"/>
      <c r="T2294" s="343"/>
      <c r="U2294" s="349"/>
      <c r="V2294" s="349"/>
    </row>
    <row r="2295" spans="1:22" s="534" customFormat="1" ht="5.15" customHeight="1" x14ac:dyDescent="0.25">
      <c r="A2295" s="343"/>
      <c r="B2295" s="15"/>
      <c r="C2295" s="15"/>
      <c r="D2295" s="1454"/>
      <c r="E2295" s="416"/>
      <c r="F2295" s="623"/>
      <c r="G2295" s="623"/>
      <c r="H2295" s="741"/>
      <c r="I2295" s="741"/>
      <c r="J2295" s="741"/>
      <c r="K2295" s="741"/>
      <c r="L2295" s="741"/>
      <c r="M2295" s="741"/>
      <c r="N2295" s="1458"/>
      <c r="O2295" s="19"/>
      <c r="P2295" s="343"/>
      <c r="Q2295" s="343"/>
      <c r="R2295" s="343"/>
      <c r="S2295" s="343"/>
      <c r="T2295" s="343"/>
      <c r="U2295" s="349"/>
      <c r="V2295" s="349"/>
    </row>
    <row r="2296" spans="1:22" s="534" customFormat="1" x14ac:dyDescent="0.25">
      <c r="A2296" s="343"/>
      <c r="B2296" s="15"/>
      <c r="C2296" s="15"/>
      <c r="D2296" s="1454"/>
      <c r="E2296" s="2613" t="str">
        <f>Translations!$B$528</f>
        <v>Direkta utsläpp</v>
      </c>
      <c r="F2296" s="1997"/>
      <c r="G2296" s="364" t="str">
        <f>EUconst_tCO2pa</f>
        <v>t CO2 / år</v>
      </c>
      <c r="H2296" s="742" t="str">
        <f>IF($M2252&lt;&gt;EUconst_Relevant,"",IF(INDEX('G_Fall-back'!H:H,MATCH($P2296,'G_Fall-back'!$Q:$Q,0))="","",INDEX('G_Fall-back'!H:H,MATCH($P2296,'G_Fall-back'!$Q:$Q,0))))</f>
        <v/>
      </c>
      <c r="I2296" s="1021" t="str">
        <f>IF($M2252&lt;&gt;EUconst_Relevant,"",IF(INDEX('G_Fall-back'!I:I,MATCH($P2296,'G_Fall-back'!$Q:$Q,0))="","",INDEX('G_Fall-back'!I:I,MATCH($P2296,'G_Fall-back'!$Q:$Q,0))))</f>
        <v/>
      </c>
      <c r="J2296" s="1158" t="str">
        <f>IF($M2252&lt;&gt;EUconst_Relevant,"",IF(INDEX('G_Fall-back'!J:J,MATCH($P2296,'G_Fall-back'!$Q:$Q,0))="","",INDEX('G_Fall-back'!J:J,MATCH($P2296,'G_Fall-back'!$Q:$Q,0))))</f>
        <v/>
      </c>
      <c r="K2296" s="742" t="str">
        <f>IF($M2252&lt;&gt;EUconst_Relevant,"",IF(INDEX('G_Fall-back'!K:K,MATCH($P2296,'G_Fall-back'!$Q:$Q,0))="","",INDEX('G_Fall-back'!K:K,MATCH($P2296,'G_Fall-back'!$Q:$Q,0))))</f>
        <v/>
      </c>
      <c r="L2296" s="742" t="str">
        <f>IF($M2252&lt;&gt;EUconst_Relevant,"",IF(INDEX('G_Fall-back'!L:L,MATCH($P2296,'G_Fall-back'!$Q:$Q,0))="","",INDEX('G_Fall-back'!L:L,MATCH($P2296,'G_Fall-back'!$Q:$Q,0))))</f>
        <v/>
      </c>
      <c r="M2296" s="742" t="str">
        <f>IF($M2252&lt;&gt;EUconst_Relevant,"",IF(INDEX('G_Fall-back'!M:M,MATCH($P2296,'G_Fall-back'!$Q:$Q,0))="","",INDEX('G_Fall-back'!M:M,MATCH($P2296,'G_Fall-back'!$Q:$Q,0))))</f>
        <v/>
      </c>
      <c r="N2296" s="1459" t="str">
        <f>IF($M2252&lt;&gt;EUconst_Relevant,"",IF(INDEX('G_Fall-back'!N:N,MATCH($P2296,'G_Fall-back'!$Q:$Q,0))="","",INDEX('G_Fall-back'!N:N,MATCH($P2296,'G_Fall-back'!$Q:$Q,0))))</f>
        <v/>
      </c>
      <c r="O2296" s="19"/>
      <c r="P2296" s="298" t="str">
        <f>EUconst_CNTR_Emissions &amp;I2252</f>
        <v>DirEmissions_Fjärrvärmedelanläggning</v>
      </c>
      <c r="Q2296" s="343"/>
      <c r="R2296" s="343"/>
      <c r="S2296" s="343"/>
      <c r="T2296" s="343"/>
      <c r="U2296" s="349"/>
      <c r="V2296" s="349"/>
    </row>
    <row r="2297" spans="1:22" s="534" customFormat="1" ht="5.15" customHeight="1" x14ac:dyDescent="0.25">
      <c r="A2297" s="343"/>
      <c r="B2297" s="15"/>
      <c r="C2297" s="15"/>
      <c r="D2297" s="1454"/>
      <c r="E2297" s="416"/>
      <c r="F2297" s="416"/>
      <c r="G2297" s="416"/>
      <c r="H2297" s="741"/>
      <c r="I2297" s="741"/>
      <c r="J2297" s="741"/>
      <c r="K2297" s="741"/>
      <c r="L2297" s="741"/>
      <c r="M2297" s="741"/>
      <c r="N2297" s="1458"/>
      <c r="O2297" s="19"/>
      <c r="P2297" s="343"/>
      <c r="Q2297" s="343"/>
      <c r="R2297" s="343"/>
      <c r="S2297" s="343"/>
      <c r="T2297" s="343"/>
      <c r="U2297" s="349"/>
      <c r="V2297" s="349"/>
    </row>
    <row r="2298" spans="1:22" s="534" customFormat="1" ht="12.75" customHeight="1" x14ac:dyDescent="0.25">
      <c r="A2298" s="343"/>
      <c r="B2298" s="15"/>
      <c r="C2298" s="15"/>
      <c r="D2298" s="1454"/>
      <c r="E2298" s="2611" t="str">
        <f>Translations!$B$1059</f>
        <v>Importerad nettovärme (annat)</v>
      </c>
      <c r="F2298" s="2484"/>
      <c r="G2298" s="365" t="str">
        <f>EUconst_TJpa</f>
        <v>TJ / år</v>
      </c>
      <c r="H2298" s="739" t="str">
        <f>IF($M2252&lt;&gt;EUconst_Relevant,"",IF(INDEX('G_Fall-back'!H:H,MATCH($P2298,'G_Fall-back'!$Q:$Q,0))="","",INDEX('G_Fall-back'!H:H,MATCH($P2298,'G_Fall-back'!$Q:$Q,0))))</f>
        <v/>
      </c>
      <c r="I2298" s="1153" t="str">
        <f>IF($M2252&lt;&gt;EUconst_Relevant,"",IF(INDEX('G_Fall-back'!I:I,MATCH($P2298,'G_Fall-back'!$Q:$Q,0))="","",INDEX('G_Fall-back'!I:I,MATCH($P2298,'G_Fall-back'!$Q:$Q,0))))</f>
        <v/>
      </c>
      <c r="J2298" s="1159" t="str">
        <f>IF($M2252&lt;&gt;EUconst_Relevant,"",IF(INDEX('G_Fall-back'!J:J,MATCH($P2298,'G_Fall-back'!$Q:$Q,0))="","",INDEX('G_Fall-back'!J:J,MATCH($P2298,'G_Fall-back'!$Q:$Q,0))))</f>
        <v/>
      </c>
      <c r="K2298" s="739" t="str">
        <f>IF($M2252&lt;&gt;EUconst_Relevant,"",IF(INDEX('G_Fall-back'!K:K,MATCH($P2298,'G_Fall-back'!$Q:$Q,0))="","",INDEX('G_Fall-back'!K:K,MATCH($P2298,'G_Fall-back'!$Q:$Q,0))))</f>
        <v/>
      </c>
      <c r="L2298" s="739" t="str">
        <f>IF($M2252&lt;&gt;EUconst_Relevant,"",IF(INDEX('G_Fall-back'!L:L,MATCH($P2298,'G_Fall-back'!$Q:$Q,0))="","",INDEX('G_Fall-back'!L:L,MATCH($P2298,'G_Fall-back'!$Q:$Q,0))))</f>
        <v/>
      </c>
      <c r="M2298" s="739" t="str">
        <f>IF($M2252&lt;&gt;EUconst_Relevant,"",IF(INDEX('G_Fall-back'!M:M,MATCH($P2298,'G_Fall-back'!$Q:$Q,0))="","",INDEX('G_Fall-back'!M:M,MATCH($P2298,'G_Fall-back'!$Q:$Q,0))))</f>
        <v/>
      </c>
      <c r="N2298" s="1456" t="str">
        <f>IF($M2252&lt;&gt;EUconst_Relevant,"",IF(INDEX('G_Fall-back'!N:N,MATCH($P2298,'G_Fall-back'!$Q:$Q,0))="","",INDEX('G_Fall-back'!N:N,MATCH($P2298,'G_Fall-back'!$Q:$Q,0))))</f>
        <v/>
      </c>
      <c r="O2298" s="19"/>
      <c r="P2298" s="298" t="str">
        <f>EUconst_CNTR_HeatImport &amp;I2252</f>
        <v>HeatIm_Fjärrvärmedelanläggning</v>
      </c>
      <c r="Q2298" s="343"/>
      <c r="R2298" s="343"/>
      <c r="S2298" s="343"/>
      <c r="T2298" s="343"/>
      <c r="U2298" s="349"/>
      <c r="V2298" s="349"/>
    </row>
    <row r="2299" spans="1:22" s="534" customFormat="1" ht="12.75" customHeight="1" x14ac:dyDescent="0.25">
      <c r="A2299" s="343"/>
      <c r="B2299" s="15"/>
      <c r="C2299" s="15"/>
      <c r="D2299" s="1454"/>
      <c r="E2299" s="2612" t="str">
        <f>Translations!$B$605</f>
        <v>Särskild emissionsfaktor (importerad värme)</v>
      </c>
      <c r="F2299" s="2487"/>
      <c r="G2299" s="384" t="str">
        <f>EUconst_tCO2pTJ</f>
        <v>t CO2 / TJ</v>
      </c>
      <c r="H2299" s="740" t="str">
        <f>IF($M2252&lt;&gt;EUconst_Relevant,"",IF(INDEX('G_Fall-back'!H:H,MATCH($P2299,'G_Fall-back'!$Q:$Q,0))="","",INDEX('G_Fall-back'!H:H,MATCH($P2299,'G_Fall-back'!$Q:$Q,0))))</f>
        <v/>
      </c>
      <c r="I2299" s="1154" t="str">
        <f>IF($M2252&lt;&gt;EUconst_Relevant,"",IF(INDEX('G_Fall-back'!I:I,MATCH($P2299,'G_Fall-back'!$Q:$Q,0))="","",INDEX('G_Fall-back'!I:I,MATCH($P2299,'G_Fall-back'!$Q:$Q,0))))</f>
        <v/>
      </c>
      <c r="J2299" s="1160" t="str">
        <f>IF($M2252&lt;&gt;EUconst_Relevant,"",IF(INDEX('G_Fall-back'!J:J,MATCH($P2299,'G_Fall-back'!$Q:$Q,0))="","",INDEX('G_Fall-back'!J:J,MATCH($P2299,'G_Fall-back'!$Q:$Q,0))))</f>
        <v/>
      </c>
      <c r="K2299" s="740" t="str">
        <f>IF($M2252&lt;&gt;EUconst_Relevant,"",IF(INDEX('G_Fall-back'!K:K,MATCH($P2299,'G_Fall-back'!$Q:$Q,0))="","",INDEX('G_Fall-back'!K:K,MATCH($P2299,'G_Fall-back'!$Q:$Q,0))))</f>
        <v/>
      </c>
      <c r="L2299" s="740" t="str">
        <f>IF($M2252&lt;&gt;EUconst_Relevant,"",IF(INDEX('G_Fall-back'!L:L,MATCH($P2299,'G_Fall-back'!$Q:$Q,0))="","",INDEX('G_Fall-back'!L:L,MATCH($P2299,'G_Fall-back'!$Q:$Q,0))))</f>
        <v/>
      </c>
      <c r="M2299" s="740" t="str">
        <f>IF($M2252&lt;&gt;EUconst_Relevant,"",IF(INDEX('G_Fall-back'!M:M,MATCH($P2299,'G_Fall-back'!$Q:$Q,0))="","",INDEX('G_Fall-back'!M:M,MATCH($P2299,'G_Fall-back'!$Q:$Q,0))))</f>
        <v/>
      </c>
      <c r="N2299" s="1457" t="str">
        <f>IF($M2252&lt;&gt;EUconst_Relevant,"",IF(INDEX('G_Fall-back'!N:N,MATCH($P2299,'G_Fall-back'!$Q:$Q,0))="","",INDEX('G_Fall-back'!N:N,MATCH($P2299,'G_Fall-back'!$Q:$Q,0))))</f>
        <v/>
      </c>
      <c r="O2299" s="19"/>
      <c r="P2299" s="298" t="str">
        <f>EUconst_CNTR_HeatImportEF &amp;I2252</f>
        <v>HeatImEF_Fjärrvärmedelanläggning</v>
      </c>
      <c r="Q2299" s="343"/>
      <c r="R2299" s="343"/>
      <c r="S2299" s="343"/>
      <c r="T2299" s="343"/>
      <c r="U2299" s="349"/>
      <c r="V2299" s="349"/>
    </row>
    <row r="2300" spans="1:22" s="534" customFormat="1" ht="12.75" customHeight="1" x14ac:dyDescent="0.25">
      <c r="A2300" s="343"/>
      <c r="B2300" s="15"/>
      <c r="C2300" s="15"/>
      <c r="D2300" s="1454"/>
      <c r="E2300" s="2611" t="str">
        <f>Translations!$B$1060</f>
        <v>Importerad nettovärme (produktriktmärke)</v>
      </c>
      <c r="F2300" s="2484"/>
      <c r="G2300" s="365" t="str">
        <f>EUconst_TJpa</f>
        <v>TJ / år</v>
      </c>
      <c r="H2300" s="739" t="str">
        <f>IF($M2252&lt;&gt;EUconst_Relevant,"",IF(INDEX('G_Fall-back'!H:H,MATCH($P2300,'G_Fall-back'!$Q:$Q,0))="","",INDEX('G_Fall-back'!H:H,MATCH($P2300,'G_Fall-back'!$Q:$Q,0))))</f>
        <v/>
      </c>
      <c r="I2300" s="1153" t="str">
        <f>IF($M2252&lt;&gt;EUconst_Relevant,"",IF(INDEX('G_Fall-back'!I:I,MATCH($P2300,'G_Fall-back'!$Q:$Q,0))="","",INDEX('G_Fall-back'!I:I,MATCH($P2300,'G_Fall-back'!$Q:$Q,0))))</f>
        <v/>
      </c>
      <c r="J2300" s="1159" t="str">
        <f>IF($M2252&lt;&gt;EUconst_Relevant,"",IF(INDEX('G_Fall-back'!J:J,MATCH($P2300,'G_Fall-back'!$Q:$Q,0))="","",INDEX('G_Fall-back'!J:J,MATCH($P2300,'G_Fall-back'!$Q:$Q,0))))</f>
        <v/>
      </c>
      <c r="K2300" s="739" t="str">
        <f>IF($M2252&lt;&gt;EUconst_Relevant,"",IF(INDEX('G_Fall-back'!K:K,MATCH($P2300,'G_Fall-back'!$Q:$Q,0))="","",INDEX('G_Fall-back'!K:K,MATCH($P2300,'G_Fall-back'!$Q:$Q,0))))</f>
        <v/>
      </c>
      <c r="L2300" s="739" t="str">
        <f>IF($M2252&lt;&gt;EUconst_Relevant,"",IF(INDEX('G_Fall-back'!L:L,MATCH($P2300,'G_Fall-back'!$Q:$Q,0))="","",INDEX('G_Fall-back'!L:L,MATCH($P2300,'G_Fall-back'!$Q:$Q,0))))</f>
        <v/>
      </c>
      <c r="M2300" s="739" t="str">
        <f>IF($M2252&lt;&gt;EUconst_Relevant,"",IF(INDEX('G_Fall-back'!M:M,MATCH($P2300,'G_Fall-back'!$Q:$Q,0))="","",INDEX('G_Fall-back'!M:M,MATCH($P2300,'G_Fall-back'!$Q:$Q,0))))</f>
        <v/>
      </c>
      <c r="N2300" s="1456" t="str">
        <f>IF($M2252&lt;&gt;EUconst_Relevant,"",IF(INDEX('G_Fall-back'!N:N,MATCH($P2300,'G_Fall-back'!$Q:$Q,0))="","",INDEX('G_Fall-back'!N:N,MATCH($P2300,'G_Fall-back'!$Q:$Q,0))))</f>
        <v/>
      </c>
      <c r="O2300" s="19"/>
      <c r="P2300" s="298" t="str">
        <f>EUconst_CNTR_HeatImportProduct &amp;I2252</f>
        <v>HeatImProd_Fjärrvärmedelanläggning</v>
      </c>
      <c r="Q2300" s="343"/>
      <c r="R2300" s="343"/>
      <c r="S2300" s="343"/>
      <c r="T2300" s="343"/>
      <c r="U2300" s="349"/>
      <c r="V2300" s="349"/>
    </row>
    <row r="2301" spans="1:22" s="534" customFormat="1" ht="12.75" customHeight="1" x14ac:dyDescent="0.25">
      <c r="A2301" s="343"/>
      <c r="B2301" s="15"/>
      <c r="C2301" s="15"/>
      <c r="D2301" s="1454"/>
      <c r="E2301" s="2612" t="str">
        <f>Translations!$B$703</f>
        <v>Särskild emissionsfaktor (från produktriktmärke)</v>
      </c>
      <c r="F2301" s="2487"/>
      <c r="G2301" s="384" t="str">
        <f>EUconst_tCO2pTJ</f>
        <v>t CO2 / TJ</v>
      </c>
      <c r="H2301" s="740" t="str">
        <f>IF($M2252&lt;&gt;EUconst_Relevant,"",IF(INDEX('G_Fall-back'!H:H,MATCH($P2301,'G_Fall-back'!$Q:$Q,0))="","",INDEX('G_Fall-back'!H:H,MATCH($P2301,'G_Fall-back'!$Q:$Q,0))))</f>
        <v/>
      </c>
      <c r="I2301" s="1154" t="str">
        <f>IF($M2252&lt;&gt;EUconst_Relevant,"",IF(INDEX('G_Fall-back'!I:I,MATCH($P2301,'G_Fall-back'!$Q:$Q,0))="","",INDEX('G_Fall-back'!I:I,MATCH($P2301,'G_Fall-back'!$Q:$Q,0))))</f>
        <v/>
      </c>
      <c r="J2301" s="1160" t="str">
        <f>IF($M2252&lt;&gt;EUconst_Relevant,"",IF(INDEX('G_Fall-back'!J:J,MATCH($P2301,'G_Fall-back'!$Q:$Q,0))="","",INDEX('G_Fall-back'!J:J,MATCH($P2301,'G_Fall-back'!$Q:$Q,0))))</f>
        <v/>
      </c>
      <c r="K2301" s="740" t="str">
        <f>IF($M2252&lt;&gt;EUconst_Relevant,"",IF(INDEX('G_Fall-back'!K:K,MATCH($P2301,'G_Fall-back'!$Q:$Q,0))="","",INDEX('G_Fall-back'!K:K,MATCH($P2301,'G_Fall-back'!$Q:$Q,0))))</f>
        <v/>
      </c>
      <c r="L2301" s="740" t="str">
        <f>IF($M2252&lt;&gt;EUconst_Relevant,"",IF(INDEX('G_Fall-back'!L:L,MATCH($P2301,'G_Fall-back'!$Q:$Q,0))="","",INDEX('G_Fall-back'!L:L,MATCH($P2301,'G_Fall-back'!$Q:$Q,0))))</f>
        <v/>
      </c>
      <c r="M2301" s="740" t="str">
        <f>IF($M2252&lt;&gt;EUconst_Relevant,"",IF(INDEX('G_Fall-back'!M:M,MATCH($P2301,'G_Fall-back'!$Q:$Q,0))="","",INDEX('G_Fall-back'!M:M,MATCH($P2301,'G_Fall-back'!$Q:$Q,0))))</f>
        <v/>
      </c>
      <c r="N2301" s="1457" t="str">
        <f>IF($M2252&lt;&gt;EUconst_Relevant,"",IF(INDEX('G_Fall-back'!N:N,MATCH($P2301,'G_Fall-back'!$Q:$Q,0))="","",INDEX('G_Fall-back'!N:N,MATCH($P2301,'G_Fall-back'!$Q:$Q,0))))</f>
        <v/>
      </c>
      <c r="O2301" s="19"/>
      <c r="P2301" s="298" t="str">
        <f>EUconst_CNTR_HeatImportProductEF &amp;I2252</f>
        <v>HeatImProdEF_Fjärrvärmedelanläggning</v>
      </c>
      <c r="Q2301" s="343"/>
      <c r="R2301" s="343"/>
      <c r="S2301" s="343"/>
      <c r="T2301" s="343"/>
      <c r="U2301" s="349"/>
      <c r="V2301" s="349"/>
    </row>
    <row r="2302" spans="1:22" s="534" customFormat="1" ht="12.75" customHeight="1" x14ac:dyDescent="0.25">
      <c r="A2302" s="343"/>
      <c r="B2302" s="15"/>
      <c r="C2302" s="15"/>
      <c r="D2302" s="1454"/>
      <c r="E2302" s="2611" t="str">
        <f>Translations!$B$1061</f>
        <v>Importerad nettovärme (massa)</v>
      </c>
      <c r="F2302" s="2484"/>
      <c r="G2302" s="365" t="str">
        <f>EUconst_TJpa</f>
        <v>TJ / år</v>
      </c>
      <c r="H2302" s="739" t="str">
        <f>IF($M2252&lt;&gt;EUconst_Relevant,"",IF(INDEX('G_Fall-back'!H:H,MATCH($P2302,'G_Fall-back'!$Q:$Q,0))="","",INDEX('G_Fall-back'!H:H,MATCH($P2302,'G_Fall-back'!$Q:$Q,0))))</f>
        <v/>
      </c>
      <c r="I2302" s="1153" t="str">
        <f>IF($M2252&lt;&gt;EUconst_Relevant,"",IF(INDEX('G_Fall-back'!I:I,MATCH($P2302,'G_Fall-back'!$Q:$Q,0))="","",INDEX('G_Fall-back'!I:I,MATCH($P2302,'G_Fall-back'!$Q:$Q,0))))</f>
        <v/>
      </c>
      <c r="J2302" s="1159" t="str">
        <f>IF($M2252&lt;&gt;EUconst_Relevant,"",IF(INDEX('G_Fall-back'!J:J,MATCH($P2302,'G_Fall-back'!$Q:$Q,0))="","",INDEX('G_Fall-back'!J:J,MATCH($P2302,'G_Fall-back'!$Q:$Q,0))))</f>
        <v/>
      </c>
      <c r="K2302" s="739" t="str">
        <f>IF($M2252&lt;&gt;EUconst_Relevant,"",IF(INDEX('G_Fall-back'!K:K,MATCH($P2302,'G_Fall-back'!$Q:$Q,0))="","",INDEX('G_Fall-back'!K:K,MATCH($P2302,'G_Fall-back'!$Q:$Q,0))))</f>
        <v/>
      </c>
      <c r="L2302" s="739" t="str">
        <f>IF($M2252&lt;&gt;EUconst_Relevant,"",IF(INDEX('G_Fall-back'!L:L,MATCH($P2302,'G_Fall-back'!$Q:$Q,0))="","",INDEX('G_Fall-back'!L:L,MATCH($P2302,'G_Fall-back'!$Q:$Q,0))))</f>
        <v/>
      </c>
      <c r="M2302" s="739" t="str">
        <f>IF($M2252&lt;&gt;EUconst_Relevant,"",IF(INDEX('G_Fall-back'!M:M,MATCH($P2302,'G_Fall-back'!$Q:$Q,0))="","",INDEX('G_Fall-back'!M:M,MATCH($P2302,'G_Fall-back'!$Q:$Q,0))))</f>
        <v/>
      </c>
      <c r="N2302" s="1456" t="str">
        <f>IF($M2252&lt;&gt;EUconst_Relevant,"",IF(INDEX('G_Fall-back'!N:N,MATCH($P2302,'G_Fall-back'!$Q:$Q,0))="","",INDEX('G_Fall-back'!N:N,MATCH($P2302,'G_Fall-back'!$Q:$Q,0))))</f>
        <v/>
      </c>
      <c r="O2302" s="19"/>
      <c r="P2302" s="298" t="str">
        <f>EUconst_CNTR_HeatImportPulp &amp;I2252</f>
        <v>HeatImPulp_Fjärrvärmedelanläggning</v>
      </c>
      <c r="Q2302" s="343"/>
      <c r="R2302" s="343"/>
      <c r="S2302" s="343"/>
      <c r="T2302" s="343"/>
      <c r="U2302" s="349"/>
      <c r="V2302" s="349"/>
    </row>
    <row r="2303" spans="1:22" s="534" customFormat="1" x14ac:dyDescent="0.25">
      <c r="A2303" s="343"/>
      <c r="B2303" s="15"/>
      <c r="C2303" s="15"/>
      <c r="D2303" s="1454"/>
      <c r="E2303" s="2612" t="str">
        <f>Translations!$B$705</f>
        <v>Särskild emissionsfaktor (från massa)</v>
      </c>
      <c r="F2303" s="2487"/>
      <c r="G2303" s="384" t="str">
        <f>EUconst_tCO2pTJ</f>
        <v>t CO2 / TJ</v>
      </c>
      <c r="H2303" s="740" t="str">
        <f>IF($M2252&lt;&gt;EUconst_Relevant,"",IF(INDEX('G_Fall-back'!H:H,MATCH($P2303,'G_Fall-back'!$Q:$Q,0))="","",INDEX('G_Fall-back'!H:H,MATCH($P2303,'G_Fall-back'!$Q:$Q,0))))</f>
        <v/>
      </c>
      <c r="I2303" s="1154" t="str">
        <f>IF($M2252&lt;&gt;EUconst_Relevant,"",IF(INDEX('G_Fall-back'!I:I,MATCH($P2303,'G_Fall-back'!$Q:$Q,0))="","",INDEX('G_Fall-back'!I:I,MATCH($P2303,'G_Fall-back'!$Q:$Q,0))))</f>
        <v/>
      </c>
      <c r="J2303" s="1160" t="str">
        <f>IF($M2252&lt;&gt;EUconst_Relevant,"",IF(INDEX('G_Fall-back'!J:J,MATCH($P2303,'G_Fall-back'!$Q:$Q,0))="","",INDEX('G_Fall-back'!J:J,MATCH($P2303,'G_Fall-back'!$Q:$Q,0))))</f>
        <v/>
      </c>
      <c r="K2303" s="740" t="str">
        <f>IF($M2252&lt;&gt;EUconst_Relevant,"",IF(INDEX('G_Fall-back'!K:K,MATCH($P2303,'G_Fall-back'!$Q:$Q,0))="","",INDEX('G_Fall-back'!K:K,MATCH($P2303,'G_Fall-back'!$Q:$Q,0))))</f>
        <v/>
      </c>
      <c r="L2303" s="740" t="str">
        <f>IF($M2252&lt;&gt;EUconst_Relevant,"",IF(INDEX('G_Fall-back'!L:L,MATCH($P2303,'G_Fall-back'!$Q:$Q,0))="","",INDEX('G_Fall-back'!L:L,MATCH($P2303,'G_Fall-back'!$Q:$Q,0))))</f>
        <v/>
      </c>
      <c r="M2303" s="740" t="str">
        <f>IF($M2252&lt;&gt;EUconst_Relevant,"",IF(INDEX('G_Fall-back'!M:M,MATCH($P2303,'G_Fall-back'!$Q:$Q,0))="","",INDEX('G_Fall-back'!M:M,MATCH($P2303,'G_Fall-back'!$Q:$Q,0))))</f>
        <v/>
      </c>
      <c r="N2303" s="1457" t="str">
        <f>IF($M2252&lt;&gt;EUconst_Relevant,"",IF(INDEX('G_Fall-back'!N:N,MATCH($P2303,'G_Fall-back'!$Q:$Q,0))="","",INDEX('G_Fall-back'!N:N,MATCH($P2303,'G_Fall-back'!$Q:$Q,0))))</f>
        <v/>
      </c>
      <c r="O2303" s="19"/>
      <c r="P2303" s="298" t="str">
        <f>EUconst_CNTR_HeatImportPulpEF &amp;I2252</f>
        <v>HeatImPulpEF_Fjärrvärmedelanläggning</v>
      </c>
      <c r="Q2303" s="343"/>
      <c r="R2303" s="343"/>
      <c r="S2303" s="343"/>
      <c r="T2303" s="343"/>
      <c r="U2303" s="349"/>
      <c r="V2303" s="349"/>
    </row>
    <row r="2304" spans="1:22" s="534" customFormat="1" ht="12.75" customHeight="1" x14ac:dyDescent="0.25">
      <c r="A2304" s="343"/>
      <c r="B2304" s="15"/>
      <c r="C2304" s="15"/>
      <c r="D2304" s="1454"/>
      <c r="E2304" s="2611" t="str">
        <f>Translations!$B$1062</f>
        <v>Importerad nettovärme (bränsleriktmärke)</v>
      </c>
      <c r="F2304" s="2484"/>
      <c r="G2304" s="365" t="str">
        <f>EUconst_TJpa</f>
        <v>TJ / år</v>
      </c>
      <c r="H2304" s="739" t="str">
        <f>IF($M2252&lt;&gt;EUconst_Relevant,"",IF(INDEX('G_Fall-back'!H:H,MATCH($P2304,'G_Fall-back'!$Q:$Q,0))="","",INDEX('G_Fall-back'!H:H,MATCH($P2304,'G_Fall-back'!$Q:$Q,0))))</f>
        <v/>
      </c>
      <c r="I2304" s="1153" t="str">
        <f>IF($M2252&lt;&gt;EUconst_Relevant,"",IF(INDEX('G_Fall-back'!I:I,MATCH($P2304,'G_Fall-back'!$Q:$Q,0))="","",INDEX('G_Fall-back'!I:I,MATCH($P2304,'G_Fall-back'!$Q:$Q,0))))</f>
        <v/>
      </c>
      <c r="J2304" s="1159" t="str">
        <f>IF($M2252&lt;&gt;EUconst_Relevant,"",IF(INDEX('G_Fall-back'!J:J,MATCH($P2304,'G_Fall-back'!$Q:$Q,0))="","",INDEX('G_Fall-back'!J:J,MATCH($P2304,'G_Fall-back'!$Q:$Q,0))))</f>
        <v/>
      </c>
      <c r="K2304" s="739" t="str">
        <f>IF($M2252&lt;&gt;EUconst_Relevant,"",IF(INDEX('G_Fall-back'!K:K,MATCH($P2304,'G_Fall-back'!$Q:$Q,0))="","",INDEX('G_Fall-back'!K:K,MATCH($P2304,'G_Fall-back'!$Q:$Q,0))))</f>
        <v/>
      </c>
      <c r="L2304" s="739" t="str">
        <f>IF($M2252&lt;&gt;EUconst_Relevant,"",IF(INDEX('G_Fall-back'!L:L,MATCH($P2304,'G_Fall-back'!$Q:$Q,0))="","",INDEX('G_Fall-back'!L:L,MATCH($P2304,'G_Fall-back'!$Q:$Q,0))))</f>
        <v/>
      </c>
      <c r="M2304" s="739" t="str">
        <f>IF($M2252&lt;&gt;EUconst_Relevant,"",IF(INDEX('G_Fall-back'!M:M,MATCH($P2304,'G_Fall-back'!$Q:$Q,0))="","",INDEX('G_Fall-back'!M:M,MATCH($P2304,'G_Fall-back'!$Q:$Q,0))))</f>
        <v/>
      </c>
      <c r="N2304" s="1456" t="str">
        <f>IF($M2252&lt;&gt;EUconst_Relevant,"",IF(INDEX('G_Fall-back'!N:N,MATCH($P2304,'G_Fall-back'!$Q:$Q,0))="","",INDEX('G_Fall-back'!N:N,MATCH($P2304,'G_Fall-back'!$Q:$Q,0))))</f>
        <v/>
      </c>
      <c r="O2304" s="19"/>
      <c r="P2304" s="298" t="str">
        <f>EUconst_CNTR_HeatImportFuel &amp;I2252</f>
        <v>HeatImFuel_Fjärrvärmedelanläggning</v>
      </c>
      <c r="Q2304" s="343"/>
      <c r="R2304" s="343"/>
      <c r="S2304" s="343"/>
      <c r="T2304" s="343"/>
      <c r="U2304" s="349"/>
      <c r="V2304" s="349"/>
    </row>
    <row r="2305" spans="1:22" s="534" customFormat="1" ht="12.75" customHeight="1" x14ac:dyDescent="0.25">
      <c r="A2305" s="343"/>
      <c r="B2305" s="15"/>
      <c r="C2305" s="15"/>
      <c r="D2305" s="1454"/>
      <c r="E2305" s="2612" t="str">
        <f>Translations!$B$707</f>
        <v>Särskild emissionsfaktor (från bränsleriktmärke)</v>
      </c>
      <c r="F2305" s="2487"/>
      <c r="G2305" s="624" t="str">
        <f>EUconst_tCO2pTJ</f>
        <v>t CO2 / TJ</v>
      </c>
      <c r="H2305" s="740" t="str">
        <f>IF($M2252&lt;&gt;EUconst_Relevant,"",IF(INDEX('G_Fall-back'!H:H,MATCH($P2305,'G_Fall-back'!$Q:$Q,0))="","",INDEX('G_Fall-back'!H:H,MATCH($P2305,'G_Fall-back'!$Q:$Q,0))))</f>
        <v/>
      </c>
      <c r="I2305" s="1154" t="str">
        <f>IF($M2252&lt;&gt;EUconst_Relevant,"",IF(INDEX('G_Fall-back'!I:I,MATCH($P2305,'G_Fall-back'!$Q:$Q,0))="","",INDEX('G_Fall-back'!I:I,MATCH($P2305,'G_Fall-back'!$Q:$Q,0))))</f>
        <v/>
      </c>
      <c r="J2305" s="1160" t="str">
        <f>IF($M2252&lt;&gt;EUconst_Relevant,"",IF(INDEX('G_Fall-back'!J:J,MATCH($P2305,'G_Fall-back'!$Q:$Q,0))="","",INDEX('G_Fall-back'!J:J,MATCH($P2305,'G_Fall-back'!$Q:$Q,0))))</f>
        <v/>
      </c>
      <c r="K2305" s="740" t="str">
        <f>IF($M2252&lt;&gt;EUconst_Relevant,"",IF(INDEX('G_Fall-back'!K:K,MATCH($P2305,'G_Fall-back'!$Q:$Q,0))="","",INDEX('G_Fall-back'!K:K,MATCH($P2305,'G_Fall-back'!$Q:$Q,0))))</f>
        <v/>
      </c>
      <c r="L2305" s="740" t="str">
        <f>IF($M2252&lt;&gt;EUconst_Relevant,"",IF(INDEX('G_Fall-back'!L:L,MATCH($P2305,'G_Fall-back'!$Q:$Q,0))="","",INDEX('G_Fall-back'!L:L,MATCH($P2305,'G_Fall-back'!$Q:$Q,0))))</f>
        <v/>
      </c>
      <c r="M2305" s="740" t="str">
        <f>IF($M2252&lt;&gt;EUconst_Relevant,"",IF(INDEX('G_Fall-back'!M:M,MATCH($P2305,'G_Fall-back'!$Q:$Q,0))="","",INDEX('G_Fall-back'!M:M,MATCH($P2305,'G_Fall-back'!$Q:$Q,0))))</f>
        <v/>
      </c>
      <c r="N2305" s="1457" t="str">
        <f>IF($M2252&lt;&gt;EUconst_Relevant,"",IF(INDEX('G_Fall-back'!N:N,MATCH($P2305,'G_Fall-back'!$Q:$Q,0))="","",INDEX('G_Fall-back'!N:N,MATCH($P2305,'G_Fall-back'!$Q:$Q,0))))</f>
        <v/>
      </c>
      <c r="O2305" s="19"/>
      <c r="P2305" s="298" t="str">
        <f>EUconst_CNTR_HeatImportFuelEF &amp;I2252</f>
        <v>HeatImFuelEF_Fjärrvärmedelanläggning</v>
      </c>
      <c r="Q2305" s="343"/>
      <c r="R2305" s="343"/>
      <c r="S2305" s="343"/>
      <c r="T2305" s="343"/>
      <c r="U2305" s="349"/>
      <c r="V2305" s="349"/>
    </row>
    <row r="2306" spans="1:22" s="534" customFormat="1" ht="12.75" customHeight="1" x14ac:dyDescent="0.25">
      <c r="A2306" s="343"/>
      <c r="B2306" s="15"/>
      <c r="C2306" s="15"/>
      <c r="D2306" s="1454"/>
      <c r="E2306" s="2611" t="str">
        <f>Translations!$B$1063</f>
        <v>Importerad nettovärme (restgaser)</v>
      </c>
      <c r="F2306" s="2484"/>
      <c r="G2306" s="365" t="str">
        <f>EUconst_TJpa</f>
        <v>TJ / år</v>
      </c>
      <c r="H2306" s="739" t="str">
        <f>IF($M2252&lt;&gt;EUconst_Relevant,"",IF(INDEX('G_Fall-back'!H:H,MATCH($P2306,'G_Fall-back'!$Q:$Q,0))="","",INDEX('G_Fall-back'!H:H,MATCH($P2306,'G_Fall-back'!$Q:$Q,0))))</f>
        <v/>
      </c>
      <c r="I2306" s="1153" t="str">
        <f>IF($M2252&lt;&gt;EUconst_Relevant,"",IF(INDEX('G_Fall-back'!I:I,MATCH($P2306,'G_Fall-back'!$Q:$Q,0))="","",INDEX('G_Fall-back'!I:I,MATCH($P2306,'G_Fall-back'!$Q:$Q,0))))</f>
        <v/>
      </c>
      <c r="J2306" s="1159" t="str">
        <f>IF($M2252&lt;&gt;EUconst_Relevant,"",IF(INDEX('G_Fall-back'!J:J,MATCH($P2306,'G_Fall-back'!$Q:$Q,0))="","",INDEX('G_Fall-back'!J:J,MATCH($P2306,'G_Fall-back'!$Q:$Q,0))))</f>
        <v/>
      </c>
      <c r="K2306" s="739" t="str">
        <f>IF($M2252&lt;&gt;EUconst_Relevant,"",IF(INDEX('G_Fall-back'!K:K,MATCH($P2306,'G_Fall-back'!$Q:$Q,0))="","",INDEX('G_Fall-back'!K:K,MATCH($P2306,'G_Fall-back'!$Q:$Q,0))))</f>
        <v/>
      </c>
      <c r="L2306" s="739" t="str">
        <f>IF($M2252&lt;&gt;EUconst_Relevant,"",IF(INDEX('G_Fall-back'!L:L,MATCH($P2306,'G_Fall-back'!$Q:$Q,0))="","",INDEX('G_Fall-back'!L:L,MATCH($P2306,'G_Fall-back'!$Q:$Q,0))))</f>
        <v/>
      </c>
      <c r="M2306" s="739" t="str">
        <f>IF($M2252&lt;&gt;EUconst_Relevant,"",IF(INDEX('G_Fall-back'!M:M,MATCH($P2306,'G_Fall-back'!$Q:$Q,0))="","",INDEX('G_Fall-back'!M:M,MATCH($P2306,'G_Fall-back'!$Q:$Q,0))))</f>
        <v/>
      </c>
      <c r="N2306" s="1456" t="str">
        <f>IF($M2252&lt;&gt;EUconst_Relevant,"",IF(INDEX('G_Fall-back'!N:N,MATCH($P2306,'G_Fall-back'!$Q:$Q,0))="","",INDEX('G_Fall-back'!N:N,MATCH($P2306,'G_Fall-back'!$Q:$Q,0))))</f>
        <v/>
      </c>
      <c r="O2306" s="19"/>
      <c r="P2306" s="298" t="str">
        <f>EUconst_CNTR_WGImport &amp;I2252</f>
        <v>WasteGasIm_Fjärrvärmedelanläggning</v>
      </c>
      <c r="Q2306" s="343"/>
      <c r="R2306" s="343"/>
      <c r="S2306" s="343"/>
      <c r="T2306" s="343"/>
      <c r="U2306" s="349"/>
      <c r="V2306" s="349"/>
    </row>
    <row r="2307" spans="1:22" s="534" customFormat="1" ht="12.75" customHeight="1" x14ac:dyDescent="0.25">
      <c r="A2307" s="343"/>
      <c r="B2307" s="15"/>
      <c r="C2307" s="15"/>
      <c r="D2307" s="1454"/>
      <c r="E2307" s="2612" t="str">
        <f>Translations!$B$709</f>
        <v>Särskild emissionsfaktor (från restgas)</v>
      </c>
      <c r="F2307" s="2487"/>
      <c r="G2307" s="624" t="str">
        <f>EUconst_tCO2pTJ</f>
        <v>t CO2 / TJ</v>
      </c>
      <c r="H2307" s="740" t="str">
        <f>IF($M2252&lt;&gt;EUconst_Relevant,"",IF(INDEX('G_Fall-back'!H:H,MATCH($P2307,'G_Fall-back'!$Q:$Q,0))="","",INDEX('G_Fall-back'!H:H,MATCH($P2307,'G_Fall-back'!$Q:$Q,0))))</f>
        <v/>
      </c>
      <c r="I2307" s="1154" t="str">
        <f>IF($M2252&lt;&gt;EUconst_Relevant,"",IF(INDEX('G_Fall-back'!I:I,MATCH($P2307,'G_Fall-back'!$Q:$Q,0))="","",INDEX('G_Fall-back'!I:I,MATCH($P2307,'G_Fall-back'!$Q:$Q,0))))</f>
        <v/>
      </c>
      <c r="J2307" s="1160" t="str">
        <f>IF($M2252&lt;&gt;EUconst_Relevant,"",IF(INDEX('G_Fall-back'!J:J,MATCH($P2307,'G_Fall-back'!$Q:$Q,0))="","",INDEX('G_Fall-back'!J:J,MATCH($P2307,'G_Fall-back'!$Q:$Q,0))))</f>
        <v/>
      </c>
      <c r="K2307" s="740" t="str">
        <f>IF($M2252&lt;&gt;EUconst_Relevant,"",IF(INDEX('G_Fall-back'!K:K,MATCH($P2307,'G_Fall-back'!$Q:$Q,0))="","",INDEX('G_Fall-back'!K:K,MATCH($P2307,'G_Fall-back'!$Q:$Q,0))))</f>
        <v/>
      </c>
      <c r="L2307" s="740" t="str">
        <f>IF($M2252&lt;&gt;EUconst_Relevant,"",IF(INDEX('G_Fall-back'!L:L,MATCH($P2307,'G_Fall-back'!$Q:$Q,0))="","",INDEX('G_Fall-back'!L:L,MATCH($P2307,'G_Fall-back'!$Q:$Q,0))))</f>
        <v/>
      </c>
      <c r="M2307" s="740" t="str">
        <f>IF($M2252&lt;&gt;EUconst_Relevant,"",IF(INDEX('G_Fall-back'!M:M,MATCH($P2307,'G_Fall-back'!$Q:$Q,0))="","",INDEX('G_Fall-back'!M:M,MATCH($P2307,'G_Fall-back'!$Q:$Q,0))))</f>
        <v/>
      </c>
      <c r="N2307" s="1457" t="str">
        <f>IF($M2252&lt;&gt;EUconst_Relevant,"",IF(INDEX('G_Fall-back'!N:N,MATCH($P2307,'G_Fall-back'!$Q:$Q,0))="","",INDEX('G_Fall-back'!N:N,MATCH($P2307,'G_Fall-back'!$Q:$Q,0))))</f>
        <v/>
      </c>
      <c r="O2307" s="19"/>
      <c r="P2307" s="298" t="str">
        <f>EUconst_CNTR_WGImportEF &amp;I2252</f>
        <v>WasteGasImEF_Fjärrvärmedelanläggning</v>
      </c>
      <c r="Q2307" s="343"/>
      <c r="R2307" s="343"/>
      <c r="S2307" s="343"/>
      <c r="T2307" s="343"/>
      <c r="U2307" s="349"/>
      <c r="V2307" s="349"/>
    </row>
    <row r="2308" spans="1:22" s="534" customFormat="1" ht="5.15" customHeight="1" thickBot="1" x14ac:dyDescent="0.3">
      <c r="A2308" s="343"/>
      <c r="B2308" s="15"/>
      <c r="C2308" s="15"/>
      <c r="D2308" s="1484"/>
      <c r="E2308" s="783"/>
      <c r="F2308" s="783"/>
      <c r="G2308" s="783"/>
      <c r="H2308" s="783"/>
      <c r="I2308" s="783"/>
      <c r="J2308" s="783"/>
      <c r="K2308" s="783"/>
      <c r="L2308" s="783"/>
      <c r="M2308" s="783"/>
      <c r="N2308" s="784"/>
      <c r="O2308" s="19"/>
      <c r="P2308" s="343"/>
      <c r="Q2308" s="343"/>
      <c r="R2308" s="343"/>
      <c r="S2308" s="343"/>
      <c r="T2308" s="343"/>
      <c r="U2308" s="349"/>
      <c r="V2308" s="349"/>
    </row>
    <row r="2309" spans="1:22" s="534" customFormat="1" ht="5.15" customHeight="1" thickBot="1" x14ac:dyDescent="0.3">
      <c r="A2309" s="343"/>
      <c r="B2309" s="15"/>
      <c r="C2309" s="15"/>
      <c r="D2309" s="15"/>
      <c r="E2309" s="15"/>
      <c r="F2309" s="15"/>
      <c r="G2309" s="15"/>
      <c r="M2309" s="15"/>
      <c r="N2309" s="15"/>
      <c r="O2309" s="19"/>
      <c r="P2309" s="343"/>
      <c r="Q2309" s="343"/>
      <c r="R2309" s="343"/>
      <c r="S2309" s="343"/>
      <c r="T2309" s="343"/>
      <c r="U2309" s="349"/>
      <c r="V2309" s="349"/>
    </row>
    <row r="2310" spans="1:22" s="534" customFormat="1" ht="5.15" customHeight="1" thickBot="1" x14ac:dyDescent="0.3">
      <c r="A2310" s="343"/>
      <c r="B2310" s="3"/>
      <c r="C2310" s="230"/>
      <c r="D2310" s="230"/>
      <c r="E2310" s="230"/>
      <c r="F2310" s="230"/>
      <c r="G2310" s="230"/>
      <c r="H2310" s="230"/>
      <c r="I2310" s="230"/>
      <c r="J2310" s="230"/>
      <c r="K2310" s="230"/>
      <c r="L2310" s="230"/>
      <c r="M2310" s="230"/>
      <c r="N2310" s="230"/>
      <c r="O2310" s="19"/>
      <c r="P2310" s="343"/>
      <c r="Q2310" s="343"/>
      <c r="R2310" s="343"/>
      <c r="S2310" s="343"/>
      <c r="T2310" s="343"/>
      <c r="U2310" s="349"/>
      <c r="V2310" s="349"/>
    </row>
    <row r="2311" spans="1:22" s="534" customFormat="1" ht="15" customHeight="1" thickBot="1" x14ac:dyDescent="0.35">
      <c r="A2311" s="343"/>
      <c r="B2311" s="15"/>
      <c r="C2311" s="17">
        <f>C2252+1</f>
        <v>14</v>
      </c>
      <c r="D2311" s="2053" t="str">
        <f>CONCATENATE(EUconst_FBSubinst," ",C2311-10, ":")</f>
        <v>”Fall-back”-delanläggning 4:</v>
      </c>
      <c r="E2311" s="2053"/>
      <c r="F2311" s="2053"/>
      <c r="G2311" s="2053"/>
      <c r="H2311" s="2081"/>
      <c r="I2311" s="2082" t="str">
        <f>INDEX(EUconst_FallBackListNames,$C2311-10)</f>
        <v>Delanläggning med bränsleriktmärke, KL</v>
      </c>
      <c r="J2311" s="2083"/>
      <c r="K2311" s="2083"/>
      <c r="L2311" s="2084"/>
      <c r="M2311" s="2085" t="str">
        <f>IF(INDEX(CNTR_FallBackSubInstRelevant,C2311-10)="","",IF(INDEX(CNTR_FallBackSubInstRelevant,C2311-10),EUconst_Relevant,EUconst_NotRelevant))</f>
        <v/>
      </c>
      <c r="N2311" s="2086"/>
      <c r="O2311" s="19"/>
      <c r="P2311" s="343"/>
      <c r="Q2311" s="723">
        <f>C2311</f>
        <v>14</v>
      </c>
      <c r="R2311" s="722" t="str">
        <f>I2311</f>
        <v>Delanläggning med bränsleriktmärke, KL</v>
      </c>
      <c r="S2311" s="343"/>
      <c r="T2311" s="343"/>
      <c r="U2311" s="349"/>
      <c r="V2311" s="349"/>
    </row>
    <row r="2312" spans="1:22" s="534" customFormat="1" ht="5.15" customHeight="1" x14ac:dyDescent="0.3">
      <c r="A2312" s="343"/>
      <c r="B2312" s="15"/>
      <c r="C2312" s="17"/>
      <c r="D2312" s="17"/>
      <c r="E2312" s="17"/>
      <c r="F2312" s="17"/>
      <c r="G2312" s="17"/>
      <c r="H2312" s="17"/>
      <c r="I2312" s="17"/>
      <c r="J2312" s="17"/>
      <c r="K2312" s="17"/>
      <c r="L2312" s="17"/>
      <c r="M2312" s="17"/>
      <c r="N2312" s="17"/>
      <c r="O2312" s="19"/>
      <c r="P2312" s="343"/>
      <c r="Q2312" s="343"/>
      <c r="R2312" s="343"/>
      <c r="S2312" s="343"/>
      <c r="T2312" s="343"/>
      <c r="U2312" s="349"/>
      <c r="V2312" s="349"/>
    </row>
    <row r="2313" spans="1:22" s="534" customFormat="1" ht="12.75" customHeight="1" x14ac:dyDescent="0.3">
      <c r="A2313" s="343"/>
      <c r="B2313" s="15"/>
      <c r="C2313" s="17"/>
      <c r="D2313" s="17"/>
      <c r="E2313" s="17"/>
      <c r="F2313" s="17"/>
      <c r="H2313" s="506" t="str">
        <f>Translations!$B$1022</f>
        <v>KL-risk</v>
      </c>
      <c r="I2313" s="15"/>
      <c r="J2313" s="506" t="str">
        <f>Translations!$B$1026</f>
        <v>I drift</v>
      </c>
      <c r="K2313" s="506" t="str">
        <f>Translations!$B$1545</f>
        <v>Upphört</v>
      </c>
      <c r="L2313" s="952" t="str">
        <f>Translations!$B$1024</f>
        <v>RM-nummer</v>
      </c>
      <c r="M2313" s="2786" t="str">
        <f>Translations!$B$1028</f>
        <v>RM-värde</v>
      </c>
      <c r="N2313" s="2786"/>
      <c r="O2313" s="19"/>
      <c r="P2313" s="343"/>
      <c r="Q2313" s="343"/>
      <c r="R2313" s="343"/>
      <c r="S2313" s="343"/>
      <c r="T2313" s="343"/>
      <c r="U2313" s="349"/>
      <c r="V2313" s="349"/>
    </row>
    <row r="2314" spans="1:22" s="534" customFormat="1" ht="12.75" customHeight="1" x14ac:dyDescent="0.3">
      <c r="A2314" s="343"/>
      <c r="B2314" s="15"/>
      <c r="C2314" s="17"/>
      <c r="D2314" s="17"/>
      <c r="E2314" s="508" t="str">
        <f>I2311</f>
        <v>Delanläggning med bränsleriktmärke, KL</v>
      </c>
      <c r="F2314" s="509"/>
      <c r="G2314" s="509"/>
      <c r="H2314" s="510" t="b">
        <f>INDEX(EUconst_FallBackListCLstatus,MATCH(I2311,EUconst_FallBackListNames,0))</f>
        <v>1</v>
      </c>
      <c r="I2314" s="15"/>
      <c r="J2314" s="1045" t="str">
        <f>IF($M2311&lt;&gt;EUconst_Relevant,EUconst_NA,INDEX(CNTR_SubInstStartDate,MATCH(I2311,CNTR_SubInstListNames,0)))</f>
        <v>Ej tillämpligt</v>
      </c>
      <c r="K2314" s="1045" t="str">
        <f>IF($M2311&lt;&gt;EUconst_Relevant,EUconst_NA,IF(INDEX(CNTR_SubInstCessationDate,MATCH(I2311,CNTR_SubInstListNames,0))=0,"",INDEX(CNTR_SubInstCessationDate,MATCH(I2311,CNTR_SubInstListNames,0))))</f>
        <v>Ej tillämpligt</v>
      </c>
      <c r="L2314" s="953">
        <f>C2311-10</f>
        <v>4</v>
      </c>
      <c r="M2314" s="1746" t="str">
        <f>IF(M2311&lt;&gt;EUconst_Relevant,EUconst_NA,INDEX(EUconst_FallBackListBMvaluesMatrix,L2314,3))</f>
        <v>Ej tillämpligt</v>
      </c>
      <c r="N2314" s="1041" t="str">
        <f>EUconst_EUA &amp; "/" &amp; F2317</f>
        <v>EUA/TJ</v>
      </c>
      <c r="O2314" s="19"/>
      <c r="P2314" s="343"/>
      <c r="Q2314" s="343"/>
      <c r="R2314" s="343"/>
      <c r="S2314" s="343"/>
      <c r="T2314" s="343"/>
      <c r="U2314" s="349"/>
      <c r="V2314" s="349"/>
    </row>
    <row r="2315" spans="1:22" s="534" customFormat="1" ht="5.15" customHeight="1" thickBot="1" x14ac:dyDescent="0.35">
      <c r="A2315" s="343"/>
      <c r="B2315" s="15"/>
      <c r="C2315" s="15"/>
      <c r="D2315" s="15"/>
      <c r="E2315" s="17"/>
      <c r="J2315" s="15"/>
      <c r="K2315" s="15"/>
      <c r="L2315" s="15"/>
      <c r="M2315" s="15"/>
      <c r="N2315" s="15"/>
      <c r="O2315" s="19"/>
      <c r="P2315" s="343"/>
      <c r="Q2315" s="343"/>
      <c r="R2315" s="343"/>
      <c r="S2315" s="343"/>
      <c r="T2315" s="7"/>
      <c r="U2315" s="349"/>
      <c r="V2315" s="349"/>
    </row>
    <row r="2316" spans="1:22" s="534" customFormat="1" ht="12.75" customHeight="1" x14ac:dyDescent="0.25">
      <c r="A2316" s="343"/>
      <c r="B2316" s="15"/>
      <c r="C2316" s="15"/>
      <c r="D2316" s="15"/>
      <c r="E2316" s="39"/>
      <c r="F2316" s="13" t="str">
        <f>EUconst_Unit</f>
        <v>Enhet</v>
      </c>
      <c r="G2316" s="1201" t="str">
        <f>Translations!$B$1432</f>
        <v>HAL</v>
      </c>
      <c r="H2316" s="987">
        <f t="shared" ref="H2316:N2316" si="427">H$2596</f>
        <v>2019</v>
      </c>
      <c r="I2316" s="342">
        <f t="shared" si="427"/>
        <v>2020</v>
      </c>
      <c r="J2316" s="987">
        <f t="shared" si="427"/>
        <v>2021</v>
      </c>
      <c r="K2316" s="320">
        <f t="shared" si="427"/>
        <v>2022</v>
      </c>
      <c r="L2316" s="320">
        <f t="shared" si="427"/>
        <v>2023</v>
      </c>
      <c r="M2316" s="320">
        <f t="shared" si="427"/>
        <v>2024</v>
      </c>
      <c r="N2316" s="320">
        <f t="shared" si="427"/>
        <v>2025</v>
      </c>
      <c r="O2316" s="19"/>
      <c r="P2316" s="343"/>
      <c r="Q2316" s="343" t="s">
        <v>2010</v>
      </c>
      <c r="R2316" s="1635">
        <f>J$2596</f>
        <v>2021</v>
      </c>
      <c r="S2316" s="1636">
        <f>K$2596</f>
        <v>2022</v>
      </c>
      <c r="T2316" s="1636">
        <f>L$2596</f>
        <v>2023</v>
      </c>
      <c r="U2316" s="1636">
        <f>M$2596</f>
        <v>2024</v>
      </c>
      <c r="V2316" s="1637">
        <f>N$2596</f>
        <v>2025</v>
      </c>
    </row>
    <row r="2317" spans="1:22" s="534" customFormat="1" ht="12.75" customHeight="1" thickBot="1" x14ac:dyDescent="0.3">
      <c r="A2317" s="343"/>
      <c r="B2317" s="15"/>
      <c r="C2317" s="15"/>
      <c r="D2317" s="15"/>
      <c r="E2317" s="514" t="str">
        <f>Translations!$B$1562</f>
        <v>Rapporterad verksamhetsnivå</v>
      </c>
      <c r="F2317" s="563" t="str">
        <f>INDEX(EUconst_FallBackListUnits,L2314)</f>
        <v>TJ</v>
      </c>
      <c r="G2317" s="1407" t="str">
        <f>I2348</f>
        <v/>
      </c>
      <c r="H2317" s="1408" t="str">
        <f>IF($M2311&lt;&gt;EUconst_Relevant,"",IF(H2316&gt;=CNTR_ReportingYear,"",SUMIF('G_Fall-back'!$Q:$Q,$P2317,'G_Fall-back'!H:H)))</f>
        <v/>
      </c>
      <c r="I2317" s="1409" t="str">
        <f>IF($M2311&lt;&gt;EUconst_Relevant,"",IF(I2316&gt;=CNTR_ReportingYear,"",SUMIF('G_Fall-back'!$Q:$Q,$P2317,'G_Fall-back'!I:I)))</f>
        <v/>
      </c>
      <c r="J2317" s="1408" t="str">
        <f>IF($M2311&lt;&gt;EUconst_Relevant,"",IF(J2316&gt;=CNTR_ReportingYear,"",SUMIF('G_Fall-back'!$Q:$Q,$P2317,'G_Fall-back'!J:J)))</f>
        <v/>
      </c>
      <c r="K2317" s="1410" t="str">
        <f>IF($M2311&lt;&gt;EUconst_Relevant,"",IF(K2316&gt;=CNTR_ReportingYear,"",SUMIF('G_Fall-back'!$Q:$Q,$P2317,'G_Fall-back'!K:K)))</f>
        <v/>
      </c>
      <c r="L2317" s="1410" t="str">
        <f>IF($M2311&lt;&gt;EUconst_Relevant,"",IF(L2316&gt;=CNTR_ReportingYear,"",SUMIF('G_Fall-back'!$Q:$Q,$P2317,'G_Fall-back'!L:L)))</f>
        <v/>
      </c>
      <c r="M2317" s="1410" t="str">
        <f>IF($M2311&lt;&gt;EUconst_Relevant,"",IF(M2316&gt;=CNTR_ReportingYear,"",SUMIF('G_Fall-back'!$Q:$Q,$P2317,'G_Fall-back'!M:M)))</f>
        <v/>
      </c>
      <c r="N2317" s="1410" t="str">
        <f>IF($M2311&lt;&gt;EUconst_Relevant,"",IF(N2316&gt;=CNTR_ReportingYear,"",SUMIF('G_Fall-back'!$Q:$Q,$P2317,'G_Fall-back'!N:N)))</f>
        <v/>
      </c>
      <c r="O2317" s="19"/>
      <c r="P2317" s="165" t="str">
        <f>EUconst_CNTR_HAL&amp;I2311</f>
        <v>HAL_Delanläggning med bränsleriktmärke, KL</v>
      </c>
      <c r="Q2317" s="343"/>
      <c r="R2317" s="1329" t="b">
        <f>AND($M2311=EUconst_Relevant,R2316&lt;=CNTR_ReportingYear,IF($J2314&lt;&gt;EUconst_NA,R2316&gt;=YEAR($J2314),TRUE))</f>
        <v>0</v>
      </c>
      <c r="S2317" s="1330" t="b">
        <f>AND($M2311=EUconst_Relevant,S2316&lt;=CNTR_ReportingYear,IF($J2314&lt;&gt;EUconst_NA,S2316&gt;=YEAR($J2314),TRUE))</f>
        <v>0</v>
      </c>
      <c r="T2317" s="1330" t="b">
        <f>AND($M2311=EUconst_Relevant,T2316&lt;=CNTR_ReportingYear,IF($J2314&lt;&gt;EUconst_NA,T2316&gt;=YEAR($J2314),TRUE))</f>
        <v>0</v>
      </c>
      <c r="U2317" s="1330" t="b">
        <f>AND($M2311=EUconst_Relevant,U2316&lt;=CNTR_ReportingYear,IF($J2314&lt;&gt;EUconst_NA,U2316&gt;=YEAR($J2314),TRUE))</f>
        <v>0</v>
      </c>
      <c r="V2317" s="1331" t="b">
        <f>AND($M2311=EUconst_Relevant,V2316&lt;=CNTR_ReportingYear,IF($J2314&lt;&gt;EUconst_NA,V2316&gt;=YEAR($J2314),TRUE))</f>
        <v>0</v>
      </c>
    </row>
    <row r="2318" spans="1:22" s="534" customFormat="1" x14ac:dyDescent="0.25">
      <c r="A2318" s="343"/>
      <c r="B2318" s="15"/>
      <c r="C2318" s="15"/>
      <c r="D2318" s="15"/>
      <c r="E2318" s="514" t="str">
        <f>Translations!$B$1588</f>
        <v>Rapporterad effektivitet</v>
      </c>
      <c r="F2318" s="563" t="str">
        <f>IF($M2311&lt;&gt;EUconst_Relevant,"",INDEX('G_Fall-back'!H:H,MATCH($P2340,'G_Fall-back'!$Q:$Q,0)-1))</f>
        <v/>
      </c>
      <c r="G2318" s="1414" t="str">
        <f>IF($M2311&lt;&gt;EUconst_Relevant,"",INDEX('G_Fall-back'!I:I,MATCH($P2340,'G_Fall-back'!$Q:$Q,0)-1))</f>
        <v/>
      </c>
      <c r="H2318" s="1132" t="str">
        <f>IF($M2311&lt;&gt;EUconst_Relevant,"",INDEX('G_Fall-back'!H:H,MATCH($P2318,'G_Fall-back'!$Q:$Q,0)))</f>
        <v/>
      </c>
      <c r="I2318" s="1133" t="str">
        <f>IF($M2311&lt;&gt;EUconst_Relevant,"",INDEX('G_Fall-back'!I:I,MATCH($P2318,'G_Fall-back'!$Q:$Q,0)))</f>
        <v/>
      </c>
      <c r="J2318" s="1132" t="str">
        <f>IF($M2311&lt;&gt;EUconst_Relevant,"",INDEX('G_Fall-back'!J:J,MATCH($P2318,'G_Fall-back'!$Q:$Q,0)))</f>
        <v/>
      </c>
      <c r="K2318" s="662" t="str">
        <f>IF($M2311&lt;&gt;EUconst_Relevant,"",INDEX('G_Fall-back'!K:K,MATCH($P2318,'G_Fall-back'!$Q:$Q,0)))</f>
        <v/>
      </c>
      <c r="L2318" s="662" t="str">
        <f>IF($M2311&lt;&gt;EUconst_Relevant,"",INDEX('G_Fall-back'!L:L,MATCH($P2318,'G_Fall-back'!$Q:$Q,0)))</f>
        <v/>
      </c>
      <c r="M2318" s="662" t="str">
        <f>IF($M2311&lt;&gt;EUconst_Relevant,"",INDEX('G_Fall-back'!M:M,MATCH($P2318,'G_Fall-back'!$Q:$Q,0)))</f>
        <v/>
      </c>
      <c r="N2318" s="662" t="str">
        <f>IF($M2311&lt;&gt;EUconst_Relevant,"",INDEX('G_Fall-back'!N:N,MATCH($P2318,'G_Fall-back'!$Q:$Q,0)))</f>
        <v/>
      </c>
      <c r="O2318" s="19"/>
      <c r="P2318" s="165" t="str">
        <f>EUconst_CNTR_EnEff&amp;I2311</f>
        <v>EnEff_Delanläggning med bränsleriktmärke, KL</v>
      </c>
      <c r="Q2318" s="343"/>
      <c r="R2318" s="343"/>
      <c r="S2318" s="343"/>
      <c r="T2318" s="7"/>
      <c r="U2318" s="349"/>
      <c r="V2318" s="349"/>
    </row>
    <row r="2319" spans="1:22" s="534" customFormat="1" ht="5.15" customHeight="1" thickBot="1" x14ac:dyDescent="0.3">
      <c r="A2319" s="343"/>
      <c r="B2319" s="15"/>
      <c r="C2319" s="15"/>
      <c r="D2319" s="15"/>
      <c r="F2319" s="15"/>
      <c r="G2319" s="15"/>
      <c r="H2319" s="15"/>
      <c r="I2319" s="941"/>
      <c r="J2319" s="15"/>
      <c r="K2319" s="15"/>
      <c r="L2319" s="15"/>
      <c r="M2319" s="15"/>
      <c r="N2319" s="15"/>
      <c r="O2319" s="19"/>
      <c r="P2319" s="343"/>
      <c r="Q2319" s="343"/>
      <c r="R2319" s="343"/>
      <c r="S2319" s="343"/>
      <c r="T2319" s="7"/>
      <c r="U2319" s="349"/>
      <c r="V2319" s="349"/>
    </row>
    <row r="2320" spans="1:22" s="534" customFormat="1" ht="5.15" customHeight="1" x14ac:dyDescent="0.3">
      <c r="A2320" s="343"/>
      <c r="B2320" s="15"/>
      <c r="C2320" s="17"/>
      <c r="D2320" s="1383"/>
      <c r="E2320" s="1384"/>
      <c r="F2320" s="1384"/>
      <c r="G2320" s="1384"/>
      <c r="H2320" s="1384"/>
      <c r="I2320" s="1384"/>
      <c r="J2320" s="1384"/>
      <c r="K2320" s="1384"/>
      <c r="L2320" s="1384"/>
      <c r="M2320" s="1384"/>
      <c r="N2320" s="1385"/>
      <c r="O2320" s="19"/>
      <c r="P2320" s="343"/>
      <c r="Q2320" s="343"/>
      <c r="R2320" s="343"/>
      <c r="S2320" s="343"/>
      <c r="T2320" s="343"/>
      <c r="U2320" s="349"/>
      <c r="V2320" s="349"/>
    </row>
    <row r="2321" spans="1:22" s="534" customFormat="1" ht="12.75" customHeight="1" x14ac:dyDescent="0.3">
      <c r="A2321" s="343"/>
      <c r="B2321" s="15"/>
      <c r="C2321" s="17"/>
      <c r="D2321" s="1386"/>
      <c r="E2321" s="42" t="str">
        <f>Translations!$B$1563</f>
        <v>Tillämplighet av glidande medelvärde</v>
      </c>
      <c r="F2321" s="188"/>
      <c r="G2321" s="188"/>
      <c r="H2321" s="30" t="str">
        <f>EUconst_Unit</f>
        <v>Enhet</v>
      </c>
      <c r="I2321" s="1157"/>
      <c r="J2321" s="1065">
        <f>J$2596</f>
        <v>2021</v>
      </c>
      <c r="K2321" s="350">
        <f>K$2596</f>
        <v>2022</v>
      </c>
      <c r="L2321" s="350">
        <f>L$2596</f>
        <v>2023</v>
      </c>
      <c r="M2321" s="350">
        <f>M$2596</f>
        <v>2024</v>
      </c>
      <c r="N2321" s="966">
        <f>N$2596</f>
        <v>2025</v>
      </c>
      <c r="O2321" s="19"/>
      <c r="P2321" s="343"/>
      <c r="Q2321" s="343"/>
      <c r="R2321" s="343"/>
      <c r="S2321" s="343"/>
      <c r="T2321" s="343"/>
      <c r="U2321" s="349"/>
      <c r="V2321" s="349"/>
    </row>
    <row r="2322" spans="1:22" s="534" customFormat="1" ht="12.75" customHeight="1" x14ac:dyDescent="0.3">
      <c r="A2322" s="343"/>
      <c r="B2322" s="15"/>
      <c r="C2322" s="17"/>
      <c r="D2322" s="1386"/>
      <c r="E2322" s="1477" t="str">
        <f>Translations!$B$1549</f>
        <v>Kriterium 1: Verksam &gt;2 år?</v>
      </c>
      <c r="F2322" s="1478"/>
      <c r="G2322" s="1478"/>
      <c r="H2322" s="1366" t="s">
        <v>1112</v>
      </c>
      <c r="I2322" s="1478"/>
      <c r="J2322" s="1469" t="str">
        <f>IF(R2317,INDEX('G_Fall-back'!V:V,MATCH($P2322,'G_Fall-back'!$Q:$Q,0))&gt;=3,"")</f>
        <v/>
      </c>
      <c r="K2322" s="1470" t="str">
        <f>IF(S2317,INDEX('G_Fall-back'!W:W,MATCH($P2322,'G_Fall-back'!$Q:$Q,0))&gt;=3,"")</f>
        <v/>
      </c>
      <c r="L2322" s="1470" t="str">
        <f>IF(T2317,INDEX('G_Fall-back'!X:X,MATCH($P2322,'G_Fall-back'!$Q:$Q,0))&gt;=3,"")</f>
        <v/>
      </c>
      <c r="M2322" s="1470" t="str">
        <f>IF(U2317,INDEX('G_Fall-back'!Y:Y,MATCH($P2322,'G_Fall-back'!$Q:$Q,0))&gt;=3,"")</f>
        <v/>
      </c>
      <c r="N2322" s="1471" t="str">
        <f>IF(V2317,INDEX('G_Fall-back'!Z:Z,MATCH($P2322,'G_Fall-back'!$Q:$Q,0))&gt;=3,"")</f>
        <v/>
      </c>
      <c r="O2322" s="19"/>
      <c r="P2322" s="165" t="str">
        <f>EUconst_CNTR_HALinitial&amp;I2311</f>
        <v>HALini_Delanläggning med bränsleriktmärke, KL</v>
      </c>
      <c r="Q2322" s="343"/>
      <c r="R2322" s="343"/>
      <c r="S2322" s="343"/>
      <c r="T2322" s="343"/>
      <c r="U2322" s="349"/>
      <c r="V2322" s="349"/>
    </row>
    <row r="2323" spans="1:22" s="534" customFormat="1" ht="12.75" customHeight="1" x14ac:dyDescent="0.3">
      <c r="A2323" s="343"/>
      <c r="B2323" s="15"/>
      <c r="C2323" s="17"/>
      <c r="D2323" s="1386"/>
      <c r="E2323" s="1472" t="str">
        <f>Translations!$B$1551</f>
        <v>Kriterium 2: Upphörde inte föregående år?</v>
      </c>
      <c r="F2323" s="1479"/>
      <c r="G2323" s="1479"/>
      <c r="H2323" s="1473" t="s">
        <v>1112</v>
      </c>
      <c r="I2323" s="1479"/>
      <c r="J2323" s="1474" t="str">
        <f>IF(R2317,IF($K2314="",2050,YEAR($K2314))&lt;&gt;(J2321-1),"")</f>
        <v/>
      </c>
      <c r="K2323" s="1475" t="str">
        <f>IF(S2317,IF($K2314="",2050,YEAR($K2314))&lt;&gt;(K2321-1),"")</f>
        <v/>
      </c>
      <c r="L2323" s="1475" t="str">
        <f>IF(T2317,IF($K2314="",2050,YEAR($K2314))&lt;&gt;(L2321-1),"")</f>
        <v/>
      </c>
      <c r="M2323" s="1475" t="str">
        <f>IF(U2317,IF($K2314="",2050,YEAR($K2314))&lt;&gt;(M2321-1),"")</f>
        <v/>
      </c>
      <c r="N2323" s="1476" t="str">
        <f>IF(V2317,IF($K2314="",2050,YEAR($K2314))&lt;&gt;(N2321-1),"")</f>
        <v/>
      </c>
      <c r="O2323" s="19"/>
      <c r="P2323" s="343"/>
      <c r="Q2323" s="343"/>
      <c r="R2323" s="343"/>
      <c r="S2323" s="343"/>
      <c r="T2323" s="343"/>
      <c r="U2323" s="349"/>
      <c r="V2323" s="349"/>
    </row>
    <row r="2324" spans="1:22" s="534" customFormat="1" ht="5.15" customHeight="1" x14ac:dyDescent="0.3">
      <c r="A2324" s="343"/>
      <c r="B2324" s="15"/>
      <c r="C2324" s="17"/>
      <c r="D2324" s="1386"/>
      <c r="E2324" s="17"/>
      <c r="F2324" s="17"/>
      <c r="G2324" s="17"/>
      <c r="H2324" s="17"/>
      <c r="I2324" s="17"/>
      <c r="J2324" s="17"/>
      <c r="K2324" s="17"/>
      <c r="L2324" s="17"/>
      <c r="M2324" s="17"/>
      <c r="N2324" s="1388"/>
      <c r="O2324" s="19"/>
      <c r="P2324" s="343"/>
      <c r="Q2324" s="343"/>
      <c r="R2324" s="343"/>
      <c r="S2324" s="343"/>
      <c r="T2324" s="343"/>
      <c r="U2324" s="349"/>
      <c r="V2324" s="349"/>
    </row>
    <row r="2325" spans="1:22" s="534" customFormat="1" ht="12.75" customHeight="1" x14ac:dyDescent="0.3">
      <c r="A2325" s="343"/>
      <c r="B2325" s="15"/>
      <c r="C2325" s="17"/>
      <c r="D2325" s="1386"/>
      <c r="E2325" s="39" t="str">
        <f>Translations!$B$1564</f>
        <v>Ändringar: Ingen ändring (bas)</v>
      </c>
      <c r="F2325" s="15"/>
      <c r="G2325" s="15"/>
      <c r="H2325" s="30" t="str">
        <f>EUconst_Unit</f>
        <v>Enhet</v>
      </c>
      <c r="I2325" s="1157"/>
      <c r="J2325" s="987">
        <f>J$2596</f>
        <v>2021</v>
      </c>
      <c r="K2325" s="320">
        <f>K$2596</f>
        <v>2022</v>
      </c>
      <c r="L2325" s="320">
        <f>L$2596</f>
        <v>2023</v>
      </c>
      <c r="M2325" s="320">
        <f>M$2596</f>
        <v>2024</v>
      </c>
      <c r="N2325" s="1387">
        <f>N$2596</f>
        <v>2025</v>
      </c>
      <c r="O2325" s="19"/>
      <c r="P2325" s="343"/>
      <c r="Q2325" s="343"/>
      <c r="R2325" s="343"/>
      <c r="S2325" s="343"/>
      <c r="T2325" s="343"/>
      <c r="U2325" s="349"/>
      <c r="V2325" s="349"/>
    </row>
    <row r="2326" spans="1:22" s="534" customFormat="1" ht="12.75" hidden="1" customHeight="1" x14ac:dyDescent="0.3">
      <c r="A2326" s="343" t="str">
        <f>IF(P2326="","ausblenden","")</f>
        <v>ausblenden</v>
      </c>
      <c r="B2326" s="15"/>
      <c r="C2326" s="17"/>
      <c r="D2326" s="1386"/>
      <c r="E2326" s="514" t="s">
        <v>1918</v>
      </c>
      <c r="F2326" s="514"/>
      <c r="G2326" s="514"/>
      <c r="H2326" s="917" t="str">
        <f>F2317</f>
        <v>TJ</v>
      </c>
      <c r="I2326" s="514"/>
      <c r="J2326" s="1411" t="str">
        <f>IF(T2349&gt;=$H$2595,S2348,I2348)</f>
        <v/>
      </c>
      <c r="K2326" s="1413" t="str">
        <f>J2348</f>
        <v/>
      </c>
      <c r="L2326" s="1413" t="str">
        <f>K2348</f>
        <v/>
      </c>
      <c r="M2326" s="1413" t="str">
        <f>L2348</f>
        <v/>
      </c>
      <c r="N2326" s="1466" t="str">
        <f>M2348</f>
        <v/>
      </c>
      <c r="O2326" s="19"/>
      <c r="P2326" s="343"/>
      <c r="Q2326" s="343"/>
      <c r="R2326" s="343"/>
      <c r="S2326" s="343"/>
      <c r="T2326" s="343"/>
      <c r="U2326" s="349"/>
      <c r="V2326" s="349"/>
    </row>
    <row r="2327" spans="1:22" s="534" customFormat="1" ht="12.75" customHeight="1" x14ac:dyDescent="0.3">
      <c r="A2327" s="343"/>
      <c r="B2327" s="15"/>
      <c r="C2327" s="17"/>
      <c r="D2327" s="1386"/>
      <c r="E2327" s="514" t="str">
        <f>Translations!$B$1565</f>
        <v>Preliminärt tilldelningsvärde</v>
      </c>
      <c r="F2327" s="514"/>
      <c r="G2327" s="514"/>
      <c r="H2327" s="129" t="str">
        <f>EUconst_EUA</f>
        <v>EUA</v>
      </c>
      <c r="I2327" s="1151"/>
      <c r="J2327" s="1131" t="str">
        <f>IF($M2311&lt;&gt;EUconst_Relevant,"",MAX(0,ROUND((SUM($M2314)*SUM(J2326))*IF($H2314=TRUE,1,J$2517),0)))</f>
        <v/>
      </c>
      <c r="K2327" s="421" t="str">
        <f>IF($M2311&lt;&gt;EUconst_Relevant,"",MAX(0,ROUND((SUM($M2314)*SUM(K2326))*IF($H2314=TRUE,1,K$2517),0)))</f>
        <v/>
      </c>
      <c r="L2327" s="421" t="str">
        <f>IF($M2311&lt;&gt;EUconst_Relevant,"",MAX(0,ROUND((SUM($M2314)*SUM(L2326))*IF($H2314=TRUE,1,L$2517),0)))</f>
        <v/>
      </c>
      <c r="M2327" s="421" t="str">
        <f>IF($M2311&lt;&gt;EUconst_Relevant,"",MAX(0,ROUND((SUM($M2314)*SUM(M2326))*IF($H2314=TRUE,1,M$2517),0)))</f>
        <v/>
      </c>
      <c r="N2327" s="967" t="str">
        <f>IF($M2311&lt;&gt;EUconst_Relevant,"",MAX(0,ROUND((SUM($M2314)*SUM(N2326))*IF($H2314=TRUE,1,N$2517),0)))</f>
        <v/>
      </c>
      <c r="O2327" s="19"/>
      <c r="P2327" s="343"/>
      <c r="Q2327" s="343"/>
      <c r="R2327" s="343"/>
      <c r="S2327" s="343"/>
      <c r="T2327" s="343"/>
      <c r="U2327" s="349"/>
      <c r="V2327" s="349"/>
    </row>
    <row r="2328" spans="1:22" s="534" customFormat="1" ht="5.15" customHeight="1" x14ac:dyDescent="0.3">
      <c r="A2328" s="343"/>
      <c r="B2328" s="15"/>
      <c r="C2328" s="17"/>
      <c r="D2328" s="1386"/>
      <c r="E2328" s="17"/>
      <c r="F2328" s="17"/>
      <c r="G2328" s="17"/>
      <c r="H2328" s="17"/>
      <c r="I2328" s="17"/>
      <c r="J2328" s="17"/>
      <c r="K2328" s="17"/>
      <c r="L2328" s="17"/>
      <c r="M2328" s="17"/>
      <c r="N2328" s="1388"/>
      <c r="O2328" s="19"/>
      <c r="P2328" s="343"/>
      <c r="Q2328" s="343"/>
      <c r="R2328" s="343"/>
      <c r="S2328" s="343"/>
      <c r="T2328" s="343"/>
      <c r="U2328" s="349"/>
      <c r="V2328" s="349"/>
    </row>
    <row r="2329" spans="1:22" s="534" customFormat="1" ht="12.75" customHeight="1" x14ac:dyDescent="0.3">
      <c r="A2329" s="343"/>
      <c r="B2329" s="15"/>
      <c r="C2329" s="17"/>
      <c r="D2329" s="1386"/>
      <c r="E2329" s="42" t="str">
        <f>Translations!$B$1566</f>
        <v>Ändringar: Verksamhetsnivå</v>
      </c>
      <c r="F2329" s="188"/>
      <c r="G2329" s="188"/>
      <c r="H2329" s="30" t="str">
        <f>EUconst_Unit</f>
        <v>Enhet</v>
      </c>
      <c r="I2329" s="1157"/>
      <c r="J2329" s="1065">
        <f>J$2596</f>
        <v>2021</v>
      </c>
      <c r="K2329" s="350">
        <f>K$2596</f>
        <v>2022</v>
      </c>
      <c r="L2329" s="350">
        <f>L$2596</f>
        <v>2023</v>
      </c>
      <c r="M2329" s="350">
        <f>M$2596</f>
        <v>2024</v>
      </c>
      <c r="N2329" s="966">
        <f>N$2596</f>
        <v>2025</v>
      </c>
      <c r="O2329" s="19"/>
      <c r="P2329" s="343"/>
      <c r="Q2329" s="343"/>
      <c r="R2329" s="343"/>
      <c r="S2329" s="343"/>
      <c r="T2329" s="343"/>
      <c r="U2329" s="349"/>
      <c r="V2329" s="349"/>
    </row>
    <row r="2330" spans="1:22" s="534" customFormat="1" ht="12.75" customHeight="1" x14ac:dyDescent="0.3">
      <c r="A2330" s="343"/>
      <c r="B2330" s="15"/>
      <c r="C2330" s="17"/>
      <c r="D2330" s="1386"/>
      <c r="E2330" s="944" t="str">
        <f>Translations!$B$1482</f>
        <v>Genomsnittligt årligt värde</v>
      </c>
      <c r="F2330" s="944"/>
      <c r="G2330" s="944"/>
      <c r="H2330" s="1443" t="str">
        <f>H2326</f>
        <v>TJ</v>
      </c>
      <c r="I2330" s="1367"/>
      <c r="J2330" s="1463" t="str">
        <f>INDEX('G_Fall-back'!J:J,MATCH($P2330,'G_Fall-back'!$Q:$Q,0))</f>
        <v/>
      </c>
      <c r="K2330" s="1464" t="str">
        <f>INDEX('G_Fall-back'!K:K,MATCH($P2330,'G_Fall-back'!$Q:$Q,0))</f>
        <v/>
      </c>
      <c r="L2330" s="1464" t="str">
        <f>INDEX('G_Fall-back'!L:L,MATCH($P2330,'G_Fall-back'!$Q:$Q,0))</f>
        <v/>
      </c>
      <c r="M2330" s="1464" t="str">
        <f>INDEX('G_Fall-back'!M:M,MATCH($P2330,'G_Fall-back'!$Q:$Q,0))</f>
        <v/>
      </c>
      <c r="N2330" s="1465" t="str">
        <f>INDEX('G_Fall-back'!N:N,MATCH($P2330,'G_Fall-back'!$Q:$Q,0))</f>
        <v/>
      </c>
      <c r="O2330" s="19"/>
      <c r="P2330" s="165" t="str">
        <f>EUconst_CNTR_HALinitial&amp;I2311</f>
        <v>HALini_Delanläggning med bränsleriktmärke, KL</v>
      </c>
      <c r="Q2330" s="343"/>
      <c r="R2330" s="343"/>
      <c r="S2330" s="343"/>
      <c r="T2330" s="343"/>
      <c r="U2330" s="349"/>
      <c r="V2330" s="349"/>
    </row>
    <row r="2331" spans="1:22" s="534" customFormat="1" ht="12.75" customHeight="1" x14ac:dyDescent="0.3">
      <c r="A2331" s="343"/>
      <c r="B2331" s="15"/>
      <c r="C2331" s="17"/>
      <c r="D2331" s="1386"/>
      <c r="E2331" s="947" t="str">
        <f>Translations!$B$1567</f>
        <v>Ändring jämfört med historik verksamhetsnivå</v>
      </c>
      <c r="F2331" s="947"/>
      <c r="G2331" s="947"/>
      <c r="H2331" s="1442" t="s">
        <v>1112</v>
      </c>
      <c r="I2331" s="1371"/>
      <c r="J2331" s="1415" t="str">
        <f>INDEX('G_Fall-back'!J:J,MATCH($P2331,'G_Fall-back'!$Q:$Q,0))</f>
        <v/>
      </c>
      <c r="K2331" s="1416" t="str">
        <f>INDEX('G_Fall-back'!K:K,MATCH($P2331,'G_Fall-back'!$Q:$Q,0))</f>
        <v/>
      </c>
      <c r="L2331" s="1416" t="str">
        <f>INDEX('G_Fall-back'!L:L,MATCH($P2331,'G_Fall-back'!$Q:$Q,0))</f>
        <v/>
      </c>
      <c r="M2331" s="1416" t="str">
        <f>INDEX('G_Fall-back'!M:M,MATCH($P2331,'G_Fall-back'!$Q:$Q,0))</f>
        <v/>
      </c>
      <c r="N2331" s="1417" t="str">
        <f>INDEX('G_Fall-back'!N:N,MATCH($P2331,'G_Fall-back'!$Q:$Q,0))</f>
        <v/>
      </c>
      <c r="O2331" s="19"/>
      <c r="P2331" s="165" t="str">
        <f>EUconst_CNTR_RelThreshold &amp; I2311</f>
        <v>RelThresh_Delanläggning med bränsleriktmärke, KL</v>
      </c>
      <c r="Q2331" s="343"/>
      <c r="R2331" s="343"/>
      <c r="S2331" s="343"/>
      <c r="T2331" s="343"/>
      <c r="U2331" s="349"/>
      <c r="V2331" s="349"/>
    </row>
    <row r="2332" spans="1:22" s="534" customFormat="1" ht="12.75" customHeight="1" x14ac:dyDescent="0.3">
      <c r="A2332" s="343"/>
      <c r="B2332" s="15"/>
      <c r="C2332" s="17"/>
      <c r="D2332" s="1386"/>
      <c r="E2332" s="1418" t="str">
        <f>Translations!$B$1589</f>
        <v>Kriterium 3: Har relativa tröskelvärden överskridits?</v>
      </c>
      <c r="F2332" s="1418"/>
      <c r="G2332" s="1418"/>
      <c r="H2332" s="1444" t="s">
        <v>1112</v>
      </c>
      <c r="I2332" s="1423"/>
      <c r="J2332" s="1420" t="str">
        <f>INDEX('G_Fall-back'!V:V,MATCH($P2332,'G_Fall-back'!$Q:$Q,0)+1)</f>
        <v/>
      </c>
      <c r="K2332" s="1421" t="str">
        <f>INDEX('G_Fall-back'!W:W,MATCH($P2332,'G_Fall-back'!$Q:$Q,0)+1)</f>
        <v/>
      </c>
      <c r="L2332" s="1421" t="str">
        <f>INDEX('G_Fall-back'!X:X,MATCH($P2332,'G_Fall-back'!$Q:$Q,0)+1)</f>
        <v/>
      </c>
      <c r="M2332" s="1421" t="str">
        <f>INDEX('G_Fall-back'!Y:Y,MATCH($P2332,'G_Fall-back'!$Q:$Q,0)+1)</f>
        <v/>
      </c>
      <c r="N2332" s="1422" t="str">
        <f>INDEX('G_Fall-back'!Z:Z,MATCH($P2332,'G_Fall-back'!$Q:$Q,0)+1)</f>
        <v/>
      </c>
      <c r="O2332" s="19"/>
      <c r="P2332" s="165" t="str">
        <f>P2331</f>
        <v>RelThresh_Delanläggning med bränsleriktmärke, KL</v>
      </c>
      <c r="Q2332" s="343"/>
      <c r="R2332" s="343"/>
      <c r="S2332" s="343"/>
      <c r="T2332" s="343"/>
      <c r="U2332" s="349"/>
      <c r="V2332" s="349"/>
    </row>
    <row r="2333" spans="1:22" s="534" customFormat="1" ht="12.75" customHeight="1" x14ac:dyDescent="0.3">
      <c r="A2333" s="343" t="str">
        <f>IF(P2333="","ausblenden","")</f>
        <v/>
      </c>
      <c r="B2333" s="15"/>
      <c r="C2333" s="17"/>
      <c r="D2333" s="1386"/>
      <c r="E2333" s="950" t="str">
        <f>Translations!$B$1568</f>
        <v>Preliminärt värde</v>
      </c>
      <c r="F2333" s="950"/>
      <c r="G2333" s="950"/>
      <c r="H2333" s="1372" t="str">
        <f>F2317</f>
        <v>TJ</v>
      </c>
      <c r="I2333" s="950"/>
      <c r="J2333" s="1401" t="str">
        <f>INDEX('G_Fall-back'!J:J,MATCH($P2333,'G_Fall-back'!$Q:$Q,0))</f>
        <v/>
      </c>
      <c r="K2333" s="1402" t="str">
        <f>INDEX('G_Fall-back'!K:K,MATCH($P2333,'G_Fall-back'!$Q:$Q,0))</f>
        <v/>
      </c>
      <c r="L2333" s="1402" t="str">
        <f>INDEX('G_Fall-back'!L:L,MATCH($P2333,'G_Fall-back'!$Q:$Q,0))</f>
        <v/>
      </c>
      <c r="M2333" s="1402" t="str">
        <f>INDEX('G_Fall-back'!M:M,MATCH($P2333,'G_Fall-back'!$Q:$Q,0))</f>
        <v/>
      </c>
      <c r="N2333" s="1403" t="str">
        <f>INDEX('G_Fall-back'!N:N,MATCH($P2333,'G_Fall-back'!$Q:$Q,0))</f>
        <v/>
      </c>
      <c r="O2333" s="19"/>
      <c r="P2333" s="165" t="str">
        <f>EUconst_CNTR_HALprelim&amp;I2311</f>
        <v>HALprelim_Delanläggning med bränsleriktmärke, KL</v>
      </c>
      <c r="Q2333" s="343"/>
      <c r="R2333" s="343"/>
      <c r="S2333" s="343"/>
      <c r="T2333" s="343"/>
      <c r="U2333" s="349"/>
      <c r="V2333" s="349"/>
    </row>
    <row r="2334" spans="1:22" s="534" customFormat="1" ht="12.75" customHeight="1" x14ac:dyDescent="0.3">
      <c r="A2334" s="343"/>
      <c r="B2334" s="15"/>
      <c r="C2334" s="17"/>
      <c r="D2334" s="1386"/>
      <c r="E2334" s="514" t="str">
        <f>Translations!$B$1565</f>
        <v>Preliminärt tilldelningsvärde</v>
      </c>
      <c r="F2334" s="514"/>
      <c r="G2334" s="514"/>
      <c r="H2334" s="129" t="str">
        <f>EUconst_EUA</f>
        <v>EUA</v>
      </c>
      <c r="I2334" s="1151"/>
      <c r="J2334" s="1131" t="str">
        <f>IF($M2311&lt;&gt;EUconst_Relevant,"",MAX(0,ROUND((SUM($M2314)*SUM(J2333))*IF($H2314=TRUE,1,J$2517),0)))</f>
        <v/>
      </c>
      <c r="K2334" s="421" t="str">
        <f>IF($M2311&lt;&gt;EUconst_Relevant,"",MAX(0,ROUND((SUM($M2314)*SUM(K2333))*IF($H2314=TRUE,1,K$2517),0)))</f>
        <v/>
      </c>
      <c r="L2334" s="421" t="str">
        <f>IF($M2311&lt;&gt;EUconst_Relevant,"",MAX(0,ROUND((SUM($M2314)*SUM(L2333))*IF($H2314=TRUE,1,L$2517),0)))</f>
        <v/>
      </c>
      <c r="M2334" s="421" t="str">
        <f>IF($M2311&lt;&gt;EUconst_Relevant,"",MAX(0,ROUND((SUM($M2314)*SUM(M2333))*IF($H2314=TRUE,1,M$2517),0)))</f>
        <v/>
      </c>
      <c r="N2334" s="967" t="str">
        <f>IF($M2311&lt;&gt;EUconst_Relevant,"",MAX(0,ROUND((SUM($M2314)*SUM(N2333))*IF($H2314=TRUE,1,N$2517),0)))</f>
        <v/>
      </c>
      <c r="O2334" s="19"/>
      <c r="P2334" s="343"/>
      <c r="Q2334" s="343"/>
      <c r="R2334" s="343"/>
      <c r="S2334" s="343"/>
      <c r="T2334" s="343"/>
      <c r="U2334" s="349"/>
      <c r="V2334" s="349"/>
    </row>
    <row r="2335" spans="1:22" s="534" customFormat="1" ht="12.75" customHeight="1" x14ac:dyDescent="0.3">
      <c r="A2335" s="343"/>
      <c r="B2335" s="15"/>
      <c r="C2335" s="17"/>
      <c r="D2335" s="1386"/>
      <c r="E2335" s="514" t="str">
        <f>Translations!$B$1569</f>
        <v>Skillnad i tilldelning</v>
      </c>
      <c r="F2335" s="514"/>
      <c r="G2335" s="514"/>
      <c r="H2335" s="129" t="str">
        <f>EUconst_EUA</f>
        <v>EUA</v>
      </c>
      <c r="I2335" s="1151"/>
      <c r="J2335" s="1131" t="str">
        <f>IF($M2311&lt;&gt;EUconst_Relevant,"",ABS(SUM(J2334)-SUM(J2327)))</f>
        <v/>
      </c>
      <c r="K2335" s="421" t="str">
        <f>IF($M2311&lt;&gt;EUconst_Relevant,"",ABS(SUM(K2334)-SUM(K2327)))</f>
        <v/>
      </c>
      <c r="L2335" s="421" t="str">
        <f>IF($M2311&lt;&gt;EUconst_Relevant,"",ABS(SUM(L2334)-SUM(L2327)))</f>
        <v/>
      </c>
      <c r="M2335" s="421" t="str">
        <f>IF($M2311&lt;&gt;EUconst_Relevant,"",ABS(SUM(M2334)-SUM(M2327)))</f>
        <v/>
      </c>
      <c r="N2335" s="967" t="str">
        <f>IF($M2311&lt;&gt;EUconst_Relevant,"",ABS(SUM(N2334)-SUM(N2327)))</f>
        <v/>
      </c>
      <c r="O2335" s="19"/>
      <c r="P2335" s="343"/>
      <c r="Q2335" s="343"/>
      <c r="R2335" s="343"/>
      <c r="S2335" s="343"/>
      <c r="T2335" s="343"/>
      <c r="U2335" s="349"/>
      <c r="V2335" s="349"/>
    </row>
    <row r="2336" spans="1:22" s="534" customFormat="1" ht="12.75" customHeight="1" x14ac:dyDescent="0.3">
      <c r="A2336" s="343"/>
      <c r="B2336" s="15"/>
      <c r="C2336" s="17"/>
      <c r="D2336" s="1386"/>
      <c r="E2336" s="1419" t="str">
        <f>Translations!$B$1590</f>
        <v>Kriterium 4: Är skillnaden minst 100 utsläppsrätter?</v>
      </c>
      <c r="F2336" s="1419"/>
      <c r="G2336" s="1419"/>
      <c r="H2336" s="1424" t="s">
        <v>1112</v>
      </c>
      <c r="I2336" s="1425"/>
      <c r="J2336" s="1426" t="str">
        <f>IF($M2311&lt;&gt;EUconst_Relevant,"",J2335&gt;=100)</f>
        <v/>
      </c>
      <c r="K2336" s="1427" t="str">
        <f>IF($M2311&lt;&gt;EUconst_Relevant,"",K2335&gt;=100)</f>
        <v/>
      </c>
      <c r="L2336" s="1427" t="str">
        <f>IF($M2311&lt;&gt;EUconst_Relevant,"",L2335&gt;=100)</f>
        <v/>
      </c>
      <c r="M2336" s="1427" t="str">
        <f>IF($M2311&lt;&gt;EUconst_Relevant,"",M2335&gt;=100)</f>
        <v/>
      </c>
      <c r="N2336" s="1428" t="str">
        <f>IF($M2311&lt;&gt;EUconst_Relevant,"",N2335&gt;=100)</f>
        <v/>
      </c>
      <c r="O2336" s="19"/>
      <c r="P2336" s="165" t="str">
        <f>EUconst_CNTR_100EUA_ActivityLevel&amp;I2311</f>
        <v>EUA100AL_Delanläggning med bränsleriktmärke, KL</v>
      </c>
      <c r="Q2336" s="343"/>
      <c r="R2336" s="343"/>
      <c r="S2336" s="343"/>
      <c r="T2336" s="343"/>
      <c r="U2336" s="349"/>
      <c r="V2336" s="349"/>
    </row>
    <row r="2337" spans="1:22" s="534" customFormat="1" ht="5.15" customHeight="1" x14ac:dyDescent="0.3">
      <c r="A2337" s="343"/>
      <c r="B2337" s="15"/>
      <c r="C2337" s="17"/>
      <c r="D2337" s="1386"/>
      <c r="E2337" s="15"/>
      <c r="F2337" s="15"/>
      <c r="G2337" s="15"/>
      <c r="H2337" s="15"/>
      <c r="I2337" s="941"/>
      <c r="J2337" s="15"/>
      <c r="K2337" s="15"/>
      <c r="L2337" s="15"/>
      <c r="M2337" s="15"/>
      <c r="N2337" s="968"/>
      <c r="O2337" s="19"/>
      <c r="P2337" s="343"/>
      <c r="Q2337" s="343"/>
      <c r="R2337" s="343"/>
      <c r="S2337" s="343"/>
      <c r="T2337" s="343"/>
      <c r="U2337" s="349"/>
      <c r="V2337" s="349"/>
    </row>
    <row r="2338" spans="1:22" s="534" customFormat="1" ht="13" x14ac:dyDescent="0.25">
      <c r="A2338" s="343"/>
      <c r="B2338" s="15"/>
      <c r="C2338" s="15"/>
      <c r="D2338" s="965"/>
      <c r="E2338" s="42" t="str">
        <f>Translations!$B$1591</f>
        <v>Ändringar: Effektivitet</v>
      </c>
      <c r="F2338" s="188"/>
      <c r="G2338" s="188"/>
      <c r="H2338" s="30"/>
      <c r="I2338" s="1157"/>
      <c r="J2338" s="987">
        <f>J$2596</f>
        <v>2021</v>
      </c>
      <c r="K2338" s="320">
        <f>K$2596</f>
        <v>2022</v>
      </c>
      <c r="L2338" s="320">
        <f>L$2596</f>
        <v>2023</v>
      </c>
      <c r="M2338" s="320">
        <f>M$2596</f>
        <v>2024</v>
      </c>
      <c r="N2338" s="1387">
        <f>N$2596</f>
        <v>2025</v>
      </c>
      <c r="O2338" s="19"/>
      <c r="P2338" s="343"/>
      <c r="Q2338" s="343"/>
      <c r="R2338" s="343"/>
      <c r="S2338" s="343"/>
      <c r="T2338" s="7"/>
      <c r="U2338" s="349"/>
      <c r="V2338" s="349"/>
    </row>
    <row r="2339" spans="1:22" s="534" customFormat="1" x14ac:dyDescent="0.25">
      <c r="A2339" s="343"/>
      <c r="B2339" s="15"/>
      <c r="C2339" s="15"/>
      <c r="D2339" s="965"/>
      <c r="E2339" s="944" t="str">
        <f>Translations!$B$1482</f>
        <v>Genomsnittligt årligt värde</v>
      </c>
      <c r="F2339" s="944"/>
      <c r="G2339" s="944"/>
      <c r="H2339" s="944"/>
      <c r="I2339" s="1486"/>
      <c r="J2339" s="1368" t="str">
        <f>IF($M2311&lt;&gt;EUconst_Relevant,"",INDEX('G_Fall-back'!J:J,MATCH($P2339,'G_Fall-back'!$Q:$Q,0)))</f>
        <v/>
      </c>
      <c r="K2339" s="1369" t="str">
        <f>IF($M2311&lt;&gt;EUconst_Relevant,"",INDEX('G_Fall-back'!K:K,MATCH($P2339,'G_Fall-back'!$Q:$Q,0)))</f>
        <v/>
      </c>
      <c r="L2339" s="1369" t="str">
        <f>IF($M2311&lt;&gt;EUconst_Relevant,"",INDEX('G_Fall-back'!L:L,MATCH($P2339,'G_Fall-back'!$Q:$Q,0)))</f>
        <v/>
      </c>
      <c r="M2339" s="1369" t="str">
        <f>IF($M2311&lt;&gt;EUconst_Relevant,"",INDEX('G_Fall-back'!M:M,MATCH($P2339,'G_Fall-back'!$Q:$Q,0)))</f>
        <v/>
      </c>
      <c r="N2339" s="1394" t="str">
        <f>IF($M2311&lt;&gt;EUconst_Relevant,"",INDEX('G_Fall-back'!N:N,MATCH($P2339,'G_Fall-back'!$Q:$Q,0)))</f>
        <v/>
      </c>
      <c r="O2339" s="19"/>
      <c r="P2339" s="165" t="str">
        <f>EUconst_CNTR_EnEffInitial&amp;I2311</f>
        <v>EnEffIni_Delanläggning med bränsleriktmärke, KL</v>
      </c>
      <c r="Q2339" s="343"/>
      <c r="R2339" s="343"/>
      <c r="S2339" s="343"/>
      <c r="T2339" s="7"/>
      <c r="U2339" s="349"/>
      <c r="V2339" s="349"/>
    </row>
    <row r="2340" spans="1:22" s="534" customFormat="1" ht="13" thickBot="1" x14ac:dyDescent="0.3">
      <c r="A2340" s="343"/>
      <c r="B2340" s="15"/>
      <c r="C2340" s="15"/>
      <c r="D2340" s="965"/>
      <c r="E2340" s="950" t="str">
        <f>Translations!$B$1567</f>
        <v>Ändring jämfört med historik verksamhetsnivå</v>
      </c>
      <c r="F2340" s="950"/>
      <c r="G2340" s="950"/>
      <c r="H2340" s="950"/>
      <c r="I2340" s="1487"/>
      <c r="J2340" s="1488" t="str">
        <f>IF($M2311&lt;&gt;EUconst_Relevant,"",INDEX('G_Fall-back'!J:J,MATCH($P2340,'G_Fall-back'!$Q:$Q,0)))</f>
        <v/>
      </c>
      <c r="K2340" s="1489" t="str">
        <f>IF($M2311&lt;&gt;EUconst_Relevant,"",INDEX('G_Fall-back'!K:K,MATCH($P2340,'G_Fall-back'!$Q:$Q,0)))</f>
        <v/>
      </c>
      <c r="L2340" s="1489" t="str">
        <f>IF($M2311&lt;&gt;EUconst_Relevant,"",INDEX('G_Fall-back'!L:L,MATCH($P2340,'G_Fall-back'!$Q:$Q,0)))</f>
        <v/>
      </c>
      <c r="M2340" s="1489" t="str">
        <f>IF($M2311&lt;&gt;EUconst_Relevant,"",INDEX('G_Fall-back'!M:M,MATCH($P2340,'G_Fall-back'!$Q:$Q,0)))</f>
        <v/>
      </c>
      <c r="N2340" s="1490" t="str">
        <f>IF($M2311&lt;&gt;EUconst_Relevant,"",INDEX('G_Fall-back'!N:N,MATCH($P2340,'G_Fall-back'!$Q:$Q,0)))</f>
        <v/>
      </c>
      <c r="O2340" s="19"/>
      <c r="P2340" s="1485" t="str">
        <f>EUconst_CNTR_EnEffPct&amp;I2311</f>
        <v>EnEffPct_Delanläggning med bränsleriktmärke, KL</v>
      </c>
      <c r="Q2340" s="343"/>
      <c r="R2340" s="343"/>
      <c r="S2340" s="343"/>
      <c r="T2340" s="7"/>
      <c r="U2340" s="349"/>
      <c r="V2340" s="349"/>
    </row>
    <row r="2341" spans="1:22" s="534" customFormat="1" ht="13" x14ac:dyDescent="0.25">
      <c r="A2341" s="343"/>
      <c r="B2341" s="15"/>
      <c r="C2341" s="15"/>
      <c r="D2341" s="965"/>
      <c r="E2341" s="1467" t="str">
        <f>Translations!$B$1557</f>
        <v>Kriterium 5: Kan behörig myndighet besluta?</v>
      </c>
      <c r="F2341" s="1467"/>
      <c r="G2341" s="1467"/>
      <c r="H2341" s="1481" t="s">
        <v>1112</v>
      </c>
      <c r="I2341" s="1468"/>
      <c r="J2341" s="1469" t="str">
        <f>IF($M2311&lt;&gt;EUconst_Relevant,"",INDEX('G_Fall-back'!J:J,MATCH($P2341,'G_Fall-back'!$Q:$Q,0)))</f>
        <v/>
      </c>
      <c r="K2341" s="1470" t="str">
        <f>IF($M2311&lt;&gt;EUconst_Relevant,"",INDEX('G_Fall-back'!K:K,MATCH($P2341,'G_Fall-back'!$Q:$Q,0)))</f>
        <v/>
      </c>
      <c r="L2341" s="1470" t="str">
        <f>IF($M2311&lt;&gt;EUconst_Relevant,"",INDEX('G_Fall-back'!L:L,MATCH($P2341,'G_Fall-back'!$Q:$Q,0)))</f>
        <v/>
      </c>
      <c r="M2341" s="1470" t="str">
        <f>IF($M2311&lt;&gt;EUconst_Relevant,"",INDEX('G_Fall-back'!M:M,MATCH($P2341,'G_Fall-back'!$Q:$Q,0)))</f>
        <v/>
      </c>
      <c r="N2341" s="1471" t="str">
        <f>IF($M2311&lt;&gt;EUconst_Relevant,"",INDEX('G_Fall-back'!N:N,MATCH($P2341,'G_Fall-back'!$Q:$Q,0)))</f>
        <v/>
      </c>
      <c r="O2341" s="19"/>
      <c r="P2341" s="165" t="str">
        <f>EUconst_CNTR_CARejectionRelevant&amp;I2311</f>
        <v>CARejectRel_Delanläggning med bränsleriktmärke, KL</v>
      </c>
      <c r="Q2341" s="343"/>
      <c r="R2341" s="1635">
        <f>J$2596</f>
        <v>2021</v>
      </c>
      <c r="S2341" s="1636">
        <f>K$2596</f>
        <v>2022</v>
      </c>
      <c r="T2341" s="1636">
        <f>L$2596</f>
        <v>2023</v>
      </c>
      <c r="U2341" s="1636">
        <f>M$2596</f>
        <v>2024</v>
      </c>
      <c r="V2341" s="1637">
        <f>N$2596</f>
        <v>2025</v>
      </c>
    </row>
    <row r="2342" spans="1:22" s="534" customFormat="1" ht="13.5" thickBot="1" x14ac:dyDescent="0.3">
      <c r="A2342" s="343"/>
      <c r="B2342" s="15"/>
      <c r="C2342" s="15"/>
      <c r="D2342" s="965"/>
      <c r="E2342" s="1472" t="str">
        <f>Translations!$B$1559</f>
        <v>Kriterium 6: Ej avslag från behörig myndighet?</v>
      </c>
      <c r="F2342" s="1472"/>
      <c r="G2342" s="1472"/>
      <c r="H2342" s="1482" t="s">
        <v>1112</v>
      </c>
      <c r="I2342" s="1473"/>
      <c r="J2342" s="1474" t="str">
        <f>IF($M2311&lt;&gt;EUconst_Relevant,"",IF(R2342=0,EUconst_ERR_CADecision,R2342))</f>
        <v/>
      </c>
      <c r="K2342" s="1475" t="str">
        <f>IF($M2311&lt;&gt;EUconst_Relevant,"",IF(S2342=0,EUconst_ERR_CADecision,S2342))</f>
        <v/>
      </c>
      <c r="L2342" s="1475" t="str">
        <f>IF($M2311&lt;&gt;EUconst_Relevant,"",IF(T2342=0,EUconst_ERR_CADecision,T2342))</f>
        <v/>
      </c>
      <c r="M2342" s="1475" t="str">
        <f>IF($M2311&lt;&gt;EUconst_Relevant,"",IF(U2342=0,EUconst_ERR_CADecision,U2342))</f>
        <v/>
      </c>
      <c r="N2342" s="1476" t="str">
        <f>IF($M2311&lt;&gt;EUconst_Relevant,"",IF(V2342=0,EUconst_ERR_CADecision,V2342))</f>
        <v/>
      </c>
      <c r="O2342" s="19"/>
      <c r="P2342" s="165" t="str">
        <f>EUconst_CNTR_CARejection &amp; I2311</f>
        <v>CAReject_Delanläggning med bränsleriktmärke, KL</v>
      </c>
      <c r="Q2342" s="343"/>
      <c r="R2342" s="1329" t="str">
        <f>IF(J2341=TRUE,INDEX('G_Fall-back'!J:J,MATCH($P2342,'G_Fall-back'!$Q:$Q,0)),EUconst_NA)</f>
        <v>Ej tillämpligt</v>
      </c>
      <c r="S2342" s="1330" t="str">
        <f>IF(K2341=TRUE,INDEX('G_Fall-back'!K:K,MATCH($P2342,'G_Fall-back'!$Q:$Q,0)),EUconst_NA)</f>
        <v>Ej tillämpligt</v>
      </c>
      <c r="T2342" s="1330" t="str">
        <f>IF(L2341=TRUE,INDEX('G_Fall-back'!L:L,MATCH($P2342,'G_Fall-back'!$Q:$Q,0)),EUconst_NA)</f>
        <v>Ej tillämpligt</v>
      </c>
      <c r="U2342" s="1330" t="str">
        <f>IF(M2341=TRUE,INDEX('G_Fall-back'!M:M,MATCH($P2342,'G_Fall-back'!$Q:$Q,0)),EUconst_NA)</f>
        <v>Ej tillämpligt</v>
      </c>
      <c r="V2342" s="1331" t="str">
        <f>IF(N2341=TRUE,INDEX('G_Fall-back'!N:N,MATCH($P2342,'G_Fall-back'!$Q:$Q,0)),EUconst_NA)</f>
        <v>Ej tillämpligt</v>
      </c>
    </row>
    <row r="2343" spans="1:22" s="534" customFormat="1" ht="13" x14ac:dyDescent="0.25">
      <c r="A2343" s="343"/>
      <c r="B2343" s="15"/>
      <c r="C2343" s="15"/>
      <c r="D2343" s="965"/>
      <c r="E2343" s="514" t="str">
        <f>Translations!$B$1592</f>
        <v>Faktisk justering av verksamhetsnivån</v>
      </c>
      <c r="F2343" s="514"/>
      <c r="G2343" s="514"/>
      <c r="H2343" s="1168" t="s">
        <v>1112</v>
      </c>
      <c r="I2343" s="1480"/>
      <c r="J2343" s="1169" t="str">
        <f>INDEX('G_Fall-back'!J:J,MATCH($P2343,'G_Fall-back'!$Q:$Q,0))</f>
        <v/>
      </c>
      <c r="K2343" s="1170" t="str">
        <f>INDEX('G_Fall-back'!K:K,MATCH($P2343,'G_Fall-back'!$Q:$Q,0))</f>
        <v/>
      </c>
      <c r="L2343" s="1170" t="str">
        <f>INDEX('G_Fall-back'!L:L,MATCH($P2343,'G_Fall-back'!$Q:$Q,0))</f>
        <v/>
      </c>
      <c r="M2343" s="1170" t="str">
        <f>INDEX('G_Fall-back'!M:M,MATCH($P2343,'G_Fall-back'!$Q:$Q,0))</f>
        <v/>
      </c>
      <c r="N2343" s="1171" t="str">
        <f>INDEX('G_Fall-back'!N:N,MATCH($P2343,'G_Fall-back'!$Q:$Q,0))</f>
        <v/>
      </c>
      <c r="O2343" s="19"/>
      <c r="P2343" s="165" t="str">
        <f>EUconst_CNTR_HALAdjPct&amp;I2311</f>
        <v>HALAdjPct_Delanläggning med bränsleriktmärke, KL</v>
      </c>
      <c r="Q2343" s="343"/>
      <c r="R2343" s="343"/>
      <c r="S2343" s="343"/>
      <c r="T2343" s="7"/>
      <c r="U2343" s="349"/>
      <c r="V2343" s="349"/>
    </row>
    <row r="2344" spans="1:22" s="534" customFormat="1" ht="5.15" customHeight="1" thickBot="1" x14ac:dyDescent="0.3">
      <c r="A2344" s="343"/>
      <c r="B2344" s="15"/>
      <c r="C2344" s="15"/>
      <c r="D2344" s="972"/>
      <c r="E2344" s="973"/>
      <c r="F2344" s="973"/>
      <c r="G2344" s="973"/>
      <c r="H2344" s="973"/>
      <c r="I2344" s="1483"/>
      <c r="J2344" s="973"/>
      <c r="K2344" s="973"/>
      <c r="L2344" s="973"/>
      <c r="M2344" s="973"/>
      <c r="N2344" s="974"/>
      <c r="O2344" s="19"/>
      <c r="P2344" s="343"/>
      <c r="Q2344" s="343"/>
      <c r="R2344" s="343"/>
      <c r="S2344" s="343"/>
      <c r="T2344" s="7"/>
      <c r="U2344" s="349"/>
      <c r="V2344" s="349"/>
    </row>
    <row r="2345" spans="1:22" s="534" customFormat="1" ht="5.15" customHeight="1" thickBot="1" x14ac:dyDescent="0.3">
      <c r="A2345" s="343"/>
      <c r="B2345" s="15"/>
      <c r="C2345" s="15"/>
      <c r="D2345" s="15"/>
      <c r="E2345" s="15"/>
      <c r="F2345" s="15"/>
      <c r="G2345" s="15"/>
      <c r="H2345" s="15"/>
      <c r="I2345" s="942"/>
      <c r="J2345" s="15"/>
      <c r="K2345" s="15"/>
      <c r="L2345" s="15"/>
      <c r="M2345" s="15"/>
      <c r="N2345" s="15"/>
      <c r="O2345" s="19"/>
      <c r="P2345" s="343"/>
      <c r="Q2345" s="343"/>
      <c r="R2345" s="343"/>
      <c r="S2345" s="343"/>
      <c r="T2345" s="7"/>
      <c r="U2345" s="349"/>
      <c r="V2345" s="349"/>
    </row>
    <row r="2346" spans="1:22" s="534" customFormat="1" ht="5.15" customHeight="1" x14ac:dyDescent="0.25">
      <c r="A2346" s="343"/>
      <c r="B2346" s="15"/>
      <c r="C2346" s="15"/>
      <c r="D2346" s="961"/>
      <c r="E2346" s="962"/>
      <c r="F2346" s="962"/>
      <c r="G2346" s="962"/>
      <c r="H2346" s="962"/>
      <c r="I2346" s="963"/>
      <c r="J2346" s="962"/>
      <c r="K2346" s="962"/>
      <c r="L2346" s="962"/>
      <c r="M2346" s="962"/>
      <c r="N2346" s="964"/>
      <c r="O2346" s="19"/>
      <c r="P2346" s="343"/>
      <c r="Q2346" s="343"/>
      <c r="R2346" s="343"/>
      <c r="S2346" s="343"/>
      <c r="T2346" s="7"/>
      <c r="U2346" s="349"/>
      <c r="V2346" s="349"/>
    </row>
    <row r="2347" spans="1:22" s="534" customFormat="1" ht="13" x14ac:dyDescent="0.25">
      <c r="A2347" s="343"/>
      <c r="B2347" s="15"/>
      <c r="C2347" s="15"/>
      <c r="D2347" s="965"/>
      <c r="E2347" s="39" t="str">
        <f>Translations!$B$1586</f>
        <v>Faktiska använda värden</v>
      </c>
      <c r="F2347" s="15"/>
      <c r="G2347" s="15"/>
      <c r="H2347" s="30" t="str">
        <f>EUconst_Unit</f>
        <v>Enhet</v>
      </c>
      <c r="I2347" s="1613" t="str">
        <f>Translations!$B$1510</f>
        <v>Basvärde</v>
      </c>
      <c r="J2347" s="1065">
        <f>J$2596</f>
        <v>2021</v>
      </c>
      <c r="K2347" s="350">
        <f>K$2596</f>
        <v>2022</v>
      </c>
      <c r="L2347" s="350">
        <f>L$2596</f>
        <v>2023</v>
      </c>
      <c r="M2347" s="350">
        <f>M$2596</f>
        <v>2024</v>
      </c>
      <c r="N2347" s="966">
        <f>N$2596</f>
        <v>2025</v>
      </c>
      <c r="O2347" s="19"/>
      <c r="P2347" s="343"/>
      <c r="Q2347" s="343"/>
      <c r="R2347" s="343"/>
      <c r="S2347" s="297" t="s">
        <v>1846</v>
      </c>
      <c r="T2347" s="7"/>
      <c r="U2347" s="349"/>
      <c r="V2347" s="349"/>
    </row>
    <row r="2348" spans="1:22" s="534" customFormat="1" x14ac:dyDescent="0.25">
      <c r="A2348" s="343"/>
      <c r="B2348" s="15"/>
      <c r="C2348" s="15"/>
      <c r="D2348" s="965"/>
      <c r="E2348" s="514" t="str">
        <f>Translations!$B$1593</f>
        <v>Använd verksamhetsnivå</v>
      </c>
      <c r="F2348" s="514"/>
      <c r="G2348" s="514"/>
      <c r="H2348" s="917" t="str">
        <f>F2317</f>
        <v>TJ</v>
      </c>
      <c r="I2348" s="1411" t="str">
        <f>IF($M2311&lt;&gt;EUconst_Relevant,"",IF(T2349&gt;=$H$2595,0,S2348))</f>
        <v/>
      </c>
      <c r="J2348" s="1408" t="str">
        <f>INDEX('G_Fall-back'!J:J,MATCH($P2348,'G_Fall-back'!$Q:$Q,0))</f>
        <v/>
      </c>
      <c r="K2348" s="1410" t="str">
        <f>INDEX('G_Fall-back'!K:K,MATCH($P2348,'G_Fall-back'!$Q:$Q,0))</f>
        <v/>
      </c>
      <c r="L2348" s="1410" t="str">
        <f>INDEX('G_Fall-back'!L:L,MATCH($P2348,'G_Fall-back'!$Q:$Q,0))</f>
        <v/>
      </c>
      <c r="M2348" s="1410" t="str">
        <f>INDEX('G_Fall-back'!M:M,MATCH($P2348,'G_Fall-back'!$Q:$Q,0))</f>
        <v/>
      </c>
      <c r="N2348" s="1412" t="str">
        <f>INDEX('G_Fall-back'!N:N,MATCH($P2348,'G_Fall-back'!$Q:$Q,0))</f>
        <v/>
      </c>
      <c r="O2348" s="19"/>
      <c r="P2348" s="165" t="str">
        <f>EUconst_CNTR_HALfinal&amp;I2311</f>
        <v>HALfinal_Delanläggning med bränsleriktmärke, KL</v>
      </c>
      <c r="Q2348" s="343"/>
      <c r="R2348" s="343"/>
      <c r="S2348" s="1696" t="str">
        <f>IF($M2311&lt;&gt;EUconst_Relevant,"",SUMIF('G_Fall-back'!$Q:$Q,$P2348,'G_Fall-back'!I:I))</f>
        <v/>
      </c>
      <c r="T2348" s="7"/>
      <c r="U2348" s="349"/>
      <c r="V2348" s="355" t="e">
        <f ca="1">AND(COUNTIF(OFFSET(I2342,,,,MAX(1,CNTR_ReportingYear-$I$2596)),TRUE)&gt;0,
INDEX(J2342:N2342,MAX(1,CNTR_ReportingYear-$I$2596)))</f>
        <v>#REF!</v>
      </c>
    </row>
    <row r="2349" spans="1:22" s="534" customFormat="1" x14ac:dyDescent="0.25">
      <c r="A2349" s="343"/>
      <c r="B2349" s="15"/>
      <c r="C2349" s="15"/>
      <c r="D2349" s="965"/>
      <c r="E2349" s="514" t="str">
        <f>Translations!$B$956</f>
        <v>Preliminär tilldelning</v>
      </c>
      <c r="F2349" s="514"/>
      <c r="G2349" s="514"/>
      <c r="H2349" s="129" t="str">
        <f>EUconst_EUA</f>
        <v>EUA</v>
      </c>
      <c r="I2349" s="1634" t="str">
        <f>IF($M2311&lt;&gt;EUconst_Relevant,"",MAX(0,ROUND((SUM($M2314)*SUM(I2348))*IF($H2314=TRUE,1,J$2517),0)))</f>
        <v/>
      </c>
      <c r="J2349" s="1131" t="str">
        <f>IF($M2311&lt;&gt;EUconst_Relevant,"",MAX(0,ROUND((SUM($M2314)*SUM(J2348))*IF($H2314=TRUE,1,J$2517),0)))</f>
        <v/>
      </c>
      <c r="K2349" s="421" t="str">
        <f>IF($M2311&lt;&gt;EUconst_Relevant,"",MAX(0,ROUND((SUM($M2314)*SUM(K2348))*IF($H2314=TRUE,1,K$2517),0)))</f>
        <v/>
      </c>
      <c r="L2349" s="421" t="str">
        <f>IF($M2311&lt;&gt;EUconst_Relevant,"",MAX(0,ROUND((SUM($M2314)*SUM(L2348))*IF($H2314=TRUE,1,L$2517),0)))</f>
        <v/>
      </c>
      <c r="M2349" s="421" t="str">
        <f>IF($M2311&lt;&gt;EUconst_Relevant,"",MAX(0,ROUND((SUM($M2314)*SUM(M2348))*IF($H2314=TRUE,1,M$2517),0)))</f>
        <v/>
      </c>
      <c r="N2349" s="967" t="str">
        <f>IF($M2311&lt;&gt;EUconst_Relevant,"",MAX(0,ROUND((SUM($M2314)*SUM(N2348))*IF($H2314=TRUE,1,N$2517),0)))</f>
        <v/>
      </c>
      <c r="O2349" s="19"/>
      <c r="P2349" s="165" t="str">
        <f>EUconst_AllocPrelim&amp;I2311</f>
        <v>AllocPrelim_Delanläggning med bränsleriktmärke, KL</v>
      </c>
      <c r="Q2349" s="343"/>
      <c r="R2349" s="343"/>
      <c r="S2349" s="343"/>
      <c r="T2349" s="663">
        <f>INDEX('G_Fall-back'!V:V,MATCH(L2314,'G_Fall-back'!C:C,0))</f>
        <v>2005</v>
      </c>
      <c r="U2349" s="603" t="e">
        <f>OR(INDEX(I2349:N2349,CNTR_ReportingYear-$I$2596)&lt;&gt;INDEX(I2349:N2349,CNTR_ReportingYear-$H$2596),
(CNTR_ReportingYear-T2349)&lt;=1)</f>
        <v>#REF!</v>
      </c>
      <c r="V2349" s="355" t="b">
        <f ca="1">IF(I2349="",FALSE,COUNTIF(OFFSET(I2349,,,,MAX(1,CNTR_ReportingYear-$I$2596)),"&lt;&gt;" &amp; INDEX(I2349:N2349,CNTR_ReportingYear-$H$2596))&gt;0)</f>
        <v>0</v>
      </c>
    </row>
    <row r="2350" spans="1:22" s="534" customFormat="1" ht="5.15" customHeight="1" thickBot="1" x14ac:dyDescent="0.3">
      <c r="A2350" s="343"/>
      <c r="B2350" s="15"/>
      <c r="C2350" s="15"/>
      <c r="D2350" s="972"/>
      <c r="E2350" s="973"/>
      <c r="F2350" s="973"/>
      <c r="G2350" s="973"/>
      <c r="H2350" s="973"/>
      <c r="I2350" s="973"/>
      <c r="J2350" s="973"/>
      <c r="K2350" s="973"/>
      <c r="L2350" s="973"/>
      <c r="M2350" s="973"/>
      <c r="N2350" s="974"/>
      <c r="O2350" s="19"/>
      <c r="P2350" s="343"/>
      <c r="Q2350" s="343"/>
      <c r="R2350" s="343"/>
      <c r="S2350" s="343"/>
      <c r="T2350" s="7"/>
      <c r="U2350" s="349"/>
      <c r="V2350" s="349"/>
    </row>
    <row r="2351" spans="1:22" s="534" customFormat="1" ht="5.15" customHeight="1" thickBot="1" x14ac:dyDescent="0.3">
      <c r="A2351" s="343"/>
      <c r="B2351" s="15"/>
      <c r="C2351" s="15"/>
      <c r="D2351" s="15"/>
      <c r="E2351" s="15"/>
      <c r="F2351" s="15"/>
      <c r="G2351" s="15"/>
      <c r="M2351" s="15"/>
      <c r="N2351" s="15"/>
      <c r="O2351" s="19"/>
      <c r="P2351" s="343"/>
      <c r="Q2351" s="343"/>
      <c r="R2351" s="343"/>
      <c r="S2351" s="343"/>
      <c r="T2351" s="343"/>
      <c r="U2351" s="349"/>
      <c r="V2351" s="349"/>
    </row>
    <row r="2352" spans="1:22" s="534" customFormat="1" ht="5.15" customHeight="1" x14ac:dyDescent="0.25">
      <c r="A2352" s="343"/>
      <c r="B2352" s="15"/>
      <c r="C2352" s="15"/>
      <c r="D2352" s="1719"/>
      <c r="E2352" s="1453"/>
      <c r="F2352" s="777"/>
      <c r="G2352" s="777"/>
      <c r="H2352" s="777"/>
      <c r="I2352" s="777"/>
      <c r="J2352" s="777"/>
      <c r="K2352" s="777"/>
      <c r="L2352" s="777"/>
      <c r="M2352" s="777"/>
      <c r="N2352" s="778"/>
      <c r="O2352" s="19"/>
      <c r="P2352" s="343"/>
      <c r="Q2352" s="343"/>
      <c r="R2352" s="343"/>
      <c r="S2352" s="343"/>
      <c r="T2352" s="343"/>
      <c r="U2352" s="349"/>
      <c r="V2352" s="349"/>
    </row>
    <row r="2353" spans="1:22" s="534" customFormat="1" ht="13.5" thickBot="1" x14ac:dyDescent="0.3">
      <c r="A2353" s="343"/>
      <c r="B2353" s="15"/>
      <c r="C2353" s="15"/>
      <c r="D2353" s="1720"/>
      <c r="E2353" s="416"/>
      <c r="F2353" s="1718"/>
      <c r="G2353" s="415" t="str">
        <f>EUconst_Unit</f>
        <v>Enhet</v>
      </c>
      <c r="H2353" s="743">
        <f t="shared" ref="H2353:N2353" si="428">H$2596</f>
        <v>2019</v>
      </c>
      <c r="I2353" s="743">
        <f t="shared" si="428"/>
        <v>2020</v>
      </c>
      <c r="J2353" s="743">
        <f t="shared" si="428"/>
        <v>2021</v>
      </c>
      <c r="K2353" s="625">
        <f t="shared" si="428"/>
        <v>2022</v>
      </c>
      <c r="L2353" s="625">
        <f t="shared" si="428"/>
        <v>2023</v>
      </c>
      <c r="M2353" s="625">
        <f t="shared" si="428"/>
        <v>2024</v>
      </c>
      <c r="N2353" s="625">
        <f t="shared" si="428"/>
        <v>2025</v>
      </c>
      <c r="O2353" s="19"/>
      <c r="P2353" s="343"/>
      <c r="Q2353" s="343"/>
      <c r="R2353" s="343"/>
      <c r="S2353" s="343"/>
      <c r="T2353" s="343"/>
      <c r="U2353" s="349"/>
      <c r="V2353" s="349"/>
    </row>
    <row r="2354" spans="1:22" s="534" customFormat="1" ht="13.5" customHeight="1" thickBot="1" x14ac:dyDescent="0.3">
      <c r="A2354" s="343"/>
      <c r="B2354" s="15"/>
      <c r="C2354" s="15"/>
      <c r="D2354" s="1720"/>
      <c r="E2354" s="1773" t="str">
        <f>Translations!$B$1056</f>
        <v>Totala tillskrivna utsläpp</v>
      </c>
      <c r="F2354" s="1773"/>
      <c r="G2354" s="710" t="str">
        <f>EUconst_tCO2epa</f>
        <v>t CO2e/år</v>
      </c>
      <c r="H2354" s="735" t="str">
        <f t="shared" ref="H2354:N2354" si="429">INDEX(H$92:H$108,MATCH($I2311,$E$92:$E$108,0))</f>
        <v/>
      </c>
      <c r="I2354" s="737" t="str">
        <f t="shared" si="429"/>
        <v/>
      </c>
      <c r="J2354" s="735" t="str">
        <f t="shared" si="429"/>
        <v/>
      </c>
      <c r="K2354" s="736" t="str">
        <f t="shared" si="429"/>
        <v/>
      </c>
      <c r="L2354" s="736" t="str">
        <f t="shared" si="429"/>
        <v/>
      </c>
      <c r="M2354" s="736" t="str">
        <f t="shared" si="429"/>
        <v/>
      </c>
      <c r="N2354" s="737" t="str">
        <f t="shared" si="429"/>
        <v/>
      </c>
      <c r="O2354" s="19"/>
      <c r="P2354" s="343"/>
      <c r="Q2354" s="343"/>
      <c r="R2354" s="343"/>
      <c r="S2354" s="343"/>
      <c r="T2354" s="7"/>
      <c r="U2354" s="349"/>
      <c r="V2354" s="349"/>
    </row>
    <row r="2355" spans="1:22" s="534" customFormat="1" ht="5.15" customHeight="1" x14ac:dyDescent="0.25">
      <c r="A2355" s="343"/>
      <c r="B2355" s="15"/>
      <c r="C2355" s="15"/>
      <c r="D2355" s="1720"/>
      <c r="E2355" s="416"/>
      <c r="F2355" s="416"/>
      <c r="G2355" s="416"/>
      <c r="H2355" s="738"/>
      <c r="I2355" s="738"/>
      <c r="J2355" s="738"/>
      <c r="K2355" s="738"/>
      <c r="L2355" s="738"/>
      <c r="M2355" s="738"/>
      <c r="N2355" s="738"/>
      <c r="O2355" s="19"/>
      <c r="P2355" s="343"/>
      <c r="Q2355" s="343"/>
      <c r="R2355" s="343"/>
      <c r="S2355" s="343"/>
      <c r="T2355" s="7"/>
      <c r="U2355" s="349"/>
      <c r="V2355" s="349"/>
    </row>
    <row r="2356" spans="1:22" s="534" customFormat="1" x14ac:dyDescent="0.25">
      <c r="A2356" s="343"/>
      <c r="B2356" s="15"/>
      <c r="C2356" s="15"/>
      <c r="D2356" s="1720"/>
      <c r="E2356" s="1775" t="str">
        <f>Translations!$B$571</f>
        <v>Insatsbränsle</v>
      </c>
      <c r="F2356" s="1703"/>
      <c r="G2356" s="365" t="str">
        <f>EUconst_TJpa</f>
        <v>TJ / år</v>
      </c>
      <c r="H2356" s="739" t="str">
        <f>IF($M2311&lt;&gt;EUconst_Relevant,"",IF(INDEX('G_Fall-back'!H:H,MATCH($P2356,'G_Fall-back'!$Q:$Q,0))="","",INDEX('G_Fall-back'!H:H,MATCH($P2356,'G_Fall-back'!$Q:$Q,0))))</f>
        <v/>
      </c>
      <c r="I2356" s="1153" t="str">
        <f>IF($M2311&lt;&gt;EUconst_Relevant,"",IF(INDEX('G_Fall-back'!I:I,MATCH($P2356,'G_Fall-back'!$Q:$Q,0))="","",INDEX('G_Fall-back'!I:I,MATCH($P2356,'G_Fall-back'!$Q:$Q,0))))</f>
        <v/>
      </c>
      <c r="J2356" s="1159" t="str">
        <f>IF($M2311&lt;&gt;EUconst_Relevant,"",IF(INDEX('G_Fall-back'!J:J,MATCH($P2356,'G_Fall-back'!$Q:$Q,0))="","",INDEX('G_Fall-back'!J:J,MATCH($P2356,'G_Fall-back'!$Q:$Q,0))))</f>
        <v/>
      </c>
      <c r="K2356" s="739" t="str">
        <f>IF($M2311&lt;&gt;EUconst_Relevant,"",IF(INDEX('G_Fall-back'!K:K,MATCH($P2356,'G_Fall-back'!$Q:$Q,0))="","",INDEX('G_Fall-back'!K:K,MATCH($P2356,'G_Fall-back'!$Q:$Q,0))))</f>
        <v/>
      </c>
      <c r="L2356" s="739" t="str">
        <f>IF($M2311&lt;&gt;EUconst_Relevant,"",IF(INDEX('G_Fall-back'!L:L,MATCH($P2356,'G_Fall-back'!$Q:$Q,0))="","",INDEX('G_Fall-back'!L:L,MATCH($P2356,'G_Fall-back'!$Q:$Q,0))))</f>
        <v/>
      </c>
      <c r="M2356" s="739" t="str">
        <f>IF($M2311&lt;&gt;EUconst_Relevant,"",IF(INDEX('G_Fall-back'!M:M,MATCH($P2356,'G_Fall-back'!$Q:$Q,0))="","",INDEX('G_Fall-back'!M:M,MATCH($P2356,'G_Fall-back'!$Q:$Q,0))))</f>
        <v/>
      </c>
      <c r="N2356" s="739" t="str">
        <f>IF($M2311&lt;&gt;EUconst_Relevant,"",IF(INDEX('G_Fall-back'!N:N,MATCH($P2356,'G_Fall-back'!$Q:$Q,0))="","",INDEX('G_Fall-back'!N:N,MATCH($P2356,'G_Fall-back'!$Q:$Q,0))))</f>
        <v/>
      </c>
      <c r="O2356" s="19"/>
      <c r="P2356" s="622" t="str">
        <f>EUconst_CNTR_FuelInput &amp; I2311</f>
        <v>FuelInput_Delanläggning med bränsleriktmärke, KL</v>
      </c>
      <c r="Q2356" s="343"/>
      <c r="R2356" s="343"/>
      <c r="S2356" s="343"/>
      <c r="T2356" s="343"/>
      <c r="U2356" s="349"/>
      <c r="V2356" s="349"/>
    </row>
    <row r="2357" spans="1:22" s="534" customFormat="1" ht="12.75" customHeight="1" x14ac:dyDescent="0.25">
      <c r="A2357" s="343"/>
      <c r="B2357" s="15"/>
      <c r="C2357" s="15"/>
      <c r="D2357" s="1720"/>
      <c r="E2357" s="1776" t="str">
        <f>Translations!$B$572</f>
        <v>Viktad emissionsfaktor</v>
      </c>
      <c r="F2357" s="1702"/>
      <c r="G2357" s="384" t="str">
        <f>EUconst_tCO2pTJ</f>
        <v>t CO2 / TJ</v>
      </c>
      <c r="H2357" s="740" t="str">
        <f>IF($M2311&lt;&gt;EUconst_Relevant,"",IF(INDEX('G_Fall-back'!H:H,MATCH($P2357,'G_Fall-back'!$Q:$Q,0))="","",INDEX('G_Fall-back'!H:H,MATCH($P2357,'G_Fall-back'!$Q:$Q,0))))</f>
        <v/>
      </c>
      <c r="I2357" s="1154" t="str">
        <f>IF($M2311&lt;&gt;EUconst_Relevant,"",IF(INDEX('G_Fall-back'!I:I,MATCH($P2357,'G_Fall-back'!$Q:$Q,0))="","",INDEX('G_Fall-back'!I:I,MATCH($P2357,'G_Fall-back'!$Q:$Q,0))))</f>
        <v/>
      </c>
      <c r="J2357" s="1160" t="str">
        <f>IF($M2311&lt;&gt;EUconst_Relevant,"",IF(INDEX('G_Fall-back'!J:J,MATCH($P2357,'G_Fall-back'!$Q:$Q,0))="","",INDEX('G_Fall-back'!J:J,MATCH($P2357,'G_Fall-back'!$Q:$Q,0))))</f>
        <v/>
      </c>
      <c r="K2357" s="740" t="str">
        <f>IF($M2311&lt;&gt;EUconst_Relevant,"",IF(INDEX('G_Fall-back'!K:K,MATCH($P2357,'G_Fall-back'!$Q:$Q,0))="","",INDEX('G_Fall-back'!K:K,MATCH($P2357,'G_Fall-back'!$Q:$Q,0))))</f>
        <v/>
      </c>
      <c r="L2357" s="740" t="str">
        <f>IF($M2311&lt;&gt;EUconst_Relevant,"",IF(INDEX('G_Fall-back'!L:L,MATCH($P2357,'G_Fall-back'!$Q:$Q,0))="","",INDEX('G_Fall-back'!L:L,MATCH($P2357,'G_Fall-back'!$Q:$Q,0))))</f>
        <v/>
      </c>
      <c r="M2357" s="740" t="str">
        <f>IF($M2311&lt;&gt;EUconst_Relevant,"",IF(INDEX('G_Fall-back'!M:M,MATCH($P2357,'G_Fall-back'!$Q:$Q,0))="","",INDEX('G_Fall-back'!M:M,MATCH($P2357,'G_Fall-back'!$Q:$Q,0))))</f>
        <v/>
      </c>
      <c r="N2357" s="740" t="str">
        <f>IF($M2311&lt;&gt;EUconst_Relevant,"",IF(INDEX('G_Fall-back'!N:N,MATCH($P2357,'G_Fall-back'!$Q:$Q,0))="","",INDEX('G_Fall-back'!N:N,MATCH($P2357,'G_Fall-back'!$Q:$Q,0))))</f>
        <v/>
      </c>
      <c r="O2357" s="19"/>
      <c r="P2357" s="298" t="str">
        <f>EUconst_CNTR_FuelEF &amp; I2311</f>
        <v>FuelEF_Delanläggning med bränsleriktmärke, KL</v>
      </c>
      <c r="Q2357" s="343"/>
      <c r="R2357" s="343"/>
      <c r="S2357" s="343"/>
      <c r="T2357" s="343"/>
      <c r="U2357" s="349"/>
      <c r="V2357" s="349"/>
    </row>
    <row r="2358" spans="1:22" s="534" customFormat="1" ht="12.75" customHeight="1" x14ac:dyDescent="0.25">
      <c r="A2358" s="343"/>
      <c r="B2358" s="15"/>
      <c r="C2358" s="15"/>
      <c r="D2358" s="1720"/>
      <c r="E2358" s="1775" t="str">
        <f>Translations!$B$688</f>
        <v>Insatsbränsle från restgaser</v>
      </c>
      <c r="F2358" s="1703"/>
      <c r="G2358" s="365" t="str">
        <f>EUconst_TJpa</f>
        <v>TJ / år</v>
      </c>
      <c r="H2358" s="739" t="str">
        <f>IF($M2311&lt;&gt;EUconst_Relevant,"",IF(INDEX('G_Fall-back'!H:H,MATCH($P2358,'G_Fall-back'!$Q:$Q,0))="","",INDEX('G_Fall-back'!H:H,MATCH($P2358,'G_Fall-back'!$Q:$Q,0))))</f>
        <v/>
      </c>
      <c r="I2358" s="1153" t="str">
        <f>IF($M2311&lt;&gt;EUconst_Relevant,"",IF(INDEX('G_Fall-back'!I:I,MATCH($P2358,'G_Fall-back'!$Q:$Q,0))="","",INDEX('G_Fall-back'!I:I,MATCH($P2358,'G_Fall-back'!$Q:$Q,0))))</f>
        <v/>
      </c>
      <c r="J2358" s="1159" t="str">
        <f>IF($M2311&lt;&gt;EUconst_Relevant,"",IF(INDEX('G_Fall-back'!J:J,MATCH($P2358,'G_Fall-back'!$Q:$Q,0))="","",INDEX('G_Fall-back'!J:J,MATCH($P2358,'G_Fall-back'!$Q:$Q,0))))</f>
        <v/>
      </c>
      <c r="K2358" s="739" t="str">
        <f>IF($M2311&lt;&gt;EUconst_Relevant,"",IF(INDEX('G_Fall-back'!K:K,MATCH($P2358,'G_Fall-back'!$Q:$Q,0))="","",INDEX('G_Fall-back'!K:K,MATCH($P2358,'G_Fall-back'!$Q:$Q,0))))</f>
        <v/>
      </c>
      <c r="L2358" s="739" t="str">
        <f>IF($M2311&lt;&gt;EUconst_Relevant,"",IF(INDEX('G_Fall-back'!L:L,MATCH($P2358,'G_Fall-back'!$Q:$Q,0))="","",INDEX('G_Fall-back'!L:L,MATCH($P2358,'G_Fall-back'!$Q:$Q,0))))</f>
        <v/>
      </c>
      <c r="M2358" s="739" t="str">
        <f>IF($M2311&lt;&gt;EUconst_Relevant,"",IF(INDEX('G_Fall-back'!M:M,MATCH($P2358,'G_Fall-back'!$Q:$Q,0))="","",INDEX('G_Fall-back'!M:M,MATCH($P2358,'G_Fall-back'!$Q:$Q,0))))</f>
        <v/>
      </c>
      <c r="N2358" s="739" t="str">
        <f>IF($M2311&lt;&gt;EUconst_Relevant,"",IF(INDEX('G_Fall-back'!N:N,MATCH($P2358,'G_Fall-back'!$Q:$Q,0))="","",INDEX('G_Fall-back'!N:N,MATCH($P2358,'G_Fall-back'!$Q:$Q,0))))</f>
        <v/>
      </c>
      <c r="O2358" s="19"/>
      <c r="P2358" s="355" t="str">
        <f>EUconst_CNTR_WGConsumed &amp; I2311</f>
        <v>WasteGasCons_Delanläggning med bränsleriktmärke, KL</v>
      </c>
      <c r="Q2358" s="343"/>
      <c r="R2358" s="343"/>
      <c r="S2358" s="343"/>
      <c r="T2358" s="343"/>
      <c r="U2358" s="349"/>
      <c r="V2358" s="349"/>
    </row>
    <row r="2359" spans="1:22" s="534" customFormat="1" ht="12.75" customHeight="1" x14ac:dyDescent="0.25">
      <c r="A2359" s="343"/>
      <c r="B2359" s="15"/>
      <c r="C2359" s="15"/>
      <c r="D2359" s="1720"/>
      <c r="E2359" s="1776" t="str">
        <f>Translations!$B$572</f>
        <v>Viktad emissionsfaktor</v>
      </c>
      <c r="F2359" s="1702"/>
      <c r="G2359" s="384" t="str">
        <f>EUconst_tCO2pTJ</f>
        <v>t CO2 / TJ</v>
      </c>
      <c r="H2359" s="740" t="str">
        <f>IF($M2311&lt;&gt;EUconst_Relevant,"",IF(INDEX('G_Fall-back'!H:H,MATCH($P2359,'G_Fall-back'!$Q:$Q,0))="","",INDEX('G_Fall-back'!H:H,MATCH($P2359,'G_Fall-back'!$Q:$Q,0))))</f>
        <v/>
      </c>
      <c r="I2359" s="1154" t="str">
        <f>IF($M2311&lt;&gt;EUconst_Relevant,"",IF(INDEX('G_Fall-back'!I:I,MATCH($P2359,'G_Fall-back'!$Q:$Q,0))="","",INDEX('G_Fall-back'!I:I,MATCH($P2359,'G_Fall-back'!$Q:$Q,0))))</f>
        <v/>
      </c>
      <c r="J2359" s="1160" t="str">
        <f>IF($M2311&lt;&gt;EUconst_Relevant,"",IF(INDEX('G_Fall-back'!J:J,MATCH($P2359,'G_Fall-back'!$Q:$Q,0))="","",INDEX('G_Fall-back'!J:J,MATCH($P2359,'G_Fall-back'!$Q:$Q,0))))</f>
        <v/>
      </c>
      <c r="K2359" s="740" t="str">
        <f>IF($M2311&lt;&gt;EUconst_Relevant,"",IF(INDEX('G_Fall-back'!K:K,MATCH($P2359,'G_Fall-back'!$Q:$Q,0))="","",INDEX('G_Fall-back'!K:K,MATCH($P2359,'G_Fall-back'!$Q:$Q,0))))</f>
        <v/>
      </c>
      <c r="L2359" s="740" t="str">
        <f>IF($M2311&lt;&gt;EUconst_Relevant,"",IF(INDEX('G_Fall-back'!L:L,MATCH($P2359,'G_Fall-back'!$Q:$Q,0))="","",INDEX('G_Fall-back'!L:L,MATCH($P2359,'G_Fall-back'!$Q:$Q,0))))</f>
        <v/>
      </c>
      <c r="M2359" s="740" t="str">
        <f>IF($M2311&lt;&gt;EUconst_Relevant,"",IF(INDEX('G_Fall-back'!M:M,MATCH($P2359,'G_Fall-back'!$Q:$Q,0))="","",INDEX('G_Fall-back'!M:M,MATCH($P2359,'G_Fall-back'!$Q:$Q,0))))</f>
        <v/>
      </c>
      <c r="N2359" s="740" t="str">
        <f>IF($M2311&lt;&gt;EUconst_Relevant,"",IF(INDEX('G_Fall-back'!N:N,MATCH($P2359,'G_Fall-back'!$Q:$Q,0))="","",INDEX('G_Fall-back'!N:N,MATCH($P2359,'G_Fall-back'!$Q:$Q,0))))</f>
        <v/>
      </c>
      <c r="O2359" s="19"/>
      <c r="P2359" s="298" t="str">
        <f>EUconst_CNTR_WGConsumedEF &amp; I2311</f>
        <v>WasteGasConsEF_Delanläggning med bränsleriktmärke, KL</v>
      </c>
      <c r="Q2359" s="343"/>
      <c r="R2359" s="343"/>
      <c r="S2359" s="343"/>
      <c r="T2359" s="343"/>
      <c r="U2359" s="349"/>
      <c r="V2359" s="349"/>
    </row>
    <row r="2360" spans="1:22" s="534" customFormat="1" ht="5.15" customHeight="1" x14ac:dyDescent="0.25">
      <c r="A2360" s="343"/>
      <c r="B2360" s="15"/>
      <c r="C2360" s="15"/>
      <c r="D2360" s="1720"/>
      <c r="E2360" s="416"/>
      <c r="F2360" s="623"/>
      <c r="G2360" s="623"/>
      <c r="H2360" s="741"/>
      <c r="I2360" s="741"/>
      <c r="J2360" s="741"/>
      <c r="K2360" s="741"/>
      <c r="L2360" s="741"/>
      <c r="M2360" s="741"/>
      <c r="N2360" s="741"/>
      <c r="O2360" s="19"/>
      <c r="P2360" s="343"/>
      <c r="Q2360" s="343"/>
      <c r="R2360" s="343"/>
      <c r="S2360" s="343"/>
      <c r="T2360" s="343"/>
      <c r="U2360" s="349"/>
      <c r="V2360" s="349"/>
    </row>
    <row r="2361" spans="1:22" s="534" customFormat="1" x14ac:dyDescent="0.25">
      <c r="A2361" s="343"/>
      <c r="B2361" s="15"/>
      <c r="C2361" s="15"/>
      <c r="D2361" s="1720"/>
      <c r="E2361" s="1774" t="str">
        <f>Translations!$B$528</f>
        <v>Direkta utsläpp</v>
      </c>
      <c r="F2361" s="1715"/>
      <c r="G2361" s="364" t="str">
        <f>EUconst_tCO2pa</f>
        <v>t CO2 / år</v>
      </c>
      <c r="H2361" s="742" t="str">
        <f>IF($M2311&lt;&gt;EUconst_Relevant,"",IF(INDEX('G_Fall-back'!H:H,MATCH($P2361,'G_Fall-back'!$Q:$Q,0))="","",INDEX('G_Fall-back'!H:H,MATCH($P2361,'G_Fall-back'!$Q:$Q,0))))</f>
        <v/>
      </c>
      <c r="I2361" s="1021" t="str">
        <f>IF($M2311&lt;&gt;EUconst_Relevant,"",IF(INDEX('G_Fall-back'!I:I,MATCH($P2361,'G_Fall-back'!$Q:$Q,0))="","",INDEX('G_Fall-back'!I:I,MATCH($P2361,'G_Fall-back'!$Q:$Q,0))))</f>
        <v/>
      </c>
      <c r="J2361" s="1158" t="str">
        <f>IF($M2311&lt;&gt;EUconst_Relevant,"",IF(INDEX('G_Fall-back'!J:J,MATCH($P2361,'G_Fall-back'!$Q:$Q,0))="","",INDEX('G_Fall-back'!J:J,MATCH($P2361,'G_Fall-back'!$Q:$Q,0))))</f>
        <v/>
      </c>
      <c r="K2361" s="742" t="str">
        <f>IF($M2311&lt;&gt;EUconst_Relevant,"",IF(INDEX('G_Fall-back'!K:K,MATCH($P2361,'G_Fall-back'!$Q:$Q,0))="","",INDEX('G_Fall-back'!K:K,MATCH($P2361,'G_Fall-back'!$Q:$Q,0))))</f>
        <v/>
      </c>
      <c r="L2361" s="742" t="str">
        <f>IF($M2311&lt;&gt;EUconst_Relevant,"",IF(INDEX('G_Fall-back'!L:L,MATCH($P2361,'G_Fall-back'!$Q:$Q,0))="","",INDEX('G_Fall-back'!L:L,MATCH($P2361,'G_Fall-back'!$Q:$Q,0))))</f>
        <v/>
      </c>
      <c r="M2361" s="742" t="str">
        <f>IF($M2311&lt;&gt;EUconst_Relevant,"",IF(INDEX('G_Fall-back'!M:M,MATCH($P2361,'G_Fall-back'!$Q:$Q,0))="","",INDEX('G_Fall-back'!M:M,MATCH($P2361,'G_Fall-back'!$Q:$Q,0))))</f>
        <v/>
      </c>
      <c r="N2361" s="742" t="str">
        <f>IF($M2311&lt;&gt;EUconst_Relevant,"",IF(INDEX('G_Fall-back'!N:N,MATCH($P2361,'G_Fall-back'!$Q:$Q,0))="","",INDEX('G_Fall-back'!N:N,MATCH($P2361,'G_Fall-back'!$Q:$Q,0))))</f>
        <v/>
      </c>
      <c r="O2361" s="19"/>
      <c r="P2361" s="298" t="str">
        <f>EUconst_CNTR_Emissions &amp; I2311</f>
        <v>DirEmissions_Delanläggning med bränsleriktmärke, KL</v>
      </c>
      <c r="Q2361" s="343"/>
      <c r="R2361" s="343"/>
      <c r="S2361" s="343"/>
      <c r="T2361" s="343"/>
      <c r="U2361" s="349"/>
      <c r="V2361" s="349"/>
    </row>
    <row r="2362" spans="1:22" s="534" customFormat="1" ht="5.15" customHeight="1" x14ac:dyDescent="0.25">
      <c r="A2362" s="343"/>
      <c r="B2362" s="15"/>
      <c r="C2362" s="15"/>
      <c r="D2362" s="1720"/>
      <c r="E2362" s="416"/>
      <c r="F2362" s="416"/>
      <c r="G2362" s="416"/>
      <c r="H2362" s="741"/>
      <c r="I2362" s="741"/>
      <c r="J2362" s="741"/>
      <c r="K2362" s="741"/>
      <c r="L2362" s="741"/>
      <c r="M2362" s="741"/>
      <c r="N2362" s="741"/>
      <c r="O2362" s="19"/>
      <c r="P2362" s="343"/>
      <c r="Q2362" s="343"/>
      <c r="R2362" s="343"/>
      <c r="S2362" s="343"/>
      <c r="T2362" s="343"/>
      <c r="U2362" s="349"/>
      <c r="V2362" s="349"/>
    </row>
    <row r="2363" spans="1:22" s="534" customFormat="1" x14ac:dyDescent="0.25">
      <c r="A2363" s="343"/>
      <c r="B2363" s="15"/>
      <c r="C2363" s="15"/>
      <c r="D2363" s="1720"/>
      <c r="E2363" s="1774" t="str">
        <f>Translations!$B$610</f>
        <v>Nettomängd exporterad värme</v>
      </c>
      <c r="F2363" s="1715"/>
      <c r="G2363" s="364" t="str">
        <f>EUconst_TJpa</f>
        <v>TJ / år</v>
      </c>
      <c r="H2363" s="742" t="str">
        <f>IF($M2311&lt;&gt;EUconst_Relevant,"",IF(INDEX('G_Fall-back'!H:H,MATCH($P2363,'G_Fall-back'!$Q:$Q,0))="","",INDEX('G_Fall-back'!H:H,MATCH($P2363,'G_Fall-back'!$Q:$Q,0))))</f>
        <v/>
      </c>
      <c r="I2363" s="1021" t="str">
        <f>IF($M2311&lt;&gt;EUconst_Relevant,"",IF(INDEX('G_Fall-back'!I:I,MATCH($P2363,'G_Fall-back'!$Q:$Q,0))="","",INDEX('G_Fall-back'!I:I,MATCH($P2363,'G_Fall-back'!$Q:$Q,0))))</f>
        <v/>
      </c>
      <c r="J2363" s="1158" t="str">
        <f>IF($M2311&lt;&gt;EUconst_Relevant,"",IF(INDEX('G_Fall-back'!J:J,MATCH($P2363,'G_Fall-back'!$Q:$Q,0))="","",INDEX('G_Fall-back'!J:J,MATCH($P2363,'G_Fall-back'!$Q:$Q,0))))</f>
        <v/>
      </c>
      <c r="K2363" s="742" t="str">
        <f>IF($M2311&lt;&gt;EUconst_Relevant,"",IF(INDEX('G_Fall-back'!K:K,MATCH($P2363,'G_Fall-back'!$Q:$Q,0))="","",INDEX('G_Fall-back'!K:K,MATCH($P2363,'G_Fall-back'!$Q:$Q,0))))</f>
        <v/>
      </c>
      <c r="L2363" s="742" t="str">
        <f>IF($M2311&lt;&gt;EUconst_Relevant,"",IF(INDEX('G_Fall-back'!L:L,MATCH($P2363,'G_Fall-back'!$Q:$Q,0))="","",INDEX('G_Fall-back'!L:L,MATCH($P2363,'G_Fall-back'!$Q:$Q,0))))</f>
        <v/>
      </c>
      <c r="M2363" s="742" t="str">
        <f>IF($M2311&lt;&gt;EUconst_Relevant,"",IF(INDEX('G_Fall-back'!M:M,MATCH($P2363,'G_Fall-back'!$Q:$Q,0))="","",INDEX('G_Fall-back'!M:M,MATCH($P2363,'G_Fall-back'!$Q:$Q,0))))</f>
        <v/>
      </c>
      <c r="N2363" s="742" t="str">
        <f>IF($M2311&lt;&gt;EUconst_Relevant,"",IF(INDEX('G_Fall-back'!N:N,MATCH($P2363,'G_Fall-back'!$Q:$Q,0))="","",INDEX('G_Fall-back'!N:N,MATCH($P2363,'G_Fall-back'!$Q:$Q,0))))</f>
        <v/>
      </c>
      <c r="O2363" s="19"/>
      <c r="P2363" s="298" t="str">
        <f>EUconst_CNTR_HeatExport &amp; I2311</f>
        <v>HeatEx_Delanläggning med bränsleriktmärke, KL</v>
      </c>
      <c r="Q2363" s="343"/>
      <c r="R2363" s="343"/>
      <c r="S2363" s="343"/>
      <c r="T2363" s="343"/>
      <c r="U2363" s="349"/>
      <c r="V2363" s="349"/>
    </row>
    <row r="2364" spans="1:22" s="534" customFormat="1" ht="12.75" customHeight="1" x14ac:dyDescent="0.25">
      <c r="A2364" s="343"/>
      <c r="B2364" s="15"/>
      <c r="C2364" s="15"/>
      <c r="D2364" s="1720"/>
      <c r="E2364" s="1774" t="str">
        <f>Translations!$B$720</f>
        <v>Särskild emissionsfaktor (värmeexport)</v>
      </c>
      <c r="F2364" s="1715"/>
      <c r="G2364" s="364" t="str">
        <f>EUconst_TJpa</f>
        <v>TJ / år</v>
      </c>
      <c r="H2364" s="742" t="str">
        <f>IF($M2311&lt;&gt;EUconst_Relevant,"",IF(INDEX('G_Fall-back'!H:H,MATCH($P2364,'G_Fall-back'!$Q:$Q,0))="","",INDEX('G_Fall-back'!H:H,MATCH($P2364,'G_Fall-back'!$Q:$Q,0))))</f>
        <v/>
      </c>
      <c r="I2364" s="1021" t="str">
        <f>IF($M2311&lt;&gt;EUconst_Relevant,"",IF(INDEX('G_Fall-back'!I:I,MATCH($P2364,'G_Fall-back'!$Q:$Q,0))="","",INDEX('G_Fall-back'!I:I,MATCH($P2364,'G_Fall-back'!$Q:$Q,0))))</f>
        <v/>
      </c>
      <c r="J2364" s="1158" t="str">
        <f>IF($M2311&lt;&gt;EUconst_Relevant,"",IF(INDEX('G_Fall-back'!J:J,MATCH($P2364,'G_Fall-back'!$Q:$Q,0))="","",INDEX('G_Fall-back'!J:J,MATCH($P2364,'G_Fall-back'!$Q:$Q,0))))</f>
        <v/>
      </c>
      <c r="K2364" s="742" t="str">
        <f>IF($M2311&lt;&gt;EUconst_Relevant,"",IF(INDEX('G_Fall-back'!K:K,MATCH($P2364,'G_Fall-back'!$Q:$Q,0))="","",INDEX('G_Fall-back'!K:K,MATCH($P2364,'G_Fall-back'!$Q:$Q,0))))</f>
        <v/>
      </c>
      <c r="L2364" s="742" t="str">
        <f>IF($M2311&lt;&gt;EUconst_Relevant,"",IF(INDEX('G_Fall-back'!L:L,MATCH($P2364,'G_Fall-back'!$Q:$Q,0))="","",INDEX('G_Fall-back'!L:L,MATCH($P2364,'G_Fall-back'!$Q:$Q,0))))</f>
        <v/>
      </c>
      <c r="M2364" s="742" t="str">
        <f>IF($M2311&lt;&gt;EUconst_Relevant,"",IF(INDEX('G_Fall-back'!M:M,MATCH($P2364,'G_Fall-back'!$Q:$Q,0))="","",INDEX('G_Fall-back'!M:M,MATCH($P2364,'G_Fall-back'!$Q:$Q,0))))</f>
        <v/>
      </c>
      <c r="N2364" s="742" t="str">
        <f>IF($M2311&lt;&gt;EUconst_Relevant,"",IF(INDEX('G_Fall-back'!N:N,MATCH($P2364,'G_Fall-back'!$Q:$Q,0))="","",INDEX('G_Fall-back'!N:N,MATCH($P2364,'G_Fall-back'!$Q:$Q,0))))</f>
        <v/>
      </c>
      <c r="O2364" s="19"/>
      <c r="P2364" s="165" t="str">
        <f>EUconst_CNTR_HeatExportEF &amp; I2311</f>
        <v>HeatExEF_Delanläggning med bränsleriktmärke, KL</v>
      </c>
      <c r="Q2364" s="343"/>
      <c r="R2364" s="343"/>
      <c r="S2364" s="343"/>
      <c r="T2364" s="343"/>
      <c r="U2364" s="349"/>
      <c r="V2364" s="349"/>
    </row>
    <row r="2365" spans="1:22" s="534" customFormat="1" ht="5.15" customHeight="1" thickBot="1" x14ac:dyDescent="0.3">
      <c r="A2365" s="343"/>
      <c r="B2365" s="15"/>
      <c r="C2365" s="15"/>
      <c r="D2365" s="1721"/>
      <c r="E2365" s="783"/>
      <c r="F2365" s="783"/>
      <c r="G2365" s="783"/>
      <c r="H2365" s="783"/>
      <c r="I2365" s="783"/>
      <c r="J2365" s="783"/>
      <c r="K2365" s="783"/>
      <c r="L2365" s="783"/>
      <c r="M2365" s="783"/>
      <c r="N2365" s="784"/>
      <c r="O2365" s="19"/>
      <c r="P2365" s="343"/>
      <c r="Q2365" s="343"/>
      <c r="R2365" s="343"/>
      <c r="S2365" s="343"/>
      <c r="T2365" s="343"/>
      <c r="U2365" s="349"/>
      <c r="V2365" s="349"/>
    </row>
    <row r="2366" spans="1:22" s="534" customFormat="1" ht="5.15" customHeight="1" thickBot="1" x14ac:dyDescent="0.3">
      <c r="A2366" s="343"/>
      <c r="B2366" s="15"/>
      <c r="C2366" s="15"/>
      <c r="D2366" s="15"/>
      <c r="E2366" s="15"/>
      <c r="F2366" s="15"/>
      <c r="G2366" s="15"/>
      <c r="M2366" s="15"/>
      <c r="N2366" s="15"/>
      <c r="O2366" s="19"/>
      <c r="P2366" s="343"/>
      <c r="Q2366" s="343"/>
      <c r="R2366" s="343"/>
      <c r="S2366" s="343"/>
      <c r="T2366" s="343"/>
      <c r="U2366" s="349"/>
      <c r="V2366" s="349"/>
    </row>
    <row r="2367" spans="1:22" s="534" customFormat="1" ht="5.15" customHeight="1" thickBot="1" x14ac:dyDescent="0.3">
      <c r="A2367" s="343"/>
      <c r="B2367" s="3"/>
      <c r="C2367" s="230"/>
      <c r="D2367" s="230"/>
      <c r="E2367" s="230"/>
      <c r="F2367" s="230"/>
      <c r="G2367" s="230"/>
      <c r="H2367" s="230"/>
      <c r="I2367" s="230"/>
      <c r="J2367" s="230"/>
      <c r="K2367" s="230"/>
      <c r="L2367" s="230"/>
      <c r="M2367" s="230"/>
      <c r="N2367" s="230"/>
      <c r="O2367" s="19"/>
      <c r="P2367" s="343"/>
      <c r="Q2367" s="343"/>
      <c r="R2367" s="343"/>
      <c r="S2367" s="343"/>
      <c r="T2367" s="343"/>
      <c r="U2367" s="349"/>
      <c r="V2367" s="349"/>
    </row>
    <row r="2368" spans="1:22" s="534" customFormat="1" ht="15" customHeight="1" thickBot="1" x14ac:dyDescent="0.35">
      <c r="A2368" s="343"/>
      <c r="B2368" s="15"/>
      <c r="C2368" s="17">
        <f>C2311+1</f>
        <v>15</v>
      </c>
      <c r="D2368" s="2053" t="str">
        <f>CONCATENATE(EUconst_FBSubinst," ",C2368-10, ":")</f>
        <v>”Fall-back”-delanläggning 5:</v>
      </c>
      <c r="E2368" s="2053"/>
      <c r="F2368" s="2053"/>
      <c r="G2368" s="2053"/>
      <c r="H2368" s="2081"/>
      <c r="I2368" s="2082" t="str">
        <f>INDEX(EUconst_FallBackListNames,$C2368-10)</f>
        <v>Delanläggning med bränsleriktmärke, ej KL</v>
      </c>
      <c r="J2368" s="2083"/>
      <c r="K2368" s="2083"/>
      <c r="L2368" s="2084"/>
      <c r="M2368" s="2085" t="str">
        <f>IF(INDEX(CNTR_FallBackSubInstRelevant,C2368-10)="","",IF(INDEX(CNTR_FallBackSubInstRelevant,C2368-10),EUconst_Relevant,EUconst_NotRelevant))</f>
        <v/>
      </c>
      <c r="N2368" s="2086"/>
      <c r="O2368" s="19"/>
      <c r="P2368" s="343"/>
      <c r="Q2368" s="723">
        <f>C2368</f>
        <v>15</v>
      </c>
      <c r="R2368" s="722" t="str">
        <f>I2368</f>
        <v>Delanläggning med bränsleriktmärke, ej KL</v>
      </c>
      <c r="S2368" s="343"/>
      <c r="T2368" s="343"/>
      <c r="U2368" s="349"/>
      <c r="V2368" s="349"/>
    </row>
    <row r="2369" spans="1:22" s="534" customFormat="1" ht="5.15" customHeight="1" x14ac:dyDescent="0.3">
      <c r="A2369" s="343"/>
      <c r="B2369" s="15"/>
      <c r="C2369" s="17"/>
      <c r="D2369" s="17"/>
      <c r="E2369" s="17"/>
      <c r="F2369" s="17"/>
      <c r="G2369" s="17"/>
      <c r="H2369" s="17"/>
      <c r="I2369" s="17"/>
      <c r="J2369" s="17"/>
      <c r="K2369" s="17"/>
      <c r="L2369" s="17"/>
      <c r="M2369" s="17"/>
      <c r="N2369" s="17"/>
      <c r="O2369" s="19"/>
      <c r="P2369" s="343"/>
      <c r="Q2369" s="343"/>
      <c r="R2369" s="343"/>
      <c r="S2369" s="343"/>
      <c r="T2369" s="343"/>
      <c r="U2369" s="349"/>
      <c r="V2369" s="349"/>
    </row>
    <row r="2370" spans="1:22" s="534" customFormat="1" ht="12.75" customHeight="1" x14ac:dyDescent="0.3">
      <c r="A2370" s="343"/>
      <c r="B2370" s="15"/>
      <c r="C2370" s="17"/>
      <c r="D2370" s="17"/>
      <c r="E2370" s="17"/>
      <c r="F2370" s="17"/>
      <c r="H2370" s="506" t="str">
        <f>Translations!$B$1022</f>
        <v>KL-risk</v>
      </c>
      <c r="I2370" s="15"/>
      <c r="J2370" s="506" t="str">
        <f>Translations!$B$1026</f>
        <v>I drift</v>
      </c>
      <c r="K2370" s="506" t="str">
        <f>Translations!$B$1545</f>
        <v>Upphört</v>
      </c>
      <c r="L2370" s="952" t="str">
        <f>Translations!$B$1024</f>
        <v>RM-nummer</v>
      </c>
      <c r="M2370" s="2786" t="str">
        <f>Translations!$B$1028</f>
        <v>RM-värde</v>
      </c>
      <c r="N2370" s="2786"/>
      <c r="O2370" s="19"/>
      <c r="P2370" s="343"/>
      <c r="Q2370" s="343"/>
      <c r="R2370" s="343"/>
      <c r="S2370" s="343"/>
      <c r="T2370" s="343"/>
      <c r="U2370" s="349"/>
      <c r="V2370" s="349"/>
    </row>
    <row r="2371" spans="1:22" s="534" customFormat="1" ht="12.75" customHeight="1" x14ac:dyDescent="0.3">
      <c r="A2371" s="343"/>
      <c r="B2371" s="15"/>
      <c r="C2371" s="17"/>
      <c r="D2371" s="17"/>
      <c r="E2371" s="508" t="str">
        <f>I2368</f>
        <v>Delanläggning med bränsleriktmärke, ej KL</v>
      </c>
      <c r="F2371" s="509"/>
      <c r="G2371" s="509"/>
      <c r="H2371" s="510" t="b">
        <f>INDEX(EUconst_FallBackListCLstatus,MATCH(I2368,EUconst_FallBackListNames,0))</f>
        <v>0</v>
      </c>
      <c r="I2371" s="15"/>
      <c r="J2371" s="1045" t="str">
        <f>IF($M2368&lt;&gt;EUconst_Relevant,EUconst_NA,INDEX(CNTR_SubInstStartDate,MATCH(I2368,CNTR_SubInstListNames,0)))</f>
        <v>Ej tillämpligt</v>
      </c>
      <c r="K2371" s="1045" t="str">
        <f>IF($M2368&lt;&gt;EUconst_Relevant,EUconst_NA,IF(INDEX(CNTR_SubInstCessationDate,MATCH(I2368,CNTR_SubInstListNames,0))=0,"",INDEX(CNTR_SubInstCessationDate,MATCH(I2368,CNTR_SubInstListNames,0))))</f>
        <v>Ej tillämpligt</v>
      </c>
      <c r="L2371" s="953">
        <f>C2368-10</f>
        <v>5</v>
      </c>
      <c r="M2371" s="1746" t="str">
        <f>IF(M2368&lt;&gt;EUconst_Relevant,EUconst_NA,INDEX(EUconst_FallBackListBMvaluesMatrix,L2371,3))</f>
        <v>Ej tillämpligt</v>
      </c>
      <c r="N2371" s="1041" t="str">
        <f>EUconst_EUA &amp; "/" &amp; F2374</f>
        <v>EUA/TJ</v>
      </c>
      <c r="O2371" s="19"/>
      <c r="P2371" s="343"/>
      <c r="Q2371" s="343"/>
      <c r="R2371" s="343"/>
      <c r="S2371" s="343"/>
      <c r="T2371" s="343"/>
      <c r="U2371" s="349"/>
      <c r="V2371" s="349"/>
    </row>
    <row r="2372" spans="1:22" s="534" customFormat="1" ht="5.15" customHeight="1" thickBot="1" x14ac:dyDescent="0.35">
      <c r="A2372" s="343"/>
      <c r="B2372" s="15"/>
      <c r="C2372" s="15"/>
      <c r="D2372" s="15"/>
      <c r="E2372" s="17"/>
      <c r="J2372" s="15"/>
      <c r="K2372" s="15"/>
      <c r="L2372" s="15"/>
      <c r="M2372" s="15"/>
      <c r="N2372" s="15"/>
      <c r="O2372" s="19"/>
      <c r="P2372" s="343"/>
      <c r="Q2372" s="343"/>
      <c r="R2372" s="343"/>
      <c r="S2372" s="343"/>
      <c r="T2372" s="7"/>
      <c r="U2372" s="349"/>
      <c r="V2372" s="349"/>
    </row>
    <row r="2373" spans="1:22" s="534" customFormat="1" ht="12.75" customHeight="1" x14ac:dyDescent="0.25">
      <c r="A2373" s="343"/>
      <c r="B2373" s="15"/>
      <c r="C2373" s="15"/>
      <c r="D2373" s="15"/>
      <c r="E2373" s="39"/>
      <c r="F2373" s="13" t="str">
        <f>EUconst_Unit</f>
        <v>Enhet</v>
      </c>
      <c r="G2373" s="1201" t="str">
        <f>Translations!$B$1432</f>
        <v>HAL</v>
      </c>
      <c r="H2373" s="987">
        <f t="shared" ref="H2373:N2373" si="430">H$2596</f>
        <v>2019</v>
      </c>
      <c r="I2373" s="342">
        <f t="shared" si="430"/>
        <v>2020</v>
      </c>
      <c r="J2373" s="987">
        <f t="shared" si="430"/>
        <v>2021</v>
      </c>
      <c r="K2373" s="320">
        <f t="shared" si="430"/>
        <v>2022</v>
      </c>
      <c r="L2373" s="320">
        <f t="shared" si="430"/>
        <v>2023</v>
      </c>
      <c r="M2373" s="320">
        <f t="shared" si="430"/>
        <v>2024</v>
      </c>
      <c r="N2373" s="320">
        <f t="shared" si="430"/>
        <v>2025</v>
      </c>
      <c r="O2373" s="19"/>
      <c r="P2373" s="343"/>
      <c r="Q2373" s="343" t="s">
        <v>2010</v>
      </c>
      <c r="R2373" s="1635">
        <f>J$2596</f>
        <v>2021</v>
      </c>
      <c r="S2373" s="1636">
        <f>K$2596</f>
        <v>2022</v>
      </c>
      <c r="T2373" s="1636">
        <f>L$2596</f>
        <v>2023</v>
      </c>
      <c r="U2373" s="1636">
        <f>M$2596</f>
        <v>2024</v>
      </c>
      <c r="V2373" s="1637">
        <f>N$2596</f>
        <v>2025</v>
      </c>
    </row>
    <row r="2374" spans="1:22" s="534" customFormat="1" ht="12.75" customHeight="1" thickBot="1" x14ac:dyDescent="0.3">
      <c r="A2374" s="343"/>
      <c r="B2374" s="15"/>
      <c r="C2374" s="15"/>
      <c r="D2374" s="15"/>
      <c r="E2374" s="514" t="str">
        <f>Translations!$B$1562</f>
        <v>Rapporterad verksamhetsnivå</v>
      </c>
      <c r="F2374" s="563" t="str">
        <f>INDEX(EUconst_FallBackListUnits,L2371)</f>
        <v>TJ</v>
      </c>
      <c r="G2374" s="1407" t="str">
        <f>I2405</f>
        <v/>
      </c>
      <c r="H2374" s="1408" t="str">
        <f>IF($M2368&lt;&gt;EUconst_Relevant,"",IF(H2373&gt;=CNTR_ReportingYear,"",SUMIF('G_Fall-back'!$Q:$Q,$P2374,'G_Fall-back'!H:H)))</f>
        <v/>
      </c>
      <c r="I2374" s="1409" t="str">
        <f>IF($M2368&lt;&gt;EUconst_Relevant,"",IF(I2373&gt;=CNTR_ReportingYear,"",SUMIF('G_Fall-back'!$Q:$Q,$P2374,'G_Fall-back'!I:I)))</f>
        <v/>
      </c>
      <c r="J2374" s="1408" t="str">
        <f>IF($M2368&lt;&gt;EUconst_Relevant,"",IF(J2373&gt;=CNTR_ReportingYear,"",SUMIF('G_Fall-back'!$Q:$Q,$P2374,'G_Fall-back'!J:J)))</f>
        <v/>
      </c>
      <c r="K2374" s="1410" t="str">
        <f>IF($M2368&lt;&gt;EUconst_Relevant,"",IF(K2373&gt;=CNTR_ReportingYear,"",SUMIF('G_Fall-back'!$Q:$Q,$P2374,'G_Fall-back'!K:K)))</f>
        <v/>
      </c>
      <c r="L2374" s="1410" t="str">
        <f>IF($M2368&lt;&gt;EUconst_Relevant,"",IF(L2373&gt;=CNTR_ReportingYear,"",SUMIF('G_Fall-back'!$Q:$Q,$P2374,'G_Fall-back'!L:L)))</f>
        <v/>
      </c>
      <c r="M2374" s="1410" t="str">
        <f>IF($M2368&lt;&gt;EUconst_Relevant,"",IF(M2373&gt;=CNTR_ReportingYear,"",SUMIF('G_Fall-back'!$Q:$Q,$P2374,'G_Fall-back'!M:M)))</f>
        <v/>
      </c>
      <c r="N2374" s="1410" t="str">
        <f>IF($M2368&lt;&gt;EUconst_Relevant,"",IF(N2373&gt;=CNTR_ReportingYear,"",SUMIF('G_Fall-back'!$Q:$Q,$P2374,'G_Fall-back'!N:N)))</f>
        <v/>
      </c>
      <c r="O2374" s="19"/>
      <c r="P2374" s="165" t="str">
        <f>EUconst_CNTR_HAL&amp;I2368</f>
        <v>HAL_Delanläggning med bränsleriktmärke, ej KL</v>
      </c>
      <c r="Q2374" s="343"/>
      <c r="R2374" s="1329" t="b">
        <f>AND($M2368=EUconst_Relevant,R2373&lt;=CNTR_ReportingYear,IF($J2371&lt;&gt;EUconst_NA,R2373&gt;=YEAR($J2371),TRUE))</f>
        <v>0</v>
      </c>
      <c r="S2374" s="1330" t="b">
        <f>AND($M2368=EUconst_Relevant,S2373&lt;=CNTR_ReportingYear,IF($J2371&lt;&gt;EUconst_NA,S2373&gt;=YEAR($J2371),TRUE))</f>
        <v>0</v>
      </c>
      <c r="T2374" s="1330" t="b">
        <f>AND($M2368=EUconst_Relevant,T2373&lt;=CNTR_ReportingYear,IF($J2371&lt;&gt;EUconst_NA,T2373&gt;=YEAR($J2371),TRUE))</f>
        <v>0</v>
      </c>
      <c r="U2374" s="1330" t="b">
        <f>AND($M2368=EUconst_Relevant,U2373&lt;=CNTR_ReportingYear,IF($J2371&lt;&gt;EUconst_NA,U2373&gt;=YEAR($J2371),TRUE))</f>
        <v>0</v>
      </c>
      <c r="V2374" s="1331" t="b">
        <f>AND($M2368=EUconst_Relevant,V2373&lt;=CNTR_ReportingYear,IF($J2371&lt;&gt;EUconst_NA,V2373&gt;=YEAR($J2371),TRUE))</f>
        <v>0</v>
      </c>
    </row>
    <row r="2375" spans="1:22" s="534" customFormat="1" x14ac:dyDescent="0.25">
      <c r="A2375" s="343"/>
      <c r="B2375" s="15"/>
      <c r="C2375" s="15"/>
      <c r="D2375" s="15"/>
      <c r="E2375" s="514" t="str">
        <f>Translations!$B$1588</f>
        <v>Rapporterad effektivitet</v>
      </c>
      <c r="F2375" s="563" t="str">
        <f>IF($M2368&lt;&gt;EUconst_Relevant,"",INDEX('G_Fall-back'!H:H,MATCH($P2397,'G_Fall-back'!$Q:$Q,0)-1))</f>
        <v/>
      </c>
      <c r="G2375" s="1414" t="str">
        <f>IF($M2368&lt;&gt;EUconst_Relevant,"",INDEX('G_Fall-back'!I:I,MATCH($P2397,'G_Fall-back'!$Q:$Q,0)-1))</f>
        <v/>
      </c>
      <c r="H2375" s="1132" t="str">
        <f>IF($M2368&lt;&gt;EUconst_Relevant,"",INDEX('G_Fall-back'!H:H,MATCH($P2375,'G_Fall-back'!$Q:$Q,0)))</f>
        <v/>
      </c>
      <c r="I2375" s="1133" t="str">
        <f>IF($M2368&lt;&gt;EUconst_Relevant,"",INDEX('G_Fall-back'!I:I,MATCH($P2375,'G_Fall-back'!$Q:$Q,0)))</f>
        <v/>
      </c>
      <c r="J2375" s="1132" t="str">
        <f>IF($M2368&lt;&gt;EUconst_Relevant,"",INDEX('G_Fall-back'!J:J,MATCH($P2375,'G_Fall-back'!$Q:$Q,0)))</f>
        <v/>
      </c>
      <c r="K2375" s="662" t="str">
        <f>IF($M2368&lt;&gt;EUconst_Relevant,"",INDEX('G_Fall-back'!K:K,MATCH($P2375,'G_Fall-back'!$Q:$Q,0)))</f>
        <v/>
      </c>
      <c r="L2375" s="662" t="str">
        <f>IF($M2368&lt;&gt;EUconst_Relevant,"",INDEX('G_Fall-back'!L:L,MATCH($P2375,'G_Fall-back'!$Q:$Q,0)))</f>
        <v/>
      </c>
      <c r="M2375" s="662" t="str">
        <f>IF($M2368&lt;&gt;EUconst_Relevant,"",INDEX('G_Fall-back'!M:M,MATCH($P2375,'G_Fall-back'!$Q:$Q,0)))</f>
        <v/>
      </c>
      <c r="N2375" s="662" t="str">
        <f>IF($M2368&lt;&gt;EUconst_Relevant,"",INDEX('G_Fall-back'!N:N,MATCH($P2375,'G_Fall-back'!$Q:$Q,0)))</f>
        <v/>
      </c>
      <c r="O2375" s="19"/>
      <c r="P2375" s="165" t="str">
        <f>EUconst_CNTR_EnEff&amp;I2368</f>
        <v>EnEff_Delanläggning med bränsleriktmärke, ej KL</v>
      </c>
      <c r="Q2375" s="343"/>
      <c r="R2375" s="343"/>
      <c r="S2375" s="343"/>
      <c r="T2375" s="7"/>
      <c r="U2375" s="349"/>
      <c r="V2375" s="349"/>
    </row>
    <row r="2376" spans="1:22" s="534" customFormat="1" ht="5.15" customHeight="1" thickBot="1" x14ac:dyDescent="0.3">
      <c r="A2376" s="343"/>
      <c r="B2376" s="15"/>
      <c r="C2376" s="15"/>
      <c r="D2376" s="15"/>
      <c r="F2376" s="15"/>
      <c r="G2376" s="15"/>
      <c r="H2376" s="15"/>
      <c r="I2376" s="941"/>
      <c r="J2376" s="15"/>
      <c r="K2376" s="15"/>
      <c r="L2376" s="15"/>
      <c r="M2376" s="15"/>
      <c r="N2376" s="15"/>
      <c r="O2376" s="19"/>
      <c r="P2376" s="343"/>
      <c r="Q2376" s="343"/>
      <c r="R2376" s="343"/>
      <c r="S2376" s="343"/>
      <c r="T2376" s="7"/>
      <c r="U2376" s="349"/>
      <c r="V2376" s="349"/>
    </row>
    <row r="2377" spans="1:22" s="534" customFormat="1" ht="5.15" customHeight="1" x14ac:dyDescent="0.3">
      <c r="A2377" s="343"/>
      <c r="B2377" s="15"/>
      <c r="C2377" s="17"/>
      <c r="D2377" s="1383"/>
      <c r="E2377" s="1384"/>
      <c r="F2377" s="1384"/>
      <c r="G2377" s="1384"/>
      <c r="H2377" s="1384"/>
      <c r="I2377" s="1384"/>
      <c r="J2377" s="1384"/>
      <c r="K2377" s="1384"/>
      <c r="L2377" s="1384"/>
      <c r="M2377" s="1384"/>
      <c r="N2377" s="1385"/>
      <c r="O2377" s="19"/>
      <c r="P2377" s="343"/>
      <c r="Q2377" s="343"/>
      <c r="R2377" s="343"/>
      <c r="S2377" s="343"/>
      <c r="T2377" s="343"/>
      <c r="U2377" s="349"/>
      <c r="V2377" s="349"/>
    </row>
    <row r="2378" spans="1:22" s="534" customFormat="1" ht="12.75" customHeight="1" x14ac:dyDescent="0.3">
      <c r="A2378" s="343"/>
      <c r="B2378" s="15"/>
      <c r="C2378" s="17"/>
      <c r="D2378" s="1386"/>
      <c r="E2378" s="42" t="str">
        <f>Translations!$B$1563</f>
        <v>Tillämplighet av glidande medelvärde</v>
      </c>
      <c r="F2378" s="188"/>
      <c r="G2378" s="188"/>
      <c r="H2378" s="30" t="str">
        <f>EUconst_Unit</f>
        <v>Enhet</v>
      </c>
      <c r="I2378" s="1157"/>
      <c r="J2378" s="1065">
        <f>J$2596</f>
        <v>2021</v>
      </c>
      <c r="K2378" s="350">
        <f>K$2596</f>
        <v>2022</v>
      </c>
      <c r="L2378" s="350">
        <f>L$2596</f>
        <v>2023</v>
      </c>
      <c r="M2378" s="350">
        <f>M$2596</f>
        <v>2024</v>
      </c>
      <c r="N2378" s="966">
        <f>N$2596</f>
        <v>2025</v>
      </c>
      <c r="O2378" s="19"/>
      <c r="P2378" s="343"/>
      <c r="Q2378" s="343"/>
      <c r="R2378" s="343"/>
      <c r="S2378" s="343"/>
      <c r="T2378" s="343"/>
      <c r="U2378" s="349"/>
      <c r="V2378" s="349"/>
    </row>
    <row r="2379" spans="1:22" s="534" customFormat="1" ht="12.75" customHeight="1" x14ac:dyDescent="0.3">
      <c r="A2379" s="343"/>
      <c r="B2379" s="15"/>
      <c r="C2379" s="17"/>
      <c r="D2379" s="1386"/>
      <c r="E2379" s="1477" t="str">
        <f>Translations!$B$1549</f>
        <v>Kriterium 1: Verksam &gt;2 år?</v>
      </c>
      <c r="F2379" s="1478"/>
      <c r="G2379" s="1478"/>
      <c r="H2379" s="1366" t="s">
        <v>1112</v>
      </c>
      <c r="I2379" s="1478"/>
      <c r="J2379" s="1469" t="str">
        <f>IF(R2374,INDEX('G_Fall-back'!V:V,MATCH($P2379,'G_Fall-back'!$Q:$Q,0))&gt;=3,"")</f>
        <v/>
      </c>
      <c r="K2379" s="1470" t="str">
        <f>IF(S2374,INDEX('G_Fall-back'!W:W,MATCH($P2379,'G_Fall-back'!$Q:$Q,0))&gt;=3,"")</f>
        <v/>
      </c>
      <c r="L2379" s="1470" t="str">
        <f>IF(T2374,INDEX('G_Fall-back'!X:X,MATCH($P2379,'G_Fall-back'!$Q:$Q,0))&gt;=3,"")</f>
        <v/>
      </c>
      <c r="M2379" s="1470" t="str">
        <f>IF(U2374,INDEX('G_Fall-back'!Y:Y,MATCH($P2379,'G_Fall-back'!$Q:$Q,0))&gt;=3,"")</f>
        <v/>
      </c>
      <c r="N2379" s="1471" t="str">
        <f>IF(V2374,INDEX('G_Fall-back'!Z:Z,MATCH($P2379,'G_Fall-back'!$Q:$Q,0))&gt;=3,"")</f>
        <v/>
      </c>
      <c r="O2379" s="19"/>
      <c r="P2379" s="165" t="str">
        <f>EUconst_CNTR_HALinitial&amp;I2368</f>
        <v>HALini_Delanläggning med bränsleriktmärke, ej KL</v>
      </c>
      <c r="Q2379" s="343"/>
      <c r="R2379" s="343"/>
      <c r="S2379" s="343"/>
      <c r="T2379" s="343"/>
      <c r="U2379" s="349"/>
      <c r="V2379" s="349"/>
    </row>
    <row r="2380" spans="1:22" s="534" customFormat="1" ht="12.75" customHeight="1" x14ac:dyDescent="0.3">
      <c r="A2380" s="343"/>
      <c r="B2380" s="15"/>
      <c r="C2380" s="17"/>
      <c r="D2380" s="1386"/>
      <c r="E2380" s="1472" t="str">
        <f>Translations!$B$1551</f>
        <v>Kriterium 2: Upphörde inte föregående år?</v>
      </c>
      <c r="F2380" s="1479"/>
      <c r="G2380" s="1479"/>
      <c r="H2380" s="1473" t="s">
        <v>1112</v>
      </c>
      <c r="I2380" s="1479"/>
      <c r="J2380" s="1474" t="str">
        <f>IF(R2374,IF($K2371="",2050,YEAR($K2371))&lt;&gt;(J2378-1),"")</f>
        <v/>
      </c>
      <c r="K2380" s="1475" t="str">
        <f>IF(S2374,IF($K2371="",2050,YEAR($K2371))&lt;&gt;(K2378-1),"")</f>
        <v/>
      </c>
      <c r="L2380" s="1475" t="str">
        <f>IF(T2374,IF($K2371="",2050,YEAR($K2371))&lt;&gt;(L2378-1),"")</f>
        <v/>
      </c>
      <c r="M2380" s="1475" t="str">
        <f>IF(U2374,IF($K2371="",2050,YEAR($K2371))&lt;&gt;(M2378-1),"")</f>
        <v/>
      </c>
      <c r="N2380" s="1476" t="str">
        <f>IF(V2374,IF($K2371="",2050,YEAR($K2371))&lt;&gt;(N2378-1),"")</f>
        <v/>
      </c>
      <c r="O2380" s="19"/>
      <c r="P2380" s="343"/>
      <c r="Q2380" s="343"/>
      <c r="R2380" s="343"/>
      <c r="S2380" s="343"/>
      <c r="T2380" s="343"/>
      <c r="U2380" s="349"/>
      <c r="V2380" s="349"/>
    </row>
    <row r="2381" spans="1:22" s="534" customFormat="1" ht="5.15" customHeight="1" x14ac:dyDescent="0.3">
      <c r="A2381" s="343"/>
      <c r="B2381" s="15"/>
      <c r="C2381" s="17"/>
      <c r="D2381" s="1386"/>
      <c r="E2381" s="17"/>
      <c r="F2381" s="17"/>
      <c r="G2381" s="17"/>
      <c r="H2381" s="17"/>
      <c r="I2381" s="17"/>
      <c r="J2381" s="17"/>
      <c r="K2381" s="17"/>
      <c r="L2381" s="17"/>
      <c r="M2381" s="17"/>
      <c r="N2381" s="1388"/>
      <c r="O2381" s="19"/>
      <c r="P2381" s="343"/>
      <c r="Q2381" s="343"/>
      <c r="R2381" s="343"/>
      <c r="S2381" s="343"/>
      <c r="T2381" s="343"/>
      <c r="U2381" s="349"/>
      <c r="V2381" s="349"/>
    </row>
    <row r="2382" spans="1:22" s="534" customFormat="1" ht="12.75" customHeight="1" x14ac:dyDescent="0.3">
      <c r="A2382" s="343"/>
      <c r="B2382" s="15"/>
      <c r="C2382" s="17"/>
      <c r="D2382" s="1386"/>
      <c r="E2382" s="39" t="str">
        <f>Translations!$B$1564</f>
        <v>Ändringar: Ingen ändring (bas)</v>
      </c>
      <c r="F2382" s="15"/>
      <c r="G2382" s="15"/>
      <c r="H2382" s="30" t="str">
        <f>EUconst_Unit</f>
        <v>Enhet</v>
      </c>
      <c r="I2382" s="1157"/>
      <c r="J2382" s="987">
        <f>J$2596</f>
        <v>2021</v>
      </c>
      <c r="K2382" s="320">
        <f>K$2596</f>
        <v>2022</v>
      </c>
      <c r="L2382" s="320">
        <f>L$2596</f>
        <v>2023</v>
      </c>
      <c r="M2382" s="320">
        <f>M$2596</f>
        <v>2024</v>
      </c>
      <c r="N2382" s="1387">
        <f>N$2596</f>
        <v>2025</v>
      </c>
      <c r="O2382" s="19"/>
      <c r="P2382" s="343"/>
      <c r="Q2382" s="343"/>
      <c r="R2382" s="343"/>
      <c r="S2382" s="343"/>
      <c r="T2382" s="343"/>
      <c r="U2382" s="349"/>
      <c r="V2382" s="349"/>
    </row>
    <row r="2383" spans="1:22" s="534" customFormat="1" ht="12.75" hidden="1" customHeight="1" x14ac:dyDescent="0.3">
      <c r="A2383" s="343" t="str">
        <f>IF(P2383="","ausblenden","")</f>
        <v>ausblenden</v>
      </c>
      <c r="B2383" s="15"/>
      <c r="C2383" s="17"/>
      <c r="D2383" s="1386"/>
      <c r="E2383" s="514" t="s">
        <v>1918</v>
      </c>
      <c r="F2383" s="514"/>
      <c r="G2383" s="514"/>
      <c r="H2383" s="917" t="str">
        <f>F2374</f>
        <v>TJ</v>
      </c>
      <c r="I2383" s="514"/>
      <c r="J2383" s="1411" t="str">
        <f>IF(T2406&gt;=$H$2595,S2405,I2405)</f>
        <v/>
      </c>
      <c r="K2383" s="1413" t="str">
        <f>J2405</f>
        <v/>
      </c>
      <c r="L2383" s="1413" t="str">
        <f>K2405</f>
        <v/>
      </c>
      <c r="M2383" s="1413" t="str">
        <f>L2405</f>
        <v/>
      </c>
      <c r="N2383" s="1466" t="str">
        <f>M2405</f>
        <v/>
      </c>
      <c r="O2383" s="19"/>
      <c r="P2383" s="343"/>
      <c r="Q2383" s="343"/>
      <c r="R2383" s="343"/>
      <c r="S2383" s="343"/>
      <c r="T2383" s="343"/>
      <c r="U2383" s="349"/>
      <c r="V2383" s="349"/>
    </row>
    <row r="2384" spans="1:22" s="534" customFormat="1" ht="12.75" customHeight="1" x14ac:dyDescent="0.3">
      <c r="A2384" s="343"/>
      <c r="B2384" s="15"/>
      <c r="C2384" s="17"/>
      <c r="D2384" s="1386"/>
      <c r="E2384" s="514" t="str">
        <f>Translations!$B$1565</f>
        <v>Preliminärt tilldelningsvärde</v>
      </c>
      <c r="F2384" s="514"/>
      <c r="G2384" s="514"/>
      <c r="H2384" s="129" t="str">
        <f>EUconst_EUA</f>
        <v>EUA</v>
      </c>
      <c r="I2384" s="1151"/>
      <c r="J2384" s="1131" t="str">
        <f>IF($M2368&lt;&gt;EUconst_Relevant,"",MAX(0,ROUND((SUM($M2371)*SUM(J2383))*IF($H2371=TRUE,1,J$2517),0)))</f>
        <v/>
      </c>
      <c r="K2384" s="421" t="str">
        <f>IF($M2368&lt;&gt;EUconst_Relevant,"",MAX(0,ROUND((SUM($M2371)*SUM(K2383))*IF($H2371=TRUE,1,K$2517),0)))</f>
        <v/>
      </c>
      <c r="L2384" s="421" t="str">
        <f>IF($M2368&lt;&gt;EUconst_Relevant,"",MAX(0,ROUND((SUM($M2371)*SUM(L2383))*IF($H2371=TRUE,1,L$2517),0)))</f>
        <v/>
      </c>
      <c r="M2384" s="421" t="str">
        <f>IF($M2368&lt;&gt;EUconst_Relevant,"",MAX(0,ROUND((SUM($M2371)*SUM(M2383))*IF($H2371=TRUE,1,M$2517),0)))</f>
        <v/>
      </c>
      <c r="N2384" s="967" t="str">
        <f>IF($M2368&lt;&gt;EUconst_Relevant,"",MAX(0,ROUND((SUM($M2371)*SUM(N2383))*IF($H2371=TRUE,1,N$2517),0)))</f>
        <v/>
      </c>
      <c r="O2384" s="19"/>
      <c r="P2384" s="343"/>
      <c r="Q2384" s="343"/>
      <c r="R2384" s="343"/>
      <c r="S2384" s="343"/>
      <c r="T2384" s="343"/>
      <c r="U2384" s="349"/>
      <c r="V2384" s="349"/>
    </row>
    <row r="2385" spans="1:22" s="534" customFormat="1" ht="5.15" customHeight="1" x14ac:dyDescent="0.3">
      <c r="A2385" s="343"/>
      <c r="B2385" s="15"/>
      <c r="C2385" s="17"/>
      <c r="D2385" s="1386"/>
      <c r="E2385" s="17"/>
      <c r="F2385" s="17"/>
      <c r="G2385" s="17"/>
      <c r="H2385" s="17"/>
      <c r="I2385" s="17"/>
      <c r="J2385" s="17"/>
      <c r="K2385" s="17"/>
      <c r="L2385" s="17"/>
      <c r="M2385" s="17"/>
      <c r="N2385" s="1388"/>
      <c r="O2385" s="19"/>
      <c r="P2385" s="343"/>
      <c r="Q2385" s="343"/>
      <c r="R2385" s="343"/>
      <c r="S2385" s="343"/>
      <c r="T2385" s="343"/>
      <c r="U2385" s="349"/>
      <c r="V2385" s="349"/>
    </row>
    <row r="2386" spans="1:22" s="534" customFormat="1" ht="12.75" customHeight="1" x14ac:dyDescent="0.3">
      <c r="A2386" s="343"/>
      <c r="B2386" s="15"/>
      <c r="C2386" s="17"/>
      <c r="D2386" s="1386"/>
      <c r="E2386" s="42" t="str">
        <f>Translations!$B$1566</f>
        <v>Ändringar: Verksamhetsnivå</v>
      </c>
      <c r="F2386" s="188"/>
      <c r="G2386" s="188"/>
      <c r="H2386" s="30" t="str">
        <f>EUconst_Unit</f>
        <v>Enhet</v>
      </c>
      <c r="I2386" s="1157"/>
      <c r="J2386" s="1065">
        <f>J$2596</f>
        <v>2021</v>
      </c>
      <c r="K2386" s="350">
        <f>K$2596</f>
        <v>2022</v>
      </c>
      <c r="L2386" s="350">
        <f>L$2596</f>
        <v>2023</v>
      </c>
      <c r="M2386" s="350">
        <f>M$2596</f>
        <v>2024</v>
      </c>
      <c r="N2386" s="966">
        <f>N$2596</f>
        <v>2025</v>
      </c>
      <c r="O2386" s="19"/>
      <c r="P2386" s="343"/>
      <c r="Q2386" s="343"/>
      <c r="R2386" s="343"/>
      <c r="S2386" s="343"/>
      <c r="T2386" s="343"/>
      <c r="U2386" s="349"/>
      <c r="V2386" s="349"/>
    </row>
    <row r="2387" spans="1:22" s="534" customFormat="1" ht="12.75" customHeight="1" x14ac:dyDescent="0.3">
      <c r="A2387" s="343"/>
      <c r="B2387" s="15"/>
      <c r="C2387" s="17"/>
      <c r="D2387" s="1386"/>
      <c r="E2387" s="944" t="str">
        <f>Translations!$B$1482</f>
        <v>Genomsnittligt årligt värde</v>
      </c>
      <c r="F2387" s="944"/>
      <c r="G2387" s="944"/>
      <c r="H2387" s="1443" t="str">
        <f>H2383</f>
        <v>TJ</v>
      </c>
      <c r="I2387" s="1367"/>
      <c r="J2387" s="1463" t="str">
        <f>INDEX('G_Fall-back'!J:J,MATCH($P2387,'G_Fall-back'!$Q:$Q,0))</f>
        <v/>
      </c>
      <c r="K2387" s="1464" t="str">
        <f>INDEX('G_Fall-back'!K:K,MATCH($P2387,'G_Fall-back'!$Q:$Q,0))</f>
        <v/>
      </c>
      <c r="L2387" s="1464" t="str">
        <f>INDEX('G_Fall-back'!L:L,MATCH($P2387,'G_Fall-back'!$Q:$Q,0))</f>
        <v/>
      </c>
      <c r="M2387" s="1464" t="str">
        <f>INDEX('G_Fall-back'!M:M,MATCH($P2387,'G_Fall-back'!$Q:$Q,0))</f>
        <v/>
      </c>
      <c r="N2387" s="1465" t="str">
        <f>INDEX('G_Fall-back'!N:N,MATCH($P2387,'G_Fall-back'!$Q:$Q,0))</f>
        <v/>
      </c>
      <c r="O2387" s="19"/>
      <c r="P2387" s="165" t="str">
        <f>EUconst_CNTR_HALinitial&amp;I2368</f>
        <v>HALini_Delanläggning med bränsleriktmärke, ej KL</v>
      </c>
      <c r="Q2387" s="343"/>
      <c r="R2387" s="343"/>
      <c r="S2387" s="343"/>
      <c r="T2387" s="343"/>
      <c r="U2387" s="349"/>
      <c r="V2387" s="349"/>
    </row>
    <row r="2388" spans="1:22" s="534" customFormat="1" ht="12.75" customHeight="1" x14ac:dyDescent="0.3">
      <c r="A2388" s="343"/>
      <c r="B2388" s="15"/>
      <c r="C2388" s="17"/>
      <c r="D2388" s="1386"/>
      <c r="E2388" s="947" t="str">
        <f>Translations!$B$1567</f>
        <v>Ändring jämfört med historik verksamhetsnivå</v>
      </c>
      <c r="F2388" s="947"/>
      <c r="G2388" s="947"/>
      <c r="H2388" s="1442" t="s">
        <v>1112</v>
      </c>
      <c r="I2388" s="1371"/>
      <c r="J2388" s="1415" t="str">
        <f>INDEX('G_Fall-back'!J:J,MATCH($P2388,'G_Fall-back'!$Q:$Q,0))</f>
        <v/>
      </c>
      <c r="K2388" s="1416" t="str">
        <f>INDEX('G_Fall-back'!K:K,MATCH($P2388,'G_Fall-back'!$Q:$Q,0))</f>
        <v/>
      </c>
      <c r="L2388" s="1416" t="str">
        <f>INDEX('G_Fall-back'!L:L,MATCH($P2388,'G_Fall-back'!$Q:$Q,0))</f>
        <v/>
      </c>
      <c r="M2388" s="1416" t="str">
        <f>INDEX('G_Fall-back'!M:M,MATCH($P2388,'G_Fall-back'!$Q:$Q,0))</f>
        <v/>
      </c>
      <c r="N2388" s="1417" t="str">
        <f>INDEX('G_Fall-back'!N:N,MATCH($P2388,'G_Fall-back'!$Q:$Q,0))</f>
        <v/>
      </c>
      <c r="O2388" s="19"/>
      <c r="P2388" s="165" t="str">
        <f>EUconst_CNTR_RelThreshold &amp; I2368</f>
        <v>RelThresh_Delanläggning med bränsleriktmärke, ej KL</v>
      </c>
      <c r="Q2388" s="343"/>
      <c r="R2388" s="343"/>
      <c r="S2388" s="343"/>
      <c r="T2388" s="343"/>
      <c r="U2388" s="349"/>
      <c r="V2388" s="349"/>
    </row>
    <row r="2389" spans="1:22" s="534" customFormat="1" ht="12.75" customHeight="1" x14ac:dyDescent="0.3">
      <c r="A2389" s="343"/>
      <c r="B2389" s="15"/>
      <c r="C2389" s="17"/>
      <c r="D2389" s="1386"/>
      <c r="E2389" s="1418" t="str">
        <f>Translations!$B$1589</f>
        <v>Kriterium 3: Har relativa tröskelvärden överskridits?</v>
      </c>
      <c r="F2389" s="1418"/>
      <c r="G2389" s="1418"/>
      <c r="H2389" s="1444" t="s">
        <v>1112</v>
      </c>
      <c r="I2389" s="1423"/>
      <c r="J2389" s="1420" t="str">
        <f>INDEX('G_Fall-back'!V:V,MATCH($P2389,'G_Fall-back'!$Q:$Q,0)+1)</f>
        <v/>
      </c>
      <c r="K2389" s="1421" t="str">
        <f>INDEX('G_Fall-back'!W:W,MATCH($P2389,'G_Fall-back'!$Q:$Q,0)+1)</f>
        <v/>
      </c>
      <c r="L2389" s="1421" t="str">
        <f>INDEX('G_Fall-back'!X:X,MATCH($P2389,'G_Fall-back'!$Q:$Q,0)+1)</f>
        <v/>
      </c>
      <c r="M2389" s="1421" t="str">
        <f>INDEX('G_Fall-back'!Y:Y,MATCH($P2389,'G_Fall-back'!$Q:$Q,0)+1)</f>
        <v/>
      </c>
      <c r="N2389" s="1422" t="str">
        <f>INDEX('G_Fall-back'!Z:Z,MATCH($P2389,'G_Fall-back'!$Q:$Q,0)+1)</f>
        <v/>
      </c>
      <c r="O2389" s="19"/>
      <c r="P2389" s="165" t="str">
        <f>P2388</f>
        <v>RelThresh_Delanläggning med bränsleriktmärke, ej KL</v>
      </c>
      <c r="Q2389" s="343"/>
      <c r="R2389" s="343"/>
      <c r="S2389" s="343"/>
      <c r="T2389" s="343"/>
      <c r="U2389" s="349"/>
      <c r="V2389" s="349"/>
    </row>
    <row r="2390" spans="1:22" s="534" customFormat="1" ht="12.75" customHeight="1" x14ac:dyDescent="0.3">
      <c r="A2390" s="343" t="str">
        <f>IF(P2390="","ausblenden","")</f>
        <v/>
      </c>
      <c r="B2390" s="15"/>
      <c r="C2390" s="17"/>
      <c r="D2390" s="1386"/>
      <c r="E2390" s="950" t="str">
        <f>Translations!$B$1568</f>
        <v>Preliminärt värde</v>
      </c>
      <c r="F2390" s="950"/>
      <c r="G2390" s="950"/>
      <c r="H2390" s="1372" t="str">
        <f>F2374</f>
        <v>TJ</v>
      </c>
      <c r="I2390" s="950"/>
      <c r="J2390" s="1401" t="str">
        <f>INDEX('G_Fall-back'!J:J,MATCH($P2390,'G_Fall-back'!$Q:$Q,0))</f>
        <v/>
      </c>
      <c r="K2390" s="1402" t="str">
        <f>INDEX('G_Fall-back'!K:K,MATCH($P2390,'G_Fall-back'!$Q:$Q,0))</f>
        <v/>
      </c>
      <c r="L2390" s="1402" t="str">
        <f>INDEX('G_Fall-back'!L:L,MATCH($P2390,'G_Fall-back'!$Q:$Q,0))</f>
        <v/>
      </c>
      <c r="M2390" s="1402" t="str">
        <f>INDEX('G_Fall-back'!M:M,MATCH($P2390,'G_Fall-back'!$Q:$Q,0))</f>
        <v/>
      </c>
      <c r="N2390" s="1403" t="str">
        <f>INDEX('G_Fall-back'!N:N,MATCH($P2390,'G_Fall-back'!$Q:$Q,0))</f>
        <v/>
      </c>
      <c r="O2390" s="19"/>
      <c r="P2390" s="165" t="str">
        <f>EUconst_CNTR_HALprelim&amp;I2368</f>
        <v>HALprelim_Delanläggning med bränsleriktmärke, ej KL</v>
      </c>
      <c r="Q2390" s="343"/>
      <c r="R2390" s="343"/>
      <c r="S2390" s="343"/>
      <c r="T2390" s="343"/>
      <c r="U2390" s="349"/>
      <c r="V2390" s="349"/>
    </row>
    <row r="2391" spans="1:22" s="534" customFormat="1" ht="12.75" customHeight="1" x14ac:dyDescent="0.3">
      <c r="A2391" s="343"/>
      <c r="B2391" s="15"/>
      <c r="C2391" s="17"/>
      <c r="D2391" s="1386"/>
      <c r="E2391" s="514" t="str">
        <f>Translations!$B$1565</f>
        <v>Preliminärt tilldelningsvärde</v>
      </c>
      <c r="F2391" s="514"/>
      <c r="G2391" s="514"/>
      <c r="H2391" s="129" t="str">
        <f>EUconst_EUA</f>
        <v>EUA</v>
      </c>
      <c r="I2391" s="1151"/>
      <c r="J2391" s="1131" t="str">
        <f>IF($M2368&lt;&gt;EUconst_Relevant,"",MAX(0,ROUND((SUM($M2371)*SUM(J2390))*IF($H2371=TRUE,1,J$2517),0)))</f>
        <v/>
      </c>
      <c r="K2391" s="421" t="str">
        <f>IF($M2368&lt;&gt;EUconst_Relevant,"",MAX(0,ROUND((SUM($M2371)*SUM(K2390))*IF($H2371=TRUE,1,K$2517),0)))</f>
        <v/>
      </c>
      <c r="L2391" s="421" t="str">
        <f>IF($M2368&lt;&gt;EUconst_Relevant,"",MAX(0,ROUND((SUM($M2371)*SUM(L2390))*IF($H2371=TRUE,1,L$2517),0)))</f>
        <v/>
      </c>
      <c r="M2391" s="421" t="str">
        <f>IF($M2368&lt;&gt;EUconst_Relevant,"",MAX(0,ROUND((SUM($M2371)*SUM(M2390))*IF($H2371=TRUE,1,M$2517),0)))</f>
        <v/>
      </c>
      <c r="N2391" s="967" t="str">
        <f>IF($M2368&lt;&gt;EUconst_Relevant,"",MAX(0,ROUND((SUM($M2371)*SUM(N2390))*IF($H2371=TRUE,1,N$2517),0)))</f>
        <v/>
      </c>
      <c r="O2391" s="19"/>
      <c r="P2391" s="343"/>
      <c r="Q2391" s="343"/>
      <c r="R2391" s="343"/>
      <c r="S2391" s="343"/>
      <c r="T2391" s="343"/>
      <c r="U2391" s="349"/>
      <c r="V2391" s="349"/>
    </row>
    <row r="2392" spans="1:22" s="534" customFormat="1" ht="12.75" customHeight="1" x14ac:dyDescent="0.3">
      <c r="A2392" s="343"/>
      <c r="B2392" s="15"/>
      <c r="C2392" s="17"/>
      <c r="D2392" s="1386"/>
      <c r="E2392" s="514" t="str">
        <f>Translations!$B$1569</f>
        <v>Skillnad i tilldelning</v>
      </c>
      <c r="F2392" s="514"/>
      <c r="G2392" s="514"/>
      <c r="H2392" s="129" t="str">
        <f>EUconst_EUA</f>
        <v>EUA</v>
      </c>
      <c r="I2392" s="1151"/>
      <c r="J2392" s="1131" t="str">
        <f>IF($M2368&lt;&gt;EUconst_Relevant,"",ABS(SUM(J2391)-SUM(J2384)))</f>
        <v/>
      </c>
      <c r="K2392" s="421" t="str">
        <f>IF($M2368&lt;&gt;EUconst_Relevant,"",ABS(SUM(K2391)-SUM(K2384)))</f>
        <v/>
      </c>
      <c r="L2392" s="421" t="str">
        <f>IF($M2368&lt;&gt;EUconst_Relevant,"",ABS(SUM(L2391)-SUM(L2384)))</f>
        <v/>
      </c>
      <c r="M2392" s="421" t="str">
        <f>IF($M2368&lt;&gt;EUconst_Relevant,"",ABS(SUM(M2391)-SUM(M2384)))</f>
        <v/>
      </c>
      <c r="N2392" s="967" t="str">
        <f>IF($M2368&lt;&gt;EUconst_Relevant,"",ABS(SUM(N2391)-SUM(N2384)))</f>
        <v/>
      </c>
      <c r="O2392" s="19"/>
      <c r="P2392" s="343"/>
      <c r="Q2392" s="343"/>
      <c r="R2392" s="343"/>
      <c r="S2392" s="343"/>
      <c r="T2392" s="343"/>
      <c r="U2392" s="349"/>
      <c r="V2392" s="349"/>
    </row>
    <row r="2393" spans="1:22" s="534" customFormat="1" ht="12.75" customHeight="1" x14ac:dyDescent="0.3">
      <c r="A2393" s="343"/>
      <c r="B2393" s="15"/>
      <c r="C2393" s="17"/>
      <c r="D2393" s="1386"/>
      <c r="E2393" s="1419" t="str">
        <f>Translations!$B$1590</f>
        <v>Kriterium 4: Är skillnaden minst 100 utsläppsrätter?</v>
      </c>
      <c r="F2393" s="1419"/>
      <c r="G2393" s="1419"/>
      <c r="H2393" s="1424" t="s">
        <v>1112</v>
      </c>
      <c r="I2393" s="1425"/>
      <c r="J2393" s="1426" t="str">
        <f>IF($M2368&lt;&gt;EUconst_Relevant,"",J2392&gt;=100)</f>
        <v/>
      </c>
      <c r="K2393" s="1427" t="str">
        <f>IF($M2368&lt;&gt;EUconst_Relevant,"",K2392&gt;=100)</f>
        <v/>
      </c>
      <c r="L2393" s="1427" t="str">
        <f>IF($M2368&lt;&gt;EUconst_Relevant,"",L2392&gt;=100)</f>
        <v/>
      </c>
      <c r="M2393" s="1427" t="str">
        <f>IF($M2368&lt;&gt;EUconst_Relevant,"",M2392&gt;=100)</f>
        <v/>
      </c>
      <c r="N2393" s="1428" t="str">
        <f>IF($M2368&lt;&gt;EUconst_Relevant,"",N2392&gt;=100)</f>
        <v/>
      </c>
      <c r="O2393" s="19"/>
      <c r="P2393" s="165" t="str">
        <f>EUconst_CNTR_100EUA_ActivityLevel&amp;I2368</f>
        <v>EUA100AL_Delanläggning med bränsleriktmärke, ej KL</v>
      </c>
      <c r="Q2393" s="343"/>
      <c r="R2393" s="343"/>
      <c r="S2393" s="343"/>
      <c r="T2393" s="343"/>
      <c r="U2393" s="349"/>
      <c r="V2393" s="349"/>
    </row>
    <row r="2394" spans="1:22" s="534" customFormat="1" ht="5.15" customHeight="1" x14ac:dyDescent="0.3">
      <c r="A2394" s="343"/>
      <c r="B2394" s="15"/>
      <c r="C2394" s="17"/>
      <c r="D2394" s="1386"/>
      <c r="E2394" s="15"/>
      <c r="F2394" s="15"/>
      <c r="G2394" s="15"/>
      <c r="H2394" s="15"/>
      <c r="I2394" s="941"/>
      <c r="J2394" s="15"/>
      <c r="K2394" s="15"/>
      <c r="L2394" s="15"/>
      <c r="M2394" s="15"/>
      <c r="N2394" s="968"/>
      <c r="O2394" s="19"/>
      <c r="P2394" s="343"/>
      <c r="Q2394" s="343"/>
      <c r="R2394" s="343"/>
      <c r="S2394" s="343"/>
      <c r="T2394" s="343"/>
      <c r="U2394" s="349"/>
      <c r="V2394" s="349"/>
    </row>
    <row r="2395" spans="1:22" s="534" customFormat="1" ht="13" x14ac:dyDescent="0.25">
      <c r="A2395" s="343"/>
      <c r="B2395" s="15"/>
      <c r="C2395" s="15"/>
      <c r="D2395" s="965"/>
      <c r="E2395" s="42" t="str">
        <f>Translations!$B$1591</f>
        <v>Ändringar: Effektivitet</v>
      </c>
      <c r="F2395" s="188"/>
      <c r="G2395" s="188"/>
      <c r="H2395" s="30"/>
      <c r="I2395" s="1157"/>
      <c r="J2395" s="987">
        <f>J$2596</f>
        <v>2021</v>
      </c>
      <c r="K2395" s="320">
        <f>K$2596</f>
        <v>2022</v>
      </c>
      <c r="L2395" s="320">
        <f>L$2596</f>
        <v>2023</v>
      </c>
      <c r="M2395" s="320">
        <f>M$2596</f>
        <v>2024</v>
      </c>
      <c r="N2395" s="1387">
        <f>N$2596</f>
        <v>2025</v>
      </c>
      <c r="O2395" s="19"/>
      <c r="P2395" s="343"/>
      <c r="Q2395" s="343"/>
      <c r="R2395" s="343"/>
      <c r="S2395" s="343"/>
      <c r="T2395" s="7"/>
      <c r="U2395" s="349"/>
      <c r="V2395" s="349"/>
    </row>
    <row r="2396" spans="1:22" s="534" customFormat="1" x14ac:dyDescent="0.25">
      <c r="A2396" s="343"/>
      <c r="B2396" s="15"/>
      <c r="C2396" s="15"/>
      <c r="D2396" s="965"/>
      <c r="E2396" s="944" t="str">
        <f>Translations!$B$1482</f>
        <v>Genomsnittligt årligt värde</v>
      </c>
      <c r="F2396" s="944"/>
      <c r="G2396" s="944"/>
      <c r="H2396" s="944"/>
      <c r="I2396" s="1486"/>
      <c r="J2396" s="1368" t="str">
        <f>IF($M2368&lt;&gt;EUconst_Relevant,"",INDEX('G_Fall-back'!J:J,MATCH($P2396,'G_Fall-back'!$Q:$Q,0)))</f>
        <v/>
      </c>
      <c r="K2396" s="1369" t="str">
        <f>IF($M2368&lt;&gt;EUconst_Relevant,"",INDEX('G_Fall-back'!K:K,MATCH($P2396,'G_Fall-back'!$Q:$Q,0)))</f>
        <v/>
      </c>
      <c r="L2396" s="1369" t="str">
        <f>IF($M2368&lt;&gt;EUconst_Relevant,"",INDEX('G_Fall-back'!L:L,MATCH($P2396,'G_Fall-back'!$Q:$Q,0)))</f>
        <v/>
      </c>
      <c r="M2396" s="1369" t="str">
        <f>IF($M2368&lt;&gt;EUconst_Relevant,"",INDEX('G_Fall-back'!M:M,MATCH($P2396,'G_Fall-back'!$Q:$Q,0)))</f>
        <v/>
      </c>
      <c r="N2396" s="1394" t="str">
        <f>IF($M2368&lt;&gt;EUconst_Relevant,"",INDEX('G_Fall-back'!N:N,MATCH($P2396,'G_Fall-back'!$Q:$Q,0)))</f>
        <v/>
      </c>
      <c r="O2396" s="19"/>
      <c r="P2396" s="165" t="str">
        <f>EUconst_CNTR_EnEffInitial&amp;I2368</f>
        <v>EnEffIni_Delanläggning med bränsleriktmärke, ej KL</v>
      </c>
      <c r="Q2396" s="343"/>
      <c r="R2396" s="343"/>
      <c r="S2396" s="343"/>
      <c r="T2396" s="7"/>
      <c r="U2396" s="349"/>
      <c r="V2396" s="349"/>
    </row>
    <row r="2397" spans="1:22" s="534" customFormat="1" ht="13" thickBot="1" x14ac:dyDescent="0.3">
      <c r="A2397" s="343"/>
      <c r="B2397" s="15"/>
      <c r="C2397" s="15"/>
      <c r="D2397" s="965"/>
      <c r="E2397" s="950" t="str">
        <f>Translations!$B$1567</f>
        <v>Ändring jämfört med historik verksamhetsnivå</v>
      </c>
      <c r="F2397" s="950"/>
      <c r="G2397" s="950"/>
      <c r="H2397" s="950"/>
      <c r="I2397" s="1487"/>
      <c r="J2397" s="1488" t="str">
        <f>IF($M2368&lt;&gt;EUconst_Relevant,"",INDEX('G_Fall-back'!J:J,MATCH($P2397,'G_Fall-back'!$Q:$Q,0)))</f>
        <v/>
      </c>
      <c r="K2397" s="1489" t="str">
        <f>IF($M2368&lt;&gt;EUconst_Relevant,"",INDEX('G_Fall-back'!K:K,MATCH($P2397,'G_Fall-back'!$Q:$Q,0)))</f>
        <v/>
      </c>
      <c r="L2397" s="1489" t="str">
        <f>IF($M2368&lt;&gt;EUconst_Relevant,"",INDEX('G_Fall-back'!L:L,MATCH($P2397,'G_Fall-back'!$Q:$Q,0)))</f>
        <v/>
      </c>
      <c r="M2397" s="1489" t="str">
        <f>IF($M2368&lt;&gt;EUconst_Relevant,"",INDEX('G_Fall-back'!M:M,MATCH($P2397,'G_Fall-back'!$Q:$Q,0)))</f>
        <v/>
      </c>
      <c r="N2397" s="1490" t="str">
        <f>IF($M2368&lt;&gt;EUconst_Relevant,"",INDEX('G_Fall-back'!N:N,MATCH($P2397,'G_Fall-back'!$Q:$Q,0)))</f>
        <v/>
      </c>
      <c r="O2397" s="19"/>
      <c r="P2397" s="1485" t="str">
        <f>EUconst_CNTR_EnEffPct&amp;I2368</f>
        <v>EnEffPct_Delanläggning med bränsleriktmärke, ej KL</v>
      </c>
      <c r="Q2397" s="343"/>
      <c r="R2397" s="343"/>
      <c r="S2397" s="343"/>
      <c r="T2397" s="7"/>
      <c r="U2397" s="349"/>
      <c r="V2397" s="349"/>
    </row>
    <row r="2398" spans="1:22" s="534" customFormat="1" ht="13" x14ac:dyDescent="0.25">
      <c r="A2398" s="343"/>
      <c r="B2398" s="15"/>
      <c r="C2398" s="15"/>
      <c r="D2398" s="965"/>
      <c r="E2398" s="1467" t="str">
        <f>Translations!$B$1557</f>
        <v>Kriterium 5: Kan behörig myndighet besluta?</v>
      </c>
      <c r="F2398" s="1467"/>
      <c r="G2398" s="1467"/>
      <c r="H2398" s="1481" t="s">
        <v>1112</v>
      </c>
      <c r="I2398" s="1468"/>
      <c r="J2398" s="1469" t="str">
        <f>IF($M2368&lt;&gt;EUconst_Relevant,"",INDEX('G_Fall-back'!J:J,MATCH($P2398,'G_Fall-back'!$Q:$Q,0)))</f>
        <v/>
      </c>
      <c r="K2398" s="1470" t="str">
        <f>IF($M2368&lt;&gt;EUconst_Relevant,"",INDEX('G_Fall-back'!K:K,MATCH($P2398,'G_Fall-back'!$Q:$Q,0)))</f>
        <v/>
      </c>
      <c r="L2398" s="1470" t="str">
        <f>IF($M2368&lt;&gt;EUconst_Relevant,"",INDEX('G_Fall-back'!L:L,MATCH($P2398,'G_Fall-back'!$Q:$Q,0)))</f>
        <v/>
      </c>
      <c r="M2398" s="1470" t="str">
        <f>IF($M2368&lt;&gt;EUconst_Relevant,"",INDEX('G_Fall-back'!M:M,MATCH($P2398,'G_Fall-back'!$Q:$Q,0)))</f>
        <v/>
      </c>
      <c r="N2398" s="1471" t="str">
        <f>IF($M2368&lt;&gt;EUconst_Relevant,"",INDEX('G_Fall-back'!N:N,MATCH($P2398,'G_Fall-back'!$Q:$Q,0)))</f>
        <v/>
      </c>
      <c r="O2398" s="19"/>
      <c r="P2398" s="165" t="str">
        <f>EUconst_CNTR_CARejectionRelevant&amp;I2368</f>
        <v>CARejectRel_Delanläggning med bränsleriktmärke, ej KL</v>
      </c>
      <c r="Q2398" s="343"/>
      <c r="R2398" s="1635">
        <f>J$2596</f>
        <v>2021</v>
      </c>
      <c r="S2398" s="1636">
        <f>K$2596</f>
        <v>2022</v>
      </c>
      <c r="T2398" s="1636">
        <f>L$2596</f>
        <v>2023</v>
      </c>
      <c r="U2398" s="1636">
        <f>M$2596</f>
        <v>2024</v>
      </c>
      <c r="V2398" s="1637">
        <f>N$2596</f>
        <v>2025</v>
      </c>
    </row>
    <row r="2399" spans="1:22" s="534" customFormat="1" ht="13.5" thickBot="1" x14ac:dyDescent="0.3">
      <c r="A2399" s="343"/>
      <c r="B2399" s="15"/>
      <c r="C2399" s="15"/>
      <c r="D2399" s="965"/>
      <c r="E2399" s="1472" t="str">
        <f>Translations!$B$1559</f>
        <v>Kriterium 6: Ej avslag från behörig myndighet?</v>
      </c>
      <c r="F2399" s="1472"/>
      <c r="G2399" s="1472"/>
      <c r="H2399" s="1482" t="s">
        <v>1112</v>
      </c>
      <c r="I2399" s="1473"/>
      <c r="J2399" s="1474" t="str">
        <f>IF($M2368&lt;&gt;EUconst_Relevant,"",IF(R2399=0,EUconst_ERR_CADecision,R2399))</f>
        <v/>
      </c>
      <c r="K2399" s="1475" t="str">
        <f>IF($M2368&lt;&gt;EUconst_Relevant,"",IF(S2399=0,EUconst_ERR_CADecision,S2399))</f>
        <v/>
      </c>
      <c r="L2399" s="1475" t="str">
        <f>IF($M2368&lt;&gt;EUconst_Relevant,"",IF(T2399=0,EUconst_ERR_CADecision,T2399))</f>
        <v/>
      </c>
      <c r="M2399" s="1475" t="str">
        <f>IF($M2368&lt;&gt;EUconst_Relevant,"",IF(U2399=0,EUconst_ERR_CADecision,U2399))</f>
        <v/>
      </c>
      <c r="N2399" s="1476" t="str">
        <f>IF($M2368&lt;&gt;EUconst_Relevant,"",IF(V2399=0,EUconst_ERR_CADecision,V2399))</f>
        <v/>
      </c>
      <c r="O2399" s="19"/>
      <c r="P2399" s="165" t="str">
        <f>EUconst_CNTR_CARejection &amp; I2368</f>
        <v>CAReject_Delanläggning med bränsleriktmärke, ej KL</v>
      </c>
      <c r="Q2399" s="343"/>
      <c r="R2399" s="1329" t="str">
        <f>IF(J2398=TRUE,INDEX('G_Fall-back'!J:J,MATCH($P2399,'G_Fall-back'!$Q:$Q,0)),EUconst_NA)</f>
        <v>Ej tillämpligt</v>
      </c>
      <c r="S2399" s="1330" t="str">
        <f>IF(K2398=TRUE,INDEX('G_Fall-back'!K:K,MATCH($P2399,'G_Fall-back'!$Q:$Q,0)),EUconst_NA)</f>
        <v>Ej tillämpligt</v>
      </c>
      <c r="T2399" s="1330" t="str">
        <f>IF(L2398=TRUE,INDEX('G_Fall-back'!L:L,MATCH($P2399,'G_Fall-back'!$Q:$Q,0)),EUconst_NA)</f>
        <v>Ej tillämpligt</v>
      </c>
      <c r="U2399" s="1330" t="str">
        <f>IF(M2398=TRUE,INDEX('G_Fall-back'!M:M,MATCH($P2399,'G_Fall-back'!$Q:$Q,0)),EUconst_NA)</f>
        <v>Ej tillämpligt</v>
      </c>
      <c r="V2399" s="1331" t="str">
        <f>IF(N2398=TRUE,INDEX('G_Fall-back'!N:N,MATCH($P2399,'G_Fall-back'!$Q:$Q,0)),EUconst_NA)</f>
        <v>Ej tillämpligt</v>
      </c>
    </row>
    <row r="2400" spans="1:22" s="534" customFormat="1" ht="13" x14ac:dyDescent="0.25">
      <c r="A2400" s="343"/>
      <c r="B2400" s="15"/>
      <c r="C2400" s="15"/>
      <c r="D2400" s="965"/>
      <c r="E2400" s="514" t="str">
        <f>Translations!$B$1592</f>
        <v>Faktisk justering av verksamhetsnivån</v>
      </c>
      <c r="F2400" s="514"/>
      <c r="G2400" s="514"/>
      <c r="H2400" s="1168" t="s">
        <v>1112</v>
      </c>
      <c r="I2400" s="1480"/>
      <c r="J2400" s="1169" t="str">
        <f>INDEX('G_Fall-back'!J:J,MATCH($P2400,'G_Fall-back'!$Q:$Q,0))</f>
        <v/>
      </c>
      <c r="K2400" s="1170" t="str">
        <f>INDEX('G_Fall-back'!K:K,MATCH($P2400,'G_Fall-back'!$Q:$Q,0))</f>
        <v/>
      </c>
      <c r="L2400" s="1170" t="str">
        <f>INDEX('G_Fall-back'!L:L,MATCH($P2400,'G_Fall-back'!$Q:$Q,0))</f>
        <v/>
      </c>
      <c r="M2400" s="1170" t="str">
        <f>INDEX('G_Fall-back'!M:M,MATCH($P2400,'G_Fall-back'!$Q:$Q,0))</f>
        <v/>
      </c>
      <c r="N2400" s="1171" t="str">
        <f>INDEX('G_Fall-back'!N:N,MATCH($P2400,'G_Fall-back'!$Q:$Q,0))</f>
        <v/>
      </c>
      <c r="O2400" s="19"/>
      <c r="P2400" s="165" t="str">
        <f>EUconst_CNTR_HALAdjPct&amp;I2368</f>
        <v>HALAdjPct_Delanläggning med bränsleriktmärke, ej KL</v>
      </c>
      <c r="Q2400" s="343"/>
      <c r="R2400" s="343"/>
      <c r="S2400" s="343"/>
      <c r="T2400" s="7"/>
      <c r="U2400" s="349"/>
      <c r="V2400" s="349"/>
    </row>
    <row r="2401" spans="1:22" s="534" customFormat="1" ht="5.15" customHeight="1" thickBot="1" x14ac:dyDescent="0.3">
      <c r="A2401" s="343"/>
      <c r="B2401" s="15"/>
      <c r="C2401" s="15"/>
      <c r="D2401" s="972"/>
      <c r="E2401" s="973"/>
      <c r="F2401" s="973"/>
      <c r="G2401" s="973"/>
      <c r="H2401" s="973"/>
      <c r="I2401" s="1483"/>
      <c r="J2401" s="973"/>
      <c r="K2401" s="973"/>
      <c r="L2401" s="973"/>
      <c r="M2401" s="973"/>
      <c r="N2401" s="974"/>
      <c r="O2401" s="19"/>
      <c r="P2401" s="343"/>
      <c r="Q2401" s="343"/>
      <c r="R2401" s="343"/>
      <c r="S2401" s="343"/>
      <c r="T2401" s="7"/>
      <c r="U2401" s="349"/>
      <c r="V2401" s="349"/>
    </row>
    <row r="2402" spans="1:22" s="534" customFormat="1" ht="5.15" customHeight="1" thickBot="1" x14ac:dyDescent="0.3">
      <c r="A2402" s="343"/>
      <c r="B2402" s="15"/>
      <c r="C2402" s="15"/>
      <c r="D2402" s="15"/>
      <c r="E2402" s="15"/>
      <c r="F2402" s="15"/>
      <c r="G2402" s="15"/>
      <c r="H2402" s="15"/>
      <c r="I2402" s="942"/>
      <c r="J2402" s="15"/>
      <c r="K2402" s="15"/>
      <c r="L2402" s="15"/>
      <c r="M2402" s="15"/>
      <c r="N2402" s="15"/>
      <c r="O2402" s="19"/>
      <c r="P2402" s="343"/>
      <c r="Q2402" s="343"/>
      <c r="R2402" s="343"/>
      <c r="S2402" s="343"/>
      <c r="T2402" s="7"/>
      <c r="U2402" s="349"/>
      <c r="V2402" s="349"/>
    </row>
    <row r="2403" spans="1:22" s="534" customFormat="1" ht="5.15" customHeight="1" x14ac:dyDescent="0.25">
      <c r="A2403" s="343"/>
      <c r="B2403" s="15"/>
      <c r="C2403" s="15"/>
      <c r="D2403" s="961"/>
      <c r="E2403" s="962"/>
      <c r="F2403" s="962"/>
      <c r="G2403" s="962"/>
      <c r="H2403" s="962"/>
      <c r="I2403" s="963"/>
      <c r="J2403" s="962"/>
      <c r="K2403" s="962"/>
      <c r="L2403" s="962"/>
      <c r="M2403" s="962"/>
      <c r="N2403" s="964"/>
      <c r="O2403" s="19"/>
      <c r="P2403" s="343"/>
      <c r="Q2403" s="343"/>
      <c r="R2403" s="343"/>
      <c r="S2403" s="343"/>
      <c r="T2403" s="7"/>
      <c r="U2403" s="349"/>
      <c r="V2403" s="349"/>
    </row>
    <row r="2404" spans="1:22" s="534" customFormat="1" ht="13" x14ac:dyDescent="0.25">
      <c r="A2404" s="343"/>
      <c r="B2404" s="15"/>
      <c r="C2404" s="15"/>
      <c r="D2404" s="965"/>
      <c r="E2404" s="39" t="str">
        <f>Translations!$B$1586</f>
        <v>Faktiska använda värden</v>
      </c>
      <c r="F2404" s="15"/>
      <c r="G2404" s="15"/>
      <c r="H2404" s="30" t="str">
        <f>EUconst_Unit</f>
        <v>Enhet</v>
      </c>
      <c r="I2404" s="1613" t="str">
        <f>Translations!$B$1510</f>
        <v>Basvärde</v>
      </c>
      <c r="J2404" s="1065">
        <f>J$2596</f>
        <v>2021</v>
      </c>
      <c r="K2404" s="350">
        <f>K$2596</f>
        <v>2022</v>
      </c>
      <c r="L2404" s="350">
        <f>L$2596</f>
        <v>2023</v>
      </c>
      <c r="M2404" s="350">
        <f>M$2596</f>
        <v>2024</v>
      </c>
      <c r="N2404" s="966">
        <f>N$2596</f>
        <v>2025</v>
      </c>
      <c r="O2404" s="19"/>
      <c r="P2404" s="343"/>
      <c r="Q2404" s="343"/>
      <c r="R2404" s="343"/>
      <c r="S2404" s="297" t="s">
        <v>1846</v>
      </c>
      <c r="T2404" s="7"/>
      <c r="U2404" s="349"/>
      <c r="V2404" s="349"/>
    </row>
    <row r="2405" spans="1:22" s="534" customFormat="1" x14ac:dyDescent="0.25">
      <c r="A2405" s="343"/>
      <c r="B2405" s="15"/>
      <c r="C2405" s="15"/>
      <c r="D2405" s="965"/>
      <c r="E2405" s="514" t="str">
        <f>Translations!$B$1593</f>
        <v>Använd verksamhetsnivå</v>
      </c>
      <c r="F2405" s="514"/>
      <c r="G2405" s="514"/>
      <c r="H2405" s="917" t="str">
        <f>F2374</f>
        <v>TJ</v>
      </c>
      <c r="I2405" s="1411" t="str">
        <f>IF($M2368&lt;&gt;EUconst_Relevant,"",IF(T2406&gt;=$H$2595,0,S2405))</f>
        <v/>
      </c>
      <c r="J2405" s="1408" t="str">
        <f>INDEX('G_Fall-back'!J:J,MATCH($P2405,'G_Fall-back'!$Q:$Q,0))</f>
        <v/>
      </c>
      <c r="K2405" s="1410" t="str">
        <f>INDEX('G_Fall-back'!K:K,MATCH($P2405,'G_Fall-back'!$Q:$Q,0))</f>
        <v/>
      </c>
      <c r="L2405" s="1410" t="str">
        <f>INDEX('G_Fall-back'!L:L,MATCH($P2405,'G_Fall-back'!$Q:$Q,0))</f>
        <v/>
      </c>
      <c r="M2405" s="1410" t="str">
        <f>INDEX('G_Fall-back'!M:M,MATCH($P2405,'G_Fall-back'!$Q:$Q,0))</f>
        <v/>
      </c>
      <c r="N2405" s="1412" t="str">
        <f>INDEX('G_Fall-back'!N:N,MATCH($P2405,'G_Fall-back'!$Q:$Q,0))</f>
        <v/>
      </c>
      <c r="O2405" s="19"/>
      <c r="P2405" s="165" t="str">
        <f>EUconst_CNTR_HALfinal&amp;I2368</f>
        <v>HALfinal_Delanläggning med bränsleriktmärke, ej KL</v>
      </c>
      <c r="Q2405" s="343"/>
      <c r="R2405" s="343"/>
      <c r="S2405" s="1696" t="str">
        <f>IF($M2368&lt;&gt;EUconst_Relevant,"",SUMIF('G_Fall-back'!$Q:$Q,$P2405,'G_Fall-back'!I:I))</f>
        <v/>
      </c>
      <c r="T2405" s="7"/>
      <c r="U2405" s="349"/>
      <c r="V2405" s="355" t="e">
        <f ca="1">AND(COUNTIF(OFFSET(I2399,,,,MAX(1,CNTR_ReportingYear-$I$2596)),TRUE)&gt;0,
INDEX(J2399:N2399,MAX(1,CNTR_ReportingYear-$I$2596)))</f>
        <v>#REF!</v>
      </c>
    </row>
    <row r="2406" spans="1:22" s="534" customFormat="1" x14ac:dyDescent="0.25">
      <c r="A2406" s="343"/>
      <c r="B2406" s="15"/>
      <c r="C2406" s="15"/>
      <c r="D2406" s="965"/>
      <c r="E2406" s="514" t="str">
        <f>Translations!$B$956</f>
        <v>Preliminär tilldelning</v>
      </c>
      <c r="F2406" s="514"/>
      <c r="G2406" s="514"/>
      <c r="H2406" s="129" t="str">
        <f>EUconst_EUA</f>
        <v>EUA</v>
      </c>
      <c r="I2406" s="1634" t="str">
        <f>IF($M2368&lt;&gt;EUconst_Relevant,"",MAX(0,ROUND((SUM($M2371)*SUM(I2405))*IF($H2371=TRUE,1,J$2517),0)))</f>
        <v/>
      </c>
      <c r="J2406" s="1131" t="str">
        <f>IF($M2368&lt;&gt;EUconst_Relevant,"",MAX(0,ROUND((SUM($M2371)*SUM(J2405))*IF($H2371=TRUE,1,J$2517),0)))</f>
        <v/>
      </c>
      <c r="K2406" s="421" t="str">
        <f>IF($M2368&lt;&gt;EUconst_Relevant,"",MAX(0,ROUND((SUM($M2371)*SUM(K2405))*IF($H2371=TRUE,1,K$2517),0)))</f>
        <v/>
      </c>
      <c r="L2406" s="421" t="str">
        <f>IF($M2368&lt;&gt;EUconst_Relevant,"",MAX(0,ROUND((SUM($M2371)*SUM(L2405))*IF($H2371=TRUE,1,L$2517),0)))</f>
        <v/>
      </c>
      <c r="M2406" s="421" t="str">
        <f>IF($M2368&lt;&gt;EUconst_Relevant,"",MAX(0,ROUND((SUM($M2371)*SUM(M2405))*IF($H2371=TRUE,1,M$2517),0)))</f>
        <v/>
      </c>
      <c r="N2406" s="967" t="str">
        <f>IF($M2368&lt;&gt;EUconst_Relevant,"",MAX(0,ROUND((SUM($M2371)*SUM(N2405))*IF($H2371=TRUE,1,N$2517),0)))</f>
        <v/>
      </c>
      <c r="O2406" s="19"/>
      <c r="P2406" s="165" t="str">
        <f>EUconst_AllocPrelim&amp;I2368</f>
        <v>AllocPrelim_Delanläggning med bränsleriktmärke, ej KL</v>
      </c>
      <c r="Q2406" s="343"/>
      <c r="R2406" s="343"/>
      <c r="S2406" s="343"/>
      <c r="T2406" s="663">
        <f>INDEX('G_Fall-back'!V:V,MATCH(L2371,'G_Fall-back'!C:C,0))</f>
        <v>2005</v>
      </c>
      <c r="U2406" s="603" t="e">
        <f>OR(INDEX(I2406:N2406,CNTR_ReportingYear-$I$2596)&lt;&gt;INDEX(I2406:N2406,CNTR_ReportingYear-$H$2596),
(CNTR_ReportingYear-T2406)&lt;=1)</f>
        <v>#REF!</v>
      </c>
      <c r="V2406" s="355" t="b">
        <f ca="1">IF(I2406="",FALSE,COUNTIF(OFFSET(I2406,,,,MAX(1,CNTR_ReportingYear-$I$2596)),"&lt;&gt;" &amp; INDEX(I2406:N2406,CNTR_ReportingYear-$H$2596))&gt;0)</f>
        <v>0</v>
      </c>
    </row>
    <row r="2407" spans="1:22" s="534" customFormat="1" ht="5.15" customHeight="1" thickBot="1" x14ac:dyDescent="0.3">
      <c r="A2407" s="343"/>
      <c r="B2407" s="15"/>
      <c r="C2407" s="15"/>
      <c r="D2407" s="972"/>
      <c r="E2407" s="973"/>
      <c r="F2407" s="973"/>
      <c r="G2407" s="973"/>
      <c r="H2407" s="973"/>
      <c r="I2407" s="973"/>
      <c r="J2407" s="973"/>
      <c r="K2407" s="973"/>
      <c r="L2407" s="973"/>
      <c r="M2407" s="973"/>
      <c r="N2407" s="974"/>
      <c r="O2407" s="19"/>
      <c r="P2407" s="343"/>
      <c r="Q2407" s="343"/>
      <c r="R2407" s="343"/>
      <c r="S2407" s="343"/>
      <c r="T2407" s="7"/>
      <c r="U2407" s="349"/>
      <c r="V2407" s="349"/>
    </row>
    <row r="2408" spans="1:22" s="534" customFormat="1" ht="5.15" customHeight="1" thickBot="1" x14ac:dyDescent="0.3">
      <c r="A2408" s="343"/>
      <c r="B2408" s="15"/>
      <c r="C2408" s="15"/>
      <c r="D2408" s="15"/>
      <c r="E2408" s="15"/>
      <c r="F2408" s="15"/>
      <c r="G2408" s="15"/>
      <c r="M2408" s="15"/>
      <c r="N2408" s="15"/>
      <c r="O2408" s="19"/>
      <c r="P2408" s="343"/>
      <c r="Q2408" s="343"/>
      <c r="R2408" s="343"/>
      <c r="S2408" s="343"/>
      <c r="T2408" s="343"/>
      <c r="U2408" s="349"/>
      <c r="V2408" s="349"/>
    </row>
    <row r="2409" spans="1:22" s="534" customFormat="1" ht="5.15" customHeight="1" x14ac:dyDescent="0.25">
      <c r="A2409" s="343"/>
      <c r="B2409" s="15"/>
      <c r="C2409" s="15"/>
      <c r="D2409" s="1719"/>
      <c r="E2409" s="1453"/>
      <c r="F2409" s="777"/>
      <c r="G2409" s="777"/>
      <c r="H2409" s="777"/>
      <c r="I2409" s="777"/>
      <c r="J2409" s="777"/>
      <c r="K2409" s="777"/>
      <c r="L2409" s="777"/>
      <c r="M2409" s="777"/>
      <c r="N2409" s="778"/>
      <c r="O2409" s="19"/>
      <c r="P2409" s="343"/>
      <c r="Q2409" s="343"/>
      <c r="R2409" s="343"/>
      <c r="S2409" s="343"/>
      <c r="T2409" s="343"/>
      <c r="U2409" s="349"/>
      <c r="V2409" s="349"/>
    </row>
    <row r="2410" spans="1:22" s="534" customFormat="1" ht="13.5" thickBot="1" x14ac:dyDescent="0.3">
      <c r="A2410" s="343"/>
      <c r="B2410" s="15"/>
      <c r="C2410" s="15"/>
      <c r="D2410" s="1720"/>
      <c r="E2410" s="416"/>
      <c r="F2410" s="1718"/>
      <c r="G2410" s="415" t="str">
        <f>EUconst_Unit</f>
        <v>Enhet</v>
      </c>
      <c r="H2410" s="743">
        <f t="shared" ref="H2410:N2410" si="431">H$2596</f>
        <v>2019</v>
      </c>
      <c r="I2410" s="743">
        <f t="shared" si="431"/>
        <v>2020</v>
      </c>
      <c r="J2410" s="743">
        <f t="shared" si="431"/>
        <v>2021</v>
      </c>
      <c r="K2410" s="625">
        <f t="shared" si="431"/>
        <v>2022</v>
      </c>
      <c r="L2410" s="625">
        <f t="shared" si="431"/>
        <v>2023</v>
      </c>
      <c r="M2410" s="625">
        <f t="shared" si="431"/>
        <v>2024</v>
      </c>
      <c r="N2410" s="625">
        <f t="shared" si="431"/>
        <v>2025</v>
      </c>
      <c r="O2410" s="19"/>
      <c r="P2410" s="343"/>
      <c r="Q2410" s="343"/>
      <c r="R2410" s="343"/>
      <c r="S2410" s="343"/>
      <c r="T2410" s="343"/>
      <c r="U2410" s="349"/>
      <c r="V2410" s="349"/>
    </row>
    <row r="2411" spans="1:22" s="534" customFormat="1" ht="13.5" customHeight="1" thickBot="1" x14ac:dyDescent="0.3">
      <c r="A2411" s="343"/>
      <c r="B2411" s="15"/>
      <c r="C2411" s="15"/>
      <c r="D2411" s="1720"/>
      <c r="E2411" s="1773" t="str">
        <f>Translations!$B$1056</f>
        <v>Totala tillskrivna utsläpp</v>
      </c>
      <c r="F2411" s="1773"/>
      <c r="G2411" s="710" t="str">
        <f>EUconst_tCO2epa</f>
        <v>t CO2e/år</v>
      </c>
      <c r="H2411" s="735" t="str">
        <f t="shared" ref="H2411:N2411" si="432">INDEX(H$92:H$108,MATCH($I2368,$E$92:$E$108,0))</f>
        <v/>
      </c>
      <c r="I2411" s="737" t="str">
        <f t="shared" si="432"/>
        <v/>
      </c>
      <c r="J2411" s="735" t="str">
        <f t="shared" si="432"/>
        <v/>
      </c>
      <c r="K2411" s="736" t="str">
        <f t="shared" si="432"/>
        <v/>
      </c>
      <c r="L2411" s="736" t="str">
        <f t="shared" si="432"/>
        <v/>
      </c>
      <c r="M2411" s="736" t="str">
        <f t="shared" si="432"/>
        <v/>
      </c>
      <c r="N2411" s="737" t="str">
        <f t="shared" si="432"/>
        <v/>
      </c>
      <c r="O2411" s="19"/>
      <c r="P2411" s="343"/>
      <c r="Q2411" s="343"/>
      <c r="R2411" s="343"/>
      <c r="S2411" s="343"/>
      <c r="T2411" s="7"/>
      <c r="U2411" s="349"/>
      <c r="V2411" s="349"/>
    </row>
    <row r="2412" spans="1:22" s="534" customFormat="1" ht="5.15" customHeight="1" x14ac:dyDescent="0.25">
      <c r="A2412" s="343"/>
      <c r="B2412" s="15"/>
      <c r="C2412" s="15"/>
      <c r="D2412" s="1720"/>
      <c r="E2412" s="416"/>
      <c r="F2412" s="416"/>
      <c r="G2412" s="416"/>
      <c r="H2412" s="738"/>
      <c r="I2412" s="738"/>
      <c r="J2412" s="738"/>
      <c r="K2412" s="738"/>
      <c r="L2412" s="738"/>
      <c r="M2412" s="738"/>
      <c r="N2412" s="738"/>
      <c r="O2412" s="19"/>
      <c r="P2412" s="343"/>
      <c r="Q2412" s="343"/>
      <c r="R2412" s="343"/>
      <c r="S2412" s="343"/>
      <c r="T2412" s="7"/>
      <c r="U2412" s="349"/>
      <c r="V2412" s="349"/>
    </row>
    <row r="2413" spans="1:22" s="534" customFormat="1" x14ac:dyDescent="0.25">
      <c r="A2413" s="343"/>
      <c r="B2413" s="15"/>
      <c r="C2413" s="15"/>
      <c r="D2413" s="1720"/>
      <c r="E2413" s="1775" t="str">
        <f>Translations!$B$571</f>
        <v>Insatsbränsle</v>
      </c>
      <c r="F2413" s="1703"/>
      <c r="G2413" s="365" t="str">
        <f>EUconst_TJpa</f>
        <v>TJ / år</v>
      </c>
      <c r="H2413" s="739" t="str">
        <f>IF($M2368&lt;&gt;EUconst_Relevant,"",IF(INDEX('G_Fall-back'!H:H,MATCH($P2413,'G_Fall-back'!$Q:$Q,0))="","",INDEX('G_Fall-back'!H:H,MATCH($P2413,'G_Fall-back'!$Q:$Q,0))))</f>
        <v/>
      </c>
      <c r="I2413" s="1153" t="str">
        <f>IF($M2368&lt;&gt;EUconst_Relevant,"",IF(INDEX('G_Fall-back'!I:I,MATCH($P2413,'G_Fall-back'!$Q:$Q,0))="","",INDEX('G_Fall-back'!I:I,MATCH($P2413,'G_Fall-back'!$Q:$Q,0))))</f>
        <v/>
      </c>
      <c r="J2413" s="1159" t="str">
        <f>IF($M2368&lt;&gt;EUconst_Relevant,"",IF(INDEX('G_Fall-back'!J:J,MATCH($P2413,'G_Fall-back'!$Q:$Q,0))="","",INDEX('G_Fall-back'!J:J,MATCH($P2413,'G_Fall-back'!$Q:$Q,0))))</f>
        <v/>
      </c>
      <c r="K2413" s="739" t="str">
        <f>IF($M2368&lt;&gt;EUconst_Relevant,"",IF(INDEX('G_Fall-back'!K:K,MATCH($P2413,'G_Fall-back'!$Q:$Q,0))="","",INDEX('G_Fall-back'!K:K,MATCH($P2413,'G_Fall-back'!$Q:$Q,0))))</f>
        <v/>
      </c>
      <c r="L2413" s="739" t="str">
        <f>IF($M2368&lt;&gt;EUconst_Relevant,"",IF(INDEX('G_Fall-back'!L:L,MATCH($P2413,'G_Fall-back'!$Q:$Q,0))="","",INDEX('G_Fall-back'!L:L,MATCH($P2413,'G_Fall-back'!$Q:$Q,0))))</f>
        <v/>
      </c>
      <c r="M2413" s="739" t="str">
        <f>IF($M2368&lt;&gt;EUconst_Relevant,"",IF(INDEX('G_Fall-back'!M:M,MATCH($P2413,'G_Fall-back'!$Q:$Q,0))="","",INDEX('G_Fall-back'!M:M,MATCH($P2413,'G_Fall-back'!$Q:$Q,0))))</f>
        <v/>
      </c>
      <c r="N2413" s="739" t="str">
        <f>IF($M2368&lt;&gt;EUconst_Relevant,"",IF(INDEX('G_Fall-back'!N:N,MATCH($P2413,'G_Fall-back'!$Q:$Q,0))="","",INDEX('G_Fall-back'!N:N,MATCH($P2413,'G_Fall-back'!$Q:$Q,0))))</f>
        <v/>
      </c>
      <c r="O2413" s="19"/>
      <c r="P2413" s="622" t="str">
        <f>EUconst_CNTR_FuelInput &amp; I2368</f>
        <v>FuelInput_Delanläggning med bränsleriktmärke, ej KL</v>
      </c>
      <c r="Q2413" s="343"/>
      <c r="R2413" s="343"/>
      <c r="S2413" s="343"/>
      <c r="T2413" s="343"/>
      <c r="U2413" s="349"/>
      <c r="V2413" s="349"/>
    </row>
    <row r="2414" spans="1:22" s="534" customFormat="1" ht="12.75" customHeight="1" x14ac:dyDescent="0.25">
      <c r="A2414" s="343"/>
      <c r="B2414" s="15"/>
      <c r="C2414" s="15"/>
      <c r="D2414" s="1720"/>
      <c r="E2414" s="1776" t="str">
        <f>Translations!$B$572</f>
        <v>Viktad emissionsfaktor</v>
      </c>
      <c r="F2414" s="1702"/>
      <c r="G2414" s="384" t="str">
        <f>EUconst_tCO2pTJ</f>
        <v>t CO2 / TJ</v>
      </c>
      <c r="H2414" s="740" t="str">
        <f>IF($M2368&lt;&gt;EUconst_Relevant,"",IF(INDEX('G_Fall-back'!H:H,MATCH($P2414,'G_Fall-back'!$Q:$Q,0))="","",INDEX('G_Fall-back'!H:H,MATCH($P2414,'G_Fall-back'!$Q:$Q,0))))</f>
        <v/>
      </c>
      <c r="I2414" s="1154" t="str">
        <f>IF($M2368&lt;&gt;EUconst_Relevant,"",IF(INDEX('G_Fall-back'!I:I,MATCH($P2414,'G_Fall-back'!$Q:$Q,0))="","",INDEX('G_Fall-back'!I:I,MATCH($P2414,'G_Fall-back'!$Q:$Q,0))))</f>
        <v/>
      </c>
      <c r="J2414" s="1160" t="str">
        <f>IF($M2368&lt;&gt;EUconst_Relevant,"",IF(INDEX('G_Fall-back'!J:J,MATCH($P2414,'G_Fall-back'!$Q:$Q,0))="","",INDEX('G_Fall-back'!J:J,MATCH($P2414,'G_Fall-back'!$Q:$Q,0))))</f>
        <v/>
      </c>
      <c r="K2414" s="740" t="str">
        <f>IF($M2368&lt;&gt;EUconst_Relevant,"",IF(INDEX('G_Fall-back'!K:K,MATCH($P2414,'G_Fall-back'!$Q:$Q,0))="","",INDEX('G_Fall-back'!K:K,MATCH($P2414,'G_Fall-back'!$Q:$Q,0))))</f>
        <v/>
      </c>
      <c r="L2414" s="740" t="str">
        <f>IF($M2368&lt;&gt;EUconst_Relevant,"",IF(INDEX('G_Fall-back'!L:L,MATCH($P2414,'G_Fall-back'!$Q:$Q,0))="","",INDEX('G_Fall-back'!L:L,MATCH($P2414,'G_Fall-back'!$Q:$Q,0))))</f>
        <v/>
      </c>
      <c r="M2414" s="740" t="str">
        <f>IF($M2368&lt;&gt;EUconst_Relevant,"",IF(INDEX('G_Fall-back'!M:M,MATCH($P2414,'G_Fall-back'!$Q:$Q,0))="","",INDEX('G_Fall-back'!M:M,MATCH($P2414,'G_Fall-back'!$Q:$Q,0))))</f>
        <v/>
      </c>
      <c r="N2414" s="740" t="str">
        <f>IF($M2368&lt;&gt;EUconst_Relevant,"",IF(INDEX('G_Fall-back'!N:N,MATCH($P2414,'G_Fall-back'!$Q:$Q,0))="","",INDEX('G_Fall-back'!N:N,MATCH($P2414,'G_Fall-back'!$Q:$Q,0))))</f>
        <v/>
      </c>
      <c r="O2414" s="19"/>
      <c r="P2414" s="298" t="str">
        <f>EUconst_CNTR_FuelEF &amp; I2368</f>
        <v>FuelEF_Delanläggning med bränsleriktmärke, ej KL</v>
      </c>
      <c r="Q2414" s="343"/>
      <c r="R2414" s="343"/>
      <c r="S2414" s="343"/>
      <c r="T2414" s="343"/>
      <c r="U2414" s="349"/>
      <c r="V2414" s="349"/>
    </row>
    <row r="2415" spans="1:22" s="534" customFormat="1" ht="12.75" customHeight="1" x14ac:dyDescent="0.25">
      <c r="A2415" s="343"/>
      <c r="B2415" s="15"/>
      <c r="C2415" s="15"/>
      <c r="D2415" s="1720"/>
      <c r="E2415" s="1775" t="str">
        <f>Translations!$B$688</f>
        <v>Insatsbränsle från restgaser</v>
      </c>
      <c r="F2415" s="1703"/>
      <c r="G2415" s="365" t="str">
        <f>EUconst_TJpa</f>
        <v>TJ / år</v>
      </c>
      <c r="H2415" s="739" t="str">
        <f>IF($M2368&lt;&gt;EUconst_Relevant,"",IF(INDEX('G_Fall-back'!H:H,MATCH($P2415,'G_Fall-back'!$Q:$Q,0))="","",INDEX('G_Fall-back'!H:H,MATCH($P2415,'G_Fall-back'!$Q:$Q,0))))</f>
        <v/>
      </c>
      <c r="I2415" s="1153" t="str">
        <f>IF($M2368&lt;&gt;EUconst_Relevant,"",IF(INDEX('G_Fall-back'!I:I,MATCH($P2415,'G_Fall-back'!$Q:$Q,0))="","",INDEX('G_Fall-back'!I:I,MATCH($P2415,'G_Fall-back'!$Q:$Q,0))))</f>
        <v/>
      </c>
      <c r="J2415" s="1159" t="str">
        <f>IF($M2368&lt;&gt;EUconst_Relevant,"",IF(INDEX('G_Fall-back'!J:J,MATCH($P2415,'G_Fall-back'!$Q:$Q,0))="","",INDEX('G_Fall-back'!J:J,MATCH($P2415,'G_Fall-back'!$Q:$Q,0))))</f>
        <v/>
      </c>
      <c r="K2415" s="739" t="str">
        <f>IF($M2368&lt;&gt;EUconst_Relevant,"",IF(INDEX('G_Fall-back'!K:K,MATCH($P2415,'G_Fall-back'!$Q:$Q,0))="","",INDEX('G_Fall-back'!K:K,MATCH($P2415,'G_Fall-back'!$Q:$Q,0))))</f>
        <v/>
      </c>
      <c r="L2415" s="739" t="str">
        <f>IF($M2368&lt;&gt;EUconst_Relevant,"",IF(INDEX('G_Fall-back'!L:L,MATCH($P2415,'G_Fall-back'!$Q:$Q,0))="","",INDEX('G_Fall-back'!L:L,MATCH($P2415,'G_Fall-back'!$Q:$Q,0))))</f>
        <v/>
      </c>
      <c r="M2415" s="739" t="str">
        <f>IF($M2368&lt;&gt;EUconst_Relevant,"",IF(INDEX('G_Fall-back'!M:M,MATCH($P2415,'G_Fall-back'!$Q:$Q,0))="","",INDEX('G_Fall-back'!M:M,MATCH($P2415,'G_Fall-back'!$Q:$Q,0))))</f>
        <v/>
      </c>
      <c r="N2415" s="739" t="str">
        <f>IF($M2368&lt;&gt;EUconst_Relevant,"",IF(INDEX('G_Fall-back'!N:N,MATCH($P2415,'G_Fall-back'!$Q:$Q,0))="","",INDEX('G_Fall-back'!N:N,MATCH($P2415,'G_Fall-back'!$Q:$Q,0))))</f>
        <v/>
      </c>
      <c r="O2415" s="19"/>
      <c r="P2415" s="355" t="str">
        <f>EUconst_CNTR_WGConsumed &amp; I2368</f>
        <v>WasteGasCons_Delanläggning med bränsleriktmärke, ej KL</v>
      </c>
      <c r="Q2415" s="343"/>
      <c r="R2415" s="343"/>
      <c r="S2415" s="343"/>
      <c r="T2415" s="343"/>
      <c r="U2415" s="349"/>
      <c r="V2415" s="349"/>
    </row>
    <row r="2416" spans="1:22" s="534" customFormat="1" ht="12.75" customHeight="1" x14ac:dyDescent="0.25">
      <c r="A2416" s="343"/>
      <c r="B2416" s="15"/>
      <c r="C2416" s="15"/>
      <c r="D2416" s="1720"/>
      <c r="E2416" s="1776" t="str">
        <f>Translations!$B$572</f>
        <v>Viktad emissionsfaktor</v>
      </c>
      <c r="F2416" s="1702"/>
      <c r="G2416" s="384" t="str">
        <f>EUconst_tCO2pTJ</f>
        <v>t CO2 / TJ</v>
      </c>
      <c r="H2416" s="740" t="str">
        <f>IF($M2368&lt;&gt;EUconst_Relevant,"",IF(INDEX('G_Fall-back'!H:H,MATCH($P2416,'G_Fall-back'!$Q:$Q,0))="","",INDEX('G_Fall-back'!H:H,MATCH($P2416,'G_Fall-back'!$Q:$Q,0))))</f>
        <v/>
      </c>
      <c r="I2416" s="1154" t="str">
        <f>IF($M2368&lt;&gt;EUconst_Relevant,"",IF(INDEX('G_Fall-back'!I:I,MATCH($P2416,'G_Fall-back'!$Q:$Q,0))="","",INDEX('G_Fall-back'!I:I,MATCH($P2416,'G_Fall-back'!$Q:$Q,0))))</f>
        <v/>
      </c>
      <c r="J2416" s="1160" t="str">
        <f>IF($M2368&lt;&gt;EUconst_Relevant,"",IF(INDEX('G_Fall-back'!J:J,MATCH($P2416,'G_Fall-back'!$Q:$Q,0))="","",INDEX('G_Fall-back'!J:J,MATCH($P2416,'G_Fall-back'!$Q:$Q,0))))</f>
        <v/>
      </c>
      <c r="K2416" s="740" t="str">
        <f>IF($M2368&lt;&gt;EUconst_Relevant,"",IF(INDEX('G_Fall-back'!K:K,MATCH($P2416,'G_Fall-back'!$Q:$Q,0))="","",INDEX('G_Fall-back'!K:K,MATCH($P2416,'G_Fall-back'!$Q:$Q,0))))</f>
        <v/>
      </c>
      <c r="L2416" s="740" t="str">
        <f>IF($M2368&lt;&gt;EUconst_Relevant,"",IF(INDEX('G_Fall-back'!L:L,MATCH($P2416,'G_Fall-back'!$Q:$Q,0))="","",INDEX('G_Fall-back'!L:L,MATCH($P2416,'G_Fall-back'!$Q:$Q,0))))</f>
        <v/>
      </c>
      <c r="M2416" s="740" t="str">
        <f>IF($M2368&lt;&gt;EUconst_Relevant,"",IF(INDEX('G_Fall-back'!M:M,MATCH($P2416,'G_Fall-back'!$Q:$Q,0))="","",INDEX('G_Fall-back'!M:M,MATCH($P2416,'G_Fall-back'!$Q:$Q,0))))</f>
        <v/>
      </c>
      <c r="N2416" s="740" t="str">
        <f>IF($M2368&lt;&gt;EUconst_Relevant,"",IF(INDEX('G_Fall-back'!N:N,MATCH($P2416,'G_Fall-back'!$Q:$Q,0))="","",INDEX('G_Fall-back'!N:N,MATCH($P2416,'G_Fall-back'!$Q:$Q,0))))</f>
        <v/>
      </c>
      <c r="O2416" s="19"/>
      <c r="P2416" s="298" t="str">
        <f>EUconst_CNTR_WGConsumedEF &amp; I2368</f>
        <v>WasteGasConsEF_Delanläggning med bränsleriktmärke, ej KL</v>
      </c>
      <c r="Q2416" s="343"/>
      <c r="R2416" s="343"/>
      <c r="S2416" s="343"/>
      <c r="T2416" s="343"/>
      <c r="U2416" s="349"/>
      <c r="V2416" s="349"/>
    </row>
    <row r="2417" spans="1:22" s="534" customFormat="1" ht="5.15" customHeight="1" x14ac:dyDescent="0.25">
      <c r="A2417" s="343"/>
      <c r="B2417" s="15"/>
      <c r="C2417" s="15"/>
      <c r="D2417" s="1720"/>
      <c r="E2417" s="416"/>
      <c r="F2417" s="623"/>
      <c r="G2417" s="623"/>
      <c r="H2417" s="741"/>
      <c r="I2417" s="741"/>
      <c r="J2417" s="741"/>
      <c r="K2417" s="741"/>
      <c r="L2417" s="741"/>
      <c r="M2417" s="741"/>
      <c r="N2417" s="741"/>
      <c r="O2417" s="19"/>
      <c r="P2417" s="343"/>
      <c r="Q2417" s="343"/>
      <c r="R2417" s="343"/>
      <c r="S2417" s="343"/>
      <c r="T2417" s="343"/>
      <c r="U2417" s="349"/>
      <c r="V2417" s="349"/>
    </row>
    <row r="2418" spans="1:22" s="534" customFormat="1" x14ac:dyDescent="0.25">
      <c r="A2418" s="343"/>
      <c r="B2418" s="15"/>
      <c r="C2418" s="15"/>
      <c r="D2418" s="1720"/>
      <c r="E2418" s="1774" t="str">
        <f>Translations!$B$528</f>
        <v>Direkta utsläpp</v>
      </c>
      <c r="F2418" s="1715"/>
      <c r="G2418" s="364" t="str">
        <f>EUconst_tCO2pa</f>
        <v>t CO2 / år</v>
      </c>
      <c r="H2418" s="742" t="str">
        <f>IF($M2368&lt;&gt;EUconst_Relevant,"",IF(INDEX('G_Fall-back'!H:H,MATCH($P2418,'G_Fall-back'!$Q:$Q,0))="","",INDEX('G_Fall-back'!H:H,MATCH($P2418,'G_Fall-back'!$Q:$Q,0))))</f>
        <v/>
      </c>
      <c r="I2418" s="1021" t="str">
        <f>IF($M2368&lt;&gt;EUconst_Relevant,"",IF(INDEX('G_Fall-back'!I:I,MATCH($P2418,'G_Fall-back'!$Q:$Q,0))="","",INDEX('G_Fall-back'!I:I,MATCH($P2418,'G_Fall-back'!$Q:$Q,0))))</f>
        <v/>
      </c>
      <c r="J2418" s="1158" t="str">
        <f>IF($M2368&lt;&gt;EUconst_Relevant,"",IF(INDEX('G_Fall-back'!J:J,MATCH($P2418,'G_Fall-back'!$Q:$Q,0))="","",INDEX('G_Fall-back'!J:J,MATCH($P2418,'G_Fall-back'!$Q:$Q,0))))</f>
        <v/>
      </c>
      <c r="K2418" s="742" t="str">
        <f>IF($M2368&lt;&gt;EUconst_Relevant,"",IF(INDEX('G_Fall-back'!K:K,MATCH($P2418,'G_Fall-back'!$Q:$Q,0))="","",INDEX('G_Fall-back'!K:K,MATCH($P2418,'G_Fall-back'!$Q:$Q,0))))</f>
        <v/>
      </c>
      <c r="L2418" s="742" t="str">
        <f>IF($M2368&lt;&gt;EUconst_Relevant,"",IF(INDEX('G_Fall-back'!L:L,MATCH($P2418,'G_Fall-back'!$Q:$Q,0))="","",INDEX('G_Fall-back'!L:L,MATCH($P2418,'G_Fall-back'!$Q:$Q,0))))</f>
        <v/>
      </c>
      <c r="M2418" s="742" t="str">
        <f>IF($M2368&lt;&gt;EUconst_Relevant,"",IF(INDEX('G_Fall-back'!M:M,MATCH($P2418,'G_Fall-back'!$Q:$Q,0))="","",INDEX('G_Fall-back'!M:M,MATCH($P2418,'G_Fall-back'!$Q:$Q,0))))</f>
        <v/>
      </c>
      <c r="N2418" s="742" t="str">
        <f>IF($M2368&lt;&gt;EUconst_Relevant,"",IF(INDEX('G_Fall-back'!N:N,MATCH($P2418,'G_Fall-back'!$Q:$Q,0))="","",INDEX('G_Fall-back'!N:N,MATCH($P2418,'G_Fall-back'!$Q:$Q,0))))</f>
        <v/>
      </c>
      <c r="O2418" s="19"/>
      <c r="P2418" s="298" t="str">
        <f>EUconst_CNTR_Emissions &amp; I2368</f>
        <v>DirEmissions_Delanläggning med bränsleriktmärke, ej KL</v>
      </c>
      <c r="Q2418" s="343"/>
      <c r="R2418" s="343"/>
      <c r="S2418" s="343"/>
      <c r="T2418" s="343"/>
      <c r="U2418" s="349"/>
      <c r="V2418" s="349"/>
    </row>
    <row r="2419" spans="1:22" s="534" customFormat="1" ht="5.15" customHeight="1" x14ac:dyDescent="0.25">
      <c r="A2419" s="343"/>
      <c r="B2419" s="15"/>
      <c r="C2419" s="15"/>
      <c r="D2419" s="1720"/>
      <c r="E2419" s="416"/>
      <c r="F2419" s="416"/>
      <c r="G2419" s="416"/>
      <c r="H2419" s="741"/>
      <c r="I2419" s="741"/>
      <c r="J2419" s="741"/>
      <c r="K2419" s="741"/>
      <c r="L2419" s="741"/>
      <c r="M2419" s="741"/>
      <c r="N2419" s="741"/>
      <c r="O2419" s="19"/>
      <c r="P2419" s="343"/>
      <c r="Q2419" s="343"/>
      <c r="R2419" s="343"/>
      <c r="S2419" s="343"/>
      <c r="T2419" s="343"/>
      <c r="U2419" s="349"/>
      <c r="V2419" s="349"/>
    </row>
    <row r="2420" spans="1:22" s="534" customFormat="1" x14ac:dyDescent="0.25">
      <c r="A2420" s="343"/>
      <c r="B2420" s="15"/>
      <c r="C2420" s="15"/>
      <c r="D2420" s="1720"/>
      <c r="E2420" s="1774" t="str">
        <f>Translations!$B$610</f>
        <v>Nettomängd exporterad värme</v>
      </c>
      <c r="F2420" s="1715"/>
      <c r="G2420" s="364" t="str">
        <f>EUconst_TJpa</f>
        <v>TJ / år</v>
      </c>
      <c r="H2420" s="742" t="str">
        <f>IF($M2368&lt;&gt;EUconst_Relevant,"",IF(INDEX('G_Fall-back'!H:H,MATCH($P2420,'G_Fall-back'!$Q:$Q,0))="","",INDEX('G_Fall-back'!H:H,MATCH($P2420,'G_Fall-back'!$Q:$Q,0))))</f>
        <v/>
      </c>
      <c r="I2420" s="1021" t="str">
        <f>IF($M2368&lt;&gt;EUconst_Relevant,"",IF(INDEX('G_Fall-back'!I:I,MATCH($P2420,'G_Fall-back'!$Q:$Q,0))="","",INDEX('G_Fall-back'!I:I,MATCH($P2420,'G_Fall-back'!$Q:$Q,0))))</f>
        <v/>
      </c>
      <c r="J2420" s="1158" t="str">
        <f>IF($M2368&lt;&gt;EUconst_Relevant,"",IF(INDEX('G_Fall-back'!J:J,MATCH($P2420,'G_Fall-back'!$Q:$Q,0))="","",INDEX('G_Fall-back'!J:J,MATCH($P2420,'G_Fall-back'!$Q:$Q,0))))</f>
        <v/>
      </c>
      <c r="K2420" s="742" t="str">
        <f>IF($M2368&lt;&gt;EUconst_Relevant,"",IF(INDEX('G_Fall-back'!K:K,MATCH($P2420,'G_Fall-back'!$Q:$Q,0))="","",INDEX('G_Fall-back'!K:K,MATCH($P2420,'G_Fall-back'!$Q:$Q,0))))</f>
        <v/>
      </c>
      <c r="L2420" s="742" t="str">
        <f>IF($M2368&lt;&gt;EUconst_Relevant,"",IF(INDEX('G_Fall-back'!L:L,MATCH($P2420,'G_Fall-back'!$Q:$Q,0))="","",INDEX('G_Fall-back'!L:L,MATCH($P2420,'G_Fall-back'!$Q:$Q,0))))</f>
        <v/>
      </c>
      <c r="M2420" s="742" t="str">
        <f>IF($M2368&lt;&gt;EUconst_Relevant,"",IF(INDEX('G_Fall-back'!M:M,MATCH($P2420,'G_Fall-back'!$Q:$Q,0))="","",INDEX('G_Fall-back'!M:M,MATCH($P2420,'G_Fall-back'!$Q:$Q,0))))</f>
        <v/>
      </c>
      <c r="N2420" s="742" t="str">
        <f>IF($M2368&lt;&gt;EUconst_Relevant,"",IF(INDEX('G_Fall-back'!N:N,MATCH($P2420,'G_Fall-back'!$Q:$Q,0))="","",INDEX('G_Fall-back'!N:N,MATCH($P2420,'G_Fall-back'!$Q:$Q,0))))</f>
        <v/>
      </c>
      <c r="O2420" s="19"/>
      <c r="P2420" s="298" t="str">
        <f>EUconst_CNTR_HeatExport &amp; I2368</f>
        <v>HeatEx_Delanläggning med bränsleriktmärke, ej KL</v>
      </c>
      <c r="Q2420" s="343"/>
      <c r="R2420" s="343"/>
      <c r="S2420" s="343"/>
      <c r="T2420" s="343"/>
      <c r="U2420" s="349"/>
      <c r="V2420" s="349"/>
    </row>
    <row r="2421" spans="1:22" s="534" customFormat="1" ht="12.75" customHeight="1" x14ac:dyDescent="0.25">
      <c r="A2421" s="343"/>
      <c r="B2421" s="15"/>
      <c r="C2421" s="15"/>
      <c r="D2421" s="1720"/>
      <c r="E2421" s="1774" t="str">
        <f>Translations!$B$720</f>
        <v>Särskild emissionsfaktor (värmeexport)</v>
      </c>
      <c r="F2421" s="1715"/>
      <c r="G2421" s="364" t="str">
        <f>EUconst_TJpa</f>
        <v>TJ / år</v>
      </c>
      <c r="H2421" s="742" t="str">
        <f>IF($M2368&lt;&gt;EUconst_Relevant,"",IF(INDEX('G_Fall-back'!H:H,MATCH($P2421,'G_Fall-back'!$Q:$Q,0))="","",INDEX('G_Fall-back'!H:H,MATCH($P2421,'G_Fall-back'!$Q:$Q,0))))</f>
        <v/>
      </c>
      <c r="I2421" s="1021" t="str">
        <f>IF($M2368&lt;&gt;EUconst_Relevant,"",IF(INDEX('G_Fall-back'!I:I,MATCH($P2421,'G_Fall-back'!$Q:$Q,0))="","",INDEX('G_Fall-back'!I:I,MATCH($P2421,'G_Fall-back'!$Q:$Q,0))))</f>
        <v/>
      </c>
      <c r="J2421" s="1158" t="str">
        <f>IF($M2368&lt;&gt;EUconst_Relevant,"",IF(INDEX('G_Fall-back'!J:J,MATCH($P2421,'G_Fall-back'!$Q:$Q,0))="","",INDEX('G_Fall-back'!J:J,MATCH($P2421,'G_Fall-back'!$Q:$Q,0))))</f>
        <v/>
      </c>
      <c r="K2421" s="742" t="str">
        <f>IF($M2368&lt;&gt;EUconst_Relevant,"",IF(INDEX('G_Fall-back'!K:K,MATCH($P2421,'G_Fall-back'!$Q:$Q,0))="","",INDEX('G_Fall-back'!K:K,MATCH($P2421,'G_Fall-back'!$Q:$Q,0))))</f>
        <v/>
      </c>
      <c r="L2421" s="742" t="str">
        <f>IF($M2368&lt;&gt;EUconst_Relevant,"",IF(INDEX('G_Fall-back'!L:L,MATCH($P2421,'G_Fall-back'!$Q:$Q,0))="","",INDEX('G_Fall-back'!L:L,MATCH($P2421,'G_Fall-back'!$Q:$Q,0))))</f>
        <v/>
      </c>
      <c r="M2421" s="742" t="str">
        <f>IF($M2368&lt;&gt;EUconst_Relevant,"",IF(INDEX('G_Fall-back'!M:M,MATCH($P2421,'G_Fall-back'!$Q:$Q,0))="","",INDEX('G_Fall-back'!M:M,MATCH($P2421,'G_Fall-back'!$Q:$Q,0))))</f>
        <v/>
      </c>
      <c r="N2421" s="742" t="str">
        <f>IF($M2368&lt;&gt;EUconst_Relevant,"",IF(INDEX('G_Fall-back'!N:N,MATCH($P2421,'G_Fall-back'!$Q:$Q,0))="","",INDEX('G_Fall-back'!N:N,MATCH($P2421,'G_Fall-back'!$Q:$Q,0))))</f>
        <v/>
      </c>
      <c r="O2421" s="19"/>
      <c r="P2421" s="165" t="str">
        <f>EUconst_CNTR_HeatExportEF &amp; I2368</f>
        <v>HeatExEF_Delanläggning med bränsleriktmärke, ej KL</v>
      </c>
      <c r="Q2421" s="343"/>
      <c r="R2421" s="343"/>
      <c r="S2421" s="343"/>
      <c r="T2421" s="343"/>
      <c r="U2421" s="349"/>
      <c r="V2421" s="349"/>
    </row>
    <row r="2422" spans="1:22" s="534" customFormat="1" ht="5.15" customHeight="1" thickBot="1" x14ac:dyDescent="0.3">
      <c r="A2422" s="343"/>
      <c r="B2422" s="15"/>
      <c r="C2422" s="15"/>
      <c r="D2422" s="1721"/>
      <c r="E2422" s="783"/>
      <c r="F2422" s="783"/>
      <c r="G2422" s="783"/>
      <c r="H2422" s="783"/>
      <c r="I2422" s="783"/>
      <c r="J2422" s="783"/>
      <c r="K2422" s="783"/>
      <c r="L2422" s="783"/>
      <c r="M2422" s="783"/>
      <c r="N2422" s="784"/>
      <c r="O2422" s="19"/>
      <c r="P2422" s="343"/>
      <c r="Q2422" s="343"/>
      <c r="R2422" s="343"/>
      <c r="S2422" s="343"/>
      <c r="T2422" s="343"/>
      <c r="U2422" s="349"/>
      <c r="V2422" s="349"/>
    </row>
    <row r="2423" spans="1:22" s="534" customFormat="1" ht="5.15" customHeight="1" thickBot="1" x14ac:dyDescent="0.3">
      <c r="A2423" s="343"/>
      <c r="B2423" s="15"/>
      <c r="C2423" s="15"/>
      <c r="D2423" s="15"/>
      <c r="E2423" s="15"/>
      <c r="F2423" s="15"/>
      <c r="G2423" s="15"/>
      <c r="M2423" s="15"/>
      <c r="N2423" s="15"/>
      <c r="O2423" s="19"/>
      <c r="P2423" s="343"/>
      <c r="Q2423" s="343"/>
      <c r="R2423" s="343"/>
      <c r="S2423" s="343"/>
      <c r="T2423" s="343"/>
      <c r="U2423" s="349"/>
      <c r="V2423" s="349"/>
    </row>
    <row r="2424" spans="1:22" s="534" customFormat="1" ht="5.15" customHeight="1" thickBot="1" x14ac:dyDescent="0.3">
      <c r="A2424" s="343"/>
      <c r="B2424" s="3"/>
      <c r="C2424" s="230"/>
      <c r="D2424" s="230"/>
      <c r="E2424" s="230"/>
      <c r="F2424" s="230"/>
      <c r="G2424" s="230"/>
      <c r="H2424" s="230"/>
      <c r="I2424" s="230"/>
      <c r="J2424" s="230"/>
      <c r="K2424" s="230"/>
      <c r="L2424" s="230"/>
      <c r="M2424" s="230"/>
      <c r="N2424" s="230"/>
      <c r="O2424" s="19"/>
      <c r="P2424" s="343"/>
      <c r="Q2424" s="343"/>
      <c r="R2424" s="343"/>
      <c r="S2424" s="343"/>
      <c r="T2424" s="343"/>
      <c r="U2424" s="349"/>
      <c r="V2424" s="349"/>
    </row>
    <row r="2425" spans="1:22" s="534" customFormat="1" ht="15" customHeight="1" thickBot="1" x14ac:dyDescent="0.35">
      <c r="A2425" s="343"/>
      <c r="B2425" s="15"/>
      <c r="C2425" s="17">
        <f>C2368+1</f>
        <v>16</v>
      </c>
      <c r="D2425" s="2053" t="str">
        <f>CONCATENATE(EUconst_FBSubinst," ",C2425-10, ":")</f>
        <v>”Fall-back”-delanläggning 6:</v>
      </c>
      <c r="E2425" s="2053"/>
      <c r="F2425" s="2053"/>
      <c r="G2425" s="2053"/>
      <c r="H2425" s="2081"/>
      <c r="I2425" s="2082" t="str">
        <f>INDEX(EUconst_FallBackListNames,$C2425-10)</f>
        <v>Delanläggning med processutsläpp, KL</v>
      </c>
      <c r="J2425" s="2083"/>
      <c r="K2425" s="2083"/>
      <c r="L2425" s="2084"/>
      <c r="M2425" s="2085" t="str">
        <f>IF(INDEX(CNTR_FallBackSubInstRelevant,C2425-10)="","",IF(INDEX(CNTR_FallBackSubInstRelevant,C2425-10),EUconst_Relevant,EUconst_NotRelevant))</f>
        <v/>
      </c>
      <c r="N2425" s="2086"/>
      <c r="O2425" s="19"/>
      <c r="P2425" s="343"/>
      <c r="Q2425" s="723">
        <f>C2425</f>
        <v>16</v>
      </c>
      <c r="R2425" s="722" t="str">
        <f>I2425</f>
        <v>Delanläggning med processutsläpp, KL</v>
      </c>
      <c r="S2425" s="343"/>
      <c r="T2425" s="343"/>
      <c r="U2425" s="349"/>
      <c r="V2425" s="349"/>
    </row>
    <row r="2426" spans="1:22" s="534" customFormat="1" ht="5.15" customHeight="1" x14ac:dyDescent="0.3">
      <c r="A2426" s="343"/>
      <c r="B2426" s="15"/>
      <c r="C2426" s="17"/>
      <c r="D2426" s="17"/>
      <c r="E2426" s="17"/>
      <c r="F2426" s="17"/>
      <c r="G2426" s="17"/>
      <c r="H2426" s="17"/>
      <c r="I2426" s="17"/>
      <c r="J2426" s="17"/>
      <c r="K2426" s="17"/>
      <c r="L2426" s="17"/>
      <c r="M2426" s="17"/>
      <c r="N2426" s="17"/>
      <c r="O2426" s="19"/>
      <c r="P2426" s="343"/>
      <c r="Q2426" s="343"/>
      <c r="R2426" s="343"/>
      <c r="S2426" s="343"/>
      <c r="T2426" s="343"/>
      <c r="U2426" s="349"/>
      <c r="V2426" s="349"/>
    </row>
    <row r="2427" spans="1:22" s="534" customFormat="1" ht="12.75" customHeight="1" x14ac:dyDescent="0.3">
      <c r="A2427" s="343"/>
      <c r="B2427" s="15"/>
      <c r="C2427" s="17"/>
      <c r="D2427" s="17"/>
      <c r="E2427" s="17"/>
      <c r="F2427" s="17"/>
      <c r="H2427" s="506" t="str">
        <f>Translations!$B$1022</f>
        <v>KL-risk</v>
      </c>
      <c r="I2427" s="15"/>
      <c r="J2427" s="506" t="str">
        <f>Translations!$B$1026</f>
        <v>I drift</v>
      </c>
      <c r="K2427" s="506" t="str">
        <f>Translations!$B$1545</f>
        <v>Upphört</v>
      </c>
      <c r="L2427" s="952" t="str">
        <f>Translations!$B$1024</f>
        <v>RM-nummer</v>
      </c>
      <c r="M2427" s="2786" t="str">
        <f>Translations!$B$1028</f>
        <v>RM-värde</v>
      </c>
      <c r="N2427" s="2786"/>
      <c r="O2427" s="19"/>
      <c r="P2427" s="343"/>
      <c r="Q2427" s="343"/>
      <c r="R2427" s="343"/>
      <c r="S2427" s="343"/>
      <c r="T2427" s="343"/>
      <c r="U2427" s="349"/>
      <c r="V2427" s="349"/>
    </row>
    <row r="2428" spans="1:22" s="534" customFormat="1" ht="12.75" customHeight="1" x14ac:dyDescent="0.3">
      <c r="A2428" s="343"/>
      <c r="B2428" s="15"/>
      <c r="C2428" s="17"/>
      <c r="D2428" s="17"/>
      <c r="E2428" s="508" t="str">
        <f>I2425</f>
        <v>Delanläggning med processutsläpp, KL</v>
      </c>
      <c r="F2428" s="509"/>
      <c r="G2428" s="509"/>
      <c r="H2428" s="510" t="b">
        <f>INDEX(EUconst_FallBackListCLstatus,MATCH(I2425,EUconst_FallBackListNames,0))</f>
        <v>1</v>
      </c>
      <c r="I2428" s="15"/>
      <c r="J2428" s="1045" t="str">
        <f>IF($M2425&lt;&gt;EUconst_Relevant,EUconst_NA,INDEX(CNTR_SubInstStartDate,MATCH(I2425,CNTR_SubInstListNames,0)))</f>
        <v>Ej tillämpligt</v>
      </c>
      <c r="K2428" s="1045" t="str">
        <f>IF($M2425&lt;&gt;EUconst_Relevant,EUconst_NA,IF(INDEX(CNTR_SubInstCessationDate,MATCH(I2425,CNTR_SubInstListNames,0))=0,"",INDEX(CNTR_SubInstCessationDate,MATCH(I2425,CNTR_SubInstListNames,0))))</f>
        <v>Ej tillämpligt</v>
      </c>
      <c r="L2428" s="953">
        <f>C2425-10</f>
        <v>6</v>
      </c>
      <c r="M2428" s="1745" t="str">
        <f>IF(M2425&lt;&gt;EUconst_Relevant,EUconst_NA,INDEX(EUconst_FallBackListBMvaluesMatrix,L2428,3))</f>
        <v>Ej tillämpligt</v>
      </c>
      <c r="N2428" s="1041" t="str">
        <f>EUconst_EUA &amp; "/" &amp; F2431</f>
        <v>EUA/t CO2e</v>
      </c>
      <c r="O2428" s="19"/>
      <c r="P2428" s="343"/>
      <c r="Q2428" s="343"/>
      <c r="R2428" s="343"/>
      <c r="S2428" s="343"/>
      <c r="T2428" s="343"/>
      <c r="U2428" s="349"/>
      <c r="V2428" s="349"/>
    </row>
    <row r="2429" spans="1:22" s="534" customFormat="1" ht="5.15" customHeight="1" thickBot="1" x14ac:dyDescent="0.35">
      <c r="A2429" s="343"/>
      <c r="B2429" s="15"/>
      <c r="C2429" s="15"/>
      <c r="D2429" s="15"/>
      <c r="E2429" s="17"/>
      <c r="J2429" s="15"/>
      <c r="K2429" s="15"/>
      <c r="L2429" s="15"/>
      <c r="M2429" s="15"/>
      <c r="N2429" s="15"/>
      <c r="O2429" s="19"/>
      <c r="P2429" s="343"/>
      <c r="Q2429" s="343"/>
      <c r="R2429" s="343"/>
      <c r="S2429" s="343"/>
      <c r="T2429" s="7"/>
      <c r="U2429" s="349"/>
      <c r="V2429" s="349"/>
    </row>
    <row r="2430" spans="1:22" s="534" customFormat="1" ht="12.75" customHeight="1" x14ac:dyDescent="0.25">
      <c r="A2430" s="343"/>
      <c r="B2430" s="15"/>
      <c r="C2430" s="15"/>
      <c r="D2430" s="15"/>
      <c r="E2430" s="39"/>
      <c r="F2430" s="13" t="str">
        <f>EUconst_Unit</f>
        <v>Enhet</v>
      </c>
      <c r="G2430" s="1201" t="str">
        <f>Translations!$B$1432</f>
        <v>HAL</v>
      </c>
      <c r="H2430" s="987">
        <f t="shared" ref="H2430:N2430" si="433">H$2596</f>
        <v>2019</v>
      </c>
      <c r="I2430" s="342">
        <f t="shared" si="433"/>
        <v>2020</v>
      </c>
      <c r="J2430" s="987">
        <f t="shared" si="433"/>
        <v>2021</v>
      </c>
      <c r="K2430" s="320">
        <f t="shared" si="433"/>
        <v>2022</v>
      </c>
      <c r="L2430" s="320">
        <f t="shared" si="433"/>
        <v>2023</v>
      </c>
      <c r="M2430" s="320">
        <f t="shared" si="433"/>
        <v>2024</v>
      </c>
      <c r="N2430" s="320">
        <f t="shared" si="433"/>
        <v>2025</v>
      </c>
      <c r="O2430" s="19"/>
      <c r="P2430" s="343"/>
      <c r="Q2430" s="343" t="s">
        <v>2010</v>
      </c>
      <c r="R2430" s="1635">
        <f>J$2596</f>
        <v>2021</v>
      </c>
      <c r="S2430" s="1636">
        <f>K$2596</f>
        <v>2022</v>
      </c>
      <c r="T2430" s="1636">
        <f>L$2596</f>
        <v>2023</v>
      </c>
      <c r="U2430" s="1636">
        <f>M$2596</f>
        <v>2024</v>
      </c>
      <c r="V2430" s="1637">
        <f>N$2596</f>
        <v>2025</v>
      </c>
    </row>
    <row r="2431" spans="1:22" s="534" customFormat="1" ht="12.75" customHeight="1" thickBot="1" x14ac:dyDescent="0.3">
      <c r="A2431" s="343"/>
      <c r="B2431" s="15"/>
      <c r="C2431" s="15"/>
      <c r="D2431" s="15"/>
      <c r="E2431" s="514" t="str">
        <f>Translations!$B$1562</f>
        <v>Rapporterad verksamhetsnivå</v>
      </c>
      <c r="F2431" s="563" t="str">
        <f>INDEX(EUconst_FallBackListUnits,L2428)</f>
        <v>t CO2e</v>
      </c>
      <c r="G2431" s="1407" t="str">
        <f>I2454</f>
        <v/>
      </c>
      <c r="H2431" s="1408" t="str">
        <f>IF($M2425&lt;&gt;EUconst_Relevant,"",IF(H2430&gt;=CNTR_ReportingYear,"",SUMIF('G_Fall-back'!$Q:$Q,$P2431,'G_Fall-back'!H:H)))</f>
        <v/>
      </c>
      <c r="I2431" s="1409" t="str">
        <f>IF($M2425&lt;&gt;EUconst_Relevant,"",IF(I2430&gt;=CNTR_ReportingYear,"",SUMIF('G_Fall-back'!$Q:$Q,$P2431,'G_Fall-back'!I:I)))</f>
        <v/>
      </c>
      <c r="J2431" s="1408" t="str">
        <f>IF($M2425&lt;&gt;EUconst_Relevant,"",IF(J2430&gt;=CNTR_ReportingYear,"",SUMIF('G_Fall-back'!$Q:$Q,$P2431,'G_Fall-back'!J:J)))</f>
        <v/>
      </c>
      <c r="K2431" s="1410" t="str">
        <f>IF($M2425&lt;&gt;EUconst_Relevant,"",IF(K2430&gt;=CNTR_ReportingYear,"",SUMIF('G_Fall-back'!$Q:$Q,$P2431,'G_Fall-back'!K:K)))</f>
        <v/>
      </c>
      <c r="L2431" s="1410" t="str">
        <f>IF($M2425&lt;&gt;EUconst_Relevant,"",IF(L2430&gt;=CNTR_ReportingYear,"",SUMIF('G_Fall-back'!$Q:$Q,$P2431,'G_Fall-back'!L:L)))</f>
        <v/>
      </c>
      <c r="M2431" s="1410" t="str">
        <f>IF($M2425&lt;&gt;EUconst_Relevant,"",IF(M2430&gt;=CNTR_ReportingYear,"",SUMIF('G_Fall-back'!$Q:$Q,$P2431,'G_Fall-back'!M:M)))</f>
        <v/>
      </c>
      <c r="N2431" s="1410" t="str">
        <f>IF($M2425&lt;&gt;EUconst_Relevant,"",IF(N2430&gt;=CNTR_ReportingYear,"",SUMIF('G_Fall-back'!$Q:$Q,$P2431,'G_Fall-back'!N:N)))</f>
        <v/>
      </c>
      <c r="O2431" s="19"/>
      <c r="P2431" s="165" t="str">
        <f>EUconst_CNTR_HAL&amp;I2425</f>
        <v>HAL_Delanläggning med processutsläpp, KL</v>
      </c>
      <c r="Q2431" s="343"/>
      <c r="R2431" s="1329" t="b">
        <f>AND($M2425=EUconst_Relevant,R2430&lt;=CNTR_ReportingYear,IF($J2428&lt;&gt;EUconst_NA,R2430&gt;=YEAR($J2428),TRUE))</f>
        <v>0</v>
      </c>
      <c r="S2431" s="1330" t="b">
        <f>AND($M2425=EUconst_Relevant,S2430&lt;=CNTR_ReportingYear,IF($J2428&lt;&gt;EUconst_NA,S2430&gt;=YEAR($J2428),TRUE))</f>
        <v>0</v>
      </c>
      <c r="T2431" s="1330" t="b">
        <f>AND($M2425=EUconst_Relevant,T2430&lt;=CNTR_ReportingYear,IF($J2428&lt;&gt;EUconst_NA,T2430&gt;=YEAR($J2428),TRUE))</f>
        <v>0</v>
      </c>
      <c r="U2431" s="1330" t="b">
        <f>AND($M2425=EUconst_Relevant,U2430&lt;=CNTR_ReportingYear,IF($J2428&lt;&gt;EUconst_NA,U2430&gt;=YEAR($J2428),TRUE))</f>
        <v>0</v>
      </c>
      <c r="V2431" s="1331" t="b">
        <f>AND($M2425=EUconst_Relevant,V2430&lt;=CNTR_ReportingYear,IF($J2428&lt;&gt;EUconst_NA,V2430&gt;=YEAR($J2428),TRUE))</f>
        <v>0</v>
      </c>
    </row>
    <row r="2432" spans="1:22" s="534" customFormat="1" ht="5.15" customHeight="1" thickBot="1" x14ac:dyDescent="0.3">
      <c r="A2432" s="343"/>
      <c r="B2432" s="15"/>
      <c r="C2432" s="15"/>
      <c r="D2432" s="15"/>
      <c r="F2432" s="15"/>
      <c r="G2432" s="15"/>
      <c r="H2432" s="15"/>
      <c r="I2432" s="941"/>
      <c r="J2432" s="15"/>
      <c r="K2432" s="15"/>
      <c r="L2432" s="15"/>
      <c r="M2432" s="15"/>
      <c r="N2432" s="15"/>
      <c r="O2432" s="19"/>
      <c r="P2432" s="343"/>
      <c r="Q2432" s="343"/>
      <c r="R2432" s="343"/>
      <c r="S2432" s="343"/>
      <c r="T2432" s="7"/>
      <c r="U2432" s="349"/>
      <c r="V2432" s="349"/>
    </row>
    <row r="2433" spans="1:22" s="534" customFormat="1" ht="5.15" customHeight="1" x14ac:dyDescent="0.3">
      <c r="A2433" s="343"/>
      <c r="B2433" s="15"/>
      <c r="C2433" s="17"/>
      <c r="D2433" s="1383"/>
      <c r="E2433" s="1384"/>
      <c r="F2433" s="1384"/>
      <c r="G2433" s="1384"/>
      <c r="H2433" s="1384"/>
      <c r="I2433" s="1384"/>
      <c r="J2433" s="1384"/>
      <c r="K2433" s="1384"/>
      <c r="L2433" s="1384"/>
      <c r="M2433" s="1384"/>
      <c r="N2433" s="1385"/>
      <c r="O2433" s="19"/>
      <c r="P2433" s="343"/>
      <c r="Q2433" s="343"/>
      <c r="R2433" s="343"/>
      <c r="S2433" s="343"/>
      <c r="T2433" s="343"/>
      <c r="U2433" s="349"/>
      <c r="V2433" s="349"/>
    </row>
    <row r="2434" spans="1:22" s="534" customFormat="1" ht="12.75" customHeight="1" x14ac:dyDescent="0.3">
      <c r="A2434" s="343"/>
      <c r="B2434" s="15"/>
      <c r="C2434" s="17"/>
      <c r="D2434" s="1386"/>
      <c r="E2434" s="42" t="str">
        <f>Translations!$B$1563</f>
        <v>Tillämplighet av glidande medelvärde</v>
      </c>
      <c r="F2434" s="188"/>
      <c r="G2434" s="188"/>
      <c r="H2434" s="30" t="str">
        <f>EUconst_Unit</f>
        <v>Enhet</v>
      </c>
      <c r="I2434" s="1157"/>
      <c r="J2434" s="1065">
        <f>J$2596</f>
        <v>2021</v>
      </c>
      <c r="K2434" s="350">
        <f>K$2596</f>
        <v>2022</v>
      </c>
      <c r="L2434" s="350">
        <f>L$2596</f>
        <v>2023</v>
      </c>
      <c r="M2434" s="350">
        <f>M$2596</f>
        <v>2024</v>
      </c>
      <c r="N2434" s="966">
        <f>N$2596</f>
        <v>2025</v>
      </c>
      <c r="O2434" s="19"/>
      <c r="P2434" s="343"/>
      <c r="Q2434" s="343"/>
      <c r="R2434" s="343"/>
      <c r="S2434" s="343"/>
      <c r="T2434" s="343"/>
      <c r="U2434" s="349"/>
      <c r="V2434" s="349"/>
    </row>
    <row r="2435" spans="1:22" s="534" customFormat="1" ht="12.75" customHeight="1" x14ac:dyDescent="0.3">
      <c r="A2435" s="343"/>
      <c r="B2435" s="15"/>
      <c r="C2435" s="17"/>
      <c r="D2435" s="1386"/>
      <c r="E2435" s="1477" t="str">
        <f>Translations!$B$1549</f>
        <v>Kriterium 1: Verksam &gt;2 år?</v>
      </c>
      <c r="F2435" s="1478"/>
      <c r="G2435" s="1478"/>
      <c r="H2435" s="1366" t="s">
        <v>1112</v>
      </c>
      <c r="I2435" s="1478"/>
      <c r="J2435" s="1469" t="str">
        <f>IF(R2431,INDEX('G_Fall-back'!V:V,MATCH($P2435,'G_Fall-back'!$Q:$Q,0))&gt;=3,"")</f>
        <v/>
      </c>
      <c r="K2435" s="1470" t="str">
        <f>IF(S2431,INDEX('G_Fall-back'!W:W,MATCH($P2435,'G_Fall-back'!$Q:$Q,0))&gt;=3,"")</f>
        <v/>
      </c>
      <c r="L2435" s="1470" t="str">
        <f>IF(T2431,INDEX('G_Fall-back'!X:X,MATCH($P2435,'G_Fall-back'!$Q:$Q,0))&gt;=3,"")</f>
        <v/>
      </c>
      <c r="M2435" s="1470" t="str">
        <f>IF(U2431,INDEX('G_Fall-back'!Y:Y,MATCH($P2435,'G_Fall-back'!$Q:$Q,0))&gt;=3,"")</f>
        <v/>
      </c>
      <c r="N2435" s="1471" t="str">
        <f>IF(V2431,INDEX('G_Fall-back'!Z:Z,MATCH($P2435,'G_Fall-back'!$Q:$Q,0))&gt;=3,"")</f>
        <v/>
      </c>
      <c r="O2435" s="19"/>
      <c r="P2435" s="165" t="str">
        <f>EUconst_CNTR_HALinitial&amp;I2425</f>
        <v>HALini_Delanläggning med processutsläpp, KL</v>
      </c>
      <c r="Q2435" s="343"/>
      <c r="R2435" s="343"/>
      <c r="S2435" s="343"/>
      <c r="T2435" s="343"/>
      <c r="U2435" s="349"/>
      <c r="V2435" s="349"/>
    </row>
    <row r="2436" spans="1:22" s="534" customFormat="1" ht="12.75" customHeight="1" x14ac:dyDescent="0.3">
      <c r="A2436" s="343"/>
      <c r="B2436" s="15"/>
      <c r="C2436" s="17"/>
      <c r="D2436" s="1386"/>
      <c r="E2436" s="1472" t="str">
        <f>Translations!$B$1551</f>
        <v>Kriterium 2: Upphörde inte föregående år?</v>
      </c>
      <c r="F2436" s="1479"/>
      <c r="G2436" s="1479"/>
      <c r="H2436" s="1473" t="s">
        <v>1112</v>
      </c>
      <c r="I2436" s="1479"/>
      <c r="J2436" s="1474" t="str">
        <f>IF(R2431,IF($K2428="",2050,YEAR($K2428))&lt;&gt;(J2434-1),"")</f>
        <v/>
      </c>
      <c r="K2436" s="1475" t="str">
        <f>IF(S2431,IF($K2428="",2050,YEAR($K2428))&lt;&gt;(K2434-1),"")</f>
        <v/>
      </c>
      <c r="L2436" s="1475" t="str">
        <f>IF(T2431,IF($K2428="",2050,YEAR($K2428))&lt;&gt;(L2434-1),"")</f>
        <v/>
      </c>
      <c r="M2436" s="1475" t="str">
        <f>IF(U2431,IF($K2428="",2050,YEAR($K2428))&lt;&gt;(M2434-1),"")</f>
        <v/>
      </c>
      <c r="N2436" s="1476" t="str">
        <f>IF(V2431,IF($K2428="",2050,YEAR($K2428))&lt;&gt;(N2434-1),"")</f>
        <v/>
      </c>
      <c r="O2436" s="19"/>
      <c r="P2436" s="343"/>
      <c r="Q2436" s="343"/>
      <c r="R2436" s="343"/>
      <c r="S2436" s="343"/>
      <c r="T2436" s="343"/>
      <c r="U2436" s="349"/>
      <c r="V2436" s="349"/>
    </row>
    <row r="2437" spans="1:22" s="534" customFormat="1" ht="5.15" customHeight="1" x14ac:dyDescent="0.3">
      <c r="A2437" s="343"/>
      <c r="B2437" s="15"/>
      <c r="C2437" s="17"/>
      <c r="D2437" s="1386"/>
      <c r="E2437" s="17"/>
      <c r="F2437" s="17"/>
      <c r="G2437" s="17"/>
      <c r="H2437" s="17"/>
      <c r="I2437" s="17"/>
      <c r="J2437" s="17"/>
      <c r="K2437" s="17"/>
      <c r="L2437" s="17"/>
      <c r="M2437" s="17"/>
      <c r="N2437" s="1388"/>
      <c r="O2437" s="19"/>
      <c r="P2437" s="343"/>
      <c r="Q2437" s="343"/>
      <c r="R2437" s="343"/>
      <c r="S2437" s="343"/>
      <c r="T2437" s="343"/>
      <c r="U2437" s="349"/>
      <c r="V2437" s="349"/>
    </row>
    <row r="2438" spans="1:22" s="534" customFormat="1" ht="12.75" customHeight="1" x14ac:dyDescent="0.3">
      <c r="A2438" s="343"/>
      <c r="B2438" s="15"/>
      <c r="C2438" s="17"/>
      <c r="D2438" s="1386"/>
      <c r="E2438" s="39" t="str">
        <f>Translations!$B$1564</f>
        <v>Ändringar: Ingen ändring (bas)</v>
      </c>
      <c r="F2438" s="15"/>
      <c r="G2438" s="15"/>
      <c r="H2438" s="30" t="str">
        <f>EUconst_Unit</f>
        <v>Enhet</v>
      </c>
      <c r="I2438" s="1157"/>
      <c r="J2438" s="987">
        <f>J$2596</f>
        <v>2021</v>
      </c>
      <c r="K2438" s="320">
        <f>K$2596</f>
        <v>2022</v>
      </c>
      <c r="L2438" s="320">
        <f>L$2596</f>
        <v>2023</v>
      </c>
      <c r="M2438" s="320">
        <f>M$2596</f>
        <v>2024</v>
      </c>
      <c r="N2438" s="1387">
        <f>N$2596</f>
        <v>2025</v>
      </c>
      <c r="O2438" s="19"/>
      <c r="P2438" s="343"/>
      <c r="Q2438" s="343"/>
      <c r="R2438" s="343"/>
      <c r="S2438" s="343"/>
      <c r="T2438" s="343"/>
      <c r="U2438" s="349"/>
      <c r="V2438" s="349"/>
    </row>
    <row r="2439" spans="1:22" s="534" customFormat="1" ht="12.75" hidden="1" customHeight="1" x14ac:dyDescent="0.3">
      <c r="A2439" s="343" t="str">
        <f>IF(P2439="","ausblenden","")</f>
        <v>ausblenden</v>
      </c>
      <c r="B2439" s="15"/>
      <c r="C2439" s="17"/>
      <c r="D2439" s="1386"/>
      <c r="E2439" s="514" t="s">
        <v>1918</v>
      </c>
      <c r="F2439" s="514"/>
      <c r="G2439" s="514"/>
      <c r="H2439" s="917" t="str">
        <f>F2431</f>
        <v>t CO2e</v>
      </c>
      <c r="I2439" s="514"/>
      <c r="J2439" s="1411" t="str">
        <f>IF(T2455&gt;=$H$2595,S2454,I2454)</f>
        <v/>
      </c>
      <c r="K2439" s="1413" t="str">
        <f>J2454</f>
        <v/>
      </c>
      <c r="L2439" s="1413" t="str">
        <f>K2454</f>
        <v/>
      </c>
      <c r="M2439" s="1413" t="str">
        <f>L2454</f>
        <v/>
      </c>
      <c r="N2439" s="1466" t="str">
        <f>M2454</f>
        <v/>
      </c>
      <c r="O2439" s="19"/>
      <c r="P2439" s="343"/>
      <c r="Q2439" s="343"/>
      <c r="R2439" s="343"/>
      <c r="S2439" s="343"/>
      <c r="T2439" s="343"/>
      <c r="U2439" s="349"/>
      <c r="V2439" s="349"/>
    </row>
    <row r="2440" spans="1:22" s="534" customFormat="1" ht="12.75" customHeight="1" x14ac:dyDescent="0.3">
      <c r="A2440" s="343"/>
      <c r="B2440" s="15"/>
      <c r="C2440" s="17"/>
      <c r="D2440" s="1386"/>
      <c r="E2440" s="514" t="str">
        <f>Translations!$B$1565</f>
        <v>Preliminärt tilldelningsvärde</v>
      </c>
      <c r="F2440" s="514"/>
      <c r="G2440" s="514"/>
      <c r="H2440" s="129" t="str">
        <f>EUconst_EUA</f>
        <v>EUA</v>
      </c>
      <c r="I2440" s="1151"/>
      <c r="J2440" s="1131" t="str">
        <f>IF($M2425&lt;&gt;EUconst_Relevant,"",MAX(0,ROUND((SUM($M2428)*SUM(J2439))*IF($H2428=TRUE,1,J$2517),0)))</f>
        <v/>
      </c>
      <c r="K2440" s="421" t="str">
        <f>IF($M2425&lt;&gt;EUconst_Relevant,"",MAX(0,ROUND((SUM($M2428)*SUM(K2439))*IF($H2428=TRUE,1,K$2517),0)))</f>
        <v/>
      </c>
      <c r="L2440" s="421" t="str">
        <f>IF($M2425&lt;&gt;EUconst_Relevant,"",MAX(0,ROUND((SUM($M2428)*SUM(L2439))*IF($H2428=TRUE,1,L$2517),0)))</f>
        <v/>
      </c>
      <c r="M2440" s="421" t="str">
        <f>IF($M2425&lt;&gt;EUconst_Relevant,"",MAX(0,ROUND((SUM($M2428)*SUM(M2439))*IF($H2428=TRUE,1,M$2517),0)))</f>
        <v/>
      </c>
      <c r="N2440" s="967" t="str">
        <f>IF($M2425&lt;&gt;EUconst_Relevant,"",MAX(0,ROUND((SUM($M2428)*SUM(N2439))*IF($H2428=TRUE,1,N$2517),0)))</f>
        <v/>
      </c>
      <c r="O2440" s="19"/>
      <c r="P2440" s="343"/>
      <c r="Q2440" s="343"/>
      <c r="R2440" s="343"/>
      <c r="S2440" s="343"/>
      <c r="T2440" s="343"/>
      <c r="U2440" s="349"/>
      <c r="V2440" s="349"/>
    </row>
    <row r="2441" spans="1:22" s="534" customFormat="1" ht="5.15" customHeight="1" x14ac:dyDescent="0.3">
      <c r="A2441" s="343"/>
      <c r="B2441" s="15"/>
      <c r="C2441" s="17"/>
      <c r="D2441" s="1386"/>
      <c r="E2441" s="17"/>
      <c r="F2441" s="17"/>
      <c r="G2441" s="17"/>
      <c r="H2441" s="17"/>
      <c r="I2441" s="17"/>
      <c r="J2441" s="17"/>
      <c r="K2441" s="17"/>
      <c r="L2441" s="17"/>
      <c r="M2441" s="17"/>
      <c r="N2441" s="1388"/>
      <c r="O2441" s="19"/>
      <c r="P2441" s="343"/>
      <c r="Q2441" s="343"/>
      <c r="R2441" s="343"/>
      <c r="S2441" s="343"/>
      <c r="T2441" s="343"/>
      <c r="U2441" s="349"/>
      <c r="V2441" s="349"/>
    </row>
    <row r="2442" spans="1:22" s="534" customFormat="1" ht="12.75" customHeight="1" x14ac:dyDescent="0.3">
      <c r="A2442" s="343"/>
      <c r="B2442" s="15"/>
      <c r="C2442" s="17"/>
      <c r="D2442" s="1386"/>
      <c r="E2442" s="42" t="str">
        <f>Translations!$B$1566</f>
        <v>Ändringar: Verksamhetsnivå</v>
      </c>
      <c r="F2442" s="188"/>
      <c r="G2442" s="188"/>
      <c r="H2442" s="30" t="str">
        <f>EUconst_Unit</f>
        <v>Enhet</v>
      </c>
      <c r="I2442" s="1157"/>
      <c r="J2442" s="1065">
        <f>J$2596</f>
        <v>2021</v>
      </c>
      <c r="K2442" s="350">
        <f>K$2596</f>
        <v>2022</v>
      </c>
      <c r="L2442" s="350">
        <f>L$2596</f>
        <v>2023</v>
      </c>
      <c r="M2442" s="350">
        <f>M$2596</f>
        <v>2024</v>
      </c>
      <c r="N2442" s="966">
        <f>N$2596</f>
        <v>2025</v>
      </c>
      <c r="O2442" s="19"/>
      <c r="P2442" s="343"/>
      <c r="Q2442" s="343"/>
      <c r="R2442" s="343"/>
      <c r="S2442" s="343"/>
      <c r="T2442" s="343"/>
      <c r="U2442" s="349"/>
      <c r="V2442" s="349"/>
    </row>
    <row r="2443" spans="1:22" s="534" customFormat="1" ht="12.75" customHeight="1" x14ac:dyDescent="0.3">
      <c r="A2443" s="343"/>
      <c r="B2443" s="15"/>
      <c r="C2443" s="17"/>
      <c r="D2443" s="1386"/>
      <c r="E2443" s="944" t="str">
        <f>Translations!$B$1482</f>
        <v>Genomsnittligt årligt värde</v>
      </c>
      <c r="F2443" s="944"/>
      <c r="G2443" s="944"/>
      <c r="H2443" s="1443" t="str">
        <f>H2439</f>
        <v>t CO2e</v>
      </c>
      <c r="I2443" s="1367"/>
      <c r="J2443" s="1463" t="str">
        <f>INDEX('G_Fall-back'!J:J,MATCH($P2443,'G_Fall-back'!$Q:$Q,0))</f>
        <v/>
      </c>
      <c r="K2443" s="1464" t="str">
        <f>INDEX('G_Fall-back'!K:K,MATCH($P2443,'G_Fall-back'!$Q:$Q,0))</f>
        <v/>
      </c>
      <c r="L2443" s="1464" t="str">
        <f>INDEX('G_Fall-back'!L:L,MATCH($P2443,'G_Fall-back'!$Q:$Q,0))</f>
        <v/>
      </c>
      <c r="M2443" s="1464" t="str">
        <f>INDEX('G_Fall-back'!M:M,MATCH($P2443,'G_Fall-back'!$Q:$Q,0))</f>
        <v/>
      </c>
      <c r="N2443" s="1465" t="str">
        <f>INDEX('G_Fall-back'!N:N,MATCH($P2443,'G_Fall-back'!$Q:$Q,0))</f>
        <v/>
      </c>
      <c r="O2443" s="19"/>
      <c r="P2443" s="165" t="str">
        <f>EUconst_CNTR_HALinitial&amp;I2425</f>
        <v>HALini_Delanläggning med processutsläpp, KL</v>
      </c>
      <c r="Q2443" s="343"/>
      <c r="R2443" s="343"/>
      <c r="S2443" s="343"/>
      <c r="T2443" s="343"/>
      <c r="U2443" s="349"/>
      <c r="V2443" s="349"/>
    </row>
    <row r="2444" spans="1:22" s="534" customFormat="1" ht="12.75" customHeight="1" x14ac:dyDescent="0.3">
      <c r="A2444" s="343"/>
      <c r="B2444" s="15"/>
      <c r="C2444" s="17"/>
      <c r="D2444" s="1386"/>
      <c r="E2444" s="947" t="str">
        <f>Translations!$B$1567</f>
        <v>Ändring jämfört med historik verksamhetsnivå</v>
      </c>
      <c r="F2444" s="947"/>
      <c r="G2444" s="947"/>
      <c r="H2444" s="1442" t="s">
        <v>1112</v>
      </c>
      <c r="I2444" s="1371"/>
      <c r="J2444" s="1415" t="str">
        <f>INDEX('G_Fall-back'!J:J,MATCH($P2444,'G_Fall-back'!$Q:$Q,0))</f>
        <v/>
      </c>
      <c r="K2444" s="1416" t="str">
        <f>INDEX('G_Fall-back'!K:K,MATCH($P2444,'G_Fall-back'!$Q:$Q,0))</f>
        <v/>
      </c>
      <c r="L2444" s="1416" t="str">
        <f>INDEX('G_Fall-back'!L:L,MATCH($P2444,'G_Fall-back'!$Q:$Q,0))</f>
        <v/>
      </c>
      <c r="M2444" s="1416" t="str">
        <f>INDEX('G_Fall-back'!M:M,MATCH($P2444,'G_Fall-back'!$Q:$Q,0))</f>
        <v/>
      </c>
      <c r="N2444" s="1417" t="str">
        <f>INDEX('G_Fall-back'!N:N,MATCH($P2444,'G_Fall-back'!$Q:$Q,0))</f>
        <v/>
      </c>
      <c r="O2444" s="19"/>
      <c r="P2444" s="165" t="str">
        <f>EUconst_CNTR_RelThreshold &amp; I2425</f>
        <v>RelThresh_Delanläggning med processutsläpp, KL</v>
      </c>
      <c r="Q2444" s="343"/>
      <c r="R2444" s="343"/>
      <c r="S2444" s="343"/>
      <c r="T2444" s="343"/>
      <c r="U2444" s="349"/>
      <c r="V2444" s="349"/>
    </row>
    <row r="2445" spans="1:22" s="534" customFormat="1" ht="12.75" customHeight="1" x14ac:dyDescent="0.3">
      <c r="A2445" s="343"/>
      <c r="B2445" s="15"/>
      <c r="C2445" s="17"/>
      <c r="D2445" s="1386"/>
      <c r="E2445" s="1418" t="str">
        <f>Translations!$B$1589</f>
        <v>Kriterium 3: Har relativa tröskelvärden överskridits?</v>
      </c>
      <c r="F2445" s="1418"/>
      <c r="G2445" s="1418"/>
      <c r="H2445" s="1444" t="s">
        <v>1112</v>
      </c>
      <c r="I2445" s="1423"/>
      <c r="J2445" s="1420" t="str">
        <f>INDEX('G_Fall-back'!V:V,MATCH($P2445,'G_Fall-back'!$Q:$Q,0)+1)</f>
        <v/>
      </c>
      <c r="K2445" s="1421" t="str">
        <f>INDEX('G_Fall-back'!W:W,MATCH($P2445,'G_Fall-back'!$Q:$Q,0)+1)</f>
        <v/>
      </c>
      <c r="L2445" s="1421" t="str">
        <f>INDEX('G_Fall-back'!X:X,MATCH($P2445,'G_Fall-back'!$Q:$Q,0)+1)</f>
        <v/>
      </c>
      <c r="M2445" s="1421" t="str">
        <f>INDEX('G_Fall-back'!Y:Y,MATCH($P2445,'G_Fall-back'!$Q:$Q,0)+1)</f>
        <v/>
      </c>
      <c r="N2445" s="1422" t="str">
        <f>INDEX('G_Fall-back'!Z:Z,MATCH($P2445,'G_Fall-back'!$Q:$Q,0)+1)</f>
        <v/>
      </c>
      <c r="O2445" s="19"/>
      <c r="P2445" s="165" t="str">
        <f>P2444</f>
        <v>RelThresh_Delanläggning med processutsläpp, KL</v>
      </c>
      <c r="Q2445" s="343"/>
      <c r="R2445" s="343"/>
      <c r="S2445" s="343"/>
      <c r="T2445" s="343"/>
      <c r="U2445" s="349"/>
      <c r="V2445" s="349"/>
    </row>
    <row r="2446" spans="1:22" s="534" customFormat="1" ht="12.75" customHeight="1" x14ac:dyDescent="0.3">
      <c r="A2446" s="343" t="str">
        <f>IF(P2446="","ausblenden","")</f>
        <v/>
      </c>
      <c r="B2446" s="15"/>
      <c r="C2446" s="17"/>
      <c r="D2446" s="1386"/>
      <c r="E2446" s="950" t="str">
        <f>Translations!$B$1568</f>
        <v>Preliminärt värde</v>
      </c>
      <c r="F2446" s="950"/>
      <c r="G2446" s="950"/>
      <c r="H2446" s="1372" t="str">
        <f>F2431</f>
        <v>t CO2e</v>
      </c>
      <c r="I2446" s="950"/>
      <c r="J2446" s="1401" t="str">
        <f>INDEX('G_Fall-back'!J:J,MATCH($P2446,'G_Fall-back'!$Q:$Q,0))</f>
        <v/>
      </c>
      <c r="K2446" s="1402" t="str">
        <f>INDEX('G_Fall-back'!K:K,MATCH($P2446,'G_Fall-back'!$Q:$Q,0))</f>
        <v/>
      </c>
      <c r="L2446" s="1402" t="str">
        <f>INDEX('G_Fall-back'!L:L,MATCH($P2446,'G_Fall-back'!$Q:$Q,0))</f>
        <v/>
      </c>
      <c r="M2446" s="1402" t="str">
        <f>INDEX('G_Fall-back'!M:M,MATCH($P2446,'G_Fall-back'!$Q:$Q,0))</f>
        <v/>
      </c>
      <c r="N2446" s="1403" t="str">
        <f>INDEX('G_Fall-back'!N:N,MATCH($P2446,'G_Fall-back'!$Q:$Q,0))</f>
        <v/>
      </c>
      <c r="O2446" s="19"/>
      <c r="P2446" s="165" t="str">
        <f>EUconst_CNTR_HALprelim&amp;I2425</f>
        <v>HALprelim_Delanläggning med processutsläpp, KL</v>
      </c>
      <c r="Q2446" s="343"/>
      <c r="R2446" s="343"/>
      <c r="S2446" s="343"/>
      <c r="T2446" s="343"/>
      <c r="U2446" s="349"/>
      <c r="V2446" s="349"/>
    </row>
    <row r="2447" spans="1:22" s="534" customFormat="1" ht="12.75" customHeight="1" x14ac:dyDescent="0.3">
      <c r="A2447" s="343"/>
      <c r="B2447" s="15"/>
      <c r="C2447" s="17"/>
      <c r="D2447" s="1386"/>
      <c r="E2447" s="514" t="str">
        <f>Translations!$B$1565</f>
        <v>Preliminärt tilldelningsvärde</v>
      </c>
      <c r="F2447" s="514"/>
      <c r="G2447" s="514"/>
      <c r="H2447" s="129" t="str">
        <f>EUconst_EUA</f>
        <v>EUA</v>
      </c>
      <c r="I2447" s="1151"/>
      <c r="J2447" s="1131" t="str">
        <f>IF($M2425&lt;&gt;EUconst_Relevant,"",MAX(0,ROUND((SUM($M2428)*SUM(J2446))*IF($H2428=TRUE,1,J$2517),0)))</f>
        <v/>
      </c>
      <c r="K2447" s="421" t="str">
        <f>IF($M2425&lt;&gt;EUconst_Relevant,"",MAX(0,ROUND((SUM($M2428)*SUM(K2446))*IF($H2428=TRUE,1,K$2517),0)))</f>
        <v/>
      </c>
      <c r="L2447" s="421" t="str">
        <f>IF($M2425&lt;&gt;EUconst_Relevant,"",MAX(0,ROUND((SUM($M2428)*SUM(L2446))*IF($H2428=TRUE,1,L$2517),0)))</f>
        <v/>
      </c>
      <c r="M2447" s="421" t="str">
        <f>IF($M2425&lt;&gt;EUconst_Relevant,"",MAX(0,ROUND((SUM($M2428)*SUM(M2446))*IF($H2428=TRUE,1,M$2517),0)))</f>
        <v/>
      </c>
      <c r="N2447" s="967" t="str">
        <f>IF($M2425&lt;&gt;EUconst_Relevant,"",MAX(0,ROUND((SUM($M2428)*SUM(N2446))*IF($H2428=TRUE,1,N$2517),0)))</f>
        <v/>
      </c>
      <c r="O2447" s="19"/>
      <c r="P2447" s="343"/>
      <c r="Q2447" s="343"/>
      <c r="R2447" s="343"/>
      <c r="S2447" s="343"/>
      <c r="T2447" s="343"/>
      <c r="U2447" s="349"/>
      <c r="V2447" s="349"/>
    </row>
    <row r="2448" spans="1:22" s="534" customFormat="1" ht="12.75" customHeight="1" x14ac:dyDescent="0.3">
      <c r="A2448" s="343"/>
      <c r="B2448" s="15"/>
      <c r="C2448" s="17"/>
      <c r="D2448" s="1386"/>
      <c r="E2448" s="514" t="str">
        <f>Translations!$B$1569</f>
        <v>Skillnad i tilldelning</v>
      </c>
      <c r="F2448" s="514"/>
      <c r="G2448" s="514"/>
      <c r="H2448" s="129" t="str">
        <f>EUconst_EUA</f>
        <v>EUA</v>
      </c>
      <c r="I2448" s="1151"/>
      <c r="J2448" s="1131" t="str">
        <f>IF($M2425&lt;&gt;EUconst_Relevant,"",ABS(SUM(J2447)-SUM(J2440)))</f>
        <v/>
      </c>
      <c r="K2448" s="421" t="str">
        <f>IF($M2425&lt;&gt;EUconst_Relevant,"",ABS(SUM(K2447)-SUM(K2440)))</f>
        <v/>
      </c>
      <c r="L2448" s="421" t="str">
        <f>IF($M2425&lt;&gt;EUconst_Relevant,"",ABS(SUM(L2447)-SUM(L2440)))</f>
        <v/>
      </c>
      <c r="M2448" s="421" t="str">
        <f>IF($M2425&lt;&gt;EUconst_Relevant,"",ABS(SUM(M2447)-SUM(M2440)))</f>
        <v/>
      </c>
      <c r="N2448" s="967" t="str">
        <f>IF($M2425&lt;&gt;EUconst_Relevant,"",ABS(SUM(N2447)-SUM(N2440)))</f>
        <v/>
      </c>
      <c r="O2448" s="19"/>
      <c r="P2448" s="343"/>
      <c r="Q2448" s="343"/>
      <c r="R2448" s="343"/>
      <c r="S2448" s="343"/>
      <c r="T2448" s="343"/>
      <c r="U2448" s="349"/>
      <c r="V2448" s="349"/>
    </row>
    <row r="2449" spans="1:22" s="534" customFormat="1" ht="12.75" customHeight="1" x14ac:dyDescent="0.3">
      <c r="A2449" s="343"/>
      <c r="B2449" s="15"/>
      <c r="C2449" s="17"/>
      <c r="D2449" s="1386"/>
      <c r="E2449" s="1419" t="str">
        <f>Translations!$B$1590</f>
        <v>Kriterium 4: Är skillnaden minst 100 utsläppsrätter?</v>
      </c>
      <c r="F2449" s="1419"/>
      <c r="G2449" s="1419"/>
      <c r="H2449" s="1424" t="s">
        <v>1112</v>
      </c>
      <c r="I2449" s="1425"/>
      <c r="J2449" s="1426" t="str">
        <f>IF($M2425&lt;&gt;EUconst_Relevant,"",J2448&gt;=100)</f>
        <v/>
      </c>
      <c r="K2449" s="1427" t="str">
        <f>IF($M2425&lt;&gt;EUconst_Relevant,"",K2448&gt;=100)</f>
        <v/>
      </c>
      <c r="L2449" s="1427" t="str">
        <f>IF($M2425&lt;&gt;EUconst_Relevant,"",L2448&gt;=100)</f>
        <v/>
      </c>
      <c r="M2449" s="1427" t="str">
        <f>IF($M2425&lt;&gt;EUconst_Relevant,"",M2448&gt;=100)</f>
        <v/>
      </c>
      <c r="N2449" s="1428" t="str">
        <f>IF($M2425&lt;&gt;EUconst_Relevant,"",N2448&gt;=100)</f>
        <v/>
      </c>
      <c r="O2449" s="19"/>
      <c r="P2449" s="165" t="str">
        <f>EUconst_CNTR_100EUA_ActivityLevel&amp;I2425</f>
        <v>EUA100AL_Delanläggning med processutsläpp, KL</v>
      </c>
      <c r="Q2449" s="343"/>
      <c r="R2449" s="343"/>
      <c r="S2449" s="343"/>
      <c r="T2449" s="343"/>
      <c r="U2449" s="349"/>
      <c r="V2449" s="349"/>
    </row>
    <row r="2450" spans="1:22" s="534" customFormat="1" ht="5.15" customHeight="1" thickBot="1" x14ac:dyDescent="0.3">
      <c r="A2450" s="343"/>
      <c r="B2450" s="15"/>
      <c r="C2450" s="15"/>
      <c r="D2450" s="972"/>
      <c r="E2450" s="973"/>
      <c r="F2450" s="973"/>
      <c r="G2450" s="973"/>
      <c r="H2450" s="973"/>
      <c r="I2450" s="1483"/>
      <c r="J2450" s="973"/>
      <c r="K2450" s="973"/>
      <c r="L2450" s="973"/>
      <c r="M2450" s="973"/>
      <c r="N2450" s="974"/>
      <c r="O2450" s="19"/>
      <c r="P2450" s="343"/>
      <c r="Q2450" s="343"/>
      <c r="R2450" s="343"/>
      <c r="S2450" s="343"/>
      <c r="T2450" s="7"/>
      <c r="U2450" s="349"/>
      <c r="V2450" s="349"/>
    </row>
    <row r="2451" spans="1:22" s="534" customFormat="1" ht="5.15" customHeight="1" thickBot="1" x14ac:dyDescent="0.3">
      <c r="A2451" s="343"/>
      <c r="B2451" s="15"/>
      <c r="C2451" s="15"/>
      <c r="D2451" s="15"/>
      <c r="E2451" s="15"/>
      <c r="F2451" s="15"/>
      <c r="G2451" s="15"/>
      <c r="H2451" s="15"/>
      <c r="I2451" s="942"/>
      <c r="J2451" s="15"/>
      <c r="K2451" s="15"/>
      <c r="L2451" s="15"/>
      <c r="M2451" s="15"/>
      <c r="N2451" s="15"/>
      <c r="O2451" s="19"/>
      <c r="P2451" s="343"/>
      <c r="Q2451" s="343"/>
      <c r="R2451" s="343"/>
      <c r="S2451" s="343"/>
      <c r="T2451" s="7"/>
      <c r="U2451" s="349"/>
      <c r="V2451" s="349"/>
    </row>
    <row r="2452" spans="1:22" s="534" customFormat="1" ht="5.15" customHeight="1" x14ac:dyDescent="0.25">
      <c r="A2452" s="343"/>
      <c r="B2452" s="15"/>
      <c r="C2452" s="15"/>
      <c r="D2452" s="961"/>
      <c r="E2452" s="962"/>
      <c r="F2452" s="962"/>
      <c r="G2452" s="962"/>
      <c r="H2452" s="962"/>
      <c r="I2452" s="963"/>
      <c r="J2452" s="962"/>
      <c r="K2452" s="962"/>
      <c r="L2452" s="962"/>
      <c r="M2452" s="962"/>
      <c r="N2452" s="964"/>
      <c r="O2452" s="19"/>
      <c r="P2452" s="343"/>
      <c r="Q2452" s="343"/>
      <c r="R2452" s="343"/>
      <c r="S2452" s="343"/>
      <c r="T2452" s="7"/>
      <c r="U2452" s="349"/>
      <c r="V2452" s="349"/>
    </row>
    <row r="2453" spans="1:22" s="534" customFormat="1" ht="13" x14ac:dyDescent="0.25">
      <c r="A2453" s="343"/>
      <c r="B2453" s="15"/>
      <c r="C2453" s="15"/>
      <c r="D2453" s="965"/>
      <c r="E2453" s="39" t="str">
        <f>Translations!$B$1586</f>
        <v>Faktiska använda värden</v>
      </c>
      <c r="F2453" s="15"/>
      <c r="G2453" s="15"/>
      <c r="H2453" s="30" t="str">
        <f>EUconst_Unit</f>
        <v>Enhet</v>
      </c>
      <c r="I2453" s="1613" t="str">
        <f>Translations!$B$1510</f>
        <v>Basvärde</v>
      </c>
      <c r="J2453" s="1065">
        <f>J$2596</f>
        <v>2021</v>
      </c>
      <c r="K2453" s="350">
        <f>K$2596</f>
        <v>2022</v>
      </c>
      <c r="L2453" s="350">
        <f>L$2596</f>
        <v>2023</v>
      </c>
      <c r="M2453" s="350">
        <f>M$2596</f>
        <v>2024</v>
      </c>
      <c r="N2453" s="966">
        <f>N$2596</f>
        <v>2025</v>
      </c>
      <c r="O2453" s="19"/>
      <c r="P2453" s="343"/>
      <c r="Q2453" s="343"/>
      <c r="R2453" s="343"/>
      <c r="S2453" s="297" t="s">
        <v>1846</v>
      </c>
      <c r="T2453" s="7"/>
      <c r="U2453" s="349"/>
      <c r="V2453" s="349"/>
    </row>
    <row r="2454" spans="1:22" s="534" customFormat="1" x14ac:dyDescent="0.25">
      <c r="A2454" s="343"/>
      <c r="B2454" s="15"/>
      <c r="C2454" s="15"/>
      <c r="D2454" s="965"/>
      <c r="E2454" s="514" t="str">
        <f>Translations!$B$1593</f>
        <v>Använd verksamhetsnivå</v>
      </c>
      <c r="F2454" s="514"/>
      <c r="G2454" s="514"/>
      <c r="H2454" s="917" t="str">
        <f>F2431</f>
        <v>t CO2e</v>
      </c>
      <c r="I2454" s="1411" t="str">
        <f>IF($M2425&lt;&gt;EUconst_Relevant,"",IF(T2455&gt;=$H$2595,0,S2454))</f>
        <v/>
      </c>
      <c r="J2454" s="1408" t="str">
        <f>INDEX('G_Fall-back'!J:J,MATCH($P2454,'G_Fall-back'!$Q:$Q,0))</f>
        <v/>
      </c>
      <c r="K2454" s="1410" t="str">
        <f>INDEX('G_Fall-back'!K:K,MATCH($P2454,'G_Fall-back'!$Q:$Q,0))</f>
        <v/>
      </c>
      <c r="L2454" s="1410" t="str">
        <f>INDEX('G_Fall-back'!L:L,MATCH($P2454,'G_Fall-back'!$Q:$Q,0))</f>
        <v/>
      </c>
      <c r="M2454" s="1410" t="str">
        <f>INDEX('G_Fall-back'!M:M,MATCH($P2454,'G_Fall-back'!$Q:$Q,0))</f>
        <v/>
      </c>
      <c r="N2454" s="1412" t="str">
        <f>INDEX('G_Fall-back'!N:N,MATCH($P2454,'G_Fall-back'!$Q:$Q,0))</f>
        <v/>
      </c>
      <c r="O2454" s="19"/>
      <c r="P2454" s="165" t="str">
        <f>EUconst_CNTR_HALfinal&amp;I2425</f>
        <v>HALfinal_Delanläggning med processutsläpp, KL</v>
      </c>
      <c r="Q2454" s="343"/>
      <c r="R2454" s="343"/>
      <c r="S2454" s="1696" t="str">
        <f>IF($M2425&lt;&gt;EUconst_Relevant,"",SUMIF('G_Fall-back'!$Q:$Q,$P2454,'G_Fall-back'!I:I))</f>
        <v/>
      </c>
      <c r="T2454" s="7"/>
      <c r="U2454" s="349"/>
      <c r="V2454" s="349"/>
    </row>
    <row r="2455" spans="1:22" s="534" customFormat="1" x14ac:dyDescent="0.25">
      <c r="A2455" s="343"/>
      <c r="B2455" s="15"/>
      <c r="C2455" s="15"/>
      <c r="D2455" s="965"/>
      <c r="E2455" s="514" t="str">
        <f>Translations!$B$956</f>
        <v>Preliminär tilldelning</v>
      </c>
      <c r="F2455" s="514"/>
      <c r="G2455" s="514"/>
      <c r="H2455" s="129" t="str">
        <f>EUconst_EUA</f>
        <v>EUA</v>
      </c>
      <c r="I2455" s="1634" t="str">
        <f>IF($M2425&lt;&gt;EUconst_Relevant,"",MAX(0,ROUND((SUM($M2428)*SUM(I2454))*IF($H2428=TRUE,1,J$2517),0)))</f>
        <v/>
      </c>
      <c r="J2455" s="1131" t="str">
        <f>IF($M2425&lt;&gt;EUconst_Relevant,"",MAX(0,ROUND((SUM($M2428)*SUM(J2454))*IF($H2428=TRUE,1,J$2517),0)))</f>
        <v/>
      </c>
      <c r="K2455" s="421" t="str">
        <f>IF($M2425&lt;&gt;EUconst_Relevant,"",MAX(0,ROUND((SUM($M2428)*SUM(K2454))*IF($H2428=TRUE,1,K$2517),0)))</f>
        <v/>
      </c>
      <c r="L2455" s="421" t="str">
        <f>IF($M2425&lt;&gt;EUconst_Relevant,"",MAX(0,ROUND((SUM($M2428)*SUM(L2454))*IF($H2428=TRUE,1,L$2517),0)))</f>
        <v/>
      </c>
      <c r="M2455" s="421" t="str">
        <f>IF($M2425&lt;&gt;EUconst_Relevant,"",MAX(0,ROUND((SUM($M2428)*SUM(M2454))*IF($H2428=TRUE,1,M$2517),0)))</f>
        <v/>
      </c>
      <c r="N2455" s="967" t="str">
        <f>IF($M2425&lt;&gt;EUconst_Relevant,"",MAX(0,ROUND((SUM($M2428)*SUM(N2454))*IF($H2428=TRUE,1,N$2517),0)))</f>
        <v/>
      </c>
      <c r="O2455" s="19"/>
      <c r="P2455" s="165" t="str">
        <f>EUconst_AllocPrelim&amp;I2425</f>
        <v>AllocPrelim_Delanläggning med processutsläpp, KL</v>
      </c>
      <c r="Q2455" s="343"/>
      <c r="R2455" s="343"/>
      <c r="S2455" s="343"/>
      <c r="T2455" s="663">
        <f>INDEX('G_Fall-back'!V:V,MATCH(L2428,'G_Fall-back'!C:C,0))</f>
        <v>2005</v>
      </c>
      <c r="U2455" s="603" t="e">
        <f>OR(INDEX(I2455:N2455,CNTR_ReportingYear-$I$2596)&lt;&gt;INDEX(I2455:N2455,CNTR_ReportingYear-$H$2596),
(CNTR_ReportingYear-T2455)&lt;=1)</f>
        <v>#REF!</v>
      </c>
      <c r="V2455" s="355" t="b">
        <f ca="1">IF(I2455="",FALSE,COUNTIF(OFFSET(I2455,,,,MAX(1,CNTR_ReportingYear-$I$2596)),"&lt;&gt;" &amp; INDEX(I2455:N2455,CNTR_ReportingYear-$H$2596))&gt;0)</f>
        <v>0</v>
      </c>
    </row>
    <row r="2456" spans="1:22" s="534" customFormat="1" ht="5.15" customHeight="1" thickBot="1" x14ac:dyDescent="0.3">
      <c r="A2456" s="343"/>
      <c r="B2456" s="15"/>
      <c r="C2456" s="15"/>
      <c r="D2456" s="972"/>
      <c r="E2456" s="973"/>
      <c r="F2456" s="973"/>
      <c r="G2456" s="973"/>
      <c r="H2456" s="973"/>
      <c r="I2456" s="973"/>
      <c r="J2456" s="973"/>
      <c r="K2456" s="973"/>
      <c r="L2456" s="973"/>
      <c r="M2456" s="973"/>
      <c r="N2456" s="974"/>
      <c r="O2456" s="19"/>
      <c r="P2456" s="343"/>
      <c r="Q2456" s="343"/>
      <c r="R2456" s="343"/>
      <c r="S2456" s="343"/>
      <c r="T2456" s="7"/>
      <c r="U2456" s="349"/>
      <c r="V2456" s="349"/>
    </row>
    <row r="2457" spans="1:22" s="534" customFormat="1" ht="5.15" customHeight="1" thickBot="1" x14ac:dyDescent="0.3">
      <c r="A2457" s="343"/>
      <c r="B2457" s="15"/>
      <c r="C2457" s="15"/>
      <c r="D2457" s="15"/>
      <c r="E2457" s="15"/>
      <c r="F2457" s="15"/>
      <c r="G2457" s="15"/>
      <c r="M2457" s="15"/>
      <c r="N2457" s="15"/>
      <c r="O2457" s="19"/>
      <c r="P2457" s="343"/>
      <c r="Q2457" s="343"/>
      <c r="R2457" s="343"/>
      <c r="S2457" s="343"/>
      <c r="T2457" s="343"/>
      <c r="U2457" s="349"/>
      <c r="V2457" s="349"/>
    </row>
    <row r="2458" spans="1:22" s="534" customFormat="1" ht="5.15" customHeight="1" x14ac:dyDescent="0.25">
      <c r="A2458" s="343"/>
      <c r="B2458" s="15"/>
      <c r="C2458" s="15"/>
      <c r="D2458" s="1452"/>
      <c r="E2458" s="1453"/>
      <c r="F2458" s="777"/>
      <c r="G2458" s="777"/>
      <c r="H2458" s="777"/>
      <c r="I2458" s="777"/>
      <c r="J2458" s="777"/>
      <c r="K2458" s="777"/>
      <c r="L2458" s="777"/>
      <c r="M2458" s="777"/>
      <c r="N2458" s="778"/>
      <c r="O2458" s="19"/>
      <c r="P2458" s="343"/>
      <c r="Q2458" s="343"/>
      <c r="R2458" s="343"/>
      <c r="S2458" s="343"/>
      <c r="T2458" s="343"/>
      <c r="U2458" s="349"/>
      <c r="V2458" s="349"/>
    </row>
    <row r="2459" spans="1:22" s="534" customFormat="1" ht="13.5" thickBot="1" x14ac:dyDescent="0.3">
      <c r="A2459" s="343"/>
      <c r="B2459" s="15"/>
      <c r="C2459" s="15"/>
      <c r="D2459" s="1454"/>
      <c r="E2459" s="416"/>
      <c r="F2459" s="623"/>
      <c r="G2459" s="415" t="str">
        <f>EUconst_Unit</f>
        <v>Enhet</v>
      </c>
      <c r="H2459" s="743">
        <f t="shared" ref="H2459:N2459" si="434">H$2596</f>
        <v>2019</v>
      </c>
      <c r="I2459" s="625">
        <f t="shared" si="434"/>
        <v>2020</v>
      </c>
      <c r="J2459" s="743">
        <f t="shared" si="434"/>
        <v>2021</v>
      </c>
      <c r="K2459" s="625">
        <f t="shared" si="434"/>
        <v>2022</v>
      </c>
      <c r="L2459" s="625">
        <f t="shared" si="434"/>
        <v>2023</v>
      </c>
      <c r="M2459" s="625">
        <f t="shared" si="434"/>
        <v>2024</v>
      </c>
      <c r="N2459" s="1722">
        <f t="shared" si="434"/>
        <v>2025</v>
      </c>
      <c r="O2459" s="19"/>
      <c r="P2459" s="343"/>
      <c r="Q2459" s="343"/>
      <c r="R2459" s="343"/>
      <c r="S2459" s="343"/>
      <c r="T2459" s="343"/>
      <c r="U2459" s="349"/>
      <c r="V2459" s="349"/>
    </row>
    <row r="2460" spans="1:22" s="534" customFormat="1" ht="13.5" customHeight="1" thickBot="1" x14ac:dyDescent="0.3">
      <c r="A2460" s="343"/>
      <c r="B2460" s="15"/>
      <c r="C2460" s="15"/>
      <c r="D2460" s="1454"/>
      <c r="E2460" s="1773" t="str">
        <f>Translations!$B$1056</f>
        <v>Totala tillskrivna utsläpp</v>
      </c>
      <c r="F2460" s="1773"/>
      <c r="G2460" s="710" t="str">
        <f>EUconst_tCO2epa</f>
        <v>t CO2e/år</v>
      </c>
      <c r="H2460" s="735" t="str">
        <f t="shared" ref="H2460:N2460" si="435">INDEX(H$92:H$108,MATCH($I2425,$E$92:$E$108,0))</f>
        <v/>
      </c>
      <c r="I2460" s="736" t="str">
        <f t="shared" si="435"/>
        <v/>
      </c>
      <c r="J2460" s="735" t="str">
        <f t="shared" si="435"/>
        <v/>
      </c>
      <c r="K2460" s="736" t="str">
        <f t="shared" si="435"/>
        <v/>
      </c>
      <c r="L2460" s="736" t="str">
        <f t="shared" si="435"/>
        <v/>
      </c>
      <c r="M2460" s="736" t="str">
        <f t="shared" si="435"/>
        <v/>
      </c>
      <c r="N2460" s="737" t="str">
        <f t="shared" si="435"/>
        <v/>
      </c>
      <c r="O2460" s="19"/>
      <c r="P2460" s="343"/>
      <c r="Q2460" s="343"/>
      <c r="R2460" s="343"/>
      <c r="S2460" s="343"/>
      <c r="T2460" s="7"/>
      <c r="U2460" s="349"/>
      <c r="V2460" s="349"/>
    </row>
    <row r="2461" spans="1:22" s="534" customFormat="1" ht="5.15" customHeight="1" thickBot="1" x14ac:dyDescent="0.3">
      <c r="A2461" s="343"/>
      <c r="B2461" s="15"/>
      <c r="C2461" s="15"/>
      <c r="D2461" s="1484"/>
      <c r="E2461" s="783"/>
      <c r="F2461" s="783"/>
      <c r="G2461" s="783"/>
      <c r="H2461" s="783"/>
      <c r="I2461" s="783"/>
      <c r="J2461" s="783"/>
      <c r="K2461" s="783"/>
      <c r="L2461" s="783"/>
      <c r="M2461" s="783"/>
      <c r="N2461" s="784"/>
      <c r="O2461" s="19"/>
      <c r="P2461" s="343"/>
      <c r="Q2461" s="343"/>
      <c r="R2461" s="343"/>
      <c r="S2461" s="343"/>
      <c r="T2461" s="343"/>
      <c r="U2461" s="349"/>
      <c r="V2461" s="349"/>
    </row>
    <row r="2462" spans="1:22" s="534" customFormat="1" ht="5.15" customHeight="1" thickBot="1" x14ac:dyDescent="0.3">
      <c r="A2462" s="343"/>
      <c r="B2462" s="15"/>
      <c r="C2462" s="15"/>
      <c r="D2462" s="15"/>
      <c r="E2462" s="15"/>
      <c r="F2462" s="15"/>
      <c r="G2462" s="15"/>
      <c r="M2462" s="15"/>
      <c r="N2462" s="15"/>
      <c r="O2462" s="19"/>
      <c r="P2462" s="343"/>
      <c r="Q2462" s="343"/>
      <c r="R2462" s="343"/>
      <c r="S2462" s="343"/>
      <c r="T2462" s="343"/>
      <c r="U2462" s="349"/>
      <c r="V2462" s="349"/>
    </row>
    <row r="2463" spans="1:22" s="534" customFormat="1" ht="5.15" customHeight="1" thickBot="1" x14ac:dyDescent="0.3">
      <c r="A2463" s="343"/>
      <c r="B2463" s="3"/>
      <c r="C2463" s="230"/>
      <c r="D2463" s="230"/>
      <c r="E2463" s="230"/>
      <c r="F2463" s="230"/>
      <c r="G2463" s="230"/>
      <c r="H2463" s="230"/>
      <c r="I2463" s="230"/>
      <c r="J2463" s="230"/>
      <c r="K2463" s="230"/>
      <c r="L2463" s="230"/>
      <c r="M2463" s="230"/>
      <c r="N2463" s="230"/>
      <c r="O2463" s="19"/>
      <c r="P2463" s="343"/>
      <c r="Q2463" s="343"/>
      <c r="R2463" s="343"/>
      <c r="S2463" s="343"/>
      <c r="T2463" s="343"/>
      <c r="U2463" s="349"/>
      <c r="V2463" s="349"/>
    </row>
    <row r="2464" spans="1:22" s="534" customFormat="1" ht="15" customHeight="1" thickBot="1" x14ac:dyDescent="0.35">
      <c r="A2464" s="343"/>
      <c r="B2464" s="15"/>
      <c r="C2464" s="17">
        <f>C2425+1</f>
        <v>17</v>
      </c>
      <c r="D2464" s="2053" t="str">
        <f>CONCATENATE(EUconst_FBSubinst," ",C2464-10, ":")</f>
        <v>”Fall-back”-delanläggning 7:</v>
      </c>
      <c r="E2464" s="2053"/>
      <c r="F2464" s="2053"/>
      <c r="G2464" s="2053"/>
      <c r="H2464" s="2081"/>
      <c r="I2464" s="2082" t="str">
        <f>INDEX(EUconst_FallBackListNames,$C2464-10)</f>
        <v>Delanläggning med processutsläpp, ej KL</v>
      </c>
      <c r="J2464" s="2083"/>
      <c r="K2464" s="2083"/>
      <c r="L2464" s="2084"/>
      <c r="M2464" s="2085" t="str">
        <f>IF(INDEX(CNTR_FallBackSubInstRelevant,C2464-10)="","",IF(INDEX(CNTR_FallBackSubInstRelevant,C2464-10),EUconst_Relevant,EUconst_NotRelevant))</f>
        <v/>
      </c>
      <c r="N2464" s="2086"/>
      <c r="O2464" s="19"/>
      <c r="P2464" s="343"/>
      <c r="Q2464" s="723">
        <f>C2464</f>
        <v>17</v>
      </c>
      <c r="R2464" s="722" t="str">
        <f>I2464</f>
        <v>Delanläggning med processutsläpp, ej KL</v>
      </c>
      <c r="S2464" s="343"/>
      <c r="T2464" s="343"/>
      <c r="U2464" s="349"/>
      <c r="V2464" s="349"/>
    </row>
    <row r="2465" spans="1:22" s="534" customFormat="1" ht="5.15" customHeight="1" x14ac:dyDescent="0.3">
      <c r="A2465" s="343"/>
      <c r="B2465" s="15"/>
      <c r="C2465" s="17"/>
      <c r="D2465" s="17"/>
      <c r="E2465" s="17"/>
      <c r="F2465" s="17"/>
      <c r="G2465" s="17"/>
      <c r="H2465" s="17"/>
      <c r="I2465" s="17"/>
      <c r="J2465" s="17"/>
      <c r="K2465" s="17"/>
      <c r="L2465" s="17"/>
      <c r="M2465" s="17"/>
      <c r="N2465" s="17"/>
      <c r="O2465" s="19"/>
      <c r="P2465" s="343"/>
      <c r="Q2465" s="343"/>
      <c r="R2465" s="343"/>
      <c r="S2465" s="343"/>
      <c r="T2465" s="343"/>
      <c r="U2465" s="349"/>
      <c r="V2465" s="349"/>
    </row>
    <row r="2466" spans="1:22" s="534" customFormat="1" ht="12.75" customHeight="1" x14ac:dyDescent="0.3">
      <c r="A2466" s="343"/>
      <c r="B2466" s="15"/>
      <c r="C2466" s="17"/>
      <c r="D2466" s="17"/>
      <c r="E2466" s="17"/>
      <c r="F2466" s="17"/>
      <c r="H2466" s="506" t="str">
        <f>Translations!$B$1022</f>
        <v>KL-risk</v>
      </c>
      <c r="I2466" s="15"/>
      <c r="J2466" s="506" t="str">
        <f>Translations!$B$1026</f>
        <v>I drift</v>
      </c>
      <c r="K2466" s="506" t="str">
        <f>Translations!$B$1545</f>
        <v>Upphört</v>
      </c>
      <c r="L2466" s="952" t="str">
        <f>Translations!$B$1024</f>
        <v>RM-nummer</v>
      </c>
      <c r="M2466" s="2786" t="str">
        <f>Translations!$B$1028</f>
        <v>RM-värde</v>
      </c>
      <c r="N2466" s="2786"/>
      <c r="O2466" s="19"/>
      <c r="P2466" s="343"/>
      <c r="Q2466" s="343"/>
      <c r="R2466" s="343"/>
      <c r="S2466" s="343"/>
      <c r="T2466" s="343"/>
      <c r="U2466" s="349"/>
      <c r="V2466" s="349"/>
    </row>
    <row r="2467" spans="1:22" s="534" customFormat="1" ht="12.75" customHeight="1" x14ac:dyDescent="0.3">
      <c r="A2467" s="343"/>
      <c r="B2467" s="15"/>
      <c r="C2467" s="17"/>
      <c r="D2467" s="17"/>
      <c r="E2467" s="508" t="str">
        <f>I2464</f>
        <v>Delanläggning med processutsläpp, ej KL</v>
      </c>
      <c r="F2467" s="509"/>
      <c r="G2467" s="509"/>
      <c r="H2467" s="510" t="b">
        <f>INDEX(EUconst_FallBackListCLstatus,MATCH(I2464,EUconst_FallBackListNames,0))</f>
        <v>0</v>
      </c>
      <c r="I2467" s="15"/>
      <c r="J2467" s="1045" t="str">
        <f>IF($M2464&lt;&gt;EUconst_Relevant,EUconst_NA,INDEX(CNTR_SubInstStartDate,MATCH(I2464,CNTR_SubInstListNames,0)))</f>
        <v>Ej tillämpligt</v>
      </c>
      <c r="K2467" s="1045" t="str">
        <f>IF($M2464&lt;&gt;EUconst_Relevant,EUconst_NA,IF(INDEX(CNTR_SubInstCessationDate,MATCH(I2464,CNTR_SubInstListNames,0))=0,"",INDEX(CNTR_SubInstCessationDate,MATCH(I2464,CNTR_SubInstListNames,0))))</f>
        <v>Ej tillämpligt</v>
      </c>
      <c r="L2467" s="953">
        <f>C2464-10</f>
        <v>7</v>
      </c>
      <c r="M2467" s="1745" t="str">
        <f>IF(M2464&lt;&gt;EUconst_Relevant,EUconst_NA,INDEX(EUconst_FallBackListBMvaluesMatrix,L2467,3))</f>
        <v>Ej tillämpligt</v>
      </c>
      <c r="N2467" s="1041" t="str">
        <f>EUconst_EUA &amp; "/" &amp; F2470</f>
        <v>EUA/t CO2e</v>
      </c>
      <c r="O2467" s="19"/>
      <c r="P2467" s="343"/>
      <c r="Q2467" s="343"/>
      <c r="R2467" s="343"/>
      <c r="S2467" s="343"/>
      <c r="T2467" s="343"/>
      <c r="U2467" s="349"/>
      <c r="V2467" s="349"/>
    </row>
    <row r="2468" spans="1:22" s="534" customFormat="1" ht="5.15" customHeight="1" thickBot="1" x14ac:dyDescent="0.35">
      <c r="A2468" s="343"/>
      <c r="B2468" s="15"/>
      <c r="C2468" s="15"/>
      <c r="D2468" s="15"/>
      <c r="E2468" s="17"/>
      <c r="J2468" s="15"/>
      <c r="K2468" s="15"/>
      <c r="L2468" s="15"/>
      <c r="M2468" s="15"/>
      <c r="N2468" s="15"/>
      <c r="O2468" s="19"/>
      <c r="P2468" s="343"/>
      <c r="Q2468" s="343"/>
      <c r="R2468" s="343"/>
      <c r="S2468" s="343"/>
      <c r="T2468" s="7"/>
      <c r="U2468" s="349"/>
      <c r="V2468" s="349"/>
    </row>
    <row r="2469" spans="1:22" s="534" customFormat="1" ht="12.75" customHeight="1" x14ac:dyDescent="0.25">
      <c r="A2469" s="343"/>
      <c r="B2469" s="15"/>
      <c r="C2469" s="15"/>
      <c r="D2469" s="15"/>
      <c r="E2469" s="39"/>
      <c r="F2469" s="13" t="str">
        <f>EUconst_Unit</f>
        <v>Enhet</v>
      </c>
      <c r="G2469" s="1201" t="str">
        <f>Translations!$B$1432</f>
        <v>HAL</v>
      </c>
      <c r="H2469" s="987">
        <f t="shared" ref="H2469:N2469" si="436">H$2596</f>
        <v>2019</v>
      </c>
      <c r="I2469" s="342">
        <f t="shared" si="436"/>
        <v>2020</v>
      </c>
      <c r="J2469" s="987">
        <f t="shared" si="436"/>
        <v>2021</v>
      </c>
      <c r="K2469" s="320">
        <f t="shared" si="436"/>
        <v>2022</v>
      </c>
      <c r="L2469" s="320">
        <f t="shared" si="436"/>
        <v>2023</v>
      </c>
      <c r="M2469" s="320">
        <f t="shared" si="436"/>
        <v>2024</v>
      </c>
      <c r="N2469" s="320">
        <f t="shared" si="436"/>
        <v>2025</v>
      </c>
      <c r="O2469" s="19"/>
      <c r="P2469" s="343"/>
      <c r="Q2469" s="343" t="s">
        <v>2010</v>
      </c>
      <c r="R2469" s="1635">
        <f>J$2596</f>
        <v>2021</v>
      </c>
      <c r="S2469" s="1636">
        <f>K$2596</f>
        <v>2022</v>
      </c>
      <c r="T2469" s="1636">
        <f>L$2596</f>
        <v>2023</v>
      </c>
      <c r="U2469" s="1636">
        <f>M$2596</f>
        <v>2024</v>
      </c>
      <c r="V2469" s="1637">
        <f>N$2596</f>
        <v>2025</v>
      </c>
    </row>
    <row r="2470" spans="1:22" s="534" customFormat="1" ht="12.75" customHeight="1" thickBot="1" x14ac:dyDescent="0.3">
      <c r="A2470" s="343"/>
      <c r="B2470" s="15"/>
      <c r="C2470" s="15"/>
      <c r="D2470" s="15"/>
      <c r="E2470" s="514" t="str">
        <f>Translations!$B$1562</f>
        <v>Rapporterad verksamhetsnivå</v>
      </c>
      <c r="F2470" s="563" t="str">
        <f>INDEX(EUconst_FallBackListUnits,L2467)</f>
        <v>t CO2e</v>
      </c>
      <c r="G2470" s="1407" t="str">
        <f>I2493</f>
        <v/>
      </c>
      <c r="H2470" s="1408" t="str">
        <f>IF($M2464&lt;&gt;EUconst_Relevant,"",IF(H2469&gt;=CNTR_ReportingYear,"",SUMIF('G_Fall-back'!$Q:$Q,$P2470,'G_Fall-back'!H:H)))</f>
        <v/>
      </c>
      <c r="I2470" s="1409" t="str">
        <f>IF($M2464&lt;&gt;EUconst_Relevant,"",IF(I2469&gt;=CNTR_ReportingYear,"",SUMIF('G_Fall-back'!$Q:$Q,$P2470,'G_Fall-back'!I:I)))</f>
        <v/>
      </c>
      <c r="J2470" s="1408" t="str">
        <f>IF($M2464&lt;&gt;EUconst_Relevant,"",IF(J2469&gt;=CNTR_ReportingYear,"",SUMIF('G_Fall-back'!$Q:$Q,$P2470,'G_Fall-back'!J:J)))</f>
        <v/>
      </c>
      <c r="K2470" s="1410" t="str">
        <f>IF($M2464&lt;&gt;EUconst_Relevant,"",IF(K2469&gt;=CNTR_ReportingYear,"",SUMIF('G_Fall-back'!$Q:$Q,$P2470,'G_Fall-back'!K:K)))</f>
        <v/>
      </c>
      <c r="L2470" s="1410" t="str">
        <f>IF($M2464&lt;&gt;EUconst_Relevant,"",IF(L2469&gt;=CNTR_ReportingYear,"",SUMIF('G_Fall-back'!$Q:$Q,$P2470,'G_Fall-back'!L:L)))</f>
        <v/>
      </c>
      <c r="M2470" s="1410" t="str">
        <f>IF($M2464&lt;&gt;EUconst_Relevant,"",IF(M2469&gt;=CNTR_ReportingYear,"",SUMIF('G_Fall-back'!$Q:$Q,$P2470,'G_Fall-back'!M:M)))</f>
        <v/>
      </c>
      <c r="N2470" s="1410" t="str">
        <f>IF($M2464&lt;&gt;EUconst_Relevant,"",IF(N2469&gt;=CNTR_ReportingYear,"",SUMIF('G_Fall-back'!$Q:$Q,$P2470,'G_Fall-back'!N:N)))</f>
        <v/>
      </c>
      <c r="O2470" s="19"/>
      <c r="P2470" s="165" t="str">
        <f>EUconst_CNTR_HAL&amp;I2464</f>
        <v>HAL_Delanläggning med processutsläpp, ej KL</v>
      </c>
      <c r="Q2470" s="343"/>
      <c r="R2470" s="1329" t="b">
        <f>AND($M2464=EUconst_Relevant,R2469&lt;=CNTR_ReportingYear,IF($J2467&lt;&gt;EUconst_NA,R2469&gt;=YEAR($J2467),TRUE))</f>
        <v>0</v>
      </c>
      <c r="S2470" s="1330" t="b">
        <f>AND($M2464=EUconst_Relevant,S2469&lt;=CNTR_ReportingYear,IF($J2467&lt;&gt;EUconst_NA,S2469&gt;=YEAR($J2467),TRUE))</f>
        <v>0</v>
      </c>
      <c r="T2470" s="1330" t="b">
        <f>AND($M2464=EUconst_Relevant,T2469&lt;=CNTR_ReportingYear,IF($J2467&lt;&gt;EUconst_NA,T2469&gt;=YEAR($J2467),TRUE))</f>
        <v>0</v>
      </c>
      <c r="U2470" s="1330" t="b">
        <f>AND($M2464=EUconst_Relevant,U2469&lt;=CNTR_ReportingYear,IF($J2467&lt;&gt;EUconst_NA,U2469&gt;=YEAR($J2467),TRUE))</f>
        <v>0</v>
      </c>
      <c r="V2470" s="1331" t="b">
        <f>AND($M2464=EUconst_Relevant,V2469&lt;=CNTR_ReportingYear,IF($J2467&lt;&gt;EUconst_NA,V2469&gt;=YEAR($J2467),TRUE))</f>
        <v>0</v>
      </c>
    </row>
    <row r="2471" spans="1:22" s="534" customFormat="1" ht="5.15" customHeight="1" thickBot="1" x14ac:dyDescent="0.3">
      <c r="A2471" s="343"/>
      <c r="B2471" s="15"/>
      <c r="C2471" s="15"/>
      <c r="D2471" s="15"/>
      <c r="F2471" s="15"/>
      <c r="G2471" s="15"/>
      <c r="H2471" s="15"/>
      <c r="I2471" s="941"/>
      <c r="J2471" s="15"/>
      <c r="K2471" s="15"/>
      <c r="L2471" s="15"/>
      <c r="M2471" s="15"/>
      <c r="N2471" s="15"/>
      <c r="O2471" s="19"/>
      <c r="P2471" s="343"/>
      <c r="Q2471" s="343"/>
      <c r="R2471" s="343"/>
      <c r="S2471" s="343"/>
      <c r="T2471" s="7"/>
      <c r="U2471" s="349"/>
      <c r="V2471" s="349"/>
    </row>
    <row r="2472" spans="1:22" s="534" customFormat="1" ht="5.15" customHeight="1" x14ac:dyDescent="0.3">
      <c r="A2472" s="343"/>
      <c r="B2472" s="15"/>
      <c r="C2472" s="17"/>
      <c r="D2472" s="1383"/>
      <c r="E2472" s="1384"/>
      <c r="F2472" s="1384"/>
      <c r="G2472" s="1384"/>
      <c r="H2472" s="1384"/>
      <c r="I2472" s="1384"/>
      <c r="J2472" s="1384"/>
      <c r="K2472" s="1384"/>
      <c r="L2472" s="1384"/>
      <c r="M2472" s="1384"/>
      <c r="N2472" s="1385"/>
      <c r="O2472" s="19"/>
      <c r="P2472" s="343"/>
      <c r="Q2472" s="343"/>
      <c r="R2472" s="343"/>
      <c r="S2472" s="343"/>
      <c r="T2472" s="343"/>
      <c r="U2472" s="349"/>
      <c r="V2472" s="349"/>
    </row>
    <row r="2473" spans="1:22" s="534" customFormat="1" ht="12.75" customHeight="1" x14ac:dyDescent="0.3">
      <c r="A2473" s="343"/>
      <c r="B2473" s="15"/>
      <c r="C2473" s="17"/>
      <c r="D2473" s="1386"/>
      <c r="E2473" s="42" t="str">
        <f>Translations!$B$1563</f>
        <v>Tillämplighet av glidande medelvärde</v>
      </c>
      <c r="F2473" s="188"/>
      <c r="G2473" s="188"/>
      <c r="H2473" s="30" t="str">
        <f>EUconst_Unit</f>
        <v>Enhet</v>
      </c>
      <c r="I2473" s="1157"/>
      <c r="J2473" s="1065">
        <f>J$2596</f>
        <v>2021</v>
      </c>
      <c r="K2473" s="350">
        <f>K$2596</f>
        <v>2022</v>
      </c>
      <c r="L2473" s="350">
        <f>L$2596</f>
        <v>2023</v>
      </c>
      <c r="M2473" s="350">
        <f>M$2596</f>
        <v>2024</v>
      </c>
      <c r="N2473" s="966">
        <f>N$2596</f>
        <v>2025</v>
      </c>
      <c r="O2473" s="19"/>
      <c r="P2473" s="343"/>
      <c r="Q2473" s="343"/>
      <c r="R2473" s="343"/>
      <c r="S2473" s="343"/>
      <c r="T2473" s="343"/>
      <c r="U2473" s="349"/>
      <c r="V2473" s="349"/>
    </row>
    <row r="2474" spans="1:22" s="534" customFormat="1" ht="12.75" customHeight="1" x14ac:dyDescent="0.3">
      <c r="A2474" s="343"/>
      <c r="B2474" s="15"/>
      <c r="C2474" s="17"/>
      <c r="D2474" s="1386"/>
      <c r="E2474" s="1477" t="str">
        <f>Translations!$B$1549</f>
        <v>Kriterium 1: Verksam &gt;2 år?</v>
      </c>
      <c r="F2474" s="1478"/>
      <c r="G2474" s="1478"/>
      <c r="H2474" s="1366" t="s">
        <v>1112</v>
      </c>
      <c r="I2474" s="1478"/>
      <c r="J2474" s="1469" t="str">
        <f>IF(R2470,INDEX('G_Fall-back'!V:V,MATCH($P2474,'G_Fall-back'!$Q:$Q,0))&gt;=3,"")</f>
        <v/>
      </c>
      <c r="K2474" s="1470" t="str">
        <f>IF(S2470,INDEX('G_Fall-back'!W:W,MATCH($P2474,'G_Fall-back'!$Q:$Q,0))&gt;=3,"")</f>
        <v/>
      </c>
      <c r="L2474" s="1470" t="str">
        <f>IF(T2470,INDEX('G_Fall-back'!X:X,MATCH($P2474,'G_Fall-back'!$Q:$Q,0))&gt;=3,"")</f>
        <v/>
      </c>
      <c r="M2474" s="1470" t="str">
        <f>IF(U2470,INDEX('G_Fall-back'!Y:Y,MATCH($P2474,'G_Fall-back'!$Q:$Q,0))&gt;=3,"")</f>
        <v/>
      </c>
      <c r="N2474" s="1471" t="str">
        <f>IF(V2470,INDEX('G_Fall-back'!Z:Z,MATCH($P2474,'G_Fall-back'!$Q:$Q,0))&gt;=3,"")</f>
        <v/>
      </c>
      <c r="O2474" s="19"/>
      <c r="P2474" s="165" t="str">
        <f>EUconst_CNTR_HALinitial&amp;I2464</f>
        <v>HALini_Delanläggning med processutsläpp, ej KL</v>
      </c>
      <c r="Q2474" s="343"/>
      <c r="R2474" s="343"/>
      <c r="S2474" s="343"/>
      <c r="T2474" s="343"/>
      <c r="U2474" s="349"/>
      <c r="V2474" s="349"/>
    </row>
    <row r="2475" spans="1:22" s="534" customFormat="1" ht="12.75" customHeight="1" x14ac:dyDescent="0.3">
      <c r="A2475" s="343"/>
      <c r="B2475" s="15"/>
      <c r="C2475" s="17"/>
      <c r="D2475" s="1386"/>
      <c r="E2475" s="1472" t="str">
        <f>Translations!$B$1551</f>
        <v>Kriterium 2: Upphörde inte föregående år?</v>
      </c>
      <c r="F2475" s="1479"/>
      <c r="G2475" s="1479"/>
      <c r="H2475" s="1473" t="s">
        <v>1112</v>
      </c>
      <c r="I2475" s="1479"/>
      <c r="J2475" s="1474" t="str">
        <f>IF(R2470,IF($K2467="",2050,YEAR($K2467))&lt;&gt;(J2473-1),"")</f>
        <v/>
      </c>
      <c r="K2475" s="1475" t="str">
        <f>IF(S2470,IF($K2467="",2050,YEAR($K2467))&lt;&gt;(K2473-1),"")</f>
        <v/>
      </c>
      <c r="L2475" s="1475" t="str">
        <f>IF(T2470,IF($K2467="",2050,YEAR($K2467))&lt;&gt;(L2473-1),"")</f>
        <v/>
      </c>
      <c r="M2475" s="1475" t="str">
        <f>IF(U2470,IF($K2467="",2050,YEAR($K2467))&lt;&gt;(M2473-1),"")</f>
        <v/>
      </c>
      <c r="N2475" s="1476" t="str">
        <f>IF(V2470,IF($K2467="",2050,YEAR($K2467))&lt;&gt;(N2473-1),"")</f>
        <v/>
      </c>
      <c r="O2475" s="19"/>
      <c r="P2475" s="343"/>
      <c r="Q2475" s="343"/>
      <c r="R2475" s="343"/>
      <c r="S2475" s="343"/>
      <c r="T2475" s="343"/>
      <c r="U2475" s="349"/>
      <c r="V2475" s="349"/>
    </row>
    <row r="2476" spans="1:22" s="534" customFormat="1" ht="5.15" customHeight="1" x14ac:dyDescent="0.3">
      <c r="A2476" s="343"/>
      <c r="B2476" s="15"/>
      <c r="C2476" s="17"/>
      <c r="D2476" s="1386"/>
      <c r="E2476" s="17"/>
      <c r="F2476" s="17"/>
      <c r="G2476" s="17"/>
      <c r="H2476" s="17"/>
      <c r="I2476" s="17"/>
      <c r="J2476" s="17"/>
      <c r="K2476" s="17"/>
      <c r="L2476" s="17"/>
      <c r="M2476" s="17"/>
      <c r="N2476" s="1388"/>
      <c r="O2476" s="19"/>
      <c r="P2476" s="343"/>
      <c r="Q2476" s="343"/>
      <c r="R2476" s="343"/>
      <c r="S2476" s="343"/>
      <c r="T2476" s="343"/>
      <c r="U2476" s="349"/>
      <c r="V2476" s="349"/>
    </row>
    <row r="2477" spans="1:22" s="534" customFormat="1" ht="12.75" customHeight="1" x14ac:dyDescent="0.3">
      <c r="A2477" s="343"/>
      <c r="B2477" s="15"/>
      <c r="C2477" s="17"/>
      <c r="D2477" s="1386"/>
      <c r="E2477" s="39" t="str">
        <f>Translations!$B$1564</f>
        <v>Ändringar: Ingen ändring (bas)</v>
      </c>
      <c r="F2477" s="15"/>
      <c r="G2477" s="15"/>
      <c r="H2477" s="30" t="str">
        <f>EUconst_Unit</f>
        <v>Enhet</v>
      </c>
      <c r="I2477" s="1157"/>
      <c r="J2477" s="987">
        <f>J$2596</f>
        <v>2021</v>
      </c>
      <c r="K2477" s="320">
        <f>K$2596</f>
        <v>2022</v>
      </c>
      <c r="L2477" s="320">
        <f>L$2596</f>
        <v>2023</v>
      </c>
      <c r="M2477" s="320">
        <f>M$2596</f>
        <v>2024</v>
      </c>
      <c r="N2477" s="1387">
        <f>N$2596</f>
        <v>2025</v>
      </c>
      <c r="O2477" s="19"/>
      <c r="P2477" s="343"/>
      <c r="Q2477" s="343"/>
      <c r="R2477" s="343"/>
      <c r="S2477" s="343"/>
      <c r="T2477" s="343"/>
      <c r="U2477" s="349"/>
      <c r="V2477" s="349"/>
    </row>
    <row r="2478" spans="1:22" s="534" customFormat="1" ht="12.75" hidden="1" customHeight="1" x14ac:dyDescent="0.3">
      <c r="A2478" s="343" t="str">
        <f>IF(P2478="","ausblenden","")</f>
        <v>ausblenden</v>
      </c>
      <c r="B2478" s="15"/>
      <c r="C2478" s="17"/>
      <c r="D2478" s="1386"/>
      <c r="E2478" s="514" t="s">
        <v>1918</v>
      </c>
      <c r="F2478" s="514"/>
      <c r="G2478" s="514"/>
      <c r="H2478" s="917" t="str">
        <f>F2470</f>
        <v>t CO2e</v>
      </c>
      <c r="I2478" s="514"/>
      <c r="J2478" s="1411" t="str">
        <f>IF(T2494&gt;=$H$2595,S2493,I2493)</f>
        <v/>
      </c>
      <c r="K2478" s="1413" t="str">
        <f>J2493</f>
        <v/>
      </c>
      <c r="L2478" s="1413" t="str">
        <f>K2493</f>
        <v/>
      </c>
      <c r="M2478" s="1413" t="str">
        <f>L2493</f>
        <v/>
      </c>
      <c r="N2478" s="1466" t="str">
        <f>M2493</f>
        <v/>
      </c>
      <c r="O2478" s="19"/>
      <c r="P2478" s="343"/>
      <c r="Q2478" s="343"/>
      <c r="R2478" s="343"/>
      <c r="S2478" s="343"/>
      <c r="T2478" s="343"/>
      <c r="U2478" s="349"/>
      <c r="V2478" s="349"/>
    </row>
    <row r="2479" spans="1:22" s="534" customFormat="1" ht="12.75" customHeight="1" x14ac:dyDescent="0.3">
      <c r="A2479" s="343"/>
      <c r="B2479" s="15"/>
      <c r="C2479" s="17"/>
      <c r="D2479" s="1386"/>
      <c r="E2479" s="514" t="str">
        <f>Translations!$B$1565</f>
        <v>Preliminärt tilldelningsvärde</v>
      </c>
      <c r="F2479" s="514"/>
      <c r="G2479" s="514"/>
      <c r="H2479" s="129" t="str">
        <f>EUconst_EUA</f>
        <v>EUA</v>
      </c>
      <c r="I2479" s="1151"/>
      <c r="J2479" s="1131" t="str">
        <f>IF($M2464&lt;&gt;EUconst_Relevant,"",MAX(0,ROUND((SUM($M2467)*SUM(J2478))*IF($H2467=TRUE,1,J$2517),0)))</f>
        <v/>
      </c>
      <c r="K2479" s="421" t="str">
        <f>IF($M2464&lt;&gt;EUconst_Relevant,"",MAX(0,ROUND((SUM($M2467)*SUM(K2478))*IF($H2467=TRUE,1,K$2517),0)))</f>
        <v/>
      </c>
      <c r="L2479" s="421" t="str">
        <f>IF($M2464&lt;&gt;EUconst_Relevant,"",MAX(0,ROUND((SUM($M2467)*SUM(L2478))*IF($H2467=TRUE,1,L$2517),0)))</f>
        <v/>
      </c>
      <c r="M2479" s="421" t="str">
        <f>IF($M2464&lt;&gt;EUconst_Relevant,"",MAX(0,ROUND((SUM($M2467)*SUM(M2478))*IF($H2467=TRUE,1,M$2517),0)))</f>
        <v/>
      </c>
      <c r="N2479" s="967" t="str">
        <f>IF($M2464&lt;&gt;EUconst_Relevant,"",MAX(0,ROUND((SUM($M2467)*SUM(N2478))*IF($H2467=TRUE,1,N$2517),0)))</f>
        <v/>
      </c>
      <c r="O2479" s="19"/>
      <c r="P2479" s="343"/>
      <c r="Q2479" s="343"/>
      <c r="R2479" s="343"/>
      <c r="S2479" s="343"/>
      <c r="T2479" s="343"/>
      <c r="U2479" s="349"/>
      <c r="V2479" s="349"/>
    </row>
    <row r="2480" spans="1:22" s="534" customFormat="1" ht="5.15" customHeight="1" x14ac:dyDescent="0.3">
      <c r="A2480" s="343"/>
      <c r="B2480" s="15"/>
      <c r="C2480" s="17"/>
      <c r="D2480" s="1386"/>
      <c r="E2480" s="17"/>
      <c r="F2480" s="17"/>
      <c r="G2480" s="17"/>
      <c r="H2480" s="17"/>
      <c r="I2480" s="17"/>
      <c r="J2480" s="17"/>
      <c r="K2480" s="17"/>
      <c r="L2480" s="17"/>
      <c r="M2480" s="17"/>
      <c r="N2480" s="1388"/>
      <c r="O2480" s="19"/>
      <c r="P2480" s="343"/>
      <c r="Q2480" s="343"/>
      <c r="R2480" s="343"/>
      <c r="S2480" s="343"/>
      <c r="T2480" s="343"/>
      <c r="U2480" s="349"/>
      <c r="V2480" s="349"/>
    </row>
    <row r="2481" spans="1:22" s="534" customFormat="1" ht="12.75" customHeight="1" x14ac:dyDescent="0.3">
      <c r="A2481" s="343"/>
      <c r="B2481" s="15"/>
      <c r="C2481" s="17"/>
      <c r="D2481" s="1386"/>
      <c r="E2481" s="42" t="str">
        <f>Translations!$B$1566</f>
        <v>Ändringar: Verksamhetsnivå</v>
      </c>
      <c r="F2481" s="188"/>
      <c r="G2481" s="188"/>
      <c r="H2481" s="30" t="str">
        <f>EUconst_Unit</f>
        <v>Enhet</v>
      </c>
      <c r="I2481" s="1157"/>
      <c r="J2481" s="1065">
        <f>J$2596</f>
        <v>2021</v>
      </c>
      <c r="K2481" s="350">
        <f>K$2596</f>
        <v>2022</v>
      </c>
      <c r="L2481" s="350">
        <f>L$2596</f>
        <v>2023</v>
      </c>
      <c r="M2481" s="350">
        <f>M$2596</f>
        <v>2024</v>
      </c>
      <c r="N2481" s="966">
        <f>N$2596</f>
        <v>2025</v>
      </c>
      <c r="O2481" s="19"/>
      <c r="P2481" s="343"/>
      <c r="Q2481" s="343"/>
      <c r="R2481" s="343"/>
      <c r="S2481" s="343"/>
      <c r="T2481" s="343"/>
      <c r="U2481" s="349"/>
      <c r="V2481" s="349"/>
    </row>
    <row r="2482" spans="1:22" s="534" customFormat="1" ht="12.75" customHeight="1" x14ac:dyDescent="0.3">
      <c r="A2482" s="343"/>
      <c r="B2482" s="15"/>
      <c r="C2482" s="17"/>
      <c r="D2482" s="1386"/>
      <c r="E2482" s="944" t="str">
        <f>Translations!$B$1482</f>
        <v>Genomsnittligt årligt värde</v>
      </c>
      <c r="F2482" s="944"/>
      <c r="G2482" s="944"/>
      <c r="H2482" s="1443" t="str">
        <f>H2478</f>
        <v>t CO2e</v>
      </c>
      <c r="I2482" s="1367"/>
      <c r="J2482" s="1463" t="str">
        <f>INDEX('G_Fall-back'!J:J,MATCH($P2482,'G_Fall-back'!$Q:$Q,0))</f>
        <v/>
      </c>
      <c r="K2482" s="1464" t="str">
        <f>INDEX('G_Fall-back'!K:K,MATCH($P2482,'G_Fall-back'!$Q:$Q,0))</f>
        <v/>
      </c>
      <c r="L2482" s="1464" t="str">
        <f>INDEX('G_Fall-back'!L:L,MATCH($P2482,'G_Fall-back'!$Q:$Q,0))</f>
        <v/>
      </c>
      <c r="M2482" s="1464" t="str">
        <f>INDEX('G_Fall-back'!M:M,MATCH($P2482,'G_Fall-back'!$Q:$Q,0))</f>
        <v/>
      </c>
      <c r="N2482" s="1465" t="str">
        <f>INDEX('G_Fall-back'!N:N,MATCH($P2482,'G_Fall-back'!$Q:$Q,0))</f>
        <v/>
      </c>
      <c r="O2482" s="19"/>
      <c r="P2482" s="165" t="str">
        <f>EUconst_CNTR_HALinitial&amp;I2464</f>
        <v>HALini_Delanläggning med processutsläpp, ej KL</v>
      </c>
      <c r="Q2482" s="343"/>
      <c r="R2482" s="343"/>
      <c r="S2482" s="343"/>
      <c r="T2482" s="343"/>
      <c r="U2482" s="349"/>
      <c r="V2482" s="349"/>
    </row>
    <row r="2483" spans="1:22" s="534" customFormat="1" ht="12.75" customHeight="1" x14ac:dyDescent="0.3">
      <c r="A2483" s="343"/>
      <c r="B2483" s="15"/>
      <c r="C2483" s="17"/>
      <c r="D2483" s="1386"/>
      <c r="E2483" s="947" t="str">
        <f>Translations!$B$1567</f>
        <v>Ändring jämfört med historik verksamhetsnivå</v>
      </c>
      <c r="F2483" s="947"/>
      <c r="G2483" s="947"/>
      <c r="H2483" s="1442" t="s">
        <v>1112</v>
      </c>
      <c r="I2483" s="1371"/>
      <c r="J2483" s="1415" t="str">
        <f>INDEX('G_Fall-back'!J:J,MATCH($P2483,'G_Fall-back'!$Q:$Q,0))</f>
        <v/>
      </c>
      <c r="K2483" s="1416" t="str">
        <f>INDEX('G_Fall-back'!K:K,MATCH($P2483,'G_Fall-back'!$Q:$Q,0))</f>
        <v/>
      </c>
      <c r="L2483" s="1416" t="str">
        <f>INDEX('G_Fall-back'!L:L,MATCH($P2483,'G_Fall-back'!$Q:$Q,0))</f>
        <v/>
      </c>
      <c r="M2483" s="1416" t="str">
        <f>INDEX('G_Fall-back'!M:M,MATCH($P2483,'G_Fall-back'!$Q:$Q,0))</f>
        <v/>
      </c>
      <c r="N2483" s="1417" t="str">
        <f>INDEX('G_Fall-back'!N:N,MATCH($P2483,'G_Fall-back'!$Q:$Q,0))</f>
        <v/>
      </c>
      <c r="O2483" s="19"/>
      <c r="P2483" s="165" t="str">
        <f>EUconst_CNTR_RelThreshold &amp; I2464</f>
        <v>RelThresh_Delanläggning med processutsläpp, ej KL</v>
      </c>
      <c r="Q2483" s="343"/>
      <c r="R2483" s="343"/>
      <c r="S2483" s="343"/>
      <c r="T2483" s="343"/>
      <c r="U2483" s="349"/>
      <c r="V2483" s="349"/>
    </row>
    <row r="2484" spans="1:22" s="534" customFormat="1" ht="12.75" customHeight="1" x14ac:dyDescent="0.3">
      <c r="A2484" s="343"/>
      <c r="B2484" s="15"/>
      <c r="C2484" s="17"/>
      <c r="D2484" s="1386"/>
      <c r="E2484" s="1418" t="str">
        <f>Translations!$B$1589</f>
        <v>Kriterium 3: Har relativa tröskelvärden överskridits?</v>
      </c>
      <c r="F2484" s="1418"/>
      <c r="G2484" s="1418"/>
      <c r="H2484" s="1444" t="s">
        <v>1112</v>
      </c>
      <c r="I2484" s="1423"/>
      <c r="J2484" s="1420" t="str">
        <f>INDEX('G_Fall-back'!V:V,MATCH($P2484,'G_Fall-back'!$Q:$Q,0)+1)</f>
        <v/>
      </c>
      <c r="K2484" s="1421" t="str">
        <f>INDEX('G_Fall-back'!W:W,MATCH($P2484,'G_Fall-back'!$Q:$Q,0)+1)</f>
        <v/>
      </c>
      <c r="L2484" s="1421" t="str">
        <f>INDEX('G_Fall-back'!X:X,MATCH($P2484,'G_Fall-back'!$Q:$Q,0)+1)</f>
        <v/>
      </c>
      <c r="M2484" s="1421" t="str">
        <f>INDEX('G_Fall-back'!Y:Y,MATCH($P2484,'G_Fall-back'!$Q:$Q,0)+1)</f>
        <v/>
      </c>
      <c r="N2484" s="1422" t="str">
        <f>INDEX('G_Fall-back'!Z:Z,MATCH($P2484,'G_Fall-back'!$Q:$Q,0)+1)</f>
        <v/>
      </c>
      <c r="O2484" s="19"/>
      <c r="P2484" s="165" t="str">
        <f>P2483</f>
        <v>RelThresh_Delanläggning med processutsläpp, ej KL</v>
      </c>
      <c r="Q2484" s="343"/>
      <c r="R2484" s="343"/>
      <c r="S2484" s="343"/>
      <c r="T2484" s="343"/>
      <c r="U2484" s="349"/>
      <c r="V2484" s="349"/>
    </row>
    <row r="2485" spans="1:22" s="534" customFormat="1" ht="12.75" customHeight="1" x14ac:dyDescent="0.3">
      <c r="A2485" s="343" t="str">
        <f>IF(P2485="","ausblenden","")</f>
        <v/>
      </c>
      <c r="B2485" s="15"/>
      <c r="C2485" s="17"/>
      <c r="D2485" s="1386"/>
      <c r="E2485" s="950" t="str">
        <f>Translations!$B$1568</f>
        <v>Preliminärt värde</v>
      </c>
      <c r="F2485" s="950"/>
      <c r="G2485" s="950"/>
      <c r="H2485" s="1372" t="str">
        <f>F2470</f>
        <v>t CO2e</v>
      </c>
      <c r="I2485" s="950"/>
      <c r="J2485" s="1401" t="str">
        <f>INDEX('G_Fall-back'!J:J,MATCH($P2485,'G_Fall-back'!$Q:$Q,0))</f>
        <v/>
      </c>
      <c r="K2485" s="1402" t="str">
        <f>INDEX('G_Fall-back'!K:K,MATCH($P2485,'G_Fall-back'!$Q:$Q,0))</f>
        <v/>
      </c>
      <c r="L2485" s="1402" t="str">
        <f>INDEX('G_Fall-back'!L:L,MATCH($P2485,'G_Fall-back'!$Q:$Q,0))</f>
        <v/>
      </c>
      <c r="M2485" s="1402" t="str">
        <f>INDEX('G_Fall-back'!M:M,MATCH($P2485,'G_Fall-back'!$Q:$Q,0))</f>
        <v/>
      </c>
      <c r="N2485" s="1403" t="str">
        <f>INDEX('G_Fall-back'!N:N,MATCH($P2485,'G_Fall-back'!$Q:$Q,0))</f>
        <v/>
      </c>
      <c r="O2485" s="19"/>
      <c r="P2485" s="165" t="str">
        <f>EUconst_CNTR_HALprelim&amp;I2464</f>
        <v>HALprelim_Delanläggning med processutsläpp, ej KL</v>
      </c>
      <c r="Q2485" s="343"/>
      <c r="R2485" s="343"/>
      <c r="S2485" s="343"/>
      <c r="T2485" s="343"/>
      <c r="U2485" s="349"/>
      <c r="V2485" s="349"/>
    </row>
    <row r="2486" spans="1:22" s="534" customFormat="1" ht="12.75" customHeight="1" x14ac:dyDescent="0.3">
      <c r="A2486" s="343"/>
      <c r="B2486" s="15"/>
      <c r="C2486" s="17"/>
      <c r="D2486" s="1386"/>
      <c r="E2486" s="514" t="str">
        <f>Translations!$B$1565</f>
        <v>Preliminärt tilldelningsvärde</v>
      </c>
      <c r="F2486" s="514"/>
      <c r="G2486" s="514"/>
      <c r="H2486" s="129" t="str">
        <f>EUconst_EUA</f>
        <v>EUA</v>
      </c>
      <c r="I2486" s="1151"/>
      <c r="J2486" s="1131" t="str">
        <f>IF($M2464&lt;&gt;EUconst_Relevant,"",MAX(0,ROUND((SUM($M2467)*SUM(J2485))*IF($H2467=TRUE,1,J$2517),0)))</f>
        <v/>
      </c>
      <c r="K2486" s="421" t="str">
        <f>IF($M2464&lt;&gt;EUconst_Relevant,"",MAX(0,ROUND((SUM($M2467)*SUM(K2485))*IF($H2467=TRUE,1,K$2517),0)))</f>
        <v/>
      </c>
      <c r="L2486" s="421" t="str">
        <f>IF($M2464&lt;&gt;EUconst_Relevant,"",MAX(0,ROUND((SUM($M2467)*SUM(L2485))*IF($H2467=TRUE,1,L$2517),0)))</f>
        <v/>
      </c>
      <c r="M2486" s="421" t="str">
        <f>IF($M2464&lt;&gt;EUconst_Relevant,"",MAX(0,ROUND((SUM($M2467)*SUM(M2485))*IF($H2467=TRUE,1,M$2517),0)))</f>
        <v/>
      </c>
      <c r="N2486" s="967" t="str">
        <f>IF($M2464&lt;&gt;EUconst_Relevant,"",MAX(0,ROUND((SUM($M2467)*SUM(N2485))*IF($H2467=TRUE,1,N$2517),0)))</f>
        <v/>
      </c>
      <c r="O2486" s="19"/>
      <c r="P2486" s="343"/>
      <c r="Q2486" s="343"/>
      <c r="R2486" s="343"/>
      <c r="S2486" s="343"/>
      <c r="T2486" s="343"/>
      <c r="U2486" s="349"/>
      <c r="V2486" s="349"/>
    </row>
    <row r="2487" spans="1:22" s="534" customFormat="1" ht="12.75" customHeight="1" x14ac:dyDescent="0.3">
      <c r="A2487" s="343"/>
      <c r="B2487" s="15"/>
      <c r="C2487" s="17"/>
      <c r="D2487" s="1386"/>
      <c r="E2487" s="514" t="str">
        <f>Translations!$B$1569</f>
        <v>Skillnad i tilldelning</v>
      </c>
      <c r="F2487" s="514"/>
      <c r="G2487" s="514"/>
      <c r="H2487" s="129" t="str">
        <f>EUconst_EUA</f>
        <v>EUA</v>
      </c>
      <c r="I2487" s="1151"/>
      <c r="J2487" s="1131" t="str">
        <f>IF($M2464&lt;&gt;EUconst_Relevant,"",ABS(SUM(J2486)-SUM(J2479)))</f>
        <v/>
      </c>
      <c r="K2487" s="421" t="str">
        <f>IF($M2464&lt;&gt;EUconst_Relevant,"",ABS(SUM(K2486)-SUM(K2479)))</f>
        <v/>
      </c>
      <c r="L2487" s="421" t="str">
        <f>IF($M2464&lt;&gt;EUconst_Relevant,"",ABS(SUM(L2486)-SUM(L2479)))</f>
        <v/>
      </c>
      <c r="M2487" s="421" t="str">
        <f>IF($M2464&lt;&gt;EUconst_Relevant,"",ABS(SUM(M2486)-SUM(M2479)))</f>
        <v/>
      </c>
      <c r="N2487" s="967" t="str">
        <f>IF($M2464&lt;&gt;EUconst_Relevant,"",ABS(SUM(N2486)-SUM(N2479)))</f>
        <v/>
      </c>
      <c r="O2487" s="19"/>
      <c r="P2487" s="343"/>
      <c r="Q2487" s="343"/>
      <c r="R2487" s="343"/>
      <c r="S2487" s="343"/>
      <c r="T2487" s="343"/>
      <c r="U2487" s="349"/>
      <c r="V2487" s="349"/>
    </row>
    <row r="2488" spans="1:22" s="534" customFormat="1" ht="12.75" customHeight="1" x14ac:dyDescent="0.3">
      <c r="A2488" s="343"/>
      <c r="B2488" s="15"/>
      <c r="C2488" s="17"/>
      <c r="D2488" s="1386"/>
      <c r="E2488" s="1419" t="str">
        <f>Translations!$B$1590</f>
        <v>Kriterium 4: Är skillnaden minst 100 utsläppsrätter?</v>
      </c>
      <c r="F2488" s="1419"/>
      <c r="G2488" s="1419"/>
      <c r="H2488" s="1424" t="s">
        <v>1112</v>
      </c>
      <c r="I2488" s="1425"/>
      <c r="J2488" s="1426" t="str">
        <f>IF($M2464&lt;&gt;EUconst_Relevant,"",J2487&gt;=100)</f>
        <v/>
      </c>
      <c r="K2488" s="1427" t="str">
        <f>IF($M2464&lt;&gt;EUconst_Relevant,"",K2487&gt;=100)</f>
        <v/>
      </c>
      <c r="L2488" s="1427" t="str">
        <f>IF($M2464&lt;&gt;EUconst_Relevant,"",L2487&gt;=100)</f>
        <v/>
      </c>
      <c r="M2488" s="1427" t="str">
        <f>IF($M2464&lt;&gt;EUconst_Relevant,"",M2487&gt;=100)</f>
        <v/>
      </c>
      <c r="N2488" s="1428" t="str">
        <f>IF($M2464&lt;&gt;EUconst_Relevant,"",N2487&gt;=100)</f>
        <v/>
      </c>
      <c r="O2488" s="19"/>
      <c r="P2488" s="165" t="str">
        <f>EUconst_CNTR_100EUA_ActivityLevel&amp;I2464</f>
        <v>EUA100AL_Delanläggning med processutsläpp, ej KL</v>
      </c>
      <c r="Q2488" s="343"/>
      <c r="R2488" s="343"/>
      <c r="S2488" s="343"/>
      <c r="T2488" s="343"/>
      <c r="U2488" s="349"/>
      <c r="V2488" s="349"/>
    </row>
    <row r="2489" spans="1:22" s="534" customFormat="1" ht="5.15" customHeight="1" thickBot="1" x14ac:dyDescent="0.3">
      <c r="A2489" s="343"/>
      <c r="B2489" s="15"/>
      <c r="C2489" s="15"/>
      <c r="D2489" s="972"/>
      <c r="E2489" s="973"/>
      <c r="F2489" s="973"/>
      <c r="G2489" s="973"/>
      <c r="H2489" s="973"/>
      <c r="I2489" s="1483"/>
      <c r="J2489" s="973"/>
      <c r="K2489" s="973"/>
      <c r="L2489" s="973"/>
      <c r="M2489" s="973"/>
      <c r="N2489" s="974"/>
      <c r="O2489" s="19"/>
      <c r="P2489" s="343"/>
      <c r="Q2489" s="343"/>
      <c r="R2489" s="343"/>
      <c r="S2489" s="343"/>
      <c r="T2489" s="7"/>
      <c r="U2489" s="349"/>
      <c r="V2489" s="349"/>
    </row>
    <row r="2490" spans="1:22" s="534" customFormat="1" ht="5.15" customHeight="1" thickBot="1" x14ac:dyDescent="0.3">
      <c r="A2490" s="343"/>
      <c r="B2490" s="15"/>
      <c r="C2490" s="15"/>
      <c r="D2490" s="15"/>
      <c r="E2490" s="15"/>
      <c r="F2490" s="15"/>
      <c r="G2490" s="15"/>
      <c r="H2490" s="15"/>
      <c r="I2490" s="942"/>
      <c r="J2490" s="15"/>
      <c r="K2490" s="15"/>
      <c r="L2490" s="15"/>
      <c r="M2490" s="15"/>
      <c r="N2490" s="15"/>
      <c r="O2490" s="19"/>
      <c r="P2490" s="343"/>
      <c r="Q2490" s="343"/>
      <c r="R2490" s="343"/>
      <c r="S2490" s="343"/>
      <c r="T2490" s="7"/>
      <c r="U2490" s="349"/>
      <c r="V2490" s="349"/>
    </row>
    <row r="2491" spans="1:22" s="534" customFormat="1" ht="5.15" customHeight="1" x14ac:dyDescent="0.25">
      <c r="A2491" s="343"/>
      <c r="B2491" s="15"/>
      <c r="C2491" s="15"/>
      <c r="D2491" s="961"/>
      <c r="E2491" s="962"/>
      <c r="F2491" s="962"/>
      <c r="G2491" s="962"/>
      <c r="H2491" s="962"/>
      <c r="I2491" s="963"/>
      <c r="J2491" s="962"/>
      <c r="K2491" s="962"/>
      <c r="L2491" s="962"/>
      <c r="M2491" s="962"/>
      <c r="N2491" s="964"/>
      <c r="O2491" s="19"/>
      <c r="P2491" s="343"/>
      <c r="Q2491" s="343"/>
      <c r="R2491" s="343"/>
      <c r="S2491" s="343"/>
      <c r="T2491" s="7"/>
      <c r="U2491" s="349"/>
      <c r="V2491" s="349"/>
    </row>
    <row r="2492" spans="1:22" s="534" customFormat="1" ht="13" x14ac:dyDescent="0.25">
      <c r="A2492" s="343"/>
      <c r="B2492" s="15"/>
      <c r="C2492" s="15"/>
      <c r="D2492" s="965"/>
      <c r="E2492" s="39" t="str">
        <f>Translations!$B$1586</f>
        <v>Faktiska använda värden</v>
      </c>
      <c r="F2492" s="15"/>
      <c r="G2492" s="15"/>
      <c r="H2492" s="30" t="str">
        <f>EUconst_Unit</f>
        <v>Enhet</v>
      </c>
      <c r="I2492" s="1613" t="str">
        <f>Translations!$B$1510</f>
        <v>Basvärde</v>
      </c>
      <c r="J2492" s="1065">
        <f>J$2596</f>
        <v>2021</v>
      </c>
      <c r="K2492" s="350">
        <f>K$2596</f>
        <v>2022</v>
      </c>
      <c r="L2492" s="350">
        <f>L$2596</f>
        <v>2023</v>
      </c>
      <c r="M2492" s="350">
        <f>M$2596</f>
        <v>2024</v>
      </c>
      <c r="N2492" s="966">
        <f>N$2596</f>
        <v>2025</v>
      </c>
      <c r="O2492" s="19"/>
      <c r="P2492" s="343"/>
      <c r="Q2492" s="343"/>
      <c r="R2492" s="343"/>
      <c r="S2492" s="297" t="s">
        <v>1846</v>
      </c>
      <c r="T2492" s="7"/>
      <c r="U2492" s="349"/>
      <c r="V2492" s="349"/>
    </row>
    <row r="2493" spans="1:22" s="534" customFormat="1" x14ac:dyDescent="0.25">
      <c r="A2493" s="343"/>
      <c r="B2493" s="15"/>
      <c r="C2493" s="15"/>
      <c r="D2493" s="965"/>
      <c r="E2493" s="514" t="str">
        <f>Translations!$B$1593</f>
        <v>Använd verksamhetsnivå</v>
      </c>
      <c r="F2493" s="514"/>
      <c r="G2493" s="514"/>
      <c r="H2493" s="917" t="str">
        <f>F2470</f>
        <v>t CO2e</v>
      </c>
      <c r="I2493" s="1411" t="str">
        <f>IF($M2464&lt;&gt;EUconst_Relevant,"",IF(T2494&gt;=$H$2595,0,S2493))</f>
        <v/>
      </c>
      <c r="J2493" s="1408" t="str">
        <f>INDEX('G_Fall-back'!J:J,MATCH($P2493,'G_Fall-back'!$Q:$Q,0))</f>
        <v/>
      </c>
      <c r="K2493" s="1410" t="str">
        <f>INDEX('G_Fall-back'!K:K,MATCH($P2493,'G_Fall-back'!$Q:$Q,0))</f>
        <v/>
      </c>
      <c r="L2493" s="1410" t="str">
        <f>INDEX('G_Fall-back'!L:L,MATCH($P2493,'G_Fall-back'!$Q:$Q,0))</f>
        <v/>
      </c>
      <c r="M2493" s="1410" t="str">
        <f>INDEX('G_Fall-back'!M:M,MATCH($P2493,'G_Fall-back'!$Q:$Q,0))</f>
        <v/>
      </c>
      <c r="N2493" s="1412" t="str">
        <f>INDEX('G_Fall-back'!N:N,MATCH($P2493,'G_Fall-back'!$Q:$Q,0))</f>
        <v/>
      </c>
      <c r="O2493" s="19"/>
      <c r="P2493" s="165" t="str">
        <f>EUconst_CNTR_HALfinal&amp;I2464</f>
        <v>HALfinal_Delanläggning med processutsläpp, ej KL</v>
      </c>
      <c r="Q2493" s="343"/>
      <c r="R2493" s="343"/>
      <c r="S2493" s="1696" t="str">
        <f>IF($M2464&lt;&gt;EUconst_Relevant,"",SUMIF('G_Fall-back'!$Q:$Q,$P2493,'G_Fall-back'!I:I))</f>
        <v/>
      </c>
      <c r="T2493" s="7"/>
      <c r="U2493" s="349"/>
      <c r="V2493" s="349"/>
    </row>
    <row r="2494" spans="1:22" s="534" customFormat="1" x14ac:dyDescent="0.25">
      <c r="A2494" s="343"/>
      <c r="B2494" s="15"/>
      <c r="C2494" s="15"/>
      <c r="D2494" s="965"/>
      <c r="E2494" s="514" t="str">
        <f>Translations!$B$956</f>
        <v>Preliminär tilldelning</v>
      </c>
      <c r="F2494" s="514"/>
      <c r="G2494" s="514"/>
      <c r="H2494" s="129" t="str">
        <f>EUconst_EUA</f>
        <v>EUA</v>
      </c>
      <c r="I2494" s="1634" t="str">
        <f>IF($M2464&lt;&gt;EUconst_Relevant,"",MAX(0,ROUND((SUM($M2467)*SUM(I2493))*IF($H2467=TRUE,1,J$2517),0)))</f>
        <v/>
      </c>
      <c r="J2494" s="1131" t="str">
        <f>IF($M2464&lt;&gt;EUconst_Relevant,"",MAX(0,ROUND((SUM($M2467)*SUM(J2493))*IF($H2467=TRUE,1,J$2517),0)))</f>
        <v/>
      </c>
      <c r="K2494" s="421" t="str">
        <f>IF($M2464&lt;&gt;EUconst_Relevant,"",MAX(0,ROUND((SUM($M2467)*SUM(K2493))*IF($H2467=TRUE,1,K$2517),0)))</f>
        <v/>
      </c>
      <c r="L2494" s="421" t="str">
        <f>IF($M2464&lt;&gt;EUconst_Relevant,"",MAX(0,ROUND((SUM($M2467)*SUM(L2493))*IF($H2467=TRUE,1,L$2517),0)))</f>
        <v/>
      </c>
      <c r="M2494" s="421" t="str">
        <f>IF($M2464&lt;&gt;EUconst_Relevant,"",MAX(0,ROUND((SUM($M2467)*SUM(M2493))*IF($H2467=TRUE,1,M$2517),0)))</f>
        <v/>
      </c>
      <c r="N2494" s="967" t="str">
        <f>IF($M2464&lt;&gt;EUconst_Relevant,"",MAX(0,ROUND((SUM($M2467)*SUM(N2493))*IF($H2467=TRUE,1,N$2517),0)))</f>
        <v/>
      </c>
      <c r="O2494" s="19"/>
      <c r="P2494" s="165" t="str">
        <f>EUconst_AllocPrelim&amp;I2464</f>
        <v>AllocPrelim_Delanläggning med processutsläpp, ej KL</v>
      </c>
      <c r="Q2494" s="343"/>
      <c r="R2494" s="343"/>
      <c r="S2494" s="343"/>
      <c r="T2494" s="663">
        <f>INDEX('G_Fall-back'!V:V,MATCH(L2467,'G_Fall-back'!C:C,0))</f>
        <v>2005</v>
      </c>
      <c r="U2494" s="603" t="e">
        <f>OR(INDEX(I2494:N2494,CNTR_ReportingYear-$I$2596)&lt;&gt;INDEX(I2494:N2494,CNTR_ReportingYear-$H$2596),
(CNTR_ReportingYear-T2494)&lt;=1)</f>
        <v>#REF!</v>
      </c>
      <c r="V2494" s="355" t="b">
        <f ca="1">IF(I2494="",FALSE,COUNTIF(OFFSET(I2494,,,,MAX(1,CNTR_ReportingYear-$I$2596)),"&lt;&gt;" &amp; INDEX(I2494:N2494,CNTR_ReportingYear-$H$2596))&gt;0)</f>
        <v>0</v>
      </c>
    </row>
    <row r="2495" spans="1:22" s="534" customFormat="1" ht="5.15" customHeight="1" thickBot="1" x14ac:dyDescent="0.3">
      <c r="A2495" s="343"/>
      <c r="B2495" s="15"/>
      <c r="C2495" s="15"/>
      <c r="D2495" s="972"/>
      <c r="E2495" s="973"/>
      <c r="F2495" s="973"/>
      <c r="G2495" s="973"/>
      <c r="H2495" s="973"/>
      <c r="I2495" s="973"/>
      <c r="J2495" s="973"/>
      <c r="K2495" s="973"/>
      <c r="L2495" s="973"/>
      <c r="M2495" s="973"/>
      <c r="N2495" s="974"/>
      <c r="O2495" s="19"/>
      <c r="P2495" s="343"/>
      <c r="Q2495" s="343"/>
      <c r="R2495" s="343"/>
      <c r="S2495" s="343"/>
      <c r="T2495" s="7"/>
      <c r="U2495" s="349"/>
      <c r="V2495" s="349"/>
    </row>
    <row r="2496" spans="1:22" s="534" customFormat="1" ht="5.15" customHeight="1" thickBot="1" x14ac:dyDescent="0.3">
      <c r="A2496" s="343"/>
      <c r="B2496" s="15"/>
      <c r="C2496" s="15"/>
      <c r="D2496" s="15"/>
      <c r="E2496" s="15"/>
      <c r="F2496" s="15"/>
      <c r="G2496" s="15"/>
      <c r="M2496" s="15"/>
      <c r="N2496" s="15"/>
      <c r="O2496" s="19"/>
      <c r="P2496" s="343"/>
      <c r="Q2496" s="343"/>
      <c r="R2496" s="343"/>
      <c r="S2496" s="343"/>
      <c r="T2496" s="343"/>
      <c r="U2496" s="349"/>
      <c r="V2496" s="349"/>
    </row>
    <row r="2497" spans="1:22" s="534" customFormat="1" ht="5.15" customHeight="1" x14ac:dyDescent="0.25">
      <c r="A2497" s="343"/>
      <c r="B2497" s="15"/>
      <c r="C2497" s="15"/>
      <c r="D2497" s="1452"/>
      <c r="E2497" s="1453"/>
      <c r="F2497" s="777"/>
      <c r="G2497" s="777"/>
      <c r="H2497" s="777"/>
      <c r="I2497" s="777"/>
      <c r="J2497" s="777"/>
      <c r="K2497" s="777"/>
      <c r="L2497" s="777"/>
      <c r="M2497" s="777"/>
      <c r="N2497" s="778"/>
      <c r="O2497" s="19"/>
      <c r="P2497" s="343"/>
      <c r="Q2497" s="343"/>
      <c r="R2497" s="343"/>
      <c r="S2497" s="343"/>
      <c r="T2497" s="343"/>
      <c r="U2497" s="349"/>
      <c r="V2497" s="349"/>
    </row>
    <row r="2498" spans="1:22" s="534" customFormat="1" ht="13.5" thickBot="1" x14ac:dyDescent="0.3">
      <c r="A2498" s="343"/>
      <c r="B2498" s="15"/>
      <c r="C2498" s="15"/>
      <c r="D2498" s="1454"/>
      <c r="E2498" s="416"/>
      <c r="F2498" s="623"/>
      <c r="G2498" s="415" t="str">
        <f>EUconst_Unit</f>
        <v>Enhet</v>
      </c>
      <c r="H2498" s="743">
        <f t="shared" ref="H2498:N2498" si="437">H$2596</f>
        <v>2019</v>
      </c>
      <c r="I2498" s="625">
        <f t="shared" si="437"/>
        <v>2020</v>
      </c>
      <c r="J2498" s="743">
        <f t="shared" si="437"/>
        <v>2021</v>
      </c>
      <c r="K2498" s="625">
        <f t="shared" si="437"/>
        <v>2022</v>
      </c>
      <c r="L2498" s="625">
        <f t="shared" si="437"/>
        <v>2023</v>
      </c>
      <c r="M2498" s="625">
        <f t="shared" si="437"/>
        <v>2024</v>
      </c>
      <c r="N2498" s="1722">
        <f t="shared" si="437"/>
        <v>2025</v>
      </c>
      <c r="O2498" s="19"/>
      <c r="P2498" s="343"/>
      <c r="Q2498" s="343"/>
      <c r="R2498" s="343"/>
      <c r="S2498" s="343"/>
      <c r="T2498" s="343"/>
      <c r="U2498" s="349"/>
      <c r="V2498" s="349"/>
    </row>
    <row r="2499" spans="1:22" s="534" customFormat="1" ht="13.5" customHeight="1" thickBot="1" x14ac:dyDescent="0.3">
      <c r="A2499" s="343"/>
      <c r="B2499" s="15"/>
      <c r="C2499" s="15"/>
      <c r="D2499" s="1454"/>
      <c r="E2499" s="1773" t="str">
        <f>Translations!$B$1056</f>
        <v>Totala tillskrivna utsläpp</v>
      </c>
      <c r="F2499" s="1773"/>
      <c r="G2499" s="710" t="str">
        <f>EUconst_tCO2epa</f>
        <v>t CO2e/år</v>
      </c>
      <c r="H2499" s="735" t="str">
        <f t="shared" ref="H2499:N2499" si="438">INDEX(H$92:H$108,MATCH($I2464,$E$92:$E$108,0))</f>
        <v/>
      </c>
      <c r="I2499" s="736" t="str">
        <f t="shared" si="438"/>
        <v/>
      </c>
      <c r="J2499" s="735" t="str">
        <f t="shared" si="438"/>
        <v/>
      </c>
      <c r="K2499" s="736" t="str">
        <f t="shared" si="438"/>
        <v/>
      </c>
      <c r="L2499" s="736" t="str">
        <f t="shared" si="438"/>
        <v/>
      </c>
      <c r="M2499" s="736" t="str">
        <f t="shared" si="438"/>
        <v/>
      </c>
      <c r="N2499" s="737" t="str">
        <f t="shared" si="438"/>
        <v/>
      </c>
      <c r="O2499" s="19"/>
      <c r="P2499" s="343"/>
      <c r="Q2499" s="343"/>
      <c r="R2499" s="343"/>
      <c r="S2499" s="343"/>
      <c r="T2499" s="7"/>
      <c r="U2499" s="349"/>
      <c r="V2499" s="349"/>
    </row>
    <row r="2500" spans="1:22" s="534" customFormat="1" ht="5.15" customHeight="1" thickBot="1" x14ac:dyDescent="0.3">
      <c r="A2500" s="343"/>
      <c r="B2500" s="15"/>
      <c r="C2500" s="15"/>
      <c r="D2500" s="1484"/>
      <c r="E2500" s="783"/>
      <c r="F2500" s="783"/>
      <c r="G2500" s="783"/>
      <c r="H2500" s="783"/>
      <c r="I2500" s="783"/>
      <c r="J2500" s="783"/>
      <c r="K2500" s="783"/>
      <c r="L2500" s="783"/>
      <c r="M2500" s="783"/>
      <c r="N2500" s="784"/>
      <c r="O2500" s="19"/>
      <c r="P2500" s="343"/>
      <c r="Q2500" s="343"/>
      <c r="R2500" s="343"/>
      <c r="S2500" s="343"/>
      <c r="T2500" s="343"/>
      <c r="U2500" s="349"/>
      <c r="V2500" s="349"/>
    </row>
    <row r="2501" spans="1:22" ht="25.5" customHeight="1" x14ac:dyDescent="0.25">
      <c r="A2501" s="2"/>
      <c r="B2501" s="19"/>
      <c r="C2501" s="19"/>
      <c r="D2501" s="19"/>
      <c r="E2501" s="19"/>
      <c r="F2501" s="19"/>
      <c r="G2501" s="19"/>
      <c r="H2501" s="19"/>
      <c r="I2501" s="19"/>
      <c r="J2501" s="19"/>
      <c r="K2501" s="19"/>
      <c r="L2501" s="19"/>
      <c r="M2501" s="19"/>
      <c r="N2501" s="19"/>
      <c r="O2501" s="19"/>
      <c r="P2501" s="2"/>
      <c r="Q2501" s="2"/>
      <c r="R2501" s="2"/>
      <c r="S2501" s="2"/>
      <c r="T2501" s="2"/>
      <c r="U2501" s="349"/>
      <c r="V2501" s="349"/>
    </row>
    <row r="2502" spans="1:22" s="534" customFormat="1" ht="15.5" x14ac:dyDescent="0.35">
      <c r="A2502" s="343"/>
      <c r="B2502" s="3"/>
      <c r="C2502" s="11" t="s">
        <v>696</v>
      </c>
      <c r="D2502" s="12" t="str">
        <f>Translations!$B$1064</f>
        <v>Beräkning av preliminär årlig mängd utsläppsrätter som tilldelas gratis</v>
      </c>
      <c r="E2502" s="12"/>
      <c r="F2502" s="12"/>
      <c r="G2502" s="12"/>
      <c r="H2502" s="12"/>
      <c r="I2502" s="12"/>
      <c r="J2502" s="12"/>
      <c r="K2502" s="12"/>
      <c r="L2502" s="12"/>
      <c r="M2502" s="12"/>
      <c r="N2502" s="12"/>
      <c r="O2502" s="19"/>
      <c r="P2502" s="7" t="s">
        <v>1670</v>
      </c>
      <c r="Q2502" s="7" t="s">
        <v>1670</v>
      </c>
      <c r="R2502" s="7" t="s">
        <v>1670</v>
      </c>
      <c r="S2502" s="7" t="s">
        <v>1670</v>
      </c>
      <c r="T2502" s="7" t="s">
        <v>1670</v>
      </c>
      <c r="U2502" s="7" t="s">
        <v>1670</v>
      </c>
      <c r="V2502" s="7" t="s">
        <v>1670</v>
      </c>
    </row>
    <row r="2503" spans="1:22" s="534" customFormat="1" ht="12.75" customHeight="1" x14ac:dyDescent="0.25">
      <c r="A2503" s="343"/>
      <c r="B2503" s="15"/>
      <c r="C2503" s="15"/>
      <c r="D2503" s="15"/>
      <c r="E2503" s="15"/>
      <c r="F2503" s="15"/>
      <c r="G2503" s="15"/>
      <c r="H2503" s="15"/>
      <c r="I2503" s="15"/>
      <c r="J2503" s="15"/>
      <c r="K2503" s="15"/>
      <c r="L2503" s="15"/>
      <c r="M2503" s="15"/>
      <c r="N2503" s="15"/>
      <c r="O2503" s="19"/>
      <c r="P2503" s="7"/>
      <c r="Q2503" s="7"/>
      <c r="R2503" s="7"/>
      <c r="S2503" s="7"/>
      <c r="T2503" s="7"/>
      <c r="U2503" s="349"/>
      <c r="V2503" s="349"/>
    </row>
    <row r="2504" spans="1:22" s="534" customFormat="1" ht="40" customHeight="1" x14ac:dyDescent="0.25">
      <c r="A2504" s="343"/>
      <c r="B2504" s="3"/>
      <c r="C2504" s="3"/>
      <c r="D2504" s="15"/>
      <c r="E2504" s="2061" t="str">
        <f>Translations!$B$1065</f>
        <v>I detta avsnitt ges en sammanfattning av de preliminära tilldelningsvärden för 2021–2025 respektive 2026–2030 som är tillämpliga på anläggningen och som grundas på de uppgifter som visas i tidigare avsnitt baserat på era inmatningar. Ingen fullständighetskontroll har gjorts av den information som visas. Uppgifterna kan därför endast anses vara korrekta om ni har säkerställt att följande villkor uppfylls:</v>
      </c>
      <c r="F2504" s="1963"/>
      <c r="G2504" s="1963"/>
      <c r="H2504" s="1963"/>
      <c r="I2504" s="1963"/>
      <c r="J2504" s="1963"/>
      <c r="K2504" s="1963"/>
      <c r="L2504" s="1963"/>
      <c r="M2504" s="1963"/>
      <c r="N2504" s="1963"/>
      <c r="O2504" s="19"/>
      <c r="P2504" s="7"/>
      <c r="Q2504" s="343"/>
      <c r="R2504" s="343"/>
      <c r="S2504" s="343"/>
      <c r="T2504" s="343"/>
      <c r="U2504" s="349"/>
      <c r="V2504" s="349"/>
    </row>
    <row r="2505" spans="1:22" s="534" customFormat="1" x14ac:dyDescent="0.25">
      <c r="A2505" s="343"/>
      <c r="B2505" s="3"/>
      <c r="C2505" s="3"/>
      <c r="D2505" s="15"/>
      <c r="E2505" s="666" t="s">
        <v>1112</v>
      </c>
      <c r="F2505" s="2061" t="str">
        <f>Translations!$B$1594</f>
        <v>Blad "A_InstallationData" och "B+C_SubInstallations" är fullständigt ifyllda..</v>
      </c>
      <c r="G2505" s="2061"/>
      <c r="H2505" s="2061"/>
      <c r="I2505" s="2061"/>
      <c r="J2505" s="2061"/>
      <c r="K2505" s="2061"/>
      <c r="L2505" s="2061"/>
      <c r="M2505" s="2061"/>
      <c r="N2505" s="2061"/>
      <c r="O2505" s="19"/>
      <c r="P2505" s="7"/>
      <c r="Q2505" s="343"/>
      <c r="R2505" s="343"/>
      <c r="S2505" s="343"/>
      <c r="T2505" s="343"/>
      <c r="U2505" s="349"/>
      <c r="V2505" s="349"/>
    </row>
    <row r="2506" spans="1:22" s="534" customFormat="1" x14ac:dyDescent="0.25">
      <c r="A2506" s="343"/>
      <c r="B2506" s="3"/>
      <c r="C2506" s="3"/>
      <c r="D2506" s="15"/>
      <c r="E2506" s="666" t="s">
        <v>1112</v>
      </c>
      <c r="F2506" s="2061" t="str">
        <f>Translations!$B$1595</f>
        <v>Uppgifter har lämnats för alla relevanta år och relevanta avsnitt i bladen "F_ProductBM" och "G_Fall-back" har fyllts i.</v>
      </c>
      <c r="G2506" s="2061"/>
      <c r="H2506" s="2061"/>
      <c r="I2506" s="2061"/>
      <c r="J2506" s="2061"/>
      <c r="K2506" s="2061"/>
      <c r="L2506" s="2061"/>
      <c r="M2506" s="2061"/>
      <c r="N2506" s="2061"/>
      <c r="O2506" s="19"/>
      <c r="P2506" s="7"/>
      <c r="Q2506" s="343"/>
      <c r="R2506" s="343"/>
      <c r="S2506" s="343"/>
      <c r="T2506" s="343"/>
      <c r="U2506" s="349"/>
      <c r="V2506" s="349"/>
    </row>
    <row r="2507" spans="1:22" s="534" customFormat="1" x14ac:dyDescent="0.25">
      <c r="A2507" s="343"/>
      <c r="B2507" s="3"/>
      <c r="C2507" s="3"/>
      <c r="D2507" s="15"/>
      <c r="E2507" s="666" t="s">
        <v>1112</v>
      </c>
      <c r="F2507" s="2061" t="str">
        <f>Translations!$B$1068</f>
        <v>Inga felmeddelanden visas i något av de relevanta avsnitten i dessa blad.</v>
      </c>
      <c r="G2507" s="2061"/>
      <c r="H2507" s="2061"/>
      <c r="I2507" s="2061"/>
      <c r="J2507" s="2061"/>
      <c r="K2507" s="2061"/>
      <c r="L2507" s="2061"/>
      <c r="M2507" s="2061"/>
      <c r="N2507" s="2061"/>
      <c r="O2507" s="19"/>
      <c r="P2507" s="7"/>
      <c r="Q2507" s="343"/>
      <c r="R2507" s="343"/>
      <c r="S2507" s="343"/>
      <c r="T2507" s="343"/>
      <c r="U2507" s="349"/>
      <c r="V2507" s="349"/>
    </row>
    <row r="2508" spans="1:22" s="534" customFormat="1" ht="12.75" customHeight="1" thickBot="1" x14ac:dyDescent="0.3">
      <c r="A2508" s="343"/>
      <c r="B2508" s="3"/>
      <c r="C2508" s="3"/>
      <c r="D2508" s="15"/>
      <c r="E2508" s="666"/>
      <c r="F2508" s="745"/>
      <c r="G2508" s="745"/>
      <c r="H2508" s="745"/>
      <c r="I2508" s="745"/>
      <c r="J2508" s="745"/>
      <c r="K2508" s="745"/>
      <c r="L2508" s="745"/>
      <c r="M2508" s="745"/>
      <c r="N2508" s="745"/>
      <c r="O2508" s="19"/>
      <c r="P2508" s="7"/>
      <c r="Q2508" s="343"/>
      <c r="R2508" s="343"/>
      <c r="S2508" s="343"/>
      <c r="T2508" s="343"/>
      <c r="U2508" s="349"/>
      <c r="V2508" s="349"/>
    </row>
    <row r="2509" spans="1:22" s="636" customFormat="1" ht="75" customHeight="1" thickBot="1" x14ac:dyDescent="0.3">
      <c r="A2509" s="634"/>
      <c r="B2509" s="635"/>
      <c r="C2509" s="635"/>
      <c r="D2509" s="2076" t="str">
        <f>Translations!$B$1596</f>
        <v>Ansvarsfriskrivning: De resultat som visas här är endast indikativa och speglar kraven enligt artikel 16.1 i FAR och artiklarna 5 och 6 i verksamhetsändringsförordningen. Inga garantier, vare sig uttryckliga eller underförstådda, ges med avseende på resultatets riktighet, fullständighet eller tillförlitlighet. De resultat som visas i denna mall medför ingen som helst rätt eller tillgång till en viss mängd utsläppsrätter. Se även ansvarsfriskrivningen i bladet  ”b_Guidelines &amp; conditions” för beräkningarnas riktighet.</v>
      </c>
      <c r="E2509" s="2077"/>
      <c r="F2509" s="2077"/>
      <c r="G2509" s="2077"/>
      <c r="H2509" s="2077"/>
      <c r="I2509" s="2077"/>
      <c r="J2509" s="2077"/>
      <c r="K2509" s="2077"/>
      <c r="L2509" s="2077"/>
      <c r="M2509" s="2077"/>
      <c r="N2509" s="2078"/>
      <c r="O2509" s="19"/>
      <c r="P2509" s="7"/>
      <c r="Q2509" s="7"/>
      <c r="R2509" s="7"/>
      <c r="S2509" s="7"/>
      <c r="T2509" s="7"/>
      <c r="U2509" s="349"/>
      <c r="V2509" s="349"/>
    </row>
    <row r="2510" spans="1:22" s="534" customFormat="1" x14ac:dyDescent="0.25">
      <c r="A2510" s="343"/>
      <c r="B2510" s="15"/>
      <c r="C2510" s="15"/>
      <c r="D2510" s="15"/>
      <c r="E2510" s="15"/>
      <c r="F2510" s="15"/>
      <c r="G2510" s="15"/>
      <c r="H2510" s="15"/>
      <c r="I2510" s="15"/>
      <c r="J2510" s="15"/>
      <c r="K2510" s="15"/>
      <c r="L2510" s="15"/>
      <c r="M2510" s="15"/>
      <c r="N2510" s="15"/>
      <c r="O2510" s="19"/>
      <c r="P2510" s="343"/>
      <c r="Q2510" s="343"/>
      <c r="R2510" s="343"/>
      <c r="S2510" s="343"/>
      <c r="T2510" s="343"/>
      <c r="U2510" s="349"/>
      <c r="V2510" s="349"/>
    </row>
    <row r="2511" spans="1:22" s="534" customFormat="1" ht="14" x14ac:dyDescent="0.3">
      <c r="A2511" s="2"/>
      <c r="B2511" s="3"/>
      <c r="C2511" s="17">
        <v>1</v>
      </c>
      <c r="D2511" s="2079" t="str">
        <f>Translations!$B$1078</f>
        <v>Total preliminär årlig mängd utsläppsrätter som tilldelas gratis:</v>
      </c>
      <c r="E2511" s="1960"/>
      <c r="F2511" s="1960"/>
      <c r="G2511" s="1960"/>
      <c r="H2511" s="1960"/>
      <c r="I2511" s="1960"/>
      <c r="J2511" s="1960"/>
      <c r="K2511" s="1960"/>
      <c r="L2511" s="1960"/>
      <c r="M2511" s="1960"/>
      <c r="N2511" s="1960"/>
      <c r="O2511" s="19"/>
      <c r="P2511" s="343"/>
      <c r="Q2511" s="343"/>
      <c r="R2511" s="343"/>
      <c r="S2511" s="343"/>
      <c r="T2511" s="343"/>
      <c r="U2511" s="349"/>
      <c r="V2511" s="349"/>
    </row>
    <row r="2512" spans="1:22" s="534" customFormat="1" ht="38.9" customHeight="1" x14ac:dyDescent="0.25">
      <c r="A2512" s="2"/>
      <c r="B2512" s="3"/>
      <c r="C2512" s="3"/>
      <c r="D2512" s="15"/>
      <c r="E2512" s="2061" t="str">
        <f>Translations!$B$1079</f>
        <v>De mängder som visas här återspeglar beräkningen av den preliminära årliga mängden utsläppsrätter som tilldelas gratis i enlighet med artikel 16.1–7 i FAR, dvs. de faktorer som avses i bilaga V till FAR (”KL-faktorer” nedan) har redan tillämpats. Enligt artikel 16.3 i FAR ska faktorn för fjärrvärmedelanläggningen vara 0,3 för samtliga år.</v>
      </c>
      <c r="F2512" s="1963"/>
      <c r="G2512" s="1963"/>
      <c r="H2512" s="1963"/>
      <c r="I2512" s="1963"/>
      <c r="J2512" s="1963"/>
      <c r="K2512" s="1963"/>
      <c r="L2512" s="1963"/>
      <c r="M2512" s="1963"/>
      <c r="N2512" s="1963"/>
      <c r="O2512" s="19"/>
      <c r="P2512" s="7"/>
      <c r="Q2512" s="343"/>
      <c r="R2512" s="343"/>
      <c r="S2512" s="343"/>
      <c r="T2512" s="343"/>
      <c r="U2512" s="349"/>
      <c r="V2512" s="349"/>
    </row>
    <row r="2513" spans="1:22" s="534" customFormat="1" ht="13" x14ac:dyDescent="0.25">
      <c r="A2513" s="2"/>
      <c r="B2513" s="3"/>
      <c r="C2513" s="3"/>
      <c r="D2513" s="15"/>
      <c r="E2513" s="2070" t="str">
        <f>Translations!$B$1080</f>
        <v>Om den beräknade preliminära årsmängden utsläppsrätter som tilldelas gratis är ett negativt värde för en delanläggning ska noll anges i stället.</v>
      </c>
      <c r="F2513" s="2071"/>
      <c r="G2513" s="2071"/>
      <c r="H2513" s="2071"/>
      <c r="I2513" s="2071"/>
      <c r="J2513" s="2071"/>
      <c r="K2513" s="2071"/>
      <c r="L2513" s="2071"/>
      <c r="M2513" s="2071"/>
      <c r="N2513" s="2071"/>
      <c r="O2513" s="19"/>
      <c r="P2513" s="7"/>
      <c r="Q2513" s="343"/>
      <c r="R2513" s="343"/>
      <c r="S2513" s="343"/>
      <c r="T2513" s="343"/>
      <c r="U2513" s="349"/>
      <c r="V2513" s="349"/>
    </row>
    <row r="2514" spans="1:22" s="534" customFormat="1" ht="5.15" customHeight="1" x14ac:dyDescent="0.25">
      <c r="A2514" s="2"/>
      <c r="B2514" s="15"/>
      <c r="C2514" s="15"/>
      <c r="D2514" s="15"/>
      <c r="E2514" s="15"/>
      <c r="F2514" s="15"/>
      <c r="G2514" s="15"/>
      <c r="H2514" s="15"/>
      <c r="I2514" s="15"/>
      <c r="J2514" s="15"/>
      <c r="K2514" s="15"/>
      <c r="L2514" s="15"/>
      <c r="M2514" s="15"/>
      <c r="N2514" s="15"/>
      <c r="O2514" s="19"/>
      <c r="P2514" s="343"/>
      <c r="Q2514" s="343"/>
      <c r="R2514" s="343"/>
      <c r="S2514" s="343"/>
      <c r="T2514" s="343"/>
      <c r="U2514" s="349"/>
      <c r="V2514" s="349"/>
    </row>
    <row r="2515" spans="1:22" s="534" customFormat="1" ht="13" x14ac:dyDescent="0.25">
      <c r="A2515" s="2"/>
      <c r="B2515" s="3"/>
      <c r="C2515" s="453"/>
      <c r="D2515" s="13" t="s">
        <v>442</v>
      </c>
      <c r="E2515" s="39" t="str">
        <f>Translations!$B$1085</f>
        <v>Beräkningsfaktorer:</v>
      </c>
      <c r="F2515" s="39"/>
      <c r="G2515" s="39"/>
      <c r="H2515" s="178"/>
      <c r="I2515" s="14"/>
      <c r="J2515" s="14"/>
      <c r="K2515" s="20"/>
      <c r="L2515" s="15"/>
      <c r="M2515" s="15"/>
      <c r="N2515" s="15"/>
      <c r="O2515" s="19"/>
      <c r="P2515" s="343"/>
      <c r="Q2515" s="343"/>
      <c r="R2515" s="343"/>
      <c r="S2515" s="343"/>
      <c r="T2515" s="343"/>
      <c r="U2515" s="349"/>
      <c r="V2515" s="349"/>
    </row>
    <row r="2516" spans="1:22" s="534" customFormat="1" ht="13" x14ac:dyDescent="0.25">
      <c r="A2516" s="2"/>
      <c r="B2516" s="15"/>
      <c r="C2516" s="15"/>
      <c r="D2516" s="15"/>
      <c r="E2516" s="188"/>
      <c r="F2516" s="188"/>
      <c r="G2516" s="188"/>
      <c r="H2516" s="188"/>
      <c r="I2516" s="188"/>
      <c r="J2516" s="350">
        <f>J$2596</f>
        <v>2021</v>
      </c>
      <c r="K2516" s="350">
        <f>K$2596</f>
        <v>2022</v>
      </c>
      <c r="L2516" s="350">
        <f>L$2596</f>
        <v>2023</v>
      </c>
      <c r="M2516" s="350">
        <f>M$2596</f>
        <v>2024</v>
      </c>
      <c r="N2516" s="350">
        <f>N$2596</f>
        <v>2025</v>
      </c>
      <c r="O2516" s="19"/>
      <c r="P2516" s="343"/>
      <c r="Q2516" s="343"/>
      <c r="R2516" s="343"/>
      <c r="S2516" s="343"/>
      <c r="T2516" s="343"/>
      <c r="U2516" s="349"/>
      <c r="V2516" s="349"/>
    </row>
    <row r="2517" spans="1:22" s="534" customFormat="1" x14ac:dyDescent="0.25">
      <c r="A2517" s="2"/>
      <c r="B2517" s="15"/>
      <c r="C2517" s="15"/>
      <c r="D2517" s="15"/>
      <c r="E2517" s="2064" t="str">
        <f>Translations!$B$1086</f>
        <v>KL-faktor för ej KL-sektorer</v>
      </c>
      <c r="F2517" s="2064"/>
      <c r="G2517" s="2064"/>
      <c r="H2517" s="2064"/>
      <c r="I2517" s="2064"/>
      <c r="J2517" s="716">
        <f>INDEX(EUconst_CLEFYears,J2516-2020)</f>
        <v>0.3</v>
      </c>
      <c r="K2517" s="716">
        <f>INDEX(EUconst_CLEFYears,K2516-2020)</f>
        <v>0.3</v>
      </c>
      <c r="L2517" s="716">
        <f>INDEX(EUconst_CLEFYears,L2516-2020)</f>
        <v>0.3</v>
      </c>
      <c r="M2517" s="716">
        <f>INDEX(EUconst_CLEFYears,M2516-2020)</f>
        <v>0.3</v>
      </c>
      <c r="N2517" s="716">
        <f>INDEX(EUconst_CLEFYears,N2516-2020)</f>
        <v>0.3</v>
      </c>
      <c r="O2517" s="19"/>
      <c r="P2517" s="343"/>
      <c r="Q2517" s="343"/>
      <c r="R2517" s="343"/>
      <c r="S2517" s="343"/>
      <c r="T2517" s="343"/>
      <c r="U2517" s="349"/>
      <c r="V2517" s="349"/>
    </row>
    <row r="2518" spans="1:22" s="534" customFormat="1" x14ac:dyDescent="0.25">
      <c r="A2518" s="2"/>
      <c r="B2518" s="15"/>
      <c r="C2518" s="15"/>
      <c r="D2518" s="15"/>
      <c r="E2518" s="2064" t="str">
        <f>Translations!$B$1087</f>
        <v>KL-faktor för fjärrvärme</v>
      </c>
      <c r="F2518" s="2064"/>
      <c r="G2518" s="2064"/>
      <c r="H2518" s="2064"/>
      <c r="I2518" s="2064"/>
      <c r="J2518" s="716">
        <f>INDEX(EUconst_CLEFDistrict,J2516-2020)</f>
        <v>0.3</v>
      </c>
      <c r="K2518" s="716">
        <f>INDEX(EUconst_CLEFDistrict,K2516-2020)</f>
        <v>0.3</v>
      </c>
      <c r="L2518" s="716">
        <f>INDEX(EUconst_CLEFDistrict,L2516-2020)</f>
        <v>0.3</v>
      </c>
      <c r="M2518" s="716">
        <f>INDEX(EUconst_CLEFDistrict,M2516-2020)</f>
        <v>0.3</v>
      </c>
      <c r="N2518" s="716">
        <f>INDEX(EUconst_CLEFDistrict,N2516-2020)</f>
        <v>0.3</v>
      </c>
      <c r="O2518" s="19"/>
      <c r="P2518" s="343"/>
      <c r="Q2518" s="343"/>
      <c r="R2518" s="343"/>
      <c r="S2518" s="343"/>
      <c r="T2518" s="343"/>
      <c r="U2518" s="349"/>
      <c r="V2518" s="349"/>
    </row>
    <row r="2519" spans="1:22" s="534" customFormat="1" x14ac:dyDescent="0.25">
      <c r="A2519" s="2"/>
      <c r="B2519" s="15"/>
      <c r="C2519" s="15"/>
      <c r="D2519" s="15"/>
      <c r="E2519" s="2061" t="str">
        <f>Translations!$B$1088</f>
        <v>Anmärkning: KL-faktorn för KL-utsatta sektorer är 1,0000 för samtliga år.</v>
      </c>
      <c r="F2519" s="2061"/>
      <c r="G2519" s="2061"/>
      <c r="H2519" s="2061"/>
      <c r="I2519" s="2061"/>
      <c r="J2519" s="2061"/>
      <c r="K2519" s="2061"/>
      <c r="L2519" s="2061"/>
      <c r="M2519" s="2061"/>
      <c r="N2519" s="2061"/>
      <c r="O2519" s="19"/>
      <c r="P2519" s="343"/>
      <c r="Q2519" s="343"/>
      <c r="R2519" s="343"/>
      <c r="S2519" s="343"/>
      <c r="T2519" s="343"/>
      <c r="U2519" s="349"/>
      <c r="V2519" s="349"/>
    </row>
    <row r="2520" spans="1:22" s="534" customFormat="1" x14ac:dyDescent="0.25">
      <c r="A2520" s="2"/>
      <c r="B2520" s="15"/>
      <c r="C2520" s="15"/>
      <c r="D2520" s="15"/>
      <c r="E2520" s="15"/>
      <c r="F2520" s="15"/>
      <c r="G2520" s="15"/>
      <c r="H2520" s="15"/>
      <c r="I2520" s="15"/>
      <c r="J2520" s="15"/>
      <c r="K2520" s="15"/>
      <c r="L2520" s="15"/>
      <c r="M2520" s="15"/>
      <c r="N2520" s="15"/>
      <c r="O2520" s="19"/>
      <c r="P2520" s="343"/>
      <c r="Q2520" s="343"/>
      <c r="R2520" s="343"/>
      <c r="S2520" s="343"/>
      <c r="T2520" s="343"/>
      <c r="U2520" s="349"/>
      <c r="V2520" s="349"/>
    </row>
    <row r="2521" spans="1:22" s="534" customFormat="1" ht="13" x14ac:dyDescent="0.25">
      <c r="A2521" s="2"/>
      <c r="B2521" s="3"/>
      <c r="C2521" s="453"/>
      <c r="D2521" s="13" t="s">
        <v>955</v>
      </c>
      <c r="E2521" s="39" t="str">
        <f>Translations!$B$1597</f>
        <v>Beräkning i enlighet med artikel 16.1–16.7 i FAR och artiklarna 5 och 6 i verksamhetsändringsförordningen:</v>
      </c>
      <c r="F2521" s="39"/>
      <c r="G2521" s="39"/>
      <c r="H2521" s="178"/>
      <c r="I2521" s="14"/>
      <c r="J2521" s="14"/>
      <c r="K2521" s="20"/>
      <c r="L2521" s="15"/>
      <c r="M2521" s="15"/>
      <c r="N2521" s="15"/>
      <c r="O2521" s="19"/>
      <c r="P2521" s="343"/>
      <c r="Q2521" s="343"/>
      <c r="R2521" s="343"/>
      <c r="S2521" s="343"/>
      <c r="T2521" s="343"/>
      <c r="U2521" s="349"/>
      <c r="V2521" s="349"/>
    </row>
    <row r="2522" spans="1:22" s="534" customFormat="1" ht="5.15" customHeight="1" x14ac:dyDescent="0.25">
      <c r="A2522" s="2"/>
      <c r="B2522" s="15"/>
      <c r="C2522" s="15"/>
      <c r="D2522" s="15"/>
      <c r="E2522" s="15"/>
      <c r="F2522" s="15"/>
      <c r="G2522" s="15"/>
      <c r="H2522" s="15"/>
      <c r="I2522" s="15"/>
      <c r="J2522" s="15"/>
      <c r="K2522" s="15"/>
      <c r="L2522" s="15"/>
      <c r="M2522" s="15"/>
      <c r="N2522" s="15"/>
      <c r="O2522" s="19"/>
      <c r="P2522" s="343"/>
      <c r="Q2522" s="343"/>
      <c r="R2522" s="343"/>
      <c r="S2522" s="343"/>
      <c r="T2522" s="343"/>
      <c r="U2522" s="349"/>
      <c r="V2522" s="349"/>
    </row>
    <row r="2523" spans="1:22" s="534" customFormat="1" ht="12.75" customHeight="1" thickBot="1" x14ac:dyDescent="0.3">
      <c r="A2523" s="2"/>
      <c r="B2523" s="15"/>
      <c r="C2523" s="15"/>
      <c r="D2523" s="2072" t="str">
        <f>Translations!$B$462</f>
        <v>Delanläggning</v>
      </c>
      <c r="E2523" s="2790"/>
      <c r="F2523" s="2790"/>
      <c r="G2523" s="2790"/>
      <c r="H2523" s="2790"/>
      <c r="I2523" s="2791"/>
      <c r="J2523" s="320">
        <f>J$2596</f>
        <v>2021</v>
      </c>
      <c r="K2523" s="320">
        <f>K$2596</f>
        <v>2022</v>
      </c>
      <c r="L2523" s="320">
        <f>L$2596</f>
        <v>2023</v>
      </c>
      <c r="M2523" s="320">
        <f>M$2596</f>
        <v>2024</v>
      </c>
      <c r="N2523" s="320">
        <f>N$2596</f>
        <v>2025</v>
      </c>
      <c r="O2523" s="19"/>
      <c r="P2523" s="343"/>
      <c r="Q2523" s="343"/>
      <c r="R2523" s="343"/>
      <c r="S2523" s="343"/>
      <c r="T2523" s="343"/>
      <c r="U2523" s="349"/>
      <c r="V2523" s="349"/>
    </row>
    <row r="2524" spans="1:22" s="534" customFormat="1" x14ac:dyDescent="0.25">
      <c r="A2524" s="2"/>
      <c r="B2524" s="15"/>
      <c r="C2524" s="1611">
        <v>1</v>
      </c>
      <c r="D2524" s="2066" t="str">
        <f t="shared" ref="D2524:D2533" si="439">INDEX($R$477:$R$2502,MATCH($C2524,$Q$477:$Q$2502,0))</f>
        <v/>
      </c>
      <c r="E2524" s="2066"/>
      <c r="F2524" s="2066"/>
      <c r="G2524" s="2066"/>
      <c r="H2524" s="2066"/>
      <c r="I2524" s="2066"/>
      <c r="J2524" s="1612" t="str">
        <f t="shared" ref="J2524:N2533" si="440">IF(ISNUMBER(INDEX(J$477:J$2502,MATCH(EUconst_AllocPrelim&amp;$D2524,$P$477:$P$2502,0))),IF(CNTR_Eligible10a,INDEX(J$477:J$2502,MATCH(EUconst_AllocPrelim&amp;$D2524,$P$477:$P$2502,0)),EUconst_NotEligible),"")</f>
        <v/>
      </c>
      <c r="K2524" s="1612" t="str">
        <f t="shared" si="440"/>
        <v/>
      </c>
      <c r="L2524" s="1612" t="str">
        <f t="shared" si="440"/>
        <v/>
      </c>
      <c r="M2524" s="1612" t="str">
        <f t="shared" si="440"/>
        <v/>
      </c>
      <c r="N2524" s="1612" t="str">
        <f t="shared" si="440"/>
        <v/>
      </c>
      <c r="O2524" s="19"/>
      <c r="P2524" s="343"/>
      <c r="Q2524" s="343"/>
      <c r="R2524" s="343"/>
      <c r="S2524" s="343"/>
      <c r="T2524" s="343"/>
      <c r="U2524" s="349"/>
      <c r="V2524" s="349"/>
    </row>
    <row r="2525" spans="1:22" s="534" customFormat="1" x14ac:dyDescent="0.25">
      <c r="A2525" s="2"/>
      <c r="B2525" s="15"/>
      <c r="C2525" s="194">
        <f>C2524+1</f>
        <v>2</v>
      </c>
      <c r="D2525" s="2064" t="str">
        <f t="shared" si="439"/>
        <v/>
      </c>
      <c r="E2525" s="2792"/>
      <c r="F2525" s="2792"/>
      <c r="G2525" s="2792"/>
      <c r="H2525" s="2792"/>
      <c r="I2525" s="2792"/>
      <c r="J2525" s="346" t="str">
        <f t="shared" si="440"/>
        <v/>
      </c>
      <c r="K2525" s="346" t="str">
        <f t="shared" si="440"/>
        <v/>
      </c>
      <c r="L2525" s="346" t="str">
        <f t="shared" si="440"/>
        <v/>
      </c>
      <c r="M2525" s="346" t="str">
        <f t="shared" si="440"/>
        <v/>
      </c>
      <c r="N2525" s="346" t="str">
        <f t="shared" si="440"/>
        <v/>
      </c>
      <c r="O2525" s="19"/>
      <c r="P2525" s="343"/>
      <c r="Q2525" s="343"/>
      <c r="R2525" s="343"/>
      <c r="S2525" s="343"/>
      <c r="T2525" s="343"/>
      <c r="U2525" s="349"/>
      <c r="V2525" s="349"/>
    </row>
    <row r="2526" spans="1:22" s="534" customFormat="1" x14ac:dyDescent="0.25">
      <c r="A2526" s="2"/>
      <c r="B2526" s="15"/>
      <c r="C2526" s="194">
        <f t="shared" ref="C2526:C2539" si="441">C2525+1</f>
        <v>3</v>
      </c>
      <c r="D2526" s="2064" t="str">
        <f t="shared" si="439"/>
        <v/>
      </c>
      <c r="E2526" s="2792"/>
      <c r="F2526" s="2792"/>
      <c r="G2526" s="2792"/>
      <c r="H2526" s="2792"/>
      <c r="I2526" s="2792"/>
      <c r="J2526" s="346" t="str">
        <f t="shared" si="440"/>
        <v/>
      </c>
      <c r="K2526" s="346" t="str">
        <f t="shared" si="440"/>
        <v/>
      </c>
      <c r="L2526" s="346" t="str">
        <f t="shared" si="440"/>
        <v/>
      </c>
      <c r="M2526" s="346" t="str">
        <f t="shared" si="440"/>
        <v/>
      </c>
      <c r="N2526" s="346" t="str">
        <f t="shared" si="440"/>
        <v/>
      </c>
      <c r="O2526" s="19"/>
      <c r="P2526" s="343"/>
      <c r="Q2526" s="343"/>
      <c r="R2526" s="343"/>
      <c r="S2526" s="343"/>
      <c r="T2526" s="343"/>
      <c r="U2526" s="349"/>
      <c r="V2526" s="349"/>
    </row>
    <row r="2527" spans="1:22" s="534" customFormat="1" x14ac:dyDescent="0.25">
      <c r="A2527" s="2"/>
      <c r="B2527" s="15"/>
      <c r="C2527" s="194">
        <f t="shared" si="441"/>
        <v>4</v>
      </c>
      <c r="D2527" s="2064" t="str">
        <f t="shared" si="439"/>
        <v/>
      </c>
      <c r="E2527" s="2792"/>
      <c r="F2527" s="2792"/>
      <c r="G2527" s="2792"/>
      <c r="H2527" s="2792"/>
      <c r="I2527" s="2792"/>
      <c r="J2527" s="346" t="str">
        <f t="shared" si="440"/>
        <v/>
      </c>
      <c r="K2527" s="346" t="str">
        <f t="shared" si="440"/>
        <v/>
      </c>
      <c r="L2527" s="346" t="str">
        <f t="shared" si="440"/>
        <v/>
      </c>
      <c r="M2527" s="346" t="str">
        <f t="shared" si="440"/>
        <v/>
      </c>
      <c r="N2527" s="346" t="str">
        <f t="shared" si="440"/>
        <v/>
      </c>
      <c r="O2527" s="19"/>
      <c r="P2527" s="343"/>
      <c r="Q2527" s="343"/>
      <c r="R2527" s="343"/>
      <c r="S2527" s="343"/>
      <c r="T2527" s="343"/>
      <c r="U2527" s="349"/>
      <c r="V2527" s="349"/>
    </row>
    <row r="2528" spans="1:22" s="534" customFormat="1" x14ac:dyDescent="0.25">
      <c r="A2528" s="2"/>
      <c r="B2528" s="15"/>
      <c r="C2528" s="194">
        <f t="shared" si="441"/>
        <v>5</v>
      </c>
      <c r="D2528" s="2064" t="str">
        <f t="shared" si="439"/>
        <v/>
      </c>
      <c r="E2528" s="2792"/>
      <c r="F2528" s="2792"/>
      <c r="G2528" s="2792"/>
      <c r="H2528" s="2792"/>
      <c r="I2528" s="2792"/>
      <c r="J2528" s="346" t="str">
        <f t="shared" si="440"/>
        <v/>
      </c>
      <c r="K2528" s="346" t="str">
        <f t="shared" si="440"/>
        <v/>
      </c>
      <c r="L2528" s="346" t="str">
        <f t="shared" si="440"/>
        <v/>
      </c>
      <c r="M2528" s="346" t="str">
        <f t="shared" si="440"/>
        <v/>
      </c>
      <c r="N2528" s="346" t="str">
        <f t="shared" si="440"/>
        <v/>
      </c>
      <c r="O2528" s="19"/>
      <c r="P2528" s="343"/>
      <c r="Q2528" s="343"/>
      <c r="R2528" s="343"/>
      <c r="S2528" s="343"/>
      <c r="T2528" s="343"/>
      <c r="U2528" s="349"/>
      <c r="V2528" s="349"/>
    </row>
    <row r="2529" spans="1:22" s="534" customFormat="1" x14ac:dyDescent="0.25">
      <c r="A2529" s="2"/>
      <c r="B2529" s="15"/>
      <c r="C2529" s="194">
        <f t="shared" si="441"/>
        <v>6</v>
      </c>
      <c r="D2529" s="2064" t="str">
        <f t="shared" si="439"/>
        <v/>
      </c>
      <c r="E2529" s="2792"/>
      <c r="F2529" s="2792"/>
      <c r="G2529" s="2792"/>
      <c r="H2529" s="2792"/>
      <c r="I2529" s="2792"/>
      <c r="J2529" s="346" t="str">
        <f t="shared" si="440"/>
        <v/>
      </c>
      <c r="K2529" s="346" t="str">
        <f t="shared" si="440"/>
        <v/>
      </c>
      <c r="L2529" s="346" t="str">
        <f t="shared" si="440"/>
        <v/>
      </c>
      <c r="M2529" s="346" t="str">
        <f t="shared" si="440"/>
        <v/>
      </c>
      <c r="N2529" s="346" t="str">
        <f t="shared" si="440"/>
        <v/>
      </c>
      <c r="O2529" s="19"/>
      <c r="P2529" s="343"/>
      <c r="Q2529" s="343"/>
      <c r="R2529" s="343"/>
      <c r="S2529" s="343"/>
      <c r="T2529" s="343"/>
      <c r="U2529" s="349"/>
      <c r="V2529" s="349"/>
    </row>
    <row r="2530" spans="1:22" s="534" customFormat="1" ht="12.75" customHeight="1" x14ac:dyDescent="0.25">
      <c r="A2530" s="2"/>
      <c r="B2530" s="15"/>
      <c r="C2530" s="194">
        <f t="shared" si="441"/>
        <v>7</v>
      </c>
      <c r="D2530" s="2064" t="str">
        <f t="shared" si="439"/>
        <v/>
      </c>
      <c r="E2530" s="2792"/>
      <c r="F2530" s="2792"/>
      <c r="G2530" s="2792"/>
      <c r="H2530" s="2792"/>
      <c r="I2530" s="2792"/>
      <c r="J2530" s="346" t="str">
        <f t="shared" si="440"/>
        <v/>
      </c>
      <c r="K2530" s="346" t="str">
        <f t="shared" si="440"/>
        <v/>
      </c>
      <c r="L2530" s="346" t="str">
        <f t="shared" si="440"/>
        <v/>
      </c>
      <c r="M2530" s="346" t="str">
        <f t="shared" si="440"/>
        <v/>
      </c>
      <c r="N2530" s="346" t="str">
        <f t="shared" si="440"/>
        <v/>
      </c>
      <c r="O2530" s="19"/>
      <c r="P2530" s="343"/>
      <c r="Q2530" s="343"/>
      <c r="R2530" s="343"/>
      <c r="S2530" s="343"/>
      <c r="T2530" s="343"/>
      <c r="U2530" s="349"/>
      <c r="V2530" s="349"/>
    </row>
    <row r="2531" spans="1:22" s="534" customFormat="1" ht="12.75" customHeight="1" x14ac:dyDescent="0.25">
      <c r="A2531" s="2"/>
      <c r="B2531" s="15"/>
      <c r="C2531" s="194">
        <f t="shared" si="441"/>
        <v>8</v>
      </c>
      <c r="D2531" s="2064" t="str">
        <f t="shared" si="439"/>
        <v/>
      </c>
      <c r="E2531" s="2792"/>
      <c r="F2531" s="2792"/>
      <c r="G2531" s="2792"/>
      <c r="H2531" s="2792"/>
      <c r="I2531" s="2792"/>
      <c r="J2531" s="346" t="str">
        <f t="shared" si="440"/>
        <v/>
      </c>
      <c r="K2531" s="346" t="str">
        <f t="shared" si="440"/>
        <v/>
      </c>
      <c r="L2531" s="346" t="str">
        <f t="shared" si="440"/>
        <v/>
      </c>
      <c r="M2531" s="346" t="str">
        <f t="shared" si="440"/>
        <v/>
      </c>
      <c r="N2531" s="346" t="str">
        <f t="shared" si="440"/>
        <v/>
      </c>
      <c r="O2531" s="19"/>
      <c r="P2531" s="343"/>
      <c r="Q2531" s="343"/>
      <c r="R2531" s="343"/>
      <c r="S2531" s="343"/>
      <c r="T2531" s="343"/>
      <c r="U2531" s="349"/>
      <c r="V2531" s="349"/>
    </row>
    <row r="2532" spans="1:22" s="534" customFormat="1" ht="12.75" customHeight="1" x14ac:dyDescent="0.25">
      <c r="A2532" s="2"/>
      <c r="B2532" s="15"/>
      <c r="C2532" s="194">
        <f t="shared" si="441"/>
        <v>9</v>
      </c>
      <c r="D2532" s="2064" t="str">
        <f t="shared" si="439"/>
        <v/>
      </c>
      <c r="E2532" s="2792"/>
      <c r="F2532" s="2792"/>
      <c r="G2532" s="2792"/>
      <c r="H2532" s="2792"/>
      <c r="I2532" s="2792"/>
      <c r="J2532" s="346" t="str">
        <f t="shared" si="440"/>
        <v/>
      </c>
      <c r="K2532" s="346" t="str">
        <f t="shared" si="440"/>
        <v/>
      </c>
      <c r="L2532" s="346" t="str">
        <f t="shared" si="440"/>
        <v/>
      </c>
      <c r="M2532" s="346" t="str">
        <f t="shared" si="440"/>
        <v/>
      </c>
      <c r="N2532" s="346" t="str">
        <f t="shared" si="440"/>
        <v/>
      </c>
      <c r="O2532" s="19"/>
      <c r="P2532" s="343"/>
      <c r="Q2532" s="343"/>
      <c r="R2532" s="343"/>
      <c r="S2532" s="343"/>
      <c r="T2532" s="343"/>
      <c r="U2532" s="349"/>
      <c r="V2532" s="349"/>
    </row>
    <row r="2533" spans="1:22" s="534" customFormat="1" ht="13" thickBot="1" x14ac:dyDescent="0.3">
      <c r="A2533" s="2"/>
      <c r="B2533" s="15"/>
      <c r="C2533" s="717">
        <f t="shared" si="441"/>
        <v>10</v>
      </c>
      <c r="D2533" s="2065" t="str">
        <f t="shared" si="439"/>
        <v/>
      </c>
      <c r="E2533" s="2800"/>
      <c r="F2533" s="2800"/>
      <c r="G2533" s="2800"/>
      <c r="H2533" s="2800"/>
      <c r="I2533" s="2800"/>
      <c r="J2533" s="718" t="str">
        <f t="shared" si="440"/>
        <v/>
      </c>
      <c r="K2533" s="718" t="str">
        <f t="shared" si="440"/>
        <v/>
      </c>
      <c r="L2533" s="718" t="str">
        <f t="shared" si="440"/>
        <v/>
      </c>
      <c r="M2533" s="718" t="str">
        <f t="shared" si="440"/>
        <v/>
      </c>
      <c r="N2533" s="718" t="str">
        <f t="shared" si="440"/>
        <v/>
      </c>
      <c r="O2533" s="19"/>
      <c r="P2533" s="343"/>
      <c r="Q2533" s="343"/>
      <c r="R2533" s="343"/>
      <c r="S2533" s="343"/>
      <c r="T2533" s="343"/>
      <c r="U2533" s="349"/>
      <c r="V2533" s="349"/>
    </row>
    <row r="2534" spans="1:22" s="534" customFormat="1" x14ac:dyDescent="0.25">
      <c r="A2534" s="2"/>
      <c r="B2534" s="15"/>
      <c r="C2534" s="194">
        <f t="shared" si="441"/>
        <v>11</v>
      </c>
      <c r="D2534" s="2066" t="str">
        <f t="shared" ref="D2534:D2540" si="442">INDEX($R$641:$R$2502,MATCH($C2534,$Q$641:$Q$2502,0))</f>
        <v>Delanläggning med värmeriktmärke, KL</v>
      </c>
      <c r="E2534" s="2801"/>
      <c r="F2534" s="2801"/>
      <c r="G2534" s="2801"/>
      <c r="H2534" s="2801"/>
      <c r="I2534" s="2801"/>
      <c r="J2534" s="719" t="str">
        <f t="shared" ref="J2534:N2540" si="443">IF(ISNUMBER(INDEX(J$477:J$2502,MATCH(EUconst_AllocPrelim&amp;$D2534,$P$477:$P$2502,0))),IF(CNTR_Eligible10a,INDEX(J$477:J$2502,MATCH(EUconst_AllocPrelim&amp;$D2534,$P$477:$P$2502,0)),EUconst_NotEligible),"")</f>
        <v/>
      </c>
      <c r="K2534" s="719" t="str">
        <f t="shared" si="443"/>
        <v/>
      </c>
      <c r="L2534" s="719" t="str">
        <f t="shared" si="443"/>
        <v/>
      </c>
      <c r="M2534" s="719" t="str">
        <f t="shared" si="443"/>
        <v/>
      </c>
      <c r="N2534" s="719" t="str">
        <f t="shared" si="443"/>
        <v/>
      </c>
      <c r="O2534" s="19"/>
      <c r="P2534" s="343"/>
      <c r="Q2534" s="343"/>
      <c r="R2534" s="343"/>
      <c r="S2534" s="343"/>
      <c r="T2534" s="343"/>
      <c r="U2534" s="349"/>
      <c r="V2534" s="349"/>
    </row>
    <row r="2535" spans="1:22" s="534" customFormat="1" x14ac:dyDescent="0.25">
      <c r="A2535" s="2"/>
      <c r="B2535" s="15"/>
      <c r="C2535" s="194">
        <f t="shared" si="441"/>
        <v>12</v>
      </c>
      <c r="D2535" s="2064" t="str">
        <f t="shared" si="442"/>
        <v>Delanläggning med värmeriktmärke, ej KL</v>
      </c>
      <c r="E2535" s="2792"/>
      <c r="F2535" s="2792"/>
      <c r="G2535" s="2792"/>
      <c r="H2535" s="2792"/>
      <c r="I2535" s="2792"/>
      <c r="J2535" s="346" t="str">
        <f t="shared" si="443"/>
        <v/>
      </c>
      <c r="K2535" s="346" t="str">
        <f t="shared" si="443"/>
        <v/>
      </c>
      <c r="L2535" s="346" t="str">
        <f t="shared" si="443"/>
        <v/>
      </c>
      <c r="M2535" s="346" t="str">
        <f t="shared" si="443"/>
        <v/>
      </c>
      <c r="N2535" s="346" t="str">
        <f t="shared" si="443"/>
        <v/>
      </c>
      <c r="O2535" s="19"/>
      <c r="P2535" s="343"/>
      <c r="Q2535" s="343"/>
      <c r="R2535" s="343"/>
      <c r="S2535" s="343"/>
      <c r="T2535" s="343"/>
      <c r="U2535" s="349"/>
      <c r="V2535" s="349"/>
    </row>
    <row r="2536" spans="1:22" s="534" customFormat="1" x14ac:dyDescent="0.25">
      <c r="A2536" s="2"/>
      <c r="B2536" s="15"/>
      <c r="C2536" s="194">
        <f t="shared" si="441"/>
        <v>13</v>
      </c>
      <c r="D2536" s="2064" t="str">
        <f t="shared" si="442"/>
        <v>Fjärrvärmedelanläggning</v>
      </c>
      <c r="E2536" s="2792"/>
      <c r="F2536" s="2792"/>
      <c r="G2536" s="2792"/>
      <c r="H2536" s="2792"/>
      <c r="I2536" s="2792"/>
      <c r="J2536" s="346" t="str">
        <f t="shared" si="443"/>
        <v/>
      </c>
      <c r="K2536" s="346" t="str">
        <f t="shared" si="443"/>
        <v/>
      </c>
      <c r="L2536" s="346" t="str">
        <f t="shared" si="443"/>
        <v/>
      </c>
      <c r="M2536" s="346" t="str">
        <f t="shared" si="443"/>
        <v/>
      </c>
      <c r="N2536" s="346" t="str">
        <f t="shared" si="443"/>
        <v/>
      </c>
      <c r="O2536" s="19"/>
      <c r="P2536" s="343"/>
      <c r="Q2536" s="343"/>
      <c r="R2536" s="343"/>
      <c r="S2536" s="343"/>
      <c r="T2536" s="343"/>
      <c r="U2536" s="349"/>
      <c r="V2536" s="349"/>
    </row>
    <row r="2537" spans="1:22" s="534" customFormat="1" x14ac:dyDescent="0.25">
      <c r="A2537" s="2"/>
      <c r="B2537" s="15"/>
      <c r="C2537" s="194">
        <f t="shared" si="441"/>
        <v>14</v>
      </c>
      <c r="D2537" s="2064" t="str">
        <f t="shared" si="442"/>
        <v>Delanläggning med bränsleriktmärke, KL</v>
      </c>
      <c r="E2537" s="2792"/>
      <c r="F2537" s="2792"/>
      <c r="G2537" s="2792"/>
      <c r="H2537" s="2792"/>
      <c r="I2537" s="2792"/>
      <c r="J2537" s="346" t="str">
        <f t="shared" si="443"/>
        <v/>
      </c>
      <c r="K2537" s="346" t="str">
        <f t="shared" si="443"/>
        <v/>
      </c>
      <c r="L2537" s="346" t="str">
        <f t="shared" si="443"/>
        <v/>
      </c>
      <c r="M2537" s="346" t="str">
        <f t="shared" si="443"/>
        <v/>
      </c>
      <c r="N2537" s="346" t="str">
        <f t="shared" si="443"/>
        <v/>
      </c>
      <c r="O2537" s="19"/>
      <c r="P2537" s="343"/>
      <c r="Q2537" s="343"/>
      <c r="R2537" s="343"/>
      <c r="S2537" s="343"/>
      <c r="T2537" s="343"/>
      <c r="U2537" s="349"/>
      <c r="V2537" s="349"/>
    </row>
    <row r="2538" spans="1:22" s="534" customFormat="1" x14ac:dyDescent="0.25">
      <c r="A2538" s="2"/>
      <c r="B2538" s="15"/>
      <c r="C2538" s="194">
        <f t="shared" si="441"/>
        <v>15</v>
      </c>
      <c r="D2538" s="2064" t="str">
        <f t="shared" si="442"/>
        <v>Delanläggning med bränsleriktmärke, ej KL</v>
      </c>
      <c r="E2538" s="2792"/>
      <c r="F2538" s="2792"/>
      <c r="G2538" s="2792"/>
      <c r="H2538" s="2792"/>
      <c r="I2538" s="2792"/>
      <c r="J2538" s="346" t="str">
        <f t="shared" si="443"/>
        <v/>
      </c>
      <c r="K2538" s="346" t="str">
        <f t="shared" si="443"/>
        <v/>
      </c>
      <c r="L2538" s="346" t="str">
        <f t="shared" si="443"/>
        <v/>
      </c>
      <c r="M2538" s="346" t="str">
        <f t="shared" si="443"/>
        <v/>
      </c>
      <c r="N2538" s="346" t="str">
        <f t="shared" si="443"/>
        <v/>
      </c>
      <c r="O2538" s="19"/>
      <c r="P2538" s="343"/>
      <c r="Q2538" s="343"/>
      <c r="R2538" s="343"/>
      <c r="S2538" s="343"/>
      <c r="T2538" s="343"/>
      <c r="U2538" s="349"/>
      <c r="V2538" s="349"/>
    </row>
    <row r="2539" spans="1:22" s="534" customFormat="1" x14ac:dyDescent="0.25">
      <c r="A2539" s="2"/>
      <c r="B2539" s="15"/>
      <c r="C2539" s="194">
        <f t="shared" si="441"/>
        <v>16</v>
      </c>
      <c r="D2539" s="2064" t="str">
        <f t="shared" si="442"/>
        <v>Delanläggning med processutsläpp, KL</v>
      </c>
      <c r="E2539" s="2792"/>
      <c r="F2539" s="2792"/>
      <c r="G2539" s="2792"/>
      <c r="H2539" s="2792"/>
      <c r="I2539" s="2792"/>
      <c r="J2539" s="725" t="str">
        <f t="shared" si="443"/>
        <v/>
      </c>
      <c r="K2539" s="725" t="str">
        <f t="shared" si="443"/>
        <v/>
      </c>
      <c r="L2539" s="725" t="str">
        <f t="shared" si="443"/>
        <v/>
      </c>
      <c r="M2539" s="725" t="str">
        <f t="shared" si="443"/>
        <v/>
      </c>
      <c r="N2539" s="725" t="str">
        <f t="shared" si="443"/>
        <v/>
      </c>
      <c r="O2539" s="19"/>
      <c r="P2539" s="343"/>
      <c r="Q2539" s="343"/>
      <c r="R2539" s="343"/>
      <c r="S2539" s="343"/>
      <c r="T2539" s="343"/>
      <c r="U2539" s="349"/>
      <c r="V2539" s="349"/>
    </row>
    <row r="2540" spans="1:22" s="534" customFormat="1" ht="13" thickBot="1" x14ac:dyDescent="0.3">
      <c r="A2540" s="2"/>
      <c r="B2540" s="15"/>
      <c r="C2540" s="724">
        <v>17</v>
      </c>
      <c r="D2540" s="2068" t="str">
        <f t="shared" si="442"/>
        <v>Delanläggning med processutsläpp, ej KL</v>
      </c>
      <c r="E2540" s="2793"/>
      <c r="F2540" s="2793"/>
      <c r="G2540" s="2793"/>
      <c r="H2540" s="2793"/>
      <c r="I2540" s="2793"/>
      <c r="J2540" s="718" t="str">
        <f t="shared" si="443"/>
        <v/>
      </c>
      <c r="K2540" s="718" t="str">
        <f t="shared" si="443"/>
        <v/>
      </c>
      <c r="L2540" s="718" t="str">
        <f t="shared" si="443"/>
        <v/>
      </c>
      <c r="M2540" s="718" t="str">
        <f t="shared" si="443"/>
        <v/>
      </c>
      <c r="N2540" s="718" t="str">
        <f t="shared" si="443"/>
        <v/>
      </c>
      <c r="O2540" s="19"/>
      <c r="P2540" s="343"/>
      <c r="Q2540" s="343"/>
      <c r="R2540" s="343"/>
      <c r="S2540" s="343"/>
      <c r="T2540" s="343"/>
      <c r="U2540" s="349"/>
      <c r="V2540" s="349"/>
    </row>
    <row r="2541" spans="1:22" s="534" customFormat="1" ht="13" x14ac:dyDescent="0.25">
      <c r="A2541" s="2"/>
      <c r="B2541" s="15"/>
      <c r="C2541" s="15"/>
      <c r="D2541" s="2069" t="str">
        <f>Translations!$B$1090</f>
        <v>Total preliminär gratis tilldelning</v>
      </c>
      <c r="E2541" s="2789"/>
      <c r="F2541" s="2789"/>
      <c r="G2541" s="2789"/>
      <c r="H2541" s="2789"/>
      <c r="I2541" s="2789"/>
      <c r="J2541" s="720" t="str">
        <f>IF(COUNT(J2524:J2540)&gt;0,IF(SUM(J2524:J2540)&gt;0,SUM(J2524:J2540),0),"")</f>
        <v/>
      </c>
      <c r="K2541" s="720" t="str">
        <f>IF(COUNT(K2524:K2540)&gt;0,IF(SUM(K2524:K2540)&gt;0,SUM(K2524:K2540),0),"")</f>
        <v/>
      </c>
      <c r="L2541" s="720" t="str">
        <f>IF(COUNT(L2524:L2540)&gt;0,IF(SUM(L2524:L2540)&gt;0,SUM(L2524:L2540),0),"")</f>
        <v/>
      </c>
      <c r="M2541" s="720" t="str">
        <f>IF(COUNT(M2524:M2540)&gt;0,IF(SUM(M2524:M2540)&gt;0,SUM(M2524:M2540),0),"")</f>
        <v/>
      </c>
      <c r="N2541" s="720" t="str">
        <f>IF(COUNT(N2524:N2540)&gt;0,IF(SUM(N2524:N2540)&gt;0,SUM(N2524:N2540),0),"")</f>
        <v/>
      </c>
      <c r="O2541" s="19"/>
      <c r="P2541" s="343"/>
      <c r="Q2541" s="343"/>
      <c r="R2541" s="343"/>
      <c r="S2541" s="343"/>
      <c r="T2541" s="343"/>
      <c r="U2541" s="349"/>
      <c r="V2541" s="349"/>
    </row>
    <row r="2542" spans="1:22" s="534" customFormat="1" x14ac:dyDescent="0.25">
      <c r="A2542" s="2"/>
      <c r="B2542" s="15"/>
      <c r="C2542" s="15"/>
      <c r="D2542" s="15"/>
      <c r="E2542" s="15"/>
      <c r="F2542" s="15"/>
      <c r="G2542" s="15"/>
      <c r="H2542" s="15"/>
      <c r="I2542" s="15"/>
      <c r="J2542" s="15"/>
      <c r="K2542" s="15"/>
      <c r="L2542" s="15"/>
      <c r="M2542" s="15"/>
      <c r="N2542" s="15"/>
      <c r="O2542" s="19"/>
      <c r="P2542" s="343"/>
      <c r="Q2542" s="343"/>
      <c r="R2542" s="343"/>
      <c r="S2542" s="343"/>
      <c r="T2542" s="343"/>
      <c r="U2542" s="349"/>
      <c r="V2542" s="349"/>
    </row>
    <row r="2543" spans="1:22" s="534" customFormat="1" ht="14" x14ac:dyDescent="0.3">
      <c r="A2543" s="2"/>
      <c r="B2543" s="3"/>
      <c r="C2543" s="17">
        <v>2</v>
      </c>
      <c r="D2543" s="619" t="str">
        <f>Translations!$B$1091</f>
        <v>Vägledande förväntad slutlig mängd gratis utsläppsrätter:</v>
      </c>
      <c r="E2543" s="178"/>
      <c r="F2543" s="178"/>
      <c r="G2543" s="178"/>
      <c r="H2543" s="178"/>
      <c r="I2543" s="14"/>
      <c r="J2543" s="14"/>
      <c r="K2543" s="20"/>
      <c r="L2543" s="15"/>
      <c r="M2543" s="15"/>
      <c r="N2543" s="15"/>
      <c r="O2543" s="19"/>
      <c r="P2543" s="343"/>
      <c r="Q2543" s="343"/>
      <c r="R2543" s="343"/>
      <c r="S2543" s="343"/>
      <c r="T2543" s="343"/>
      <c r="U2543" s="349"/>
      <c r="V2543" s="349"/>
    </row>
    <row r="2544" spans="1:22" s="534" customFormat="1" ht="5.15" customHeight="1" x14ac:dyDescent="0.25">
      <c r="A2544" s="2"/>
      <c r="B2544" s="15"/>
      <c r="C2544" s="15"/>
      <c r="D2544" s="15"/>
      <c r="E2544" s="15"/>
      <c r="F2544" s="15"/>
      <c r="G2544" s="15"/>
      <c r="H2544" s="15"/>
      <c r="I2544" s="15"/>
      <c r="J2544" s="15"/>
      <c r="K2544" s="15"/>
      <c r="L2544" s="15"/>
      <c r="M2544" s="15"/>
      <c r="N2544" s="15"/>
      <c r="O2544" s="19"/>
      <c r="P2544" s="343"/>
      <c r="Q2544" s="343"/>
      <c r="R2544" s="343"/>
      <c r="S2544" s="343"/>
      <c r="T2544" s="343"/>
      <c r="U2544" s="349"/>
      <c r="V2544" s="349"/>
    </row>
    <row r="2545" spans="1:22" s="534" customFormat="1" ht="13" x14ac:dyDescent="0.25">
      <c r="A2545" s="2"/>
      <c r="B2545" s="3"/>
      <c r="C2545" s="453"/>
      <c r="D2545" s="13" t="s">
        <v>442</v>
      </c>
      <c r="E2545" s="39" t="str">
        <f>Translations!$B$1092</f>
        <v>Linjär faktor enligt artikel 10a.4 i ETS-direktivet:</v>
      </c>
      <c r="F2545" s="39"/>
      <c r="G2545" s="39"/>
      <c r="H2545" s="178"/>
      <c r="I2545" s="14"/>
      <c r="J2545" s="14"/>
      <c r="K2545" s="20"/>
      <c r="L2545" s="15"/>
      <c r="M2545" s="15"/>
      <c r="N2545" s="15"/>
      <c r="O2545" s="19"/>
      <c r="P2545" s="343"/>
      <c r="Q2545" s="343"/>
      <c r="R2545" s="343"/>
      <c r="S2545" s="343"/>
      <c r="T2545" s="343"/>
      <c r="U2545" s="349"/>
      <c r="V2545" s="349"/>
    </row>
    <row r="2546" spans="1:22" s="534" customFormat="1" ht="13" x14ac:dyDescent="0.25">
      <c r="A2546" s="2"/>
      <c r="B2546" s="15"/>
      <c r="C2546" s="15"/>
      <c r="D2546" s="15"/>
      <c r="E2546" s="15"/>
      <c r="F2546" s="15"/>
      <c r="G2546" s="15"/>
      <c r="H2546" s="15"/>
      <c r="I2546" s="14"/>
      <c r="J2546" s="485">
        <f>J$2596</f>
        <v>2021</v>
      </c>
      <c r="K2546" s="350">
        <f>K$2596</f>
        <v>2022</v>
      </c>
      <c r="L2546" s="350">
        <f>L$2596</f>
        <v>2023</v>
      </c>
      <c r="M2546" s="350">
        <f>M$2596</f>
        <v>2024</v>
      </c>
      <c r="N2546" s="350">
        <f>N$2596</f>
        <v>2025</v>
      </c>
      <c r="O2546" s="19"/>
      <c r="P2546" s="343"/>
      <c r="Q2546" s="343"/>
      <c r="R2546" s="343"/>
      <c r="S2546" s="343"/>
      <c r="T2546" s="343"/>
      <c r="U2546" s="349"/>
      <c r="V2546" s="349"/>
    </row>
    <row r="2547" spans="1:22" s="534" customFormat="1" x14ac:dyDescent="0.25">
      <c r="A2547" s="2"/>
      <c r="B2547" s="15"/>
      <c r="C2547" s="15"/>
      <c r="D2547" s="15"/>
      <c r="E2547" s="2802" t="str">
        <f>Translations!$B$1598</f>
        <v>Linjär faktor för anläggningar som omfattas av artikel 10.a.3</v>
      </c>
      <c r="F2547" s="2802"/>
      <c r="G2547" s="2802"/>
      <c r="H2547" s="2802"/>
      <c r="I2547" s="2804"/>
      <c r="J2547" s="716">
        <f>ROUND(0.8782-0.022*(J2546-2020),4)</f>
        <v>0.85619999999999996</v>
      </c>
      <c r="K2547" s="716">
        <f>ROUND(0.8782-0.022*(K2546-2020),4)</f>
        <v>0.83420000000000005</v>
      </c>
      <c r="L2547" s="716">
        <f>ROUND(0.8782-0.022*(L2546-2020),4)</f>
        <v>0.81220000000000003</v>
      </c>
      <c r="M2547" s="716">
        <f>ROUND(0.8782-0.022*(M2546-2020),4)</f>
        <v>0.79020000000000001</v>
      </c>
      <c r="N2547" s="716">
        <f>ROUND(0.8782-0.022*(N2546-2020),4)</f>
        <v>0.76819999999999999</v>
      </c>
      <c r="O2547" s="19"/>
      <c r="P2547" s="343"/>
      <c r="Q2547" s="343"/>
      <c r="R2547" s="343"/>
      <c r="S2547" s="343"/>
      <c r="T2547" s="343"/>
      <c r="U2547" s="349"/>
      <c r="V2547" s="349"/>
    </row>
    <row r="2548" spans="1:22" s="534" customFormat="1" ht="5.15" customHeight="1" x14ac:dyDescent="0.25">
      <c r="A2548" s="2"/>
      <c r="B2548" s="15"/>
      <c r="C2548" s="15"/>
      <c r="D2548" s="15"/>
      <c r="E2548" s="15"/>
      <c r="F2548" s="15"/>
      <c r="G2548" s="15"/>
      <c r="H2548" s="15"/>
      <c r="I2548" s="15"/>
      <c r="J2548" s="15"/>
      <c r="K2548" s="15"/>
      <c r="L2548" s="15"/>
      <c r="M2548" s="15"/>
      <c r="N2548" s="15"/>
      <c r="O2548" s="19"/>
      <c r="P2548" s="343"/>
      <c r="Q2548" s="343"/>
      <c r="R2548" s="343"/>
      <c r="S2548" s="343"/>
      <c r="T2548" s="343"/>
      <c r="U2548" s="349"/>
      <c r="V2548" s="349"/>
    </row>
    <row r="2549" spans="1:22" s="534" customFormat="1" ht="13" x14ac:dyDescent="0.25">
      <c r="A2549" s="2"/>
      <c r="B2549" s="3"/>
      <c r="C2549" s="453"/>
      <c r="D2549" s="13" t="s">
        <v>955</v>
      </c>
      <c r="E2549" s="39" t="str">
        <f>Translations!$B$1599</f>
        <v>Linjär faktor enligt artikel 10a.7 i ETS-direktivet:</v>
      </c>
      <c r="F2549" s="39"/>
      <c r="G2549" s="39"/>
      <c r="H2549" s="178"/>
      <c r="I2549" s="14"/>
      <c r="J2549" s="14"/>
      <c r="K2549" s="20"/>
      <c r="L2549" s="15"/>
      <c r="M2549" s="15"/>
      <c r="N2549" s="15"/>
      <c r="O2549" s="19"/>
      <c r="P2549" s="343"/>
      <c r="Q2549" s="343"/>
      <c r="R2549" s="343"/>
      <c r="S2549" s="343"/>
      <c r="T2549" s="343"/>
      <c r="U2549" s="349"/>
      <c r="V2549" s="349"/>
    </row>
    <row r="2550" spans="1:22" s="534" customFormat="1" ht="13" x14ac:dyDescent="0.25">
      <c r="A2550" s="2"/>
      <c r="B2550" s="15"/>
      <c r="C2550" s="15"/>
      <c r="D2550" s="15"/>
      <c r="E2550" s="15"/>
      <c r="F2550" s="15"/>
      <c r="G2550" s="15"/>
      <c r="H2550" s="15"/>
      <c r="I2550" s="14"/>
      <c r="J2550" s="485">
        <f>J$2596</f>
        <v>2021</v>
      </c>
      <c r="K2550" s="350">
        <f>K$2596</f>
        <v>2022</v>
      </c>
      <c r="L2550" s="350">
        <f>L$2596</f>
        <v>2023</v>
      </c>
      <c r="M2550" s="350">
        <f>M$2596</f>
        <v>2024</v>
      </c>
      <c r="N2550" s="350">
        <f>N$2596</f>
        <v>2025</v>
      </c>
      <c r="O2550" s="19"/>
      <c r="P2550" s="343"/>
      <c r="Q2550" s="343"/>
      <c r="R2550" s="343"/>
      <c r="S2550" s="343"/>
      <c r="T2550" s="343"/>
      <c r="U2550" s="349"/>
      <c r="V2550" s="349"/>
    </row>
    <row r="2551" spans="1:22" s="534" customFormat="1" x14ac:dyDescent="0.25">
      <c r="A2551" s="2"/>
      <c r="B2551" s="15"/>
      <c r="C2551" s="15"/>
      <c r="D2551" s="15"/>
      <c r="E2551" s="2802" t="str">
        <f>Translations!$B$1600</f>
        <v>Linjär faktor för nya deltagare</v>
      </c>
      <c r="F2551" s="2802"/>
      <c r="G2551" s="2802"/>
      <c r="H2551" s="2802"/>
      <c r="I2551" s="2804"/>
      <c r="J2551" s="716">
        <v>1</v>
      </c>
      <c r="K2551" s="716">
        <f>J2551-0.022</f>
        <v>0.97799999999999998</v>
      </c>
      <c r="L2551" s="716">
        <f>K2551-0.022</f>
        <v>0.95599999999999996</v>
      </c>
      <c r="M2551" s="716">
        <f>L2551-0.022</f>
        <v>0.93399999999999994</v>
      </c>
      <c r="N2551" s="716">
        <f>M2551-0.022</f>
        <v>0.91199999999999992</v>
      </c>
      <c r="O2551" s="19"/>
      <c r="P2551" s="343"/>
      <c r="Q2551" s="343"/>
      <c r="R2551" s="343"/>
      <c r="S2551" s="343"/>
      <c r="T2551" s="343"/>
      <c r="U2551" s="349"/>
      <c r="V2551" s="349"/>
    </row>
    <row r="2552" spans="1:22" s="534" customFormat="1" ht="5.15" customHeight="1" x14ac:dyDescent="0.25">
      <c r="A2552" s="2"/>
      <c r="B2552" s="15"/>
      <c r="C2552" s="15"/>
      <c r="D2552" s="15"/>
      <c r="E2552" s="15"/>
      <c r="F2552" s="15"/>
      <c r="G2552" s="15"/>
      <c r="H2552" s="15"/>
      <c r="I2552" s="15"/>
      <c r="J2552" s="15"/>
      <c r="K2552" s="15"/>
      <c r="L2552" s="15"/>
      <c r="M2552" s="15"/>
      <c r="N2552" s="15"/>
      <c r="O2552" s="19"/>
      <c r="P2552" s="343"/>
      <c r="Q2552" s="343"/>
      <c r="R2552" s="343"/>
      <c r="S2552" s="343"/>
      <c r="T2552" s="343"/>
      <c r="U2552" s="349"/>
      <c r="V2552" s="349"/>
    </row>
    <row r="2553" spans="1:22" s="534" customFormat="1" ht="13" x14ac:dyDescent="0.25">
      <c r="A2553" s="2"/>
      <c r="B2553" s="3"/>
      <c r="C2553" s="3"/>
      <c r="D2553" s="13" t="s">
        <v>55</v>
      </c>
      <c r="E2553" s="39" t="str">
        <f>Translations!$B$1094</f>
        <v>Sektorsövergripande korrigeringsfaktor (CSCF) enligt artikel 14.6 i FAR:</v>
      </c>
      <c r="F2553" s="178"/>
      <c r="G2553" s="178"/>
      <c r="H2553" s="178"/>
      <c r="I2553" s="178"/>
      <c r="J2553" s="178"/>
      <c r="K2553" s="178"/>
      <c r="L2553" s="178"/>
      <c r="M2553" s="178"/>
      <c r="N2553" s="178"/>
      <c r="O2553" s="19"/>
      <c r="P2553" s="7"/>
      <c r="Q2553" s="343"/>
      <c r="R2553" s="343"/>
      <c r="S2553" s="343"/>
      <c r="T2553" s="343"/>
      <c r="U2553" s="349"/>
      <c r="V2553" s="349"/>
    </row>
    <row r="2554" spans="1:22" s="534" customFormat="1" ht="12.75" customHeight="1" x14ac:dyDescent="0.25">
      <c r="A2554" s="2"/>
      <c r="B2554" s="15"/>
      <c r="C2554" s="15"/>
      <c r="D2554" s="15"/>
      <c r="E2554" s="15"/>
      <c r="F2554" s="15"/>
      <c r="G2554" s="15"/>
      <c r="H2554" s="15"/>
      <c r="I2554" s="14"/>
      <c r="J2554" s="485">
        <f>J$2596</f>
        <v>2021</v>
      </c>
      <c r="K2554" s="350">
        <f>K$2596</f>
        <v>2022</v>
      </c>
      <c r="L2554" s="350">
        <f>L$2596</f>
        <v>2023</v>
      </c>
      <c r="M2554" s="350">
        <f>M$2596</f>
        <v>2024</v>
      </c>
      <c r="N2554" s="350">
        <f>N$2596</f>
        <v>2025</v>
      </c>
      <c r="O2554" s="19"/>
      <c r="P2554" s="343"/>
      <c r="Q2554" s="343"/>
      <c r="R2554" s="343"/>
      <c r="S2554" s="343"/>
      <c r="T2554" s="343"/>
      <c r="U2554" s="349"/>
      <c r="V2554" s="349"/>
    </row>
    <row r="2555" spans="1:22" s="534" customFormat="1" x14ac:dyDescent="0.25">
      <c r="A2555" s="2"/>
      <c r="B2555" s="15"/>
      <c r="C2555" s="15"/>
      <c r="D2555" s="15"/>
      <c r="E2555" s="2802" t="str">
        <f>Translations!$B$1097</f>
        <v>CSCF</v>
      </c>
      <c r="F2555" s="2802"/>
      <c r="G2555" s="2802"/>
      <c r="H2555" s="2802"/>
      <c r="I2555" s="2803"/>
      <c r="J2555" s="1294">
        <v>1</v>
      </c>
      <c r="K2555" s="1294">
        <v>1</v>
      </c>
      <c r="L2555" s="1294">
        <v>1</v>
      </c>
      <c r="M2555" s="1294">
        <v>1</v>
      </c>
      <c r="N2555" s="1294">
        <v>1</v>
      </c>
      <c r="O2555" s="19"/>
      <c r="P2555" s="343"/>
      <c r="Q2555" s="343"/>
      <c r="R2555" s="343"/>
      <c r="S2555" s="343"/>
      <c r="T2555" s="343"/>
      <c r="U2555" s="349"/>
      <c r="V2555" s="349"/>
    </row>
    <row r="2556" spans="1:22" s="534" customFormat="1" ht="5.15" customHeight="1" x14ac:dyDescent="0.25">
      <c r="A2556" s="2"/>
      <c r="B2556" s="15"/>
      <c r="C2556" s="15"/>
      <c r="D2556" s="15"/>
      <c r="E2556" s="15"/>
      <c r="F2556" s="15"/>
      <c r="G2556" s="15"/>
      <c r="H2556" s="15"/>
      <c r="I2556" s="15"/>
      <c r="J2556" s="15"/>
      <c r="K2556" s="15"/>
      <c r="L2556" s="15"/>
      <c r="M2556" s="15"/>
      <c r="N2556" s="15"/>
      <c r="O2556" s="19"/>
      <c r="P2556" s="343"/>
      <c r="Q2556" s="343"/>
      <c r="R2556" s="343"/>
      <c r="S2556" s="343"/>
      <c r="T2556" s="343"/>
      <c r="U2556" s="349"/>
      <c r="V2556" s="349"/>
    </row>
    <row r="2557" spans="1:22" s="534" customFormat="1" ht="13" x14ac:dyDescent="0.25">
      <c r="A2557" s="2"/>
      <c r="B2557" s="15"/>
      <c r="C2557" s="15"/>
      <c r="D2557" s="13" t="s">
        <v>960</v>
      </c>
      <c r="E2557" s="39" t="str">
        <f>Translations!$B$1099</f>
        <v>Faktor som används för beräkning:</v>
      </c>
      <c r="F2557" s="15"/>
      <c r="G2557" s="15"/>
      <c r="H2557" s="15"/>
      <c r="I2557" s="15"/>
      <c r="J2557" s="15"/>
      <c r="K2557" s="15"/>
      <c r="L2557" s="15"/>
      <c r="M2557" s="15"/>
      <c r="N2557" s="15"/>
      <c r="O2557" s="19"/>
      <c r="P2557" s="343"/>
      <c r="Q2557" s="343"/>
      <c r="R2557" s="343"/>
      <c r="S2557" s="343"/>
      <c r="T2557" s="343"/>
      <c r="U2557" s="349"/>
      <c r="V2557" s="349"/>
    </row>
    <row r="2558" spans="1:22" s="534" customFormat="1" ht="25.5" customHeight="1" x14ac:dyDescent="0.25">
      <c r="A2558" s="2"/>
      <c r="B2558" s="15"/>
      <c r="C2558" s="15"/>
      <c r="D2558" s="15"/>
      <c r="E2558" s="2061" t="str">
        <f>Translations!$B$1100</f>
        <v>För anläggningar som omfattas av artikel 10a.3 i direktivet måste den linjära faktor som visas i punkt a tillämpas för varje år om inte CSCF som visas i punkt c är lägre än 1. I sådana fall måste CSCF tillämpas för alla sådana år.</v>
      </c>
      <c r="F2558" s="1963"/>
      <c r="G2558" s="1963"/>
      <c r="H2558" s="1963"/>
      <c r="I2558" s="1963"/>
      <c r="J2558" s="1963"/>
      <c r="K2558" s="1963"/>
      <c r="L2558" s="1963"/>
      <c r="M2558" s="1963"/>
      <c r="N2558" s="1963"/>
      <c r="O2558" s="19"/>
      <c r="P2558" s="343"/>
      <c r="Q2558" s="343"/>
      <c r="R2558" s="343"/>
      <c r="S2558" s="343"/>
      <c r="T2558" s="343"/>
      <c r="U2558" s="349"/>
      <c r="V2558" s="349"/>
    </row>
    <row r="2559" spans="1:22" s="534" customFormat="1" x14ac:dyDescent="0.25">
      <c r="A2559" s="2"/>
      <c r="B2559" s="15"/>
      <c r="C2559" s="15"/>
      <c r="D2559" s="15"/>
      <c r="E2559" s="2061" t="str">
        <f>Translations!$B$1101</f>
        <v>För anläggningar som inte omfattas av artikel 10a.3 ska CSCF som visas i punkt c tillämpas för varje år.</v>
      </c>
      <c r="F2559" s="1963"/>
      <c r="G2559" s="1963"/>
      <c r="H2559" s="1963"/>
      <c r="I2559" s="1963"/>
      <c r="J2559" s="1963"/>
      <c r="K2559" s="1963"/>
      <c r="L2559" s="1963"/>
      <c r="M2559" s="1963"/>
      <c r="N2559" s="1963"/>
      <c r="O2559" s="19"/>
      <c r="P2559" s="343"/>
      <c r="Q2559" s="343"/>
      <c r="R2559" s="343"/>
      <c r="S2559" s="343"/>
      <c r="T2559" s="343"/>
      <c r="U2559" s="349"/>
      <c r="V2559" s="349"/>
    </row>
    <row r="2560" spans="1:22" s="534" customFormat="1" ht="12.75" customHeight="1" x14ac:dyDescent="0.25">
      <c r="A2560" s="2"/>
      <c r="B2560" s="15"/>
      <c r="C2560" s="15"/>
      <c r="D2560" s="15"/>
      <c r="E2560" s="15"/>
      <c r="F2560" s="15"/>
      <c r="G2560" s="15"/>
      <c r="H2560" s="15"/>
      <c r="I2560" s="14"/>
      <c r="J2560" s="485">
        <f>J$2596</f>
        <v>2021</v>
      </c>
      <c r="K2560" s="350">
        <f>K$2596</f>
        <v>2022</v>
      </c>
      <c r="L2560" s="350">
        <f>L$2596</f>
        <v>2023</v>
      </c>
      <c r="M2560" s="350">
        <f>M$2596</f>
        <v>2024</v>
      </c>
      <c r="N2560" s="350">
        <f>N$2596</f>
        <v>2025</v>
      </c>
      <c r="O2560" s="19"/>
      <c r="P2560" s="343"/>
      <c r="Q2560" s="343"/>
      <c r="R2560" s="343"/>
      <c r="S2560" s="343"/>
      <c r="T2560" s="343"/>
      <c r="U2560" s="349"/>
      <c r="V2560" s="349"/>
    </row>
    <row r="2561" spans="1:22" s="534" customFormat="1" x14ac:dyDescent="0.25">
      <c r="A2561" s="2"/>
      <c r="B2561" s="15"/>
      <c r="C2561" s="15"/>
      <c r="D2561" s="15"/>
      <c r="E2561" s="2802" t="str">
        <f>Translations!$B$1098</f>
        <v>Värde som används för beräkning</v>
      </c>
      <c r="F2561" s="2802"/>
      <c r="G2561" s="2802"/>
      <c r="H2561" s="2802"/>
      <c r="I2561" s="2804"/>
      <c r="J2561" s="721" t="str">
        <f>IF(CNTR_HasEntries_A_I,IF($H$18=FALSE,J2551,IF(AND(CNTR_ApplyLinF,J2555=1),J2547,J2555)),"")</f>
        <v/>
      </c>
      <c r="K2561" s="721" t="str">
        <f>IF(CNTR_HasEntries_A_I,IF($H$18=FALSE,K2551,IF(AND(CNTR_ApplyLinF,K2555=1),K2547,K2555)),"")</f>
        <v/>
      </c>
      <c r="L2561" s="721" t="str">
        <f>IF(CNTR_HasEntries_A_I,IF($H$18=FALSE,L2551,IF(AND(CNTR_ApplyLinF,L2555=1),L2547,L2555)),"")</f>
        <v/>
      </c>
      <c r="M2561" s="721" t="str">
        <f>IF(CNTR_HasEntries_A_I,IF($H$18=FALSE,M2551,IF(AND(CNTR_ApplyLinF,M2555=1),M2547,M2555)),"")</f>
        <v/>
      </c>
      <c r="N2561" s="721" t="str">
        <f>IF(CNTR_HasEntries_A_I,IF($H$18=FALSE,N2551,IF(AND(CNTR_ApplyLinF,N2555=1),N2547,N2555)),"")</f>
        <v/>
      </c>
      <c r="O2561" s="19"/>
      <c r="P2561" s="343"/>
      <c r="Q2561" s="343"/>
      <c r="R2561" s="343"/>
      <c r="S2561" s="343"/>
      <c r="T2561" s="343"/>
      <c r="U2561" s="349"/>
      <c r="V2561" s="349"/>
    </row>
    <row r="2562" spans="1:22" s="534" customFormat="1" ht="5.15" customHeight="1" x14ac:dyDescent="0.25">
      <c r="A2562" s="2"/>
      <c r="B2562" s="15"/>
      <c r="C2562" s="15"/>
      <c r="D2562" s="15"/>
      <c r="E2562" s="15"/>
      <c r="F2562" s="15"/>
      <c r="G2562" s="15"/>
      <c r="H2562" s="15"/>
      <c r="I2562" s="15"/>
      <c r="J2562" s="15"/>
      <c r="K2562" s="15"/>
      <c r="L2562" s="15"/>
      <c r="M2562" s="15"/>
      <c r="N2562" s="15"/>
      <c r="O2562" s="19"/>
      <c r="P2562" s="343"/>
      <c r="Q2562" s="343"/>
      <c r="R2562" s="343"/>
      <c r="S2562" s="343"/>
      <c r="T2562" s="343"/>
      <c r="U2562" s="349"/>
      <c r="V2562" s="349"/>
    </row>
    <row r="2563" spans="1:22" s="534" customFormat="1" ht="13" x14ac:dyDescent="0.25">
      <c r="A2563" s="2"/>
      <c r="B2563" s="3"/>
      <c r="C2563" s="453"/>
      <c r="D2563" s="13" t="s">
        <v>65</v>
      </c>
      <c r="E2563" s="39" t="str">
        <f>Translations!$B$1601</f>
        <v>Beräkning i enlighet med artikel 16.8 i FAR och artiklarna 5 och 6 i verksamhetsändringsförordningen:</v>
      </c>
      <c r="F2563" s="39"/>
      <c r="G2563" s="39"/>
      <c r="H2563" s="178"/>
      <c r="I2563" s="14"/>
      <c r="J2563" s="14"/>
      <c r="K2563" s="20"/>
      <c r="L2563" s="15"/>
      <c r="M2563" s="15"/>
      <c r="N2563" s="15"/>
      <c r="O2563" s="19"/>
      <c r="P2563" s="343"/>
      <c r="Q2563" s="343"/>
      <c r="R2563" s="343"/>
      <c r="S2563" s="343"/>
      <c r="T2563" s="343"/>
      <c r="U2563" s="349"/>
      <c r="V2563" s="349"/>
    </row>
    <row r="2564" spans="1:22" s="534" customFormat="1" ht="25.5" customHeight="1" x14ac:dyDescent="0.25">
      <c r="A2564" s="2"/>
      <c r="B2564" s="3"/>
      <c r="C2564" s="3"/>
      <c r="D2564" s="15"/>
      <c r="E2564" s="2061" t="str">
        <f>Translations!$B$1602</f>
        <v>De mängder som visas här återspeglar beräkningen av den slutliga totala mängd utsläppsrätter som tilldelas gratis i enlighet med artikel 16.8 i FAR och artiklarna 5 och 6 i verksamhetsändrings-förordningen, dvs. tilldelningsvärden där den linjära faktorn eller den sektorsövergripande korrigeringsfaktorn tillämpas enligt vad som är lämpligt (dvs. resultatet av punkt d ovan).</v>
      </c>
      <c r="F2564" s="1963"/>
      <c r="G2564" s="1963"/>
      <c r="H2564" s="1963"/>
      <c r="I2564" s="1963"/>
      <c r="J2564" s="1963"/>
      <c r="K2564" s="1963"/>
      <c r="L2564" s="1963"/>
      <c r="M2564" s="1963"/>
      <c r="N2564" s="1963"/>
      <c r="O2564" s="19"/>
      <c r="P2564" s="7"/>
      <c r="Q2564" s="343"/>
      <c r="R2564" s="343"/>
      <c r="S2564" s="343"/>
      <c r="T2564" s="343"/>
      <c r="U2564" s="349"/>
      <c r="V2564" s="349"/>
    </row>
    <row r="2565" spans="1:22" s="534" customFormat="1" ht="5.15" customHeight="1" x14ac:dyDescent="0.25">
      <c r="A2565" s="2"/>
      <c r="B2565" s="15"/>
      <c r="C2565" s="15"/>
      <c r="D2565" s="15"/>
      <c r="E2565" s="15"/>
      <c r="F2565" s="15"/>
      <c r="G2565" s="15"/>
      <c r="H2565" s="15"/>
      <c r="I2565" s="15"/>
      <c r="J2565" s="15"/>
      <c r="K2565" s="15"/>
      <c r="L2565" s="15"/>
      <c r="M2565" s="15"/>
      <c r="N2565" s="15"/>
      <c r="O2565" s="19"/>
      <c r="P2565" s="343"/>
      <c r="Q2565" s="343"/>
      <c r="R2565" s="343"/>
      <c r="S2565" s="343"/>
      <c r="T2565" s="343"/>
      <c r="U2565" s="349"/>
      <c r="V2565" s="349"/>
    </row>
    <row r="2566" spans="1:22" s="534" customFormat="1" ht="12.75" customHeight="1" thickBot="1" x14ac:dyDescent="0.3">
      <c r="A2566" s="2"/>
      <c r="B2566" s="15"/>
      <c r="C2566" s="15"/>
      <c r="D2566" s="2072" t="str">
        <f>Translations!$B$462</f>
        <v>Delanläggning</v>
      </c>
      <c r="E2566" s="2790"/>
      <c r="F2566" s="2790"/>
      <c r="G2566" s="2790"/>
      <c r="H2566" s="2790"/>
      <c r="I2566" s="2791"/>
      <c r="J2566" s="320">
        <f>J$2596</f>
        <v>2021</v>
      </c>
      <c r="K2566" s="320">
        <f>K$2596</f>
        <v>2022</v>
      </c>
      <c r="L2566" s="320">
        <f>L$2596</f>
        <v>2023</v>
      </c>
      <c r="M2566" s="320">
        <f>M$2596</f>
        <v>2024</v>
      </c>
      <c r="N2566" s="320">
        <f>N$2596</f>
        <v>2025</v>
      </c>
      <c r="O2566" s="19"/>
      <c r="P2566" s="343"/>
      <c r="Q2566" s="343"/>
      <c r="R2566" s="343"/>
      <c r="S2566" s="343"/>
      <c r="T2566" s="343"/>
      <c r="U2566" s="349"/>
      <c r="V2566" s="349"/>
    </row>
    <row r="2567" spans="1:22" s="534" customFormat="1" x14ac:dyDescent="0.25">
      <c r="A2567" s="2"/>
      <c r="B2567" s="15"/>
      <c r="C2567" s="1611">
        <v>1</v>
      </c>
      <c r="D2567" s="2066" t="str">
        <f t="shared" ref="D2567:D2583" si="444">D2524</f>
        <v/>
      </c>
      <c r="E2567" s="2066"/>
      <c r="F2567" s="2066"/>
      <c r="G2567" s="2066"/>
      <c r="H2567" s="2066"/>
      <c r="I2567" s="2066"/>
      <c r="J2567" s="1612" t="str">
        <f t="shared" ref="J2567:N2576" si="445">IF(ISNUMBER(J2524),ROUND(J2524*J$2561,0),"")</f>
        <v/>
      </c>
      <c r="K2567" s="1612" t="str">
        <f t="shared" si="445"/>
        <v/>
      </c>
      <c r="L2567" s="1612" t="str">
        <f t="shared" si="445"/>
        <v/>
      </c>
      <c r="M2567" s="1612" t="str">
        <f t="shared" si="445"/>
        <v/>
      </c>
      <c r="N2567" s="1612" t="str">
        <f t="shared" si="445"/>
        <v/>
      </c>
      <c r="O2567" s="19"/>
      <c r="P2567" s="343"/>
      <c r="Q2567" s="343"/>
      <c r="R2567" s="343"/>
      <c r="S2567" s="343"/>
      <c r="T2567" s="343"/>
      <c r="U2567" s="349"/>
      <c r="V2567" s="349"/>
    </row>
    <row r="2568" spans="1:22" s="534" customFormat="1" x14ac:dyDescent="0.25">
      <c r="A2568" s="2"/>
      <c r="B2568" s="15"/>
      <c r="C2568" s="194">
        <f>C2567+1</f>
        <v>2</v>
      </c>
      <c r="D2568" s="2064" t="str">
        <f t="shared" si="444"/>
        <v/>
      </c>
      <c r="E2568" s="2792"/>
      <c r="F2568" s="2792"/>
      <c r="G2568" s="2792"/>
      <c r="H2568" s="2792"/>
      <c r="I2568" s="2792"/>
      <c r="J2568" s="346" t="str">
        <f t="shared" si="445"/>
        <v/>
      </c>
      <c r="K2568" s="346" t="str">
        <f t="shared" si="445"/>
        <v/>
      </c>
      <c r="L2568" s="346" t="str">
        <f t="shared" si="445"/>
        <v/>
      </c>
      <c r="M2568" s="346" t="str">
        <f t="shared" si="445"/>
        <v/>
      </c>
      <c r="N2568" s="346" t="str">
        <f t="shared" si="445"/>
        <v/>
      </c>
      <c r="O2568" s="19"/>
      <c r="P2568" s="343"/>
      <c r="Q2568" s="343"/>
      <c r="R2568" s="343"/>
      <c r="S2568" s="343"/>
      <c r="T2568" s="343"/>
      <c r="U2568" s="349"/>
      <c r="V2568" s="349"/>
    </row>
    <row r="2569" spans="1:22" s="534" customFormat="1" x14ac:dyDescent="0.25">
      <c r="A2569" s="2"/>
      <c r="B2569" s="15"/>
      <c r="C2569" s="194">
        <f t="shared" ref="C2569:C2582" si="446">C2568+1</f>
        <v>3</v>
      </c>
      <c r="D2569" s="2064" t="str">
        <f t="shared" si="444"/>
        <v/>
      </c>
      <c r="E2569" s="2792"/>
      <c r="F2569" s="2792"/>
      <c r="G2569" s="2792"/>
      <c r="H2569" s="2792"/>
      <c r="I2569" s="2792"/>
      <c r="J2569" s="346" t="str">
        <f t="shared" si="445"/>
        <v/>
      </c>
      <c r="K2569" s="346" t="str">
        <f t="shared" si="445"/>
        <v/>
      </c>
      <c r="L2569" s="346" t="str">
        <f t="shared" si="445"/>
        <v/>
      </c>
      <c r="M2569" s="346" t="str">
        <f t="shared" si="445"/>
        <v/>
      </c>
      <c r="N2569" s="346" t="str">
        <f t="shared" si="445"/>
        <v/>
      </c>
      <c r="O2569" s="19"/>
      <c r="P2569" s="343"/>
      <c r="Q2569" s="343"/>
      <c r="R2569" s="343"/>
      <c r="S2569" s="343"/>
      <c r="T2569" s="343"/>
      <c r="U2569" s="349"/>
      <c r="V2569" s="349"/>
    </row>
    <row r="2570" spans="1:22" s="534" customFormat="1" x14ac:dyDescent="0.25">
      <c r="A2570" s="2"/>
      <c r="B2570" s="15"/>
      <c r="C2570" s="194">
        <f t="shared" si="446"/>
        <v>4</v>
      </c>
      <c r="D2570" s="2064" t="str">
        <f t="shared" si="444"/>
        <v/>
      </c>
      <c r="E2570" s="2792"/>
      <c r="F2570" s="2792"/>
      <c r="G2570" s="2792"/>
      <c r="H2570" s="2792"/>
      <c r="I2570" s="2792"/>
      <c r="J2570" s="346" t="str">
        <f t="shared" si="445"/>
        <v/>
      </c>
      <c r="K2570" s="346" t="str">
        <f t="shared" si="445"/>
        <v/>
      </c>
      <c r="L2570" s="346" t="str">
        <f t="shared" si="445"/>
        <v/>
      </c>
      <c r="M2570" s="346" t="str">
        <f t="shared" si="445"/>
        <v/>
      </c>
      <c r="N2570" s="346" t="str">
        <f t="shared" si="445"/>
        <v/>
      </c>
      <c r="O2570" s="19"/>
      <c r="P2570" s="343"/>
      <c r="Q2570" s="343"/>
      <c r="R2570" s="343"/>
      <c r="S2570" s="343"/>
      <c r="T2570" s="343"/>
      <c r="U2570" s="349"/>
      <c r="V2570" s="349"/>
    </row>
    <row r="2571" spans="1:22" s="534" customFormat="1" x14ac:dyDescent="0.25">
      <c r="A2571" s="2"/>
      <c r="B2571" s="15"/>
      <c r="C2571" s="194">
        <f t="shared" si="446"/>
        <v>5</v>
      </c>
      <c r="D2571" s="2064" t="str">
        <f t="shared" si="444"/>
        <v/>
      </c>
      <c r="E2571" s="2792"/>
      <c r="F2571" s="2792"/>
      <c r="G2571" s="2792"/>
      <c r="H2571" s="2792"/>
      <c r="I2571" s="2792"/>
      <c r="J2571" s="346" t="str">
        <f t="shared" si="445"/>
        <v/>
      </c>
      <c r="K2571" s="346" t="str">
        <f t="shared" si="445"/>
        <v/>
      </c>
      <c r="L2571" s="346" t="str">
        <f t="shared" si="445"/>
        <v/>
      </c>
      <c r="M2571" s="346" t="str">
        <f t="shared" si="445"/>
        <v/>
      </c>
      <c r="N2571" s="346" t="str">
        <f t="shared" si="445"/>
        <v/>
      </c>
      <c r="O2571" s="19"/>
      <c r="P2571" s="343"/>
      <c r="Q2571" s="343"/>
      <c r="R2571" s="343"/>
      <c r="S2571" s="343"/>
      <c r="T2571" s="343"/>
      <c r="U2571" s="349"/>
      <c r="V2571" s="349"/>
    </row>
    <row r="2572" spans="1:22" s="534" customFormat="1" x14ac:dyDescent="0.25">
      <c r="A2572" s="2"/>
      <c r="B2572" s="15"/>
      <c r="C2572" s="194">
        <f t="shared" si="446"/>
        <v>6</v>
      </c>
      <c r="D2572" s="2064" t="str">
        <f t="shared" si="444"/>
        <v/>
      </c>
      <c r="E2572" s="2792"/>
      <c r="F2572" s="2792"/>
      <c r="G2572" s="2792"/>
      <c r="H2572" s="2792"/>
      <c r="I2572" s="2792"/>
      <c r="J2572" s="346" t="str">
        <f t="shared" si="445"/>
        <v/>
      </c>
      <c r="K2572" s="346" t="str">
        <f t="shared" si="445"/>
        <v/>
      </c>
      <c r="L2572" s="346" t="str">
        <f t="shared" si="445"/>
        <v/>
      </c>
      <c r="M2572" s="346" t="str">
        <f t="shared" si="445"/>
        <v/>
      </c>
      <c r="N2572" s="346" t="str">
        <f t="shared" si="445"/>
        <v/>
      </c>
      <c r="O2572" s="19"/>
      <c r="P2572" s="343"/>
      <c r="Q2572" s="343"/>
      <c r="R2572" s="343"/>
      <c r="S2572" s="343"/>
      <c r="T2572" s="343"/>
      <c r="U2572" s="349"/>
      <c r="V2572" s="349"/>
    </row>
    <row r="2573" spans="1:22" s="534" customFormat="1" x14ac:dyDescent="0.25">
      <c r="A2573" s="2"/>
      <c r="B2573" s="15"/>
      <c r="C2573" s="194">
        <f t="shared" si="446"/>
        <v>7</v>
      </c>
      <c r="D2573" s="2064" t="str">
        <f t="shared" si="444"/>
        <v/>
      </c>
      <c r="E2573" s="2792"/>
      <c r="F2573" s="2792"/>
      <c r="G2573" s="2792"/>
      <c r="H2573" s="2792"/>
      <c r="I2573" s="2792"/>
      <c r="J2573" s="346" t="str">
        <f t="shared" si="445"/>
        <v/>
      </c>
      <c r="K2573" s="346" t="str">
        <f t="shared" si="445"/>
        <v/>
      </c>
      <c r="L2573" s="346" t="str">
        <f t="shared" si="445"/>
        <v/>
      </c>
      <c r="M2573" s="346" t="str">
        <f t="shared" si="445"/>
        <v/>
      </c>
      <c r="N2573" s="346" t="str">
        <f t="shared" si="445"/>
        <v/>
      </c>
      <c r="O2573" s="19"/>
      <c r="P2573" s="343"/>
      <c r="Q2573" s="343"/>
      <c r="R2573" s="343"/>
      <c r="S2573" s="343"/>
      <c r="T2573" s="343"/>
      <c r="U2573" s="349"/>
      <c r="V2573" s="349"/>
    </row>
    <row r="2574" spans="1:22" s="534" customFormat="1" x14ac:dyDescent="0.25">
      <c r="A2574" s="2"/>
      <c r="B2574" s="15"/>
      <c r="C2574" s="194">
        <f t="shared" si="446"/>
        <v>8</v>
      </c>
      <c r="D2574" s="2064" t="str">
        <f t="shared" si="444"/>
        <v/>
      </c>
      <c r="E2574" s="2792"/>
      <c r="F2574" s="2792"/>
      <c r="G2574" s="2792"/>
      <c r="H2574" s="2792"/>
      <c r="I2574" s="2792"/>
      <c r="J2574" s="346" t="str">
        <f t="shared" si="445"/>
        <v/>
      </c>
      <c r="K2574" s="346" t="str">
        <f t="shared" si="445"/>
        <v/>
      </c>
      <c r="L2574" s="346" t="str">
        <f t="shared" si="445"/>
        <v/>
      </c>
      <c r="M2574" s="346" t="str">
        <f t="shared" si="445"/>
        <v/>
      </c>
      <c r="N2574" s="346" t="str">
        <f t="shared" si="445"/>
        <v/>
      </c>
      <c r="O2574" s="19"/>
      <c r="P2574" s="343"/>
      <c r="Q2574" s="343"/>
      <c r="R2574" s="343"/>
      <c r="S2574" s="343"/>
      <c r="T2574" s="343"/>
      <c r="U2574" s="349"/>
      <c r="V2574" s="349"/>
    </row>
    <row r="2575" spans="1:22" s="534" customFormat="1" x14ac:dyDescent="0.25">
      <c r="A2575" s="2"/>
      <c r="B2575" s="15"/>
      <c r="C2575" s="194">
        <f t="shared" si="446"/>
        <v>9</v>
      </c>
      <c r="D2575" s="2064" t="str">
        <f t="shared" si="444"/>
        <v/>
      </c>
      <c r="E2575" s="2792"/>
      <c r="F2575" s="2792"/>
      <c r="G2575" s="2792"/>
      <c r="H2575" s="2792"/>
      <c r="I2575" s="2792"/>
      <c r="J2575" s="346" t="str">
        <f t="shared" si="445"/>
        <v/>
      </c>
      <c r="K2575" s="346" t="str">
        <f t="shared" si="445"/>
        <v/>
      </c>
      <c r="L2575" s="346" t="str">
        <f t="shared" si="445"/>
        <v/>
      </c>
      <c r="M2575" s="346" t="str">
        <f t="shared" si="445"/>
        <v/>
      </c>
      <c r="N2575" s="346" t="str">
        <f t="shared" si="445"/>
        <v/>
      </c>
      <c r="O2575" s="19"/>
      <c r="P2575" s="343"/>
      <c r="Q2575" s="343"/>
      <c r="R2575" s="343"/>
      <c r="S2575" s="343"/>
      <c r="T2575" s="343"/>
      <c r="U2575" s="349"/>
      <c r="V2575" s="349"/>
    </row>
    <row r="2576" spans="1:22" s="534" customFormat="1" ht="13" thickBot="1" x14ac:dyDescent="0.3">
      <c r="A2576" s="2"/>
      <c r="B2576" s="15"/>
      <c r="C2576" s="717">
        <f t="shared" si="446"/>
        <v>10</v>
      </c>
      <c r="D2576" s="2065" t="str">
        <f t="shared" si="444"/>
        <v/>
      </c>
      <c r="E2576" s="2800"/>
      <c r="F2576" s="2800"/>
      <c r="G2576" s="2800"/>
      <c r="H2576" s="2800"/>
      <c r="I2576" s="2800"/>
      <c r="J2576" s="718" t="str">
        <f t="shared" si="445"/>
        <v/>
      </c>
      <c r="K2576" s="718" t="str">
        <f t="shared" si="445"/>
        <v/>
      </c>
      <c r="L2576" s="718" t="str">
        <f t="shared" si="445"/>
        <v/>
      </c>
      <c r="M2576" s="718" t="str">
        <f t="shared" si="445"/>
        <v/>
      </c>
      <c r="N2576" s="718" t="str">
        <f t="shared" si="445"/>
        <v/>
      </c>
      <c r="O2576" s="19"/>
      <c r="P2576" s="343"/>
      <c r="Q2576" s="343"/>
      <c r="R2576" s="343"/>
      <c r="S2576" s="343"/>
      <c r="T2576" s="343"/>
      <c r="U2576" s="349"/>
      <c r="V2576" s="349"/>
    </row>
    <row r="2577" spans="1:22" s="534" customFormat="1" x14ac:dyDescent="0.25">
      <c r="A2577" s="2"/>
      <c r="B2577" s="15"/>
      <c r="C2577" s="194">
        <f t="shared" si="446"/>
        <v>11</v>
      </c>
      <c r="D2577" s="2066" t="str">
        <f t="shared" si="444"/>
        <v>Delanläggning med värmeriktmärke, KL</v>
      </c>
      <c r="E2577" s="2801"/>
      <c r="F2577" s="2801"/>
      <c r="G2577" s="2801"/>
      <c r="H2577" s="2801"/>
      <c r="I2577" s="2801"/>
      <c r="J2577" s="719" t="str">
        <f t="shared" ref="J2577:N2583" si="447">IF(ISNUMBER(J2534),ROUND(J2534*J$2561,0),"")</f>
        <v/>
      </c>
      <c r="K2577" s="719" t="str">
        <f t="shared" si="447"/>
        <v/>
      </c>
      <c r="L2577" s="719" t="str">
        <f t="shared" si="447"/>
        <v/>
      </c>
      <c r="M2577" s="719" t="str">
        <f t="shared" si="447"/>
        <v/>
      </c>
      <c r="N2577" s="719" t="str">
        <f t="shared" si="447"/>
        <v/>
      </c>
      <c r="O2577" s="19"/>
      <c r="P2577" s="343"/>
      <c r="Q2577" s="343"/>
      <c r="R2577" s="343"/>
      <c r="S2577" s="343"/>
      <c r="T2577" s="343"/>
      <c r="U2577" s="349"/>
      <c r="V2577" s="349"/>
    </row>
    <row r="2578" spans="1:22" s="534" customFormat="1" x14ac:dyDescent="0.25">
      <c r="A2578" s="2"/>
      <c r="B2578" s="15"/>
      <c r="C2578" s="194">
        <f t="shared" si="446"/>
        <v>12</v>
      </c>
      <c r="D2578" s="2064" t="str">
        <f t="shared" si="444"/>
        <v>Delanläggning med värmeriktmärke, ej KL</v>
      </c>
      <c r="E2578" s="2792"/>
      <c r="F2578" s="2792"/>
      <c r="G2578" s="2792"/>
      <c r="H2578" s="2792"/>
      <c r="I2578" s="2792"/>
      <c r="J2578" s="346" t="str">
        <f t="shared" si="447"/>
        <v/>
      </c>
      <c r="K2578" s="346" t="str">
        <f t="shared" si="447"/>
        <v/>
      </c>
      <c r="L2578" s="346" t="str">
        <f t="shared" si="447"/>
        <v/>
      </c>
      <c r="M2578" s="346" t="str">
        <f t="shared" si="447"/>
        <v/>
      </c>
      <c r="N2578" s="346" t="str">
        <f t="shared" si="447"/>
        <v/>
      </c>
      <c r="O2578" s="19"/>
      <c r="P2578" s="343"/>
      <c r="Q2578" s="343"/>
      <c r="R2578" s="343"/>
      <c r="S2578" s="343"/>
      <c r="T2578" s="343"/>
      <c r="U2578" s="349"/>
      <c r="V2578" s="349"/>
    </row>
    <row r="2579" spans="1:22" s="534" customFormat="1" x14ac:dyDescent="0.25">
      <c r="A2579" s="2"/>
      <c r="B2579" s="15"/>
      <c r="C2579" s="194">
        <f t="shared" si="446"/>
        <v>13</v>
      </c>
      <c r="D2579" s="2064" t="str">
        <f t="shared" si="444"/>
        <v>Fjärrvärmedelanläggning</v>
      </c>
      <c r="E2579" s="2792"/>
      <c r="F2579" s="2792"/>
      <c r="G2579" s="2792"/>
      <c r="H2579" s="2792"/>
      <c r="I2579" s="2792"/>
      <c r="J2579" s="346" t="str">
        <f t="shared" si="447"/>
        <v/>
      </c>
      <c r="K2579" s="346" t="str">
        <f t="shared" si="447"/>
        <v/>
      </c>
      <c r="L2579" s="346" t="str">
        <f t="shared" si="447"/>
        <v/>
      </c>
      <c r="M2579" s="346" t="str">
        <f t="shared" si="447"/>
        <v/>
      </c>
      <c r="N2579" s="346" t="str">
        <f t="shared" si="447"/>
        <v/>
      </c>
      <c r="O2579" s="19"/>
      <c r="P2579" s="343"/>
      <c r="Q2579" s="343"/>
      <c r="R2579" s="343"/>
      <c r="S2579" s="343"/>
      <c r="T2579" s="343"/>
      <c r="U2579" s="349"/>
      <c r="V2579" s="349"/>
    </row>
    <row r="2580" spans="1:22" s="534" customFormat="1" x14ac:dyDescent="0.25">
      <c r="A2580" s="2"/>
      <c r="B2580" s="15"/>
      <c r="C2580" s="194">
        <f t="shared" si="446"/>
        <v>14</v>
      </c>
      <c r="D2580" s="2064" t="str">
        <f t="shared" si="444"/>
        <v>Delanläggning med bränsleriktmärke, KL</v>
      </c>
      <c r="E2580" s="2792"/>
      <c r="F2580" s="2792"/>
      <c r="G2580" s="2792"/>
      <c r="H2580" s="2792"/>
      <c r="I2580" s="2792"/>
      <c r="J2580" s="346" t="str">
        <f t="shared" si="447"/>
        <v/>
      </c>
      <c r="K2580" s="346" t="str">
        <f t="shared" si="447"/>
        <v/>
      </c>
      <c r="L2580" s="346" t="str">
        <f t="shared" si="447"/>
        <v/>
      </c>
      <c r="M2580" s="346" t="str">
        <f t="shared" si="447"/>
        <v/>
      </c>
      <c r="N2580" s="346" t="str">
        <f t="shared" si="447"/>
        <v/>
      </c>
      <c r="O2580" s="19"/>
      <c r="P2580" s="343"/>
      <c r="Q2580" s="343"/>
      <c r="R2580" s="343"/>
      <c r="S2580" s="343"/>
      <c r="T2580" s="343"/>
      <c r="U2580" s="349"/>
      <c r="V2580" s="349"/>
    </row>
    <row r="2581" spans="1:22" s="534" customFormat="1" x14ac:dyDescent="0.25">
      <c r="A2581" s="2"/>
      <c r="B2581" s="15"/>
      <c r="C2581" s="194">
        <f t="shared" si="446"/>
        <v>15</v>
      </c>
      <c r="D2581" s="2064" t="str">
        <f t="shared" si="444"/>
        <v>Delanläggning med bränsleriktmärke, ej KL</v>
      </c>
      <c r="E2581" s="2792"/>
      <c r="F2581" s="2792"/>
      <c r="G2581" s="2792"/>
      <c r="H2581" s="2792"/>
      <c r="I2581" s="2792"/>
      <c r="J2581" s="346" t="str">
        <f t="shared" si="447"/>
        <v/>
      </c>
      <c r="K2581" s="346" t="str">
        <f t="shared" si="447"/>
        <v/>
      </c>
      <c r="L2581" s="346" t="str">
        <f t="shared" si="447"/>
        <v/>
      </c>
      <c r="M2581" s="346" t="str">
        <f t="shared" si="447"/>
        <v/>
      </c>
      <c r="N2581" s="346" t="str">
        <f t="shared" si="447"/>
        <v/>
      </c>
      <c r="O2581" s="19"/>
      <c r="P2581" s="343"/>
      <c r="Q2581" s="343"/>
      <c r="R2581" s="343"/>
      <c r="S2581" s="343"/>
      <c r="T2581" s="343"/>
      <c r="U2581" s="349"/>
      <c r="V2581" s="349"/>
    </row>
    <row r="2582" spans="1:22" s="534" customFormat="1" x14ac:dyDescent="0.25">
      <c r="A2582" s="2"/>
      <c r="B2582" s="15"/>
      <c r="C2582" s="194">
        <f t="shared" si="446"/>
        <v>16</v>
      </c>
      <c r="D2582" s="2064" t="str">
        <f t="shared" si="444"/>
        <v>Delanläggning med processutsläpp, KL</v>
      </c>
      <c r="E2582" s="2792"/>
      <c r="F2582" s="2792"/>
      <c r="G2582" s="2792"/>
      <c r="H2582" s="2792"/>
      <c r="I2582" s="2792"/>
      <c r="J2582" s="725" t="str">
        <f t="shared" si="447"/>
        <v/>
      </c>
      <c r="K2582" s="725" t="str">
        <f t="shared" si="447"/>
        <v/>
      </c>
      <c r="L2582" s="725" t="str">
        <f t="shared" si="447"/>
        <v/>
      </c>
      <c r="M2582" s="725" t="str">
        <f t="shared" si="447"/>
        <v/>
      </c>
      <c r="N2582" s="725" t="str">
        <f t="shared" si="447"/>
        <v/>
      </c>
      <c r="O2582" s="19"/>
      <c r="P2582" s="343"/>
      <c r="Q2582" s="343"/>
      <c r="R2582" s="343"/>
      <c r="S2582" s="343"/>
      <c r="T2582" s="343"/>
      <c r="U2582" s="349"/>
      <c r="V2582" s="349"/>
    </row>
    <row r="2583" spans="1:22" s="534" customFormat="1" ht="13" thickBot="1" x14ac:dyDescent="0.3">
      <c r="A2583" s="2"/>
      <c r="B2583" s="15"/>
      <c r="C2583" s="724">
        <v>17</v>
      </c>
      <c r="D2583" s="2068" t="str">
        <f t="shared" si="444"/>
        <v>Delanläggning med processutsläpp, ej KL</v>
      </c>
      <c r="E2583" s="2793"/>
      <c r="F2583" s="2793"/>
      <c r="G2583" s="2793"/>
      <c r="H2583" s="2793"/>
      <c r="I2583" s="2793"/>
      <c r="J2583" s="718" t="str">
        <f t="shared" si="447"/>
        <v/>
      </c>
      <c r="K2583" s="718" t="str">
        <f t="shared" si="447"/>
        <v/>
      </c>
      <c r="L2583" s="718" t="str">
        <f t="shared" si="447"/>
        <v/>
      </c>
      <c r="M2583" s="718" t="str">
        <f t="shared" si="447"/>
        <v/>
      </c>
      <c r="N2583" s="718" t="str">
        <f t="shared" si="447"/>
        <v/>
      </c>
      <c r="O2583" s="19"/>
      <c r="P2583" s="343"/>
      <c r="Q2583" s="343"/>
      <c r="R2583" s="343"/>
      <c r="S2583" s="343"/>
      <c r="T2583" s="343"/>
      <c r="U2583" s="349"/>
      <c r="V2583" s="349"/>
    </row>
    <row r="2584" spans="1:22" s="534" customFormat="1" ht="13" x14ac:dyDescent="0.25">
      <c r="A2584" s="2"/>
      <c r="B2584" s="15"/>
      <c r="C2584" s="15"/>
      <c r="D2584" s="2069" t="str">
        <f>Translations!$B$1603</f>
        <v>Total slutgiltig gratis tilldelning</v>
      </c>
      <c r="E2584" s="2789"/>
      <c r="F2584" s="2789"/>
      <c r="G2584" s="2789"/>
      <c r="H2584" s="2789"/>
      <c r="I2584" s="2789"/>
      <c r="J2584" s="720" t="str">
        <f>IF(COUNT(J2567:J2583)&gt;0,IF(SUM(J2567:J2583)&gt;0,SUM(J2567:J2583),0),"")</f>
        <v/>
      </c>
      <c r="K2584" s="720" t="str">
        <f>IF(COUNT(K2567:K2583)&gt;0,IF(SUM(K2567:K2583)&gt;0,SUM(K2567:K2583),0),"")</f>
        <v/>
      </c>
      <c r="L2584" s="720" t="str">
        <f>IF(COUNT(L2567:L2583)&gt;0,IF(SUM(L2567:L2583)&gt;0,SUM(L2567:L2583),0),"")</f>
        <v/>
      </c>
      <c r="M2584" s="720" t="str">
        <f>IF(COUNT(M2567:M2583)&gt;0,IF(SUM(M2567:M2583)&gt;0,SUM(M2567:M2583),0),"")</f>
        <v/>
      </c>
      <c r="N2584" s="720" t="str">
        <f>IF(COUNT(N2567:N2583)&gt;0,IF(SUM(N2567:N2583)&gt;0,SUM(N2567:N2583),0),"")</f>
        <v/>
      </c>
      <c r="O2584" s="19"/>
      <c r="P2584" s="343"/>
      <c r="Q2584" s="343"/>
      <c r="R2584" s="343"/>
      <c r="S2584" s="343"/>
      <c r="T2584" s="343"/>
      <c r="U2584" s="349"/>
      <c r="V2584" s="349"/>
    </row>
    <row r="2585" spans="1:22" ht="13" thickBot="1" x14ac:dyDescent="0.3">
      <c r="A2585" s="2"/>
      <c r="B2585" s="19"/>
      <c r="C2585" s="19"/>
      <c r="D2585" s="19"/>
      <c r="E2585" s="19"/>
      <c r="F2585" s="19"/>
      <c r="G2585" s="19"/>
      <c r="H2585" s="19"/>
      <c r="I2585" s="19"/>
      <c r="J2585" s="19"/>
      <c r="K2585" s="19"/>
      <c r="L2585" s="19"/>
      <c r="M2585" s="19"/>
      <c r="N2585" s="19"/>
      <c r="O2585" s="19"/>
      <c r="P2585" s="2"/>
      <c r="Q2585" s="2"/>
      <c r="R2585" s="2"/>
      <c r="S2585" s="2"/>
      <c r="T2585" s="2"/>
      <c r="U2585" s="349"/>
      <c r="V2585" s="349"/>
    </row>
    <row r="2586" spans="1:22" s="552" customFormat="1" ht="25.5" customHeight="1" thickBot="1" x14ac:dyDescent="0.3">
      <c r="A2586" s="323"/>
      <c r="B2586" s="324"/>
      <c r="C2586" s="324"/>
      <c r="D2586" s="325"/>
      <c r="E2586" s="2806" t="str">
        <f>Translations!$B$1104</f>
        <v>De resultat som visas här är inte på något sätt juridiskt bindande. Var god se ansvarsfriskrivningen i inledningen till detta avsnitt.</v>
      </c>
      <c r="F2586" s="2807"/>
      <c r="G2586" s="2807"/>
      <c r="H2586" s="2807"/>
      <c r="I2586" s="2807"/>
      <c r="J2586" s="2807"/>
      <c r="K2586" s="2807"/>
      <c r="L2586" s="2807"/>
      <c r="M2586" s="2807"/>
      <c r="N2586" s="2808"/>
      <c r="O2586" s="19"/>
      <c r="P2586" s="326"/>
      <c r="Q2586" s="323"/>
      <c r="R2586" s="323"/>
      <c r="S2586" s="323"/>
      <c r="T2586" s="323"/>
      <c r="U2586" s="349"/>
      <c r="V2586" s="349"/>
    </row>
    <row r="2587" spans="1:22" x14ac:dyDescent="0.25">
      <c r="A2587" s="2"/>
      <c r="B2587" s="19"/>
      <c r="C2587" s="19"/>
      <c r="D2587" s="19"/>
      <c r="E2587" s="19"/>
      <c r="F2587" s="19"/>
      <c r="G2587" s="19"/>
      <c r="H2587" s="19"/>
      <c r="I2587" s="19"/>
      <c r="J2587" s="19"/>
      <c r="K2587" s="19"/>
      <c r="L2587" s="19"/>
      <c r="M2587" s="19"/>
      <c r="N2587" s="19"/>
      <c r="O2587" s="19"/>
      <c r="P2587" s="2"/>
      <c r="Q2587" s="2"/>
      <c r="R2587" s="2"/>
      <c r="S2587" s="2"/>
      <c r="T2587" s="2"/>
      <c r="U2587" s="349"/>
      <c r="V2587" s="349"/>
    </row>
    <row r="2588" spans="1:22" ht="13" hidden="1" x14ac:dyDescent="0.3">
      <c r="A2588" s="2" t="s">
        <v>346</v>
      </c>
      <c r="B2588" s="19"/>
      <c r="C2588" s="19"/>
      <c r="D2588" s="181" t="s">
        <v>660</v>
      </c>
      <c r="E2588" s="3"/>
      <c r="F2588" s="3"/>
      <c r="G2588" s="3"/>
      <c r="H2588" s="3"/>
      <c r="I2588" s="3"/>
      <c r="J2588" s="19"/>
      <c r="K2588" s="19"/>
      <c r="L2588" s="19"/>
      <c r="M2588" s="19"/>
      <c r="N2588" s="19"/>
      <c r="O2588" s="19"/>
      <c r="P2588" s="2"/>
      <c r="Q2588" s="2"/>
      <c r="R2588" s="2"/>
      <c r="S2588" s="2"/>
      <c r="T2588" s="2"/>
      <c r="U2588" s="349"/>
      <c r="V2588" s="349"/>
    </row>
    <row r="2589" spans="1:22" ht="13" thickBot="1" x14ac:dyDescent="0.3">
      <c r="A2589" s="2"/>
      <c r="B2589" s="19"/>
      <c r="C2589" s="19"/>
      <c r="D2589" s="19"/>
      <c r="E2589" s="19"/>
      <c r="F2589" s="19"/>
      <c r="G2589" s="19"/>
      <c r="H2589" s="19"/>
      <c r="I2589" s="19"/>
      <c r="J2589" s="19"/>
      <c r="K2589" s="19"/>
      <c r="L2589" s="19"/>
      <c r="M2589" s="19"/>
      <c r="N2589" s="19"/>
      <c r="O2589" s="19"/>
      <c r="P2589" s="2"/>
      <c r="Q2589" s="2"/>
      <c r="R2589" s="2"/>
      <c r="S2589" s="2"/>
      <c r="T2589" s="2"/>
      <c r="U2589" s="349"/>
      <c r="V2589" s="349"/>
    </row>
    <row r="2590" spans="1:22" hidden="1" x14ac:dyDescent="0.25">
      <c r="A2590" s="2" t="s">
        <v>346</v>
      </c>
      <c r="B2590" s="19"/>
      <c r="C2590" s="19"/>
      <c r="D2590" s="19"/>
      <c r="E2590" s="19"/>
      <c r="F2590" s="19"/>
      <c r="G2590" s="19"/>
      <c r="H2590" s="19"/>
      <c r="I2590" s="19"/>
      <c r="J2590" s="19"/>
      <c r="K2590" s="19"/>
      <c r="L2590" s="19"/>
      <c r="M2590" s="19"/>
      <c r="N2590" s="19"/>
      <c r="O2590" s="19"/>
      <c r="P2590" s="2"/>
      <c r="Q2590" s="2"/>
      <c r="R2590" s="2"/>
      <c r="S2590" s="2"/>
      <c r="T2590" s="2"/>
      <c r="U2590" s="349"/>
      <c r="V2590" s="349"/>
    </row>
    <row r="2591" spans="1:22" hidden="1" x14ac:dyDescent="0.25">
      <c r="A2591" s="2" t="s">
        <v>346</v>
      </c>
      <c r="B2591" s="1"/>
      <c r="C2591" s="1"/>
      <c r="D2591" s="1"/>
      <c r="E2591" s="1"/>
      <c r="F2591" s="1"/>
      <c r="G2591" s="1"/>
      <c r="H2591" s="1"/>
      <c r="I2591" s="1"/>
      <c r="J2591" s="1"/>
      <c r="K2591" s="1"/>
      <c r="L2591" s="1"/>
      <c r="M2591" s="1"/>
      <c r="N2591" s="1"/>
      <c r="O2591" s="1"/>
      <c r="P2591" s="2"/>
      <c r="Q2591" s="2"/>
      <c r="R2591" s="2"/>
      <c r="S2591" s="2"/>
      <c r="T2591" s="2"/>
      <c r="U2591" s="349"/>
      <c r="V2591" s="349"/>
    </row>
    <row r="2592" spans="1:22" ht="13" hidden="1" thickBot="1" x14ac:dyDescent="0.3">
      <c r="A2592" s="2" t="s">
        <v>346</v>
      </c>
      <c r="B2592" s="1"/>
      <c r="C2592" s="1"/>
      <c r="D2592" s="1" t="s">
        <v>953</v>
      </c>
      <c r="E2592" s="1"/>
      <c r="F2592" s="1"/>
      <c r="G2592" s="1"/>
      <c r="H2592" s="1"/>
      <c r="I2592" s="1"/>
      <c r="J2592" s="1"/>
      <c r="K2592" s="1"/>
      <c r="L2592" s="1"/>
      <c r="M2592" s="1"/>
      <c r="N2592" s="1"/>
      <c r="O2592" s="1"/>
      <c r="P2592" s="2"/>
      <c r="Q2592" s="2"/>
      <c r="R2592" s="2"/>
      <c r="S2592" s="2"/>
      <c r="T2592" s="2"/>
      <c r="U2592" s="349"/>
      <c r="V2592" s="349"/>
    </row>
    <row r="2593" spans="1:22" ht="13" hidden="1" x14ac:dyDescent="0.25">
      <c r="A2593" s="2" t="s">
        <v>346</v>
      </c>
      <c r="B2593" s="1"/>
      <c r="C2593" s="1"/>
      <c r="D2593" s="1"/>
      <c r="E2593" s="151" t="s">
        <v>593</v>
      </c>
      <c r="F2593" s="61"/>
      <c r="G2593" s="61"/>
      <c r="H2593" s="61"/>
      <c r="I2593" s="61"/>
      <c r="J2593" s="61"/>
      <c r="K2593" s="61"/>
      <c r="L2593" s="61"/>
      <c r="M2593" s="61"/>
      <c r="N2593" s="63"/>
      <c r="O2593" s="1"/>
      <c r="P2593" s="2"/>
      <c r="Q2593" s="2"/>
      <c r="R2593" s="2"/>
      <c r="S2593" s="2"/>
      <c r="T2593" s="2"/>
      <c r="U2593" s="349"/>
      <c r="V2593" s="349"/>
    </row>
    <row r="2594" spans="1:22" hidden="1" x14ac:dyDescent="0.25">
      <c r="A2594" s="2" t="s">
        <v>346</v>
      </c>
      <c r="B2594" s="1"/>
      <c r="C2594" s="1"/>
      <c r="D2594" s="1"/>
      <c r="E2594" s="93" t="s">
        <v>956</v>
      </c>
      <c r="F2594" s="22"/>
      <c r="G2594" s="22"/>
      <c r="H2594" s="22"/>
      <c r="I2594" s="22"/>
      <c r="J2594" s="141">
        <v>1</v>
      </c>
      <c r="K2594" s="141">
        <v>2</v>
      </c>
      <c r="L2594" s="141">
        <v>3</v>
      </c>
      <c r="M2594" s="141">
        <v>4</v>
      </c>
      <c r="N2594" s="141">
        <v>5</v>
      </c>
      <c r="O2594" s="1"/>
      <c r="P2594" s="2"/>
      <c r="Q2594" s="2"/>
      <c r="R2594" s="2"/>
      <c r="S2594" s="2"/>
      <c r="T2594" s="2"/>
      <c r="U2594" s="349"/>
      <c r="V2594" s="349"/>
    </row>
    <row r="2595" spans="1:22" hidden="1" x14ac:dyDescent="0.25">
      <c r="A2595" s="2" t="s">
        <v>346</v>
      </c>
      <c r="B2595" s="1"/>
      <c r="C2595" s="1"/>
      <c r="D2595" s="1"/>
      <c r="E2595" s="145" t="s">
        <v>1228</v>
      </c>
      <c r="F2595" s="22"/>
      <c r="G2595" s="22"/>
      <c r="H2595" s="141">
        <f>A_InstallationData!H414</f>
        <v>2019</v>
      </c>
      <c r="I2595" s="141">
        <f>A_InstallationData!I414</f>
        <v>2020</v>
      </c>
      <c r="J2595" s="141">
        <f>A_InstallationData!J414</f>
        <v>2021</v>
      </c>
      <c r="K2595" s="141">
        <f>A_InstallationData!K414</f>
        <v>2022</v>
      </c>
      <c r="L2595" s="141">
        <f>A_InstallationData!L414</f>
        <v>2023</v>
      </c>
      <c r="M2595" s="141">
        <f>A_InstallationData!M414</f>
        <v>2024</v>
      </c>
      <c r="N2595" s="141">
        <f>A_InstallationData!N414</f>
        <v>2025</v>
      </c>
      <c r="O2595" s="1"/>
      <c r="P2595" s="2"/>
      <c r="Q2595" s="2"/>
      <c r="R2595" s="2"/>
      <c r="S2595" s="2"/>
      <c r="T2595" s="2"/>
      <c r="U2595" s="349"/>
      <c r="V2595" s="349"/>
    </row>
    <row r="2596" spans="1:22" hidden="1" x14ac:dyDescent="0.25">
      <c r="A2596" s="2" t="s">
        <v>346</v>
      </c>
      <c r="B2596" s="1"/>
      <c r="C2596" s="1"/>
      <c r="D2596" s="1"/>
      <c r="E2596" s="145" t="s">
        <v>1227</v>
      </c>
      <c r="F2596" s="142"/>
      <c r="G2596" s="142"/>
      <c r="H2596" s="143">
        <f>A_InstallationData!H415</f>
        <v>2019</v>
      </c>
      <c r="I2596" s="143">
        <f>A_InstallationData!I415</f>
        <v>2020</v>
      </c>
      <c r="J2596" s="143">
        <f>A_InstallationData!J415</f>
        <v>2021</v>
      </c>
      <c r="K2596" s="143">
        <f>A_InstallationData!K415</f>
        <v>2022</v>
      </c>
      <c r="L2596" s="143">
        <f>A_InstallationData!L415</f>
        <v>2023</v>
      </c>
      <c r="M2596" s="143">
        <f>A_InstallationData!M415</f>
        <v>2024</v>
      </c>
      <c r="N2596" s="143">
        <f>A_InstallationData!N415</f>
        <v>2025</v>
      </c>
      <c r="O2596" s="19"/>
      <c r="P2596" s="2"/>
      <c r="Q2596" s="2"/>
      <c r="R2596" s="2"/>
      <c r="S2596" s="2"/>
      <c r="T2596" s="2"/>
      <c r="U2596" s="349"/>
      <c r="V2596" s="349"/>
    </row>
    <row r="2597" spans="1:22" hidden="1" x14ac:dyDescent="0.25">
      <c r="A2597" s="2" t="s">
        <v>346</v>
      </c>
      <c r="B2597" s="1"/>
      <c r="C2597" s="1"/>
      <c r="D2597" s="1"/>
      <c r="E2597" s="145" t="s">
        <v>592</v>
      </c>
      <c r="F2597" s="142"/>
      <c r="G2597" s="142"/>
      <c r="H2597" s="142"/>
      <c r="I2597" s="142"/>
      <c r="J2597" s="143"/>
      <c r="K2597" s="143"/>
      <c r="L2597" s="143"/>
      <c r="M2597" s="143"/>
      <c r="N2597" s="143"/>
      <c r="O2597" s="1"/>
      <c r="P2597" s="2"/>
      <c r="Q2597" s="2"/>
      <c r="R2597" s="2"/>
      <c r="S2597" s="2"/>
      <c r="T2597" s="2"/>
      <c r="U2597" s="349"/>
      <c r="V2597" s="349"/>
    </row>
    <row r="2598" spans="1:22" hidden="1" x14ac:dyDescent="0.25">
      <c r="A2598" s="2" t="s">
        <v>346</v>
      </c>
      <c r="B2598" s="1"/>
      <c r="C2598" s="1"/>
      <c r="D2598" s="1"/>
      <c r="E2598" s="145" t="s">
        <v>590</v>
      </c>
      <c r="F2598" s="142"/>
      <c r="G2598" s="142"/>
      <c r="H2598" s="142"/>
      <c r="I2598" s="142"/>
      <c r="J2598" s="142"/>
      <c r="K2598" s="142"/>
      <c r="L2598" s="142"/>
      <c r="M2598" s="142"/>
      <c r="N2598" s="142"/>
      <c r="O2598" s="1"/>
      <c r="P2598" s="2"/>
      <c r="Q2598" s="2"/>
      <c r="R2598" s="2"/>
      <c r="S2598" s="2"/>
      <c r="T2598" s="2"/>
      <c r="U2598" s="349"/>
      <c r="V2598" s="349"/>
    </row>
    <row r="2599" spans="1:22" ht="13" hidden="1" thickBot="1" x14ac:dyDescent="0.3">
      <c r="A2599" s="2" t="s">
        <v>346</v>
      </c>
      <c r="B2599" s="1"/>
      <c r="C2599" s="1"/>
      <c r="D2599" s="1"/>
      <c r="E2599" s="148" t="s">
        <v>591</v>
      </c>
      <c r="F2599" s="149"/>
      <c r="G2599" s="149"/>
      <c r="H2599" s="149"/>
      <c r="I2599" s="149"/>
      <c r="J2599" s="149"/>
      <c r="K2599" s="149"/>
      <c r="L2599" s="149"/>
      <c r="M2599" s="149"/>
      <c r="N2599" s="149"/>
      <c r="O2599" s="1"/>
      <c r="P2599" s="2"/>
      <c r="Q2599" s="2"/>
      <c r="R2599" s="2"/>
      <c r="S2599" s="2"/>
      <c r="T2599" s="2"/>
      <c r="U2599" s="349"/>
      <c r="V2599" s="349"/>
    </row>
    <row r="2600" spans="1:22" hidden="1" x14ac:dyDescent="0.25">
      <c r="A2600" s="2" t="s">
        <v>346</v>
      </c>
      <c r="B2600" s="1"/>
      <c r="C2600" s="1"/>
      <c r="D2600" s="1"/>
      <c r="E2600" s="1"/>
      <c r="F2600" s="1"/>
      <c r="G2600" s="1"/>
      <c r="H2600" s="1"/>
      <c r="I2600" s="1"/>
      <c r="J2600" s="1"/>
      <c r="K2600" s="1"/>
      <c r="L2600" s="1"/>
      <c r="M2600" s="1"/>
      <c r="N2600" s="1"/>
      <c r="O2600" s="1"/>
      <c r="P2600" s="2"/>
      <c r="Q2600" s="2"/>
      <c r="R2600" s="2"/>
      <c r="S2600" s="2"/>
      <c r="T2600" s="2"/>
      <c r="U2600" s="349"/>
      <c r="V2600" s="349"/>
    </row>
    <row r="2601" spans="1:22" hidden="1" x14ac:dyDescent="0.25">
      <c r="A2601" s="2" t="s">
        <v>346</v>
      </c>
      <c r="B2601" s="1"/>
      <c r="C2601" s="1"/>
      <c r="D2601" s="1"/>
      <c r="E2601" s="1"/>
      <c r="F2601" s="1"/>
      <c r="G2601" s="1"/>
      <c r="H2601" s="1"/>
      <c r="I2601" s="1889" t="str">
        <f>"NIMs BM OK?"</f>
        <v>NIMs BM OK?</v>
      </c>
      <c r="J2601" s="598" t="str">
        <f>K2607</f>
        <v>Ej tillämpligt</v>
      </c>
      <c r="K2601" s="598"/>
      <c r="L2601" s="598"/>
      <c r="M2601" s="598"/>
      <c r="N2601" s="598"/>
      <c r="O2601" s="1"/>
      <c r="P2601" s="2"/>
      <c r="Q2601" s="2"/>
      <c r="R2601" s="2"/>
      <c r="S2601" s="2"/>
      <c r="T2601" s="2"/>
      <c r="U2601" s="349"/>
      <c r="V2601" s="349"/>
    </row>
    <row r="2602" spans="1:22" hidden="1" x14ac:dyDescent="0.25">
      <c r="A2602" s="2" t="s">
        <v>346</v>
      </c>
      <c r="B2602" s="1"/>
      <c r="C2602" s="1"/>
      <c r="D2602" s="1"/>
      <c r="E2602" s="1"/>
      <c r="F2602" s="1"/>
      <c r="G2602" s="1"/>
      <c r="H2602" s="1"/>
      <c r="I2602" s="1890" t="str">
        <f>"CTRL_InputMethodNIMsvalues"</f>
        <v>CTRL_InputMethodNIMsvalues</v>
      </c>
      <c r="J2602" s="598" t="str">
        <f>CTRL_InputMethodNIMsvalues</f>
        <v>Ej tillämpligt</v>
      </c>
      <c r="K2602" s="598"/>
      <c r="L2602" s="598"/>
      <c r="M2602" s="598"/>
      <c r="N2602" s="598"/>
      <c r="O2602" s="1"/>
      <c r="P2602" s="2"/>
      <c r="Q2602" s="2"/>
      <c r="R2602" s="2"/>
      <c r="S2602" s="2"/>
      <c r="T2602" s="2"/>
      <c r="U2602" s="349"/>
      <c r="V2602" s="349"/>
    </row>
    <row r="2603" spans="1:22" ht="13" hidden="1" thickBot="1" x14ac:dyDescent="0.3">
      <c r="A2603" s="2" t="str">
        <f>"ausblenden"</f>
        <v>ausblenden</v>
      </c>
      <c r="B2603" s="1"/>
      <c r="C2603" s="1"/>
      <c r="D2603" s="1"/>
      <c r="E2603" s="1"/>
      <c r="F2603" s="1"/>
      <c r="G2603" s="1"/>
      <c r="H2603" s="1"/>
      <c r="I2603" s="1"/>
      <c r="J2603" s="1"/>
      <c r="K2603" s="1"/>
      <c r="L2603" s="1"/>
      <c r="M2603" s="1"/>
      <c r="N2603" s="1"/>
      <c r="O2603" s="1"/>
      <c r="P2603" s="2"/>
      <c r="Q2603" s="2"/>
      <c r="R2603" s="2"/>
      <c r="S2603" s="2"/>
      <c r="T2603" s="2"/>
      <c r="U2603" s="349"/>
      <c r="V2603" s="349"/>
    </row>
    <row r="2604" spans="1:22" ht="13" thickBot="1" x14ac:dyDescent="0.3">
      <c r="A2604" s="2"/>
      <c r="E2604" s="1893"/>
      <c r="F2604" s="1894"/>
      <c r="G2604" s="1894"/>
      <c r="H2604" s="1894"/>
      <c r="I2604" s="1894"/>
      <c r="J2604" s="1894"/>
      <c r="K2604" s="1894"/>
      <c r="L2604" s="1894"/>
      <c r="M2604" s="1894"/>
      <c r="N2604" s="1895"/>
      <c r="P2604" s="2"/>
      <c r="Q2604" s="2"/>
      <c r="R2604" s="2"/>
      <c r="S2604" s="2"/>
      <c r="T2604" s="2"/>
      <c r="U2604" s="349"/>
      <c r="V2604" s="349"/>
    </row>
    <row r="2605" spans="1:22" ht="13.5" customHeight="1" thickBot="1" x14ac:dyDescent="0.3">
      <c r="A2605" s="2"/>
      <c r="E2605" s="1896"/>
      <c r="F2605" s="1891"/>
      <c r="G2605" s="1892" t="str">
        <f>"Allocation level change in this reporting year:"</f>
        <v>Allocation level change in this reporting year:</v>
      </c>
      <c r="H2605" s="1891"/>
      <c r="I2605" s="1891"/>
      <c r="J2605" s="1891"/>
      <c r="K2605" s="1902" t="b">
        <f ca="1">OR(
COUNTIFS(H479:H2499,EUconst_EUA,U479:U2499,TRUE)&gt;0,
AND(COUNTIFS(H479:H2499,EUconst_EUA,V479:V2499,TRUE)&gt;0,
COUNTIFS(H479:H2499,EUconst_TJ,V479:V2499,TRUE)&gt;0))</f>
        <v>0</v>
      </c>
      <c r="L2605" s="1891"/>
      <c r="M2605" s="1891"/>
      <c r="N2605" s="1897"/>
      <c r="P2605" s="2"/>
      <c r="Q2605" s="2"/>
      <c r="R2605" s="2"/>
      <c r="S2605" s="2"/>
      <c r="T2605" s="2"/>
      <c r="U2605" s="349"/>
      <c r="V2605" s="349"/>
    </row>
    <row r="2606" spans="1:22" ht="13.5" thickBot="1" x14ac:dyDescent="0.3">
      <c r="A2606" s="2"/>
      <c r="E2606" s="1896"/>
      <c r="F2606" s="1891"/>
      <c r="G2606" s="1892"/>
      <c r="H2606" s="1891"/>
      <c r="I2606" s="1891"/>
      <c r="J2606" s="1891"/>
      <c r="K2606" s="1891"/>
      <c r="L2606" s="1891"/>
      <c r="M2606" s="1891"/>
      <c r="N2606" s="1897"/>
      <c r="P2606" s="2"/>
      <c r="Q2606" s="2"/>
      <c r="R2606" s="2"/>
      <c r="S2606" s="2"/>
      <c r="T2606" s="2"/>
      <c r="U2606" s="349"/>
      <c r="V2606" s="349"/>
    </row>
    <row r="2607" spans="1:22" ht="13.5" customHeight="1" thickBot="1" x14ac:dyDescent="0.3">
      <c r="A2607" s="2"/>
      <c r="E2607" s="1896"/>
      <c r="F2607" s="1891"/>
      <c r="G2607" s="1901" t="str">
        <f>"BM values in the linked NIMs file are correct:"</f>
        <v>BM values in the linked NIMs file are correct:</v>
      </c>
      <c r="H2607" s="1891"/>
      <c r="I2607" s="1891"/>
      <c r="J2607" s="1891"/>
      <c r="K2607" s="1902" t="str">
        <f>IF(CTRL_InputMethodNIMsvalues&lt;&gt;1,EUconst_NA,COUNTIF(c_NIMsSummary!P:P,TRUE)=0)</f>
        <v>Ej tillämpligt</v>
      </c>
      <c r="L2607" s="1891"/>
      <c r="M2607" s="1891"/>
      <c r="N2607" s="1897"/>
      <c r="P2607" s="2"/>
      <c r="Q2607" s="2"/>
      <c r="R2607" s="2"/>
      <c r="S2607" s="2"/>
      <c r="T2607" s="2"/>
      <c r="U2607" s="349"/>
      <c r="V2607" s="349"/>
    </row>
    <row r="2608" spans="1:22" ht="13" thickBot="1" x14ac:dyDescent="0.3">
      <c r="A2608" s="2"/>
      <c r="E2608" s="1898"/>
      <c r="F2608" s="1899"/>
      <c r="G2608" s="1899"/>
      <c r="H2608" s="1899"/>
      <c r="I2608" s="1899"/>
      <c r="J2608" s="1899"/>
      <c r="K2608" s="1899"/>
      <c r="L2608" s="1899"/>
      <c r="M2608" s="1899"/>
      <c r="N2608" s="1900"/>
      <c r="P2608" s="2"/>
      <c r="Q2608" s="2"/>
      <c r="R2608" s="2"/>
      <c r="S2608" s="2"/>
      <c r="T2608" s="2"/>
      <c r="U2608" s="349"/>
      <c r="V2608" s="349"/>
    </row>
    <row r="2609" spans="1:22" x14ac:dyDescent="0.25">
      <c r="A2609" s="2"/>
      <c r="P2609" s="2"/>
      <c r="Q2609" s="2"/>
      <c r="R2609" s="2"/>
      <c r="S2609" s="2"/>
      <c r="T2609" s="2"/>
      <c r="U2609" s="349"/>
      <c r="V2609" s="349"/>
    </row>
    <row r="2610" spans="1:22" hidden="1" x14ac:dyDescent="0.25">
      <c r="A2610" s="2" t="str">
        <f>"ausblenden"</f>
        <v>ausblenden</v>
      </c>
      <c r="B2610" s="1"/>
      <c r="C2610" s="1"/>
      <c r="D2610" s="1"/>
      <c r="E2610" s="1"/>
      <c r="F2610" s="1"/>
      <c r="G2610" s="1"/>
      <c r="H2610" s="1"/>
      <c r="I2610" s="1"/>
      <c r="J2610" s="1"/>
      <c r="K2610" s="1"/>
      <c r="L2610" s="1"/>
      <c r="M2610" s="1"/>
      <c r="N2610" s="1"/>
      <c r="O2610" s="1"/>
      <c r="P2610" s="2"/>
      <c r="Q2610" s="2"/>
      <c r="R2610" s="2"/>
      <c r="S2610" s="2"/>
      <c r="T2610" s="2"/>
      <c r="U2610" s="349"/>
      <c r="V2610" s="349"/>
    </row>
    <row r="2611" spans="1:22" hidden="1" x14ac:dyDescent="0.25">
      <c r="A2611" s="2" t="str">
        <f>"ausblenden"</f>
        <v>ausblenden</v>
      </c>
      <c r="B2611" s="1"/>
      <c r="C2611" s="1"/>
      <c r="D2611" s="1"/>
      <c r="E2611" s="1"/>
      <c r="F2611" s="1"/>
      <c r="G2611" s="1"/>
      <c r="H2611" s="1"/>
      <c r="I2611" s="1"/>
      <c r="J2611" s="1"/>
      <c r="K2611" s="1"/>
      <c r="L2611" s="1"/>
      <c r="M2611" s="1"/>
      <c r="N2611" s="1"/>
      <c r="O2611" s="1"/>
      <c r="P2611" s="2"/>
      <c r="Q2611" s="2"/>
      <c r="R2611" s="2"/>
      <c r="S2611" s="2"/>
      <c r="T2611" s="2"/>
      <c r="U2611" s="349"/>
      <c r="V2611" s="349"/>
    </row>
    <row r="2612" spans="1:22" hidden="1" x14ac:dyDescent="0.25">
      <c r="A2612" s="2" t="str">
        <f>"ausblenden"</f>
        <v>ausblenden</v>
      </c>
      <c r="B2612" s="1"/>
      <c r="C2612" s="1"/>
      <c r="D2612" s="1"/>
      <c r="E2612" s="1"/>
      <c r="F2612" s="1"/>
      <c r="G2612" s="1"/>
      <c r="H2612" s="1"/>
      <c r="I2612" s="1"/>
      <c r="J2612" s="1"/>
      <c r="K2612" s="1"/>
      <c r="L2612" s="1"/>
      <c r="M2612" s="1"/>
      <c r="N2612" s="1"/>
      <c r="O2612" s="1"/>
      <c r="P2612" s="2"/>
      <c r="Q2612" s="2"/>
      <c r="R2612" s="2"/>
      <c r="S2612" s="2"/>
      <c r="T2612" s="2"/>
      <c r="U2612" s="349"/>
      <c r="V2612" s="349"/>
    </row>
    <row r="2613" spans="1:22" hidden="1" x14ac:dyDescent="0.25">
      <c r="A2613" s="2" t="str">
        <f>"ausblenden"</f>
        <v>ausblenden</v>
      </c>
      <c r="B2613" s="2" t="s">
        <v>952</v>
      </c>
      <c r="C2613" s="2" t="s">
        <v>952</v>
      </c>
      <c r="D2613" s="2" t="s">
        <v>952</v>
      </c>
      <c r="E2613" s="2" t="s">
        <v>952</v>
      </c>
      <c r="F2613" s="2" t="s">
        <v>952</v>
      </c>
      <c r="G2613" s="2" t="s">
        <v>952</v>
      </c>
      <c r="H2613" s="2" t="s">
        <v>952</v>
      </c>
      <c r="I2613" s="2" t="s">
        <v>952</v>
      </c>
      <c r="J2613" s="2" t="s">
        <v>952</v>
      </c>
      <c r="K2613" s="2" t="s">
        <v>952</v>
      </c>
      <c r="L2613" s="2" t="s">
        <v>952</v>
      </c>
      <c r="M2613" s="2" t="s">
        <v>952</v>
      </c>
      <c r="N2613" s="2" t="s">
        <v>952</v>
      </c>
      <c r="O2613" s="2" t="s">
        <v>952</v>
      </c>
      <c r="P2613" s="2" t="s">
        <v>952</v>
      </c>
      <c r="Q2613" s="2" t="s">
        <v>952</v>
      </c>
      <c r="R2613" s="2" t="s">
        <v>952</v>
      </c>
      <c r="S2613" s="2" t="s">
        <v>952</v>
      </c>
      <c r="T2613" s="2" t="s">
        <v>952</v>
      </c>
      <c r="U2613" s="2" t="s">
        <v>952</v>
      </c>
      <c r="V2613" s="2" t="s">
        <v>952</v>
      </c>
    </row>
  </sheetData>
  <sheetProtection sheet="1" objects="1" scenarios="1" formatCells="0" formatColumns="0" formatRows="0"/>
  <mergeCells count="905">
    <mergeCell ref="I43:K43"/>
    <mergeCell ref="E75:N75"/>
    <mergeCell ref="F82:N82"/>
    <mergeCell ref="E63:F63"/>
    <mergeCell ref="D61:N61"/>
    <mergeCell ref="L43:N43"/>
    <mergeCell ref="F80:N80"/>
    <mergeCell ref="E221:F221"/>
    <mergeCell ref="E226:N226"/>
    <mergeCell ref="E223:F223"/>
    <mergeCell ref="E224:F224"/>
    <mergeCell ref="F87:N87"/>
    <mergeCell ref="E185:K185"/>
    <mergeCell ref="E186:G186"/>
    <mergeCell ref="E94:F94"/>
    <mergeCell ref="E95:F95"/>
    <mergeCell ref="E124:F124"/>
    <mergeCell ref="E125:F125"/>
    <mergeCell ref="E126:F126"/>
    <mergeCell ref="E127:F127"/>
    <mergeCell ref="E128:F128"/>
    <mergeCell ref="E129:F129"/>
    <mergeCell ref="E133:L133"/>
    <mergeCell ref="D131:N131"/>
    <mergeCell ref="E227:F227"/>
    <mergeCell ref="E228:F228"/>
    <mergeCell ref="E229:F229"/>
    <mergeCell ref="E230:F230"/>
    <mergeCell ref="E231:F231"/>
    <mergeCell ref="E2:F2"/>
    <mergeCell ref="E211:F211"/>
    <mergeCell ref="D209:N209"/>
    <mergeCell ref="E217:F217"/>
    <mergeCell ref="E216:F216"/>
    <mergeCell ref="E215:F215"/>
    <mergeCell ref="E214:F214"/>
    <mergeCell ref="E213:F213"/>
    <mergeCell ref="E212:F212"/>
    <mergeCell ref="E67:F67"/>
    <mergeCell ref="F84:N84"/>
    <mergeCell ref="E102:F102"/>
    <mergeCell ref="E103:F103"/>
    <mergeCell ref="E104:F104"/>
    <mergeCell ref="E105:F105"/>
    <mergeCell ref="E106:F106"/>
    <mergeCell ref="E43:H43"/>
    <mergeCell ref="E219:N219"/>
    <mergeCell ref="E222:F222"/>
    <mergeCell ref="E245:N245"/>
    <mergeCell ref="E241:F241"/>
    <mergeCell ref="E240:F240"/>
    <mergeCell ref="E239:F239"/>
    <mergeCell ref="E238:F238"/>
    <mergeCell ref="E237:F237"/>
    <mergeCell ref="D243:N243"/>
    <mergeCell ref="E232:F232"/>
    <mergeCell ref="E233:F233"/>
    <mergeCell ref="E234:F234"/>
    <mergeCell ref="E235:F235"/>
    <mergeCell ref="E236:F236"/>
    <mergeCell ref="E349:F349"/>
    <mergeCell ref="E269:N269"/>
    <mergeCell ref="E266:N266"/>
    <mergeCell ref="E263:N263"/>
    <mergeCell ref="E260:F260"/>
    <mergeCell ref="E259:F259"/>
    <mergeCell ref="E339:F339"/>
    <mergeCell ref="E341:N341"/>
    <mergeCell ref="D345:N345"/>
    <mergeCell ref="E347:F347"/>
    <mergeCell ref="E348:F348"/>
    <mergeCell ref="E330:F330"/>
    <mergeCell ref="E331:F331"/>
    <mergeCell ref="E333:N333"/>
    <mergeCell ref="E335:F335"/>
    <mergeCell ref="E336:F336"/>
    <mergeCell ref="E338:N338"/>
    <mergeCell ref="E325:F325"/>
    <mergeCell ref="E326:F326"/>
    <mergeCell ref="E327:F327"/>
    <mergeCell ref="E328:F328"/>
    <mergeCell ref="E329:F329"/>
    <mergeCell ref="E343:F343"/>
    <mergeCell ref="E316:F316"/>
    <mergeCell ref="E318:N318"/>
    <mergeCell ref="E319:F319"/>
    <mergeCell ref="E321:N321"/>
    <mergeCell ref="E322:F322"/>
    <mergeCell ref="E324:N324"/>
    <mergeCell ref="E306:F306"/>
    <mergeCell ref="E307:F307"/>
    <mergeCell ref="E308:F308"/>
    <mergeCell ref="E310:N310"/>
    <mergeCell ref="E313:F313"/>
    <mergeCell ref="E315:F315"/>
    <mergeCell ref="E299:F299"/>
    <mergeCell ref="E301:N301"/>
    <mergeCell ref="E302:F302"/>
    <mergeCell ref="E303:F303"/>
    <mergeCell ref="E304:F304"/>
    <mergeCell ref="E305:F305"/>
    <mergeCell ref="E290:F290"/>
    <mergeCell ref="E292:N292"/>
    <mergeCell ref="E293:F293"/>
    <mergeCell ref="E295:N295"/>
    <mergeCell ref="E296:F296"/>
    <mergeCell ref="E298:N298"/>
    <mergeCell ref="E287:F287"/>
    <mergeCell ref="E288:F288"/>
    <mergeCell ref="E289:F289"/>
    <mergeCell ref="E276:F276"/>
    <mergeCell ref="E278:N278"/>
    <mergeCell ref="E280:F280"/>
    <mergeCell ref="E281:F281"/>
    <mergeCell ref="E282:F282"/>
    <mergeCell ref="E283:F283"/>
    <mergeCell ref="D472:E472"/>
    <mergeCell ref="F472:N472"/>
    <mergeCell ref="F460:N460"/>
    <mergeCell ref="E371:F371"/>
    <mergeCell ref="E373:F373"/>
    <mergeCell ref="E374:F374"/>
    <mergeCell ref="E376:N376"/>
    <mergeCell ref="E377:F377"/>
    <mergeCell ref="E378:F378"/>
    <mergeCell ref="E379:F379"/>
    <mergeCell ref="E380:F380"/>
    <mergeCell ref="E381:F381"/>
    <mergeCell ref="E383:N383"/>
    <mergeCell ref="E384:F384"/>
    <mergeCell ref="E385:F385"/>
    <mergeCell ref="E386:F386"/>
    <mergeCell ref="F473:N473"/>
    <mergeCell ref="D473:E473"/>
    <mergeCell ref="D470:E470"/>
    <mergeCell ref="F470:N470"/>
    <mergeCell ref="D471:E471"/>
    <mergeCell ref="E256:N256"/>
    <mergeCell ref="F456:N456"/>
    <mergeCell ref="D457:E457"/>
    <mergeCell ref="F457:N457"/>
    <mergeCell ref="D469:E469"/>
    <mergeCell ref="F469:N469"/>
    <mergeCell ref="D454:N454"/>
    <mergeCell ref="F466:N466"/>
    <mergeCell ref="D467:E467"/>
    <mergeCell ref="F467:N467"/>
    <mergeCell ref="D468:E468"/>
    <mergeCell ref="D463:E463"/>
    <mergeCell ref="D464:E464"/>
    <mergeCell ref="F464:N464"/>
    <mergeCell ref="F463:N463"/>
    <mergeCell ref="F471:N471"/>
    <mergeCell ref="D466:E466"/>
    <mergeCell ref="F468:N468"/>
    <mergeCell ref="D460:E460"/>
    <mergeCell ref="F455:N455"/>
    <mergeCell ref="E353:N353"/>
    <mergeCell ref="E354:F354"/>
    <mergeCell ref="E355:F355"/>
    <mergeCell ref="E250:F250"/>
    <mergeCell ref="D452:N452"/>
    <mergeCell ref="E357:F357"/>
    <mergeCell ref="E358:F358"/>
    <mergeCell ref="E359:F359"/>
    <mergeCell ref="E360:F360"/>
    <mergeCell ref="E361:F361"/>
    <mergeCell ref="E362:F362"/>
    <mergeCell ref="E363:F363"/>
    <mergeCell ref="E364:F364"/>
    <mergeCell ref="E365:F365"/>
    <mergeCell ref="E367:N367"/>
    <mergeCell ref="E368:F368"/>
    <mergeCell ref="E369:F369"/>
    <mergeCell ref="E370:F370"/>
    <mergeCell ref="E356:F356"/>
    <mergeCell ref="E387:F387"/>
    <mergeCell ref="E388:F388"/>
    <mergeCell ref="E390:N390"/>
    <mergeCell ref="E257:F257"/>
    <mergeCell ref="E1105:F1105"/>
    <mergeCell ref="E2172:F2172"/>
    <mergeCell ref="E2179:F2179"/>
    <mergeCell ref="E2180:F2180"/>
    <mergeCell ref="E2181:F2181"/>
    <mergeCell ref="E2173:F2173"/>
    <mergeCell ref="E2174:F2174"/>
    <mergeCell ref="E2175:F2175"/>
    <mergeCell ref="E2176:F2176"/>
    <mergeCell ref="E2177:F2177"/>
    <mergeCell ref="E1586:F1586"/>
    <mergeCell ref="E1587:F1587"/>
    <mergeCell ref="E1588:F1588"/>
    <mergeCell ref="E1589:F1589"/>
    <mergeCell ref="E1591:F1591"/>
    <mergeCell ref="E1592:F1592"/>
    <mergeCell ref="E1594:F1594"/>
    <mergeCell ref="E1595:F1595"/>
    <mergeCell ref="E1597:F1597"/>
    <mergeCell ref="E1598:F1598"/>
    <mergeCell ref="E1600:F1600"/>
    <mergeCell ref="E1601:F1601"/>
    <mergeCell ref="E1602:F1602"/>
    <mergeCell ref="E1603:F1603"/>
    <mergeCell ref="E1442:F1442"/>
    <mergeCell ref="E1444:F1444"/>
    <mergeCell ref="E1445:F1445"/>
    <mergeCell ref="E1447:F1447"/>
    <mergeCell ref="E1448:F1448"/>
    <mergeCell ref="E1450:F1450"/>
    <mergeCell ref="E1452:F1452"/>
    <mergeCell ref="E1455:F1455"/>
    <mergeCell ref="D1461:H1461"/>
    <mergeCell ref="E1120:F1120"/>
    <mergeCell ref="E1122:F1122"/>
    <mergeCell ref="E1124:F1124"/>
    <mergeCell ref="E1127:F1127"/>
    <mergeCell ref="E1437:F1437"/>
    <mergeCell ref="E1438:F1438"/>
    <mergeCell ref="E1439:F1439"/>
    <mergeCell ref="E1440:F1440"/>
    <mergeCell ref="E1441:F1441"/>
    <mergeCell ref="I641:N641"/>
    <mergeCell ref="E768:F768"/>
    <mergeCell ref="E769:F769"/>
    <mergeCell ref="E771:F771"/>
    <mergeCell ref="E772:F772"/>
    <mergeCell ref="E774:F774"/>
    <mergeCell ref="E763:F763"/>
    <mergeCell ref="E783:F783"/>
    <mergeCell ref="E2170:F2170"/>
    <mergeCell ref="E784:F784"/>
    <mergeCell ref="E785:F785"/>
    <mergeCell ref="E786:F786"/>
    <mergeCell ref="E788:F788"/>
    <mergeCell ref="E789:F789"/>
    <mergeCell ref="E791:F791"/>
    <mergeCell ref="E1117:F1117"/>
    <mergeCell ref="E1119:F1119"/>
    <mergeCell ref="E1096:F1096"/>
    <mergeCell ref="E1097:F1097"/>
    <mergeCell ref="E1099:F1099"/>
    <mergeCell ref="E1100:F1100"/>
    <mergeCell ref="E1102:F1102"/>
    <mergeCell ref="E1424:F1424"/>
    <mergeCell ref="E1425:F1425"/>
    <mergeCell ref="E2243:F2243"/>
    <mergeCell ref="E1109:F1109"/>
    <mergeCell ref="E1110:F1110"/>
    <mergeCell ref="E1111:F1111"/>
    <mergeCell ref="E1112:F1112"/>
    <mergeCell ref="E775:F775"/>
    <mergeCell ref="E777:F777"/>
    <mergeCell ref="E778:F778"/>
    <mergeCell ref="E780:F780"/>
    <mergeCell ref="E781:F781"/>
    <mergeCell ref="E782:F782"/>
    <mergeCell ref="E1427:F1427"/>
    <mergeCell ref="E1428:F1428"/>
    <mergeCell ref="E1430:F1430"/>
    <mergeCell ref="E1431:F1431"/>
    <mergeCell ref="E1433:F1433"/>
    <mergeCell ref="E1434:F1434"/>
    <mergeCell ref="E1436:F1436"/>
    <mergeCell ref="E792:F792"/>
    <mergeCell ref="E794:F794"/>
    <mergeCell ref="E796:F796"/>
    <mergeCell ref="E799:F799"/>
    <mergeCell ref="E2161:F2161"/>
    <mergeCell ref="E2163:F2163"/>
    <mergeCell ref="M2252:N2252"/>
    <mergeCell ref="M2254:N2254"/>
    <mergeCell ref="E2307:F2307"/>
    <mergeCell ref="D2311:H2311"/>
    <mergeCell ref="I2311:L2311"/>
    <mergeCell ref="E2561:I2561"/>
    <mergeCell ref="E2551:I2551"/>
    <mergeCell ref="D458:E458"/>
    <mergeCell ref="F458:N458"/>
    <mergeCell ref="E1114:F1114"/>
    <mergeCell ref="E1116:F1116"/>
    <mergeCell ref="M2120:N2120"/>
    <mergeCell ref="E761:F761"/>
    <mergeCell ref="E764:F764"/>
    <mergeCell ref="E766:F766"/>
    <mergeCell ref="E2167:F2167"/>
    <mergeCell ref="F2505:N2505"/>
    <mergeCell ref="M2187:N2187"/>
    <mergeCell ref="E2228:F2228"/>
    <mergeCell ref="E2230:F2230"/>
    <mergeCell ref="E2232:F2232"/>
    <mergeCell ref="E2168:F2168"/>
    <mergeCell ref="E2178:F2178"/>
    <mergeCell ref="E2242:F2242"/>
    <mergeCell ref="D455:E455"/>
    <mergeCell ref="E98:F98"/>
    <mergeCell ref="D2536:I2536"/>
    <mergeCell ref="D2537:I2537"/>
    <mergeCell ref="D2531:I2531"/>
    <mergeCell ref="D2532:I2532"/>
    <mergeCell ref="D2530:I2530"/>
    <mergeCell ref="D2534:I2534"/>
    <mergeCell ref="D2511:N2511"/>
    <mergeCell ref="E1089:F1089"/>
    <mergeCell ref="E1091:F1091"/>
    <mergeCell ref="E767:F767"/>
    <mergeCell ref="E1092:F1092"/>
    <mergeCell ref="E1094:F1094"/>
    <mergeCell ref="E1095:F1095"/>
    <mergeCell ref="E2234:F2234"/>
    <mergeCell ref="E2235:F2235"/>
    <mergeCell ref="E2237:F2237"/>
    <mergeCell ref="E99:F99"/>
    <mergeCell ref="E100:F100"/>
    <mergeCell ref="E253:F253"/>
    <mergeCell ref="E252:F252"/>
    <mergeCell ref="E101:F101"/>
    <mergeCell ref="D2535:I2535"/>
    <mergeCell ref="M2:N2"/>
    <mergeCell ref="D456:E456"/>
    <mergeCell ref="D49:N49"/>
    <mergeCell ref="E51:H51"/>
    <mergeCell ref="K51:L51"/>
    <mergeCell ref="E52:H52"/>
    <mergeCell ref="K3:L3"/>
    <mergeCell ref="I42:K42"/>
    <mergeCell ref="G3:H3"/>
    <mergeCell ref="M4:N4"/>
    <mergeCell ref="K2:L2"/>
    <mergeCell ref="E4:F4"/>
    <mergeCell ref="B2:D4"/>
    <mergeCell ref="G2:H2"/>
    <mergeCell ref="I2:J2"/>
    <mergeCell ref="E39:H39"/>
    <mergeCell ref="E40:H40"/>
    <mergeCell ref="I40:K40"/>
    <mergeCell ref="L42:N42"/>
    <mergeCell ref="I3:J3"/>
    <mergeCell ref="I44:K44"/>
    <mergeCell ref="E3:F3"/>
    <mergeCell ref="M3:N3"/>
    <mergeCell ref="F23:N23"/>
    <mergeCell ref="E2586:N2586"/>
    <mergeCell ref="E54:M54"/>
    <mergeCell ref="E55:M55"/>
    <mergeCell ref="E57:L57"/>
    <mergeCell ref="F461:N461"/>
    <mergeCell ref="L37:N37"/>
    <mergeCell ref="I36:K36"/>
    <mergeCell ref="L40:N40"/>
    <mergeCell ref="E36:H36"/>
    <mergeCell ref="I38:K38"/>
    <mergeCell ref="L45:N45"/>
    <mergeCell ref="E70:F70"/>
    <mergeCell ref="E71:F71"/>
    <mergeCell ref="K52:L52"/>
    <mergeCell ref="I45:K45"/>
    <mergeCell ref="E65:F65"/>
    <mergeCell ref="E66:F66"/>
    <mergeCell ref="E68:F68"/>
    <mergeCell ref="E69:F69"/>
    <mergeCell ref="L44:N44"/>
    <mergeCell ref="E45:H45"/>
    <mergeCell ref="D641:H641"/>
    <mergeCell ref="E91:F91"/>
    <mergeCell ref="E92:F92"/>
    <mergeCell ref="F24:N24"/>
    <mergeCell ref="F25:N25"/>
    <mergeCell ref="F26:N26"/>
    <mergeCell ref="F27:N27"/>
    <mergeCell ref="E44:H44"/>
    <mergeCell ref="G4:H4"/>
    <mergeCell ref="E38:H38"/>
    <mergeCell ref="I4:J4"/>
    <mergeCell ref="K4:L4"/>
    <mergeCell ref="I37:K37"/>
    <mergeCell ref="E41:H41"/>
    <mergeCell ref="D10:N10"/>
    <mergeCell ref="D34:N34"/>
    <mergeCell ref="E35:H35"/>
    <mergeCell ref="I39:K39"/>
    <mergeCell ref="L35:N35"/>
    <mergeCell ref="I35:K35"/>
    <mergeCell ref="L38:N38"/>
    <mergeCell ref="L36:N36"/>
    <mergeCell ref="E37:H37"/>
    <mergeCell ref="L39:N39"/>
    <mergeCell ref="H15:L15"/>
    <mergeCell ref="H16:L16"/>
    <mergeCell ref="H13:I13"/>
    <mergeCell ref="M13:N13"/>
    <mergeCell ref="H14:L14"/>
    <mergeCell ref="F22:N22"/>
    <mergeCell ref="I41:K41"/>
    <mergeCell ref="F85:N85"/>
    <mergeCell ref="D459:E459"/>
    <mergeCell ref="F459:N459"/>
    <mergeCell ref="D73:N73"/>
    <mergeCell ref="L41:N41"/>
    <mergeCell ref="E64:F64"/>
    <mergeCell ref="E42:H42"/>
    <mergeCell ref="E76:N76"/>
    <mergeCell ref="F77:N77"/>
    <mergeCell ref="E96:F96"/>
    <mergeCell ref="E97:F97"/>
    <mergeCell ref="F78:N78"/>
    <mergeCell ref="F79:N79"/>
    <mergeCell ref="E86:N86"/>
    <mergeCell ref="E89:N89"/>
    <mergeCell ref="F81:N81"/>
    <mergeCell ref="F88:N88"/>
    <mergeCell ref="E90:N90"/>
    <mergeCell ref="F83:N83"/>
    <mergeCell ref="E93:F93"/>
    <mergeCell ref="E2559:N2559"/>
    <mergeCell ref="D2538:I2538"/>
    <mergeCell ref="D2539:I2539"/>
    <mergeCell ref="D477:H477"/>
    <mergeCell ref="I477:N477"/>
    <mergeCell ref="M479:N479"/>
    <mergeCell ref="E597:F597"/>
    <mergeCell ref="E599:F599"/>
    <mergeCell ref="E600:F600"/>
    <mergeCell ref="E602:F602"/>
    <mergeCell ref="E2512:N2512"/>
    <mergeCell ref="E2513:N2513"/>
    <mergeCell ref="E2519:N2519"/>
    <mergeCell ref="E2518:I2518"/>
    <mergeCell ref="D2524:I2524"/>
    <mergeCell ref="D2533:I2533"/>
    <mergeCell ref="E2517:I2517"/>
    <mergeCell ref="D2509:N2509"/>
    <mergeCell ref="M2118:N2118"/>
    <mergeCell ref="E2165:F2165"/>
    <mergeCell ref="D2118:H2118"/>
    <mergeCell ref="I2118:L2118"/>
    <mergeCell ref="D1133:H1133"/>
    <mergeCell ref="I1133:N1133"/>
    <mergeCell ref="D461:E461"/>
    <mergeCell ref="F462:N462"/>
    <mergeCell ref="M643:N643"/>
    <mergeCell ref="D462:E462"/>
    <mergeCell ref="D465:E465"/>
    <mergeCell ref="F465:N465"/>
    <mergeCell ref="E2558:N2558"/>
    <mergeCell ref="D2541:I2541"/>
    <mergeCell ref="E2555:I2555"/>
    <mergeCell ref="E2547:I2547"/>
    <mergeCell ref="D475:N475"/>
    <mergeCell ref="F2507:N2507"/>
    <mergeCell ref="E2504:N2504"/>
    <mergeCell ref="F2506:N2506"/>
    <mergeCell ref="D2185:H2185"/>
    <mergeCell ref="I2185:L2185"/>
    <mergeCell ref="M2185:N2185"/>
    <mergeCell ref="E2233:F2233"/>
    <mergeCell ref="E2239:F2239"/>
    <mergeCell ref="E2240:F2240"/>
    <mergeCell ref="E2241:F2241"/>
    <mergeCell ref="E2166:F2166"/>
    <mergeCell ref="E2299:F2299"/>
    <mergeCell ref="I2252:L2252"/>
    <mergeCell ref="D2583:I2583"/>
    <mergeCell ref="D2566:I2566"/>
    <mergeCell ref="D2573:I2573"/>
    <mergeCell ref="D2574:I2574"/>
    <mergeCell ref="D2575:I2575"/>
    <mergeCell ref="E2564:N2564"/>
    <mergeCell ref="D2580:I2580"/>
    <mergeCell ref="D2570:I2570"/>
    <mergeCell ref="D2571:I2571"/>
    <mergeCell ref="D2572:I2572"/>
    <mergeCell ref="D2576:I2576"/>
    <mergeCell ref="D2567:I2567"/>
    <mergeCell ref="D2579:I2579"/>
    <mergeCell ref="D2577:I2577"/>
    <mergeCell ref="D2578:I2578"/>
    <mergeCell ref="D2581:I2581"/>
    <mergeCell ref="D2582:I2582"/>
    <mergeCell ref="D2568:I2568"/>
    <mergeCell ref="D2569:I2569"/>
    <mergeCell ref="D2584:I2584"/>
    <mergeCell ref="D2523:I2523"/>
    <mergeCell ref="D2525:I2525"/>
    <mergeCell ref="D2526:I2526"/>
    <mergeCell ref="D2527:I2527"/>
    <mergeCell ref="D2528:I2528"/>
    <mergeCell ref="D2529:I2529"/>
    <mergeCell ref="D2540:I2540"/>
    <mergeCell ref="E107:F107"/>
    <mergeCell ref="E108:F108"/>
    <mergeCell ref="E109:F109"/>
    <mergeCell ref="E111:F111"/>
    <mergeCell ref="E112:F112"/>
    <mergeCell ref="E113:F113"/>
    <mergeCell ref="E114:F114"/>
    <mergeCell ref="E115:F115"/>
    <mergeCell ref="E116:F116"/>
    <mergeCell ref="E117:F117"/>
    <mergeCell ref="E118:F118"/>
    <mergeCell ref="E119:F119"/>
    <mergeCell ref="E120:F120"/>
    <mergeCell ref="E121:F121"/>
    <mergeCell ref="E122:F122"/>
    <mergeCell ref="E123:F123"/>
    <mergeCell ref="E135:F135"/>
    <mergeCell ref="E136:F136"/>
    <mergeCell ref="E137:F137"/>
    <mergeCell ref="E138:F138"/>
    <mergeCell ref="E140:F140"/>
    <mergeCell ref="E141:F141"/>
    <mergeCell ref="E142:F142"/>
    <mergeCell ref="E143:F143"/>
    <mergeCell ref="E145:F145"/>
    <mergeCell ref="E146:F146"/>
    <mergeCell ref="E147:F147"/>
    <mergeCell ref="E148:F148"/>
    <mergeCell ref="E149:F149"/>
    <mergeCell ref="E151:F151"/>
    <mergeCell ref="E152:F152"/>
    <mergeCell ref="E153:F153"/>
    <mergeCell ref="E155:F155"/>
    <mergeCell ref="E156:F156"/>
    <mergeCell ref="E158:L158"/>
    <mergeCell ref="E160:F160"/>
    <mergeCell ref="E161:F161"/>
    <mergeCell ref="E176:F176"/>
    <mergeCell ref="E162:F162"/>
    <mergeCell ref="E163:F163"/>
    <mergeCell ref="E165:F165"/>
    <mergeCell ref="E166:F166"/>
    <mergeCell ref="E167:F167"/>
    <mergeCell ref="E168:F168"/>
    <mergeCell ref="E177:F177"/>
    <mergeCell ref="E178:F178"/>
    <mergeCell ref="E180:F180"/>
    <mergeCell ref="E181:F181"/>
    <mergeCell ref="D183:N183"/>
    <mergeCell ref="E170:F170"/>
    <mergeCell ref="E171:F171"/>
    <mergeCell ref="E172:F172"/>
    <mergeCell ref="E173:F173"/>
    <mergeCell ref="E174:F174"/>
    <mergeCell ref="E188:F188"/>
    <mergeCell ref="E189:F189"/>
    <mergeCell ref="E190:F190"/>
    <mergeCell ref="E191:F191"/>
    <mergeCell ref="E192:F192"/>
    <mergeCell ref="E204:F204"/>
    <mergeCell ref="E205:F205"/>
    <mergeCell ref="E207:H207"/>
    <mergeCell ref="D351:N351"/>
    <mergeCell ref="E267:F267"/>
    <mergeCell ref="E270:F270"/>
    <mergeCell ref="E272:N272"/>
    <mergeCell ref="E274:F274"/>
    <mergeCell ref="E254:F254"/>
    <mergeCell ref="E261:F261"/>
    <mergeCell ref="E264:F264"/>
    <mergeCell ref="E258:F258"/>
    <mergeCell ref="E251:F251"/>
    <mergeCell ref="E275:F275"/>
    <mergeCell ref="E249:N249"/>
    <mergeCell ref="E247:F247"/>
    <mergeCell ref="E284:F284"/>
    <mergeCell ref="E285:F285"/>
    <mergeCell ref="E286:F286"/>
    <mergeCell ref="E603:F603"/>
    <mergeCell ref="E604:F604"/>
    <mergeCell ref="E605:F605"/>
    <mergeCell ref="E607:F607"/>
    <mergeCell ref="E608:F608"/>
    <mergeCell ref="E610:F610"/>
    <mergeCell ref="E611:F611"/>
    <mergeCell ref="E613:F613"/>
    <mergeCell ref="E614:F614"/>
    <mergeCell ref="E616:F616"/>
    <mergeCell ref="E617:F617"/>
    <mergeCell ref="E618:F618"/>
    <mergeCell ref="E619:F619"/>
    <mergeCell ref="E620:F620"/>
    <mergeCell ref="E621:F621"/>
    <mergeCell ref="E622:F622"/>
    <mergeCell ref="E624:F624"/>
    <mergeCell ref="E625:F625"/>
    <mergeCell ref="E627:F627"/>
    <mergeCell ref="E628:F628"/>
    <mergeCell ref="E630:F630"/>
    <mergeCell ref="E632:F632"/>
    <mergeCell ref="E635:F635"/>
    <mergeCell ref="E2244:F2244"/>
    <mergeCell ref="E2245:F2245"/>
    <mergeCell ref="E2246:F2246"/>
    <mergeCell ref="E2247:F2247"/>
    <mergeCell ref="E935:F935"/>
    <mergeCell ref="E936:F936"/>
    <mergeCell ref="E1614:F1614"/>
    <mergeCell ref="E1616:F1616"/>
    <mergeCell ref="E1619:F1619"/>
    <mergeCell ref="D1625:H1625"/>
    <mergeCell ref="E1750:F1750"/>
    <mergeCell ref="E1751:F1751"/>
    <mergeCell ref="E1752:F1752"/>
    <mergeCell ref="E1753:F1753"/>
    <mergeCell ref="E1755:F1755"/>
    <mergeCell ref="E1756:F1756"/>
    <mergeCell ref="E1758:F1758"/>
    <mergeCell ref="E1759:F1759"/>
    <mergeCell ref="E1761:F1761"/>
    <mergeCell ref="E2248:F2248"/>
    <mergeCell ref="D2252:H2252"/>
    <mergeCell ref="E2296:F2296"/>
    <mergeCell ref="E2298:F2298"/>
    <mergeCell ref="E2287:F2287"/>
    <mergeCell ref="E2289:F2289"/>
    <mergeCell ref="E2291:F2291"/>
    <mergeCell ref="E950:F950"/>
    <mergeCell ref="E952:F952"/>
    <mergeCell ref="E953:F953"/>
    <mergeCell ref="E955:F955"/>
    <mergeCell ref="E956:F956"/>
    <mergeCell ref="E958:F958"/>
    <mergeCell ref="E1291:F1291"/>
    <mergeCell ref="D1297:H1297"/>
    <mergeCell ref="E1422:F1422"/>
    <mergeCell ref="E1423:F1423"/>
    <mergeCell ref="E1604:F1604"/>
    <mergeCell ref="E1605:F1605"/>
    <mergeCell ref="E1606:F1606"/>
    <mergeCell ref="E1608:F1608"/>
    <mergeCell ref="E1609:F1609"/>
    <mergeCell ref="E1611:F1611"/>
    <mergeCell ref="E1612:F1612"/>
    <mergeCell ref="M2311:N2311"/>
    <mergeCell ref="M2313:N2313"/>
    <mergeCell ref="E2300:F2300"/>
    <mergeCell ref="E2301:F2301"/>
    <mergeCell ref="E2302:F2302"/>
    <mergeCell ref="E2303:F2303"/>
    <mergeCell ref="E2304:F2304"/>
    <mergeCell ref="E960:F960"/>
    <mergeCell ref="E963:F963"/>
    <mergeCell ref="D969:H969"/>
    <mergeCell ref="I969:N969"/>
    <mergeCell ref="M971:N971"/>
    <mergeCell ref="E2306:F2306"/>
    <mergeCell ref="E2305:F2305"/>
    <mergeCell ref="E2292:F2292"/>
    <mergeCell ref="E2293:F2293"/>
    <mergeCell ref="E2294:F2294"/>
    <mergeCell ref="E1278:F1278"/>
    <mergeCell ref="E1280:F1280"/>
    <mergeCell ref="E1281:F1281"/>
    <mergeCell ref="E1283:F1283"/>
    <mergeCell ref="E1284:F1284"/>
    <mergeCell ref="E1286:F1286"/>
    <mergeCell ref="E1288:F1288"/>
    <mergeCell ref="D2425:H2425"/>
    <mergeCell ref="I2425:L2425"/>
    <mergeCell ref="M2425:N2425"/>
    <mergeCell ref="M2427:N2427"/>
    <mergeCell ref="E938:F938"/>
    <mergeCell ref="E939:F939"/>
    <mergeCell ref="E941:F941"/>
    <mergeCell ref="E942:F942"/>
    <mergeCell ref="E944:F944"/>
    <mergeCell ref="E945:F945"/>
    <mergeCell ref="D2368:H2368"/>
    <mergeCell ref="I2368:L2368"/>
    <mergeCell ref="M2368:N2368"/>
    <mergeCell ref="M2370:N2370"/>
    <mergeCell ref="E946:F946"/>
    <mergeCell ref="E947:F947"/>
    <mergeCell ref="E948:F948"/>
    <mergeCell ref="E949:F949"/>
    <mergeCell ref="E1272:F1272"/>
    <mergeCell ref="E1273:F1273"/>
    <mergeCell ref="E1274:F1274"/>
    <mergeCell ref="E1275:F1275"/>
    <mergeCell ref="E1276:F1276"/>
    <mergeCell ref="E1277:F1277"/>
    <mergeCell ref="D2464:H2464"/>
    <mergeCell ref="I2464:L2464"/>
    <mergeCell ref="M2464:N2464"/>
    <mergeCell ref="M2466:N2466"/>
    <mergeCell ref="D805:H805"/>
    <mergeCell ref="I805:N805"/>
    <mergeCell ref="M807:N807"/>
    <mergeCell ref="E925:F925"/>
    <mergeCell ref="E927:F927"/>
    <mergeCell ref="E928:F928"/>
    <mergeCell ref="M1135:N1135"/>
    <mergeCell ref="E1253:F1253"/>
    <mergeCell ref="E1255:F1255"/>
    <mergeCell ref="E1256:F1256"/>
    <mergeCell ref="E1258:F1258"/>
    <mergeCell ref="E1259:F1259"/>
    <mergeCell ref="E1260:F1260"/>
    <mergeCell ref="E1261:F1261"/>
    <mergeCell ref="E1263:F1263"/>
    <mergeCell ref="E1264:F1264"/>
    <mergeCell ref="E1266:F1266"/>
    <mergeCell ref="E1267:F1267"/>
    <mergeCell ref="E1269:F1269"/>
    <mergeCell ref="E1270:F1270"/>
    <mergeCell ref="I1297:N1297"/>
    <mergeCell ref="E1293:F1293"/>
    <mergeCell ref="E1292:F1292"/>
    <mergeCell ref="E1290:F1290"/>
    <mergeCell ref="E1289:F1289"/>
    <mergeCell ref="M1299:N1299"/>
    <mergeCell ref="E1417:F1417"/>
    <mergeCell ref="E1419:F1419"/>
    <mergeCell ref="E1420:F1420"/>
    <mergeCell ref="I1461:N1461"/>
    <mergeCell ref="E1457:F1457"/>
    <mergeCell ref="E1456:F1456"/>
    <mergeCell ref="E1454:F1454"/>
    <mergeCell ref="E1453:F1453"/>
    <mergeCell ref="M1463:N1463"/>
    <mergeCell ref="E1581:F1581"/>
    <mergeCell ref="E1583:F1583"/>
    <mergeCell ref="E1584:F1584"/>
    <mergeCell ref="I1625:N1625"/>
    <mergeCell ref="E1621:F1621"/>
    <mergeCell ref="E1620:F1620"/>
    <mergeCell ref="E1618:F1618"/>
    <mergeCell ref="E1617:F1617"/>
    <mergeCell ref="M1627:N1627"/>
    <mergeCell ref="E1745:F1745"/>
    <mergeCell ref="E1747:F1747"/>
    <mergeCell ref="E1748:F1748"/>
    <mergeCell ref="E1762:F1762"/>
    <mergeCell ref="E1764:F1764"/>
    <mergeCell ref="E1765:F1765"/>
    <mergeCell ref="E1766:F1766"/>
    <mergeCell ref="E1767:F1767"/>
    <mergeCell ref="E1768:F1768"/>
    <mergeCell ref="E1769:F1769"/>
    <mergeCell ref="E1770:F1770"/>
    <mergeCell ref="E1772:F1772"/>
    <mergeCell ref="E1773:F1773"/>
    <mergeCell ref="E1775:F1775"/>
    <mergeCell ref="E1776:F1776"/>
    <mergeCell ref="E1778:F1778"/>
    <mergeCell ref="E1780:F1780"/>
    <mergeCell ref="E1783:F1783"/>
    <mergeCell ref="D1789:H1789"/>
    <mergeCell ref="I1789:N1789"/>
    <mergeCell ref="E1784:F1784"/>
    <mergeCell ref="E1781:F1781"/>
    <mergeCell ref="E1782:F1782"/>
    <mergeCell ref="M1791:N1791"/>
    <mergeCell ref="E1909:F1909"/>
    <mergeCell ref="E1911:F1911"/>
    <mergeCell ref="E1912:F1912"/>
    <mergeCell ref="E1914:F1914"/>
    <mergeCell ref="E1915:F1915"/>
    <mergeCell ref="E1916:F1916"/>
    <mergeCell ref="E1917:F1917"/>
    <mergeCell ref="E1919:F1919"/>
    <mergeCell ref="E1920:F1920"/>
    <mergeCell ref="E1922:F1922"/>
    <mergeCell ref="E1923:F1923"/>
    <mergeCell ref="E1925:F1925"/>
    <mergeCell ref="E1926:F1926"/>
    <mergeCell ref="E1928:F1928"/>
    <mergeCell ref="E1929:F1929"/>
    <mergeCell ref="E1930:F1930"/>
    <mergeCell ref="E1931:F1931"/>
    <mergeCell ref="E1932:F1932"/>
    <mergeCell ref="E1933:F1933"/>
    <mergeCell ref="E1934:F1934"/>
    <mergeCell ref="E1936:F1936"/>
    <mergeCell ref="E1937:F1937"/>
    <mergeCell ref="E1939:F1939"/>
    <mergeCell ref="E1940:F1940"/>
    <mergeCell ref="E1942:F1942"/>
    <mergeCell ref="E1944:F1944"/>
    <mergeCell ref="E193:F193"/>
    <mergeCell ref="E2101:F2101"/>
    <mergeCell ref="E2103:F2103"/>
    <mergeCell ref="E2104:F2104"/>
    <mergeCell ref="E2106:F2106"/>
    <mergeCell ref="E2108:F2108"/>
    <mergeCell ref="E2086:F2086"/>
    <mergeCell ref="E2087:F2087"/>
    <mergeCell ref="E2089:F2089"/>
    <mergeCell ref="E2090:F2090"/>
    <mergeCell ref="E195:H195"/>
    <mergeCell ref="E197:K197"/>
    <mergeCell ref="E198:G198"/>
    <mergeCell ref="E200:F200"/>
    <mergeCell ref="E201:F201"/>
    <mergeCell ref="E202:F202"/>
    <mergeCell ref="E203:F203"/>
    <mergeCell ref="E1947:F1947"/>
    <mergeCell ref="D1953:H1953"/>
    <mergeCell ref="I1953:N1953"/>
    <mergeCell ref="M1955:N1955"/>
    <mergeCell ref="E2073:F2073"/>
    <mergeCell ref="E2075:F2075"/>
    <mergeCell ref="E2076:F2076"/>
    <mergeCell ref="E391:F391"/>
    <mergeCell ref="E393:N393"/>
    <mergeCell ref="E394:F394"/>
    <mergeCell ref="E395:F395"/>
    <mergeCell ref="E396:F396"/>
    <mergeCell ref="E397:F397"/>
    <mergeCell ref="E398:F398"/>
    <mergeCell ref="E399:F399"/>
    <mergeCell ref="E400:F400"/>
    <mergeCell ref="E401:F401"/>
    <mergeCell ref="E402:F402"/>
    <mergeCell ref="E403:F403"/>
    <mergeCell ref="E404:F404"/>
    <mergeCell ref="E405:F405"/>
    <mergeCell ref="E407:N407"/>
    <mergeCell ref="E408:F408"/>
    <mergeCell ref="E409:F409"/>
    <mergeCell ref="E410:F410"/>
    <mergeCell ref="E413:F413"/>
    <mergeCell ref="E414:F414"/>
    <mergeCell ref="E416:N416"/>
    <mergeCell ref="E417:F417"/>
    <mergeCell ref="E435:F435"/>
    <mergeCell ref="E436:F436"/>
    <mergeCell ref="E419:N419"/>
    <mergeCell ref="E420:F420"/>
    <mergeCell ref="E421:F421"/>
    <mergeCell ref="E422:F422"/>
    <mergeCell ref="E423:F423"/>
    <mergeCell ref="E424:F424"/>
    <mergeCell ref="E426:F426"/>
    <mergeCell ref="E427:F427"/>
    <mergeCell ref="E428:F428"/>
    <mergeCell ref="E429:F429"/>
    <mergeCell ref="E430:F430"/>
    <mergeCell ref="H12:I12"/>
    <mergeCell ref="E2109:F2109"/>
    <mergeCell ref="E1128:F1128"/>
    <mergeCell ref="E1126:F1126"/>
    <mergeCell ref="E1125:F1125"/>
    <mergeCell ref="E965:F965"/>
    <mergeCell ref="E964:F964"/>
    <mergeCell ref="E1103:F1103"/>
    <mergeCell ref="E1113:F1113"/>
    <mergeCell ref="E1106:F1106"/>
    <mergeCell ref="E1108:F1108"/>
    <mergeCell ref="E962:F962"/>
    <mergeCell ref="E961:F961"/>
    <mergeCell ref="E801:F801"/>
    <mergeCell ref="E800:F800"/>
    <mergeCell ref="E798:F798"/>
    <mergeCell ref="E797:F797"/>
    <mergeCell ref="E411:F411"/>
    <mergeCell ref="E412:F412"/>
    <mergeCell ref="E2110:F2110"/>
    <mergeCell ref="E2112:F2112"/>
    <mergeCell ref="E2113:F2113"/>
    <mergeCell ref="E1945:F1945"/>
    <mergeCell ref="E1946:F1946"/>
    <mergeCell ref="E1948:F1948"/>
    <mergeCell ref="E1949:F1949"/>
    <mergeCell ref="E1785:F1785"/>
    <mergeCell ref="E1129:F1129"/>
    <mergeCell ref="E2111:F2111"/>
    <mergeCell ref="E2094:F2094"/>
    <mergeCell ref="E2095:F2095"/>
    <mergeCell ref="E2096:F2096"/>
    <mergeCell ref="E2097:F2097"/>
    <mergeCell ref="E2098:F2098"/>
    <mergeCell ref="E2100:F2100"/>
    <mergeCell ref="E2092:F2092"/>
    <mergeCell ref="E2093:F2093"/>
    <mergeCell ref="E2078:F2078"/>
    <mergeCell ref="E2079:F2079"/>
    <mergeCell ref="E2080:F2080"/>
    <mergeCell ref="E2081:F2081"/>
    <mergeCell ref="E2083:F2083"/>
    <mergeCell ref="E2084:F2084"/>
    <mergeCell ref="E930:F930"/>
    <mergeCell ref="E931:F931"/>
    <mergeCell ref="E932:F932"/>
    <mergeCell ref="E933:F933"/>
    <mergeCell ref="L185:N185"/>
    <mergeCell ref="L197:N197"/>
    <mergeCell ref="H186:N186"/>
    <mergeCell ref="H198:N198"/>
    <mergeCell ref="E637:F637"/>
    <mergeCell ref="E636:F636"/>
    <mergeCell ref="E634:F634"/>
    <mergeCell ref="E633:F633"/>
    <mergeCell ref="E448:F448"/>
    <mergeCell ref="E440:L440"/>
    <mergeCell ref="E443:F443"/>
    <mergeCell ref="E444:F444"/>
    <mergeCell ref="E445:F445"/>
    <mergeCell ref="E446:F446"/>
    <mergeCell ref="E447:F447"/>
    <mergeCell ref="E431:F431"/>
    <mergeCell ref="E432:F432"/>
    <mergeCell ref="E434:N434"/>
    <mergeCell ref="D438:N438"/>
    <mergeCell ref="E425:F425"/>
  </mergeCells>
  <phoneticPr fontId="34" type="noConversion"/>
  <conditionalFormatting sqref="E54">
    <cfRule type="cellIs" dxfId="359" priority="1122" stopIfTrue="1" operator="equal">
      <formula>EUconst_ERR_Mandatory_ef</formula>
    </cfRule>
  </conditionalFormatting>
  <conditionalFormatting sqref="E55">
    <cfRule type="cellIs" dxfId="358" priority="1123" stopIfTrue="1" operator="equal">
      <formula>EUconst_ERR_Mandatory_g</formula>
    </cfRule>
  </conditionalFormatting>
  <conditionalFormatting sqref="H92:N109 H112:N129">
    <cfRule type="expression" dxfId="357" priority="1113" stopIfTrue="1">
      <formula>H92=EUconst_NA</formula>
    </cfRule>
  </conditionalFormatting>
  <conditionalFormatting sqref="H227:N241">
    <cfRule type="expression" dxfId="356" priority="1040" stopIfTrue="1">
      <formula>H227=0</formula>
    </cfRule>
  </conditionalFormatting>
  <conditionalFormatting sqref="H597:N597">
    <cfRule type="expression" dxfId="355" priority="697" stopIfTrue="1">
      <formula>H597=EUconst_NA</formula>
    </cfRule>
  </conditionalFormatting>
  <conditionalFormatting sqref="H597:N637">
    <cfRule type="expression" dxfId="354" priority="695" stopIfTrue="1">
      <formula>H597=0</formula>
    </cfRule>
  </conditionalFormatting>
  <conditionalFormatting sqref="H761:N761">
    <cfRule type="expression" dxfId="353" priority="1090" stopIfTrue="1">
      <formula>H761=EUconst_NA</formula>
    </cfRule>
  </conditionalFormatting>
  <conditionalFormatting sqref="H761:N801">
    <cfRule type="expression" dxfId="352" priority="982" stopIfTrue="1">
      <formula>H761=0</formula>
    </cfRule>
  </conditionalFormatting>
  <conditionalFormatting sqref="H925:N925">
    <cfRule type="expression" dxfId="351" priority="563" stopIfTrue="1">
      <formula>H925=EUconst_NA</formula>
    </cfRule>
  </conditionalFormatting>
  <conditionalFormatting sqref="H925:N965">
    <cfRule type="expression" dxfId="350" priority="561" stopIfTrue="1">
      <formula>H925=0</formula>
    </cfRule>
  </conditionalFormatting>
  <conditionalFormatting sqref="H1089:N1089">
    <cfRule type="expression" dxfId="349" priority="531" stopIfTrue="1">
      <formula>H1089=EUconst_NA</formula>
    </cfRule>
  </conditionalFormatting>
  <conditionalFormatting sqref="H1089:N1129">
    <cfRule type="expression" dxfId="348" priority="529" stopIfTrue="1">
      <formula>H1089=0</formula>
    </cfRule>
  </conditionalFormatting>
  <conditionalFormatting sqref="H1253:N1253">
    <cfRule type="expression" dxfId="347" priority="499" stopIfTrue="1">
      <formula>H1253=EUconst_NA</formula>
    </cfRule>
  </conditionalFormatting>
  <conditionalFormatting sqref="H1253:N1293">
    <cfRule type="expression" dxfId="346" priority="497" stopIfTrue="1">
      <formula>H1253=0</formula>
    </cfRule>
  </conditionalFormatting>
  <conditionalFormatting sqref="H1417:N1417">
    <cfRule type="expression" dxfId="345" priority="467" stopIfTrue="1">
      <formula>H1417=EUconst_NA</formula>
    </cfRule>
  </conditionalFormatting>
  <conditionalFormatting sqref="H1417:N1457">
    <cfRule type="expression" dxfId="344" priority="465" stopIfTrue="1">
      <formula>H1417=0</formula>
    </cfRule>
  </conditionalFormatting>
  <conditionalFormatting sqref="H1581:N1581">
    <cfRule type="expression" dxfId="343" priority="435" stopIfTrue="1">
      <formula>H1581=EUconst_NA</formula>
    </cfRule>
  </conditionalFormatting>
  <conditionalFormatting sqref="H1581:N1621">
    <cfRule type="expression" dxfId="342" priority="433" stopIfTrue="1">
      <formula>H1581=0</formula>
    </cfRule>
  </conditionalFormatting>
  <conditionalFormatting sqref="H1745:N1745">
    <cfRule type="expression" dxfId="341" priority="403" stopIfTrue="1">
      <formula>H1745=EUconst_NA</formula>
    </cfRule>
  </conditionalFormatting>
  <conditionalFormatting sqref="H1745:N1785">
    <cfRule type="expression" dxfId="340" priority="401" stopIfTrue="1">
      <formula>H1745=0</formula>
    </cfRule>
  </conditionalFormatting>
  <conditionalFormatting sqref="H1909:N1909">
    <cfRule type="expression" dxfId="339" priority="371" stopIfTrue="1">
      <formula>H1909=EUconst_NA</formula>
    </cfRule>
  </conditionalFormatting>
  <conditionalFormatting sqref="H1909:N1949">
    <cfRule type="expression" dxfId="338" priority="369" stopIfTrue="1">
      <formula>H1909=0</formula>
    </cfRule>
  </conditionalFormatting>
  <conditionalFormatting sqref="H2073:N2073">
    <cfRule type="expression" dxfId="337" priority="339" stopIfTrue="1">
      <formula>H2073=EUconst_NA</formula>
    </cfRule>
  </conditionalFormatting>
  <conditionalFormatting sqref="H2073:N2113">
    <cfRule type="expression" dxfId="336" priority="337" stopIfTrue="1">
      <formula>H2073=0</formula>
    </cfRule>
  </conditionalFormatting>
  <conditionalFormatting sqref="H2161:N2162">
    <cfRule type="expression" dxfId="335" priority="1045" stopIfTrue="1">
      <formula>H2161=0</formula>
    </cfRule>
  </conditionalFormatting>
  <conditionalFormatting sqref="H2163:N2163">
    <cfRule type="expression" dxfId="334" priority="1082" stopIfTrue="1">
      <formula>H2163=EUconst_NA</formula>
    </cfRule>
    <cfRule type="expression" dxfId="333" priority="1083" stopIfTrue="1">
      <formula>H2163=0</formula>
    </cfRule>
  </conditionalFormatting>
  <conditionalFormatting sqref="H2165:N2181">
    <cfRule type="expression" dxfId="332" priority="1080" stopIfTrue="1">
      <formula>H2165=0</formula>
    </cfRule>
  </conditionalFormatting>
  <conditionalFormatting sqref="H2228:N2229">
    <cfRule type="expression" dxfId="331" priority="661" stopIfTrue="1">
      <formula>H2228=0</formula>
    </cfRule>
  </conditionalFormatting>
  <conditionalFormatting sqref="H2230:N2230">
    <cfRule type="expression" dxfId="330" priority="666" stopIfTrue="1">
      <formula>H2230=0</formula>
    </cfRule>
    <cfRule type="expression" dxfId="329" priority="665" stopIfTrue="1">
      <formula>H2230=EUconst_NA</formula>
    </cfRule>
  </conditionalFormatting>
  <conditionalFormatting sqref="H2232:N2248">
    <cfRule type="expression" dxfId="328" priority="663" stopIfTrue="1">
      <formula>H2232=0</formula>
    </cfRule>
  </conditionalFormatting>
  <conditionalFormatting sqref="H2287:N2288">
    <cfRule type="expression" dxfId="327" priority="643" stopIfTrue="1">
      <formula>H2287=0</formula>
    </cfRule>
  </conditionalFormatting>
  <conditionalFormatting sqref="H2289:N2289">
    <cfRule type="expression" dxfId="326" priority="648" stopIfTrue="1">
      <formula>H2289=0</formula>
    </cfRule>
    <cfRule type="expression" dxfId="325" priority="647" stopIfTrue="1">
      <formula>H2289=EUconst_NA</formula>
    </cfRule>
  </conditionalFormatting>
  <conditionalFormatting sqref="H2291:N2307">
    <cfRule type="expression" dxfId="324" priority="645" stopIfTrue="1">
      <formula>H2291=0</formula>
    </cfRule>
  </conditionalFormatting>
  <conditionalFormatting sqref="H2354:N2354">
    <cfRule type="expression" dxfId="323" priority="610" stopIfTrue="1">
      <formula>H2354=EUconst_NA</formula>
    </cfRule>
    <cfRule type="expression" dxfId="322" priority="611" stopIfTrue="1">
      <formula>H2354=0</formula>
    </cfRule>
  </conditionalFormatting>
  <conditionalFormatting sqref="H2356:N2364">
    <cfRule type="expression" dxfId="321" priority="608" stopIfTrue="1">
      <formula>H2356=0</formula>
    </cfRule>
  </conditionalFormatting>
  <conditionalFormatting sqref="H2411:N2411">
    <cfRule type="expression" dxfId="320" priority="300" stopIfTrue="1">
      <formula>H2411=EUconst_NA</formula>
    </cfRule>
    <cfRule type="expression" dxfId="319" priority="301" stopIfTrue="1">
      <formula>H2411=0</formula>
    </cfRule>
  </conditionalFormatting>
  <conditionalFormatting sqref="H2413:N2421">
    <cfRule type="expression" dxfId="318" priority="298" stopIfTrue="1">
      <formula>H2413=0</formula>
    </cfRule>
  </conditionalFormatting>
  <conditionalFormatting sqref="H2460:N2460">
    <cfRule type="expression" dxfId="317" priority="576" stopIfTrue="1">
      <formula>H2460=0</formula>
    </cfRule>
    <cfRule type="expression" dxfId="316" priority="575" stopIfTrue="1">
      <formula>H2460=EUconst_NA</formula>
    </cfRule>
  </conditionalFormatting>
  <conditionalFormatting sqref="H2499:N2499">
    <cfRule type="expression" dxfId="315" priority="568" stopIfTrue="1">
      <formula>H2499=0</formula>
    </cfRule>
    <cfRule type="expression" dxfId="314" priority="567" stopIfTrue="1">
      <formula>H2499=EUconst_NA</formula>
    </cfRule>
  </conditionalFormatting>
  <conditionalFormatting sqref="J487:N488">
    <cfRule type="expression" dxfId="313" priority="669" stopIfTrue="1">
      <formula>J487=TRUE</formula>
    </cfRule>
  </conditionalFormatting>
  <conditionalFormatting sqref="J501:N501">
    <cfRule type="expression" dxfId="312" priority="684" stopIfTrue="1">
      <formula>J502=TRUE</formula>
    </cfRule>
  </conditionalFormatting>
  <conditionalFormatting sqref="J502:N502">
    <cfRule type="expression" dxfId="311" priority="685" stopIfTrue="1">
      <formula>J502=TRUE</formula>
    </cfRule>
  </conditionalFormatting>
  <conditionalFormatting sqref="J510:N510">
    <cfRule type="expression" dxfId="310" priority="694" stopIfTrue="1">
      <formula>J511=TRUE</formula>
    </cfRule>
  </conditionalFormatting>
  <conditionalFormatting sqref="J511:N511">
    <cfRule type="expression" dxfId="309" priority="688" stopIfTrue="1">
      <formula>J511=TRUE</formula>
    </cfRule>
  </conditionalFormatting>
  <conditionalFormatting sqref="J519:N519">
    <cfRule type="expression" dxfId="308" priority="683" stopIfTrue="1">
      <formula>J520=TRUE</formula>
    </cfRule>
  </conditionalFormatting>
  <conditionalFormatting sqref="J520:N520">
    <cfRule type="expression" dxfId="307" priority="678" stopIfTrue="1">
      <formula>J520=TRUE</formula>
    </cfRule>
  </conditionalFormatting>
  <conditionalFormatting sqref="J524:N524">
    <cfRule type="expression" dxfId="306" priority="693" stopIfTrue="1">
      <formula>J525=TRUE</formula>
    </cfRule>
  </conditionalFormatting>
  <conditionalFormatting sqref="J525:N525">
    <cfRule type="expression" dxfId="305" priority="687" stopIfTrue="1">
      <formula>J525=TRUE</formula>
    </cfRule>
  </conditionalFormatting>
  <conditionalFormatting sqref="J530:N530">
    <cfRule type="expression" dxfId="304" priority="679" stopIfTrue="1">
      <formula>J531=TRUE</formula>
    </cfRule>
  </conditionalFormatting>
  <conditionalFormatting sqref="J531:N531">
    <cfRule type="expression" dxfId="303" priority="677" stopIfTrue="1">
      <formula>J531=TRUE</formula>
    </cfRule>
  </conditionalFormatting>
  <conditionalFormatting sqref="J538:N538">
    <cfRule type="expression" dxfId="302" priority="692" stopIfTrue="1">
      <formula>J539=TRUE</formula>
    </cfRule>
  </conditionalFormatting>
  <conditionalFormatting sqref="J539:N539">
    <cfRule type="expression" dxfId="301" priority="671" stopIfTrue="1">
      <formula>J539=TRUE</formula>
    </cfRule>
  </conditionalFormatting>
  <conditionalFormatting sqref="J546:N546">
    <cfRule type="expression" dxfId="300" priority="682" stopIfTrue="1">
      <formula>J547=TRUE</formula>
    </cfRule>
  </conditionalFormatting>
  <conditionalFormatting sqref="J547:N547">
    <cfRule type="expression" dxfId="299" priority="676" stopIfTrue="1">
      <formula>J547=TRUE</formula>
    </cfRule>
  </conditionalFormatting>
  <conditionalFormatting sqref="J552:N552">
    <cfRule type="expression" dxfId="298" priority="691" stopIfTrue="1">
      <formula>J553=TRUE</formula>
    </cfRule>
  </conditionalFormatting>
  <conditionalFormatting sqref="J553:N553">
    <cfRule type="expression" dxfId="297" priority="672" stopIfTrue="1">
      <formula>J553=TRUE</formula>
    </cfRule>
  </conditionalFormatting>
  <conditionalFormatting sqref="J562:N562">
    <cfRule type="expression" dxfId="296" priority="681" stopIfTrue="1">
      <formula>J563=TRUE</formula>
    </cfRule>
  </conditionalFormatting>
  <conditionalFormatting sqref="J563:N563">
    <cfRule type="expression" dxfId="295" priority="675" stopIfTrue="1">
      <formula>J563=TRUE</formula>
    </cfRule>
  </conditionalFormatting>
  <conditionalFormatting sqref="J566:N566">
    <cfRule type="expression" dxfId="294" priority="690" stopIfTrue="1">
      <formula>J567=TRUE</formula>
    </cfRule>
  </conditionalFormatting>
  <conditionalFormatting sqref="J567:N567">
    <cfRule type="expression" dxfId="293" priority="686" stopIfTrue="1">
      <formula>J567=TRUE</formula>
    </cfRule>
  </conditionalFormatting>
  <conditionalFormatting sqref="J573:N573">
    <cfRule type="expression" dxfId="292" priority="680" stopIfTrue="1">
      <formula>J574=TRUE</formula>
    </cfRule>
  </conditionalFormatting>
  <conditionalFormatting sqref="J574:N574">
    <cfRule type="expression" dxfId="291" priority="674" stopIfTrue="1">
      <formula>J574=TRUE</formula>
    </cfRule>
  </conditionalFormatting>
  <conditionalFormatting sqref="J580:N580">
    <cfRule type="expression" dxfId="290" priority="689" stopIfTrue="1">
      <formula>J581=TRUE</formula>
    </cfRule>
  </conditionalFormatting>
  <conditionalFormatting sqref="J581:N581">
    <cfRule type="expression" dxfId="289" priority="673" stopIfTrue="1">
      <formula>J581=TRUE</formula>
    </cfRule>
  </conditionalFormatting>
  <conditionalFormatting sqref="J586:N592">
    <cfRule type="expression" dxfId="288" priority="670" stopIfTrue="1">
      <formula>J491&lt;&gt;J586</formula>
    </cfRule>
  </conditionalFormatting>
  <conditionalFormatting sqref="J651:N652">
    <cfRule type="expression" dxfId="287" priority="209" stopIfTrue="1">
      <formula>J651=TRUE</formula>
    </cfRule>
  </conditionalFormatting>
  <conditionalFormatting sqref="J665:N665">
    <cfRule type="expression" dxfId="286" priority="224" stopIfTrue="1">
      <formula>J666=TRUE</formula>
    </cfRule>
  </conditionalFormatting>
  <conditionalFormatting sqref="J666:N666">
    <cfRule type="expression" dxfId="285" priority="225" stopIfTrue="1">
      <formula>J666=TRUE</formula>
    </cfRule>
  </conditionalFormatting>
  <conditionalFormatting sqref="J674:N674">
    <cfRule type="expression" dxfId="284" priority="234" stopIfTrue="1">
      <formula>J675=TRUE</formula>
    </cfRule>
  </conditionalFormatting>
  <conditionalFormatting sqref="J675:N675">
    <cfRule type="expression" dxfId="283" priority="228" stopIfTrue="1">
      <formula>J675=TRUE</formula>
    </cfRule>
  </conditionalFormatting>
  <conditionalFormatting sqref="J683:N683">
    <cfRule type="expression" dxfId="282" priority="223" stopIfTrue="1">
      <formula>J684=TRUE</formula>
    </cfRule>
  </conditionalFormatting>
  <conditionalFormatting sqref="J684:N684">
    <cfRule type="expression" dxfId="281" priority="218" stopIfTrue="1">
      <formula>J684=TRUE</formula>
    </cfRule>
  </conditionalFormatting>
  <conditionalFormatting sqref="J688:N688">
    <cfRule type="expression" dxfId="280" priority="233" stopIfTrue="1">
      <formula>J689=TRUE</formula>
    </cfRule>
  </conditionalFormatting>
  <conditionalFormatting sqref="J689:N689">
    <cfRule type="expression" dxfId="279" priority="227" stopIfTrue="1">
      <formula>J689=TRUE</formula>
    </cfRule>
  </conditionalFormatting>
  <conditionalFormatting sqref="J694:N694">
    <cfRule type="expression" dxfId="278" priority="219" stopIfTrue="1">
      <formula>J695=TRUE</formula>
    </cfRule>
  </conditionalFormatting>
  <conditionalFormatting sqref="J695:N695">
    <cfRule type="expression" dxfId="277" priority="217" stopIfTrue="1">
      <formula>J695=TRUE</formula>
    </cfRule>
  </conditionalFormatting>
  <conditionalFormatting sqref="J702:N702">
    <cfRule type="expression" dxfId="276" priority="232" stopIfTrue="1">
      <formula>J703=TRUE</formula>
    </cfRule>
  </conditionalFormatting>
  <conditionalFormatting sqref="J703:N703">
    <cfRule type="expression" dxfId="275" priority="211" stopIfTrue="1">
      <formula>J703=TRUE</formula>
    </cfRule>
  </conditionalFormatting>
  <conditionalFormatting sqref="J710:N710">
    <cfRule type="expression" dxfId="274" priority="222" stopIfTrue="1">
      <formula>J711=TRUE</formula>
    </cfRule>
  </conditionalFormatting>
  <conditionalFormatting sqref="J711:N711">
    <cfRule type="expression" dxfId="273" priority="216" stopIfTrue="1">
      <formula>J711=TRUE</formula>
    </cfRule>
  </conditionalFormatting>
  <conditionalFormatting sqref="J716:N716">
    <cfRule type="expression" dxfId="272" priority="231" stopIfTrue="1">
      <formula>J717=TRUE</formula>
    </cfRule>
  </conditionalFormatting>
  <conditionalFormatting sqref="J717:N717">
    <cfRule type="expression" dxfId="271" priority="212" stopIfTrue="1">
      <formula>J717=TRUE</formula>
    </cfRule>
  </conditionalFormatting>
  <conditionalFormatting sqref="J726:N726">
    <cfRule type="expression" dxfId="270" priority="221" stopIfTrue="1">
      <formula>J727=TRUE</formula>
    </cfRule>
  </conditionalFormatting>
  <conditionalFormatting sqref="J727:N727">
    <cfRule type="expression" dxfId="269" priority="215" stopIfTrue="1">
      <formula>J727=TRUE</formula>
    </cfRule>
  </conditionalFormatting>
  <conditionalFormatting sqref="J730:N730">
    <cfRule type="expression" dxfId="268" priority="230" stopIfTrue="1">
      <formula>J731=TRUE</formula>
    </cfRule>
  </conditionalFormatting>
  <conditionalFormatting sqref="J731:N731">
    <cfRule type="expression" dxfId="267" priority="226" stopIfTrue="1">
      <formula>J731=TRUE</formula>
    </cfRule>
  </conditionalFormatting>
  <conditionalFormatting sqref="J737:N737">
    <cfRule type="expression" dxfId="266" priority="220" stopIfTrue="1">
      <formula>J738=TRUE</formula>
    </cfRule>
  </conditionalFormatting>
  <conditionalFormatting sqref="J738:N738">
    <cfRule type="expression" dxfId="265" priority="214" stopIfTrue="1">
      <formula>J738=TRUE</formula>
    </cfRule>
  </conditionalFormatting>
  <conditionalFormatting sqref="J744:N744">
    <cfRule type="expression" dxfId="264" priority="229" stopIfTrue="1">
      <formula>J745=TRUE</formula>
    </cfRule>
  </conditionalFormatting>
  <conditionalFormatting sqref="J745:N745">
    <cfRule type="expression" dxfId="263" priority="213" stopIfTrue="1">
      <formula>J745=TRUE</formula>
    </cfRule>
  </conditionalFormatting>
  <conditionalFormatting sqref="J750:N756">
    <cfRule type="expression" dxfId="262" priority="210" stopIfTrue="1">
      <formula>J655&lt;&gt;J750</formula>
    </cfRule>
  </conditionalFormatting>
  <conditionalFormatting sqref="J815:N816">
    <cfRule type="expression" dxfId="261" priority="183" stopIfTrue="1">
      <formula>J815=TRUE</formula>
    </cfRule>
  </conditionalFormatting>
  <conditionalFormatting sqref="J829:N829">
    <cfRule type="expression" dxfId="260" priority="198" stopIfTrue="1">
      <formula>J830=TRUE</formula>
    </cfRule>
  </conditionalFormatting>
  <conditionalFormatting sqref="J830:N830">
    <cfRule type="expression" dxfId="259" priority="199" stopIfTrue="1">
      <formula>J830=TRUE</formula>
    </cfRule>
  </conditionalFormatting>
  <conditionalFormatting sqref="J838:N838">
    <cfRule type="expression" dxfId="258" priority="208" stopIfTrue="1">
      <formula>J839=TRUE</formula>
    </cfRule>
  </conditionalFormatting>
  <conditionalFormatting sqref="J839:N839">
    <cfRule type="expression" dxfId="257" priority="202" stopIfTrue="1">
      <formula>J839=TRUE</formula>
    </cfRule>
  </conditionalFormatting>
  <conditionalFormatting sqref="J847:N847">
    <cfRule type="expression" dxfId="256" priority="197" stopIfTrue="1">
      <formula>J848=TRUE</formula>
    </cfRule>
  </conditionalFormatting>
  <conditionalFormatting sqref="J848:N848">
    <cfRule type="expression" dxfId="255" priority="192" stopIfTrue="1">
      <formula>J848=TRUE</formula>
    </cfRule>
  </conditionalFormatting>
  <conditionalFormatting sqref="J852:N852">
    <cfRule type="expression" dxfId="254" priority="207" stopIfTrue="1">
      <formula>J853=TRUE</formula>
    </cfRule>
  </conditionalFormatting>
  <conditionalFormatting sqref="J853:N853">
    <cfRule type="expression" dxfId="253" priority="201" stopIfTrue="1">
      <formula>J853=TRUE</formula>
    </cfRule>
  </conditionalFormatting>
  <conditionalFormatting sqref="J858:N858">
    <cfRule type="expression" dxfId="252" priority="193" stopIfTrue="1">
      <formula>J859=TRUE</formula>
    </cfRule>
  </conditionalFormatting>
  <conditionalFormatting sqref="J859:N859">
    <cfRule type="expression" dxfId="251" priority="191" stopIfTrue="1">
      <formula>J859=TRUE</formula>
    </cfRule>
  </conditionalFormatting>
  <conditionalFormatting sqref="J866:N866">
    <cfRule type="expression" dxfId="250" priority="206" stopIfTrue="1">
      <formula>J867=TRUE</formula>
    </cfRule>
  </conditionalFormatting>
  <conditionalFormatting sqref="J867:N867">
    <cfRule type="expression" dxfId="249" priority="185" stopIfTrue="1">
      <formula>J867=TRUE</formula>
    </cfRule>
  </conditionalFormatting>
  <conditionalFormatting sqref="J874:N874">
    <cfRule type="expression" dxfId="248" priority="196" stopIfTrue="1">
      <formula>J875=TRUE</formula>
    </cfRule>
  </conditionalFormatting>
  <conditionalFormatting sqref="J875:N875">
    <cfRule type="expression" dxfId="247" priority="190" stopIfTrue="1">
      <formula>J875=TRUE</formula>
    </cfRule>
  </conditionalFormatting>
  <conditionalFormatting sqref="J880:N880">
    <cfRule type="expression" dxfId="246" priority="205" stopIfTrue="1">
      <formula>J881=TRUE</formula>
    </cfRule>
  </conditionalFormatting>
  <conditionalFormatting sqref="J881:N881">
    <cfRule type="expression" dxfId="245" priority="186" stopIfTrue="1">
      <formula>J881=TRUE</formula>
    </cfRule>
  </conditionalFormatting>
  <conditionalFormatting sqref="J890:N890">
    <cfRule type="expression" dxfId="244" priority="195" stopIfTrue="1">
      <formula>J891=TRUE</formula>
    </cfRule>
  </conditionalFormatting>
  <conditionalFormatting sqref="J891:N891">
    <cfRule type="expression" dxfId="243" priority="189" stopIfTrue="1">
      <formula>J891=TRUE</formula>
    </cfRule>
  </conditionalFormatting>
  <conditionalFormatting sqref="J894:N894">
    <cfRule type="expression" dxfId="242" priority="204" stopIfTrue="1">
      <formula>J895=TRUE</formula>
    </cfRule>
  </conditionalFormatting>
  <conditionalFormatting sqref="J895:N895">
    <cfRule type="expression" dxfId="241" priority="200" stopIfTrue="1">
      <formula>J895=TRUE</formula>
    </cfRule>
  </conditionalFormatting>
  <conditionalFormatting sqref="J901:N901">
    <cfRule type="expression" dxfId="240" priority="194" stopIfTrue="1">
      <formula>J902=TRUE</formula>
    </cfRule>
  </conditionalFormatting>
  <conditionalFormatting sqref="J902:N902">
    <cfRule type="expression" dxfId="239" priority="188" stopIfTrue="1">
      <formula>J902=TRUE</formula>
    </cfRule>
  </conditionalFormatting>
  <conditionalFormatting sqref="J908:N908">
    <cfRule type="expression" dxfId="238" priority="203" stopIfTrue="1">
      <formula>J909=TRUE</formula>
    </cfRule>
  </conditionalFormatting>
  <conditionalFormatting sqref="J909:N909">
    <cfRule type="expression" dxfId="237" priority="187" stopIfTrue="1">
      <formula>J909=TRUE</formula>
    </cfRule>
  </conditionalFormatting>
  <conditionalFormatting sqref="J914:N920">
    <cfRule type="expression" dxfId="236" priority="184" stopIfTrue="1">
      <formula>J819&lt;&gt;J914</formula>
    </cfRule>
  </conditionalFormatting>
  <conditionalFormatting sqref="J979:N980">
    <cfRule type="expression" dxfId="235" priority="157" stopIfTrue="1">
      <formula>J979=TRUE</formula>
    </cfRule>
  </conditionalFormatting>
  <conditionalFormatting sqref="J993:N993">
    <cfRule type="expression" dxfId="234" priority="172" stopIfTrue="1">
      <formula>J994=TRUE</formula>
    </cfRule>
  </conditionalFormatting>
  <conditionalFormatting sqref="J994:N994">
    <cfRule type="expression" dxfId="233" priority="173" stopIfTrue="1">
      <formula>J994=TRUE</formula>
    </cfRule>
  </conditionalFormatting>
  <conditionalFormatting sqref="J1002:N1002">
    <cfRule type="expression" dxfId="232" priority="182" stopIfTrue="1">
      <formula>J1003=TRUE</formula>
    </cfRule>
  </conditionalFormatting>
  <conditionalFormatting sqref="J1003:N1003">
    <cfRule type="expression" dxfId="231" priority="176" stopIfTrue="1">
      <formula>J1003=TRUE</formula>
    </cfRule>
  </conditionalFormatting>
  <conditionalFormatting sqref="J1011:N1011">
    <cfRule type="expression" dxfId="230" priority="171" stopIfTrue="1">
      <formula>J1012=TRUE</formula>
    </cfRule>
  </conditionalFormatting>
  <conditionalFormatting sqref="J1012:N1012">
    <cfRule type="expression" dxfId="229" priority="166" stopIfTrue="1">
      <formula>J1012=TRUE</formula>
    </cfRule>
  </conditionalFormatting>
  <conditionalFormatting sqref="J1016:N1016">
    <cfRule type="expression" dxfId="228" priority="181" stopIfTrue="1">
      <formula>J1017=TRUE</formula>
    </cfRule>
  </conditionalFormatting>
  <conditionalFormatting sqref="J1017:N1017">
    <cfRule type="expression" dxfId="227" priority="175" stopIfTrue="1">
      <formula>J1017=TRUE</formula>
    </cfRule>
  </conditionalFormatting>
  <conditionalFormatting sqref="J1022:N1022">
    <cfRule type="expression" dxfId="226" priority="167" stopIfTrue="1">
      <formula>J1023=TRUE</formula>
    </cfRule>
  </conditionalFormatting>
  <conditionalFormatting sqref="J1023:N1023">
    <cfRule type="expression" dxfId="225" priority="165" stopIfTrue="1">
      <formula>J1023=TRUE</formula>
    </cfRule>
  </conditionalFormatting>
  <conditionalFormatting sqref="J1030:N1030">
    <cfRule type="expression" dxfId="224" priority="180" stopIfTrue="1">
      <formula>J1031=TRUE</formula>
    </cfRule>
  </conditionalFormatting>
  <conditionalFormatting sqref="J1031:N1031">
    <cfRule type="expression" dxfId="223" priority="159" stopIfTrue="1">
      <formula>J1031=TRUE</formula>
    </cfRule>
  </conditionalFormatting>
  <conditionalFormatting sqref="J1038:N1038">
    <cfRule type="expression" dxfId="222" priority="170" stopIfTrue="1">
      <formula>J1039=TRUE</formula>
    </cfRule>
  </conditionalFormatting>
  <conditionalFormatting sqref="J1039:N1039">
    <cfRule type="expression" dxfId="221" priority="164" stopIfTrue="1">
      <formula>J1039=TRUE</formula>
    </cfRule>
  </conditionalFormatting>
  <conditionalFormatting sqref="J1044:N1044">
    <cfRule type="expression" dxfId="220" priority="179" stopIfTrue="1">
      <formula>J1045=TRUE</formula>
    </cfRule>
  </conditionalFormatting>
  <conditionalFormatting sqref="J1045:N1045">
    <cfRule type="expression" dxfId="219" priority="160" stopIfTrue="1">
      <formula>J1045=TRUE</formula>
    </cfRule>
  </conditionalFormatting>
  <conditionalFormatting sqref="J1054:N1054">
    <cfRule type="expression" dxfId="218" priority="169" stopIfTrue="1">
      <formula>J1055=TRUE</formula>
    </cfRule>
  </conditionalFormatting>
  <conditionalFormatting sqref="J1055:N1055">
    <cfRule type="expression" dxfId="217" priority="163" stopIfTrue="1">
      <formula>J1055=TRUE</formula>
    </cfRule>
  </conditionalFormatting>
  <conditionalFormatting sqref="J1058:N1058">
    <cfRule type="expression" dxfId="216" priority="178" stopIfTrue="1">
      <formula>J1059=TRUE</formula>
    </cfRule>
  </conditionalFormatting>
  <conditionalFormatting sqref="J1059:N1059">
    <cfRule type="expression" dxfId="215" priority="174" stopIfTrue="1">
      <formula>J1059=TRUE</formula>
    </cfRule>
  </conditionalFormatting>
  <conditionalFormatting sqref="J1065:N1065">
    <cfRule type="expression" dxfId="214" priority="168" stopIfTrue="1">
      <formula>J1066=TRUE</formula>
    </cfRule>
  </conditionalFormatting>
  <conditionalFormatting sqref="J1066:N1066">
    <cfRule type="expression" dxfId="213" priority="162" stopIfTrue="1">
      <formula>J1066=TRUE</formula>
    </cfRule>
  </conditionalFormatting>
  <conditionalFormatting sqref="J1072:N1072">
    <cfRule type="expression" dxfId="212" priority="177" stopIfTrue="1">
      <formula>J1073=TRUE</formula>
    </cfRule>
  </conditionalFormatting>
  <conditionalFormatting sqref="J1073:N1073">
    <cfRule type="expression" dxfId="211" priority="161" stopIfTrue="1">
      <formula>J1073=TRUE</formula>
    </cfRule>
  </conditionalFormatting>
  <conditionalFormatting sqref="J1078:N1084">
    <cfRule type="expression" dxfId="210" priority="158" stopIfTrue="1">
      <formula>J983&lt;&gt;J1078</formula>
    </cfRule>
  </conditionalFormatting>
  <conditionalFormatting sqref="J1143:N1144">
    <cfRule type="expression" dxfId="209" priority="131" stopIfTrue="1">
      <formula>J1143=TRUE</formula>
    </cfRule>
  </conditionalFormatting>
  <conditionalFormatting sqref="J1157:N1157">
    <cfRule type="expression" dxfId="208" priority="146" stopIfTrue="1">
      <formula>J1158=TRUE</formula>
    </cfRule>
  </conditionalFormatting>
  <conditionalFormatting sqref="J1158:N1158">
    <cfRule type="expression" dxfId="207" priority="147" stopIfTrue="1">
      <formula>J1158=TRUE</formula>
    </cfRule>
  </conditionalFormatting>
  <conditionalFormatting sqref="J1166:N1166">
    <cfRule type="expression" dxfId="206" priority="156" stopIfTrue="1">
      <formula>J1167=TRUE</formula>
    </cfRule>
  </conditionalFormatting>
  <conditionalFormatting sqref="J1167:N1167">
    <cfRule type="expression" dxfId="205" priority="150" stopIfTrue="1">
      <formula>J1167=TRUE</formula>
    </cfRule>
  </conditionalFormatting>
  <conditionalFormatting sqref="J1175:N1175">
    <cfRule type="expression" dxfId="204" priority="145" stopIfTrue="1">
      <formula>J1176=TRUE</formula>
    </cfRule>
  </conditionalFormatting>
  <conditionalFormatting sqref="J1176:N1176">
    <cfRule type="expression" dxfId="203" priority="140" stopIfTrue="1">
      <formula>J1176=TRUE</formula>
    </cfRule>
  </conditionalFormatting>
  <conditionalFormatting sqref="J1180:N1180">
    <cfRule type="expression" dxfId="202" priority="155" stopIfTrue="1">
      <formula>J1181=TRUE</formula>
    </cfRule>
  </conditionalFormatting>
  <conditionalFormatting sqref="J1181:N1181">
    <cfRule type="expression" dxfId="201" priority="149" stopIfTrue="1">
      <formula>J1181=TRUE</formula>
    </cfRule>
  </conditionalFormatting>
  <conditionalFormatting sqref="J1186:N1186">
    <cfRule type="expression" dxfId="200" priority="141" stopIfTrue="1">
      <formula>J1187=TRUE</formula>
    </cfRule>
  </conditionalFormatting>
  <conditionalFormatting sqref="J1187:N1187">
    <cfRule type="expression" dxfId="199" priority="139" stopIfTrue="1">
      <formula>J1187=TRUE</formula>
    </cfRule>
  </conditionalFormatting>
  <conditionalFormatting sqref="J1194:N1194">
    <cfRule type="expression" dxfId="198" priority="154" stopIfTrue="1">
      <formula>J1195=TRUE</formula>
    </cfRule>
  </conditionalFormatting>
  <conditionalFormatting sqref="J1195:N1195">
    <cfRule type="expression" dxfId="197" priority="133" stopIfTrue="1">
      <formula>J1195=TRUE</formula>
    </cfRule>
  </conditionalFormatting>
  <conditionalFormatting sqref="J1202:N1202">
    <cfRule type="expression" dxfId="196" priority="144" stopIfTrue="1">
      <formula>J1203=TRUE</formula>
    </cfRule>
  </conditionalFormatting>
  <conditionalFormatting sqref="J1203:N1203">
    <cfRule type="expression" dxfId="195" priority="138" stopIfTrue="1">
      <formula>J1203=TRUE</formula>
    </cfRule>
  </conditionalFormatting>
  <conditionalFormatting sqref="J1208:N1208">
    <cfRule type="expression" dxfId="194" priority="153" stopIfTrue="1">
      <formula>J1209=TRUE</formula>
    </cfRule>
  </conditionalFormatting>
  <conditionalFormatting sqref="J1209:N1209">
    <cfRule type="expression" dxfId="193" priority="134" stopIfTrue="1">
      <formula>J1209=TRUE</formula>
    </cfRule>
  </conditionalFormatting>
  <conditionalFormatting sqref="J1218:N1218">
    <cfRule type="expression" dxfId="192" priority="143" stopIfTrue="1">
      <formula>J1219=TRUE</formula>
    </cfRule>
  </conditionalFormatting>
  <conditionalFormatting sqref="J1219:N1219">
    <cfRule type="expression" dxfId="191" priority="137" stopIfTrue="1">
      <formula>J1219=TRUE</formula>
    </cfRule>
  </conditionalFormatting>
  <conditionalFormatting sqref="J1222:N1222">
    <cfRule type="expression" dxfId="190" priority="152" stopIfTrue="1">
      <formula>J1223=TRUE</formula>
    </cfRule>
  </conditionalFormatting>
  <conditionalFormatting sqref="J1223:N1223">
    <cfRule type="expression" dxfId="189" priority="148" stopIfTrue="1">
      <formula>J1223=TRUE</formula>
    </cfRule>
  </conditionalFormatting>
  <conditionalFormatting sqref="J1229:N1229">
    <cfRule type="expression" dxfId="188" priority="142" stopIfTrue="1">
      <formula>J1230=TRUE</formula>
    </cfRule>
  </conditionalFormatting>
  <conditionalFormatting sqref="J1230:N1230">
    <cfRule type="expression" dxfId="187" priority="136" stopIfTrue="1">
      <formula>J1230=TRUE</formula>
    </cfRule>
  </conditionalFormatting>
  <conditionalFormatting sqref="J1236:N1236">
    <cfRule type="expression" dxfId="186" priority="151" stopIfTrue="1">
      <formula>J1237=TRUE</formula>
    </cfRule>
  </conditionalFormatting>
  <conditionalFormatting sqref="J1237:N1237">
    <cfRule type="expression" dxfId="185" priority="135" stopIfTrue="1">
      <formula>J1237=TRUE</formula>
    </cfRule>
  </conditionalFormatting>
  <conditionalFormatting sqref="J1242:N1248">
    <cfRule type="expression" dxfId="184" priority="132" stopIfTrue="1">
      <formula>J1147&lt;&gt;J1242</formula>
    </cfRule>
  </conditionalFormatting>
  <conditionalFormatting sqref="J1307:N1308">
    <cfRule type="expression" dxfId="183" priority="105" stopIfTrue="1">
      <formula>J1307=TRUE</formula>
    </cfRule>
  </conditionalFormatting>
  <conditionalFormatting sqref="J1321:N1321">
    <cfRule type="expression" dxfId="182" priority="120" stopIfTrue="1">
      <formula>J1322=TRUE</formula>
    </cfRule>
  </conditionalFormatting>
  <conditionalFormatting sqref="J1322:N1322">
    <cfRule type="expression" dxfId="181" priority="121" stopIfTrue="1">
      <formula>J1322=TRUE</formula>
    </cfRule>
  </conditionalFormatting>
  <conditionalFormatting sqref="J1330:N1330">
    <cfRule type="expression" dxfId="180" priority="130" stopIfTrue="1">
      <formula>J1331=TRUE</formula>
    </cfRule>
  </conditionalFormatting>
  <conditionalFormatting sqref="J1331:N1331">
    <cfRule type="expression" dxfId="179" priority="124" stopIfTrue="1">
      <formula>J1331=TRUE</formula>
    </cfRule>
  </conditionalFormatting>
  <conditionalFormatting sqref="J1339:N1339">
    <cfRule type="expression" dxfId="178" priority="119" stopIfTrue="1">
      <formula>J1340=TRUE</formula>
    </cfRule>
  </conditionalFormatting>
  <conditionalFormatting sqref="J1340:N1340">
    <cfRule type="expression" dxfId="177" priority="114" stopIfTrue="1">
      <formula>J1340=TRUE</formula>
    </cfRule>
  </conditionalFormatting>
  <conditionalFormatting sqref="J1344:N1344">
    <cfRule type="expression" dxfId="176" priority="129" stopIfTrue="1">
      <formula>J1345=TRUE</formula>
    </cfRule>
  </conditionalFormatting>
  <conditionalFormatting sqref="J1345:N1345">
    <cfRule type="expression" dxfId="175" priority="123" stopIfTrue="1">
      <formula>J1345=TRUE</formula>
    </cfRule>
  </conditionalFormatting>
  <conditionalFormatting sqref="J1350:N1350">
    <cfRule type="expression" dxfId="174" priority="115" stopIfTrue="1">
      <formula>J1351=TRUE</formula>
    </cfRule>
  </conditionalFormatting>
  <conditionalFormatting sqref="J1351:N1351">
    <cfRule type="expression" dxfId="173" priority="113" stopIfTrue="1">
      <formula>J1351=TRUE</formula>
    </cfRule>
  </conditionalFormatting>
  <conditionalFormatting sqref="J1358:N1358">
    <cfRule type="expression" dxfId="172" priority="128" stopIfTrue="1">
      <formula>J1359=TRUE</formula>
    </cfRule>
  </conditionalFormatting>
  <conditionalFormatting sqref="J1359:N1359">
    <cfRule type="expression" dxfId="171" priority="107" stopIfTrue="1">
      <formula>J1359=TRUE</formula>
    </cfRule>
  </conditionalFormatting>
  <conditionalFormatting sqref="J1366:N1366">
    <cfRule type="expression" dxfId="170" priority="118" stopIfTrue="1">
      <formula>J1367=TRUE</formula>
    </cfRule>
  </conditionalFormatting>
  <conditionalFormatting sqref="J1367:N1367">
    <cfRule type="expression" dxfId="169" priority="112" stopIfTrue="1">
      <formula>J1367=TRUE</formula>
    </cfRule>
  </conditionalFormatting>
  <conditionalFormatting sqref="J1372:N1372">
    <cfRule type="expression" dxfId="168" priority="127" stopIfTrue="1">
      <formula>J1373=TRUE</formula>
    </cfRule>
  </conditionalFormatting>
  <conditionalFormatting sqref="J1373:N1373">
    <cfRule type="expression" dxfId="167" priority="108" stopIfTrue="1">
      <formula>J1373=TRUE</formula>
    </cfRule>
  </conditionalFormatting>
  <conditionalFormatting sqref="J1382:N1382">
    <cfRule type="expression" dxfId="166" priority="117" stopIfTrue="1">
      <formula>J1383=TRUE</formula>
    </cfRule>
  </conditionalFormatting>
  <conditionalFormatting sqref="J1383:N1383">
    <cfRule type="expression" dxfId="165" priority="111" stopIfTrue="1">
      <formula>J1383=TRUE</formula>
    </cfRule>
  </conditionalFormatting>
  <conditionalFormatting sqref="J1386:N1386">
    <cfRule type="expression" dxfId="164" priority="126" stopIfTrue="1">
      <formula>J1387=TRUE</formula>
    </cfRule>
  </conditionalFormatting>
  <conditionalFormatting sqref="J1387:N1387">
    <cfRule type="expression" dxfId="163" priority="122" stopIfTrue="1">
      <formula>J1387=TRUE</formula>
    </cfRule>
  </conditionalFormatting>
  <conditionalFormatting sqref="J1393:N1393">
    <cfRule type="expression" dxfId="162" priority="116" stopIfTrue="1">
      <formula>J1394=TRUE</formula>
    </cfRule>
  </conditionalFormatting>
  <conditionalFormatting sqref="J1394:N1394">
    <cfRule type="expression" dxfId="161" priority="110" stopIfTrue="1">
      <formula>J1394=TRUE</formula>
    </cfRule>
  </conditionalFormatting>
  <conditionalFormatting sqref="J1400:N1400">
    <cfRule type="expression" dxfId="160" priority="125" stopIfTrue="1">
      <formula>J1401=TRUE</formula>
    </cfRule>
  </conditionalFormatting>
  <conditionalFormatting sqref="J1401:N1401">
    <cfRule type="expression" dxfId="159" priority="109" stopIfTrue="1">
      <formula>J1401=TRUE</formula>
    </cfRule>
  </conditionalFormatting>
  <conditionalFormatting sqref="J1406:N1412">
    <cfRule type="expression" dxfId="158" priority="106" stopIfTrue="1">
      <formula>J1311&lt;&gt;J1406</formula>
    </cfRule>
  </conditionalFormatting>
  <conditionalFormatting sqref="J1471:N1472">
    <cfRule type="expression" dxfId="157" priority="79" stopIfTrue="1">
      <formula>J1471=TRUE</formula>
    </cfRule>
  </conditionalFormatting>
  <conditionalFormatting sqref="J1485:N1485">
    <cfRule type="expression" dxfId="156" priority="94" stopIfTrue="1">
      <formula>J1486=TRUE</formula>
    </cfRule>
  </conditionalFormatting>
  <conditionalFormatting sqref="J1486:N1486">
    <cfRule type="expression" dxfId="155" priority="95" stopIfTrue="1">
      <formula>J1486=TRUE</formula>
    </cfRule>
  </conditionalFormatting>
  <conditionalFormatting sqref="J1494:N1494">
    <cfRule type="expression" dxfId="154" priority="104" stopIfTrue="1">
      <formula>J1495=TRUE</formula>
    </cfRule>
  </conditionalFormatting>
  <conditionalFormatting sqref="J1495:N1495">
    <cfRule type="expression" dxfId="153" priority="98" stopIfTrue="1">
      <formula>J1495=TRUE</formula>
    </cfRule>
  </conditionalFormatting>
  <conditionalFormatting sqref="J1503:N1503">
    <cfRule type="expression" dxfId="152" priority="93" stopIfTrue="1">
      <formula>J1504=TRUE</formula>
    </cfRule>
  </conditionalFormatting>
  <conditionalFormatting sqref="J1504:N1504">
    <cfRule type="expression" dxfId="151" priority="88" stopIfTrue="1">
      <formula>J1504=TRUE</formula>
    </cfRule>
  </conditionalFormatting>
  <conditionalFormatting sqref="J1508:N1508">
    <cfRule type="expression" dxfId="150" priority="103" stopIfTrue="1">
      <formula>J1509=TRUE</formula>
    </cfRule>
  </conditionalFormatting>
  <conditionalFormatting sqref="J1509:N1509">
    <cfRule type="expression" dxfId="149" priority="97" stopIfTrue="1">
      <formula>J1509=TRUE</formula>
    </cfRule>
  </conditionalFormatting>
  <conditionalFormatting sqref="J1514:N1514">
    <cfRule type="expression" dxfId="148" priority="89" stopIfTrue="1">
      <formula>J1515=TRUE</formula>
    </cfRule>
  </conditionalFormatting>
  <conditionalFormatting sqref="J1515:N1515">
    <cfRule type="expression" dxfId="147" priority="87" stopIfTrue="1">
      <formula>J1515=TRUE</formula>
    </cfRule>
  </conditionalFormatting>
  <conditionalFormatting sqref="J1522:N1522">
    <cfRule type="expression" dxfId="146" priority="102" stopIfTrue="1">
      <formula>J1523=TRUE</formula>
    </cfRule>
  </conditionalFormatting>
  <conditionalFormatting sqref="J1523:N1523">
    <cfRule type="expression" dxfId="145" priority="81" stopIfTrue="1">
      <formula>J1523=TRUE</formula>
    </cfRule>
  </conditionalFormatting>
  <conditionalFormatting sqref="J1530:N1530">
    <cfRule type="expression" dxfId="144" priority="92" stopIfTrue="1">
      <formula>J1531=TRUE</formula>
    </cfRule>
  </conditionalFormatting>
  <conditionalFormatting sqref="J1531:N1531">
    <cfRule type="expression" dxfId="143" priority="86" stopIfTrue="1">
      <formula>J1531=TRUE</formula>
    </cfRule>
  </conditionalFormatting>
  <conditionalFormatting sqref="J1536:N1536">
    <cfRule type="expression" dxfId="142" priority="101" stopIfTrue="1">
      <formula>J1537=TRUE</formula>
    </cfRule>
  </conditionalFormatting>
  <conditionalFormatting sqref="J1537:N1537">
    <cfRule type="expression" dxfId="141" priority="82" stopIfTrue="1">
      <formula>J1537=TRUE</formula>
    </cfRule>
  </conditionalFormatting>
  <conditionalFormatting sqref="J1546:N1546">
    <cfRule type="expression" dxfId="140" priority="91" stopIfTrue="1">
      <formula>J1547=TRUE</formula>
    </cfRule>
  </conditionalFormatting>
  <conditionalFormatting sqref="J1547:N1547">
    <cfRule type="expression" dxfId="139" priority="85" stopIfTrue="1">
      <formula>J1547=TRUE</formula>
    </cfRule>
  </conditionalFormatting>
  <conditionalFormatting sqref="J1550:N1550">
    <cfRule type="expression" dxfId="138" priority="100" stopIfTrue="1">
      <formula>J1551=TRUE</formula>
    </cfRule>
  </conditionalFormatting>
  <conditionalFormatting sqref="J1551:N1551">
    <cfRule type="expression" dxfId="137" priority="96" stopIfTrue="1">
      <formula>J1551=TRUE</formula>
    </cfRule>
  </conditionalFormatting>
  <conditionalFormatting sqref="J1557:N1557">
    <cfRule type="expression" dxfId="136" priority="90" stopIfTrue="1">
      <formula>J1558=TRUE</formula>
    </cfRule>
  </conditionalFormatting>
  <conditionalFormatting sqref="J1558:N1558">
    <cfRule type="expression" dxfId="135" priority="84" stopIfTrue="1">
      <formula>J1558=TRUE</formula>
    </cfRule>
  </conditionalFormatting>
  <conditionalFormatting sqref="J1564:N1564">
    <cfRule type="expression" dxfId="134" priority="99" stopIfTrue="1">
      <formula>J1565=TRUE</formula>
    </cfRule>
  </conditionalFormatting>
  <conditionalFormatting sqref="J1565:N1565">
    <cfRule type="expression" dxfId="133" priority="83" stopIfTrue="1">
      <formula>J1565=TRUE</formula>
    </cfRule>
  </conditionalFormatting>
  <conditionalFormatting sqref="J1570:N1576">
    <cfRule type="expression" dxfId="132" priority="80" stopIfTrue="1">
      <formula>J1475&lt;&gt;J1570</formula>
    </cfRule>
  </conditionalFormatting>
  <conditionalFormatting sqref="J1635:N1636">
    <cfRule type="expression" dxfId="131" priority="53" stopIfTrue="1">
      <formula>J1635=TRUE</formula>
    </cfRule>
  </conditionalFormatting>
  <conditionalFormatting sqref="J1649:N1649">
    <cfRule type="expression" dxfId="130" priority="68" stopIfTrue="1">
      <formula>J1650=TRUE</formula>
    </cfRule>
  </conditionalFormatting>
  <conditionalFormatting sqref="J1650:N1650">
    <cfRule type="expression" dxfId="129" priority="69" stopIfTrue="1">
      <formula>J1650=TRUE</formula>
    </cfRule>
  </conditionalFormatting>
  <conditionalFormatting sqref="J1658:N1658">
    <cfRule type="expression" dxfId="128" priority="78" stopIfTrue="1">
      <formula>J1659=TRUE</formula>
    </cfRule>
  </conditionalFormatting>
  <conditionalFormatting sqref="J1659:N1659">
    <cfRule type="expression" dxfId="127" priority="72" stopIfTrue="1">
      <formula>J1659=TRUE</formula>
    </cfRule>
  </conditionalFormatting>
  <conditionalFormatting sqref="J1667:N1667">
    <cfRule type="expression" dxfId="126" priority="67" stopIfTrue="1">
      <formula>J1668=TRUE</formula>
    </cfRule>
  </conditionalFormatting>
  <conditionalFormatting sqref="J1668:N1668">
    <cfRule type="expression" dxfId="125" priority="62" stopIfTrue="1">
      <formula>J1668=TRUE</formula>
    </cfRule>
  </conditionalFormatting>
  <conditionalFormatting sqref="J1672:N1672">
    <cfRule type="expression" dxfId="124" priority="77" stopIfTrue="1">
      <formula>J1673=TRUE</formula>
    </cfRule>
  </conditionalFormatting>
  <conditionalFormatting sqref="J1673:N1673">
    <cfRule type="expression" dxfId="123" priority="71" stopIfTrue="1">
      <formula>J1673=TRUE</formula>
    </cfRule>
  </conditionalFormatting>
  <conditionalFormatting sqref="J1678:N1678">
    <cfRule type="expression" dxfId="122" priority="63" stopIfTrue="1">
      <formula>J1679=TRUE</formula>
    </cfRule>
  </conditionalFormatting>
  <conditionalFormatting sqref="J1679:N1679">
    <cfRule type="expression" dxfId="121" priority="61" stopIfTrue="1">
      <formula>J1679=TRUE</formula>
    </cfRule>
  </conditionalFormatting>
  <conditionalFormatting sqref="J1686:N1686">
    <cfRule type="expression" dxfId="120" priority="76" stopIfTrue="1">
      <formula>J1687=TRUE</formula>
    </cfRule>
  </conditionalFormatting>
  <conditionalFormatting sqref="J1687:N1687">
    <cfRule type="expression" dxfId="119" priority="55" stopIfTrue="1">
      <formula>J1687=TRUE</formula>
    </cfRule>
  </conditionalFormatting>
  <conditionalFormatting sqref="J1694:N1694">
    <cfRule type="expression" dxfId="118" priority="66" stopIfTrue="1">
      <formula>J1695=TRUE</formula>
    </cfRule>
  </conditionalFormatting>
  <conditionalFormatting sqref="J1695:N1695">
    <cfRule type="expression" dxfId="117" priority="60" stopIfTrue="1">
      <formula>J1695=TRUE</formula>
    </cfRule>
  </conditionalFormatting>
  <conditionalFormatting sqref="J1700:N1700">
    <cfRule type="expression" dxfId="116" priority="75" stopIfTrue="1">
      <formula>J1701=TRUE</formula>
    </cfRule>
  </conditionalFormatting>
  <conditionalFormatting sqref="J1701:N1701">
    <cfRule type="expression" dxfId="115" priority="56" stopIfTrue="1">
      <formula>J1701=TRUE</formula>
    </cfRule>
  </conditionalFormatting>
  <conditionalFormatting sqref="J1710:N1710">
    <cfRule type="expression" dxfId="114" priority="65" stopIfTrue="1">
      <formula>J1711=TRUE</formula>
    </cfRule>
  </conditionalFormatting>
  <conditionalFormatting sqref="J1711:N1711">
    <cfRule type="expression" dxfId="113" priority="59" stopIfTrue="1">
      <formula>J1711=TRUE</formula>
    </cfRule>
  </conditionalFormatting>
  <conditionalFormatting sqref="J1714:N1714">
    <cfRule type="expression" dxfId="112" priority="74" stopIfTrue="1">
      <formula>J1715=TRUE</formula>
    </cfRule>
  </conditionalFormatting>
  <conditionalFormatting sqref="J1715:N1715">
    <cfRule type="expression" dxfId="111" priority="70" stopIfTrue="1">
      <formula>J1715=TRUE</formula>
    </cfRule>
  </conditionalFormatting>
  <conditionalFormatting sqref="J1721:N1721">
    <cfRule type="expression" dxfId="110" priority="64" stopIfTrue="1">
      <formula>J1722=TRUE</formula>
    </cfRule>
  </conditionalFormatting>
  <conditionalFormatting sqref="J1722:N1722">
    <cfRule type="expression" dxfId="109" priority="58" stopIfTrue="1">
      <formula>J1722=TRUE</formula>
    </cfRule>
  </conditionalFormatting>
  <conditionalFormatting sqref="J1728:N1728">
    <cfRule type="expression" dxfId="108" priority="73" stopIfTrue="1">
      <formula>J1729=TRUE</formula>
    </cfRule>
  </conditionalFormatting>
  <conditionalFormatting sqref="J1729:N1729">
    <cfRule type="expression" dxfId="107" priority="57" stopIfTrue="1">
      <formula>J1729=TRUE</formula>
    </cfRule>
  </conditionalFormatting>
  <conditionalFormatting sqref="J1734:N1740">
    <cfRule type="expression" dxfId="106" priority="54" stopIfTrue="1">
      <formula>J1639&lt;&gt;J1734</formula>
    </cfRule>
  </conditionalFormatting>
  <conditionalFormatting sqref="J1799:N1800">
    <cfRule type="expression" dxfId="105" priority="27" stopIfTrue="1">
      <formula>J1799=TRUE</formula>
    </cfRule>
  </conditionalFormatting>
  <conditionalFormatting sqref="J1813:N1813">
    <cfRule type="expression" dxfId="104" priority="42" stopIfTrue="1">
      <formula>J1814=TRUE</formula>
    </cfRule>
  </conditionalFormatting>
  <conditionalFormatting sqref="J1814:N1814">
    <cfRule type="expression" dxfId="103" priority="43" stopIfTrue="1">
      <formula>J1814=TRUE</formula>
    </cfRule>
  </conditionalFormatting>
  <conditionalFormatting sqref="J1822:N1822">
    <cfRule type="expression" dxfId="102" priority="52" stopIfTrue="1">
      <formula>J1823=TRUE</formula>
    </cfRule>
  </conditionalFormatting>
  <conditionalFormatting sqref="J1823:N1823">
    <cfRule type="expression" dxfId="101" priority="46" stopIfTrue="1">
      <formula>J1823=TRUE</formula>
    </cfRule>
  </conditionalFormatting>
  <conditionalFormatting sqref="J1831:N1831">
    <cfRule type="expression" dxfId="100" priority="41" stopIfTrue="1">
      <formula>J1832=TRUE</formula>
    </cfRule>
  </conditionalFormatting>
  <conditionalFormatting sqref="J1832:N1832">
    <cfRule type="expression" dxfId="99" priority="36" stopIfTrue="1">
      <formula>J1832=TRUE</formula>
    </cfRule>
  </conditionalFormatting>
  <conditionalFormatting sqref="J1836:N1836">
    <cfRule type="expression" dxfId="98" priority="51" stopIfTrue="1">
      <formula>J1837=TRUE</formula>
    </cfRule>
  </conditionalFormatting>
  <conditionalFormatting sqref="J1837:N1837">
    <cfRule type="expression" dxfId="97" priority="45" stopIfTrue="1">
      <formula>J1837=TRUE</formula>
    </cfRule>
  </conditionalFormatting>
  <conditionalFormatting sqref="J1842:N1842">
    <cfRule type="expression" dxfId="96" priority="37" stopIfTrue="1">
      <formula>J1843=TRUE</formula>
    </cfRule>
  </conditionalFormatting>
  <conditionalFormatting sqref="J1843:N1843">
    <cfRule type="expression" dxfId="95" priority="35" stopIfTrue="1">
      <formula>J1843=TRUE</formula>
    </cfRule>
  </conditionalFormatting>
  <conditionalFormatting sqref="J1850:N1850">
    <cfRule type="expression" dxfId="94" priority="50" stopIfTrue="1">
      <formula>J1851=TRUE</formula>
    </cfRule>
  </conditionalFormatting>
  <conditionalFormatting sqref="J1851:N1851">
    <cfRule type="expression" dxfId="93" priority="29" stopIfTrue="1">
      <formula>J1851=TRUE</formula>
    </cfRule>
  </conditionalFormatting>
  <conditionalFormatting sqref="J1858:N1858">
    <cfRule type="expression" dxfId="92" priority="40" stopIfTrue="1">
      <formula>J1859=TRUE</formula>
    </cfRule>
  </conditionalFormatting>
  <conditionalFormatting sqref="J1859:N1859">
    <cfRule type="expression" dxfId="91" priority="34" stopIfTrue="1">
      <formula>J1859=TRUE</formula>
    </cfRule>
  </conditionalFormatting>
  <conditionalFormatting sqref="J1864:N1864">
    <cfRule type="expression" dxfId="90" priority="49" stopIfTrue="1">
      <formula>J1865=TRUE</formula>
    </cfRule>
  </conditionalFormatting>
  <conditionalFormatting sqref="J1865:N1865">
    <cfRule type="expression" dxfId="89" priority="30" stopIfTrue="1">
      <formula>J1865=TRUE</formula>
    </cfRule>
  </conditionalFormatting>
  <conditionalFormatting sqref="J1874:N1874">
    <cfRule type="expression" dxfId="88" priority="39" stopIfTrue="1">
      <formula>J1875=TRUE</formula>
    </cfRule>
  </conditionalFormatting>
  <conditionalFormatting sqref="J1875:N1875">
    <cfRule type="expression" dxfId="87" priority="33" stopIfTrue="1">
      <formula>J1875=TRUE</formula>
    </cfRule>
  </conditionalFormatting>
  <conditionalFormatting sqref="J1878:N1878">
    <cfRule type="expression" dxfId="86" priority="48" stopIfTrue="1">
      <formula>J1879=TRUE</formula>
    </cfRule>
  </conditionalFormatting>
  <conditionalFormatting sqref="J1879:N1879">
    <cfRule type="expression" dxfId="85" priority="44" stopIfTrue="1">
      <formula>J1879=TRUE</formula>
    </cfRule>
  </conditionalFormatting>
  <conditionalFormatting sqref="J1885:N1885">
    <cfRule type="expression" dxfId="84" priority="38" stopIfTrue="1">
      <formula>J1886=TRUE</formula>
    </cfRule>
  </conditionalFormatting>
  <conditionalFormatting sqref="J1886:N1886">
    <cfRule type="expression" dxfId="83" priority="32" stopIfTrue="1">
      <formula>J1886=TRUE</formula>
    </cfRule>
  </conditionalFormatting>
  <conditionalFormatting sqref="J1892:N1892">
    <cfRule type="expression" dxfId="82" priority="47" stopIfTrue="1">
      <formula>J1893=TRUE</formula>
    </cfRule>
  </conditionalFormatting>
  <conditionalFormatting sqref="J1893:N1893">
    <cfRule type="expression" dxfId="81" priority="31" stopIfTrue="1">
      <formula>J1893=TRUE</formula>
    </cfRule>
  </conditionalFormatting>
  <conditionalFormatting sqref="J1898:N1904">
    <cfRule type="expression" dxfId="80" priority="28" stopIfTrue="1">
      <formula>J1803&lt;&gt;J1898</formula>
    </cfRule>
  </conditionalFormatting>
  <conditionalFormatting sqref="J1963:N1964">
    <cfRule type="expression" dxfId="79" priority="1" stopIfTrue="1">
      <formula>J1963=TRUE</formula>
    </cfRule>
  </conditionalFormatting>
  <conditionalFormatting sqref="J1977:N1977">
    <cfRule type="expression" dxfId="78" priority="16" stopIfTrue="1">
      <formula>J1978=TRUE</formula>
    </cfRule>
  </conditionalFormatting>
  <conditionalFormatting sqref="J1978:N1978">
    <cfRule type="expression" dxfId="77" priority="17" stopIfTrue="1">
      <formula>J1978=TRUE</formula>
    </cfRule>
  </conditionalFormatting>
  <conditionalFormatting sqref="J1986:N1986">
    <cfRule type="expression" dxfId="76" priority="26" stopIfTrue="1">
      <formula>J1987=TRUE</formula>
    </cfRule>
  </conditionalFormatting>
  <conditionalFormatting sqref="J1987:N1987">
    <cfRule type="expression" dxfId="75" priority="20" stopIfTrue="1">
      <formula>J1987=TRUE</formula>
    </cfRule>
  </conditionalFormatting>
  <conditionalFormatting sqref="J1995:N1995">
    <cfRule type="expression" dxfId="74" priority="15" stopIfTrue="1">
      <formula>J1996=TRUE</formula>
    </cfRule>
  </conditionalFormatting>
  <conditionalFormatting sqref="J1996:N1996">
    <cfRule type="expression" dxfId="73" priority="10" stopIfTrue="1">
      <formula>J1996=TRUE</formula>
    </cfRule>
  </conditionalFormatting>
  <conditionalFormatting sqref="J2000:N2000">
    <cfRule type="expression" dxfId="72" priority="25" stopIfTrue="1">
      <formula>J2001=TRUE</formula>
    </cfRule>
  </conditionalFormatting>
  <conditionalFormatting sqref="J2001:N2001">
    <cfRule type="expression" dxfId="71" priority="19" stopIfTrue="1">
      <formula>J2001=TRUE</formula>
    </cfRule>
  </conditionalFormatting>
  <conditionalFormatting sqref="J2006:N2006">
    <cfRule type="expression" dxfId="70" priority="11" stopIfTrue="1">
      <formula>J2007=TRUE</formula>
    </cfRule>
  </conditionalFormatting>
  <conditionalFormatting sqref="J2007:N2007">
    <cfRule type="expression" dxfId="69" priority="9" stopIfTrue="1">
      <formula>J2007=TRUE</formula>
    </cfRule>
  </conditionalFormatting>
  <conditionalFormatting sqref="J2014:N2014">
    <cfRule type="expression" dxfId="68" priority="24" stopIfTrue="1">
      <formula>J2015=TRUE</formula>
    </cfRule>
  </conditionalFormatting>
  <conditionalFormatting sqref="J2015:N2015">
    <cfRule type="expression" dxfId="67" priority="3" stopIfTrue="1">
      <formula>J2015=TRUE</formula>
    </cfRule>
  </conditionalFormatting>
  <conditionalFormatting sqref="J2022:N2022">
    <cfRule type="expression" dxfId="66" priority="14" stopIfTrue="1">
      <formula>J2023=TRUE</formula>
    </cfRule>
  </conditionalFormatting>
  <conditionalFormatting sqref="J2023:N2023">
    <cfRule type="expression" dxfId="65" priority="8" stopIfTrue="1">
      <formula>J2023=TRUE</formula>
    </cfRule>
  </conditionalFormatting>
  <conditionalFormatting sqref="J2028:N2028">
    <cfRule type="expression" dxfId="64" priority="23" stopIfTrue="1">
      <formula>J2029=TRUE</formula>
    </cfRule>
  </conditionalFormatting>
  <conditionalFormatting sqref="J2029:N2029">
    <cfRule type="expression" dxfId="63" priority="4" stopIfTrue="1">
      <formula>J2029=TRUE</formula>
    </cfRule>
  </conditionalFormatting>
  <conditionalFormatting sqref="J2038:N2038">
    <cfRule type="expression" dxfId="62" priority="13" stopIfTrue="1">
      <formula>J2039=TRUE</formula>
    </cfRule>
  </conditionalFormatting>
  <conditionalFormatting sqref="J2039:N2039">
    <cfRule type="expression" dxfId="61" priority="7" stopIfTrue="1">
      <formula>J2039=TRUE</formula>
    </cfRule>
  </conditionalFormatting>
  <conditionalFormatting sqref="J2042:N2042">
    <cfRule type="expression" dxfId="60" priority="22" stopIfTrue="1">
      <formula>J2043=TRUE</formula>
    </cfRule>
  </conditionalFormatting>
  <conditionalFormatting sqref="J2043:N2043">
    <cfRule type="expression" dxfId="59" priority="18" stopIfTrue="1">
      <formula>J2043=TRUE</formula>
    </cfRule>
  </conditionalFormatting>
  <conditionalFormatting sqref="J2049:N2049">
    <cfRule type="expression" dxfId="58" priority="12" stopIfTrue="1">
      <formula>J2050=TRUE</formula>
    </cfRule>
  </conditionalFormatting>
  <conditionalFormatting sqref="J2050:N2050">
    <cfRule type="expression" dxfId="57" priority="6" stopIfTrue="1">
      <formula>J2050=TRUE</formula>
    </cfRule>
  </conditionalFormatting>
  <conditionalFormatting sqref="J2056:N2056">
    <cfRule type="expression" dxfId="56" priority="21" stopIfTrue="1">
      <formula>J2057=TRUE</formula>
    </cfRule>
  </conditionalFormatting>
  <conditionalFormatting sqref="J2057:N2057">
    <cfRule type="expression" dxfId="55" priority="5" stopIfTrue="1">
      <formula>J2057=TRUE</formula>
    </cfRule>
  </conditionalFormatting>
  <conditionalFormatting sqref="J2062:N2068">
    <cfRule type="expression" dxfId="54" priority="2" stopIfTrue="1">
      <formula>J1967&lt;&gt;J2062</formula>
    </cfRule>
  </conditionalFormatting>
  <conditionalFormatting sqref="J2129:N2131">
    <cfRule type="expression" dxfId="53" priority="878" stopIfTrue="1">
      <formula>J2129=TRUE</formula>
    </cfRule>
  </conditionalFormatting>
  <conditionalFormatting sqref="J2138:N2138">
    <cfRule type="expression" dxfId="52" priority="874" stopIfTrue="1">
      <formula>J2139=TRUE</formula>
    </cfRule>
  </conditionalFormatting>
  <conditionalFormatting sqref="J2139:N2139">
    <cfRule type="expression" dxfId="51" priority="875" stopIfTrue="1">
      <formula>J2139=TRUE</formula>
    </cfRule>
  </conditionalFormatting>
  <conditionalFormatting sqref="J2142:N2142">
    <cfRule type="expression" dxfId="50" priority="877" stopIfTrue="1">
      <formula>J2143=TRUE</formula>
    </cfRule>
  </conditionalFormatting>
  <conditionalFormatting sqref="J2143:N2143">
    <cfRule type="expression" dxfId="49" priority="876" stopIfTrue="1">
      <formula>J2143=TRUE</formula>
    </cfRule>
  </conditionalFormatting>
  <conditionalFormatting sqref="J2147:N2147">
    <cfRule type="expression" dxfId="48" priority="867" stopIfTrue="1">
      <formula>J2148=TRUE</formula>
    </cfRule>
  </conditionalFormatting>
  <conditionalFormatting sqref="J2148:N2149">
    <cfRule type="expression" dxfId="47" priority="869" stopIfTrue="1">
      <formula>J2148=TRUE</formula>
    </cfRule>
  </conditionalFormatting>
  <conditionalFormatting sqref="J2149:N2149">
    <cfRule type="containsText" dxfId="46" priority="865" stopIfTrue="1" operator="containsText" text="!">
      <formula>NOT(ISERROR(SEARCH("!",J2149)))</formula>
    </cfRule>
  </conditionalFormatting>
  <conditionalFormatting sqref="J2155:N2156">
    <cfRule type="expression" dxfId="45" priority="866" stopIfTrue="1">
      <formula>J2133&lt;&gt;J2155</formula>
    </cfRule>
  </conditionalFormatting>
  <conditionalFormatting sqref="J2196:N2198">
    <cfRule type="expression" dxfId="44" priority="660" stopIfTrue="1">
      <formula>J2196=TRUE</formula>
    </cfRule>
  </conditionalFormatting>
  <conditionalFormatting sqref="J2205:N2205">
    <cfRule type="expression" dxfId="43" priority="656" stopIfTrue="1">
      <formula>J2206=TRUE</formula>
    </cfRule>
  </conditionalFormatting>
  <conditionalFormatting sqref="J2206:N2206">
    <cfRule type="expression" dxfId="42" priority="657" stopIfTrue="1">
      <formula>J2206=TRUE</formula>
    </cfRule>
  </conditionalFormatting>
  <conditionalFormatting sqref="J2209:N2209">
    <cfRule type="expression" dxfId="41" priority="659" stopIfTrue="1">
      <formula>J2210=TRUE</formula>
    </cfRule>
  </conditionalFormatting>
  <conditionalFormatting sqref="J2210:N2210">
    <cfRule type="expression" dxfId="40" priority="658" stopIfTrue="1">
      <formula>J2210=TRUE</formula>
    </cfRule>
  </conditionalFormatting>
  <conditionalFormatting sqref="J2214:N2214">
    <cfRule type="expression" dxfId="39" priority="653" stopIfTrue="1">
      <formula>J2215=TRUE</formula>
    </cfRule>
  </conditionalFormatting>
  <conditionalFormatting sqref="J2215:N2216">
    <cfRule type="expression" dxfId="38" priority="654" stopIfTrue="1">
      <formula>J2215=TRUE</formula>
    </cfRule>
  </conditionalFormatting>
  <conditionalFormatting sqref="J2216:N2216">
    <cfRule type="containsText" dxfId="37" priority="651" stopIfTrue="1" operator="containsText" text="!">
      <formula>NOT(ISERROR(SEARCH("!",J2216)))</formula>
    </cfRule>
  </conditionalFormatting>
  <conditionalFormatting sqref="J2222:N2223">
    <cfRule type="expression" dxfId="36" priority="652" stopIfTrue="1">
      <formula>J2200&lt;&gt;J2222</formula>
    </cfRule>
  </conditionalFormatting>
  <conditionalFormatting sqref="J2262:N2264">
    <cfRule type="expression" dxfId="35" priority="642" stopIfTrue="1">
      <formula>J2262=TRUE</formula>
    </cfRule>
  </conditionalFormatting>
  <conditionalFormatting sqref="J2271:N2271">
    <cfRule type="expression" dxfId="34" priority="638" stopIfTrue="1">
      <formula>J2272=TRUE</formula>
    </cfRule>
  </conditionalFormatting>
  <conditionalFormatting sqref="J2272:N2272">
    <cfRule type="expression" dxfId="33" priority="639" stopIfTrue="1">
      <formula>J2272=TRUE</formula>
    </cfRule>
  </conditionalFormatting>
  <conditionalFormatting sqref="J2275:N2275">
    <cfRule type="expression" dxfId="32" priority="641" stopIfTrue="1">
      <formula>J2276=TRUE</formula>
    </cfRule>
  </conditionalFormatting>
  <conditionalFormatting sqref="J2276:N2276">
    <cfRule type="expression" dxfId="31" priority="640" stopIfTrue="1">
      <formula>J2276=TRUE</formula>
    </cfRule>
  </conditionalFormatting>
  <conditionalFormatting sqref="J2281:N2282">
    <cfRule type="expression" dxfId="30" priority="634" stopIfTrue="1">
      <formula>J2266&lt;&gt;J2281</formula>
    </cfRule>
  </conditionalFormatting>
  <conditionalFormatting sqref="J2322:N2324">
    <cfRule type="expression" dxfId="29" priority="624" stopIfTrue="1">
      <formula>J2322=TRUE</formula>
    </cfRule>
  </conditionalFormatting>
  <conditionalFormatting sqref="J2331:N2331">
    <cfRule type="expression" dxfId="28" priority="620" stopIfTrue="1">
      <formula>J2332=TRUE</formula>
    </cfRule>
  </conditionalFormatting>
  <conditionalFormatting sqref="J2332:N2332">
    <cfRule type="expression" dxfId="27" priority="621" stopIfTrue="1">
      <formula>J2332=TRUE</formula>
    </cfRule>
  </conditionalFormatting>
  <conditionalFormatting sqref="J2335:N2335">
    <cfRule type="expression" dxfId="26" priority="623" stopIfTrue="1">
      <formula>J2336=TRUE</formula>
    </cfRule>
  </conditionalFormatting>
  <conditionalFormatting sqref="J2336:N2336">
    <cfRule type="expression" dxfId="25" priority="622" stopIfTrue="1">
      <formula>J2336=TRUE</formula>
    </cfRule>
  </conditionalFormatting>
  <conditionalFormatting sqref="J2340:N2340">
    <cfRule type="expression" dxfId="24" priority="617" stopIfTrue="1">
      <formula>J2341=TRUE</formula>
    </cfRule>
  </conditionalFormatting>
  <conditionalFormatting sqref="J2341:N2342">
    <cfRule type="expression" dxfId="23" priority="618" stopIfTrue="1">
      <formula>J2341=TRUE</formula>
    </cfRule>
  </conditionalFormatting>
  <conditionalFormatting sqref="J2342:N2342">
    <cfRule type="containsText" dxfId="22" priority="615" stopIfTrue="1" operator="containsText" text="!">
      <formula>NOT(ISERROR(SEARCH("!",J2342)))</formula>
    </cfRule>
  </conditionalFormatting>
  <conditionalFormatting sqref="J2348:N2349">
    <cfRule type="expression" dxfId="21" priority="616" stopIfTrue="1">
      <formula>J2326&lt;&gt;J2348</formula>
    </cfRule>
  </conditionalFormatting>
  <conditionalFormatting sqref="J2379:N2381">
    <cfRule type="expression" dxfId="20" priority="607" stopIfTrue="1">
      <formula>J2379=TRUE</formula>
    </cfRule>
  </conditionalFormatting>
  <conditionalFormatting sqref="J2388:N2388">
    <cfRule type="expression" dxfId="19" priority="603" stopIfTrue="1">
      <formula>J2389=TRUE</formula>
    </cfRule>
  </conditionalFormatting>
  <conditionalFormatting sqref="J2389:N2389">
    <cfRule type="expression" dxfId="18" priority="604" stopIfTrue="1">
      <formula>J2389=TRUE</formula>
    </cfRule>
  </conditionalFormatting>
  <conditionalFormatting sqref="J2392:N2392">
    <cfRule type="expression" dxfId="17" priority="606" stopIfTrue="1">
      <formula>J2393=TRUE</formula>
    </cfRule>
  </conditionalFormatting>
  <conditionalFormatting sqref="J2393:N2393">
    <cfRule type="expression" dxfId="16" priority="605" stopIfTrue="1">
      <formula>J2393=TRUE</formula>
    </cfRule>
  </conditionalFormatting>
  <conditionalFormatting sqref="J2397:N2397">
    <cfRule type="expression" dxfId="15" priority="600" stopIfTrue="1">
      <formula>J2398=TRUE</formula>
    </cfRule>
  </conditionalFormatting>
  <conditionalFormatting sqref="J2398:N2399">
    <cfRule type="expression" dxfId="14" priority="601" stopIfTrue="1">
      <formula>J2398=TRUE</formula>
    </cfRule>
  </conditionalFormatting>
  <conditionalFormatting sqref="J2399:N2399">
    <cfRule type="containsText" dxfId="13" priority="598" stopIfTrue="1" operator="containsText" text="!">
      <formula>NOT(ISERROR(SEARCH("!",J2399)))</formula>
    </cfRule>
  </conditionalFormatting>
  <conditionalFormatting sqref="J2405:N2406">
    <cfRule type="expression" dxfId="12" priority="599" stopIfTrue="1">
      <formula>J2383&lt;&gt;J2405</formula>
    </cfRule>
  </conditionalFormatting>
  <conditionalFormatting sqref="J2435:N2437">
    <cfRule type="expression" dxfId="11" priority="582" stopIfTrue="1">
      <formula>J2435=TRUE</formula>
    </cfRule>
  </conditionalFormatting>
  <conditionalFormatting sqref="J2444:N2444">
    <cfRule type="expression" dxfId="10" priority="578" stopIfTrue="1">
      <formula>J2445=TRUE</formula>
    </cfRule>
  </conditionalFormatting>
  <conditionalFormatting sqref="J2445:N2445">
    <cfRule type="expression" dxfId="9" priority="579" stopIfTrue="1">
      <formula>J2445=TRUE</formula>
    </cfRule>
  </conditionalFormatting>
  <conditionalFormatting sqref="J2448:N2448">
    <cfRule type="expression" dxfId="8" priority="581" stopIfTrue="1">
      <formula>J2449=TRUE</formula>
    </cfRule>
  </conditionalFormatting>
  <conditionalFormatting sqref="J2449:N2449">
    <cfRule type="expression" dxfId="7" priority="580" stopIfTrue="1">
      <formula>J2449=TRUE</formula>
    </cfRule>
  </conditionalFormatting>
  <conditionalFormatting sqref="J2454:N2455">
    <cfRule type="expression" dxfId="6" priority="577" stopIfTrue="1">
      <formula>J2439&lt;&gt;J2454</formula>
    </cfRule>
  </conditionalFormatting>
  <conditionalFormatting sqref="J2474:N2476">
    <cfRule type="expression" dxfId="5" priority="574" stopIfTrue="1">
      <formula>J2474=TRUE</formula>
    </cfRule>
  </conditionalFormatting>
  <conditionalFormatting sqref="J2483:N2483">
    <cfRule type="expression" dxfId="4" priority="570" stopIfTrue="1">
      <formula>J2484=TRUE</formula>
    </cfRule>
  </conditionalFormatting>
  <conditionalFormatting sqref="J2484:N2484">
    <cfRule type="expression" dxfId="3" priority="571" stopIfTrue="1">
      <formula>J2484=TRUE</formula>
    </cfRule>
  </conditionalFormatting>
  <conditionalFormatting sqref="J2487:N2487">
    <cfRule type="expression" dxfId="2" priority="573" stopIfTrue="1">
      <formula>J2488=TRUE</formula>
    </cfRule>
  </conditionalFormatting>
  <conditionalFormatting sqref="J2488:N2488">
    <cfRule type="expression" dxfId="1" priority="572" stopIfTrue="1">
      <formula>J2488=TRUE</formula>
    </cfRule>
  </conditionalFormatting>
  <conditionalFormatting sqref="J2493:N2494">
    <cfRule type="expression" dxfId="0" priority="569" stopIfTrue="1">
      <formula>J2478&lt;&gt;J2493</formula>
    </cfRule>
  </conditionalFormatting>
  <hyperlinks>
    <hyperlink ref="G2:H2" location="JUMP_TOC_Home" display="Table of contents" xr:uid="{CC51AD08-1489-4FC0-BB9A-0D41B6E16BEF}"/>
    <hyperlink ref="I2:J2" location="JUMP_J_Top" display="Previous sheet" xr:uid="{06B0F8D3-2D3E-4BB6-9CBE-86DFCB6CC884}"/>
    <hyperlink ref="E4:F4" location="JUMP_K_Bottom" display="End of sheet" xr:uid="{E216DA79-80CA-419A-945B-6A23E6F9EFE4}"/>
    <hyperlink ref="E3:F3" location="JUMP_K_Top" display="Top of sheet" xr:uid="{91468758-3D26-46A9-8D20-F8885CC9BAA2}"/>
    <hyperlink ref="E2586:N2586" location="JUMP_K_V_Disclaimer" display="The results displayed here are by no means legally binding. Please see disclaimer in the introduction of this section." xr:uid="{B8C2A2CC-7919-4589-9839-2250316382C8}"/>
    <hyperlink ref="G3:H3" location="JUMP_K_I" display="Installation data" xr:uid="{BB339186-A3D0-4B42-8E10-82F18D4BA458}"/>
    <hyperlink ref="I3:J3" location="JUMP_K_II" display="Baseline Period &amp; Eligibility" xr:uid="{84C0BAFF-7A27-4A10-8BDD-4DE62B6967B8}"/>
    <hyperlink ref="K3:L3" location="JUMP_K_III" display="Emissions &amp; Energy Flows" xr:uid="{59C4E652-3D74-4AA0-B115-994C01B3B2F9}"/>
    <hyperlink ref="M3:N3" location="JUMP_K_IV" display="Sub-installation Data" xr:uid="{C329AF09-19C4-4413-B7A3-D633A958065C}"/>
    <hyperlink ref="G4:H4" location="JUMP_K_V" display="Preliminary allocation" xr:uid="{1CD4754D-8322-4341-A89A-17106F3CF108}"/>
  </hyperlinks>
  <pageMargins left="0.78740157480314965" right="0.78740157480314965" top="0.78740157480314965" bottom="0.78740157480314965" header="0.51181102362204722" footer="0.51181102362204722"/>
  <pageSetup paperSize="9" scale="56" fitToHeight="30" orientation="portrait" r:id="rId1"/>
  <headerFooter alignWithMargins="0">
    <oddHeader>&amp;L&amp;F; &amp;A&amp;R&amp;D; &amp;T</oddHeader>
    <oddFooter>&amp;C&amp;P / &amp;N</oddFooter>
  </headerFooter>
  <rowBreaks count="7" manualBreakCount="7">
    <brk id="71" min="2" max="13" man="1"/>
    <brk id="129" min="2" max="13" man="1"/>
    <brk id="207" min="2" max="13" man="1"/>
    <brk id="349" min="2" max="13" man="1"/>
    <brk id="448" min="2" max="13" man="1"/>
    <brk id="475" min="2" max="13" man="1"/>
    <brk id="582" min="2" max="13"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E9B3C5-CF87-490B-BCA8-5A967216D4DA}">
  <sheetPr codeName="Tabelle13">
    <tabColor indexed="12"/>
    <pageSetUpPr fitToPage="1"/>
  </sheetPr>
  <dimension ref="A1:AF311"/>
  <sheetViews>
    <sheetView topLeftCell="I268" zoomScaleNormal="100" workbookViewId="0">
      <selection activeCell="S281" sqref="S281"/>
    </sheetView>
  </sheetViews>
  <sheetFormatPr defaultColWidth="10.90625" defaultRowHeight="12.5" x14ac:dyDescent="0.25"/>
  <cols>
    <col min="1" max="1" width="34.453125" customWidth="1"/>
  </cols>
  <sheetData>
    <row r="1" spans="1:12" ht="13" x14ac:dyDescent="0.3">
      <c r="A1" s="200" t="str">
        <f>Translations!$B$213</f>
        <v>Namn</v>
      </c>
      <c r="B1" s="200" t="str">
        <f>Translations!$B$1105</f>
        <v>Konstant</v>
      </c>
      <c r="C1" s="200" t="str">
        <f>Translations!$B$1106</f>
        <v>Ytterligare konstanter</v>
      </c>
      <c r="D1" s="201"/>
      <c r="E1" s="201"/>
      <c r="F1" s="201"/>
      <c r="G1" s="201"/>
      <c r="H1" s="201"/>
    </row>
    <row r="2" spans="1:12" x14ac:dyDescent="0.25">
      <c r="A2" s="344" t="s">
        <v>1532</v>
      </c>
      <c r="B2" s="792" t="b">
        <v>1</v>
      </c>
    </row>
    <row r="3" spans="1:12" x14ac:dyDescent="0.25">
      <c r="A3" t="s">
        <v>951</v>
      </c>
      <c r="B3" s="202">
        <v>2021</v>
      </c>
      <c r="C3" s="7">
        <f>B3+1</f>
        <v>2022</v>
      </c>
      <c r="D3" s="7">
        <f>C3+1</f>
        <v>2023</v>
      </c>
      <c r="E3" s="7">
        <f>D3+1</f>
        <v>2024</v>
      </c>
      <c r="F3" s="7">
        <f>E3+1</f>
        <v>2025</v>
      </c>
    </row>
    <row r="4" spans="1:12" x14ac:dyDescent="0.25">
      <c r="A4" s="131" t="s">
        <v>1896</v>
      </c>
      <c r="B4" s="202">
        <f>B3+5</f>
        <v>2026</v>
      </c>
      <c r="C4" s="202">
        <f>C3+5</f>
        <v>2027</v>
      </c>
      <c r="D4" s="202">
        <f>D3+5</f>
        <v>2028</v>
      </c>
      <c r="E4" s="202">
        <f>E3+5</f>
        <v>2029</v>
      </c>
      <c r="F4" s="202">
        <f>F3+5</f>
        <v>2030</v>
      </c>
    </row>
    <row r="5" spans="1:12" x14ac:dyDescent="0.25">
      <c r="A5" s="131" t="s">
        <v>1261</v>
      </c>
      <c r="B5" s="202">
        <v>2021</v>
      </c>
      <c r="C5" s="7">
        <f t="shared" ref="C5:J5" si="0">B5+1</f>
        <v>2022</v>
      </c>
      <c r="D5" s="7">
        <f t="shared" si="0"/>
        <v>2023</v>
      </c>
      <c r="E5" s="7">
        <f t="shared" si="0"/>
        <v>2024</v>
      </c>
      <c r="F5" s="7">
        <f t="shared" si="0"/>
        <v>2025</v>
      </c>
      <c r="G5" s="7">
        <f t="shared" si="0"/>
        <v>2026</v>
      </c>
      <c r="H5" s="7">
        <f t="shared" si="0"/>
        <v>2027</v>
      </c>
      <c r="I5" s="7">
        <f t="shared" si="0"/>
        <v>2028</v>
      </c>
      <c r="J5" s="7">
        <f t="shared" si="0"/>
        <v>2029</v>
      </c>
      <c r="K5" s="7">
        <v>2030</v>
      </c>
      <c r="L5" s="7">
        <v>2031</v>
      </c>
    </row>
    <row r="6" spans="1:12" x14ac:dyDescent="0.25">
      <c r="A6" t="s">
        <v>991</v>
      </c>
      <c r="B6" s="7" t="s">
        <v>1894</v>
      </c>
      <c r="C6" s="7" t="s">
        <v>1895</v>
      </c>
      <c r="D6" s="3"/>
      <c r="E6" s="3"/>
      <c r="F6" s="3"/>
      <c r="G6" s="3"/>
    </row>
    <row r="7" spans="1:12" x14ac:dyDescent="0.25">
      <c r="A7" t="s">
        <v>1106</v>
      </c>
      <c r="B7" s="202" t="b">
        <v>1</v>
      </c>
      <c r="C7" s="202" t="b">
        <v>0</v>
      </c>
    </row>
    <row r="8" spans="1:12" x14ac:dyDescent="0.25">
      <c r="A8" t="s">
        <v>1107</v>
      </c>
      <c r="B8" s="202" t="b">
        <v>1</v>
      </c>
      <c r="C8" s="202" t="b">
        <v>0</v>
      </c>
      <c r="D8" s="203" t="str">
        <f>EUconst_NA</f>
        <v>Ej tillämpligt</v>
      </c>
    </row>
    <row r="9" spans="1:12" x14ac:dyDescent="0.25">
      <c r="A9" t="s">
        <v>50</v>
      </c>
      <c r="B9" s="202" t="str">
        <f>Translations!$B$1107</f>
        <v>Absoluta värden</v>
      </c>
      <c r="C9" s="202" t="str">
        <f>Translations!$B$1108</f>
        <v>Procentvärden</v>
      </c>
    </row>
    <row r="10" spans="1:12" x14ac:dyDescent="0.25">
      <c r="A10" s="344" t="s">
        <v>1972</v>
      </c>
      <c r="B10" s="7" t="str">
        <f>Translations!$B$1335</f>
        <v>Länk till referensdatarapport med NIMs-data</v>
      </c>
      <c r="C10" s="7" t="str">
        <f>Translations!$B$1604</f>
        <v>Manuell inmatning</v>
      </c>
    </row>
    <row r="11" spans="1:12" x14ac:dyDescent="0.25">
      <c r="A11" t="s">
        <v>306</v>
      </c>
      <c r="B11" s="202" t="str">
        <f>Translations!$B$1109</f>
        <v>Ej tillämpligt</v>
      </c>
    </row>
    <row r="12" spans="1:12" x14ac:dyDescent="0.25">
      <c r="A12" t="s">
        <v>96</v>
      </c>
      <c r="B12" s="202" t="str">
        <f>Translations!$B$1110</f>
        <v>EUA</v>
      </c>
    </row>
    <row r="13" spans="1:12" x14ac:dyDescent="0.25">
      <c r="A13" t="s">
        <v>507</v>
      </c>
      <c r="B13" s="202" t="str">
        <f>Translations!$B$1014</f>
        <v>Enhet</v>
      </c>
    </row>
    <row r="14" spans="1:12" x14ac:dyDescent="0.25">
      <c r="A14" t="s">
        <v>489</v>
      </c>
      <c r="B14" s="202" t="str">
        <f>Translations!$B$1111</f>
        <v>Månad</v>
      </c>
    </row>
    <row r="15" spans="1:12" x14ac:dyDescent="0.25">
      <c r="A15" t="s">
        <v>979</v>
      </c>
      <c r="B15" s="202" t="str">
        <f>Translations!$B$1112</f>
        <v>Bränsle</v>
      </c>
    </row>
    <row r="16" spans="1:12" x14ac:dyDescent="0.25">
      <c r="A16" t="s">
        <v>138</v>
      </c>
      <c r="B16" s="202" t="str">
        <f>Translations!$B$1113</f>
        <v>Riktmärke</v>
      </c>
    </row>
    <row r="17" spans="1:2" x14ac:dyDescent="0.25">
      <c r="A17" t="s">
        <v>492</v>
      </c>
      <c r="B17" s="202" t="str">
        <f>Translations!$B$1114</f>
        <v>Delanläggning med produktriktmärke</v>
      </c>
    </row>
    <row r="18" spans="1:2" x14ac:dyDescent="0.25">
      <c r="A18" t="s">
        <v>120</v>
      </c>
      <c r="B18" s="202" t="str">
        <f>Translations!$B$1115</f>
        <v>”Fall-back”-delanläggning</v>
      </c>
    </row>
    <row r="19" spans="1:2" x14ac:dyDescent="0.25">
      <c r="A19" t="s">
        <v>901</v>
      </c>
      <c r="B19" s="202" t="str">
        <f>Translations!$B$1116</f>
        <v>år</v>
      </c>
    </row>
    <row r="20" spans="1:2" x14ac:dyDescent="0.25">
      <c r="A20" t="s">
        <v>903</v>
      </c>
      <c r="B20" s="202" t="str">
        <f>Translations!$B$1117</f>
        <v>ton</v>
      </c>
    </row>
    <row r="21" spans="1:2" x14ac:dyDescent="0.25">
      <c r="A21" t="s">
        <v>319</v>
      </c>
      <c r="B21" s="202" t="s">
        <v>317</v>
      </c>
    </row>
    <row r="22" spans="1:2" x14ac:dyDescent="0.25">
      <c r="A22" t="s">
        <v>508</v>
      </c>
      <c r="B22" s="202" t="s">
        <v>509</v>
      </c>
    </row>
    <row r="23" spans="1:2" x14ac:dyDescent="0.25">
      <c r="A23" t="s">
        <v>320</v>
      </c>
      <c r="B23" s="202" t="s">
        <v>318</v>
      </c>
    </row>
    <row r="24" spans="1:2" x14ac:dyDescent="0.25">
      <c r="A24" t="s">
        <v>514</v>
      </c>
      <c r="B24" s="202" t="s">
        <v>515</v>
      </c>
    </row>
    <row r="25" spans="1:2" x14ac:dyDescent="0.25">
      <c r="A25" t="s">
        <v>516</v>
      </c>
      <c r="B25" s="202" t="s">
        <v>517</v>
      </c>
    </row>
    <row r="26" spans="1:2" x14ac:dyDescent="0.25">
      <c r="A26" t="s">
        <v>154</v>
      </c>
      <c r="B26" s="202" t="str">
        <f>EUconst_TJ&amp;" / "&amp;EUconst_Year</f>
        <v>TJ / år</v>
      </c>
    </row>
    <row r="27" spans="1:2" x14ac:dyDescent="0.25">
      <c r="A27" t="s">
        <v>510</v>
      </c>
      <c r="B27" s="202" t="s">
        <v>511</v>
      </c>
    </row>
    <row r="28" spans="1:2" x14ac:dyDescent="0.25">
      <c r="A28" t="s">
        <v>148</v>
      </c>
      <c r="B28" s="202" t="str">
        <f>EUconst_MWh&amp;" / "&amp;EUconst_Year</f>
        <v>MWh / år</v>
      </c>
    </row>
    <row r="29" spans="1:2" x14ac:dyDescent="0.25">
      <c r="A29" t="s">
        <v>512</v>
      </c>
      <c r="B29" s="202" t="s">
        <v>513</v>
      </c>
    </row>
    <row r="30" spans="1:2" x14ac:dyDescent="0.25">
      <c r="A30" t="s">
        <v>149</v>
      </c>
      <c r="B30" s="202" t="str">
        <f>EUconst_t&amp;" / "&amp;EUconst_Year</f>
        <v>t / år</v>
      </c>
    </row>
    <row r="31" spans="1:2" x14ac:dyDescent="0.25">
      <c r="A31" t="s">
        <v>98</v>
      </c>
      <c r="B31" s="202" t="str">
        <f>EUconst_EUA&amp;" / "&amp;EUconst_Year</f>
        <v>EUA / år</v>
      </c>
    </row>
    <row r="32" spans="1:2" x14ac:dyDescent="0.25">
      <c r="A32" t="s">
        <v>99</v>
      </c>
      <c r="B32" s="202" t="str">
        <f>EUconst_EUA&amp;" / "&amp;EUconst_t</f>
        <v>EUA / t</v>
      </c>
    </row>
    <row r="33" spans="1:5" x14ac:dyDescent="0.25">
      <c r="A33" t="s">
        <v>150</v>
      </c>
      <c r="B33" s="202" t="str">
        <f>EUconst_GJ&amp;" / "&amp;EUconst_t</f>
        <v>GJ / t</v>
      </c>
    </row>
    <row r="34" spans="1:5" x14ac:dyDescent="0.25">
      <c r="A34" t="s">
        <v>982</v>
      </c>
      <c r="B34" s="202" t="str">
        <f>EUconst_GJ&amp;" / "&amp;EUconst_Year</f>
        <v>GJ / år</v>
      </c>
    </row>
    <row r="35" spans="1:5" x14ac:dyDescent="0.25">
      <c r="A35" t="s">
        <v>151</v>
      </c>
      <c r="B35" s="202" t="str">
        <f>EUconst_tCO2&amp;" / "&amp;EUconst_TJ</f>
        <v>t CO2 / TJ</v>
      </c>
    </row>
    <row r="36" spans="1:5" x14ac:dyDescent="0.25">
      <c r="A36" t="s">
        <v>152</v>
      </c>
      <c r="B36" s="202" t="str">
        <f>EUconst_tCO2&amp;" / "&amp;EUconst_Year</f>
        <v>t CO2 / år</v>
      </c>
    </row>
    <row r="37" spans="1:5" x14ac:dyDescent="0.25">
      <c r="A37" t="s">
        <v>153</v>
      </c>
      <c r="B37" s="202" t="str">
        <f>EUconst_tCO2&amp;" / "&amp;EUconst_t</f>
        <v>t CO2 / t</v>
      </c>
    </row>
    <row r="38" spans="1:5" x14ac:dyDescent="0.25">
      <c r="A38" t="s">
        <v>155</v>
      </c>
      <c r="B38" s="202" t="str">
        <f>EUconst_tN2O&amp;" / "&amp;EUconst_Year</f>
        <v>t N2O / år</v>
      </c>
    </row>
    <row r="39" spans="1:5" x14ac:dyDescent="0.25">
      <c r="A39" t="s">
        <v>156</v>
      </c>
      <c r="B39" s="202" t="s">
        <v>1016</v>
      </c>
    </row>
    <row r="40" spans="1:5" x14ac:dyDescent="0.25">
      <c r="A40" t="s">
        <v>157</v>
      </c>
      <c r="B40" s="202" t="str">
        <f>EUconst_tCO2e&amp;"/"&amp;EUconst_Year</f>
        <v>t CO2e/år</v>
      </c>
    </row>
    <row r="41" spans="1:5" x14ac:dyDescent="0.25">
      <c r="A41" t="s">
        <v>158</v>
      </c>
      <c r="B41" s="202" t="str">
        <f>EUconst_tCO2e&amp;"/"&amp;EUconst_t</f>
        <v>t CO2e/t</v>
      </c>
    </row>
    <row r="42" spans="1:5" x14ac:dyDescent="0.25">
      <c r="A42" t="s">
        <v>518</v>
      </c>
      <c r="B42" s="202" t="str">
        <f>Translations!$B$1118</f>
        <v>eller</v>
      </c>
    </row>
    <row r="43" spans="1:5" x14ac:dyDescent="0.25">
      <c r="A43" t="s">
        <v>159</v>
      </c>
      <c r="B43" s="202" t="str">
        <f>"% "&amp;EUconst_Or&amp;" "&amp;EUconst_TJpa</f>
        <v>% eller TJ / år</v>
      </c>
    </row>
    <row r="44" spans="1:5" x14ac:dyDescent="0.25">
      <c r="A44" t="s">
        <v>160</v>
      </c>
      <c r="B44" s="202" t="str">
        <f>"% "&amp;EUconst_Or&amp;" "&amp;EUconst_MWhpa</f>
        <v>% eller MWh / år</v>
      </c>
    </row>
    <row r="45" spans="1:5" x14ac:dyDescent="0.25">
      <c r="A45" t="s">
        <v>161</v>
      </c>
      <c r="B45" s="202" t="str">
        <f>"% "&amp;EUconst_Or&amp;" "&amp;EUconst_tCO2pa</f>
        <v>% eller t CO2 / år</v>
      </c>
    </row>
    <row r="46" spans="1:5" x14ac:dyDescent="0.25">
      <c r="A46" t="s">
        <v>580</v>
      </c>
      <c r="B46" s="202" t="str">
        <f>Translations!$B$186</f>
        <v>Anläggning inom ETS-systemet</v>
      </c>
      <c r="C46" s="202" t="str">
        <f>Translations!$B$187</f>
        <v>Anläggning utanför ETS-systemet</v>
      </c>
      <c r="D46" s="202" t="str">
        <f>Translations!$B$188</f>
        <v>Anläggning som producerar salpetersyra</v>
      </c>
      <c r="E46" s="202" t="str">
        <f>Translations!$B$189</f>
        <v>Värmedistributionsnät</v>
      </c>
    </row>
    <row r="47" spans="1:5" x14ac:dyDescent="0.25">
      <c r="A47" t="s">
        <v>581</v>
      </c>
      <c r="B47" s="202" t="str">
        <f>Translations!$B$195</f>
        <v>Mätbar värme</v>
      </c>
      <c r="C47" s="202" t="str">
        <f>Translations!$B$196</f>
        <v>Restgaser</v>
      </c>
      <c r="D47" s="7" t="str">
        <f>Translations!$B$1119</f>
        <v>överförd koldioxid</v>
      </c>
      <c r="E47" s="7" t="str">
        <f>Translations!$B$1120</f>
        <v>Mellanprodukter</v>
      </c>
    </row>
    <row r="48" spans="1:5" x14ac:dyDescent="0.25">
      <c r="A48" t="s">
        <v>1164</v>
      </c>
      <c r="B48" s="202" t="str">
        <f>Translations!$B$1121</f>
        <v>Värme</v>
      </c>
      <c r="C48" s="202" t="str">
        <f>Translations!$B$196</f>
        <v>Restgaser</v>
      </c>
      <c r="D48" s="202" t="s">
        <v>1166</v>
      </c>
      <c r="E48" s="7" t="str">
        <f>Translations!$B$1605</f>
        <v>Riktmärkesprodukter</v>
      </c>
    </row>
    <row r="49" spans="1:10" x14ac:dyDescent="0.25">
      <c r="A49" t="s">
        <v>1161</v>
      </c>
      <c r="B49" s="2" t="str">
        <f>Translations!$B$1122</f>
        <v>Import</v>
      </c>
      <c r="C49" s="2" t="str">
        <f>Translations!$B$1123</f>
        <v>Export</v>
      </c>
    </row>
    <row r="50" spans="1:10" x14ac:dyDescent="0.25">
      <c r="A50" t="s">
        <v>531</v>
      </c>
      <c r="B50" s="202" t="str">
        <f>Translations!$B$1124</f>
        <v>Inom anläggningen</v>
      </c>
    </row>
    <row r="51" spans="1:10" x14ac:dyDescent="0.25">
      <c r="A51" t="s">
        <v>534</v>
      </c>
      <c r="B51" s="202" t="str">
        <f>Translations!$B$1125</f>
        <v>Produktion av varor</v>
      </c>
      <c r="C51" s="202" t="str">
        <f>Translations!$B$1126</f>
        <v>mekanisk energi</v>
      </c>
      <c r="D51" s="202" t="str">
        <f>Translations!$B$1127</f>
        <v>uppvärmning</v>
      </c>
      <c r="E51" s="202" t="str">
        <f>Translations!$B$1128</f>
        <v>kylning</v>
      </c>
      <c r="F51" s="202" t="str">
        <f>Translations!$B$1129</f>
        <v>okänt</v>
      </c>
    </row>
    <row r="52" spans="1:10" x14ac:dyDescent="0.25">
      <c r="A52" t="s">
        <v>33</v>
      </c>
      <c r="B52" s="202" t="str">
        <f>Translations!$B$1125</f>
        <v>Produktion av varor</v>
      </c>
      <c r="C52" s="202" t="str">
        <f>Translations!$B$1126</f>
        <v>mekanisk energi</v>
      </c>
      <c r="D52" s="202" t="str">
        <f>Translations!$B$1127</f>
        <v>uppvärmning</v>
      </c>
      <c r="E52" s="202" t="str">
        <f>Translations!$B$1128</f>
        <v>kylning</v>
      </c>
    </row>
    <row r="53" spans="1:10" x14ac:dyDescent="0.25">
      <c r="A53" t="s">
        <v>1035</v>
      </c>
      <c r="B53" s="2" t="s">
        <v>1036</v>
      </c>
      <c r="C53" s="2" t="str">
        <f>Translations!$B$1130</f>
        <v>PFC</v>
      </c>
      <c r="D53" s="7" t="str">
        <f>Translations!$B$1131</f>
        <v>Koldioxid (restgaskorrigerad)</v>
      </c>
      <c r="E53" s="202" t="str">
        <f>Translations!$B$1132</f>
        <v>reduktion av metallföreningar</v>
      </c>
      <c r="F53" s="202" t="str">
        <f>Translations!$B$1133</f>
        <v>avskiljning av orenheter</v>
      </c>
      <c r="G53" s="202" t="str">
        <f>Translations!$B$1134</f>
        <v>sönderfall av karbonater</v>
      </c>
      <c r="H53" s="202" t="str">
        <f>Translations!$B$1135</f>
        <v>kemiska synteser</v>
      </c>
      <c r="I53" s="202" t="str">
        <f>Translations!$B$1136</f>
        <v>kol som innehåller material</v>
      </c>
      <c r="J53" s="202" t="str">
        <f>Translations!$B$1137</f>
        <v>reduktion av oxider av halvmetaller eller icke-metaller</v>
      </c>
    </row>
    <row r="54" spans="1:10" x14ac:dyDescent="0.25">
      <c r="A54" t="s">
        <v>997</v>
      </c>
      <c r="B54" s="664">
        <f>S304</f>
        <v>47.3</v>
      </c>
      <c r="C54" s="1"/>
    </row>
    <row r="55" spans="1:10" x14ac:dyDescent="0.25">
      <c r="A55" t="s">
        <v>998</v>
      </c>
      <c r="B55" s="2">
        <v>0.376</v>
      </c>
      <c r="C55" s="1"/>
    </row>
    <row r="56" spans="1:10" x14ac:dyDescent="0.25">
      <c r="A56" t="s">
        <v>1023</v>
      </c>
      <c r="B56" s="664">
        <f>S307</f>
        <v>42.6</v>
      </c>
      <c r="C56" s="1"/>
    </row>
    <row r="57" spans="1:10" x14ac:dyDescent="0.25">
      <c r="A57" t="s">
        <v>1521</v>
      </c>
      <c r="B57" s="606">
        <v>2E-3</v>
      </c>
      <c r="C57" s="606">
        <v>1.6E-2</v>
      </c>
    </row>
    <row r="58" spans="1:10" x14ac:dyDescent="0.25">
      <c r="A58" t="s">
        <v>713</v>
      </c>
      <c r="B58" s="2" t="str">
        <f>Translations!$B$1138</f>
        <v>relevant</v>
      </c>
      <c r="C58" s="1"/>
    </row>
    <row r="59" spans="1:10" x14ac:dyDescent="0.25">
      <c r="A59" t="s">
        <v>714</v>
      </c>
      <c r="B59" s="2" t="str">
        <f>Translations!$B$1139</f>
        <v>inte relevant</v>
      </c>
      <c r="C59" s="1"/>
    </row>
    <row r="60" spans="1:10" x14ac:dyDescent="0.25">
      <c r="A60" t="s">
        <v>1148</v>
      </c>
      <c r="B60" s="2" t="str">
        <f>EUconst_Relevant</f>
        <v>relevant</v>
      </c>
      <c r="C60" s="2" t="str">
        <f>EUconst_NotRelevant</f>
        <v>inte relevant</v>
      </c>
    </row>
    <row r="61" spans="1:10" x14ac:dyDescent="0.25">
      <c r="A61" t="s">
        <v>1151</v>
      </c>
      <c r="B61" s="2" t="str">
        <f>Translations!$B$1140</f>
        <v>Koldioxidläckage</v>
      </c>
      <c r="C61" s="2" t="str">
        <f>Translations!$B$1141</f>
        <v>ingen risk för koldioxidläckage</v>
      </c>
    </row>
    <row r="62" spans="1:10" x14ac:dyDescent="0.25">
      <c r="A62" t="s">
        <v>721</v>
      </c>
      <c r="B62" s="2" t="str">
        <f>"1000Nm3/"&amp;EUconst_Year</f>
        <v>1000Nm3/år</v>
      </c>
      <c r="C62" s="1"/>
    </row>
    <row r="63" spans="1:10" x14ac:dyDescent="0.25">
      <c r="A63" t="s">
        <v>722</v>
      </c>
      <c r="B63" s="2" t="str">
        <f>EUconst_tpa</f>
        <v>t / år</v>
      </c>
      <c r="C63" s="2" t="str">
        <f>B62</f>
        <v>1000Nm3/år</v>
      </c>
    </row>
    <row r="64" spans="1:10" x14ac:dyDescent="0.25">
      <c r="A64" t="s">
        <v>725</v>
      </c>
      <c r="B64" s="2" t="str">
        <f>EUconst_GJpt</f>
        <v>GJ / t</v>
      </c>
      <c r="C64" s="2" t="str">
        <f>Translations!$B$1142</f>
        <v>GJ/1000 Nm3</v>
      </c>
    </row>
    <row r="65" spans="1:4" x14ac:dyDescent="0.25">
      <c r="A65" t="s">
        <v>41</v>
      </c>
      <c r="B65" s="2" t="str">
        <f>EUconst_tCO2pTJ</f>
        <v>t CO2 / TJ</v>
      </c>
      <c r="C65" s="2" t="str">
        <f>B66</f>
        <v>t CO2/1000Nm3</v>
      </c>
      <c r="D65" s="202" t="str">
        <f>EUconst_tCO2pt</f>
        <v>t CO2 / t</v>
      </c>
    </row>
    <row r="66" spans="1:4" x14ac:dyDescent="0.25">
      <c r="A66" t="s">
        <v>1073</v>
      </c>
      <c r="B66" s="2" t="str">
        <f>EUconst_tCO2 &amp; "/1000Nm3"</f>
        <v>t CO2/1000Nm3</v>
      </c>
      <c r="C66" s="2"/>
      <c r="D66" s="202"/>
    </row>
    <row r="67" spans="1:4" x14ac:dyDescent="0.25">
      <c r="A67" t="s">
        <v>727</v>
      </c>
      <c r="B67" s="2" t="str">
        <f>EUconst_GJ&amp;" / "&amp;EUconst_Unit</f>
        <v>GJ / Enhet</v>
      </c>
      <c r="C67" s="1"/>
    </row>
    <row r="68" spans="1:4" x14ac:dyDescent="0.25">
      <c r="A68" t="s">
        <v>939</v>
      </c>
      <c r="B68" s="2" t="str">
        <f>"MNm3/"&amp;EUconst_Year</f>
        <v>MNm3/år</v>
      </c>
      <c r="C68" s="1"/>
    </row>
    <row r="69" spans="1:4" x14ac:dyDescent="0.25">
      <c r="A69" t="s">
        <v>466</v>
      </c>
      <c r="B69" s="2" t="str">
        <f>"CWT / "&amp;EUconst_Year</f>
        <v>CWT / år</v>
      </c>
      <c r="C69" s="1"/>
    </row>
    <row r="70" spans="1:4" x14ac:dyDescent="0.25">
      <c r="A70" t="s">
        <v>262</v>
      </c>
      <c r="B70" s="2" t="str">
        <f>Translations!$B$1143</f>
        <v>utsläppsrätter</v>
      </c>
      <c r="C70" s="1"/>
    </row>
    <row r="71" spans="1:4" x14ac:dyDescent="0.25">
      <c r="A71" t="s">
        <v>1170</v>
      </c>
      <c r="B71" s="2" t="str">
        <f>Translations!$B$1144</f>
        <v>Verksamhetsutövaren vid anläggningen bekräftar att anläggningen inte är berättigad till gratis tilldelning enligt artikel 10a i ETS-direktivet som befintlig anläggning.</v>
      </c>
    </row>
    <row r="72" spans="1:4" x14ac:dyDescent="0.25">
      <c r="A72" t="s">
        <v>1173</v>
      </c>
      <c r="B72" s="2" t="str">
        <f>Translations!$B$1145</f>
        <v>Verksamhetsutövaren vid anläggningen bekräftar att en ansökan om gratis tilldelning enligt artikel 10a i ETS-direktivet härmed är ifylld.</v>
      </c>
    </row>
    <row r="73" spans="1:4" x14ac:dyDescent="0.25">
      <c r="A73" t="s">
        <v>331</v>
      </c>
      <c r="B73" s="2" t="str">
        <f>Translations!$B$1146</f>
        <v>Verksamhetsutövaren vid anläggningen bekräftar att rapporten får användas av den behöriga myndigheten och Europeiska kommissionen.</v>
      </c>
    </row>
    <row r="74" spans="1:4" x14ac:dyDescent="0.25">
      <c r="A74" t="s">
        <v>425</v>
      </c>
      <c r="B74" s="2" t="s">
        <v>422</v>
      </c>
      <c r="C74" s="1"/>
    </row>
    <row r="75" spans="1:4" x14ac:dyDescent="0.25">
      <c r="A75" s="131" t="s">
        <v>1399</v>
      </c>
      <c r="B75" s="343" t="s">
        <v>1400</v>
      </c>
      <c r="C75" s="1"/>
    </row>
    <row r="76" spans="1:4" x14ac:dyDescent="0.25">
      <c r="A76" t="s">
        <v>426</v>
      </c>
      <c r="B76" s="2" t="s">
        <v>423</v>
      </c>
      <c r="C76" s="1"/>
    </row>
    <row r="77" spans="1:4" x14ac:dyDescent="0.25">
      <c r="A77" t="s">
        <v>427</v>
      </c>
      <c r="B77" s="2" t="s">
        <v>424</v>
      </c>
      <c r="C77" s="1"/>
    </row>
    <row r="78" spans="1:4" x14ac:dyDescent="0.25">
      <c r="A78" t="s">
        <v>428</v>
      </c>
      <c r="B78" s="2" t="s">
        <v>430</v>
      </c>
      <c r="C78" s="1"/>
    </row>
    <row r="79" spans="1:4" x14ac:dyDescent="0.25">
      <c r="A79" t="s">
        <v>429</v>
      </c>
      <c r="B79" s="2" t="s">
        <v>431</v>
      </c>
      <c r="C79" s="1"/>
    </row>
    <row r="80" spans="1:4" x14ac:dyDescent="0.25">
      <c r="A80" s="131" t="s">
        <v>1925</v>
      </c>
      <c r="B80" s="343" t="s">
        <v>1926</v>
      </c>
      <c r="C80" s="1"/>
    </row>
    <row r="81" spans="1:3" x14ac:dyDescent="0.25">
      <c r="A81" s="455" t="s">
        <v>1933</v>
      </c>
      <c r="B81" s="343" t="s">
        <v>1934</v>
      </c>
      <c r="C81" s="1"/>
    </row>
    <row r="82" spans="1:3" x14ac:dyDescent="0.25">
      <c r="A82" t="s">
        <v>595</v>
      </c>
      <c r="B82" s="2" t="s">
        <v>596</v>
      </c>
      <c r="C82" s="1"/>
    </row>
    <row r="83" spans="1:3" x14ac:dyDescent="0.25">
      <c r="A83" s="455" t="s">
        <v>1861</v>
      </c>
      <c r="B83" s="343" t="s">
        <v>1862</v>
      </c>
      <c r="C83" s="1"/>
    </row>
    <row r="84" spans="1:3" x14ac:dyDescent="0.25">
      <c r="A84" s="344" t="s">
        <v>1863</v>
      </c>
      <c r="B84" s="343" t="s">
        <v>1864</v>
      </c>
      <c r="C84" s="1"/>
    </row>
    <row r="85" spans="1:3" x14ac:dyDescent="0.25">
      <c r="A85" t="s">
        <v>132</v>
      </c>
      <c r="B85" s="2" t="s">
        <v>131</v>
      </c>
      <c r="C85" s="1"/>
    </row>
    <row r="86" spans="1:3" x14ac:dyDescent="0.25">
      <c r="A86" s="344" t="s">
        <v>1922</v>
      </c>
      <c r="B86" s="343" t="s">
        <v>1921</v>
      </c>
      <c r="C86" s="1"/>
    </row>
    <row r="87" spans="1:3" x14ac:dyDescent="0.25">
      <c r="A87" s="344" t="s">
        <v>1939</v>
      </c>
      <c r="B87" s="343" t="s">
        <v>1940</v>
      </c>
      <c r="C87" s="1"/>
    </row>
    <row r="88" spans="1:3" x14ac:dyDescent="0.25">
      <c r="A88" t="s">
        <v>597</v>
      </c>
      <c r="B88" s="2" t="s">
        <v>598</v>
      </c>
      <c r="C88" s="1"/>
    </row>
    <row r="89" spans="1:3" x14ac:dyDescent="0.25">
      <c r="A89" s="344" t="s">
        <v>1866</v>
      </c>
      <c r="B89" s="343" t="s">
        <v>1869</v>
      </c>
      <c r="C89" s="1"/>
    </row>
    <row r="90" spans="1:3" x14ac:dyDescent="0.25">
      <c r="A90" s="344" t="s">
        <v>1867</v>
      </c>
      <c r="B90" s="343" t="s">
        <v>1868</v>
      </c>
      <c r="C90" s="1"/>
    </row>
    <row r="91" spans="1:3" x14ac:dyDescent="0.25">
      <c r="A91" s="344" t="s">
        <v>1937</v>
      </c>
      <c r="B91" s="343" t="s">
        <v>1938</v>
      </c>
      <c r="C91" s="1"/>
    </row>
    <row r="92" spans="1:3" x14ac:dyDescent="0.25">
      <c r="A92" t="s">
        <v>227</v>
      </c>
      <c r="B92" s="2" t="s">
        <v>228</v>
      </c>
      <c r="C92" s="1"/>
    </row>
    <row r="93" spans="1:3" x14ac:dyDescent="0.25">
      <c r="A93" s="344" t="s">
        <v>1880</v>
      </c>
      <c r="B93" s="343" t="s">
        <v>1882</v>
      </c>
      <c r="C93" s="1"/>
    </row>
    <row r="94" spans="1:3" x14ac:dyDescent="0.25">
      <c r="A94" s="344" t="s">
        <v>1881</v>
      </c>
      <c r="B94" s="343" t="s">
        <v>1883</v>
      </c>
      <c r="C94" s="1"/>
    </row>
    <row r="95" spans="1:3" x14ac:dyDescent="0.25">
      <c r="A95" s="131" t="s">
        <v>1944</v>
      </c>
      <c r="B95" s="343" t="s">
        <v>1943</v>
      </c>
      <c r="C95" s="1"/>
    </row>
    <row r="96" spans="1:3" x14ac:dyDescent="0.25">
      <c r="A96" t="s">
        <v>229</v>
      </c>
      <c r="B96" s="2" t="s">
        <v>230</v>
      </c>
      <c r="C96" s="1"/>
    </row>
    <row r="97" spans="1:3" x14ac:dyDescent="0.25">
      <c r="A97" s="131" t="s">
        <v>1928</v>
      </c>
      <c r="B97" s="343" t="s">
        <v>1930</v>
      </c>
      <c r="C97" s="1"/>
    </row>
    <row r="98" spans="1:3" x14ac:dyDescent="0.25">
      <c r="A98" s="131" t="s">
        <v>1929</v>
      </c>
      <c r="B98" s="343" t="s">
        <v>1931</v>
      </c>
      <c r="C98" s="1"/>
    </row>
    <row r="99" spans="1:3" x14ac:dyDescent="0.25">
      <c r="A99" s="344" t="s">
        <v>1941</v>
      </c>
      <c r="B99" s="343" t="s">
        <v>1942</v>
      </c>
      <c r="C99" s="1"/>
    </row>
    <row r="100" spans="1:3" x14ac:dyDescent="0.25">
      <c r="A100" t="s">
        <v>233</v>
      </c>
      <c r="B100" s="2" t="s">
        <v>234</v>
      </c>
      <c r="C100" s="1"/>
    </row>
    <row r="101" spans="1:3" x14ac:dyDescent="0.25">
      <c r="A101" s="344" t="s">
        <v>1885</v>
      </c>
      <c r="B101" s="343" t="s">
        <v>1887</v>
      </c>
      <c r="C101" s="1"/>
    </row>
    <row r="102" spans="1:3" x14ac:dyDescent="0.25">
      <c r="A102" s="344" t="s">
        <v>1886</v>
      </c>
      <c r="B102" s="343" t="s">
        <v>1888</v>
      </c>
      <c r="C102" s="1"/>
    </row>
    <row r="103" spans="1:3" x14ac:dyDescent="0.25">
      <c r="A103" t="s">
        <v>101</v>
      </c>
      <c r="B103" s="2" t="s">
        <v>102</v>
      </c>
      <c r="C103" s="1"/>
    </row>
    <row r="104" spans="1:3" x14ac:dyDescent="0.25">
      <c r="A104" s="344" t="s">
        <v>1998</v>
      </c>
      <c r="B104" s="343" t="s">
        <v>1999</v>
      </c>
      <c r="C104" s="1"/>
    </row>
    <row r="105" spans="1:3" x14ac:dyDescent="0.25">
      <c r="A105" s="344" t="s">
        <v>1909</v>
      </c>
      <c r="B105" s="343" t="s">
        <v>1908</v>
      </c>
      <c r="C105" s="1"/>
    </row>
    <row r="106" spans="1:3" x14ac:dyDescent="0.25">
      <c r="A106" s="344" t="s">
        <v>1910</v>
      </c>
      <c r="B106" s="343" t="s">
        <v>1911</v>
      </c>
      <c r="C106" s="1"/>
    </row>
    <row r="107" spans="1:3" x14ac:dyDescent="0.25">
      <c r="A107" t="s">
        <v>1131</v>
      </c>
      <c r="B107" s="2" t="s">
        <v>1132</v>
      </c>
      <c r="C107" s="1"/>
    </row>
    <row r="108" spans="1:3" x14ac:dyDescent="0.25">
      <c r="A108" s="455" t="s">
        <v>1935</v>
      </c>
      <c r="B108" s="2" t="s">
        <v>1936</v>
      </c>
      <c r="C108" s="1"/>
    </row>
    <row r="109" spans="1:3" x14ac:dyDescent="0.25">
      <c r="A109" t="s">
        <v>1307</v>
      </c>
      <c r="B109" s="343" t="s">
        <v>1308</v>
      </c>
      <c r="C109" s="1"/>
    </row>
    <row r="110" spans="1:3" x14ac:dyDescent="0.25">
      <c r="A110" t="s">
        <v>754</v>
      </c>
      <c r="B110" s="2" t="str">
        <f>Translations!$B$1147</f>
        <v>ofullständigt!</v>
      </c>
      <c r="C110" s="1"/>
    </row>
    <row r="111" spans="1:3" x14ac:dyDescent="0.25">
      <c r="A111" t="s">
        <v>420</v>
      </c>
      <c r="B111" s="2" t="str">
        <f>Translations!$B$1148</f>
        <v>negativt!</v>
      </c>
      <c r="C111" s="1"/>
    </row>
    <row r="112" spans="1:3" x14ac:dyDescent="0.25">
      <c r="A112" t="s">
        <v>1071</v>
      </c>
      <c r="B112" s="2" t="str">
        <f>Translations!$B$1149</f>
        <v>inkonsekvent!</v>
      </c>
      <c r="C112" s="1"/>
    </row>
    <row r="113" spans="1:32" x14ac:dyDescent="0.25">
      <c r="A113" t="s">
        <v>783</v>
      </c>
      <c r="B113" s="202" t="str">
        <f>Translations!$B$1150</f>
        <v>OK</v>
      </c>
    </row>
    <row r="114" spans="1:32" x14ac:dyDescent="0.25">
      <c r="A114" t="s">
        <v>497</v>
      </c>
      <c r="B114" s="202" t="str">
        <f>Translations!$B$1151</f>
        <v>Datum saknas!</v>
      </c>
    </row>
    <row r="115" spans="1:32" x14ac:dyDescent="0.25">
      <c r="A115" t="s">
        <v>625</v>
      </c>
      <c r="B115" s="7" t="str">
        <f>Translations!$B$1612</f>
        <v>A.IV.1.f!</v>
      </c>
    </row>
    <row r="116" spans="1:32" x14ac:dyDescent="0.25">
      <c r="A116" t="s">
        <v>814</v>
      </c>
      <c r="B116" s="2" t="str">
        <f>Translations!$B$1152</f>
        <v>mätbar värme utanför ETS</v>
      </c>
      <c r="C116" s="1"/>
    </row>
    <row r="117" spans="1:32" x14ac:dyDescent="0.25">
      <c r="A117" t="s">
        <v>853</v>
      </c>
      <c r="B117" s="2" t="str">
        <f>Translations!$B$1153</f>
        <v>Österrike</v>
      </c>
      <c r="C117" s="2" t="str">
        <f>Translations!$B$1154</f>
        <v>Belgien</v>
      </c>
      <c r="D117" s="202" t="str">
        <f>Translations!$B$1155</f>
        <v>Bulgarien</v>
      </c>
      <c r="E117" s="202" t="str">
        <f>Translations!$B$1156</f>
        <v>Cypern</v>
      </c>
      <c r="F117" s="410" t="str">
        <f>Translations!$B$1157</f>
        <v>Kroatien</v>
      </c>
      <c r="G117" s="202" t="str">
        <f>Translations!$B$1158</f>
        <v>Tjeckien</v>
      </c>
      <c r="H117" s="202" t="str">
        <f>Translations!$B$1159</f>
        <v>Danmark</v>
      </c>
      <c r="I117" s="202" t="str">
        <f>Translations!$B$1160</f>
        <v>Estland</v>
      </c>
      <c r="J117" s="202" t="str">
        <f>Translations!$B$1161</f>
        <v>Finland</v>
      </c>
      <c r="K117" s="202" t="str">
        <f>Translations!$B$1162</f>
        <v>Frankrike</v>
      </c>
      <c r="L117" s="202" t="str">
        <f>Translations!$B$1163</f>
        <v>Tyskland</v>
      </c>
      <c r="M117" s="202" t="str">
        <f>Translations!$B$1164</f>
        <v>Grekland</v>
      </c>
      <c r="N117" s="202" t="str">
        <f>Translations!$B$1165</f>
        <v>Ungern</v>
      </c>
      <c r="O117" s="202" t="str">
        <f>Translations!$B$1166</f>
        <v>Island</v>
      </c>
      <c r="P117" s="202" t="str">
        <f>Translations!$B$1167</f>
        <v>Irland</v>
      </c>
      <c r="Q117" s="202" t="str">
        <f>Translations!$B$1168</f>
        <v>Italien</v>
      </c>
      <c r="R117" s="202" t="str">
        <f>Translations!$B$1169</f>
        <v>Lettland</v>
      </c>
      <c r="S117" s="202" t="str">
        <f>Translations!$B$1170</f>
        <v>Liechtenstein</v>
      </c>
      <c r="T117" s="202" t="str">
        <f>Translations!$B$1171</f>
        <v>Litauen</v>
      </c>
      <c r="U117" s="202" t="str">
        <f>Translations!$B$1172</f>
        <v>Luxemburg</v>
      </c>
      <c r="V117" s="202" t="str">
        <f>Translations!$B$1173</f>
        <v>Malta</v>
      </c>
      <c r="W117" s="202" t="str">
        <f>Translations!$B$1174</f>
        <v>Nederländerna</v>
      </c>
      <c r="X117" s="202" t="str">
        <f>Translations!$B$1175</f>
        <v>Norge</v>
      </c>
      <c r="Y117" s="202" t="str">
        <f>Translations!$B$1176</f>
        <v>Polen</v>
      </c>
      <c r="Z117" s="202" t="str">
        <f>Translations!$B$1177</f>
        <v>Portugal</v>
      </c>
      <c r="AA117" s="202" t="str">
        <f>Translations!$B$1178</f>
        <v>Rumänien</v>
      </c>
      <c r="AB117" s="202" t="str">
        <f>Translations!$B$1179</f>
        <v>Slovakien</v>
      </c>
      <c r="AC117" s="202" t="str">
        <f>Translations!$B$1180</f>
        <v>Slovenien</v>
      </c>
      <c r="AD117" s="202" t="str">
        <f>Translations!$B$1181</f>
        <v>Spanien</v>
      </c>
      <c r="AE117" s="202" t="str">
        <f>Translations!$B$1182</f>
        <v>Sverige</v>
      </c>
      <c r="AF117" s="202" t="str">
        <f>Translations!$B$1183</f>
        <v>Storbritannien</v>
      </c>
    </row>
    <row r="118" spans="1:32" x14ac:dyDescent="0.25">
      <c r="A118" t="s">
        <v>854</v>
      </c>
      <c r="B118" s="2" t="s">
        <v>376</v>
      </c>
      <c r="C118" s="2" t="s">
        <v>377</v>
      </c>
      <c r="D118" s="202" t="s">
        <v>378</v>
      </c>
      <c r="E118" s="202" t="s">
        <v>379</v>
      </c>
      <c r="F118" s="410" t="s">
        <v>1230</v>
      </c>
      <c r="G118" s="202" t="s">
        <v>380</v>
      </c>
      <c r="H118" s="202" t="s">
        <v>381</v>
      </c>
      <c r="I118" s="202" t="s">
        <v>382</v>
      </c>
      <c r="J118" s="202" t="s">
        <v>383</v>
      </c>
      <c r="K118" s="202" t="s">
        <v>384</v>
      </c>
      <c r="L118" s="202" t="s">
        <v>385</v>
      </c>
      <c r="M118" s="202" t="s">
        <v>386</v>
      </c>
      <c r="N118" s="202" t="s">
        <v>387</v>
      </c>
      <c r="O118" s="202" t="s">
        <v>942</v>
      </c>
      <c r="P118" s="202" t="s">
        <v>388</v>
      </c>
      <c r="Q118" s="202" t="s">
        <v>389</v>
      </c>
      <c r="R118" s="202" t="s">
        <v>390</v>
      </c>
      <c r="S118" s="202" t="s">
        <v>943</v>
      </c>
      <c r="T118" s="202" t="s">
        <v>391</v>
      </c>
      <c r="U118" s="202" t="s">
        <v>392</v>
      </c>
      <c r="V118" s="202" t="s">
        <v>393</v>
      </c>
      <c r="W118" s="202" t="s">
        <v>394</v>
      </c>
      <c r="X118" s="202" t="s">
        <v>944</v>
      </c>
      <c r="Y118" s="202" t="s">
        <v>395</v>
      </c>
      <c r="Z118" s="202" t="s">
        <v>396</v>
      </c>
      <c r="AA118" s="202" t="s">
        <v>397</v>
      </c>
      <c r="AB118" s="202" t="s">
        <v>398</v>
      </c>
      <c r="AC118" s="202" t="s">
        <v>399</v>
      </c>
      <c r="AD118" s="202" t="s">
        <v>400</v>
      </c>
      <c r="AE118" s="202" t="s">
        <v>401</v>
      </c>
      <c r="AF118" s="202" t="s">
        <v>402</v>
      </c>
    </row>
    <row r="119" spans="1:32" x14ac:dyDescent="0.25">
      <c r="A119" s="455" t="s">
        <v>1413</v>
      </c>
      <c r="B119" s="2" t="s">
        <v>376</v>
      </c>
      <c r="C119" s="2" t="s">
        <v>377</v>
      </c>
      <c r="D119" s="2" t="s">
        <v>378</v>
      </c>
      <c r="E119" s="2" t="s">
        <v>379</v>
      </c>
      <c r="F119" s="2" t="s">
        <v>1230</v>
      </c>
      <c r="G119" s="2" t="s">
        <v>380</v>
      </c>
      <c r="H119" s="2" t="s">
        <v>381</v>
      </c>
      <c r="I119" s="2" t="s">
        <v>382</v>
      </c>
      <c r="J119" s="2" t="s">
        <v>383</v>
      </c>
      <c r="K119" s="2" t="s">
        <v>384</v>
      </c>
      <c r="L119" s="2" t="s">
        <v>385</v>
      </c>
      <c r="M119" s="2" t="s">
        <v>1412</v>
      </c>
      <c r="N119" s="2" t="s">
        <v>387</v>
      </c>
      <c r="O119" s="2" t="s">
        <v>942</v>
      </c>
      <c r="P119" s="2" t="s">
        <v>388</v>
      </c>
      <c r="Q119" s="2" t="s">
        <v>389</v>
      </c>
      <c r="R119" s="2" t="s">
        <v>390</v>
      </c>
      <c r="S119" s="2" t="s">
        <v>943</v>
      </c>
      <c r="T119" s="2" t="s">
        <v>391</v>
      </c>
      <c r="U119" s="2" t="s">
        <v>392</v>
      </c>
      <c r="V119" s="2" t="s">
        <v>393</v>
      </c>
      <c r="W119" s="2" t="s">
        <v>394</v>
      </c>
      <c r="X119" s="2" t="s">
        <v>944</v>
      </c>
      <c r="Y119" s="2" t="s">
        <v>395</v>
      </c>
      <c r="Z119" s="2" t="s">
        <v>396</v>
      </c>
      <c r="AA119" s="2" t="s">
        <v>397</v>
      </c>
      <c r="AB119" s="2" t="s">
        <v>398</v>
      </c>
      <c r="AC119" s="2" t="s">
        <v>399</v>
      </c>
      <c r="AD119" s="2" t="s">
        <v>400</v>
      </c>
      <c r="AE119" s="2" t="s">
        <v>401</v>
      </c>
      <c r="AF119" s="2" t="s">
        <v>1411</v>
      </c>
    </row>
    <row r="120" spans="1:32" x14ac:dyDescent="0.25">
      <c r="A120" t="s">
        <v>965</v>
      </c>
      <c r="B120" s="343" t="str">
        <f>Translations!$B$1184</f>
        <v>Frågorna a, b och d måste besvaras!</v>
      </c>
      <c r="C120" s="1"/>
    </row>
    <row r="121" spans="1:32" x14ac:dyDescent="0.25">
      <c r="A121" t="s">
        <v>763</v>
      </c>
      <c r="B121" s="343" t="str">
        <f>Translations!$B$1606</f>
        <v>Fråga e) eller f) måste besvaras!</v>
      </c>
      <c r="C121" s="1"/>
    </row>
    <row r="122" spans="1:32" x14ac:dyDescent="0.25">
      <c r="A122" t="s">
        <v>964</v>
      </c>
      <c r="B122" s="343" t="str">
        <f>Translations!$B$1607</f>
        <v>Fråga A.IV.1.g måste besvaras!</v>
      </c>
      <c r="C122" s="1"/>
    </row>
    <row r="123" spans="1:32" x14ac:dyDescent="0.25">
      <c r="A123" t="s">
        <v>967</v>
      </c>
      <c r="B123" s="2" t="str">
        <f>Translations!$B$1185</f>
        <v>Minst ett delanläggningsnamn har angetts mer än en gång. Var god korrigera!</v>
      </c>
      <c r="C123" s="1"/>
    </row>
    <row r="124" spans="1:32" x14ac:dyDescent="0.25">
      <c r="A124" t="s">
        <v>968</v>
      </c>
      <c r="B124" s="343" t="str">
        <f>Translations!$B$1608</f>
        <v>Minst en delanläggning måste väljas!</v>
      </c>
      <c r="C124" s="1"/>
    </row>
    <row r="125" spans="1:32" x14ac:dyDescent="0.25">
      <c r="A125" t="s">
        <v>970</v>
      </c>
      <c r="B125" s="2" t="str">
        <f>Translations!$B$1186</f>
        <v>Var god ange för varje delanläggning oavsett om det är relevant eller inte!</v>
      </c>
      <c r="C125" s="1"/>
    </row>
    <row r="126" spans="1:32" x14ac:dyDescent="0.25">
      <c r="A126" t="s">
        <v>974</v>
      </c>
      <c r="B126" s="2" t="str">
        <f>Translations!$B$1187</f>
        <v>Var god ange uppgifter i punkterna b och c ovan!</v>
      </c>
      <c r="C126" s="1"/>
    </row>
    <row r="127" spans="1:32" x14ac:dyDescent="0.25">
      <c r="A127" t="s">
        <v>976</v>
      </c>
      <c r="B127" s="2" t="str">
        <f>Translations!$B$1188</f>
        <v>Var god ange utförliga uppgifter om bränsle-/materialmängd från och med avsnitt II nedan!</v>
      </c>
      <c r="C127" s="1"/>
    </row>
    <row r="128" spans="1:32" x14ac:dyDescent="0.25">
      <c r="A128" s="131" t="s">
        <v>978</v>
      </c>
      <c r="B128" s="2" t="str">
        <f>Translations!$B$1189</f>
        <v>Var god fortsätt med att ange utsläppstotaler i avsnitt D.1.2 i bladet ”D_Emissions”!</v>
      </c>
      <c r="C128" s="1"/>
    </row>
    <row r="129" spans="1:3" x14ac:dyDescent="0.25">
      <c r="A129" t="s">
        <v>475</v>
      </c>
      <c r="B129" s="2" t="str">
        <f>Translations!$B$1190</f>
        <v>Var god ange även uppgifter i avsnitt E.II.4!</v>
      </c>
      <c r="C129" s="1"/>
    </row>
    <row r="130" spans="1:3" x14ac:dyDescent="0.25">
      <c r="A130" t="s">
        <v>474</v>
      </c>
      <c r="B130" s="2" t="str">
        <f>Translations!$B$1191</f>
        <v>Var god ange även uppgifter i avsnitt D.II.3.a!</v>
      </c>
      <c r="C130" s="1"/>
    </row>
    <row r="131" spans="1:3" x14ac:dyDescent="0.25">
      <c r="A131" s="344" t="s">
        <v>1529</v>
      </c>
      <c r="B131" s="343" t="s">
        <v>1671</v>
      </c>
      <c r="C131" s="1"/>
    </row>
    <row r="132" spans="1:3" x14ac:dyDescent="0.25">
      <c r="A132" s="344" t="s">
        <v>2129</v>
      </c>
      <c r="B132" s="343" t="s">
        <v>2128</v>
      </c>
      <c r="C132" s="1"/>
    </row>
    <row r="133" spans="1:3" x14ac:dyDescent="0.25">
      <c r="A133" s="344" t="s">
        <v>2218</v>
      </c>
      <c r="B133" s="343" t="str">
        <f>Translations!$B$1609</f>
        <v>Översättningen från NIMs-filen misslyckades. Välj manuellt!</v>
      </c>
      <c r="C133" s="1"/>
    </row>
    <row r="134" spans="1:3" x14ac:dyDescent="0.25">
      <c r="A134" t="s">
        <v>1056</v>
      </c>
      <c r="B134" s="2" t="str">
        <f>Translations!$B$1192</f>
        <v xml:space="preserve">Utförliga anvisningar för datainmatning i detta verktyg finns i den första kopian av verktyget. </v>
      </c>
      <c r="C134" s="1"/>
    </row>
    <row r="135" spans="1:3" x14ac:dyDescent="0.25">
      <c r="A135" s="344" t="s">
        <v>1539</v>
      </c>
      <c r="B135" s="343" t="str">
        <f>Translations!$B$1193</f>
        <v>Tillskrivning av utsläpp till delanläggningar anges i det sammanfattande bladet.</v>
      </c>
      <c r="C135" s="1"/>
    </row>
    <row r="136" spans="1:3" x14ac:dyDescent="0.25">
      <c r="A136" t="s">
        <v>1058</v>
      </c>
      <c r="B136" s="2" t="str">
        <f>Translations!$B$1194</f>
        <v>Var god gå vidare till blad ”F_ProductBM”!</v>
      </c>
      <c r="C136" s="1"/>
    </row>
    <row r="137" spans="1:3" x14ac:dyDescent="0.25">
      <c r="A137" t="s">
        <v>1060</v>
      </c>
      <c r="B137" s="2" t="str">
        <f>Translations!$B$1195</f>
        <v>Var god gå vidare till avsnitt E.II.2</v>
      </c>
      <c r="C137" s="1"/>
    </row>
    <row r="138" spans="1:3" x14ac:dyDescent="0.25">
      <c r="A138" t="s">
        <v>1061</v>
      </c>
      <c r="B138" s="2" t="str">
        <f>Translations!$B$1196</f>
        <v>Var god gå till nästa punkt nedan</v>
      </c>
      <c r="C138" s="1"/>
    </row>
    <row r="139" spans="1:3" x14ac:dyDescent="0.25">
      <c r="A139" t="s">
        <v>483</v>
      </c>
      <c r="B139" s="2" t="str">
        <f>Translations!$B$1197</f>
        <v>Var god använd verktyget för utbytbar el nedan.</v>
      </c>
      <c r="C139" s="1"/>
    </row>
    <row r="140" spans="1:3" x14ac:dyDescent="0.25">
      <c r="A140" t="s">
        <v>486</v>
      </c>
      <c r="B140" s="2" t="str">
        <f>Translations!$B$1198</f>
        <v>Var god fortsätt till punkt d nedan.</v>
      </c>
      <c r="C140" s="1"/>
    </row>
    <row r="141" spans="1:3" x14ac:dyDescent="0.25">
      <c r="A141" t="s">
        <v>487</v>
      </c>
      <c r="B141" s="2" t="str">
        <f>Translations!$B$1199</f>
        <v>Om detta inte är relevant för er anläggning, fortsätt till nästa punkt.</v>
      </c>
      <c r="C141" s="1"/>
    </row>
    <row r="142" spans="1:3" x14ac:dyDescent="0.25">
      <c r="A142" t="s">
        <v>494</v>
      </c>
      <c r="B142" s="2" t="str">
        <f>Translations!$B$1200</f>
        <v>Datum måste anges i stigande ordning!</v>
      </c>
      <c r="C142" s="1"/>
    </row>
    <row r="143" spans="1:3" x14ac:dyDescent="0.25">
      <c r="A143" t="s">
        <v>837</v>
      </c>
      <c r="B143" s="2" t="str">
        <f>Translations!$B$1201</f>
        <v>Verksamhet saknas (A.I.4.a)!</v>
      </c>
      <c r="C143" s="1"/>
    </row>
    <row r="144" spans="1:3" x14ac:dyDescent="0.25">
      <c r="A144" s="131" t="s">
        <v>121</v>
      </c>
      <c r="B144" s="2" t="str">
        <f>Translations!$B$1202</f>
        <v>Var god fyll i uppgifter i detta avsnitt!</v>
      </c>
      <c r="C144" s="1"/>
    </row>
    <row r="145" spans="1:16" x14ac:dyDescent="0.25">
      <c r="A145" t="s">
        <v>124</v>
      </c>
      <c r="B145" s="2" t="str">
        <f>Translations!$B$1203</f>
        <v>Var god gå vidare till nästa delanläggning!</v>
      </c>
      <c r="C145" s="1"/>
    </row>
    <row r="146" spans="1:16" x14ac:dyDescent="0.25">
      <c r="A146" t="s">
        <v>129</v>
      </c>
      <c r="B146" s="2" t="str">
        <f>Translations!$B$1204</f>
        <v>Klicka här för att gå tillbaka till blad ”F_ProductBM”</v>
      </c>
      <c r="C146" s="1"/>
    </row>
    <row r="147" spans="1:16" x14ac:dyDescent="0.25">
      <c r="A147" t="s">
        <v>193</v>
      </c>
      <c r="B147" s="2" t="str">
        <f>Translations!$B$1205</f>
        <v>Var god fortsätt till punkterna c och d och fyll i uppgifter!</v>
      </c>
      <c r="C147" s="1"/>
    </row>
    <row r="148" spans="1:16" x14ac:dyDescent="0.25">
      <c r="A148" t="s">
        <v>194</v>
      </c>
      <c r="B148" s="2" t="str">
        <f>Translations!$B$1206</f>
        <v>Var god fortsätt till punkt e nedan!</v>
      </c>
      <c r="C148" s="1"/>
    </row>
    <row r="149" spans="1:16" x14ac:dyDescent="0.25">
      <c r="A149" s="344" t="s">
        <v>1182</v>
      </c>
      <c r="B149" s="343" t="s">
        <v>1181</v>
      </c>
      <c r="C149" s="2"/>
      <c r="D149" s="2"/>
      <c r="E149" s="2"/>
      <c r="F149" s="2"/>
      <c r="G149" s="2"/>
      <c r="H149" s="2"/>
      <c r="I149" s="2"/>
      <c r="J149" s="2"/>
      <c r="K149" s="2"/>
      <c r="L149" s="2"/>
      <c r="M149" s="2"/>
      <c r="N149" s="2"/>
      <c r="O149" s="2"/>
      <c r="P149" s="2"/>
    </row>
    <row r="150" spans="1:16" x14ac:dyDescent="0.25">
      <c r="A150" s="344" t="s">
        <v>1545</v>
      </c>
      <c r="B150" s="343" t="s">
        <v>1546</v>
      </c>
      <c r="C150" s="2"/>
      <c r="D150" s="2"/>
      <c r="E150" s="2"/>
      <c r="F150" s="2"/>
      <c r="G150" s="2"/>
      <c r="H150" s="2"/>
      <c r="I150" s="2"/>
      <c r="J150" s="2"/>
      <c r="K150" s="2"/>
      <c r="L150" s="2"/>
      <c r="M150" s="2"/>
      <c r="N150" s="2"/>
      <c r="O150" s="2"/>
      <c r="P150" s="2"/>
    </row>
    <row r="151" spans="1:16" x14ac:dyDescent="0.25">
      <c r="A151" s="344" t="s">
        <v>1674</v>
      </c>
      <c r="B151" s="343" t="s">
        <v>1675</v>
      </c>
      <c r="C151" s="1"/>
    </row>
    <row r="152" spans="1:16" x14ac:dyDescent="0.25">
      <c r="A152" s="344" t="s">
        <v>1179</v>
      </c>
      <c r="B152" s="343" t="s">
        <v>1177</v>
      </c>
      <c r="C152" s="1"/>
    </row>
    <row r="153" spans="1:16" x14ac:dyDescent="0.25">
      <c r="A153" s="344" t="s">
        <v>1187</v>
      </c>
      <c r="B153" s="343" t="s">
        <v>1186</v>
      </c>
      <c r="C153" s="1"/>
    </row>
    <row r="154" spans="1:16" x14ac:dyDescent="0.25">
      <c r="A154" s="344" t="s">
        <v>1415</v>
      </c>
      <c r="B154" s="343" t="s">
        <v>1416</v>
      </c>
      <c r="C154" s="1"/>
    </row>
    <row r="155" spans="1:16" x14ac:dyDescent="0.25">
      <c r="A155" s="344" t="s">
        <v>1548</v>
      </c>
      <c r="B155" s="343" t="s">
        <v>1549</v>
      </c>
      <c r="C155" s="1"/>
    </row>
    <row r="156" spans="1:16" x14ac:dyDescent="0.25">
      <c r="A156" s="344" t="s">
        <v>1441</v>
      </c>
      <c r="B156" s="343" t="s">
        <v>1442</v>
      </c>
      <c r="C156" s="1"/>
    </row>
    <row r="157" spans="1:16" x14ac:dyDescent="0.25">
      <c r="A157" s="344" t="s">
        <v>1550</v>
      </c>
      <c r="B157" s="343" t="s">
        <v>1551</v>
      </c>
      <c r="C157" s="1"/>
    </row>
    <row r="158" spans="1:16" x14ac:dyDescent="0.25">
      <c r="A158" s="344" t="s">
        <v>1419</v>
      </c>
      <c r="B158" s="343" t="s">
        <v>1420</v>
      </c>
      <c r="C158" s="1"/>
    </row>
    <row r="159" spans="1:16" x14ac:dyDescent="0.25">
      <c r="A159" s="344" t="s">
        <v>1552</v>
      </c>
      <c r="B159" s="343" t="s">
        <v>1553</v>
      </c>
      <c r="C159" s="1"/>
    </row>
    <row r="160" spans="1:16" x14ac:dyDescent="0.25">
      <c r="A160" s="344" t="s">
        <v>1194</v>
      </c>
      <c r="B160" s="343" t="s">
        <v>1197</v>
      </c>
      <c r="C160" s="1"/>
    </row>
    <row r="161" spans="1:3" x14ac:dyDescent="0.25">
      <c r="A161" s="344" t="s">
        <v>1195</v>
      </c>
      <c r="B161" s="343" t="s">
        <v>1196</v>
      </c>
      <c r="C161" s="1"/>
    </row>
    <row r="162" spans="1:3" x14ac:dyDescent="0.25">
      <c r="A162" s="344" t="s">
        <v>1180</v>
      </c>
      <c r="B162" s="343" t="s">
        <v>1178</v>
      </c>
      <c r="C162" s="1"/>
    </row>
    <row r="163" spans="1:3" x14ac:dyDescent="0.25">
      <c r="A163" s="344" t="s">
        <v>1184</v>
      </c>
      <c r="B163" s="343" t="s">
        <v>1185</v>
      </c>
      <c r="C163" s="1"/>
    </row>
    <row r="164" spans="1:3" x14ac:dyDescent="0.25">
      <c r="A164" s="344" t="s">
        <v>1188</v>
      </c>
      <c r="B164" s="343" t="s">
        <v>1189</v>
      </c>
      <c r="C164" s="1"/>
    </row>
    <row r="165" spans="1:3" x14ac:dyDescent="0.25">
      <c r="A165" s="344" t="s">
        <v>1190</v>
      </c>
      <c r="B165" s="343" t="s">
        <v>1191</v>
      </c>
      <c r="C165" s="1"/>
    </row>
    <row r="166" spans="1:3" x14ac:dyDescent="0.25">
      <c r="A166" s="344" t="s">
        <v>1255</v>
      </c>
      <c r="B166" s="343" t="s">
        <v>1256</v>
      </c>
      <c r="C166" s="1"/>
    </row>
    <row r="167" spans="1:3" x14ac:dyDescent="0.25">
      <c r="A167" s="344" t="s">
        <v>1257</v>
      </c>
      <c r="B167" s="343" t="s">
        <v>1258</v>
      </c>
      <c r="C167" s="1"/>
    </row>
    <row r="168" spans="1:3" x14ac:dyDescent="0.25">
      <c r="A168" s="344" t="s">
        <v>1192</v>
      </c>
      <c r="B168" s="343" t="s">
        <v>1193</v>
      </c>
      <c r="C168" s="1"/>
    </row>
    <row r="169" spans="1:3" x14ac:dyDescent="0.25">
      <c r="A169" s="344" t="s">
        <v>1487</v>
      </c>
      <c r="B169" s="343" t="s">
        <v>1488</v>
      </c>
      <c r="C169" s="1"/>
    </row>
    <row r="170" spans="1:3" x14ac:dyDescent="0.25">
      <c r="A170" s="344" t="s">
        <v>1212</v>
      </c>
      <c r="B170" s="343" t="s">
        <v>1547</v>
      </c>
      <c r="C170" s="1"/>
    </row>
    <row r="171" spans="1:3" x14ac:dyDescent="0.25">
      <c r="A171" s="344" t="s">
        <v>1644</v>
      </c>
      <c r="B171" s="343" t="s">
        <v>1647</v>
      </c>
      <c r="C171" s="1"/>
    </row>
    <row r="172" spans="1:3" x14ac:dyDescent="0.25">
      <c r="A172" s="344" t="s">
        <v>1645</v>
      </c>
      <c r="B172" s="343" t="s">
        <v>1648</v>
      </c>
      <c r="C172" s="1"/>
    </row>
    <row r="173" spans="1:3" x14ac:dyDescent="0.25">
      <c r="A173" s="344" t="s">
        <v>1646</v>
      </c>
      <c r="B173" s="343" t="s">
        <v>1649</v>
      </c>
      <c r="C173" s="1"/>
    </row>
    <row r="174" spans="1:3" x14ac:dyDescent="0.25">
      <c r="A174" s="344" t="s">
        <v>1652</v>
      </c>
      <c r="B174" s="343" t="s">
        <v>1650</v>
      </c>
      <c r="C174" s="1"/>
    </row>
    <row r="175" spans="1:3" x14ac:dyDescent="0.25">
      <c r="A175" s="344" t="s">
        <v>1653</v>
      </c>
      <c r="B175" s="343" t="s">
        <v>1651</v>
      </c>
      <c r="C175" s="1"/>
    </row>
    <row r="176" spans="1:3" x14ac:dyDescent="0.25">
      <c r="A176" s="344" t="s">
        <v>1395</v>
      </c>
      <c r="B176" s="343" t="s">
        <v>1393</v>
      </c>
      <c r="C176" s="1"/>
    </row>
    <row r="177" spans="1:11" x14ac:dyDescent="0.25">
      <c r="A177" s="344" t="s">
        <v>1396</v>
      </c>
      <c r="B177" s="343" t="s">
        <v>1394</v>
      </c>
      <c r="C177" s="1"/>
    </row>
    <row r="178" spans="1:11" x14ac:dyDescent="0.25">
      <c r="A178" s="344" t="s">
        <v>1581</v>
      </c>
      <c r="B178" s="343" t="s">
        <v>1583</v>
      </c>
      <c r="C178" s="1"/>
    </row>
    <row r="179" spans="1:11" x14ac:dyDescent="0.25">
      <c r="A179" s="344" t="s">
        <v>1582</v>
      </c>
      <c r="B179" s="343" t="s">
        <v>1584</v>
      </c>
      <c r="C179" s="1"/>
    </row>
    <row r="180" spans="1:11" x14ac:dyDescent="0.25">
      <c r="A180" s="344" t="s">
        <v>1397</v>
      </c>
      <c r="B180" s="343" t="s">
        <v>1398</v>
      </c>
      <c r="C180" s="1"/>
    </row>
    <row r="181" spans="1:11" x14ac:dyDescent="0.25">
      <c r="A181" s="344" t="s">
        <v>1494</v>
      </c>
      <c r="B181" s="343" t="s">
        <v>1495</v>
      </c>
      <c r="C181" s="1"/>
    </row>
    <row r="182" spans="1:11" x14ac:dyDescent="0.25">
      <c r="A182" s="344" t="s">
        <v>1215</v>
      </c>
      <c r="B182" s="202" t="str">
        <f>EUconst_tCO2&amp;" / "&amp;EUconst_MWh</f>
        <v>t CO2 / MWh</v>
      </c>
      <c r="C182" s="1"/>
    </row>
    <row r="183" spans="1:11" x14ac:dyDescent="0.25">
      <c r="A183" s="344" t="s">
        <v>1220</v>
      </c>
      <c r="B183" s="2">
        <v>56.1</v>
      </c>
      <c r="C183" s="1"/>
    </row>
    <row r="184" spans="1:11" x14ac:dyDescent="0.25">
      <c r="A184" s="344" t="s">
        <v>1484</v>
      </c>
      <c r="B184" s="2">
        <v>0.66700000000000004</v>
      </c>
      <c r="C184" s="1"/>
    </row>
    <row r="185" spans="1:11" x14ac:dyDescent="0.25">
      <c r="A185" s="344" t="s">
        <v>1304</v>
      </c>
      <c r="B185" s="454">
        <v>0.3</v>
      </c>
      <c r="C185" s="454">
        <v>0.3</v>
      </c>
      <c r="D185" s="454">
        <v>0.3</v>
      </c>
      <c r="E185" s="454">
        <v>0.3</v>
      </c>
      <c r="F185" s="454">
        <v>0.3</v>
      </c>
      <c r="G185" s="454">
        <v>0.3</v>
      </c>
      <c r="H185" s="454">
        <f>G185-25%*$G$186</f>
        <v>0.22499999999999998</v>
      </c>
      <c r="I185" s="454">
        <f>H185-25%*$G$186</f>
        <v>0.14999999999999997</v>
      </c>
      <c r="J185" s="454">
        <f>I185-25%*$G$186</f>
        <v>7.4999999999999969E-2</v>
      </c>
      <c r="K185" s="454">
        <f>J185-25%*$G$186</f>
        <v>0</v>
      </c>
    </row>
    <row r="186" spans="1:11" x14ac:dyDescent="0.25">
      <c r="A186" s="344" t="s">
        <v>1305</v>
      </c>
      <c r="B186" s="454">
        <v>0.3</v>
      </c>
      <c r="C186" s="454">
        <v>0.3</v>
      </c>
      <c r="D186" s="454">
        <v>0.3</v>
      </c>
      <c r="E186" s="454">
        <v>0.3</v>
      </c>
      <c r="F186" s="454">
        <v>0.3</v>
      </c>
      <c r="G186" s="454">
        <v>0.3</v>
      </c>
      <c r="H186" s="454">
        <v>0.3</v>
      </c>
      <c r="I186" s="454">
        <v>0.3</v>
      </c>
      <c r="J186" s="454">
        <v>0.3</v>
      </c>
      <c r="K186" s="454">
        <v>0.3</v>
      </c>
    </row>
    <row r="187" spans="1:11" x14ac:dyDescent="0.25">
      <c r="A187" s="344" t="s">
        <v>1698</v>
      </c>
      <c r="B187" s="7" t="str">
        <f>Translations!$B$1207</f>
        <v>Minimum</v>
      </c>
      <c r="C187" s="7" t="str">
        <f>Translations!$B$145</f>
        <v>Högst</v>
      </c>
      <c r="D187" s="7" t="str">
        <f>Translations!$B$1208</f>
        <v>Faktiskt</v>
      </c>
      <c r="E187" s="454"/>
      <c r="F187" s="454"/>
      <c r="G187" s="454"/>
      <c r="H187" s="454"/>
      <c r="I187" s="454"/>
      <c r="J187" s="454"/>
      <c r="K187" s="454"/>
    </row>
    <row r="188" spans="1:11" x14ac:dyDescent="0.25">
      <c r="A188" s="344" t="s">
        <v>1985</v>
      </c>
      <c r="B188" s="939" t="s">
        <v>1986</v>
      </c>
      <c r="C188" s="454"/>
      <c r="D188" s="454"/>
      <c r="E188" s="454"/>
      <c r="F188" s="454"/>
      <c r="G188" s="454"/>
      <c r="H188" s="454"/>
      <c r="I188" s="454"/>
      <c r="J188" s="454"/>
      <c r="K188" s="454"/>
    </row>
    <row r="189" spans="1:11" x14ac:dyDescent="0.25">
      <c r="A189" s="344" t="s">
        <v>1946</v>
      </c>
      <c r="B189" s="939" t="s">
        <v>1947</v>
      </c>
      <c r="C189" s="454"/>
      <c r="D189" s="454"/>
      <c r="E189" s="454"/>
      <c r="F189" s="454"/>
      <c r="G189" s="454"/>
      <c r="H189" s="454"/>
      <c r="I189" s="454"/>
      <c r="J189" s="454"/>
      <c r="K189" s="454"/>
    </row>
    <row r="190" spans="1:11" x14ac:dyDescent="0.25">
      <c r="A190" s="344" t="s">
        <v>1948</v>
      </c>
      <c r="B190" s="939" t="s">
        <v>1949</v>
      </c>
      <c r="C190" s="454"/>
      <c r="D190" s="454"/>
      <c r="E190" s="454"/>
      <c r="F190" s="454"/>
      <c r="G190" s="454"/>
      <c r="H190" s="454"/>
      <c r="I190" s="454"/>
      <c r="J190" s="454"/>
      <c r="K190" s="454"/>
    </row>
    <row r="191" spans="1:11" x14ac:dyDescent="0.25">
      <c r="A191" s="344" t="s">
        <v>1950</v>
      </c>
      <c r="B191" s="939" t="s">
        <v>1951</v>
      </c>
      <c r="C191" s="454"/>
      <c r="D191" s="454"/>
      <c r="E191" s="454"/>
      <c r="F191" s="454"/>
      <c r="G191" s="454"/>
      <c r="H191" s="454"/>
      <c r="I191" s="454"/>
      <c r="J191" s="454"/>
      <c r="K191" s="454"/>
    </row>
    <row r="192" spans="1:11" x14ac:dyDescent="0.25">
      <c r="A192" s="344" t="s">
        <v>1963</v>
      </c>
      <c r="B192" s="939" t="s">
        <v>1964</v>
      </c>
      <c r="C192" s="454"/>
      <c r="D192" s="454"/>
      <c r="E192" s="454"/>
      <c r="F192" s="454"/>
      <c r="G192" s="454"/>
      <c r="H192" s="454"/>
      <c r="I192" s="454"/>
      <c r="J192" s="454"/>
      <c r="K192" s="454"/>
    </row>
    <row r="193" spans="1:11" x14ac:dyDescent="0.25">
      <c r="A193" s="344" t="s">
        <v>1952</v>
      </c>
      <c r="B193" s="939" t="s">
        <v>1953</v>
      </c>
      <c r="C193" s="454"/>
      <c r="D193" s="454"/>
      <c r="E193" s="454"/>
      <c r="F193" s="454"/>
      <c r="G193" s="454"/>
      <c r="H193" s="454"/>
      <c r="I193" s="454"/>
      <c r="J193" s="454"/>
      <c r="K193" s="454"/>
    </row>
    <row r="194" spans="1:11" x14ac:dyDescent="0.25">
      <c r="A194" s="344" t="s">
        <v>1954</v>
      </c>
      <c r="B194" s="939" t="s">
        <v>1955</v>
      </c>
      <c r="C194" s="454"/>
      <c r="D194" s="454"/>
      <c r="E194" s="454"/>
      <c r="F194" s="454"/>
      <c r="G194" s="454"/>
      <c r="H194" s="454"/>
      <c r="I194" s="454"/>
      <c r="J194" s="454"/>
      <c r="K194" s="454"/>
    </row>
    <row r="195" spans="1:11" x14ac:dyDescent="0.25">
      <c r="A195" s="344" t="s">
        <v>1968</v>
      </c>
      <c r="B195" s="343" t="s">
        <v>1969</v>
      </c>
      <c r="C195" s="1"/>
    </row>
    <row r="196" spans="1:11" x14ac:dyDescent="0.25">
      <c r="A196" s="344" t="s">
        <v>1994</v>
      </c>
      <c r="B196" s="343" t="s">
        <v>1995</v>
      </c>
      <c r="C196" s="1"/>
    </row>
    <row r="197" spans="1:11" x14ac:dyDescent="0.25">
      <c r="A197" s="344" t="s">
        <v>2011</v>
      </c>
      <c r="B197" s="343" t="str">
        <f>Translations!$B$1610</f>
        <v>a) Tillståndet för utsläpp av växthusgaser har återkallats</v>
      </c>
      <c r="C197" s="343" t="str">
        <f>Translations!$B$1611</f>
        <v>b) (Del)anläggningen är inte längre i drift</v>
      </c>
      <c r="D197" s="343"/>
      <c r="E197" s="343"/>
      <c r="F197" s="343"/>
    </row>
    <row r="198" spans="1:11" x14ac:dyDescent="0.25">
      <c r="A198" s="344" t="s">
        <v>2260</v>
      </c>
      <c r="B198" s="343" t="str">
        <f>Translations!$B$1114</f>
        <v>Delanläggning med produktriktmärke</v>
      </c>
    </row>
    <row r="199" spans="1:11" x14ac:dyDescent="0.25">
      <c r="A199" s="344" t="s">
        <v>2261</v>
      </c>
      <c r="B199" s="343" t="str">
        <f>Translations!$B$1115</f>
        <v>”Fall-back”-delanläggning</v>
      </c>
    </row>
    <row r="216" spans="1:13" s="204" customFormat="1" ht="13" x14ac:dyDescent="0.3">
      <c r="A216" s="204" t="str">
        <f>Translations!$B$1209</f>
        <v>Verksamhetsförteckning</v>
      </c>
      <c r="B216" s="801" t="s">
        <v>1818</v>
      </c>
      <c r="C216" s="801"/>
      <c r="D216" s="801"/>
      <c r="E216" s="801"/>
      <c r="F216" s="801"/>
      <c r="G216" s="801"/>
      <c r="H216" s="801" t="s">
        <v>1819</v>
      </c>
    </row>
    <row r="217" spans="1:13" x14ac:dyDescent="0.25">
      <c r="A217" s="202" t="str">
        <f>Translations!$B$1210</f>
        <v>Verksamhetens nr</v>
      </c>
      <c r="B217" s="202" t="str">
        <f>Translations!$B$1211</f>
        <v>Verksamhet (bilaga I till ETS-direktivet)</v>
      </c>
      <c r="C217" s="202"/>
      <c r="D217" s="202"/>
      <c r="E217" s="202"/>
      <c r="F217" s="202"/>
      <c r="G217" s="202"/>
      <c r="H217" s="202"/>
      <c r="I217" s="202"/>
      <c r="J217" s="202"/>
      <c r="K217" s="202"/>
      <c r="L217" s="202"/>
      <c r="M217" s="202"/>
    </row>
    <row r="218" spans="1:13" x14ac:dyDescent="0.25">
      <c r="A218">
        <v>1</v>
      </c>
      <c r="B218" s="202" t="str">
        <f>IF(LEN(H218)&gt;250,LEFT(H218,250),H218)</f>
        <v>Förbränning av bränsle i anläggningar med en sammanlagd tillförd effekt på mer än 20 MW (eller ansluten för leverans till fjärrvärmenät med en sammanlagd tillförd effekt över 20 MW )</v>
      </c>
      <c r="H218" s="202" t="str">
        <f>Translations!$B$1212</f>
        <v>Förbränning av bränsle i anläggningar med en sammanlagd tillförd effekt på mer än 20 MW (eller ansluten för leverans till fjärrvärmenät med en sammanlagd tillförd effekt över 20 MW )</v>
      </c>
    </row>
    <row r="219" spans="1:13" x14ac:dyDescent="0.25">
      <c r="A219">
        <v>2</v>
      </c>
      <c r="B219" s="202" t="str">
        <f t="shared" ref="B219:B245" si="1">IF(LEN(H219)&gt;250,LEFT(H219,250),H219)</f>
        <v xml:space="preserve">Raffinering av mineralolja </v>
      </c>
      <c r="H219" s="205" t="str">
        <f>Translations!$B$1213</f>
        <v xml:space="preserve">Raffinering av mineralolja </v>
      </c>
    </row>
    <row r="220" spans="1:13" x14ac:dyDescent="0.25">
      <c r="A220">
        <v>3</v>
      </c>
      <c r="B220" s="202" t="str">
        <f t="shared" si="1"/>
        <v xml:space="preserve">Produktion av koks </v>
      </c>
      <c r="H220" s="205" t="str">
        <f>Translations!$B$1214</f>
        <v xml:space="preserve">Produktion av koks </v>
      </c>
    </row>
    <row r="221" spans="1:13" x14ac:dyDescent="0.25">
      <c r="A221">
        <v>4</v>
      </c>
      <c r="B221" s="202" t="str">
        <f t="shared" si="1"/>
        <v xml:space="preserve">Rostning och sintring, inklusive pelletering, av metallhaltig malm (inklusive sulfidmalm) </v>
      </c>
      <c r="H221" s="205" t="str">
        <f>Translations!$B$1215</f>
        <v xml:space="preserve">Rostning och sintring, inklusive pelletering, av metallhaltig malm (inklusive sulfidmalm) </v>
      </c>
    </row>
    <row r="222" spans="1:13" x14ac:dyDescent="0.25">
      <c r="A222">
        <v>5</v>
      </c>
      <c r="B222" s="202" t="str">
        <f t="shared" si="1"/>
        <v xml:space="preserve">Produktion av råjärn eller stål (primär eller sekundär smältning), inklusive utrustning för kontinuerlig gjutning, med en kapacitet som överstiger 2,5 ton per timme </v>
      </c>
      <c r="H222" s="205" t="str">
        <f>Translations!$B$1216</f>
        <v xml:space="preserve">Produktion av råjärn eller stål (primär eller sekundär smältning), inklusive utrustning för kontinuerlig gjutning, med en kapacitet som överstiger 2,5 ton per timme </v>
      </c>
    </row>
    <row r="223" spans="1:13" x14ac:dyDescent="0.25">
      <c r="A223">
        <v>6</v>
      </c>
      <c r="B223" s="202" t="str">
        <f t="shared" si="1"/>
        <v>Produktion eller bearbetning av järnmetaller (inklusive ferrolegeringar) där förbränningsenheter med en sammanlagd tillförd effekt på mer än 20 MW används. Häri ingår bland annat valsverk, värmningsugnar, värmebehandlingsugnar, smedjor, gjuterier sam</v>
      </c>
      <c r="H223" s="205" t="str">
        <f>Translations!$B$1217</f>
        <v>Produktion eller bearbetning av järnmetaller (inklusive ferrolegeringar) där förbränningsenheter med en sammanlagd tillförd effekt på mer än 20 MW används. Häri ingår bland annat valsverk, värmningsugnar, värmebehandlingsugnar, smedjor, gjuterier samt ytbeläggnings- och betningsenheter</v>
      </c>
    </row>
    <row r="224" spans="1:13" x14ac:dyDescent="0.25">
      <c r="A224">
        <v>7</v>
      </c>
      <c r="B224" s="202" t="str">
        <f t="shared" si="1"/>
        <v xml:space="preserve">Produktion av primäraluminium </v>
      </c>
      <c r="H224" s="205" t="str">
        <f>Translations!$B$1218</f>
        <v xml:space="preserve">Produktion av primäraluminium </v>
      </c>
    </row>
    <row r="225" spans="1:8" x14ac:dyDescent="0.25">
      <c r="A225">
        <v>8</v>
      </c>
      <c r="B225" s="202" t="str">
        <f t="shared" si="1"/>
        <v>Produktion av sekundäraluminium där förbränningsenheter med en sammanlagd tillförd effekt på mer än 20 MW används</v>
      </c>
      <c r="H225" s="205" t="str">
        <f>Translations!$B$1219</f>
        <v>Produktion av sekundäraluminium där förbränningsenheter med en sammanlagd tillförd effekt på mer än 20 MW används</v>
      </c>
    </row>
    <row r="226" spans="1:8" x14ac:dyDescent="0.25">
      <c r="A226">
        <v>9</v>
      </c>
      <c r="B226" s="202" t="str">
        <f t="shared" si="1"/>
        <v>Produktion eller bearbetning av icke-järnmetaller, inklusive produktion av legeringar, raffinering, gjutning etc., där förbränningsenheter med en sammanlagd tillförd effekt (inklusive bränslen som används som reduktionsmedel) på mer än 20 MW används</v>
      </c>
      <c r="H226" s="205" t="str">
        <f>Translations!$B$1220</f>
        <v>Produktion eller bearbetning av icke-järnmetaller, inklusive produktion av legeringar, raffinering, gjutning etc., där förbränningsenheter med en sammanlagd tillförd effekt (inklusive bränslen som används som reduktionsmedel) på mer än 20 MW används</v>
      </c>
    </row>
    <row r="227" spans="1:8" x14ac:dyDescent="0.25">
      <c r="A227">
        <v>10</v>
      </c>
      <c r="B227" s="202" t="str">
        <f t="shared" si="1"/>
        <v xml:space="preserve">Produktion av cementklinker i roterugnar med en produktionskapacitet som överstiger 500 ton per dag, eller i andra typer av ugnar med en produktionskapacitet som överstiger 50 ton per dag </v>
      </c>
      <c r="H227" s="205" t="str">
        <f>Translations!$B$1221</f>
        <v xml:space="preserve">Produktion av cementklinker i roterugnar med en produktionskapacitet som överstiger 500 ton per dag, eller i andra typer av ugnar med en produktionskapacitet som överstiger 50 ton per dag </v>
      </c>
    </row>
    <row r="228" spans="1:8" x14ac:dyDescent="0.25">
      <c r="A228">
        <v>11</v>
      </c>
      <c r="B228" s="202" t="str">
        <f t="shared" si="1"/>
        <v xml:space="preserve">Produktion av kalk eller bränning av dolomit eller magnesit i roterugnar eller i andra typer av ugnar med en produktionskapacitet som överstiger 50 ton per dag </v>
      </c>
      <c r="H228" s="205" t="str">
        <f>Translations!$B$1222</f>
        <v xml:space="preserve">Produktion av kalk eller bränning av dolomit eller magnesit i roterugnar eller i andra typer av ugnar med en produktionskapacitet som överstiger 50 ton per dag </v>
      </c>
    </row>
    <row r="229" spans="1:8" x14ac:dyDescent="0.25">
      <c r="A229">
        <v>12</v>
      </c>
      <c r="B229" s="202" t="str">
        <f t="shared" si="1"/>
        <v xml:space="preserve">Tillverkning av glas inklusive glasfibrer, med en smältningskapacitet som överstiger 20 ton per dag </v>
      </c>
      <c r="H229" s="205" t="str">
        <f>Translations!$B$1223</f>
        <v xml:space="preserve">Tillverkning av glas inklusive glasfibrer, med en smältningskapacitet som överstiger 20 ton per dag </v>
      </c>
    </row>
    <row r="230" spans="1:8" x14ac:dyDescent="0.25">
      <c r="A230">
        <v>13</v>
      </c>
      <c r="B230" s="202" t="str">
        <f t="shared" si="1"/>
        <v xml:space="preserve">Tillverkning av keramiska produkter genom bränning, i synnerhet takpannor, tegel, eldfast tegel, kakel, stengods eller porslin, med en produktionskapacitet som överstiger 75 ton per dag </v>
      </c>
      <c r="H230" s="205" t="str">
        <f>Translations!$B$1224</f>
        <v xml:space="preserve">Tillverkning av keramiska produkter genom bränning, i synnerhet takpannor, tegel, eldfast tegel, kakel, stengods eller porslin, med en produktionskapacitet som överstiger 75 ton per dag </v>
      </c>
    </row>
    <row r="231" spans="1:8" x14ac:dyDescent="0.25">
      <c r="A231">
        <v>14</v>
      </c>
      <c r="B231" s="202" t="str">
        <f t="shared" si="1"/>
        <v xml:space="preserve">Tillverkning av isoleringsmaterial av mineralull som görs av glas, sten eller slagg, med en smältningskapacitet som överstiger 20 ton per dag </v>
      </c>
      <c r="H231" s="205" t="str">
        <f>Translations!$B$1225</f>
        <v xml:space="preserve">Tillverkning av isoleringsmaterial av mineralull som görs av glas, sten eller slagg, med en smältningskapacitet som överstiger 20 ton per dag </v>
      </c>
    </row>
    <row r="232" spans="1:8" x14ac:dyDescent="0.25">
      <c r="A232">
        <v>15</v>
      </c>
      <c r="B232" s="202" t="str">
        <f t="shared" si="1"/>
        <v xml:space="preserve">Torkning eller bränning av gips eller framställning av gipsplattor och andra gipsprodukter, där förbränningsenheter med en sammanlagd tillförd effekt på mer än 20 MW används </v>
      </c>
      <c r="H232" s="205" t="str">
        <f>Translations!$B$1226</f>
        <v xml:space="preserve">Torkning eller bränning av gips eller framställning av gipsplattor och andra gipsprodukter, där förbränningsenheter med en sammanlagd tillförd effekt på mer än 20 MW används </v>
      </c>
    </row>
    <row r="233" spans="1:8" x14ac:dyDescent="0.25">
      <c r="A233">
        <v>16</v>
      </c>
      <c r="B233" s="202" t="str">
        <f t="shared" si="1"/>
        <v xml:space="preserve">Framställning av pappersmassa av trä eller andra fibermaterial </v>
      </c>
      <c r="H233" s="205" t="str">
        <f>Translations!$B$1227</f>
        <v xml:space="preserve">Framställning av pappersmassa av trä eller andra fibermaterial </v>
      </c>
    </row>
    <row r="234" spans="1:8" x14ac:dyDescent="0.25">
      <c r="A234">
        <v>17</v>
      </c>
      <c r="B234" s="202" t="str">
        <f t="shared" si="1"/>
        <v xml:space="preserve">Framställning av papper eller kartong, där produktionskapaciteten överstiger 20 ton per dag </v>
      </c>
      <c r="H234" s="205" t="str">
        <f>Translations!$B$1228</f>
        <v xml:space="preserve">Framställning av papper eller kartong, där produktionskapaciteten överstiger 20 ton per dag </v>
      </c>
    </row>
    <row r="235" spans="1:8" x14ac:dyDescent="0.25">
      <c r="A235">
        <v>18</v>
      </c>
      <c r="B235" s="202" t="str">
        <f t="shared" si="1"/>
        <v xml:space="preserve">Produktion av kimrök som inbegriper förkolning av organiska ämnen som oljor, tjäror, kracknings- och destillationsrester, där förbränningsenheter med en sammanlagd tillförd effekt på mer än 20 MW används </v>
      </c>
      <c r="H235" s="205" t="str">
        <f>Translations!$B$1229</f>
        <v xml:space="preserve">Produktion av kimrök som inbegriper förkolning av organiska ämnen som oljor, tjäror, kracknings- och destillationsrester, där förbränningsenheter med en sammanlagd tillförd effekt på mer än 20 MW används </v>
      </c>
    </row>
    <row r="236" spans="1:8" x14ac:dyDescent="0.25">
      <c r="A236">
        <v>19</v>
      </c>
      <c r="B236" s="202" t="str">
        <f t="shared" si="1"/>
        <v xml:space="preserve">Produktion av salpetersyra </v>
      </c>
      <c r="H236" s="205" t="str">
        <f>Translations!$B$1230</f>
        <v xml:space="preserve">Produktion av salpetersyra </v>
      </c>
    </row>
    <row r="237" spans="1:8" x14ac:dyDescent="0.25">
      <c r="A237">
        <v>20</v>
      </c>
      <c r="B237" s="202" t="str">
        <f t="shared" si="1"/>
        <v xml:space="preserve">Produktion av adipinsyra </v>
      </c>
      <c r="H237" s="205" t="str">
        <f>Translations!$B$1231</f>
        <v xml:space="preserve">Produktion av adipinsyra </v>
      </c>
    </row>
    <row r="238" spans="1:8" x14ac:dyDescent="0.25">
      <c r="A238">
        <v>21</v>
      </c>
      <c r="B238" s="202" t="str">
        <f t="shared" si="1"/>
        <v>Produktion av glyoxal och glyoxalsyra</v>
      </c>
      <c r="H238" s="205" t="str">
        <f>Translations!$B$1232</f>
        <v>Produktion av glyoxal och glyoxalsyra</v>
      </c>
    </row>
    <row r="239" spans="1:8" x14ac:dyDescent="0.25">
      <c r="A239">
        <v>22</v>
      </c>
      <c r="B239" s="202" t="str">
        <f t="shared" si="1"/>
        <v xml:space="preserve">Produktion av ammoniak </v>
      </c>
      <c r="H239" s="205" t="str">
        <f>Translations!$B$1233</f>
        <v xml:space="preserve">Produktion av ammoniak </v>
      </c>
    </row>
    <row r="240" spans="1:8" x14ac:dyDescent="0.25">
      <c r="A240">
        <v>23</v>
      </c>
      <c r="B240" s="202" t="str">
        <f t="shared" si="1"/>
        <v xml:space="preserve">Produktion av organiska baskemikalier genom krackning, reformering, delvis eller full oxidation eller genom liknande processer, med en produktionskapacitet som överstiger 100 ton per dag </v>
      </c>
      <c r="H240" s="205" t="str">
        <f>Translations!$B$1234</f>
        <v xml:space="preserve">Produktion av organiska baskemikalier genom krackning, reformering, delvis eller full oxidation eller genom liknande processer, med en produktionskapacitet som överstiger 100 ton per dag </v>
      </c>
    </row>
    <row r="241" spans="1:19" x14ac:dyDescent="0.25">
      <c r="A241">
        <v>24</v>
      </c>
      <c r="B241" s="202" t="str">
        <f t="shared" si="1"/>
        <v xml:space="preserve">Produktion av vätgas (H2) och syntesgas genom reformering eller partiell oxidation, med en produktionskapacitet som överstiger 25 ton per dag </v>
      </c>
      <c r="H241" s="205" t="str">
        <f>Translations!$B$1235</f>
        <v xml:space="preserve">Produktion av vätgas (H2) och syntesgas genom reformering eller partiell oxidation, med en produktionskapacitet som överstiger 25 ton per dag </v>
      </c>
    </row>
    <row r="242" spans="1:19" x14ac:dyDescent="0.25">
      <c r="A242">
        <v>25</v>
      </c>
      <c r="B242" s="202" t="str">
        <f t="shared" si="1"/>
        <v xml:space="preserve">Produktion av natriumkarbonat (Na2CO3) och natriumbikarbonat (NaHCO3) </v>
      </c>
      <c r="H242" s="205" t="str">
        <f>Translations!$B$1236</f>
        <v xml:space="preserve">Produktion av natriumkarbonat (Na2CO3) och natriumbikarbonat (NaHCO3) </v>
      </c>
    </row>
    <row r="243" spans="1:19" x14ac:dyDescent="0.25">
      <c r="A243">
        <v>26</v>
      </c>
      <c r="B243" s="202" t="str">
        <f t="shared" si="1"/>
        <v>Avskiljning av växthusgaser från anläggningar som omfattas av detta direktiv, för transport och geologisk lagring i en lagringsanläggning som är godkänd enligt direktiv 2009/31/EG</v>
      </c>
      <c r="H243" s="205" t="str">
        <f>Translations!$B$1237</f>
        <v>Avskiljning av växthusgaser från anläggningar som omfattas av detta direktiv, för transport och geologisk lagring i en lagringsanläggning som är godkänd enligt direktiv 2009/31/EG</v>
      </c>
    </row>
    <row r="244" spans="1:19" x14ac:dyDescent="0.25">
      <c r="A244">
        <v>27</v>
      </c>
      <c r="B244" s="202" t="str">
        <f t="shared" si="1"/>
        <v>Transport av växthusgaser via pipelines för geologisk lagring i en lagringsanläggning som är godkänd enligt direktiv 2009/31/EG</v>
      </c>
      <c r="H244" s="205" t="str">
        <f>Translations!$B$1238</f>
        <v>Transport av växthusgaser via pipelines för geologisk lagring i en lagringsanläggning som är godkänd enligt direktiv 2009/31/EG</v>
      </c>
    </row>
    <row r="245" spans="1:19" x14ac:dyDescent="0.25">
      <c r="A245">
        <v>28</v>
      </c>
      <c r="B245" s="202" t="str">
        <f t="shared" si="1"/>
        <v>Geologisk lagring av växthusgaser i lagringsanläggningar som är godkända enligt direktiv 2009/31/EG</v>
      </c>
      <c r="H245" s="205" t="str">
        <f>Translations!$B$1239</f>
        <v>Geologisk lagring av växthusgaser i lagringsanläggningar som är godkända enligt direktiv 2009/31/EG</v>
      </c>
    </row>
    <row r="247" spans="1:19" s="204" customFormat="1" ht="13" x14ac:dyDescent="0.3">
      <c r="A247" s="204" t="str">
        <f>Translations!$B$1240</f>
        <v>Förteckning över riktmärken</v>
      </c>
    </row>
    <row r="248" spans="1:19" s="180" customFormat="1" ht="50.5" thickBot="1" x14ac:dyDescent="0.3">
      <c r="A248" s="386" t="str">
        <f>Translations!$B$1211</f>
        <v>Verksamhet (bilaga I till ETS-direktivet)</v>
      </c>
      <c r="B248" s="386" t="str">
        <f>Translations!$B$1210</f>
        <v>Verksamhetens nr</v>
      </c>
      <c r="C248" s="386" t="str">
        <f>Translations!$B$1024</f>
        <v>RM-nummer</v>
      </c>
      <c r="D248" s="386" t="str">
        <f>Translations!$B$1241</f>
        <v>alternativt riktmärke nr</v>
      </c>
      <c r="E248" s="386" t="str">
        <f>Translations!$B$1242</f>
        <v>Produktriktmärke</v>
      </c>
      <c r="F248" s="386" t="str">
        <f>Translations!$B$1014</f>
        <v>Enhet</v>
      </c>
      <c r="G248" s="386" t="str">
        <f>Translations!$B$1243</f>
        <v>Koldioxidläckage?</v>
      </c>
      <c r="H248" s="386" t="str">
        <f>Translations!$B$1244</f>
        <v>Utbytbar el</v>
      </c>
      <c r="I248" s="386" t="str">
        <f>Translations!$B$1245</f>
        <v>Meddelande om särskild rapportering</v>
      </c>
      <c r="J248" s="387" t="str">
        <f>Translations!$B$1246</f>
        <v>Jump indicator</v>
      </c>
      <c r="K248" s="385" t="str">
        <f>Translations!$B$1247</f>
        <v>Annat än CWT?</v>
      </c>
      <c r="L248" s="385" t="str">
        <f>Translations!$B$1248</f>
        <v>Pappersmassa</v>
      </c>
      <c r="M248" s="385" t="str">
        <f>Translations!$B$1249</f>
        <v>Riktmärkesvärde (2013–2020)</v>
      </c>
      <c r="N248" s="385" t="s">
        <v>1522</v>
      </c>
      <c r="O248" s="385" t="s">
        <v>1523</v>
      </c>
      <c r="P248" s="795" t="s">
        <v>1533</v>
      </c>
      <c r="Q248" s="613" t="str">
        <f>Translations!$B$1250</f>
        <v>Riktmärkesvärde (EUA/t, max.)</v>
      </c>
      <c r="R248" s="613" t="str">
        <f>Translations!$B$1251</f>
        <v>Riktmärkesvärde (EUA/t, min.)</v>
      </c>
      <c r="S248" s="613" t="str">
        <f>Translations!$B$1252</f>
        <v>Riktmärkesvärde (EUA/t, faktiskt)</v>
      </c>
    </row>
    <row r="249" spans="1:19" ht="13" x14ac:dyDescent="0.3">
      <c r="A249" s="388" t="str">
        <f>VLOOKUP(B249,$A$218:$B$245,2,0)</f>
        <v xml:space="preserve">Raffinering av mineralolja </v>
      </c>
      <c r="B249" s="389">
        <v>2</v>
      </c>
      <c r="C249" s="389">
        <v>1</v>
      </c>
      <c r="D249" s="390" t="str">
        <f t="shared" ref="D249:D280" si="2">CONCATENATE(TEXT(B249,"00"),".",TEXT(C249,"00"))</f>
        <v>02.01</v>
      </c>
      <c r="E249" s="389" t="str">
        <f>Translations!$B$1253</f>
        <v>Raffinaderiprodukter</v>
      </c>
      <c r="F249" s="389" t="str">
        <f>Translations!$B$1254</f>
        <v>CWT</v>
      </c>
      <c r="G249" s="389" t="b">
        <v>1</v>
      </c>
      <c r="H249" s="389" t="b">
        <v>1</v>
      </c>
      <c r="I249" s="389" t="str">
        <f>Translations!$B$1255</f>
        <v>Var god använd CWT-verktyget i bladet ”SpecialBM” för att beräkna historiska verksamhetsnivåer.</v>
      </c>
      <c r="J249" s="391" t="str">
        <f>"#JUMP_H_I"</f>
        <v>#JUMP_H_I</v>
      </c>
      <c r="K249" s="389" t="b">
        <v>0</v>
      </c>
      <c r="L249" s="389" t="b">
        <v>0</v>
      </c>
      <c r="M249" s="395">
        <v>2.9499999999999998E-2</v>
      </c>
      <c r="N249" s="396">
        <f t="shared" ref="N249:N280" si="3">INDEX(EUconst_BM_ARR_Range,1)</f>
        <v>2E-3</v>
      </c>
      <c r="O249" s="793">
        <f t="shared" ref="O249:O280" si="4">IF(AND(C249=4,CNTR_SubPeriod=1),INDEX(EUconst_BM_ARR_Range,1),INDEX(EUconst_BM_ARR_Range,2))</f>
        <v>1.6E-2</v>
      </c>
      <c r="P249" s="1885">
        <v>1.511693494765688E-2</v>
      </c>
      <c r="Q249" s="794">
        <f t="shared" ref="Q249:Q280" si="5">$M249*(1-N249*(15+(IF(CNTR_SubPeriod=EUconst_NA,1,CNTR_SubPeriod)-1)*5))</f>
        <v>2.8319999999999998E-2</v>
      </c>
      <c r="R249" s="411">
        <f t="shared" ref="R249:R280" si="6">$M249*(1-O249*(15+(IF(CNTR_SubPeriod=EUconst_NA,1,CNTR_SubPeriod)-1)*5))</f>
        <v>2.0059999999999998E-2</v>
      </c>
      <c r="S249" s="1883">
        <f>0.0228</f>
        <v>2.2800000000000001E-2</v>
      </c>
    </row>
    <row r="250" spans="1:19" ht="13" x14ac:dyDescent="0.3">
      <c r="A250" s="388" t="str">
        <f t="shared" ref="A250:A300" si="7">VLOOKUP(B250,$A$218:$B$245,2,0)</f>
        <v xml:space="preserve">Produktion av koks </v>
      </c>
      <c r="B250" s="389">
        <v>3</v>
      </c>
      <c r="C250" s="389">
        <f>C249+1</f>
        <v>2</v>
      </c>
      <c r="D250" s="390" t="str">
        <f t="shared" si="2"/>
        <v>03.02</v>
      </c>
      <c r="E250" s="389" t="str">
        <f>Translations!$B$1256</f>
        <v>Koks</v>
      </c>
      <c r="F250" s="389" t="str">
        <f t="shared" ref="F250:F274" si="8">EUconst_Tons</f>
        <v>ton</v>
      </c>
      <c r="G250" s="389" t="b">
        <v>1</v>
      </c>
      <c r="H250" s="389" t="b">
        <v>0</v>
      </c>
      <c r="I250" s="389" t="str">
        <f>""</f>
        <v/>
      </c>
      <c r="J250" s="391" t="str">
        <f>""</f>
        <v/>
      </c>
      <c r="K250" s="389" t="b">
        <v>1</v>
      </c>
      <c r="L250" s="389" t="b">
        <v>0</v>
      </c>
      <c r="M250" s="395">
        <v>0.28599999999999998</v>
      </c>
      <c r="N250" s="396">
        <f t="shared" si="3"/>
        <v>2E-3</v>
      </c>
      <c r="O250" s="793">
        <f t="shared" si="4"/>
        <v>1.6E-2</v>
      </c>
      <c r="P250" s="1886">
        <v>1.6E-2</v>
      </c>
      <c r="Q250" s="794">
        <f t="shared" si="5"/>
        <v>0.27455999999999997</v>
      </c>
      <c r="R250" s="411">
        <f t="shared" si="6"/>
        <v>0.19447999999999996</v>
      </c>
      <c r="S250" s="1883">
        <f>0.217</f>
        <v>0.217</v>
      </c>
    </row>
    <row r="251" spans="1:19" ht="13" x14ac:dyDescent="0.3">
      <c r="A251" s="388" t="str">
        <f t="shared" si="7"/>
        <v xml:space="preserve">Rostning och sintring, inklusive pelletering, av metallhaltig malm (inklusive sulfidmalm) </v>
      </c>
      <c r="B251" s="389">
        <v>4</v>
      </c>
      <c r="C251" s="389">
        <f t="shared" ref="C251:C300" si="9">C250+1</f>
        <v>3</v>
      </c>
      <c r="D251" s="390" t="str">
        <f t="shared" si="2"/>
        <v>04.03</v>
      </c>
      <c r="E251" s="389" t="str">
        <f>Translations!$B$1257</f>
        <v>Sintrad järnmalm</v>
      </c>
      <c r="F251" s="389" t="str">
        <f t="shared" si="8"/>
        <v>ton</v>
      </c>
      <c r="G251" s="389" t="b">
        <v>1</v>
      </c>
      <c r="H251" s="389" t="b">
        <v>0</v>
      </c>
      <c r="I251" s="389" t="str">
        <f>""</f>
        <v/>
      </c>
      <c r="J251" s="391" t="str">
        <f>""</f>
        <v/>
      </c>
      <c r="K251" s="389" t="b">
        <v>1</v>
      </c>
      <c r="L251" s="389" t="b">
        <v>0</v>
      </c>
      <c r="M251" s="395">
        <v>0.17100000000000001</v>
      </c>
      <c r="N251" s="396">
        <f t="shared" si="3"/>
        <v>2E-3</v>
      </c>
      <c r="O251" s="793">
        <f t="shared" si="4"/>
        <v>1.6E-2</v>
      </c>
      <c r="P251" s="1886">
        <v>5.2786614463260868E-3</v>
      </c>
      <c r="Q251" s="794">
        <f t="shared" si="5"/>
        <v>0.16416</v>
      </c>
      <c r="R251" s="411">
        <f t="shared" si="6"/>
        <v>0.11627999999999999</v>
      </c>
      <c r="S251" s="1883">
        <f>0.157</f>
        <v>0.157</v>
      </c>
    </row>
    <row r="252" spans="1:19" ht="13" x14ac:dyDescent="0.3">
      <c r="A252" s="388" t="str">
        <f t="shared" si="7"/>
        <v xml:space="preserve">Produktion av råjärn eller stål (primär eller sekundär smältning), inklusive utrustning för kontinuerlig gjutning, med en kapacitet som överstiger 2,5 ton per timme </v>
      </c>
      <c r="B252" s="389">
        <v>5</v>
      </c>
      <c r="C252" s="389">
        <f t="shared" si="9"/>
        <v>4</v>
      </c>
      <c r="D252" s="390" t="str">
        <f t="shared" si="2"/>
        <v>05.04</v>
      </c>
      <c r="E252" s="389" t="str">
        <f>Translations!$B$1258</f>
        <v>Råjärn</v>
      </c>
      <c r="F252" s="389" t="str">
        <f t="shared" si="8"/>
        <v>ton</v>
      </c>
      <c r="G252" s="389" t="b">
        <v>1</v>
      </c>
      <c r="H252" s="389" t="b">
        <v>0</v>
      </c>
      <c r="I252" s="389" t="str">
        <f>""</f>
        <v/>
      </c>
      <c r="J252" s="391" t="str">
        <f>""</f>
        <v/>
      </c>
      <c r="K252" s="389" t="b">
        <v>1</v>
      </c>
      <c r="L252" s="389" t="b">
        <v>0</v>
      </c>
      <c r="M252" s="395">
        <v>1.3280000000000001</v>
      </c>
      <c r="N252" s="396">
        <f t="shared" si="3"/>
        <v>2E-3</v>
      </c>
      <c r="O252" s="793">
        <f t="shared" si="4"/>
        <v>1.6E-2</v>
      </c>
      <c r="P252" s="1886">
        <v>2E-3</v>
      </c>
      <c r="Q252" s="794">
        <f t="shared" si="5"/>
        <v>1.27488</v>
      </c>
      <c r="R252" s="411">
        <f t="shared" si="6"/>
        <v>0.90303999999999995</v>
      </c>
      <c r="S252" s="1883">
        <f>1.288</f>
        <v>1.288</v>
      </c>
    </row>
    <row r="253" spans="1:19" ht="13" x14ac:dyDescent="0.3">
      <c r="A253" s="388" t="str">
        <f t="shared" si="7"/>
        <v xml:space="preserve">Produktion av råjärn eller stål (primär eller sekundär smältning), inklusive utrustning för kontinuerlig gjutning, med en kapacitet som överstiger 2,5 ton per timme </v>
      </c>
      <c r="B253" s="389">
        <v>5</v>
      </c>
      <c r="C253" s="389">
        <f t="shared" si="9"/>
        <v>5</v>
      </c>
      <c r="D253" s="390" t="str">
        <f t="shared" si="2"/>
        <v>05.05</v>
      </c>
      <c r="E253" s="389" t="str">
        <f>Translations!$B$1259</f>
        <v>EAF-kolstål</v>
      </c>
      <c r="F253" s="389" t="str">
        <f t="shared" si="8"/>
        <v>ton</v>
      </c>
      <c r="G253" s="389" t="b">
        <v>1</v>
      </c>
      <c r="H253" s="389" t="b">
        <v>1</v>
      </c>
      <c r="I253" s="389" t="str">
        <f>""</f>
        <v/>
      </c>
      <c r="J253" s="391" t="str">
        <f>""</f>
        <v/>
      </c>
      <c r="K253" s="389" t="b">
        <v>1</v>
      </c>
      <c r="L253" s="389" t="b">
        <v>0</v>
      </c>
      <c r="M253" s="395">
        <v>0.28299999999999997</v>
      </c>
      <c r="N253" s="396">
        <f t="shared" si="3"/>
        <v>2E-3</v>
      </c>
      <c r="O253" s="793">
        <f t="shared" si="4"/>
        <v>1.6E-2</v>
      </c>
      <c r="P253" s="1886">
        <v>1.6E-2</v>
      </c>
      <c r="Q253" s="794">
        <f t="shared" si="5"/>
        <v>0.27167999999999998</v>
      </c>
      <c r="R253" s="411">
        <f t="shared" si="6"/>
        <v>0.19243999999999997</v>
      </c>
      <c r="S253" s="1883">
        <f>0.215</f>
        <v>0.215</v>
      </c>
    </row>
    <row r="254" spans="1:19" ht="13" x14ac:dyDescent="0.3">
      <c r="A254" s="388" t="str">
        <f t="shared" si="7"/>
        <v xml:space="preserve">Produktion av råjärn eller stål (primär eller sekundär smältning), inklusive utrustning för kontinuerlig gjutning, med en kapacitet som överstiger 2,5 ton per timme </v>
      </c>
      <c r="B254" s="389">
        <v>5</v>
      </c>
      <c r="C254" s="389">
        <f t="shared" si="9"/>
        <v>6</v>
      </c>
      <c r="D254" s="390" t="str">
        <f t="shared" si="2"/>
        <v>05.06</v>
      </c>
      <c r="E254" s="389" t="str">
        <f>Translations!$B$1260</f>
        <v>Höglegerat EAF-stål</v>
      </c>
      <c r="F254" s="389" t="str">
        <f t="shared" si="8"/>
        <v>ton</v>
      </c>
      <c r="G254" s="389" t="b">
        <v>1</v>
      </c>
      <c r="H254" s="389" t="b">
        <v>1</v>
      </c>
      <c r="I254" s="389" t="str">
        <f>""</f>
        <v/>
      </c>
      <c r="J254" s="391" t="str">
        <f>""</f>
        <v/>
      </c>
      <c r="K254" s="389" t="b">
        <v>1</v>
      </c>
      <c r="L254" s="389" t="b">
        <v>0</v>
      </c>
      <c r="M254" s="395">
        <v>0.35199999999999998</v>
      </c>
      <c r="N254" s="396">
        <f t="shared" si="3"/>
        <v>2E-3</v>
      </c>
      <c r="O254" s="793">
        <f t="shared" si="4"/>
        <v>1.6E-2</v>
      </c>
      <c r="P254" s="1886">
        <v>1.6E-2</v>
      </c>
      <c r="Q254" s="794">
        <f t="shared" si="5"/>
        <v>0.33791999999999994</v>
      </c>
      <c r="R254" s="411">
        <f t="shared" si="6"/>
        <v>0.23935999999999996</v>
      </c>
      <c r="S254" s="1883">
        <f>0.268</f>
        <v>0.26800000000000002</v>
      </c>
    </row>
    <row r="255" spans="1:19" ht="13" x14ac:dyDescent="0.3">
      <c r="A255" s="388" t="str">
        <f t="shared" si="7"/>
        <v>Produktion eller bearbetning av järnmetaller (inklusive ferrolegeringar) där förbränningsenheter med en sammanlagd tillförd effekt på mer än 20 MW används. Häri ingår bland annat valsverk, värmningsugnar, värmebehandlingsugnar, smedjor, gjuterier sam</v>
      </c>
      <c r="B255" s="389">
        <v>6</v>
      </c>
      <c r="C255" s="389">
        <f t="shared" si="9"/>
        <v>7</v>
      </c>
      <c r="D255" s="390" t="str">
        <f t="shared" si="2"/>
        <v>06.07</v>
      </c>
      <c r="E255" s="389" t="str">
        <f>Translations!$B$1261</f>
        <v>Järngjutning</v>
      </c>
      <c r="F255" s="389" t="str">
        <f t="shared" si="8"/>
        <v>ton</v>
      </c>
      <c r="G255" s="389" t="b">
        <v>1</v>
      </c>
      <c r="H255" s="389" t="b">
        <v>1</v>
      </c>
      <c r="I255" s="389" t="str">
        <f>""</f>
        <v/>
      </c>
      <c r="J255" s="391" t="str">
        <f>""</f>
        <v/>
      </c>
      <c r="K255" s="389" t="b">
        <v>1</v>
      </c>
      <c r="L255" s="389" t="b">
        <v>0</v>
      </c>
      <c r="M255" s="395">
        <v>0.32500000000000001</v>
      </c>
      <c r="N255" s="396">
        <f t="shared" si="3"/>
        <v>2E-3</v>
      </c>
      <c r="O255" s="793">
        <f t="shared" si="4"/>
        <v>1.6E-2</v>
      </c>
      <c r="P255" s="1886">
        <v>8.903797357729195E-3</v>
      </c>
      <c r="Q255" s="794">
        <f t="shared" si="5"/>
        <v>0.312</v>
      </c>
      <c r="R255" s="411">
        <f t="shared" si="6"/>
        <v>0.22099999999999997</v>
      </c>
      <c r="S255" s="1883">
        <f>0.282</f>
        <v>0.28199999999999997</v>
      </c>
    </row>
    <row r="256" spans="1:19" ht="13" x14ac:dyDescent="0.3">
      <c r="A256" s="388" t="str">
        <f t="shared" si="7"/>
        <v xml:space="preserve">Produktion av primäraluminium </v>
      </c>
      <c r="B256" s="389">
        <v>7</v>
      </c>
      <c r="C256" s="389">
        <f t="shared" si="9"/>
        <v>8</v>
      </c>
      <c r="D256" s="390" t="str">
        <f t="shared" si="2"/>
        <v>07.08</v>
      </c>
      <c r="E256" s="389" t="str">
        <f>Translations!$B$1262</f>
        <v>Prebake-anoder</v>
      </c>
      <c r="F256" s="389" t="str">
        <f t="shared" si="8"/>
        <v>ton</v>
      </c>
      <c r="G256" s="389" t="b">
        <v>1</v>
      </c>
      <c r="H256" s="389" t="b">
        <v>0</v>
      </c>
      <c r="I256" s="389" t="str">
        <f>""</f>
        <v/>
      </c>
      <c r="J256" s="391" t="str">
        <f>""</f>
        <v/>
      </c>
      <c r="K256" s="389" t="b">
        <v>1</v>
      </c>
      <c r="L256" s="389" t="b">
        <v>0</v>
      </c>
      <c r="M256" s="395">
        <v>0.32400000000000001</v>
      </c>
      <c r="N256" s="396">
        <f t="shared" si="3"/>
        <v>2E-3</v>
      </c>
      <c r="O256" s="793">
        <f t="shared" si="4"/>
        <v>1.6E-2</v>
      </c>
      <c r="P256" s="1886">
        <v>2.5579440618460994E-3</v>
      </c>
      <c r="Q256" s="794">
        <f t="shared" si="5"/>
        <v>0.31103999999999998</v>
      </c>
      <c r="R256" s="411">
        <f t="shared" si="6"/>
        <v>0.22031999999999999</v>
      </c>
      <c r="S256" s="1883">
        <f>0.312</f>
        <v>0.312</v>
      </c>
    </row>
    <row r="257" spans="1:19" ht="13" x14ac:dyDescent="0.3">
      <c r="A257" s="388" t="str">
        <f t="shared" si="7"/>
        <v xml:space="preserve">Produktion av primäraluminium </v>
      </c>
      <c r="B257" s="389">
        <v>7</v>
      </c>
      <c r="C257" s="389">
        <f t="shared" si="9"/>
        <v>9</v>
      </c>
      <c r="D257" s="390" t="str">
        <f t="shared" si="2"/>
        <v>07.09</v>
      </c>
      <c r="E257" s="389" t="str">
        <f>Translations!$B$1263</f>
        <v>(Primär)aluminium</v>
      </c>
      <c r="F257" s="389" t="str">
        <f t="shared" si="8"/>
        <v>ton</v>
      </c>
      <c r="G257" s="389" t="b">
        <v>1</v>
      </c>
      <c r="H257" s="389" t="b">
        <v>0</v>
      </c>
      <c r="I257" s="389" t="str">
        <f>""</f>
        <v/>
      </c>
      <c r="J257" s="391" t="str">
        <f>""</f>
        <v/>
      </c>
      <c r="K257" s="389" t="b">
        <v>1</v>
      </c>
      <c r="L257" s="389" t="b">
        <v>0</v>
      </c>
      <c r="M257" s="395">
        <v>1.514</v>
      </c>
      <c r="N257" s="396">
        <f t="shared" si="3"/>
        <v>2E-3</v>
      </c>
      <c r="O257" s="793">
        <f t="shared" si="4"/>
        <v>1.6E-2</v>
      </c>
      <c r="P257" s="1886">
        <v>2.1897986454517187E-3</v>
      </c>
      <c r="Q257" s="794">
        <f t="shared" si="5"/>
        <v>1.4534400000000001</v>
      </c>
      <c r="R257" s="411">
        <f t="shared" si="6"/>
        <v>1.02952</v>
      </c>
      <c r="S257" s="1883">
        <f>1.464</f>
        <v>1.464</v>
      </c>
    </row>
    <row r="258" spans="1:19" ht="13" x14ac:dyDescent="0.3">
      <c r="A258" s="388" t="str">
        <f t="shared" si="7"/>
        <v xml:space="preserve">Produktion av cementklinker i roterugnar med en produktionskapacitet som överstiger 500 ton per dag, eller i andra typer av ugnar med en produktionskapacitet som överstiger 50 ton per dag </v>
      </c>
      <c r="B258" s="389">
        <v>10</v>
      </c>
      <c r="C258" s="389">
        <f t="shared" si="9"/>
        <v>10</v>
      </c>
      <c r="D258" s="390" t="str">
        <f t="shared" si="2"/>
        <v>10.10</v>
      </c>
      <c r="E258" s="389" t="str">
        <f>Translations!$B$1264</f>
        <v>Grå cementklinker</v>
      </c>
      <c r="F258" s="389" t="str">
        <f t="shared" si="8"/>
        <v>ton</v>
      </c>
      <c r="G258" s="389" t="b">
        <v>1</v>
      </c>
      <c r="H258" s="389" t="b">
        <v>0</v>
      </c>
      <c r="I258" s="389" t="str">
        <f>""</f>
        <v/>
      </c>
      <c r="J258" s="391" t="str">
        <f>""</f>
        <v/>
      </c>
      <c r="K258" s="389" t="b">
        <v>1</v>
      </c>
      <c r="L258" s="389" t="b">
        <v>0</v>
      </c>
      <c r="M258" s="395">
        <v>0.76600000000000001</v>
      </c>
      <c r="N258" s="396">
        <f t="shared" si="3"/>
        <v>2E-3</v>
      </c>
      <c r="O258" s="793">
        <f t="shared" si="4"/>
        <v>1.6E-2</v>
      </c>
      <c r="P258" s="1886">
        <v>6.3297698343118452E-3</v>
      </c>
      <c r="Q258" s="794">
        <f t="shared" si="5"/>
        <v>0.73536000000000001</v>
      </c>
      <c r="R258" s="411">
        <f t="shared" si="6"/>
        <v>0.52088000000000001</v>
      </c>
      <c r="S258" s="1883">
        <f>0.693</f>
        <v>0.69299999999999995</v>
      </c>
    </row>
    <row r="259" spans="1:19" ht="13" x14ac:dyDescent="0.3">
      <c r="A259" s="388" t="str">
        <f t="shared" si="7"/>
        <v xml:space="preserve">Produktion av cementklinker i roterugnar med en produktionskapacitet som överstiger 500 ton per dag, eller i andra typer av ugnar med en produktionskapacitet som överstiger 50 ton per dag </v>
      </c>
      <c r="B259" s="389">
        <v>10</v>
      </c>
      <c r="C259" s="389">
        <f t="shared" si="9"/>
        <v>11</v>
      </c>
      <c r="D259" s="390" t="str">
        <f t="shared" si="2"/>
        <v>10.11</v>
      </c>
      <c r="E259" s="389" t="str">
        <f>Translations!$B$1265</f>
        <v>Vit cementklinker</v>
      </c>
      <c r="F259" s="389" t="str">
        <f t="shared" si="8"/>
        <v>ton</v>
      </c>
      <c r="G259" s="389" t="b">
        <v>1</v>
      </c>
      <c r="H259" s="389" t="b">
        <v>0</v>
      </c>
      <c r="I259" s="389" t="str">
        <f>""</f>
        <v/>
      </c>
      <c r="J259" s="391" t="str">
        <f>""</f>
        <v/>
      </c>
      <c r="K259" s="389" t="b">
        <v>1</v>
      </c>
      <c r="L259" s="389" t="b">
        <v>0</v>
      </c>
      <c r="M259" s="395">
        <v>0.98699999999999999</v>
      </c>
      <c r="N259" s="396">
        <f t="shared" si="3"/>
        <v>2E-3</v>
      </c>
      <c r="O259" s="793">
        <f t="shared" si="4"/>
        <v>1.6E-2</v>
      </c>
      <c r="P259" s="1886">
        <v>2E-3</v>
      </c>
      <c r="Q259" s="794">
        <f t="shared" si="5"/>
        <v>0.94751999999999992</v>
      </c>
      <c r="R259" s="411">
        <f t="shared" si="6"/>
        <v>0.67115999999999998</v>
      </c>
      <c r="S259" s="1883">
        <f>0.957</f>
        <v>0.95699999999999996</v>
      </c>
    </row>
    <row r="260" spans="1:19" ht="13" x14ac:dyDescent="0.3">
      <c r="A260" s="388" t="str">
        <f t="shared" si="7"/>
        <v xml:space="preserve">Produktion av kalk eller bränning av dolomit eller magnesit i roterugnar eller i andra typer av ugnar med en produktionskapacitet som överstiger 50 ton per dag </v>
      </c>
      <c r="B260" s="389">
        <v>11</v>
      </c>
      <c r="C260" s="389">
        <f t="shared" si="9"/>
        <v>12</v>
      </c>
      <c r="D260" s="390" t="str">
        <f t="shared" si="2"/>
        <v>11.12</v>
      </c>
      <c r="E260" s="389" t="str">
        <f>Translations!$B$808</f>
        <v>Kalk</v>
      </c>
      <c r="F260" s="389" t="str">
        <f t="shared" si="8"/>
        <v>ton</v>
      </c>
      <c r="G260" s="389" t="b">
        <v>1</v>
      </c>
      <c r="H260" s="389" t="b">
        <v>0</v>
      </c>
      <c r="I260" s="389" t="str">
        <f>Translations!$B$1266</f>
        <v>Var god använd kalkverktyget i bladet ”SpecialBM” för att beräkna historiska verksamhetsnivåer.</v>
      </c>
      <c r="J260" s="391" t="str">
        <f>"#JUMP_H_II"</f>
        <v>#JUMP_H_II</v>
      </c>
      <c r="K260" s="389" t="b">
        <v>1</v>
      </c>
      <c r="L260" s="389" t="b">
        <v>0</v>
      </c>
      <c r="M260" s="395">
        <v>0.95399999999999996</v>
      </c>
      <c r="N260" s="396">
        <f t="shared" si="3"/>
        <v>2E-3</v>
      </c>
      <c r="O260" s="793">
        <f t="shared" si="4"/>
        <v>1.6E-2</v>
      </c>
      <c r="P260" s="1886">
        <v>1.6E-2</v>
      </c>
      <c r="Q260" s="794">
        <f t="shared" si="5"/>
        <v>0.91583999999999988</v>
      </c>
      <c r="R260" s="411">
        <f t="shared" si="6"/>
        <v>0.64871999999999996</v>
      </c>
      <c r="S260" s="1883">
        <f>0.725</f>
        <v>0.72499999999999998</v>
      </c>
    </row>
    <row r="261" spans="1:19" ht="13" x14ac:dyDescent="0.3">
      <c r="A261" s="388" t="str">
        <f t="shared" si="7"/>
        <v xml:space="preserve">Produktion av kalk eller bränning av dolomit eller magnesit i roterugnar eller i andra typer av ugnar med en produktionskapacitet som överstiger 50 ton per dag </v>
      </c>
      <c r="B261" s="389">
        <v>11</v>
      </c>
      <c r="C261" s="389">
        <f t="shared" si="9"/>
        <v>13</v>
      </c>
      <c r="D261" s="390" t="str">
        <f t="shared" si="2"/>
        <v>11.13</v>
      </c>
      <c r="E261" s="389" t="str">
        <f>Translations!$B$825</f>
        <v>Dolime</v>
      </c>
      <c r="F261" s="389" t="str">
        <f t="shared" si="8"/>
        <v>ton</v>
      </c>
      <c r="G261" s="389" t="b">
        <v>1</v>
      </c>
      <c r="H261" s="389" t="b">
        <v>0</v>
      </c>
      <c r="I261" s="389" t="str">
        <f>Translations!$B$1267</f>
        <v>Var god använd dolimeverktyget i bladet ”SpecialBM” för att beräkna historiska verksamhetsnivåer.</v>
      </c>
      <c r="J261" s="391" t="str">
        <f>"#JUMP_H_III"</f>
        <v>#JUMP_H_III</v>
      </c>
      <c r="K261" s="389" t="b">
        <v>1</v>
      </c>
      <c r="L261" s="389" t="b">
        <v>0</v>
      </c>
      <c r="M261" s="395">
        <v>1.0720000000000001</v>
      </c>
      <c r="N261" s="396">
        <f t="shared" si="3"/>
        <v>2E-3</v>
      </c>
      <c r="O261" s="793">
        <f t="shared" si="4"/>
        <v>1.6E-2</v>
      </c>
      <c r="P261" s="1886">
        <v>1.6E-2</v>
      </c>
      <c r="Q261" s="794">
        <f t="shared" si="5"/>
        <v>1.02912</v>
      </c>
      <c r="R261" s="411">
        <f t="shared" si="6"/>
        <v>0.72895999999999994</v>
      </c>
      <c r="S261" s="1883">
        <f>0.815</f>
        <v>0.81499999999999995</v>
      </c>
    </row>
    <row r="262" spans="1:19" ht="13" x14ac:dyDescent="0.3">
      <c r="A262" s="388" t="str">
        <f t="shared" si="7"/>
        <v xml:space="preserve">Produktion av kalk eller bränning av dolomit eller magnesit i roterugnar eller i andra typer av ugnar med en produktionskapacitet som överstiger 50 ton per dag </v>
      </c>
      <c r="B262" s="389">
        <v>11</v>
      </c>
      <c r="C262" s="389">
        <f t="shared" si="9"/>
        <v>14</v>
      </c>
      <c r="D262" s="390" t="str">
        <f t="shared" si="2"/>
        <v>11.14</v>
      </c>
      <c r="E262" s="389" t="str">
        <f>Translations!$B$1268</f>
        <v>Sintrad dolime</v>
      </c>
      <c r="F262" s="389" t="str">
        <f t="shared" si="8"/>
        <v>ton</v>
      </c>
      <c r="G262" s="389" t="b">
        <v>1</v>
      </c>
      <c r="H262" s="389" t="b">
        <v>0</v>
      </c>
      <c r="I262" s="389" t="str">
        <f>""</f>
        <v/>
      </c>
      <c r="J262" s="391" t="str">
        <f>""</f>
        <v/>
      </c>
      <c r="K262" s="389" t="b">
        <v>1</v>
      </c>
      <c r="L262" s="389" t="b">
        <v>0</v>
      </c>
      <c r="M262" s="395">
        <v>1.4490000000000001</v>
      </c>
      <c r="N262" s="396">
        <f t="shared" si="3"/>
        <v>2E-3</v>
      </c>
      <c r="O262" s="793">
        <f t="shared" si="4"/>
        <v>1.6E-2</v>
      </c>
      <c r="P262" s="1886">
        <v>2E-3</v>
      </c>
      <c r="Q262" s="794">
        <f t="shared" si="5"/>
        <v>1.3910400000000001</v>
      </c>
      <c r="R262" s="411">
        <f t="shared" si="6"/>
        <v>0.98531999999999997</v>
      </c>
      <c r="S262" s="1883">
        <f>1.406</f>
        <v>1.4059999999999999</v>
      </c>
    </row>
    <row r="263" spans="1:19" ht="13" x14ac:dyDescent="0.3">
      <c r="A263" s="388" t="str">
        <f t="shared" si="7"/>
        <v xml:space="preserve">Tillverkning av glas inklusive glasfibrer, med en smältningskapacitet som överstiger 20 ton per dag </v>
      </c>
      <c r="B263" s="389">
        <v>12</v>
      </c>
      <c r="C263" s="389">
        <f t="shared" si="9"/>
        <v>15</v>
      </c>
      <c r="D263" s="390" t="str">
        <f t="shared" si="2"/>
        <v>12.15</v>
      </c>
      <c r="E263" s="389" t="str">
        <f>Translations!$B$1269</f>
        <v>Flytglas</v>
      </c>
      <c r="F263" s="389" t="str">
        <f t="shared" si="8"/>
        <v>ton</v>
      </c>
      <c r="G263" s="389" t="b">
        <v>1</v>
      </c>
      <c r="H263" s="389" t="b">
        <v>0</v>
      </c>
      <c r="I263" s="389" t="str">
        <f>""</f>
        <v/>
      </c>
      <c r="J263" s="391" t="str">
        <f>""</f>
        <v/>
      </c>
      <c r="K263" s="389" t="b">
        <v>1</v>
      </c>
      <c r="L263" s="389" t="b">
        <v>0</v>
      </c>
      <c r="M263" s="395">
        <v>0.45300000000000001</v>
      </c>
      <c r="N263" s="396">
        <f t="shared" si="3"/>
        <v>2E-3</v>
      </c>
      <c r="O263" s="793">
        <f t="shared" si="4"/>
        <v>1.6E-2</v>
      </c>
      <c r="P263" s="1886">
        <v>7.957760694729742E-3</v>
      </c>
      <c r="Q263" s="794">
        <f t="shared" si="5"/>
        <v>0.43487999999999999</v>
      </c>
      <c r="R263" s="411">
        <f t="shared" si="6"/>
        <v>0.30803999999999998</v>
      </c>
      <c r="S263" s="1883">
        <f>0.399</f>
        <v>0.39900000000000002</v>
      </c>
    </row>
    <row r="264" spans="1:19" ht="13" x14ac:dyDescent="0.3">
      <c r="A264" s="388" t="str">
        <f t="shared" si="7"/>
        <v xml:space="preserve">Tillverkning av glas inklusive glasfibrer, med en smältningskapacitet som överstiger 20 ton per dag </v>
      </c>
      <c r="B264" s="389">
        <v>12</v>
      </c>
      <c r="C264" s="389">
        <f t="shared" si="9"/>
        <v>16</v>
      </c>
      <c r="D264" s="390" t="str">
        <f t="shared" si="2"/>
        <v>12.16</v>
      </c>
      <c r="E264" s="389" t="str">
        <f>Translations!$B$1270</f>
        <v>Flaskor och burkar av ofärgat glas</v>
      </c>
      <c r="F264" s="389" t="str">
        <f t="shared" si="8"/>
        <v>ton</v>
      </c>
      <c r="G264" s="389" t="b">
        <v>1</v>
      </c>
      <c r="H264" s="389" t="b">
        <v>0</v>
      </c>
      <c r="I264" s="389" t="str">
        <f>""</f>
        <v/>
      </c>
      <c r="J264" s="391" t="str">
        <f>""</f>
        <v/>
      </c>
      <c r="K264" s="389" t="b">
        <v>1</v>
      </c>
      <c r="L264" s="389" t="b">
        <v>0</v>
      </c>
      <c r="M264" s="395">
        <v>0.38200000000000001</v>
      </c>
      <c r="N264" s="396">
        <f t="shared" si="3"/>
        <v>2E-3</v>
      </c>
      <c r="O264" s="793">
        <f t="shared" si="4"/>
        <v>1.6E-2</v>
      </c>
      <c r="P264" s="1886">
        <v>1.6E-2</v>
      </c>
      <c r="Q264" s="794">
        <f t="shared" si="5"/>
        <v>0.36671999999999999</v>
      </c>
      <c r="R264" s="411">
        <f t="shared" si="6"/>
        <v>0.25975999999999999</v>
      </c>
      <c r="S264" s="1883">
        <f>0.29</f>
        <v>0.28999999999999998</v>
      </c>
    </row>
    <row r="265" spans="1:19" ht="13" x14ac:dyDescent="0.3">
      <c r="A265" s="388" t="str">
        <f t="shared" si="7"/>
        <v xml:space="preserve">Tillverkning av glas inklusive glasfibrer, med en smältningskapacitet som överstiger 20 ton per dag </v>
      </c>
      <c r="B265" s="389">
        <v>12</v>
      </c>
      <c r="C265" s="389">
        <f t="shared" si="9"/>
        <v>17</v>
      </c>
      <c r="D265" s="390" t="str">
        <f t="shared" si="2"/>
        <v>12.17</v>
      </c>
      <c r="E265" s="389" t="str">
        <f>Translations!$B$1271</f>
        <v>Flaskor och burkar av färgat glas</v>
      </c>
      <c r="F265" s="389" t="str">
        <f t="shared" si="8"/>
        <v>ton</v>
      </c>
      <c r="G265" s="389" t="b">
        <v>1</v>
      </c>
      <c r="H265" s="389" t="b">
        <v>0</v>
      </c>
      <c r="I265" s="389" t="str">
        <f>""</f>
        <v/>
      </c>
      <c r="J265" s="391" t="str">
        <f>""</f>
        <v/>
      </c>
      <c r="K265" s="389" t="b">
        <v>1</v>
      </c>
      <c r="L265" s="389" t="b">
        <v>0</v>
      </c>
      <c r="M265" s="395">
        <v>0.30599999999999999</v>
      </c>
      <c r="N265" s="396">
        <f t="shared" si="3"/>
        <v>2E-3</v>
      </c>
      <c r="O265" s="793">
        <f t="shared" si="4"/>
        <v>1.6E-2</v>
      </c>
      <c r="P265" s="1886">
        <v>1.4967985131793069E-2</v>
      </c>
      <c r="Q265" s="794">
        <f t="shared" si="5"/>
        <v>0.29375999999999997</v>
      </c>
      <c r="R265" s="411">
        <f t="shared" si="6"/>
        <v>0.20807999999999999</v>
      </c>
      <c r="S265" s="1883">
        <f>0.237</f>
        <v>0.23699999999999999</v>
      </c>
    </row>
    <row r="266" spans="1:19" ht="13" x14ac:dyDescent="0.3">
      <c r="A266" s="388" t="str">
        <f t="shared" si="7"/>
        <v xml:space="preserve">Tillverkning av glas inklusive glasfibrer, med en smältningskapacitet som överstiger 20 ton per dag </v>
      </c>
      <c r="B266" s="389">
        <v>12</v>
      </c>
      <c r="C266" s="389">
        <f t="shared" si="9"/>
        <v>18</v>
      </c>
      <c r="D266" s="390" t="str">
        <f t="shared" si="2"/>
        <v>12.18</v>
      </c>
      <c r="E266" s="389" t="str">
        <f>Translations!$B$1272</f>
        <v>Produkter av glasfiber</v>
      </c>
      <c r="F266" s="389" t="str">
        <f t="shared" si="8"/>
        <v>ton</v>
      </c>
      <c r="G266" s="389" t="b">
        <v>1</v>
      </c>
      <c r="H266" s="389" t="b">
        <v>0</v>
      </c>
      <c r="I266" s="389" t="str">
        <f>""</f>
        <v/>
      </c>
      <c r="J266" s="391" t="str">
        <f>""</f>
        <v/>
      </c>
      <c r="K266" s="389" t="b">
        <v>1</v>
      </c>
      <c r="L266" s="389" t="b">
        <v>0</v>
      </c>
      <c r="M266" s="395">
        <v>0.40600000000000003</v>
      </c>
      <c r="N266" s="396">
        <f t="shared" si="3"/>
        <v>2E-3</v>
      </c>
      <c r="O266" s="793">
        <f t="shared" si="4"/>
        <v>1.6E-2</v>
      </c>
      <c r="P266" s="1886">
        <v>1.6E-2</v>
      </c>
      <c r="Q266" s="794">
        <f t="shared" si="5"/>
        <v>0.38976</v>
      </c>
      <c r="R266" s="411">
        <f t="shared" si="6"/>
        <v>0.27607999999999999</v>
      </c>
      <c r="S266" s="1883">
        <f>0.309</f>
        <v>0.309</v>
      </c>
    </row>
    <row r="267" spans="1:19" ht="13" x14ac:dyDescent="0.3">
      <c r="A267" s="388" t="str">
        <f t="shared" si="7"/>
        <v xml:space="preserve">Tillverkning av keramiska produkter genom bränning, i synnerhet takpannor, tegel, eldfast tegel, kakel, stengods eller porslin, med en produktionskapacitet som överstiger 75 ton per dag </v>
      </c>
      <c r="B267" s="389">
        <v>13</v>
      </c>
      <c r="C267" s="389">
        <f t="shared" si="9"/>
        <v>19</v>
      </c>
      <c r="D267" s="390" t="str">
        <f t="shared" si="2"/>
        <v>13.19</v>
      </c>
      <c r="E267" s="389" t="str">
        <f>Translations!$B$1273</f>
        <v>Fasadtegel</v>
      </c>
      <c r="F267" s="389" t="str">
        <f t="shared" si="8"/>
        <v>ton</v>
      </c>
      <c r="G267" s="389" t="b">
        <v>1</v>
      </c>
      <c r="H267" s="389" t="b">
        <v>0</v>
      </c>
      <c r="I267" s="389" t="str">
        <f>""</f>
        <v/>
      </c>
      <c r="J267" s="391" t="str">
        <f>""</f>
        <v/>
      </c>
      <c r="K267" s="389" t="b">
        <v>1</v>
      </c>
      <c r="L267" s="389" t="b">
        <v>0</v>
      </c>
      <c r="M267" s="395">
        <v>0.13900000000000001</v>
      </c>
      <c r="N267" s="396">
        <f t="shared" si="3"/>
        <v>2E-3</v>
      </c>
      <c r="O267" s="793">
        <f t="shared" si="4"/>
        <v>1.6E-2</v>
      </c>
      <c r="P267" s="1886">
        <v>1.6E-2</v>
      </c>
      <c r="Q267" s="794">
        <f t="shared" si="5"/>
        <v>0.13344</v>
      </c>
      <c r="R267" s="411">
        <f t="shared" si="6"/>
        <v>9.4519999999999993E-2</v>
      </c>
      <c r="S267" s="1883">
        <f>0.106</f>
        <v>0.106</v>
      </c>
    </row>
    <row r="268" spans="1:19" ht="13" x14ac:dyDescent="0.3">
      <c r="A268" s="388" t="str">
        <f t="shared" si="7"/>
        <v xml:space="preserve">Tillverkning av keramiska produkter genom bränning, i synnerhet takpannor, tegel, eldfast tegel, kakel, stengods eller porslin, med en produktionskapacitet som överstiger 75 ton per dag </v>
      </c>
      <c r="B268" s="389">
        <v>13</v>
      </c>
      <c r="C268" s="389">
        <f t="shared" si="9"/>
        <v>20</v>
      </c>
      <c r="D268" s="390" t="str">
        <f t="shared" si="2"/>
        <v>13.20</v>
      </c>
      <c r="E268" s="389" t="str">
        <f>Translations!$B$1274</f>
        <v>Marktegel</v>
      </c>
      <c r="F268" s="389" t="str">
        <f t="shared" si="8"/>
        <v>ton</v>
      </c>
      <c r="G268" s="389" t="b">
        <v>1</v>
      </c>
      <c r="H268" s="389" t="b">
        <v>0</v>
      </c>
      <c r="I268" s="389" t="str">
        <f>""</f>
        <v/>
      </c>
      <c r="J268" s="391" t="str">
        <f>""</f>
        <v/>
      </c>
      <c r="K268" s="389" t="b">
        <v>1</v>
      </c>
      <c r="L268" s="389" t="b">
        <v>0</v>
      </c>
      <c r="M268" s="395">
        <v>0.192</v>
      </c>
      <c r="N268" s="396">
        <f t="shared" si="3"/>
        <v>2E-3</v>
      </c>
      <c r="O268" s="793">
        <f t="shared" si="4"/>
        <v>1.6E-2</v>
      </c>
      <c r="P268" s="1886">
        <v>1.6E-2</v>
      </c>
      <c r="Q268" s="794">
        <f t="shared" si="5"/>
        <v>0.18431999999999998</v>
      </c>
      <c r="R268" s="411">
        <f t="shared" si="6"/>
        <v>0.13055999999999998</v>
      </c>
      <c r="S268" s="1883">
        <f>0.146</f>
        <v>0.14599999999999999</v>
      </c>
    </row>
    <row r="269" spans="1:19" ht="13" x14ac:dyDescent="0.3">
      <c r="A269" s="388" t="str">
        <f t="shared" si="7"/>
        <v xml:space="preserve">Tillverkning av keramiska produkter genom bränning, i synnerhet takpannor, tegel, eldfast tegel, kakel, stengods eller porslin, med en produktionskapacitet som överstiger 75 ton per dag </v>
      </c>
      <c r="B269" s="389">
        <v>13</v>
      </c>
      <c r="C269" s="389">
        <f t="shared" si="9"/>
        <v>21</v>
      </c>
      <c r="D269" s="390" t="str">
        <f t="shared" si="2"/>
        <v>13.21</v>
      </c>
      <c r="E269" s="389" t="str">
        <f>Translations!$B$1275</f>
        <v>Takpannor</v>
      </c>
      <c r="F269" s="389" t="str">
        <f t="shared" si="8"/>
        <v>ton</v>
      </c>
      <c r="G269" s="389" t="b">
        <v>1</v>
      </c>
      <c r="H269" s="389" t="b">
        <v>0</v>
      </c>
      <c r="I269" s="389" t="str">
        <f>""</f>
        <v/>
      </c>
      <c r="J269" s="391" t="str">
        <f>""</f>
        <v/>
      </c>
      <c r="K269" s="389" t="b">
        <v>1</v>
      </c>
      <c r="L269" s="389" t="b">
        <v>0</v>
      </c>
      <c r="M269" s="395">
        <v>0.14399999999999999</v>
      </c>
      <c r="N269" s="396">
        <f t="shared" si="3"/>
        <v>2E-3</v>
      </c>
      <c r="O269" s="793">
        <f t="shared" si="4"/>
        <v>1.6E-2</v>
      </c>
      <c r="P269" s="1886">
        <v>1.1108539831847293E-2</v>
      </c>
      <c r="Q269" s="794">
        <f t="shared" si="5"/>
        <v>0.13823999999999997</v>
      </c>
      <c r="R269" s="411">
        <f t="shared" si="6"/>
        <v>9.7919999999999979E-2</v>
      </c>
      <c r="S269" s="1883">
        <f>0.12</f>
        <v>0.12</v>
      </c>
    </row>
    <row r="270" spans="1:19" ht="13" x14ac:dyDescent="0.3">
      <c r="A270" s="388" t="str">
        <f t="shared" si="7"/>
        <v xml:space="preserve">Tillverkning av keramiska produkter genom bränning, i synnerhet takpannor, tegel, eldfast tegel, kakel, stengods eller porslin, med en produktionskapacitet som överstiger 75 ton per dag </v>
      </c>
      <c r="B270" s="389">
        <v>13</v>
      </c>
      <c r="C270" s="389">
        <f t="shared" si="9"/>
        <v>22</v>
      </c>
      <c r="D270" s="390" t="str">
        <f t="shared" si="2"/>
        <v>13.22</v>
      </c>
      <c r="E270" s="389" t="str">
        <f>Translations!$B$1276</f>
        <v>Spraytorkat pulver</v>
      </c>
      <c r="F270" s="389" t="str">
        <f t="shared" si="8"/>
        <v>ton</v>
      </c>
      <c r="G270" s="389" t="b">
        <v>1</v>
      </c>
      <c r="H270" s="389" t="b">
        <v>0</v>
      </c>
      <c r="I270" s="389" t="str">
        <f>""</f>
        <v/>
      </c>
      <c r="J270" s="391" t="str">
        <f>""</f>
        <v/>
      </c>
      <c r="K270" s="389" t="b">
        <v>1</v>
      </c>
      <c r="L270" s="389" t="b">
        <v>0</v>
      </c>
      <c r="M270" s="395">
        <v>7.5999999999999998E-2</v>
      </c>
      <c r="N270" s="396">
        <f t="shared" si="3"/>
        <v>2E-3</v>
      </c>
      <c r="O270" s="793">
        <f t="shared" si="4"/>
        <v>1.6E-2</v>
      </c>
      <c r="P270" s="1886">
        <v>1.6E-2</v>
      </c>
      <c r="Q270" s="794">
        <f t="shared" si="5"/>
        <v>7.2959999999999997E-2</v>
      </c>
      <c r="R270" s="411">
        <f t="shared" si="6"/>
        <v>5.1679999999999997E-2</v>
      </c>
      <c r="S270" s="1883">
        <f>0.058</f>
        <v>5.8000000000000003E-2</v>
      </c>
    </row>
    <row r="271" spans="1:19" ht="13" x14ac:dyDescent="0.3">
      <c r="A271" s="388" t="str">
        <f t="shared" si="7"/>
        <v xml:space="preserve">Tillverkning av isoleringsmaterial av mineralull som görs av glas, sten eller slagg, med en smältningskapacitet som överstiger 20 ton per dag </v>
      </c>
      <c r="B271" s="389">
        <v>14</v>
      </c>
      <c r="C271" s="389">
        <f t="shared" si="9"/>
        <v>23</v>
      </c>
      <c r="D271" s="390" t="str">
        <f t="shared" si="2"/>
        <v>14.23</v>
      </c>
      <c r="E271" s="389" t="str">
        <f>Translations!$B$1277</f>
        <v>Mineralull</v>
      </c>
      <c r="F271" s="389" t="str">
        <f t="shared" si="8"/>
        <v>ton</v>
      </c>
      <c r="G271" s="389" t="b">
        <v>1</v>
      </c>
      <c r="H271" s="389" t="b">
        <v>1</v>
      </c>
      <c r="I271" s="389" t="str">
        <f>""</f>
        <v/>
      </c>
      <c r="J271" s="391" t="str">
        <f>""</f>
        <v/>
      </c>
      <c r="K271" s="389" t="b">
        <v>1</v>
      </c>
      <c r="L271" s="389" t="b">
        <v>0</v>
      </c>
      <c r="M271" s="395">
        <v>0.68200000000000005</v>
      </c>
      <c r="N271" s="396">
        <f t="shared" si="3"/>
        <v>2E-3</v>
      </c>
      <c r="O271" s="793">
        <f t="shared" si="4"/>
        <v>1.6E-2</v>
      </c>
      <c r="P271" s="1886">
        <v>1.4249463393826021E-2</v>
      </c>
      <c r="Q271" s="794">
        <f t="shared" si="5"/>
        <v>0.65472000000000008</v>
      </c>
      <c r="R271" s="411">
        <f t="shared" si="6"/>
        <v>0.46376000000000001</v>
      </c>
      <c r="S271" s="1883">
        <f>0.536</f>
        <v>0.53600000000000003</v>
      </c>
    </row>
    <row r="272" spans="1:19" ht="13" x14ac:dyDescent="0.3">
      <c r="A272" s="388" t="str">
        <f t="shared" si="7"/>
        <v xml:space="preserve">Torkning eller bränning av gips eller framställning av gipsplattor och andra gipsprodukter, där förbränningsenheter med en sammanlagd tillförd effekt på mer än 20 MW används </v>
      </c>
      <c r="B272" s="389">
        <v>15</v>
      </c>
      <c r="C272" s="389">
        <f t="shared" si="9"/>
        <v>24</v>
      </c>
      <c r="D272" s="390" t="str">
        <f t="shared" si="2"/>
        <v>15.24</v>
      </c>
      <c r="E272" s="389" t="str">
        <f>Translations!$B$1278</f>
        <v>Gips</v>
      </c>
      <c r="F272" s="389" t="str">
        <f t="shared" si="8"/>
        <v>ton</v>
      </c>
      <c r="G272" s="389" t="b">
        <v>1</v>
      </c>
      <c r="H272" s="389" t="b">
        <v>0</v>
      </c>
      <c r="I272" s="389" t="str">
        <f>""</f>
        <v/>
      </c>
      <c r="J272" s="391" t="str">
        <f>""</f>
        <v/>
      </c>
      <c r="K272" s="389" t="b">
        <v>1</v>
      </c>
      <c r="L272" s="389" t="b">
        <v>0</v>
      </c>
      <c r="M272" s="395">
        <v>4.8000000000000001E-2</v>
      </c>
      <c r="N272" s="396">
        <f t="shared" si="3"/>
        <v>2E-3</v>
      </c>
      <c r="O272" s="793">
        <f t="shared" si="4"/>
        <v>1.6E-2</v>
      </c>
      <c r="P272" s="1886">
        <v>2E-3</v>
      </c>
      <c r="Q272" s="794">
        <f t="shared" si="5"/>
        <v>4.6079999999999996E-2</v>
      </c>
      <c r="R272" s="411">
        <f t="shared" si="6"/>
        <v>3.2639999999999995E-2</v>
      </c>
      <c r="S272" s="1883">
        <f>0.047</f>
        <v>4.7E-2</v>
      </c>
    </row>
    <row r="273" spans="1:19" ht="13" x14ac:dyDescent="0.3">
      <c r="A273" s="388" t="str">
        <f t="shared" si="7"/>
        <v xml:space="preserve">Torkning eller bränning av gips eller framställning av gipsplattor och andra gipsprodukter, där förbränningsenheter med en sammanlagd tillförd effekt på mer än 20 MW används </v>
      </c>
      <c r="B273" s="389">
        <v>15</v>
      </c>
      <c r="C273" s="389">
        <f t="shared" si="9"/>
        <v>25</v>
      </c>
      <c r="D273" s="390" t="str">
        <f t="shared" si="2"/>
        <v>15.25</v>
      </c>
      <c r="E273" s="389" t="str">
        <f>Translations!$B$1279</f>
        <v>Torkat sekundärt gips</v>
      </c>
      <c r="F273" s="389" t="str">
        <f t="shared" si="8"/>
        <v>ton</v>
      </c>
      <c r="G273" s="389" t="b">
        <v>1</v>
      </c>
      <c r="H273" s="389" t="b">
        <v>0</v>
      </c>
      <c r="I273" s="389" t="str">
        <f>""</f>
        <v/>
      </c>
      <c r="J273" s="391" t="str">
        <f>""</f>
        <v/>
      </c>
      <c r="K273" s="389" t="b">
        <v>1</v>
      </c>
      <c r="L273" s="389" t="b">
        <v>0</v>
      </c>
      <c r="M273" s="395">
        <v>1.7000000000000001E-2</v>
      </c>
      <c r="N273" s="396">
        <f t="shared" si="3"/>
        <v>2E-3</v>
      </c>
      <c r="O273" s="793">
        <f t="shared" si="4"/>
        <v>1.6E-2</v>
      </c>
      <c r="P273" s="1886">
        <v>1.6E-2</v>
      </c>
      <c r="Q273" s="794">
        <f t="shared" si="5"/>
        <v>1.6320000000000001E-2</v>
      </c>
      <c r="R273" s="411">
        <f t="shared" si="6"/>
        <v>1.1559999999999999E-2</v>
      </c>
      <c r="S273" s="1883">
        <f>0.013</f>
        <v>1.2999999999999999E-2</v>
      </c>
    </row>
    <row r="274" spans="1:19" ht="13" x14ac:dyDescent="0.3">
      <c r="A274" s="388" t="str">
        <f t="shared" si="7"/>
        <v xml:space="preserve">Torkning eller bränning av gips eller framställning av gipsplattor och andra gipsprodukter, där förbränningsenheter med en sammanlagd tillförd effekt på mer än 20 MW används </v>
      </c>
      <c r="B274" s="389">
        <v>15</v>
      </c>
      <c r="C274" s="389">
        <f t="shared" si="9"/>
        <v>26</v>
      </c>
      <c r="D274" s="390" t="str">
        <f t="shared" si="2"/>
        <v>15.26</v>
      </c>
      <c r="E274" s="389" t="str">
        <f>Translations!$B$1280</f>
        <v>Gipsskiva</v>
      </c>
      <c r="F274" s="389" t="str">
        <f t="shared" si="8"/>
        <v>ton</v>
      </c>
      <c r="G274" s="389" t="b">
        <v>0</v>
      </c>
      <c r="H274" s="389" t="b">
        <v>1</v>
      </c>
      <c r="I274" s="389" t="str">
        <f>""</f>
        <v/>
      </c>
      <c r="J274" s="391" t="str">
        <f>""</f>
        <v/>
      </c>
      <c r="K274" s="389" t="b">
        <v>1</v>
      </c>
      <c r="L274" s="389" t="b">
        <v>0</v>
      </c>
      <c r="M274" s="395">
        <v>0.13100000000000001</v>
      </c>
      <c r="N274" s="396">
        <f t="shared" si="3"/>
        <v>2E-3</v>
      </c>
      <c r="O274" s="793">
        <f t="shared" si="4"/>
        <v>1.6E-2</v>
      </c>
      <c r="P274" s="1886">
        <v>1.0582385618580171E-2</v>
      </c>
      <c r="Q274" s="794">
        <f t="shared" si="5"/>
        <v>0.12576000000000001</v>
      </c>
      <c r="R274" s="411">
        <f t="shared" si="6"/>
        <v>8.9079999999999993E-2</v>
      </c>
      <c r="S274" s="1883">
        <f>0.11</f>
        <v>0.11</v>
      </c>
    </row>
    <row r="275" spans="1:19" ht="13" x14ac:dyDescent="0.3">
      <c r="A275" s="388" t="str">
        <f t="shared" si="7"/>
        <v xml:space="preserve">Framställning av pappersmassa av trä eller andra fibermaterial </v>
      </c>
      <c r="B275" s="389">
        <v>16</v>
      </c>
      <c r="C275" s="389">
        <f t="shared" si="9"/>
        <v>27</v>
      </c>
      <c r="D275" s="390" t="str">
        <f t="shared" si="2"/>
        <v>16.27</v>
      </c>
      <c r="E275" s="389" t="str">
        <f>Translations!$B$1281</f>
        <v>Kortfibrig sulfatmassa</v>
      </c>
      <c r="F275" s="389" t="str">
        <f>Translations!$B$1282</f>
        <v>Adt</v>
      </c>
      <c r="G275" s="389" t="b">
        <v>1</v>
      </c>
      <c r="H275" s="389" t="b">
        <v>0</v>
      </c>
      <c r="I275" s="392" t="str">
        <f>Translations!$B$1283</f>
        <v>Notera att särskilda tilldelningsregler gäller för massa- och pappersproduktion (artikel 16.6 i FAR).</v>
      </c>
      <c r="J275" s="391" t="str">
        <f>""</f>
        <v/>
      </c>
      <c r="K275" s="389" t="b">
        <v>1</v>
      </c>
      <c r="L275" s="389" t="b">
        <v>1</v>
      </c>
      <c r="M275" s="395">
        <v>0.12</v>
      </c>
      <c r="N275" s="396">
        <f t="shared" si="3"/>
        <v>2E-3</v>
      </c>
      <c r="O275" s="793">
        <f t="shared" si="4"/>
        <v>1.6E-2</v>
      </c>
      <c r="P275" s="1886">
        <v>1.6E-2</v>
      </c>
      <c r="Q275" s="794">
        <f t="shared" si="5"/>
        <v>0.1152</v>
      </c>
      <c r="R275" s="411">
        <f t="shared" si="6"/>
        <v>8.1599999999999992E-2</v>
      </c>
      <c r="S275" s="1883">
        <f>0.091</f>
        <v>9.0999999999999998E-2</v>
      </c>
    </row>
    <row r="276" spans="1:19" ht="13" x14ac:dyDescent="0.3">
      <c r="A276" s="388" t="str">
        <f t="shared" si="7"/>
        <v xml:space="preserve">Framställning av pappersmassa av trä eller andra fibermaterial </v>
      </c>
      <c r="B276" s="389">
        <v>16</v>
      </c>
      <c r="C276" s="389">
        <f t="shared" si="9"/>
        <v>28</v>
      </c>
      <c r="D276" s="390" t="str">
        <f t="shared" si="2"/>
        <v>16.28</v>
      </c>
      <c r="E276" s="389" t="str">
        <f>Translations!$B$1284</f>
        <v>Långfibrig sulfatmassa</v>
      </c>
      <c r="F276" s="389" t="str">
        <f>Translations!$B$1282</f>
        <v>Adt</v>
      </c>
      <c r="G276" s="389" t="b">
        <v>1</v>
      </c>
      <c r="H276" s="389" t="b">
        <v>0</v>
      </c>
      <c r="I276" s="392" t="str">
        <f>Translations!$B$1283</f>
        <v>Notera att särskilda tilldelningsregler gäller för massa- och pappersproduktion (artikel 16.6 i FAR).</v>
      </c>
      <c r="J276" s="391" t="str">
        <f>""</f>
        <v/>
      </c>
      <c r="K276" s="389" t="b">
        <v>1</v>
      </c>
      <c r="L276" s="389" t="b">
        <v>1</v>
      </c>
      <c r="M276" s="395">
        <v>0.06</v>
      </c>
      <c r="N276" s="396">
        <f t="shared" si="3"/>
        <v>2E-3</v>
      </c>
      <c r="O276" s="793">
        <f t="shared" si="4"/>
        <v>1.6E-2</v>
      </c>
      <c r="P276" s="1886">
        <v>1.6E-2</v>
      </c>
      <c r="Q276" s="794">
        <f t="shared" si="5"/>
        <v>5.7599999999999998E-2</v>
      </c>
      <c r="R276" s="411">
        <f t="shared" si="6"/>
        <v>4.0799999999999996E-2</v>
      </c>
      <c r="S276" s="1883">
        <f>0.046</f>
        <v>4.5999999999999999E-2</v>
      </c>
    </row>
    <row r="277" spans="1:19" ht="13" x14ac:dyDescent="0.3">
      <c r="A277" s="388" t="str">
        <f t="shared" si="7"/>
        <v xml:space="preserve">Framställning av pappersmassa av trä eller andra fibermaterial </v>
      </c>
      <c r="B277" s="389">
        <v>16</v>
      </c>
      <c r="C277" s="389">
        <f t="shared" si="9"/>
        <v>29</v>
      </c>
      <c r="D277" s="390" t="str">
        <f t="shared" si="2"/>
        <v>16.29</v>
      </c>
      <c r="E277" s="389" t="str">
        <f>Translations!$B$1285</f>
        <v>Sulfitmassa, termomekanisk massa och mekanisk massa</v>
      </c>
      <c r="F277" s="389" t="str">
        <f>Translations!$B$1282</f>
        <v>Adt</v>
      </c>
      <c r="G277" s="389" t="b">
        <v>1</v>
      </c>
      <c r="H277" s="389" t="b">
        <v>0</v>
      </c>
      <c r="I277" s="392" t="str">
        <f>Translations!$B$1283</f>
        <v>Notera att särskilda tilldelningsregler gäller för massa- och pappersproduktion (artikel 16.6 i FAR).</v>
      </c>
      <c r="J277" s="391" t="str">
        <f>""</f>
        <v/>
      </c>
      <c r="K277" s="389" t="b">
        <v>1</v>
      </c>
      <c r="L277" s="389" t="b">
        <v>1</v>
      </c>
      <c r="M277" s="395">
        <v>0.02</v>
      </c>
      <c r="N277" s="396">
        <f t="shared" si="3"/>
        <v>2E-3</v>
      </c>
      <c r="O277" s="793">
        <f t="shared" si="4"/>
        <v>1.6E-2</v>
      </c>
      <c r="P277" s="1886">
        <v>1.6E-2</v>
      </c>
      <c r="Q277" s="794">
        <f t="shared" si="5"/>
        <v>1.9199999999999998E-2</v>
      </c>
      <c r="R277" s="411">
        <f t="shared" si="6"/>
        <v>1.3599999999999999E-2</v>
      </c>
      <c r="S277" s="1883">
        <f>0.015</f>
        <v>1.4999999999999999E-2</v>
      </c>
    </row>
    <row r="278" spans="1:19" ht="13" x14ac:dyDescent="0.3">
      <c r="A278" s="388" t="str">
        <f t="shared" si="7"/>
        <v xml:space="preserve">Framställning av pappersmassa av trä eller andra fibermaterial </v>
      </c>
      <c r="B278" s="389">
        <v>16</v>
      </c>
      <c r="C278" s="389">
        <f t="shared" si="9"/>
        <v>30</v>
      </c>
      <c r="D278" s="390" t="str">
        <f t="shared" si="2"/>
        <v>16.30</v>
      </c>
      <c r="E278" s="389" t="str">
        <f>Translations!$B$1286</f>
        <v>Returpappersmassa</v>
      </c>
      <c r="F278" s="389" t="str">
        <f>Translations!$B$1282</f>
        <v>Adt</v>
      </c>
      <c r="G278" s="389" t="b">
        <v>1</v>
      </c>
      <c r="H278" s="389" t="b">
        <v>0</v>
      </c>
      <c r="I278" s="389" t="str">
        <f>""</f>
        <v/>
      </c>
      <c r="J278" s="391" t="str">
        <f>""</f>
        <v/>
      </c>
      <c r="K278" s="389" t="b">
        <v>1</v>
      </c>
      <c r="L278" s="389" t="b">
        <v>0</v>
      </c>
      <c r="M278" s="395">
        <v>3.9E-2</v>
      </c>
      <c r="N278" s="396">
        <f t="shared" si="3"/>
        <v>2E-3</v>
      </c>
      <c r="O278" s="793">
        <f t="shared" si="4"/>
        <v>1.6E-2</v>
      </c>
      <c r="P278" s="1886">
        <v>1.6E-2</v>
      </c>
      <c r="Q278" s="794">
        <f t="shared" si="5"/>
        <v>3.7440000000000001E-2</v>
      </c>
      <c r="R278" s="411">
        <f t="shared" si="6"/>
        <v>2.6519999999999998E-2</v>
      </c>
      <c r="S278" s="1883">
        <f>0.03</f>
        <v>0.03</v>
      </c>
    </row>
    <row r="279" spans="1:19" ht="13" x14ac:dyDescent="0.3">
      <c r="A279" s="388" t="str">
        <f t="shared" si="7"/>
        <v xml:space="preserve">Framställning av papper eller kartong, där produktionskapaciteten överstiger 20 ton per dag </v>
      </c>
      <c r="B279" s="389">
        <v>17</v>
      </c>
      <c r="C279" s="389">
        <f t="shared" si="9"/>
        <v>31</v>
      </c>
      <c r="D279" s="390" t="str">
        <f t="shared" si="2"/>
        <v>17.31</v>
      </c>
      <c r="E279" s="389" t="str">
        <f>Translations!$B$1287</f>
        <v>Tidningspapper</v>
      </c>
      <c r="F279" s="389" t="str">
        <f>Translations!$B$1282</f>
        <v>Adt</v>
      </c>
      <c r="G279" s="389" t="b">
        <v>1</v>
      </c>
      <c r="H279" s="389" t="b">
        <v>0</v>
      </c>
      <c r="I279" s="389" t="str">
        <f>""</f>
        <v/>
      </c>
      <c r="J279" s="391" t="str">
        <f>""</f>
        <v/>
      </c>
      <c r="K279" s="389" t="b">
        <v>1</v>
      </c>
      <c r="L279" s="389" t="b">
        <v>0</v>
      </c>
      <c r="M279" s="395">
        <v>0.29799999999999999</v>
      </c>
      <c r="N279" s="396">
        <f t="shared" si="3"/>
        <v>2E-3</v>
      </c>
      <c r="O279" s="793">
        <f t="shared" si="4"/>
        <v>1.6E-2</v>
      </c>
      <c r="P279" s="1886">
        <v>1.6E-2</v>
      </c>
      <c r="Q279" s="794">
        <f t="shared" si="5"/>
        <v>0.28608</v>
      </c>
      <c r="R279" s="411">
        <f t="shared" si="6"/>
        <v>0.20263999999999996</v>
      </c>
      <c r="S279" s="1883">
        <f>0.226</f>
        <v>0.22600000000000001</v>
      </c>
    </row>
    <row r="280" spans="1:19" ht="13" x14ac:dyDescent="0.3">
      <c r="A280" s="388" t="str">
        <f t="shared" si="7"/>
        <v xml:space="preserve">Framställning av papper eller kartong, där produktionskapaciteten överstiger 20 ton per dag </v>
      </c>
      <c r="B280" s="389">
        <v>17</v>
      </c>
      <c r="C280" s="389">
        <f t="shared" si="9"/>
        <v>32</v>
      </c>
      <c r="D280" s="390" t="str">
        <f t="shared" si="2"/>
        <v>17.32</v>
      </c>
      <c r="E280" s="389" t="str">
        <f>Translations!$B$1288</f>
        <v>Obestruket finpapper</v>
      </c>
      <c r="F280" s="389" t="str">
        <f>Translations!$B$1282</f>
        <v>Adt</v>
      </c>
      <c r="G280" s="389" t="b">
        <v>1</v>
      </c>
      <c r="H280" s="389" t="b">
        <v>0</v>
      </c>
      <c r="I280" s="389" t="str">
        <f>""</f>
        <v/>
      </c>
      <c r="J280" s="391" t="str">
        <f>""</f>
        <v/>
      </c>
      <c r="K280" s="389" t="b">
        <v>1</v>
      </c>
      <c r="L280" s="389" t="b">
        <v>0</v>
      </c>
      <c r="M280" s="395">
        <v>0.318</v>
      </c>
      <c r="N280" s="396">
        <f t="shared" si="3"/>
        <v>2E-3</v>
      </c>
      <c r="O280" s="793">
        <f t="shared" si="4"/>
        <v>1.6E-2</v>
      </c>
      <c r="P280" s="1886">
        <v>1.6E-2</v>
      </c>
      <c r="Q280" s="794">
        <f t="shared" si="5"/>
        <v>0.30528</v>
      </c>
      <c r="R280" s="411">
        <f t="shared" si="6"/>
        <v>0.21623999999999999</v>
      </c>
      <c r="S280" s="1883">
        <f>0.242</f>
        <v>0.24199999999999999</v>
      </c>
    </row>
    <row r="281" spans="1:19" ht="13" x14ac:dyDescent="0.3">
      <c r="A281" s="388" t="str">
        <f t="shared" si="7"/>
        <v xml:space="preserve">Framställning av papper eller kartong, där produktionskapaciteten överstiger 20 ton per dag </v>
      </c>
      <c r="B281" s="389">
        <v>17</v>
      </c>
      <c r="C281" s="389">
        <f t="shared" si="9"/>
        <v>33</v>
      </c>
      <c r="D281" s="390" t="str">
        <f t="shared" ref="D281:D300" si="10">CONCATENATE(TEXT(B281,"00"),".",TEXT(C281,"00"))</f>
        <v>17.33</v>
      </c>
      <c r="E281" s="389" t="str">
        <f>Translations!$B$1289</f>
        <v>Bestruket finpapper</v>
      </c>
      <c r="F281" s="389" t="str">
        <f>Translations!$B$1282</f>
        <v>Adt</v>
      </c>
      <c r="G281" s="389" t="b">
        <v>1</v>
      </c>
      <c r="H281" s="389" t="b">
        <v>0</v>
      </c>
      <c r="I281" s="389" t="str">
        <f>""</f>
        <v/>
      </c>
      <c r="J281" s="391" t="str">
        <f>""</f>
        <v/>
      </c>
      <c r="K281" s="389" t="b">
        <v>1</v>
      </c>
      <c r="L281" s="389" t="b">
        <v>0</v>
      </c>
      <c r="M281" s="395">
        <v>0.318</v>
      </c>
      <c r="N281" s="396">
        <f t="shared" ref="N281:N300" si="11">INDEX(EUconst_BM_ARR_Range,1)</f>
        <v>2E-3</v>
      </c>
      <c r="O281" s="793">
        <f t="shared" ref="O281:O300" si="12">IF(AND(C281=4,CNTR_SubPeriod=1),INDEX(EUconst_BM_ARR_Range,1),INDEX(EUconst_BM_ARR_Range,2))</f>
        <v>1.6E-2</v>
      </c>
      <c r="P281" s="1886">
        <v>1.6E-2</v>
      </c>
      <c r="Q281" s="794">
        <f t="shared" ref="Q281:Q300" si="13">$M281*(1-N281*(15+(IF(CNTR_SubPeriod=EUconst_NA,1,CNTR_SubPeriod)-1)*5))</f>
        <v>0.30528</v>
      </c>
      <c r="R281" s="411">
        <f t="shared" ref="R281:R300" si="14">$M281*(1-O281*(15+(IF(CNTR_SubPeriod=EUconst_NA,1,CNTR_SubPeriod)-1)*5))</f>
        <v>0.21623999999999999</v>
      </c>
      <c r="S281" s="1883">
        <f>0.242</f>
        <v>0.24199999999999999</v>
      </c>
    </row>
    <row r="282" spans="1:19" ht="13" x14ac:dyDescent="0.3">
      <c r="A282" s="388" t="str">
        <f t="shared" si="7"/>
        <v xml:space="preserve">Framställning av papper eller kartong, där produktionskapaciteten överstiger 20 ton per dag </v>
      </c>
      <c r="B282" s="389">
        <v>17</v>
      </c>
      <c r="C282" s="389">
        <f t="shared" si="9"/>
        <v>34</v>
      </c>
      <c r="D282" s="390" t="str">
        <f t="shared" si="10"/>
        <v>17.34</v>
      </c>
      <c r="E282" s="389" t="str">
        <f>Translations!$B$1290</f>
        <v>Mjukpapper</v>
      </c>
      <c r="F282" s="389" t="str">
        <f>EUconst_Tons</f>
        <v>ton</v>
      </c>
      <c r="G282" s="389" t="b">
        <v>1</v>
      </c>
      <c r="H282" s="389" t="b">
        <v>0</v>
      </c>
      <c r="I282" s="389" t="str">
        <f>""</f>
        <v/>
      </c>
      <c r="J282" s="391" t="str">
        <f>""</f>
        <v/>
      </c>
      <c r="K282" s="389" t="b">
        <v>1</v>
      </c>
      <c r="L282" s="389" t="b">
        <v>0</v>
      </c>
      <c r="M282" s="395">
        <v>0.33400000000000002</v>
      </c>
      <c r="N282" s="396">
        <f t="shared" si="11"/>
        <v>2E-3</v>
      </c>
      <c r="O282" s="793">
        <f t="shared" si="12"/>
        <v>1.6E-2</v>
      </c>
      <c r="P282" s="1886">
        <v>1.6E-2</v>
      </c>
      <c r="Q282" s="794">
        <f t="shared" si="13"/>
        <v>0.32063999999999998</v>
      </c>
      <c r="R282" s="411">
        <f t="shared" si="14"/>
        <v>0.22711999999999999</v>
      </c>
      <c r="S282" s="1883">
        <f>0.254</f>
        <v>0.254</v>
      </c>
    </row>
    <row r="283" spans="1:19" ht="13" x14ac:dyDescent="0.3">
      <c r="A283" s="388" t="str">
        <f t="shared" si="7"/>
        <v xml:space="preserve">Framställning av papper eller kartong, där produktionskapaciteten överstiger 20 ton per dag </v>
      </c>
      <c r="B283" s="389">
        <v>17</v>
      </c>
      <c r="C283" s="389">
        <f t="shared" si="9"/>
        <v>35</v>
      </c>
      <c r="D283" s="390" t="str">
        <f t="shared" si="10"/>
        <v>17.35</v>
      </c>
      <c r="E283" s="389" t="str">
        <f>Translations!$B$1291</f>
        <v>Testliner och fluting</v>
      </c>
      <c r="F283" s="389" t="str">
        <f>Translations!$B$1282</f>
        <v>Adt</v>
      </c>
      <c r="G283" s="389" t="b">
        <v>1</v>
      </c>
      <c r="H283" s="389" t="b">
        <v>0</v>
      </c>
      <c r="I283" s="389" t="str">
        <f>""</f>
        <v/>
      </c>
      <c r="J283" s="391" t="str">
        <f>""</f>
        <v/>
      </c>
      <c r="K283" s="389" t="b">
        <v>1</v>
      </c>
      <c r="L283" s="389" t="b">
        <v>0</v>
      </c>
      <c r="M283" s="395">
        <v>0.248</v>
      </c>
      <c r="N283" s="396">
        <f t="shared" si="11"/>
        <v>2E-3</v>
      </c>
      <c r="O283" s="793">
        <f t="shared" si="12"/>
        <v>1.6E-2</v>
      </c>
      <c r="P283" s="1886">
        <v>1.6E-2</v>
      </c>
      <c r="Q283" s="794">
        <f t="shared" si="13"/>
        <v>0.23807999999999999</v>
      </c>
      <c r="R283" s="411">
        <f t="shared" si="14"/>
        <v>0.16863999999999998</v>
      </c>
      <c r="S283" s="1883">
        <f>0.188</f>
        <v>0.188</v>
      </c>
    </row>
    <row r="284" spans="1:19" ht="13" x14ac:dyDescent="0.3">
      <c r="A284" s="388" t="str">
        <f t="shared" si="7"/>
        <v xml:space="preserve">Framställning av papper eller kartong, där produktionskapaciteten överstiger 20 ton per dag </v>
      </c>
      <c r="B284" s="389">
        <v>17</v>
      </c>
      <c r="C284" s="389">
        <f t="shared" si="9"/>
        <v>36</v>
      </c>
      <c r="D284" s="390" t="str">
        <f t="shared" si="10"/>
        <v>17.36</v>
      </c>
      <c r="E284" s="389" t="str">
        <f>Translations!$B$1292</f>
        <v>Obestruken kartong</v>
      </c>
      <c r="F284" s="389" t="str">
        <f>Translations!$B$1282</f>
        <v>Adt</v>
      </c>
      <c r="G284" s="389" t="b">
        <v>1</v>
      </c>
      <c r="H284" s="389" t="b">
        <v>0</v>
      </c>
      <c r="I284" s="389" t="str">
        <f>""</f>
        <v/>
      </c>
      <c r="J284" s="391" t="str">
        <f>""</f>
        <v/>
      </c>
      <c r="K284" s="389" t="b">
        <v>1</v>
      </c>
      <c r="L284" s="389" t="b">
        <v>0</v>
      </c>
      <c r="M284" s="395">
        <v>0.23699999999999999</v>
      </c>
      <c r="N284" s="396">
        <f t="shared" si="11"/>
        <v>2E-3</v>
      </c>
      <c r="O284" s="793">
        <f t="shared" si="12"/>
        <v>1.6E-2</v>
      </c>
      <c r="P284" s="1886">
        <v>1.6E-2</v>
      </c>
      <c r="Q284" s="794">
        <f t="shared" si="13"/>
        <v>0.22751999999999997</v>
      </c>
      <c r="R284" s="411">
        <f t="shared" si="14"/>
        <v>0.16115999999999997</v>
      </c>
      <c r="S284" s="1883">
        <f>0.18</f>
        <v>0.18</v>
      </c>
    </row>
    <row r="285" spans="1:19" ht="13" x14ac:dyDescent="0.3">
      <c r="A285" s="388" t="str">
        <f t="shared" si="7"/>
        <v xml:space="preserve">Framställning av papper eller kartong, där produktionskapaciteten överstiger 20 ton per dag </v>
      </c>
      <c r="B285" s="389">
        <v>17</v>
      </c>
      <c r="C285" s="389">
        <f t="shared" si="9"/>
        <v>37</v>
      </c>
      <c r="D285" s="390" t="str">
        <f t="shared" si="10"/>
        <v>17.37</v>
      </c>
      <c r="E285" s="389" t="str">
        <f>Translations!$B$1293</f>
        <v>Bestruken kartong</v>
      </c>
      <c r="F285" s="389" t="str">
        <f>Translations!$B$1282</f>
        <v>Adt</v>
      </c>
      <c r="G285" s="389" t="b">
        <v>1</v>
      </c>
      <c r="H285" s="389" t="b">
        <v>0</v>
      </c>
      <c r="I285" s="389" t="str">
        <f>""</f>
        <v/>
      </c>
      <c r="J285" s="391" t="str">
        <f>""</f>
        <v/>
      </c>
      <c r="K285" s="389" t="b">
        <v>1</v>
      </c>
      <c r="L285" s="389" t="b">
        <v>0</v>
      </c>
      <c r="M285" s="395">
        <v>0.27300000000000002</v>
      </c>
      <c r="N285" s="396">
        <f t="shared" si="11"/>
        <v>2E-3</v>
      </c>
      <c r="O285" s="793">
        <f t="shared" si="12"/>
        <v>1.6E-2</v>
      </c>
      <c r="P285" s="1886">
        <v>1.6E-2</v>
      </c>
      <c r="Q285" s="794">
        <f t="shared" si="13"/>
        <v>0.26208000000000004</v>
      </c>
      <c r="R285" s="411">
        <f t="shared" si="14"/>
        <v>0.18564</v>
      </c>
      <c r="S285" s="1883">
        <f>0.207</f>
        <v>0.20699999999999999</v>
      </c>
    </row>
    <row r="286" spans="1:19" ht="13" x14ac:dyDescent="0.3">
      <c r="A286" s="388" t="str">
        <f t="shared" si="7"/>
        <v xml:space="preserve">Produktion av kimrök som inbegriper förkolning av organiska ämnen som oljor, tjäror, kracknings- och destillationsrester, där förbränningsenheter med en sammanlagd tillförd effekt på mer än 20 MW används </v>
      </c>
      <c r="B286" s="389">
        <v>18</v>
      </c>
      <c r="C286" s="389">
        <f t="shared" si="9"/>
        <v>38</v>
      </c>
      <c r="D286" s="390" t="str">
        <f t="shared" si="10"/>
        <v>18.38</v>
      </c>
      <c r="E286" s="389" t="str">
        <f>Translations!$B$1294</f>
        <v>Kimrök</v>
      </c>
      <c r="F286" s="389" t="str">
        <f>EUconst_Tons</f>
        <v>ton</v>
      </c>
      <c r="G286" s="389" t="b">
        <v>1</v>
      </c>
      <c r="H286" s="389" t="b">
        <v>1</v>
      </c>
      <c r="I286" s="389" t="str">
        <f>""</f>
        <v/>
      </c>
      <c r="J286" s="391" t="str">
        <f>""</f>
        <v/>
      </c>
      <c r="K286" s="389" t="b">
        <v>1</v>
      </c>
      <c r="L286" s="389" t="b">
        <v>0</v>
      </c>
      <c r="M286" s="395">
        <v>1.954</v>
      </c>
      <c r="N286" s="396">
        <f t="shared" si="11"/>
        <v>2E-3</v>
      </c>
      <c r="O286" s="793">
        <f t="shared" si="12"/>
        <v>1.6E-2</v>
      </c>
      <c r="P286" s="1886">
        <v>1.6E-2</v>
      </c>
      <c r="Q286" s="794">
        <f t="shared" si="13"/>
        <v>1.87584</v>
      </c>
      <c r="R286" s="411">
        <f t="shared" si="14"/>
        <v>1.3287199999999999</v>
      </c>
      <c r="S286" s="1883">
        <f>1.485</f>
        <v>1.4850000000000001</v>
      </c>
    </row>
    <row r="287" spans="1:19" ht="13" x14ac:dyDescent="0.3">
      <c r="A287" s="388" t="str">
        <f t="shared" si="7"/>
        <v xml:space="preserve">Produktion av salpetersyra </v>
      </c>
      <c r="B287" s="389">
        <v>19</v>
      </c>
      <c r="C287" s="389">
        <f t="shared" si="9"/>
        <v>39</v>
      </c>
      <c r="D287" s="390" t="str">
        <f t="shared" si="10"/>
        <v>19.39</v>
      </c>
      <c r="E287" s="389" t="str">
        <f>Translations!$B$1295</f>
        <v>Salpetersyra</v>
      </c>
      <c r="F287" s="389" t="str">
        <f>EUconst_Tons</f>
        <v>ton</v>
      </c>
      <c r="G287" s="389" t="b">
        <v>1</v>
      </c>
      <c r="H287" s="389" t="b">
        <v>0</v>
      </c>
      <c r="I287" s="392" t="str">
        <f>Translations!$B$1296</f>
        <v>Mätbar värme som levereras till andra delanläggningar ska behandlas som värme från källor utanför ETS.</v>
      </c>
      <c r="J287" s="391" t="str">
        <f>""</f>
        <v/>
      </c>
      <c r="K287" s="389" t="b">
        <v>1</v>
      </c>
      <c r="L287" s="389" t="b">
        <v>0</v>
      </c>
      <c r="M287" s="395">
        <v>0.30199999999999999</v>
      </c>
      <c r="N287" s="396">
        <f t="shared" si="11"/>
        <v>2E-3</v>
      </c>
      <c r="O287" s="793">
        <f t="shared" si="12"/>
        <v>1.6E-2</v>
      </c>
      <c r="P287" s="1886">
        <v>1.6E-2</v>
      </c>
      <c r="Q287" s="794">
        <f t="shared" si="13"/>
        <v>0.28991999999999996</v>
      </c>
      <c r="R287" s="411">
        <f t="shared" si="14"/>
        <v>0.20535999999999999</v>
      </c>
      <c r="S287" s="1883">
        <f>0.23</f>
        <v>0.23</v>
      </c>
    </row>
    <row r="288" spans="1:19" ht="13" x14ac:dyDescent="0.3">
      <c r="A288" s="388" t="str">
        <f t="shared" si="7"/>
        <v xml:space="preserve">Produktion av adipinsyra </v>
      </c>
      <c r="B288" s="389">
        <v>20</v>
      </c>
      <c r="C288" s="389">
        <f t="shared" si="9"/>
        <v>40</v>
      </c>
      <c r="D288" s="390" t="str">
        <f t="shared" si="10"/>
        <v>20.40</v>
      </c>
      <c r="E288" s="389" t="str">
        <f>Translations!$B$1297</f>
        <v>Adipinsyra</v>
      </c>
      <c r="F288" s="389" t="str">
        <f>EUconst_Tons</f>
        <v>ton</v>
      </c>
      <c r="G288" s="389" t="b">
        <v>1</v>
      </c>
      <c r="H288" s="389" t="b">
        <v>0</v>
      </c>
      <c r="I288" s="389" t="str">
        <f>""</f>
        <v/>
      </c>
      <c r="J288" s="391" t="str">
        <f>""</f>
        <v/>
      </c>
      <c r="K288" s="389" t="b">
        <v>1</v>
      </c>
      <c r="L288" s="389" t="b">
        <v>0</v>
      </c>
      <c r="M288" s="395">
        <v>2.79</v>
      </c>
      <c r="N288" s="396">
        <f t="shared" si="11"/>
        <v>2E-3</v>
      </c>
      <c r="O288" s="793">
        <f t="shared" si="12"/>
        <v>1.6E-2</v>
      </c>
      <c r="P288" s="1886">
        <v>1.6E-2</v>
      </c>
      <c r="Q288" s="794">
        <f t="shared" si="13"/>
        <v>2.6783999999999999</v>
      </c>
      <c r="R288" s="411">
        <f t="shared" si="14"/>
        <v>1.8971999999999998</v>
      </c>
      <c r="S288" s="1883">
        <f>2.12</f>
        <v>2.12</v>
      </c>
    </row>
    <row r="289" spans="1:19" ht="13" x14ac:dyDescent="0.3">
      <c r="A289" s="388" t="str">
        <f t="shared" si="7"/>
        <v xml:space="preserve">Produktion av ammoniak </v>
      </c>
      <c r="B289" s="389">
        <v>22</v>
      </c>
      <c r="C289" s="389">
        <f t="shared" si="9"/>
        <v>41</v>
      </c>
      <c r="D289" s="390" t="str">
        <f t="shared" si="10"/>
        <v>22.41</v>
      </c>
      <c r="E289" s="389" t="str">
        <f>Translations!$B$1298</f>
        <v>Ammoniak</v>
      </c>
      <c r="F289" s="389" t="str">
        <f>EUconst_Tons</f>
        <v>ton</v>
      </c>
      <c r="G289" s="389" t="b">
        <v>1</v>
      </c>
      <c r="H289" s="389" t="b">
        <v>1</v>
      </c>
      <c r="I289" s="389" t="str">
        <f>""</f>
        <v/>
      </c>
      <c r="J289" s="391" t="str">
        <f>""</f>
        <v/>
      </c>
      <c r="K289" s="389" t="b">
        <v>1</v>
      </c>
      <c r="L289" s="389" t="b">
        <v>0</v>
      </c>
      <c r="M289" s="395">
        <v>1.619</v>
      </c>
      <c r="N289" s="396">
        <f t="shared" si="11"/>
        <v>2E-3</v>
      </c>
      <c r="O289" s="793">
        <f t="shared" si="12"/>
        <v>1.6E-2</v>
      </c>
      <c r="P289" s="1886">
        <v>2E-3</v>
      </c>
      <c r="Q289" s="794">
        <f t="shared" si="13"/>
        <v>1.5542399999999998</v>
      </c>
      <c r="R289" s="411">
        <f t="shared" si="14"/>
        <v>1.1009199999999999</v>
      </c>
      <c r="S289" s="1883">
        <f>1.57</f>
        <v>1.57</v>
      </c>
    </row>
    <row r="290" spans="1:19" ht="13" x14ac:dyDescent="0.3">
      <c r="A290" s="388" t="str">
        <f t="shared" si="7"/>
        <v xml:space="preserve">Produktion av organiska baskemikalier genom krackning, reformering, delvis eller full oxidation eller genom liknande processer, med en produktionskapacitet som överstiger 100 ton per dag </v>
      </c>
      <c r="B290" s="389">
        <v>23</v>
      </c>
      <c r="C290" s="389">
        <f t="shared" si="9"/>
        <v>42</v>
      </c>
      <c r="D290" s="390" t="str">
        <f t="shared" si="10"/>
        <v>23.42</v>
      </c>
      <c r="E290" s="389" t="str">
        <f>Translations!$B$839</f>
        <v>Ångkrackning</v>
      </c>
      <c r="F290" s="389" t="str">
        <f>EUconst_Tons</f>
        <v>ton</v>
      </c>
      <c r="G290" s="389" t="b">
        <v>1</v>
      </c>
      <c r="H290" s="389" t="b">
        <v>1</v>
      </c>
      <c r="I290" s="389" t="str">
        <f>Translations!$B$1299</f>
        <v>Var god använd ångkrackningsverktyget i bladet ”SpecialBM” för att beräkna historiska verksamhetsnivåer och preliminär tilldelning.</v>
      </c>
      <c r="J290" s="391" t="str">
        <f>"#JUMP_H_IV"</f>
        <v>#JUMP_H_IV</v>
      </c>
      <c r="K290" s="389" t="b">
        <v>1</v>
      </c>
      <c r="L290" s="389" t="b">
        <v>0</v>
      </c>
      <c r="M290" s="395">
        <v>0.70199999999999996</v>
      </c>
      <c r="N290" s="396">
        <f t="shared" si="11"/>
        <v>2E-3</v>
      </c>
      <c r="O290" s="793">
        <f t="shared" si="12"/>
        <v>1.6E-2</v>
      </c>
      <c r="P290" s="1886">
        <v>2E-3</v>
      </c>
      <c r="Q290" s="794">
        <f t="shared" si="13"/>
        <v>0.67391999999999996</v>
      </c>
      <c r="R290" s="411">
        <f t="shared" si="14"/>
        <v>0.47735999999999995</v>
      </c>
      <c r="S290" s="1883">
        <f>0.681</f>
        <v>0.68100000000000005</v>
      </c>
    </row>
    <row r="291" spans="1:19" ht="13" x14ac:dyDescent="0.3">
      <c r="A291" s="388" t="str">
        <f t="shared" si="7"/>
        <v xml:space="preserve">Produktion av organiska baskemikalier genom krackning, reformering, delvis eller full oxidation eller genom liknande processer, med en produktionskapacitet som överstiger 100 ton per dag </v>
      </c>
      <c r="B291" s="389">
        <v>23</v>
      </c>
      <c r="C291" s="389">
        <f t="shared" si="9"/>
        <v>43</v>
      </c>
      <c r="D291" s="390" t="str">
        <f t="shared" si="10"/>
        <v>23.43</v>
      </c>
      <c r="E291" s="389" t="str">
        <f>Translations!$B$1300</f>
        <v>Aromater</v>
      </c>
      <c r="F291" s="389" t="str">
        <f>Translations!$B$1254</f>
        <v>CWT</v>
      </c>
      <c r="G291" s="389" t="b">
        <v>1</v>
      </c>
      <c r="H291" s="389" t="b">
        <v>1</v>
      </c>
      <c r="I291" s="389" t="str">
        <f>Translations!$B$1255</f>
        <v>Var god använd CWT-verktyget i bladet ”SpecialBM” för att beräkna historiska verksamhetsnivåer.</v>
      </c>
      <c r="J291" s="391" t="str">
        <f>"#JUMP_H_V"</f>
        <v>#JUMP_H_V</v>
      </c>
      <c r="K291" s="389" t="b">
        <v>0</v>
      </c>
      <c r="L291" s="389" t="b">
        <v>0</v>
      </c>
      <c r="M291" s="395">
        <v>2.9499999999999998E-2</v>
      </c>
      <c r="N291" s="396">
        <f t="shared" si="11"/>
        <v>2E-3</v>
      </c>
      <c r="O291" s="793">
        <f t="shared" si="12"/>
        <v>1.6E-2</v>
      </c>
      <c r="P291" s="1886">
        <v>1.511693494765688E-2</v>
      </c>
      <c r="Q291" s="794">
        <f t="shared" si="13"/>
        <v>2.8319999999999998E-2</v>
      </c>
      <c r="R291" s="411">
        <f t="shared" si="14"/>
        <v>2.0059999999999998E-2</v>
      </c>
      <c r="S291" s="1883">
        <f>0.0228</f>
        <v>2.2800000000000001E-2</v>
      </c>
    </row>
    <row r="292" spans="1:19" ht="13" x14ac:dyDescent="0.3">
      <c r="A292" s="388" t="str">
        <f t="shared" si="7"/>
        <v xml:space="preserve">Produktion av organiska baskemikalier genom krackning, reformering, delvis eller full oxidation eller genom liknande processer, med en produktionskapacitet som överstiger 100 ton per dag </v>
      </c>
      <c r="B292" s="389">
        <v>23</v>
      </c>
      <c r="C292" s="389">
        <f t="shared" si="9"/>
        <v>44</v>
      </c>
      <c r="D292" s="390" t="str">
        <f t="shared" si="10"/>
        <v>23.44</v>
      </c>
      <c r="E292" s="389" t="str">
        <f>Translations!$B$1301</f>
        <v>Styren</v>
      </c>
      <c r="F292" s="389" t="str">
        <f t="shared" ref="F292:F300" si="15">EUconst_Tons</f>
        <v>ton</v>
      </c>
      <c r="G292" s="389" t="b">
        <v>1</v>
      </c>
      <c r="H292" s="389" t="b">
        <v>1</v>
      </c>
      <c r="I292" s="389" t="str">
        <f>""</f>
        <v/>
      </c>
      <c r="J292" s="391" t="str">
        <f>""</f>
        <v/>
      </c>
      <c r="K292" s="389" t="b">
        <v>1</v>
      </c>
      <c r="L292" s="389" t="b">
        <v>0</v>
      </c>
      <c r="M292" s="395">
        <v>0.52700000000000002</v>
      </c>
      <c r="N292" s="396">
        <f t="shared" si="11"/>
        <v>2E-3</v>
      </c>
      <c r="O292" s="793">
        <f t="shared" si="12"/>
        <v>1.6E-2</v>
      </c>
      <c r="P292" s="1886">
        <v>1.6E-2</v>
      </c>
      <c r="Q292" s="794">
        <f t="shared" si="13"/>
        <v>0.50592000000000004</v>
      </c>
      <c r="R292" s="411">
        <f t="shared" si="14"/>
        <v>0.35835999999999996</v>
      </c>
      <c r="S292" s="1883">
        <f>0.401</f>
        <v>0.40100000000000002</v>
      </c>
    </row>
    <row r="293" spans="1:19" ht="13" x14ac:dyDescent="0.3">
      <c r="A293" s="388" t="str">
        <f t="shared" si="7"/>
        <v xml:space="preserve">Produktion av organiska baskemikalier genom krackning, reformering, delvis eller full oxidation eller genom liknande processer, med en produktionskapacitet som överstiger 100 ton per dag </v>
      </c>
      <c r="B293" s="389">
        <v>23</v>
      </c>
      <c r="C293" s="389">
        <f t="shared" si="9"/>
        <v>45</v>
      </c>
      <c r="D293" s="390" t="str">
        <f t="shared" si="10"/>
        <v>23.45</v>
      </c>
      <c r="E293" s="389" t="str">
        <f>Translations!$B$1302</f>
        <v>Fenol/aceton</v>
      </c>
      <c r="F293" s="389" t="str">
        <f t="shared" si="15"/>
        <v>ton</v>
      </c>
      <c r="G293" s="389" t="b">
        <v>1</v>
      </c>
      <c r="H293" s="389" t="b">
        <v>0</v>
      </c>
      <c r="I293" s="389" t="str">
        <f>""</f>
        <v/>
      </c>
      <c r="J293" s="391" t="str">
        <f>""</f>
        <v/>
      </c>
      <c r="K293" s="389" t="b">
        <v>1</v>
      </c>
      <c r="L293" s="389" t="b">
        <v>0</v>
      </c>
      <c r="M293" s="395">
        <v>0.26600000000000001</v>
      </c>
      <c r="N293" s="396">
        <f t="shared" si="11"/>
        <v>2E-3</v>
      </c>
      <c r="O293" s="793">
        <f t="shared" si="12"/>
        <v>1.6E-2</v>
      </c>
      <c r="P293" s="1886">
        <v>9.0133547706168458E-3</v>
      </c>
      <c r="Q293" s="794">
        <f t="shared" si="13"/>
        <v>0.25536000000000003</v>
      </c>
      <c r="R293" s="411">
        <f t="shared" si="14"/>
        <v>0.18087999999999999</v>
      </c>
      <c r="S293" s="1883">
        <f>0.23</f>
        <v>0.23</v>
      </c>
    </row>
    <row r="294" spans="1:19" ht="13" x14ac:dyDescent="0.3">
      <c r="A294" s="388" t="str">
        <f t="shared" si="7"/>
        <v xml:space="preserve">Produktion av organiska baskemikalier genom krackning, reformering, delvis eller full oxidation eller genom liknande processer, med en produktionskapacitet som överstiger 100 ton per dag </v>
      </c>
      <c r="B294" s="389">
        <v>23</v>
      </c>
      <c r="C294" s="389">
        <f t="shared" si="9"/>
        <v>46</v>
      </c>
      <c r="D294" s="390" t="str">
        <f t="shared" si="10"/>
        <v>23.46</v>
      </c>
      <c r="E294" s="389" t="str">
        <f>Translations!$B$1303</f>
        <v>Etylenoxid och etylenglykoler</v>
      </c>
      <c r="F294" s="389" t="str">
        <f t="shared" si="15"/>
        <v>ton</v>
      </c>
      <c r="G294" s="389" t="b">
        <v>1</v>
      </c>
      <c r="H294" s="389" t="b">
        <v>1</v>
      </c>
      <c r="I294" s="389" t="str">
        <f>Translations!$B$1304</f>
        <v>Var god använd etylenoxid/etylenglykoler-verktyget i bladet ”SpecialBM” för att beräkna historiska verksamhetsnivåer.</v>
      </c>
      <c r="J294" s="391" t="str">
        <f>"#JUMP_H_VIII"</f>
        <v>#JUMP_H_VIII</v>
      </c>
      <c r="K294" s="389" t="b">
        <v>1</v>
      </c>
      <c r="L294" s="389" t="b">
        <v>0</v>
      </c>
      <c r="M294" s="395">
        <v>0.51200000000000001</v>
      </c>
      <c r="N294" s="396">
        <f t="shared" si="11"/>
        <v>2E-3</v>
      </c>
      <c r="O294" s="793">
        <f t="shared" si="12"/>
        <v>1.6E-2</v>
      </c>
      <c r="P294" s="1886">
        <v>1.6E-2</v>
      </c>
      <c r="Q294" s="794">
        <f t="shared" si="13"/>
        <v>0.49152000000000001</v>
      </c>
      <c r="R294" s="411">
        <f t="shared" si="14"/>
        <v>0.34815999999999997</v>
      </c>
      <c r="S294" s="1883">
        <f>0.389</f>
        <v>0.38900000000000001</v>
      </c>
    </row>
    <row r="295" spans="1:19" ht="13" x14ac:dyDescent="0.3">
      <c r="A295" s="388" t="str">
        <f t="shared" si="7"/>
        <v xml:space="preserve">Produktion av organiska baskemikalier genom krackning, reformering, delvis eller full oxidation eller genom liknande processer, med en produktionskapacitet som överstiger 100 ton per dag </v>
      </c>
      <c r="B295" s="389">
        <v>23</v>
      </c>
      <c r="C295" s="389">
        <f t="shared" si="9"/>
        <v>47</v>
      </c>
      <c r="D295" s="390" t="str">
        <f t="shared" si="10"/>
        <v>23.47</v>
      </c>
      <c r="E295" s="389" t="str">
        <f>Translations!$B$1305</f>
        <v>Vinylkloridmonomer</v>
      </c>
      <c r="F295" s="389" t="str">
        <f t="shared" si="15"/>
        <v>ton</v>
      </c>
      <c r="G295" s="389" t="b">
        <v>1</v>
      </c>
      <c r="H295" s="389" t="b">
        <v>0</v>
      </c>
      <c r="I295" s="389" t="str">
        <f>Translations!$B$1306</f>
        <v>Var god använd VCM-verktyget i bladet ”SpecialBM” för att beräkna preliminär tilldelning.</v>
      </c>
      <c r="J295" s="391" t="str">
        <f>"#JUMP_H_IX"</f>
        <v>#JUMP_H_IX</v>
      </c>
      <c r="K295" s="389" t="b">
        <v>1</v>
      </c>
      <c r="L295" s="389" t="b">
        <v>0</v>
      </c>
      <c r="M295" s="395">
        <v>0.20399999999999999</v>
      </c>
      <c r="N295" s="396">
        <f t="shared" si="11"/>
        <v>2E-3</v>
      </c>
      <c r="O295" s="793">
        <f t="shared" si="12"/>
        <v>1.6E-2</v>
      </c>
      <c r="P295" s="1886">
        <v>1.6E-2</v>
      </c>
      <c r="Q295" s="794">
        <f t="shared" si="13"/>
        <v>0.19583999999999999</v>
      </c>
      <c r="R295" s="411">
        <f t="shared" si="14"/>
        <v>0.13871999999999998</v>
      </c>
      <c r="S295" s="1883">
        <f>0.155</f>
        <v>0.155</v>
      </c>
    </row>
    <row r="296" spans="1:19" ht="13" x14ac:dyDescent="0.3">
      <c r="A296" s="388" t="str">
        <f t="shared" si="7"/>
        <v xml:space="preserve">Produktion av organiska baskemikalier genom krackning, reformering, delvis eller full oxidation eller genom liknande processer, med en produktionskapacitet som överstiger 100 ton per dag </v>
      </c>
      <c r="B296" s="389">
        <v>23</v>
      </c>
      <c r="C296" s="389">
        <f t="shared" si="9"/>
        <v>48</v>
      </c>
      <c r="D296" s="390" t="str">
        <f t="shared" si="10"/>
        <v>23.48</v>
      </c>
      <c r="E296" s="389" t="str">
        <f>Translations!$B$1307</f>
        <v>Suspensions-PVC (S-PVC)</v>
      </c>
      <c r="F296" s="389" t="str">
        <f t="shared" si="15"/>
        <v>ton</v>
      </c>
      <c r="G296" s="389" t="b">
        <v>1</v>
      </c>
      <c r="H296" s="389" t="b">
        <v>0</v>
      </c>
      <c r="I296" s="389" t="str">
        <f>""</f>
        <v/>
      </c>
      <c r="J296" s="391" t="str">
        <f>""</f>
        <v/>
      </c>
      <c r="K296" s="389" t="b">
        <v>1</v>
      </c>
      <c r="L296" s="389" t="b">
        <v>0</v>
      </c>
      <c r="M296" s="395">
        <v>8.5000000000000006E-2</v>
      </c>
      <c r="N296" s="396">
        <f t="shared" si="11"/>
        <v>2E-3</v>
      </c>
      <c r="O296" s="793">
        <f t="shared" si="12"/>
        <v>1.6E-2</v>
      </c>
      <c r="P296" s="1886">
        <v>1.5118962598975692E-2</v>
      </c>
      <c r="Q296" s="794">
        <f t="shared" si="13"/>
        <v>8.1600000000000006E-2</v>
      </c>
      <c r="R296" s="411">
        <f t="shared" si="14"/>
        <v>5.7799999999999997E-2</v>
      </c>
      <c r="S296" s="1883">
        <f>0.066</f>
        <v>6.6000000000000003E-2</v>
      </c>
    </row>
    <row r="297" spans="1:19" ht="13" x14ac:dyDescent="0.3">
      <c r="A297" s="388" t="str">
        <f t="shared" si="7"/>
        <v xml:space="preserve">Produktion av organiska baskemikalier genom krackning, reformering, delvis eller full oxidation eller genom liknande processer, med en produktionskapacitet som överstiger 100 ton per dag </v>
      </c>
      <c r="B297" s="389">
        <v>23</v>
      </c>
      <c r="C297" s="389">
        <f t="shared" si="9"/>
        <v>49</v>
      </c>
      <c r="D297" s="390" t="str">
        <f t="shared" si="10"/>
        <v>23.49</v>
      </c>
      <c r="E297" s="389" t="str">
        <f>Translations!$B$1308</f>
        <v>Emulsions-PVC (E-PVC)</v>
      </c>
      <c r="F297" s="389" t="str">
        <f t="shared" si="15"/>
        <v>ton</v>
      </c>
      <c r="G297" s="389" t="b">
        <v>1</v>
      </c>
      <c r="H297" s="389" t="b">
        <v>0</v>
      </c>
      <c r="I297" s="389" t="str">
        <f>""</f>
        <v/>
      </c>
      <c r="J297" s="391" t="str">
        <f>""</f>
        <v/>
      </c>
      <c r="K297" s="389" t="b">
        <v>1</v>
      </c>
      <c r="L297" s="389" t="b">
        <v>0</v>
      </c>
      <c r="M297" s="395">
        <v>0.23799999999999999</v>
      </c>
      <c r="N297" s="396">
        <f t="shared" si="11"/>
        <v>2E-3</v>
      </c>
      <c r="O297" s="793">
        <f t="shared" si="12"/>
        <v>1.6E-2</v>
      </c>
      <c r="P297" s="1886">
        <v>1.6E-2</v>
      </c>
      <c r="Q297" s="794">
        <f t="shared" si="13"/>
        <v>0.22847999999999999</v>
      </c>
      <c r="R297" s="411">
        <f t="shared" si="14"/>
        <v>0.16183999999999998</v>
      </c>
      <c r="S297" s="1883">
        <f>0.181</f>
        <v>0.18099999999999999</v>
      </c>
    </row>
    <row r="298" spans="1:19" ht="13" x14ac:dyDescent="0.3">
      <c r="A298" s="388" t="str">
        <f t="shared" si="7"/>
        <v xml:space="preserve">Produktion av vätgas (H2) och syntesgas genom reformering eller partiell oxidation, med en produktionskapacitet som överstiger 25 ton per dag </v>
      </c>
      <c r="B298" s="389">
        <v>24</v>
      </c>
      <c r="C298" s="389">
        <f t="shared" si="9"/>
        <v>50</v>
      </c>
      <c r="D298" s="390" t="str">
        <f t="shared" si="10"/>
        <v>24.50</v>
      </c>
      <c r="E298" s="389" t="str">
        <f>Translations!$B$851</f>
        <v>Vätgas</v>
      </c>
      <c r="F298" s="389" t="str">
        <f t="shared" si="15"/>
        <v>ton</v>
      </c>
      <c r="G298" s="389" t="b">
        <v>1</v>
      </c>
      <c r="H298" s="389" t="b">
        <v>1</v>
      </c>
      <c r="I298" s="389" t="str">
        <f>Translations!$B$1309</f>
        <v>Var god använd vätgasverktyget i bladet ”SpecialBM” för att beräkna historiska verksamhetsnivåer.</v>
      </c>
      <c r="J298" s="391" t="str">
        <f>"#JUMP_H_VI"</f>
        <v>#JUMP_H_VI</v>
      </c>
      <c r="K298" s="389" t="b">
        <v>1</v>
      </c>
      <c r="L298" s="389" t="b">
        <v>0</v>
      </c>
      <c r="M298" s="395">
        <v>8.85</v>
      </c>
      <c r="N298" s="396">
        <f t="shared" si="11"/>
        <v>2E-3</v>
      </c>
      <c r="O298" s="793">
        <f t="shared" si="12"/>
        <v>1.6E-2</v>
      </c>
      <c r="P298" s="1886">
        <v>1.511693494765688E-2</v>
      </c>
      <c r="Q298" s="794">
        <f t="shared" si="13"/>
        <v>8.4959999999999987</v>
      </c>
      <c r="R298" s="411">
        <f t="shared" si="14"/>
        <v>6.0179999999999989</v>
      </c>
      <c r="S298" s="1883">
        <f>6.84</f>
        <v>6.84</v>
      </c>
    </row>
    <row r="299" spans="1:19" ht="13" x14ac:dyDescent="0.3">
      <c r="A299" s="388" t="str">
        <f t="shared" si="7"/>
        <v xml:space="preserve">Produktion av vätgas (H2) och syntesgas genom reformering eller partiell oxidation, med en produktionskapacitet som överstiger 25 ton per dag </v>
      </c>
      <c r="B299" s="389">
        <v>24</v>
      </c>
      <c r="C299" s="389">
        <f t="shared" si="9"/>
        <v>51</v>
      </c>
      <c r="D299" s="390" t="str">
        <f t="shared" si="10"/>
        <v>24.51</v>
      </c>
      <c r="E299" s="389" t="str">
        <f>Translations!$B$892</f>
        <v>Syntesgas</v>
      </c>
      <c r="F299" s="389" t="str">
        <f t="shared" si="15"/>
        <v>ton</v>
      </c>
      <c r="G299" s="389" t="b">
        <v>1</v>
      </c>
      <c r="H299" s="389" t="b">
        <v>1</v>
      </c>
      <c r="I299" s="389" t="str">
        <f>Translations!$B$1310</f>
        <v>Var god använd syngasverktyget i bladet ”SpecialBM” för att beräkna historiska verksamhetsnivåer.</v>
      </c>
      <c r="J299" s="391" t="str">
        <f>"#JUMP_H_VII"</f>
        <v>#JUMP_H_VII</v>
      </c>
      <c r="K299" s="389" t="b">
        <v>1</v>
      </c>
      <c r="L299" s="389" t="b">
        <v>0</v>
      </c>
      <c r="M299" s="395">
        <v>0.24199999999999999</v>
      </c>
      <c r="N299" s="396">
        <f t="shared" si="11"/>
        <v>2E-3</v>
      </c>
      <c r="O299" s="793">
        <f t="shared" si="12"/>
        <v>1.6E-2</v>
      </c>
      <c r="P299" s="1886">
        <v>1.511693494765688E-2</v>
      </c>
      <c r="Q299" s="794">
        <f t="shared" si="13"/>
        <v>0.23231999999999997</v>
      </c>
      <c r="R299" s="411">
        <f t="shared" si="14"/>
        <v>0.16455999999999998</v>
      </c>
      <c r="S299" s="1883">
        <f>0.187</f>
        <v>0.187</v>
      </c>
    </row>
    <row r="300" spans="1:19" ht="13.5" thickBot="1" x14ac:dyDescent="0.35">
      <c r="A300" s="388" t="str">
        <f t="shared" si="7"/>
        <v xml:space="preserve">Produktion av natriumkarbonat (Na2CO3) och natriumbikarbonat (NaHCO3) </v>
      </c>
      <c r="B300" s="389">
        <v>25</v>
      </c>
      <c r="C300" s="389">
        <f t="shared" si="9"/>
        <v>52</v>
      </c>
      <c r="D300" s="390" t="str">
        <f t="shared" si="10"/>
        <v>25.52</v>
      </c>
      <c r="E300" s="389" t="str">
        <f>Translations!$B$1311</f>
        <v>Natriumkarbonat (soda)</v>
      </c>
      <c r="F300" s="389" t="str">
        <f t="shared" si="15"/>
        <v>ton</v>
      </c>
      <c r="G300" s="389" t="b">
        <v>1</v>
      </c>
      <c r="H300" s="389" t="b">
        <v>0</v>
      </c>
      <c r="I300" s="389" t="str">
        <f>""</f>
        <v/>
      </c>
      <c r="J300" s="391" t="str">
        <f>""</f>
        <v/>
      </c>
      <c r="K300" s="389" t="b">
        <v>1</v>
      </c>
      <c r="L300" s="389" t="b">
        <v>0</v>
      </c>
      <c r="M300" s="395">
        <v>0.84299999999999997</v>
      </c>
      <c r="N300" s="396">
        <f t="shared" si="11"/>
        <v>2E-3</v>
      </c>
      <c r="O300" s="793">
        <f t="shared" si="12"/>
        <v>1.6E-2</v>
      </c>
      <c r="P300" s="1887">
        <v>7.1434460909982995E-3</v>
      </c>
      <c r="Q300" s="794">
        <f t="shared" si="13"/>
        <v>0.80927999999999989</v>
      </c>
      <c r="R300" s="411">
        <f t="shared" si="14"/>
        <v>0.57323999999999997</v>
      </c>
      <c r="S300" s="1883">
        <f>0.753</f>
        <v>0.753</v>
      </c>
    </row>
    <row r="301" spans="1:19" x14ac:dyDescent="0.25">
      <c r="A301" s="206" t="s">
        <v>898</v>
      </c>
      <c r="B301" s="207" t="s">
        <v>898</v>
      </c>
      <c r="C301" s="207" t="s">
        <v>898</v>
      </c>
      <c r="D301" s="207" t="s">
        <v>898</v>
      </c>
      <c r="E301" s="207" t="s">
        <v>898</v>
      </c>
      <c r="F301" s="207" t="s">
        <v>898</v>
      </c>
      <c r="G301" s="207" t="s">
        <v>898</v>
      </c>
      <c r="H301" s="207" t="s">
        <v>898</v>
      </c>
      <c r="I301" s="207" t="s">
        <v>898</v>
      </c>
      <c r="J301" s="207" t="s">
        <v>898</v>
      </c>
      <c r="K301" s="207" t="s">
        <v>898</v>
      </c>
    </row>
    <row r="302" spans="1:19" s="204" customFormat="1" ht="13" x14ac:dyDescent="0.3">
      <c r="A302" s="204" t="str">
        <f>Translations!$B$1312</f>
        <v>Förteckning över ”fall-back”-delanläggningar</v>
      </c>
    </row>
    <row r="303" spans="1:19" ht="50.5" thickBot="1" x14ac:dyDescent="0.3">
      <c r="B303" s="389"/>
      <c r="C303" s="389" t="str">
        <f>Translations!$B$1024</f>
        <v>RM-nummer</v>
      </c>
      <c r="D303" s="389" t="str">
        <f>Translations!$B$1241</f>
        <v>alternativt riktmärke nr</v>
      </c>
      <c r="E303" s="389" t="str">
        <f>Translations!$B$1313</f>
        <v>Delanläggning</v>
      </c>
      <c r="F303" s="389" t="str">
        <f>Translations!$B$1014</f>
        <v>Enhet</v>
      </c>
      <c r="G303" s="389" t="str">
        <f>Translations!$B$1243</f>
        <v>Koldioxidläckage?</v>
      </c>
      <c r="H303" s="389" t="str">
        <f>Translations!$B$1244</f>
        <v>Utbytbar el</v>
      </c>
      <c r="I303" s="389" t="str">
        <f>Translations!$B$1314</f>
        <v>Felmeddelande</v>
      </c>
      <c r="M303" s="385" t="str">
        <f>Translations!$B$1249</f>
        <v>Riktmärkesvärde (2013–2020)</v>
      </c>
      <c r="N303" s="385" t="s">
        <v>1522</v>
      </c>
      <c r="O303" s="385" t="s">
        <v>1523</v>
      </c>
      <c r="P303" s="797" t="s">
        <v>1225</v>
      </c>
      <c r="Q303" s="386" t="str">
        <f>Translations!$B$1251</f>
        <v>Riktmärkesvärde (EUA/t, min.)</v>
      </c>
      <c r="R303" s="386" t="str">
        <f>Translations!$B$1250</f>
        <v>Riktmärkesvärde (EUA/t, max.)</v>
      </c>
      <c r="S303" s="451" t="str">
        <f>Translations!$B$1252</f>
        <v>Riktmärkesvärde (EUA/t, faktiskt)</v>
      </c>
    </row>
    <row r="304" spans="1:19" ht="13" x14ac:dyDescent="0.3">
      <c r="B304" s="389">
        <v>90</v>
      </c>
      <c r="C304" s="389">
        <v>91</v>
      </c>
      <c r="D304" s="390" t="str">
        <f t="shared" ref="D304:D310" si="16">CONCATENATE(TEXT(B304,"00"),".",TEXT(C304,"00"))</f>
        <v>90.91</v>
      </c>
      <c r="E304" s="393" t="str">
        <f>Translations!$B$1315</f>
        <v>Delanläggning med värmeriktmärke, KL</v>
      </c>
      <c r="F304" s="355" t="str">
        <f>EUconst_TJ</f>
        <v>TJ</v>
      </c>
      <c r="G304" s="394" t="b">
        <v>1</v>
      </c>
      <c r="H304" s="389"/>
      <c r="I304" s="451" t="s">
        <v>1469</v>
      </c>
      <c r="M304" s="395">
        <v>62.3</v>
      </c>
      <c r="N304" s="396">
        <f>INDEX(EUconst_BM_ARR_Range,1)</f>
        <v>2E-3</v>
      </c>
      <c r="O304" s="793">
        <f>IF(AND(C304=4,CNTR_SubPeriod=1),INDEX(EUconst_BM_ARR_Range,1),INDEX(EUconst_BM_ARR_Range,2))</f>
        <v>1.6E-2</v>
      </c>
      <c r="P304" s="1885">
        <v>1.6E-2</v>
      </c>
      <c r="Q304" s="794">
        <f t="shared" ref="Q304:R310" si="17">$M304*(1-N304*(15+(IF(CNTR_SubPeriod=EUconst_NA,1,CNTR_SubPeriod)-1)*5))</f>
        <v>59.807999999999993</v>
      </c>
      <c r="R304" s="411">
        <f t="shared" si="17"/>
        <v>42.363999999999997</v>
      </c>
      <c r="S304" s="1884">
        <f>47.3</f>
        <v>47.3</v>
      </c>
    </row>
    <row r="305" spans="1:19" ht="13" x14ac:dyDescent="0.3">
      <c r="B305" s="389">
        <v>90</v>
      </c>
      <c r="C305" s="389">
        <v>92</v>
      </c>
      <c r="D305" s="390" t="str">
        <f t="shared" si="16"/>
        <v>90.92</v>
      </c>
      <c r="E305" s="393" t="str">
        <f>Translations!$B$1316</f>
        <v>Delanläggning med värmeriktmärke, ej KL</v>
      </c>
      <c r="F305" s="355" t="str">
        <f>EUconst_TJ</f>
        <v>TJ</v>
      </c>
      <c r="G305" s="394" t="b">
        <v>0</v>
      </c>
      <c r="H305" s="389"/>
      <c r="I305" s="451" t="s">
        <v>1469</v>
      </c>
      <c r="M305" s="395">
        <v>62.3</v>
      </c>
      <c r="N305" s="396">
        <f>INDEX(EUconst_BM_ARR_Range,1)</f>
        <v>2E-3</v>
      </c>
      <c r="O305" s="793">
        <f>IF(AND(C305=4,CNTR_SubPeriod=1),INDEX(EUconst_BM_ARR_Range,1),INDEX(EUconst_BM_ARR_Range,2))</f>
        <v>1.6E-2</v>
      </c>
      <c r="P305" s="1886">
        <v>1.6E-2</v>
      </c>
      <c r="Q305" s="794">
        <f t="shared" si="17"/>
        <v>59.807999999999993</v>
      </c>
      <c r="R305" s="411">
        <f t="shared" si="17"/>
        <v>42.363999999999997</v>
      </c>
      <c r="S305" s="1884">
        <f>47.3</f>
        <v>47.3</v>
      </c>
    </row>
    <row r="306" spans="1:19" ht="13" x14ac:dyDescent="0.3">
      <c r="B306" s="389">
        <v>90</v>
      </c>
      <c r="C306" s="389">
        <v>97</v>
      </c>
      <c r="D306" s="390" t="str">
        <f>CONCATENATE(TEXT(B306,"00"),".",TEXT(C306,"00"))</f>
        <v>90.97</v>
      </c>
      <c r="E306" s="423" t="str">
        <f>Translations!$B$1317</f>
        <v>Fjärrvärmedelanläggning</v>
      </c>
      <c r="F306" s="355" t="str">
        <f>EUconst_TJ</f>
        <v>TJ</v>
      </c>
      <c r="G306" s="394" t="b">
        <v>0</v>
      </c>
      <c r="H306" s="389"/>
      <c r="I306" s="451" t="s">
        <v>1469</v>
      </c>
      <c r="M306" s="395">
        <v>62.3</v>
      </c>
      <c r="N306" s="396">
        <f>INDEX(EUconst_BM_ARR_Range,1)</f>
        <v>2E-3</v>
      </c>
      <c r="O306" s="793">
        <f>IF(AND(C306=4,CNTR_SubPeriod=1),INDEX(EUconst_BM_ARR_Range,1),INDEX(EUconst_BM_ARR_Range,2))</f>
        <v>1.6E-2</v>
      </c>
      <c r="P306" s="1886">
        <v>1.6E-2</v>
      </c>
      <c r="Q306" s="794">
        <f t="shared" si="17"/>
        <v>59.807999999999993</v>
      </c>
      <c r="R306" s="411">
        <f t="shared" si="17"/>
        <v>42.363999999999997</v>
      </c>
      <c r="S306" s="1884">
        <f>47.3</f>
        <v>47.3</v>
      </c>
    </row>
    <row r="307" spans="1:19" ht="13" x14ac:dyDescent="0.3">
      <c r="B307" s="389">
        <v>90</v>
      </c>
      <c r="C307" s="389">
        <v>93</v>
      </c>
      <c r="D307" s="390" t="str">
        <f t="shared" si="16"/>
        <v>90.93</v>
      </c>
      <c r="E307" s="393" t="str">
        <f>Translations!$B$1318</f>
        <v>Delanläggning med bränsleriktmärke, KL</v>
      </c>
      <c r="F307" s="355" t="str">
        <f>EUconst_TJ</f>
        <v>TJ</v>
      </c>
      <c r="G307" s="394" t="b">
        <v>1</v>
      </c>
      <c r="H307" s="389"/>
      <c r="I307" s="451" t="s">
        <v>1483</v>
      </c>
      <c r="M307" s="395">
        <v>56.1</v>
      </c>
      <c r="N307" s="396">
        <f>INDEX(EUconst_BM_ARR_Range,1)</f>
        <v>2E-3</v>
      </c>
      <c r="O307" s="793">
        <f>IF(AND(C307=4,CNTR_SubPeriod=1),INDEX(EUconst_BM_ARR_Range,1),INDEX(EUconst_BM_ARR_Range,2))</f>
        <v>1.6E-2</v>
      </c>
      <c r="P307" s="1886">
        <v>1.6E-2</v>
      </c>
      <c r="Q307" s="794">
        <f t="shared" si="17"/>
        <v>53.856000000000002</v>
      </c>
      <c r="R307" s="411">
        <f t="shared" si="17"/>
        <v>38.147999999999996</v>
      </c>
      <c r="S307" s="1884">
        <f>42.6</f>
        <v>42.6</v>
      </c>
    </row>
    <row r="308" spans="1:19" ht="13" x14ac:dyDescent="0.3">
      <c r="B308" s="389">
        <v>90</v>
      </c>
      <c r="C308" s="389">
        <v>94</v>
      </c>
      <c r="D308" s="390" t="str">
        <f t="shared" si="16"/>
        <v>90.94</v>
      </c>
      <c r="E308" s="393" t="str">
        <f>Translations!$B$1319</f>
        <v>Delanläggning med bränsleriktmärke, ej KL</v>
      </c>
      <c r="F308" s="355" t="str">
        <f>EUconst_TJ</f>
        <v>TJ</v>
      </c>
      <c r="G308" s="394" t="b">
        <v>0</v>
      </c>
      <c r="H308" s="389"/>
      <c r="I308" s="451" t="s">
        <v>1483</v>
      </c>
      <c r="M308" s="395">
        <v>56.1</v>
      </c>
      <c r="N308" s="396">
        <f>INDEX(EUconst_BM_ARR_Range,1)</f>
        <v>2E-3</v>
      </c>
      <c r="O308" s="793">
        <f>IF(AND(C308=4,CNTR_SubPeriod=1),INDEX(EUconst_BM_ARR_Range,1),INDEX(EUconst_BM_ARR_Range,2))</f>
        <v>1.6E-2</v>
      </c>
      <c r="P308" s="1886">
        <v>1.6E-2</v>
      </c>
      <c r="Q308" s="794">
        <f t="shared" si="17"/>
        <v>53.856000000000002</v>
      </c>
      <c r="R308" s="411">
        <f t="shared" si="17"/>
        <v>38.147999999999996</v>
      </c>
      <c r="S308" s="1884">
        <f>42.6</f>
        <v>42.6</v>
      </c>
    </row>
    <row r="309" spans="1:19" x14ac:dyDescent="0.25">
      <c r="B309" s="389">
        <v>90</v>
      </c>
      <c r="C309" s="389">
        <v>95</v>
      </c>
      <c r="D309" s="390" t="str">
        <f t="shared" si="16"/>
        <v>90.95</v>
      </c>
      <c r="E309" s="393" t="str">
        <f>Translations!$B$1320</f>
        <v>Delanläggning med processutsläpp, KL</v>
      </c>
      <c r="F309" s="355" t="str">
        <f>EUconst_tCO2e</f>
        <v>t CO2e</v>
      </c>
      <c r="G309" s="394" t="b">
        <v>1</v>
      </c>
      <c r="H309" s="389"/>
      <c r="I309" s="451" t="s">
        <v>1292</v>
      </c>
      <c r="M309" s="395">
        <v>0.97</v>
      </c>
      <c r="N309" s="607">
        <v>0</v>
      </c>
      <c r="O309" s="796">
        <v>0</v>
      </c>
      <c r="P309" s="798">
        <v>0</v>
      </c>
      <c r="Q309" s="794">
        <f t="shared" si="17"/>
        <v>0.97</v>
      </c>
      <c r="R309" s="411">
        <f t="shared" si="17"/>
        <v>0.97</v>
      </c>
      <c r="S309" s="411">
        <f>ROUND(M309*(1-P309*(15+(IF(CNTR_SubPeriod=EUconst_NA,1,CNTR_SubPeriod)-1)*5)),3)</f>
        <v>0.97</v>
      </c>
    </row>
    <row r="310" spans="1:19" ht="13" thickBot="1" x14ac:dyDescent="0.3">
      <c r="B310" s="389">
        <v>90</v>
      </c>
      <c r="C310" s="389">
        <v>96</v>
      </c>
      <c r="D310" s="390" t="str">
        <f t="shared" si="16"/>
        <v>90.96</v>
      </c>
      <c r="E310" s="393" t="str">
        <f>Translations!$B$1321</f>
        <v>Delanläggning med processutsläpp, ej KL</v>
      </c>
      <c r="F310" s="355" t="str">
        <f>EUconst_tCO2e</f>
        <v>t CO2e</v>
      </c>
      <c r="G310" s="394" t="b">
        <v>0</v>
      </c>
      <c r="H310" s="389"/>
      <c r="I310" s="451" t="s">
        <v>1292</v>
      </c>
      <c r="M310" s="395">
        <v>0.97</v>
      </c>
      <c r="N310" s="607">
        <v>0</v>
      </c>
      <c r="O310" s="796">
        <v>0</v>
      </c>
      <c r="P310" s="799">
        <v>0</v>
      </c>
      <c r="Q310" s="794">
        <f t="shared" si="17"/>
        <v>0.97</v>
      </c>
      <c r="R310" s="411">
        <f t="shared" si="17"/>
        <v>0.97</v>
      </c>
      <c r="S310" s="411">
        <f>ROUND(M310*(1-P310*(15+(IF(CNTR_SubPeriod=EUconst_NA,1,CNTR_SubPeriod)-1)*5)),3)</f>
        <v>0.97</v>
      </c>
    </row>
    <row r="311" spans="1:19" x14ac:dyDescent="0.25">
      <c r="A311" s="206" t="s">
        <v>898</v>
      </c>
      <c r="B311" s="207" t="s">
        <v>898</v>
      </c>
      <c r="C311" s="207" t="s">
        <v>898</v>
      </c>
      <c r="D311" s="207" t="s">
        <v>898</v>
      </c>
      <c r="E311" s="207" t="s">
        <v>898</v>
      </c>
      <c r="F311" s="207" t="s">
        <v>898</v>
      </c>
      <c r="G311" s="207" t="s">
        <v>898</v>
      </c>
      <c r="H311" s="207" t="s">
        <v>898</v>
      </c>
      <c r="I311" s="207" t="s">
        <v>898</v>
      </c>
      <c r="J311" s="207" t="s">
        <v>898</v>
      </c>
      <c r="K311" s="207" t="s">
        <v>898</v>
      </c>
      <c r="L311" s="207" t="s">
        <v>898</v>
      </c>
      <c r="M311" s="207" t="s">
        <v>898</v>
      </c>
      <c r="N311" s="207" t="s">
        <v>898</v>
      </c>
      <c r="O311" s="207" t="s">
        <v>898</v>
      </c>
    </row>
  </sheetData>
  <sheetProtection sheet="1" objects="1" scenarios="1" formatCells="0" formatColumns="0" formatRows="0"/>
  <phoneticPr fontId="34" type="noConversion"/>
  <dataValidations count="1">
    <dataValidation type="list" allowBlank="1" showInputMessage="1" showErrorMessage="1" sqref="B2" xr:uid="{886914B2-6100-4AE3-BF83-F61D185E15C3}">
      <formula1>Euconst_TrueFalse</formula1>
    </dataValidation>
  </dataValidations>
  <pageMargins left="0.78740157499999996" right="0.78740157499999996" top="0.984251969" bottom="0.984251969" header="0.4921259845" footer="0.4921259845"/>
  <pageSetup paperSize="9" scale="21" fitToHeight="4" orientation="portrait" r:id="rId1"/>
  <headerFooter alignWithMargins="0">
    <oddHeader>&amp;L&amp;F; &amp;A&amp;R&amp;D ;&amp;T</oddHeader>
    <oddFooter>&amp;C&amp;P / &amp;N</oddFooter>
  </headerFooter>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68BB0-4619-4611-AFD8-50F7DFC0B173}">
  <sheetPr codeName="Tabelle14">
    <tabColor indexed="12"/>
    <pageSetUpPr fitToPage="1"/>
  </sheetPr>
  <dimension ref="A1:E6"/>
  <sheetViews>
    <sheetView workbookViewId="0">
      <selection activeCell="B6" sqref="B6"/>
    </sheetView>
  </sheetViews>
  <sheetFormatPr defaultColWidth="10.90625" defaultRowHeight="12.5" x14ac:dyDescent="0.25"/>
  <cols>
    <col min="1" max="1" width="50.81640625" customWidth="1"/>
  </cols>
  <sheetData>
    <row r="1" spans="1:5" ht="13" x14ac:dyDescent="0.3">
      <c r="A1" s="200" t="s">
        <v>946</v>
      </c>
      <c r="B1" s="200" t="s">
        <v>949</v>
      </c>
      <c r="C1" s="200" t="s">
        <v>950</v>
      </c>
      <c r="D1" s="201"/>
      <c r="E1" s="201" t="s">
        <v>100</v>
      </c>
    </row>
    <row r="2" spans="1:5" x14ac:dyDescent="0.25">
      <c r="A2" t="s">
        <v>1718</v>
      </c>
      <c r="B2" s="1813" t="b">
        <v>0</v>
      </c>
      <c r="E2" s="1813" t="b">
        <v>0</v>
      </c>
    </row>
    <row r="3" spans="1:5" x14ac:dyDescent="0.25">
      <c r="A3" s="131" t="s">
        <v>1967</v>
      </c>
      <c r="B3" s="1813" t="b">
        <v>1</v>
      </c>
      <c r="E3" s="1813" t="b">
        <v>1</v>
      </c>
    </row>
    <row r="4" spans="1:5" x14ac:dyDescent="0.25">
      <c r="A4" s="131" t="s">
        <v>1970</v>
      </c>
      <c r="B4" s="1813" t="b">
        <v>0</v>
      </c>
      <c r="E4" s="1813" t="b">
        <v>0</v>
      </c>
    </row>
    <row r="5" spans="1:5" x14ac:dyDescent="0.25">
      <c r="A5" s="131" t="s">
        <v>2276</v>
      </c>
      <c r="B5" s="1813" t="b">
        <v>1</v>
      </c>
      <c r="E5" s="1813" t="b">
        <v>1</v>
      </c>
    </row>
    <row r="6" spans="1:5" x14ac:dyDescent="0.25">
      <c r="A6" s="131" t="s">
        <v>2195</v>
      </c>
      <c r="B6" s="1813" t="b">
        <v>0</v>
      </c>
      <c r="E6" s="1813" t="b">
        <v>0</v>
      </c>
    </row>
  </sheetData>
  <sheetProtection sheet="1" objects="1" scenarios="1" formatCells="0" formatColumns="0" formatRows="0"/>
  <phoneticPr fontId="34" type="noConversion"/>
  <dataValidations count="1">
    <dataValidation type="list" allowBlank="1" showInputMessage="1" showErrorMessage="1" sqref="E2:E6 B2:B6" xr:uid="{146A4892-F073-4BC5-B522-EE82AB08925B}">
      <formula1>Euconst_TrueFalse</formula1>
    </dataValidation>
  </dataValidations>
  <pageMargins left="0.78740157499999996" right="0.78740157499999996" top="0.984251969" bottom="0.984251969" header="0.4921259845" footer="0.4921259845"/>
  <pageSetup paperSize="9" scale="72" fitToHeight="4" orientation="portrait" r:id="rId1"/>
  <headerFooter alignWithMargins="0">
    <oddHeader>&amp;L&amp;F; &amp;A&amp;R&amp;D; &amp;T</oddHeader>
    <oddFooter>&amp;C&amp;P /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7C7F6-B093-4224-AC06-DE16736D474A}">
  <sheetPr codeName="Tabelle15">
    <tabColor indexed="17"/>
    <pageSetUpPr fitToPage="1"/>
  </sheetPr>
  <dimension ref="A1:C1612"/>
  <sheetViews>
    <sheetView workbookViewId="0">
      <pane xSplit="1" ySplit="1" topLeftCell="B1308" activePane="bottomRight" state="frozen"/>
      <selection pane="topRight" activeCell="B1" sqref="B1"/>
      <selection pane="bottomLeft" activeCell="A2" sqref="A2"/>
      <selection pane="bottomRight" activeCell="B1323" sqref="B1323"/>
    </sheetView>
  </sheetViews>
  <sheetFormatPr defaultColWidth="11.453125" defaultRowHeight="14.5" x14ac:dyDescent="0.35"/>
  <cols>
    <col min="1" max="1" width="9.453125" style="869" customWidth="1"/>
    <col min="2" max="2" width="70.7265625" style="869" customWidth="1"/>
    <col min="3" max="3" width="70.7265625" style="209" customWidth="1"/>
    <col min="4" max="16384" width="11.453125" style="209"/>
  </cols>
  <sheetData>
    <row r="1" spans="1:3" s="208" customFormat="1" ht="15" thickBot="1" x14ac:dyDescent="0.4">
      <c r="A1" s="868" t="s">
        <v>2264</v>
      </c>
      <c r="B1" s="868" t="s">
        <v>947</v>
      </c>
      <c r="C1" s="208" t="s">
        <v>948</v>
      </c>
    </row>
    <row r="2" spans="1:3" ht="15" thickBot="1" x14ac:dyDescent="0.4">
      <c r="A2" s="869">
        <v>1</v>
      </c>
      <c r="B2" s="870" t="s">
        <v>2311</v>
      </c>
      <c r="C2" s="870" t="s">
        <v>629</v>
      </c>
    </row>
    <row r="3" spans="1:3" x14ac:dyDescent="0.35">
      <c r="A3" s="869">
        <v>2</v>
      </c>
      <c r="B3" s="898" t="s">
        <v>2312</v>
      </c>
      <c r="C3" s="898" t="s">
        <v>631</v>
      </c>
    </row>
    <row r="4" spans="1:3" x14ac:dyDescent="0.35">
      <c r="A4" s="869">
        <v>3</v>
      </c>
      <c r="B4" s="898" t="s">
        <v>2313</v>
      </c>
      <c r="C4" s="898" t="s">
        <v>632</v>
      </c>
    </row>
    <row r="5" spans="1:3" x14ac:dyDescent="0.35">
      <c r="A5" s="869">
        <v>4</v>
      </c>
      <c r="B5" s="898" t="s">
        <v>2314</v>
      </c>
      <c r="C5" s="898" t="s">
        <v>633</v>
      </c>
    </row>
    <row r="6" spans="1:3" x14ac:dyDescent="0.35">
      <c r="A6" s="869">
        <v>5</v>
      </c>
      <c r="B6" s="898" t="s">
        <v>2315</v>
      </c>
      <c r="C6" s="898" t="s">
        <v>634</v>
      </c>
    </row>
    <row r="7" spans="1:3" ht="18.5" thickBot="1" x14ac:dyDescent="0.4">
      <c r="A7" s="869">
        <v>7</v>
      </c>
      <c r="B7" s="822" t="s">
        <v>2316</v>
      </c>
      <c r="C7" s="822" t="s">
        <v>443</v>
      </c>
    </row>
    <row r="8" spans="1:3" x14ac:dyDescent="0.35">
      <c r="A8" s="869">
        <v>8</v>
      </c>
      <c r="B8" s="823" t="s">
        <v>2317</v>
      </c>
      <c r="C8" s="823" t="s">
        <v>403</v>
      </c>
    </row>
    <row r="9" spans="1:3" ht="15" thickBot="1" x14ac:dyDescent="0.4">
      <c r="A9" s="869">
        <v>9</v>
      </c>
      <c r="B9" s="824" t="s">
        <v>2318</v>
      </c>
      <c r="C9" s="824" t="s">
        <v>0</v>
      </c>
    </row>
    <row r="10" spans="1:3" ht="15" thickBot="1" x14ac:dyDescent="0.4">
      <c r="A10" s="869">
        <v>10</v>
      </c>
      <c r="B10" s="14" t="s">
        <v>2319</v>
      </c>
      <c r="C10" s="14" t="s">
        <v>1</v>
      </c>
    </row>
    <row r="11" spans="1:3" x14ac:dyDescent="0.35">
      <c r="A11" s="869">
        <v>11</v>
      </c>
      <c r="B11" s="823" t="s">
        <v>2320</v>
      </c>
      <c r="C11" s="823" t="s">
        <v>916</v>
      </c>
    </row>
    <row r="12" spans="1:3" x14ac:dyDescent="0.35">
      <c r="A12" s="869">
        <v>12</v>
      </c>
      <c r="B12" s="825" t="s">
        <v>2321</v>
      </c>
      <c r="C12" s="825" t="s">
        <v>1088</v>
      </c>
    </row>
    <row r="13" spans="1:3" ht="26" x14ac:dyDescent="0.35">
      <c r="A13" s="869">
        <v>14</v>
      </c>
      <c r="B13" s="813" t="s">
        <v>2322</v>
      </c>
      <c r="C13" s="813" t="s">
        <v>103</v>
      </c>
    </row>
    <row r="14" spans="1:3" x14ac:dyDescent="0.35">
      <c r="A14" s="869">
        <v>15</v>
      </c>
      <c r="B14" s="826" t="s">
        <v>2323</v>
      </c>
      <c r="C14" s="826" t="s">
        <v>440</v>
      </c>
    </row>
    <row r="15" spans="1:3" ht="25" x14ac:dyDescent="0.35">
      <c r="A15" s="869">
        <v>16</v>
      </c>
      <c r="B15" s="826" t="s">
        <v>2324</v>
      </c>
      <c r="C15" s="826" t="s">
        <v>441</v>
      </c>
    </row>
    <row r="16" spans="1:3" x14ac:dyDescent="0.35">
      <c r="A16" s="869">
        <v>17</v>
      </c>
      <c r="B16" s="898" t="s">
        <v>2325</v>
      </c>
      <c r="C16" s="898" t="s">
        <v>630</v>
      </c>
    </row>
    <row r="17" spans="1:3" x14ac:dyDescent="0.35">
      <c r="A17" s="869">
        <v>18</v>
      </c>
      <c r="B17" s="898" t="s">
        <v>2326</v>
      </c>
      <c r="C17" s="898" t="s">
        <v>635</v>
      </c>
    </row>
    <row r="18" spans="1:3" ht="18" x14ac:dyDescent="0.35">
      <c r="A18" s="869">
        <v>19</v>
      </c>
      <c r="B18" s="812" t="s">
        <v>2327</v>
      </c>
      <c r="C18" s="812" t="s">
        <v>444</v>
      </c>
    </row>
    <row r="19" spans="1:3" ht="15.5" x14ac:dyDescent="0.35">
      <c r="A19" s="869">
        <v>20</v>
      </c>
      <c r="B19" s="811" t="s">
        <v>2328</v>
      </c>
      <c r="C19" s="811" t="s">
        <v>904</v>
      </c>
    </row>
    <row r="20" spans="1:3" ht="50" x14ac:dyDescent="0.35">
      <c r="A20" s="869">
        <v>21</v>
      </c>
      <c r="B20" s="802" t="s">
        <v>2329</v>
      </c>
      <c r="C20" s="802" t="s">
        <v>1322</v>
      </c>
    </row>
    <row r="21" spans="1:3" x14ac:dyDescent="0.35">
      <c r="A21" s="869">
        <v>22</v>
      </c>
      <c r="B21" s="898" t="s">
        <v>1310</v>
      </c>
      <c r="C21" s="898" t="s">
        <v>1310</v>
      </c>
    </row>
    <row r="22" spans="1:3" ht="62.5" x14ac:dyDescent="0.35">
      <c r="A22" s="869">
        <v>23</v>
      </c>
      <c r="B22" s="802" t="s">
        <v>2330</v>
      </c>
      <c r="C22" s="802" t="s">
        <v>1841</v>
      </c>
    </row>
    <row r="23" spans="1:3" x14ac:dyDescent="0.35">
      <c r="A23" s="869">
        <v>24</v>
      </c>
      <c r="B23" s="180" t="s">
        <v>1842</v>
      </c>
      <c r="C23" s="180" t="s">
        <v>1842</v>
      </c>
    </row>
    <row r="24" spans="1:3" ht="25" x14ac:dyDescent="0.35">
      <c r="A24" s="869">
        <v>27</v>
      </c>
      <c r="B24" s="802" t="s">
        <v>2331</v>
      </c>
      <c r="C24" s="802" t="s">
        <v>1710</v>
      </c>
    </row>
    <row r="25" spans="1:3" ht="15.5" x14ac:dyDescent="0.35">
      <c r="A25" s="869">
        <v>29</v>
      </c>
      <c r="B25" s="811" t="s">
        <v>2332</v>
      </c>
      <c r="C25" s="811" t="s">
        <v>521</v>
      </c>
    </row>
    <row r="26" spans="1:3" ht="25" x14ac:dyDescent="0.35">
      <c r="A26" s="869">
        <v>30</v>
      </c>
      <c r="B26" s="802" t="s">
        <v>2333</v>
      </c>
      <c r="C26" s="802" t="s">
        <v>1461</v>
      </c>
    </row>
    <row r="27" spans="1:3" ht="62.5" x14ac:dyDescent="0.35">
      <c r="A27" s="869">
        <v>33</v>
      </c>
      <c r="B27" s="802" t="s">
        <v>2334</v>
      </c>
      <c r="C27" s="802" t="s">
        <v>1711</v>
      </c>
    </row>
    <row r="28" spans="1:3" ht="62.5" x14ac:dyDescent="0.35">
      <c r="A28" s="869">
        <v>34</v>
      </c>
      <c r="B28" s="802" t="s">
        <v>2335</v>
      </c>
      <c r="C28" s="802" t="s">
        <v>845</v>
      </c>
    </row>
    <row r="29" spans="1:3" ht="50" x14ac:dyDescent="0.35">
      <c r="A29" s="869">
        <v>35</v>
      </c>
      <c r="B29" s="802" t="s">
        <v>2336</v>
      </c>
      <c r="C29" s="802" t="s">
        <v>691</v>
      </c>
    </row>
    <row r="30" spans="1:3" ht="25" x14ac:dyDescent="0.35">
      <c r="A30" s="869">
        <v>36</v>
      </c>
      <c r="B30" s="802" t="s">
        <v>2337</v>
      </c>
      <c r="C30" s="802" t="s">
        <v>688</v>
      </c>
    </row>
    <row r="31" spans="1:3" x14ac:dyDescent="0.35">
      <c r="A31" s="869">
        <v>37</v>
      </c>
      <c r="B31" s="177" t="s">
        <v>2338</v>
      </c>
      <c r="C31" s="177" t="s">
        <v>689</v>
      </c>
    </row>
    <row r="32" spans="1:3" ht="25" x14ac:dyDescent="0.35">
      <c r="A32" s="869">
        <v>38</v>
      </c>
      <c r="B32" s="806" t="s">
        <v>2339</v>
      </c>
      <c r="C32" s="806" t="s">
        <v>690</v>
      </c>
    </row>
    <row r="33" spans="1:3" ht="25" x14ac:dyDescent="0.35">
      <c r="A33" s="869">
        <v>39</v>
      </c>
      <c r="B33" s="806" t="s">
        <v>2340</v>
      </c>
      <c r="C33" s="806" t="s">
        <v>981</v>
      </c>
    </row>
    <row r="34" spans="1:3" x14ac:dyDescent="0.35">
      <c r="A34" s="869">
        <v>40</v>
      </c>
      <c r="B34" s="806" t="s">
        <v>2341</v>
      </c>
      <c r="C34" s="806" t="s">
        <v>692</v>
      </c>
    </row>
    <row r="35" spans="1:3" ht="25" x14ac:dyDescent="0.35">
      <c r="A35" s="869">
        <v>41</v>
      </c>
      <c r="B35" s="806" t="s">
        <v>2342</v>
      </c>
      <c r="C35" s="806" t="s">
        <v>693</v>
      </c>
    </row>
    <row r="36" spans="1:3" x14ac:dyDescent="0.35">
      <c r="A36" s="869">
        <v>42</v>
      </c>
      <c r="B36" s="827" t="s">
        <v>2343</v>
      </c>
      <c r="C36" s="827" t="s">
        <v>846</v>
      </c>
    </row>
    <row r="37" spans="1:3" x14ac:dyDescent="0.35">
      <c r="A37" s="869">
        <v>43</v>
      </c>
      <c r="B37" s="813" t="s">
        <v>2344</v>
      </c>
      <c r="C37" s="813" t="s">
        <v>205</v>
      </c>
    </row>
    <row r="38" spans="1:3" x14ac:dyDescent="0.35">
      <c r="A38" s="869">
        <v>44</v>
      </c>
      <c r="B38" s="828" t="s">
        <v>2345</v>
      </c>
      <c r="C38" s="828" t="s">
        <v>847</v>
      </c>
    </row>
    <row r="39" spans="1:3" x14ac:dyDescent="0.35">
      <c r="A39" s="869">
        <v>45</v>
      </c>
      <c r="B39" s="829" t="s">
        <v>2346</v>
      </c>
      <c r="C39" s="829" t="s">
        <v>206</v>
      </c>
    </row>
    <row r="40" spans="1:3" x14ac:dyDescent="0.35">
      <c r="A40" s="869">
        <v>46</v>
      </c>
      <c r="B40" s="828" t="s">
        <v>2347</v>
      </c>
      <c r="C40" s="828" t="s">
        <v>694</v>
      </c>
    </row>
    <row r="41" spans="1:3" ht="25" x14ac:dyDescent="0.35">
      <c r="A41" s="869">
        <v>47</v>
      </c>
      <c r="B41" s="828" t="s">
        <v>2348</v>
      </c>
      <c r="C41" s="828" t="s">
        <v>345</v>
      </c>
    </row>
    <row r="42" spans="1:3" x14ac:dyDescent="0.35">
      <c r="A42" s="869">
        <v>48</v>
      </c>
      <c r="B42" s="830" t="s">
        <v>2349</v>
      </c>
      <c r="C42" s="830" t="s">
        <v>1050</v>
      </c>
    </row>
    <row r="43" spans="1:3" ht="25" x14ac:dyDescent="0.35">
      <c r="A43" s="869">
        <v>49</v>
      </c>
      <c r="B43" s="830" t="s">
        <v>2350</v>
      </c>
      <c r="C43" s="830" t="s">
        <v>972</v>
      </c>
    </row>
    <row r="44" spans="1:3" ht="25" x14ac:dyDescent="0.35">
      <c r="A44" s="869">
        <v>50</v>
      </c>
      <c r="B44" s="828" t="s">
        <v>2351</v>
      </c>
      <c r="C44" s="828" t="s">
        <v>207</v>
      </c>
    </row>
    <row r="45" spans="1:3" ht="25" x14ac:dyDescent="0.35">
      <c r="A45" s="869">
        <v>51</v>
      </c>
      <c r="B45" s="828" t="s">
        <v>2352</v>
      </c>
      <c r="C45" s="828" t="s">
        <v>208</v>
      </c>
    </row>
    <row r="46" spans="1:3" x14ac:dyDescent="0.35">
      <c r="A46" s="869">
        <v>52</v>
      </c>
      <c r="B46" s="828" t="s">
        <v>2353</v>
      </c>
      <c r="C46" s="828" t="s">
        <v>653</v>
      </c>
    </row>
    <row r="47" spans="1:3" ht="75" x14ac:dyDescent="0.35">
      <c r="A47" s="869">
        <v>53</v>
      </c>
      <c r="B47" s="802" t="s">
        <v>2354</v>
      </c>
      <c r="C47" s="802" t="s">
        <v>1055</v>
      </c>
    </row>
    <row r="48" spans="1:3" ht="62.5" x14ac:dyDescent="0.35">
      <c r="A48" s="869">
        <v>54</v>
      </c>
      <c r="B48" s="802" t="s">
        <v>2355</v>
      </c>
      <c r="C48" s="802" t="s">
        <v>695</v>
      </c>
    </row>
    <row r="49" spans="1:3" ht="62.5" x14ac:dyDescent="0.35">
      <c r="A49" s="869">
        <v>55</v>
      </c>
      <c r="B49" s="803" t="s">
        <v>2356</v>
      </c>
      <c r="C49" s="803" t="s">
        <v>1817</v>
      </c>
    </row>
    <row r="50" spans="1:3" ht="75.5" thickBot="1" x14ac:dyDescent="0.4">
      <c r="A50" s="869">
        <v>56</v>
      </c>
      <c r="B50" s="802" t="s">
        <v>2357</v>
      </c>
      <c r="C50" s="802" t="s">
        <v>1821</v>
      </c>
    </row>
    <row r="51" spans="1:3" ht="104.5" thickBot="1" x14ac:dyDescent="0.4">
      <c r="A51" s="869">
        <v>57</v>
      </c>
      <c r="B51" s="871" t="s">
        <v>2358</v>
      </c>
      <c r="C51" s="871" t="s">
        <v>1712</v>
      </c>
    </row>
    <row r="52" spans="1:3" ht="15.5" x14ac:dyDescent="0.35">
      <c r="A52" s="869">
        <v>58</v>
      </c>
      <c r="B52" s="811" t="s">
        <v>2359</v>
      </c>
      <c r="C52" s="811" t="s">
        <v>920</v>
      </c>
    </row>
    <row r="53" spans="1:3" x14ac:dyDescent="0.35">
      <c r="A53" s="869">
        <v>59</v>
      </c>
      <c r="B53" s="804" t="s">
        <v>2360</v>
      </c>
      <c r="C53" s="804" t="s">
        <v>253</v>
      </c>
    </row>
    <row r="54" spans="1:3" ht="75" x14ac:dyDescent="0.35">
      <c r="A54" s="869">
        <v>60</v>
      </c>
      <c r="B54" s="1919" t="s">
        <v>2361</v>
      </c>
      <c r="C54" s="831" t="s">
        <v>195</v>
      </c>
    </row>
    <row r="55" spans="1:3" ht="15.5" x14ac:dyDescent="0.35">
      <c r="A55" s="869">
        <v>61</v>
      </c>
      <c r="B55" s="805" t="s">
        <v>2362</v>
      </c>
      <c r="C55" s="805" t="s">
        <v>196</v>
      </c>
    </row>
    <row r="56" spans="1:3" x14ac:dyDescent="0.35">
      <c r="A56" s="869">
        <v>62</v>
      </c>
      <c r="B56" s="813" t="s">
        <v>2363</v>
      </c>
      <c r="C56" s="813" t="s">
        <v>197</v>
      </c>
    </row>
    <row r="57" spans="1:3" x14ac:dyDescent="0.35">
      <c r="A57" s="869">
        <v>63</v>
      </c>
      <c r="B57" s="804" t="s">
        <v>2364</v>
      </c>
      <c r="C57" s="804" t="s">
        <v>199</v>
      </c>
    </row>
    <row r="58" spans="1:3" x14ac:dyDescent="0.35">
      <c r="A58" s="869">
        <v>64</v>
      </c>
      <c r="B58" s="898" t="s">
        <v>2365</v>
      </c>
      <c r="C58" s="898" t="s">
        <v>198</v>
      </c>
    </row>
    <row r="59" spans="1:3" x14ac:dyDescent="0.35">
      <c r="A59" s="869">
        <v>65</v>
      </c>
      <c r="B59" s="804" t="s">
        <v>2366</v>
      </c>
      <c r="C59" s="804" t="s">
        <v>200</v>
      </c>
    </row>
    <row r="60" spans="1:3" x14ac:dyDescent="0.35">
      <c r="A60" s="869">
        <v>66</v>
      </c>
      <c r="B60" s="898" t="s">
        <v>2367</v>
      </c>
      <c r="C60" s="898" t="s">
        <v>522</v>
      </c>
    </row>
    <row r="61" spans="1:3" x14ac:dyDescent="0.35">
      <c r="A61" s="869">
        <v>67</v>
      </c>
      <c r="B61" s="813" t="s">
        <v>2368</v>
      </c>
      <c r="C61" s="813" t="s">
        <v>201</v>
      </c>
    </row>
    <row r="62" spans="1:3" ht="25" x14ac:dyDescent="0.35">
      <c r="A62" s="869">
        <v>68</v>
      </c>
      <c r="B62" s="1920" t="s">
        <v>2369</v>
      </c>
      <c r="C62" s="1772" t="s">
        <v>202</v>
      </c>
    </row>
    <row r="63" spans="1:3" x14ac:dyDescent="0.35">
      <c r="A63" s="869">
        <v>69</v>
      </c>
      <c r="B63" s="804" t="s">
        <v>2370</v>
      </c>
      <c r="C63" s="804" t="s">
        <v>203</v>
      </c>
    </row>
    <row r="64" spans="1:3" x14ac:dyDescent="0.35">
      <c r="A64" s="869">
        <v>70</v>
      </c>
      <c r="B64" s="1920" t="s">
        <v>2371</v>
      </c>
      <c r="C64" s="1772" t="s">
        <v>204</v>
      </c>
    </row>
    <row r="65" spans="1:3" ht="15.5" x14ac:dyDescent="0.35">
      <c r="A65" s="869">
        <v>71</v>
      </c>
      <c r="B65" s="805" t="s">
        <v>2372</v>
      </c>
      <c r="C65" s="805" t="s">
        <v>439</v>
      </c>
    </row>
    <row r="66" spans="1:3" ht="15" thickBot="1" x14ac:dyDescent="0.4">
      <c r="A66" s="869">
        <v>72</v>
      </c>
      <c r="B66" s="898" t="s">
        <v>2373</v>
      </c>
      <c r="C66" s="898" t="s">
        <v>1104</v>
      </c>
    </row>
    <row r="67" spans="1:3" ht="26" x14ac:dyDescent="0.35">
      <c r="A67" s="869">
        <v>73</v>
      </c>
      <c r="B67" s="850" t="s">
        <v>737</v>
      </c>
      <c r="C67" s="850" t="s">
        <v>637</v>
      </c>
    </row>
    <row r="68" spans="1:3" x14ac:dyDescent="0.35">
      <c r="A68" s="869">
        <v>74</v>
      </c>
      <c r="B68" s="898" t="s">
        <v>2374</v>
      </c>
      <c r="C68" s="898" t="s">
        <v>646</v>
      </c>
    </row>
    <row r="69" spans="1:3" x14ac:dyDescent="0.35">
      <c r="A69" s="869">
        <v>75</v>
      </c>
      <c r="B69" s="898" t="s">
        <v>2375</v>
      </c>
      <c r="C69" s="898" t="s">
        <v>647</v>
      </c>
    </row>
    <row r="70" spans="1:3" x14ac:dyDescent="0.35">
      <c r="A70" s="869">
        <v>76</v>
      </c>
      <c r="B70" s="898" t="s">
        <v>2376</v>
      </c>
      <c r="C70" s="898" t="s">
        <v>648</v>
      </c>
    </row>
    <row r="71" spans="1:3" x14ac:dyDescent="0.35">
      <c r="A71" s="869">
        <v>77</v>
      </c>
      <c r="B71" s="898" t="s">
        <v>2377</v>
      </c>
      <c r="C71" s="898" t="s">
        <v>650</v>
      </c>
    </row>
    <row r="72" spans="1:3" x14ac:dyDescent="0.35">
      <c r="A72" s="869">
        <v>78</v>
      </c>
      <c r="B72" s="898" t="s">
        <v>2378</v>
      </c>
      <c r="C72" s="898" t="s">
        <v>649</v>
      </c>
    </row>
    <row r="73" spans="1:3" x14ac:dyDescent="0.35">
      <c r="A73" s="869">
        <v>80</v>
      </c>
      <c r="B73" s="898" t="s">
        <v>2379</v>
      </c>
      <c r="C73" s="898" t="s">
        <v>651</v>
      </c>
    </row>
    <row r="74" spans="1:3" x14ac:dyDescent="0.35">
      <c r="A74" s="869">
        <v>81</v>
      </c>
      <c r="B74" s="898" t="s">
        <v>2380</v>
      </c>
      <c r="C74" s="898" t="s">
        <v>652</v>
      </c>
    </row>
    <row r="75" spans="1:3" ht="36" x14ac:dyDescent="0.35">
      <c r="A75" s="869">
        <v>82</v>
      </c>
      <c r="B75" s="812" t="s">
        <v>2381</v>
      </c>
      <c r="C75" s="812" t="s">
        <v>738</v>
      </c>
    </row>
    <row r="76" spans="1:3" ht="15.5" x14ac:dyDescent="0.35">
      <c r="A76" s="869">
        <v>83</v>
      </c>
      <c r="B76" s="811" t="s">
        <v>2382</v>
      </c>
      <c r="C76" s="811" t="s">
        <v>1089</v>
      </c>
    </row>
    <row r="77" spans="1:3" x14ac:dyDescent="0.35">
      <c r="A77" s="869">
        <v>84</v>
      </c>
      <c r="B77" s="820" t="s">
        <v>2383</v>
      </c>
      <c r="C77" s="820" t="s">
        <v>294</v>
      </c>
    </row>
    <row r="78" spans="1:3" x14ac:dyDescent="0.35">
      <c r="A78" s="869">
        <v>85</v>
      </c>
      <c r="B78" s="813" t="s">
        <v>2320</v>
      </c>
      <c r="C78" s="813" t="s">
        <v>921</v>
      </c>
    </row>
    <row r="79" spans="1:3" ht="20" x14ac:dyDescent="0.35">
      <c r="A79" s="869">
        <v>86</v>
      </c>
      <c r="B79" s="810" t="s">
        <v>2384</v>
      </c>
      <c r="C79" s="810" t="s">
        <v>1090</v>
      </c>
    </row>
    <row r="80" spans="1:3" x14ac:dyDescent="0.35">
      <c r="A80" s="869">
        <v>87</v>
      </c>
      <c r="B80" s="813" t="s">
        <v>2385</v>
      </c>
      <c r="C80" s="813" t="s">
        <v>852</v>
      </c>
    </row>
    <row r="81" spans="1:3" ht="20" x14ac:dyDescent="0.35">
      <c r="A81" s="869">
        <v>88</v>
      </c>
      <c r="B81" s="810" t="s">
        <v>2386</v>
      </c>
      <c r="C81" s="810" t="s">
        <v>1323</v>
      </c>
    </row>
    <row r="82" spans="1:3" x14ac:dyDescent="0.35">
      <c r="A82" s="869">
        <v>90</v>
      </c>
      <c r="B82" s="813" t="s">
        <v>2387</v>
      </c>
      <c r="C82" s="813" t="s">
        <v>1328</v>
      </c>
    </row>
    <row r="83" spans="1:3" ht="20" x14ac:dyDescent="0.35">
      <c r="A83" s="869">
        <v>91</v>
      </c>
      <c r="B83" s="810" t="s">
        <v>2388</v>
      </c>
      <c r="C83" s="810" t="s">
        <v>1324</v>
      </c>
    </row>
    <row r="84" spans="1:3" ht="20" x14ac:dyDescent="0.35">
      <c r="A84" s="869">
        <v>92</v>
      </c>
      <c r="B84" s="810" t="s">
        <v>2389</v>
      </c>
      <c r="C84" s="810" t="s">
        <v>1325</v>
      </c>
    </row>
    <row r="85" spans="1:3" ht="20" x14ac:dyDescent="0.35">
      <c r="A85" s="869">
        <v>93</v>
      </c>
      <c r="B85" s="810" t="s">
        <v>2390</v>
      </c>
      <c r="C85" s="810" t="s">
        <v>332</v>
      </c>
    </row>
    <row r="86" spans="1:3" x14ac:dyDescent="0.35">
      <c r="A86" s="869">
        <v>94</v>
      </c>
      <c r="B86" s="813" t="s">
        <v>2391</v>
      </c>
      <c r="C86" s="813" t="s">
        <v>1327</v>
      </c>
    </row>
    <row r="87" spans="1:3" x14ac:dyDescent="0.35">
      <c r="A87" s="869">
        <v>97</v>
      </c>
      <c r="B87" s="813" t="s">
        <v>2392</v>
      </c>
      <c r="C87" s="813" t="s">
        <v>1693</v>
      </c>
    </row>
    <row r="88" spans="1:3" x14ac:dyDescent="0.35">
      <c r="A88" s="869">
        <v>98</v>
      </c>
      <c r="B88" s="813" t="s">
        <v>2393</v>
      </c>
      <c r="C88" s="813" t="s">
        <v>1326</v>
      </c>
    </row>
    <row r="89" spans="1:3" ht="20" x14ac:dyDescent="0.35">
      <c r="A89" s="869">
        <v>99</v>
      </c>
      <c r="B89" s="810" t="s">
        <v>2394</v>
      </c>
      <c r="C89" s="810" t="s">
        <v>1041</v>
      </c>
    </row>
    <row r="90" spans="1:3" ht="20" x14ac:dyDescent="0.35">
      <c r="A90" s="869">
        <v>100</v>
      </c>
      <c r="B90" s="810" t="s">
        <v>2395</v>
      </c>
      <c r="C90" s="810" t="s">
        <v>855</v>
      </c>
    </row>
    <row r="91" spans="1:3" x14ac:dyDescent="0.35">
      <c r="A91" s="869">
        <v>101</v>
      </c>
      <c r="B91" s="807" t="s">
        <v>2396</v>
      </c>
      <c r="C91" s="807" t="s">
        <v>24</v>
      </c>
    </row>
    <row r="92" spans="1:3" ht="26" x14ac:dyDescent="0.35">
      <c r="A92" s="869">
        <v>102</v>
      </c>
      <c r="B92" s="817" t="s">
        <v>2397</v>
      </c>
      <c r="C92" s="833" t="s">
        <v>21</v>
      </c>
    </row>
    <row r="93" spans="1:3" x14ac:dyDescent="0.35">
      <c r="A93" s="869">
        <v>103</v>
      </c>
      <c r="B93" s="834" t="s">
        <v>2398</v>
      </c>
      <c r="C93" s="834" t="s">
        <v>585</v>
      </c>
    </row>
    <row r="94" spans="1:3" x14ac:dyDescent="0.35">
      <c r="A94" s="869">
        <v>104</v>
      </c>
      <c r="B94" s="835" t="s">
        <v>2399</v>
      </c>
      <c r="C94" s="835" t="s">
        <v>584</v>
      </c>
    </row>
    <row r="95" spans="1:3" x14ac:dyDescent="0.35">
      <c r="A95" s="869">
        <v>105</v>
      </c>
      <c r="B95" s="817" t="s">
        <v>2400</v>
      </c>
      <c r="C95" s="833" t="s">
        <v>586</v>
      </c>
    </row>
    <row r="96" spans="1:3" x14ac:dyDescent="0.35">
      <c r="A96" s="869">
        <v>106</v>
      </c>
      <c r="B96" s="813" t="s">
        <v>2401</v>
      </c>
      <c r="C96" s="813" t="s">
        <v>1109</v>
      </c>
    </row>
    <row r="97" spans="1:3" x14ac:dyDescent="0.35">
      <c r="A97" s="869">
        <v>108</v>
      </c>
      <c r="B97" s="813" t="s">
        <v>2402</v>
      </c>
      <c r="C97" s="813" t="s">
        <v>22</v>
      </c>
    </row>
    <row r="98" spans="1:3" ht="20" x14ac:dyDescent="0.35">
      <c r="A98" s="869">
        <v>109</v>
      </c>
      <c r="B98" s="810" t="s">
        <v>2403</v>
      </c>
      <c r="C98" s="810" t="s">
        <v>1311</v>
      </c>
    </row>
    <row r="99" spans="1:3" x14ac:dyDescent="0.35">
      <c r="A99" s="869">
        <v>110</v>
      </c>
      <c r="B99" s="810" t="s">
        <v>2404</v>
      </c>
      <c r="C99" s="810" t="s">
        <v>1312</v>
      </c>
    </row>
    <row r="100" spans="1:3" x14ac:dyDescent="0.35">
      <c r="A100" s="869">
        <v>111</v>
      </c>
      <c r="B100" s="810" t="s">
        <v>2405</v>
      </c>
      <c r="C100" s="810" t="s">
        <v>1313</v>
      </c>
    </row>
    <row r="101" spans="1:3" ht="20" x14ac:dyDescent="0.35">
      <c r="A101" s="869">
        <v>112</v>
      </c>
      <c r="B101" s="810" t="s">
        <v>2406</v>
      </c>
      <c r="C101" s="810" t="s">
        <v>1042</v>
      </c>
    </row>
    <row r="102" spans="1:3" x14ac:dyDescent="0.35">
      <c r="A102" s="869">
        <v>115</v>
      </c>
      <c r="B102" s="813" t="s">
        <v>2407</v>
      </c>
      <c r="C102" s="832" t="s">
        <v>922</v>
      </c>
    </row>
    <row r="103" spans="1:3" ht="30" x14ac:dyDescent="0.35">
      <c r="A103" s="869">
        <v>116</v>
      </c>
      <c r="B103" s="810" t="s">
        <v>2408</v>
      </c>
      <c r="C103" s="810" t="s">
        <v>857</v>
      </c>
    </row>
    <row r="104" spans="1:3" x14ac:dyDescent="0.35">
      <c r="A104" s="869">
        <v>117</v>
      </c>
      <c r="B104" s="834" t="s">
        <v>2409</v>
      </c>
      <c r="C104" s="834" t="s">
        <v>856</v>
      </c>
    </row>
    <row r="105" spans="1:3" x14ac:dyDescent="0.35">
      <c r="A105" s="869">
        <v>118</v>
      </c>
      <c r="B105" s="836" t="s">
        <v>2410</v>
      </c>
      <c r="C105" s="836" t="s">
        <v>925</v>
      </c>
    </row>
    <row r="106" spans="1:3" x14ac:dyDescent="0.35">
      <c r="A106" s="869">
        <v>119</v>
      </c>
      <c r="B106" s="836" t="s">
        <v>2411</v>
      </c>
      <c r="C106" s="836" t="s">
        <v>926</v>
      </c>
    </row>
    <row r="107" spans="1:3" x14ac:dyDescent="0.35">
      <c r="A107" s="869">
        <v>120</v>
      </c>
      <c r="B107" s="836" t="s">
        <v>2412</v>
      </c>
      <c r="C107" s="836" t="s">
        <v>927</v>
      </c>
    </row>
    <row r="108" spans="1:3" x14ac:dyDescent="0.35">
      <c r="A108" s="869">
        <v>121</v>
      </c>
      <c r="B108" s="836" t="s">
        <v>2413</v>
      </c>
      <c r="C108" s="836" t="s">
        <v>928</v>
      </c>
    </row>
    <row r="109" spans="1:3" x14ac:dyDescent="0.35">
      <c r="A109" s="869">
        <v>122</v>
      </c>
      <c r="B109" s="836" t="s">
        <v>2414</v>
      </c>
      <c r="C109" s="836" t="s">
        <v>929</v>
      </c>
    </row>
    <row r="110" spans="1:3" x14ac:dyDescent="0.35">
      <c r="A110" s="869">
        <v>123</v>
      </c>
      <c r="B110" s="836" t="s">
        <v>2415</v>
      </c>
      <c r="C110" s="836" t="s">
        <v>930</v>
      </c>
    </row>
    <row r="111" spans="1:3" x14ac:dyDescent="0.35">
      <c r="A111" s="869">
        <v>124</v>
      </c>
      <c r="B111" s="836" t="s">
        <v>2416</v>
      </c>
      <c r="C111" s="836" t="s">
        <v>931</v>
      </c>
    </row>
    <row r="112" spans="1:3" x14ac:dyDescent="0.35">
      <c r="A112" s="869">
        <v>125</v>
      </c>
      <c r="B112" s="835" t="s">
        <v>932</v>
      </c>
      <c r="C112" s="835" t="s">
        <v>932</v>
      </c>
    </row>
    <row r="113" spans="1:3" x14ac:dyDescent="0.35">
      <c r="A113" s="869">
        <v>126</v>
      </c>
      <c r="B113" s="813" t="s">
        <v>2417</v>
      </c>
      <c r="C113" s="832" t="s">
        <v>924</v>
      </c>
    </row>
    <row r="114" spans="1:3" x14ac:dyDescent="0.35">
      <c r="A114" s="869">
        <v>127</v>
      </c>
      <c r="B114" s="820" t="s">
        <v>2418</v>
      </c>
      <c r="C114" s="820" t="s">
        <v>293</v>
      </c>
    </row>
    <row r="115" spans="1:3" ht="20" x14ac:dyDescent="0.35">
      <c r="A115" s="869">
        <v>128</v>
      </c>
      <c r="B115" s="810" t="s">
        <v>2419</v>
      </c>
      <c r="C115" s="810" t="s">
        <v>587</v>
      </c>
    </row>
    <row r="116" spans="1:3" x14ac:dyDescent="0.35">
      <c r="A116" s="869">
        <v>129</v>
      </c>
      <c r="B116" s="813" t="s">
        <v>2420</v>
      </c>
      <c r="C116" s="813" t="s">
        <v>1330</v>
      </c>
    </row>
    <row r="117" spans="1:3" x14ac:dyDescent="0.35">
      <c r="A117" s="869">
        <v>130</v>
      </c>
      <c r="B117" s="834" t="s">
        <v>2421</v>
      </c>
      <c r="C117" s="834" t="s">
        <v>923</v>
      </c>
    </row>
    <row r="118" spans="1:3" ht="26" x14ac:dyDescent="0.35">
      <c r="A118" s="869">
        <v>131</v>
      </c>
      <c r="B118" s="813" t="s">
        <v>2422</v>
      </c>
      <c r="C118" s="813" t="s">
        <v>1329</v>
      </c>
    </row>
    <row r="119" spans="1:3" x14ac:dyDescent="0.35">
      <c r="A119" s="869">
        <v>134</v>
      </c>
      <c r="B119" s="834" t="s">
        <v>2423</v>
      </c>
      <c r="C119" s="834" t="s">
        <v>933</v>
      </c>
    </row>
    <row r="120" spans="1:3" x14ac:dyDescent="0.35">
      <c r="A120" s="869">
        <v>135</v>
      </c>
      <c r="B120" s="836" t="s">
        <v>2411</v>
      </c>
      <c r="C120" s="836" t="s">
        <v>285</v>
      </c>
    </row>
    <row r="121" spans="1:3" x14ac:dyDescent="0.35">
      <c r="A121" s="869">
        <v>136</v>
      </c>
      <c r="B121" s="813" t="s">
        <v>2424</v>
      </c>
      <c r="C121" s="813" t="s">
        <v>1331</v>
      </c>
    </row>
    <row r="122" spans="1:3" ht="20" x14ac:dyDescent="0.35">
      <c r="A122" s="869">
        <v>137</v>
      </c>
      <c r="B122" s="810" t="s">
        <v>2425</v>
      </c>
      <c r="C122" s="810" t="s">
        <v>588</v>
      </c>
    </row>
    <row r="123" spans="1:3" x14ac:dyDescent="0.35">
      <c r="A123" s="869">
        <v>138</v>
      </c>
      <c r="B123" s="836" t="s">
        <v>2426</v>
      </c>
      <c r="C123" s="836" t="s">
        <v>286</v>
      </c>
    </row>
    <row r="124" spans="1:3" x14ac:dyDescent="0.35">
      <c r="A124" s="869">
        <v>139</v>
      </c>
      <c r="B124" s="836" t="s">
        <v>2427</v>
      </c>
      <c r="C124" s="836" t="s">
        <v>287</v>
      </c>
    </row>
    <row r="125" spans="1:3" x14ac:dyDescent="0.35">
      <c r="A125" s="869">
        <v>140</v>
      </c>
      <c r="B125" s="813" t="s">
        <v>2428</v>
      </c>
      <c r="C125" s="813" t="s">
        <v>1286</v>
      </c>
    </row>
    <row r="126" spans="1:3" x14ac:dyDescent="0.35">
      <c r="A126" s="869">
        <v>141</v>
      </c>
      <c r="B126" s="834" t="s">
        <v>2429</v>
      </c>
      <c r="C126" s="834" t="s">
        <v>288</v>
      </c>
    </row>
    <row r="127" spans="1:3" x14ac:dyDescent="0.35">
      <c r="A127" s="869">
        <v>142</v>
      </c>
      <c r="B127" s="836" t="s">
        <v>2430</v>
      </c>
      <c r="C127" s="836" t="s">
        <v>1287</v>
      </c>
    </row>
    <row r="128" spans="1:3" x14ac:dyDescent="0.35">
      <c r="A128" s="869">
        <v>143</v>
      </c>
      <c r="B128" s="835" t="s">
        <v>2431</v>
      </c>
      <c r="C128" s="835" t="s">
        <v>289</v>
      </c>
    </row>
    <row r="129" spans="1:3" x14ac:dyDescent="0.35">
      <c r="A129" s="869">
        <v>144</v>
      </c>
      <c r="B129" s="820" t="s">
        <v>2432</v>
      </c>
      <c r="C129" s="820" t="s">
        <v>589</v>
      </c>
    </row>
    <row r="130" spans="1:3" x14ac:dyDescent="0.35">
      <c r="A130" s="869">
        <v>145</v>
      </c>
      <c r="B130" s="813" t="s">
        <v>2433</v>
      </c>
      <c r="C130" s="813" t="s">
        <v>295</v>
      </c>
    </row>
    <row r="131" spans="1:3" ht="20" x14ac:dyDescent="0.35">
      <c r="A131" s="869">
        <v>146</v>
      </c>
      <c r="B131" s="810" t="s">
        <v>2434</v>
      </c>
      <c r="C131" s="810" t="s">
        <v>1332</v>
      </c>
    </row>
    <row r="132" spans="1:3" ht="20" x14ac:dyDescent="0.35">
      <c r="A132" s="869">
        <v>147</v>
      </c>
      <c r="B132" s="810" t="s">
        <v>2435</v>
      </c>
      <c r="C132" s="810" t="s">
        <v>776</v>
      </c>
    </row>
    <row r="133" spans="1:3" x14ac:dyDescent="0.35">
      <c r="A133" s="869">
        <v>148</v>
      </c>
      <c r="B133" s="198" t="s">
        <v>2436</v>
      </c>
      <c r="C133" s="837" t="s">
        <v>32</v>
      </c>
    </row>
    <row r="134" spans="1:3" x14ac:dyDescent="0.35">
      <c r="A134" s="869">
        <v>149</v>
      </c>
      <c r="B134" s="24" t="s">
        <v>2437</v>
      </c>
      <c r="C134" s="24" t="s">
        <v>777</v>
      </c>
    </row>
    <row r="135" spans="1:3" ht="26" x14ac:dyDescent="0.35">
      <c r="A135" s="869">
        <v>150</v>
      </c>
      <c r="B135" s="813" t="s">
        <v>2438</v>
      </c>
      <c r="C135" s="813" t="s">
        <v>1091</v>
      </c>
    </row>
    <row r="136" spans="1:3" ht="20" x14ac:dyDescent="0.35">
      <c r="A136" s="869">
        <v>151</v>
      </c>
      <c r="B136" s="810" t="s">
        <v>2439</v>
      </c>
      <c r="C136" s="810" t="s">
        <v>833</v>
      </c>
    </row>
    <row r="137" spans="1:3" x14ac:dyDescent="0.35">
      <c r="A137" s="869">
        <v>152</v>
      </c>
      <c r="B137" s="810" t="s">
        <v>2440</v>
      </c>
      <c r="C137" s="810" t="s">
        <v>1092</v>
      </c>
    </row>
    <row r="138" spans="1:3" x14ac:dyDescent="0.35">
      <c r="A138" s="869">
        <v>153</v>
      </c>
      <c r="B138" s="898" t="s">
        <v>599</v>
      </c>
      <c r="C138" s="898" t="s">
        <v>599</v>
      </c>
    </row>
    <row r="139" spans="1:3" ht="20" x14ac:dyDescent="0.35">
      <c r="A139" s="869">
        <v>154</v>
      </c>
      <c r="B139" s="809" t="s">
        <v>2441</v>
      </c>
      <c r="C139" s="809" t="s">
        <v>1829</v>
      </c>
    </row>
    <row r="140" spans="1:3" x14ac:dyDescent="0.35">
      <c r="A140" s="869">
        <v>155</v>
      </c>
      <c r="B140" s="810" t="s">
        <v>2442</v>
      </c>
      <c r="C140" s="810" t="s">
        <v>1028</v>
      </c>
    </row>
    <row r="141" spans="1:3" x14ac:dyDescent="0.35">
      <c r="A141" s="869">
        <v>156</v>
      </c>
      <c r="B141" s="807" t="s">
        <v>2443</v>
      </c>
      <c r="C141" s="807" t="s">
        <v>1790</v>
      </c>
    </row>
    <row r="142" spans="1:3" ht="26" x14ac:dyDescent="0.35">
      <c r="A142" s="869">
        <v>157</v>
      </c>
      <c r="B142" s="813" t="s">
        <v>2444</v>
      </c>
      <c r="C142" s="813" t="s">
        <v>1044</v>
      </c>
    </row>
    <row r="143" spans="1:3" x14ac:dyDescent="0.35">
      <c r="A143" s="869">
        <v>158</v>
      </c>
      <c r="B143" s="810" t="s">
        <v>2445</v>
      </c>
      <c r="C143" s="810" t="s">
        <v>1043</v>
      </c>
    </row>
    <row r="144" spans="1:3" ht="20" x14ac:dyDescent="0.35">
      <c r="A144" s="869">
        <v>159</v>
      </c>
      <c r="B144" s="810" t="s">
        <v>2446</v>
      </c>
      <c r="C144" s="810" t="s">
        <v>858</v>
      </c>
    </row>
    <row r="145" spans="1:3" x14ac:dyDescent="0.35">
      <c r="A145" s="869">
        <v>177</v>
      </c>
      <c r="B145" s="14" t="s">
        <v>2447</v>
      </c>
      <c r="C145" s="14" t="s">
        <v>1314</v>
      </c>
    </row>
    <row r="146" spans="1:3" x14ac:dyDescent="0.35">
      <c r="A146" s="869">
        <v>182</v>
      </c>
      <c r="B146" s="820" t="s">
        <v>2448</v>
      </c>
      <c r="C146" s="820" t="s">
        <v>290</v>
      </c>
    </row>
    <row r="147" spans="1:3" ht="26" x14ac:dyDescent="0.35">
      <c r="A147" s="869">
        <v>183</v>
      </c>
      <c r="B147" s="813" t="s">
        <v>2449</v>
      </c>
      <c r="C147" s="813" t="s">
        <v>707</v>
      </c>
    </row>
    <row r="148" spans="1:3" ht="30" x14ac:dyDescent="0.35">
      <c r="A148" s="869">
        <v>184</v>
      </c>
      <c r="B148" s="810" t="s">
        <v>2450</v>
      </c>
      <c r="C148" s="810" t="s">
        <v>867</v>
      </c>
    </row>
    <row r="149" spans="1:3" ht="26" x14ac:dyDescent="0.35">
      <c r="A149" s="869">
        <v>186</v>
      </c>
      <c r="B149" s="813" t="s">
        <v>2451</v>
      </c>
      <c r="C149" s="813" t="s">
        <v>291</v>
      </c>
    </row>
    <row r="150" spans="1:3" ht="26" x14ac:dyDescent="0.35">
      <c r="A150" s="869">
        <v>187</v>
      </c>
      <c r="B150" s="813" t="s">
        <v>2452</v>
      </c>
      <c r="C150" s="813" t="s">
        <v>1168</v>
      </c>
    </row>
    <row r="151" spans="1:3" x14ac:dyDescent="0.35">
      <c r="A151" s="869">
        <v>188</v>
      </c>
      <c r="B151" s="810" t="s">
        <v>2453</v>
      </c>
      <c r="C151" s="810" t="s">
        <v>1169</v>
      </c>
    </row>
    <row r="152" spans="1:3" ht="30" x14ac:dyDescent="0.35">
      <c r="A152" s="869">
        <v>189</v>
      </c>
      <c r="B152" s="810" t="s">
        <v>2454</v>
      </c>
      <c r="C152" s="810" t="s">
        <v>1501</v>
      </c>
    </row>
    <row r="153" spans="1:3" x14ac:dyDescent="0.35">
      <c r="A153" s="869">
        <v>190</v>
      </c>
      <c r="B153" s="813" t="s">
        <v>2455</v>
      </c>
      <c r="C153" s="813" t="s">
        <v>1254</v>
      </c>
    </row>
    <row r="154" spans="1:3" x14ac:dyDescent="0.35">
      <c r="A154" s="869">
        <v>191</v>
      </c>
      <c r="B154" s="813" t="s">
        <v>2456</v>
      </c>
      <c r="C154" s="813" t="s">
        <v>1171</v>
      </c>
    </row>
    <row r="155" spans="1:3" ht="39" x14ac:dyDescent="0.35">
      <c r="A155" s="869">
        <v>192</v>
      </c>
      <c r="B155" s="808" t="s">
        <v>2457</v>
      </c>
      <c r="C155" s="808" t="s">
        <v>872</v>
      </c>
    </row>
    <row r="156" spans="1:3" x14ac:dyDescent="0.35">
      <c r="A156" s="869">
        <v>193</v>
      </c>
      <c r="B156" s="838" t="s">
        <v>2458</v>
      </c>
      <c r="C156" s="838" t="s">
        <v>1172</v>
      </c>
    </row>
    <row r="157" spans="1:3" ht="52" x14ac:dyDescent="0.35">
      <c r="A157" s="869">
        <v>194</v>
      </c>
      <c r="B157" s="808" t="s">
        <v>2459</v>
      </c>
      <c r="C157" s="808" t="s">
        <v>1822</v>
      </c>
    </row>
    <row r="158" spans="1:3" ht="26" x14ac:dyDescent="0.35">
      <c r="A158" s="869">
        <v>195</v>
      </c>
      <c r="B158" s="808" t="s">
        <v>2460</v>
      </c>
      <c r="C158" s="808" t="s">
        <v>1159</v>
      </c>
    </row>
    <row r="159" spans="1:3" ht="52" x14ac:dyDescent="0.35">
      <c r="A159" s="869">
        <v>196</v>
      </c>
      <c r="B159" s="808" t="s">
        <v>2461</v>
      </c>
      <c r="C159" s="808" t="s">
        <v>1460</v>
      </c>
    </row>
    <row r="160" spans="1:3" ht="65" x14ac:dyDescent="0.35">
      <c r="A160" s="869">
        <v>198</v>
      </c>
      <c r="B160" s="808" t="s">
        <v>2462</v>
      </c>
      <c r="C160" s="808" t="s">
        <v>1097</v>
      </c>
    </row>
    <row r="161" spans="1:3" x14ac:dyDescent="0.35">
      <c r="A161" s="869">
        <v>199</v>
      </c>
      <c r="B161" s="813" t="s">
        <v>2463</v>
      </c>
      <c r="C161" s="813" t="s">
        <v>330</v>
      </c>
    </row>
    <row r="162" spans="1:3" ht="78" x14ac:dyDescent="0.35">
      <c r="A162" s="869">
        <v>200</v>
      </c>
      <c r="B162" s="808" t="s">
        <v>2464</v>
      </c>
      <c r="C162" s="808" t="s">
        <v>1333</v>
      </c>
    </row>
    <row r="163" spans="1:3" ht="39" x14ac:dyDescent="0.35">
      <c r="A163" s="869">
        <v>201</v>
      </c>
      <c r="B163" s="808" t="s">
        <v>2465</v>
      </c>
      <c r="C163" s="808" t="s">
        <v>1694</v>
      </c>
    </row>
    <row r="164" spans="1:3" ht="15.5" x14ac:dyDescent="0.35">
      <c r="A164" s="869">
        <v>211</v>
      </c>
      <c r="B164" s="811" t="s">
        <v>2466</v>
      </c>
      <c r="C164" s="811" t="s">
        <v>162</v>
      </c>
    </row>
    <row r="165" spans="1:3" x14ac:dyDescent="0.35">
      <c r="A165" s="869">
        <v>212</v>
      </c>
      <c r="B165" s="820" t="s">
        <v>2467</v>
      </c>
      <c r="C165" s="820" t="s">
        <v>164</v>
      </c>
    </row>
    <row r="166" spans="1:3" ht="26" x14ac:dyDescent="0.35">
      <c r="A166" s="869">
        <v>213</v>
      </c>
      <c r="B166" s="813" t="s">
        <v>2468</v>
      </c>
      <c r="C166" s="813" t="s">
        <v>267</v>
      </c>
    </row>
    <row r="167" spans="1:3" ht="20" x14ac:dyDescent="0.35">
      <c r="A167" s="869">
        <v>214</v>
      </c>
      <c r="B167" s="810" t="s">
        <v>2469</v>
      </c>
      <c r="C167" s="810" t="s">
        <v>1791</v>
      </c>
    </row>
    <row r="168" spans="1:3" ht="26" x14ac:dyDescent="0.35">
      <c r="A168" s="869">
        <v>218</v>
      </c>
      <c r="B168" s="808" t="s">
        <v>2470</v>
      </c>
      <c r="C168" s="808" t="s">
        <v>268</v>
      </c>
    </row>
    <row r="169" spans="1:3" x14ac:dyDescent="0.35">
      <c r="A169" s="869">
        <v>219</v>
      </c>
      <c r="B169" s="872" t="s">
        <v>2471</v>
      </c>
      <c r="C169" s="872" t="s">
        <v>567</v>
      </c>
    </row>
    <row r="170" spans="1:3" x14ac:dyDescent="0.35">
      <c r="A170" s="869">
        <v>220</v>
      </c>
      <c r="B170" s="815" t="s">
        <v>2472</v>
      </c>
      <c r="C170" s="815" t="s">
        <v>899</v>
      </c>
    </row>
    <row r="171" spans="1:3" x14ac:dyDescent="0.35">
      <c r="A171" s="869">
        <v>221</v>
      </c>
      <c r="B171" s="873" t="s">
        <v>2473</v>
      </c>
      <c r="C171" s="873" t="s">
        <v>1558</v>
      </c>
    </row>
    <row r="172" spans="1:3" x14ac:dyDescent="0.35">
      <c r="A172" s="869">
        <v>222</v>
      </c>
      <c r="B172" s="815" t="s">
        <v>2474</v>
      </c>
      <c r="C172" s="815" t="s">
        <v>308</v>
      </c>
    </row>
    <row r="173" spans="1:3" x14ac:dyDescent="0.35">
      <c r="A173" s="869">
        <v>223</v>
      </c>
      <c r="B173" s="820" t="s">
        <v>2475</v>
      </c>
      <c r="C173" s="820" t="s">
        <v>269</v>
      </c>
    </row>
    <row r="174" spans="1:3" ht="26" x14ac:dyDescent="0.35">
      <c r="A174" s="869">
        <v>224</v>
      </c>
      <c r="B174" s="813" t="s">
        <v>2476</v>
      </c>
      <c r="C174" s="813" t="s">
        <v>566</v>
      </c>
    </row>
    <row r="175" spans="1:3" ht="20" x14ac:dyDescent="0.35">
      <c r="A175" s="869">
        <v>227</v>
      </c>
      <c r="B175" s="809" t="s">
        <v>2477</v>
      </c>
      <c r="C175" s="809" t="s">
        <v>687</v>
      </c>
    </row>
    <row r="176" spans="1:3" ht="20" x14ac:dyDescent="0.35">
      <c r="A176" s="869">
        <v>228</v>
      </c>
      <c r="B176" s="810" t="s">
        <v>2478</v>
      </c>
      <c r="C176" s="810" t="s">
        <v>1334</v>
      </c>
    </row>
    <row r="177" spans="1:3" ht="20" x14ac:dyDescent="0.35">
      <c r="A177" s="869">
        <v>229</v>
      </c>
      <c r="B177" s="810" t="s">
        <v>2479</v>
      </c>
      <c r="C177" s="810" t="s">
        <v>686</v>
      </c>
    </row>
    <row r="178" spans="1:3" x14ac:dyDescent="0.35">
      <c r="A178" s="869">
        <v>230</v>
      </c>
      <c r="B178" s="815" t="s">
        <v>2480</v>
      </c>
      <c r="C178" s="874" t="s">
        <v>307</v>
      </c>
    </row>
    <row r="179" spans="1:3" ht="15.5" x14ac:dyDescent="0.35">
      <c r="A179" s="869">
        <v>232</v>
      </c>
      <c r="B179" s="811" t="s">
        <v>2481</v>
      </c>
      <c r="C179" s="811" t="s">
        <v>163</v>
      </c>
    </row>
    <row r="180" spans="1:3" ht="26" x14ac:dyDescent="0.35">
      <c r="A180" s="869">
        <v>233</v>
      </c>
      <c r="B180" s="813" t="s">
        <v>2482</v>
      </c>
      <c r="C180" s="813" t="s">
        <v>568</v>
      </c>
    </row>
    <row r="181" spans="1:3" ht="20" x14ac:dyDescent="0.35">
      <c r="A181" s="869">
        <v>234</v>
      </c>
      <c r="B181" s="810" t="s">
        <v>2483</v>
      </c>
      <c r="C181" s="810" t="s">
        <v>569</v>
      </c>
    </row>
    <row r="182" spans="1:3" ht="20" x14ac:dyDescent="0.35">
      <c r="A182" s="869">
        <v>235</v>
      </c>
      <c r="B182" s="810" t="s">
        <v>2484</v>
      </c>
      <c r="C182" s="810" t="s">
        <v>1335</v>
      </c>
    </row>
    <row r="183" spans="1:3" ht="20" x14ac:dyDescent="0.35">
      <c r="A183" s="869">
        <v>236</v>
      </c>
      <c r="B183" s="810" t="s">
        <v>2485</v>
      </c>
      <c r="C183" s="810" t="s">
        <v>115</v>
      </c>
    </row>
    <row r="184" spans="1:3" ht="20" x14ac:dyDescent="0.35">
      <c r="A184" s="869">
        <v>237</v>
      </c>
      <c r="B184" s="810" t="s">
        <v>2486</v>
      </c>
      <c r="C184" s="810" t="s">
        <v>116</v>
      </c>
    </row>
    <row r="185" spans="1:3" x14ac:dyDescent="0.35">
      <c r="A185" s="869">
        <v>238</v>
      </c>
      <c r="B185" s="810" t="s">
        <v>2487</v>
      </c>
      <c r="C185" s="810" t="s">
        <v>1100</v>
      </c>
    </row>
    <row r="186" spans="1:3" x14ac:dyDescent="0.35">
      <c r="A186" s="869">
        <v>239</v>
      </c>
      <c r="B186" s="810" t="s">
        <v>2488</v>
      </c>
      <c r="C186" s="810" t="s">
        <v>576</v>
      </c>
    </row>
    <row r="187" spans="1:3" x14ac:dyDescent="0.35">
      <c r="A187" s="869">
        <v>240</v>
      </c>
      <c r="B187" s="810" t="s">
        <v>2489</v>
      </c>
      <c r="C187" s="810" t="s">
        <v>577</v>
      </c>
    </row>
    <row r="188" spans="1:3" x14ac:dyDescent="0.35">
      <c r="A188" s="869">
        <v>241</v>
      </c>
      <c r="B188" s="810" t="s">
        <v>2490</v>
      </c>
      <c r="C188" s="810" t="s">
        <v>1099</v>
      </c>
    </row>
    <row r="189" spans="1:3" x14ac:dyDescent="0.35">
      <c r="A189" s="869">
        <v>242</v>
      </c>
      <c r="B189" s="810" t="s">
        <v>2491</v>
      </c>
      <c r="C189" s="810" t="s">
        <v>578</v>
      </c>
    </row>
    <row r="190" spans="1:3" x14ac:dyDescent="0.35">
      <c r="A190" s="869">
        <v>243</v>
      </c>
      <c r="B190" s="809" t="s">
        <v>2492</v>
      </c>
      <c r="C190" s="809" t="s">
        <v>1102</v>
      </c>
    </row>
    <row r="191" spans="1:3" ht="20" x14ac:dyDescent="0.35">
      <c r="A191" s="869">
        <v>244</v>
      </c>
      <c r="B191" s="810" t="s">
        <v>2493</v>
      </c>
      <c r="C191" s="810" t="s">
        <v>626</v>
      </c>
    </row>
    <row r="192" spans="1:3" ht="20" x14ac:dyDescent="0.35">
      <c r="A192" s="869">
        <v>245</v>
      </c>
      <c r="B192" s="810" t="s">
        <v>2494</v>
      </c>
      <c r="C192" s="810" t="s">
        <v>1101</v>
      </c>
    </row>
    <row r="193" spans="1:3" x14ac:dyDescent="0.35">
      <c r="A193" s="869">
        <v>246</v>
      </c>
      <c r="B193" s="810" t="s">
        <v>2495</v>
      </c>
      <c r="C193" s="810" t="s">
        <v>627</v>
      </c>
    </row>
    <row r="194" spans="1:3" x14ac:dyDescent="0.35">
      <c r="A194" s="869">
        <v>247</v>
      </c>
      <c r="B194" s="810" t="s">
        <v>2496</v>
      </c>
      <c r="C194" s="810" t="s">
        <v>849</v>
      </c>
    </row>
    <row r="195" spans="1:3" x14ac:dyDescent="0.35">
      <c r="A195" s="869">
        <v>248</v>
      </c>
      <c r="B195" s="810" t="s">
        <v>2497</v>
      </c>
      <c r="C195" s="810" t="s">
        <v>56</v>
      </c>
    </row>
    <row r="196" spans="1:3" x14ac:dyDescent="0.35">
      <c r="A196" s="869">
        <v>249</v>
      </c>
      <c r="B196" s="810" t="s">
        <v>2498</v>
      </c>
      <c r="C196" s="810" t="s">
        <v>579</v>
      </c>
    </row>
    <row r="197" spans="1:3" x14ac:dyDescent="0.35">
      <c r="A197" s="869">
        <v>250</v>
      </c>
      <c r="B197" s="810" t="s">
        <v>2499</v>
      </c>
      <c r="C197" s="810" t="s">
        <v>1682</v>
      </c>
    </row>
    <row r="198" spans="1:3" x14ac:dyDescent="0.35">
      <c r="A198" s="869">
        <v>251</v>
      </c>
      <c r="B198" s="810" t="s">
        <v>2500</v>
      </c>
      <c r="C198" s="810" t="s">
        <v>1704</v>
      </c>
    </row>
    <row r="199" spans="1:3" x14ac:dyDescent="0.35">
      <c r="A199" s="869">
        <v>252</v>
      </c>
      <c r="B199" s="810" t="s">
        <v>2501</v>
      </c>
      <c r="C199" s="810" t="s">
        <v>342</v>
      </c>
    </row>
    <row r="200" spans="1:3" x14ac:dyDescent="0.35">
      <c r="A200" s="869">
        <v>253</v>
      </c>
      <c r="B200" s="810" t="s">
        <v>2502</v>
      </c>
      <c r="C200" s="810" t="s">
        <v>343</v>
      </c>
    </row>
    <row r="201" spans="1:3" x14ac:dyDescent="0.35">
      <c r="A201" s="869">
        <v>254</v>
      </c>
      <c r="B201" s="810" t="s">
        <v>2503</v>
      </c>
      <c r="C201" s="810" t="s">
        <v>344</v>
      </c>
    </row>
    <row r="202" spans="1:3" x14ac:dyDescent="0.35">
      <c r="A202" s="869">
        <v>255</v>
      </c>
      <c r="B202" s="815" t="s">
        <v>2504</v>
      </c>
      <c r="C202" s="815" t="s">
        <v>570</v>
      </c>
    </row>
    <row r="203" spans="1:3" x14ac:dyDescent="0.35">
      <c r="A203" s="869">
        <v>256</v>
      </c>
      <c r="B203" s="815" t="s">
        <v>2505</v>
      </c>
      <c r="C203" s="815" t="s">
        <v>571</v>
      </c>
    </row>
    <row r="204" spans="1:3" x14ac:dyDescent="0.35">
      <c r="A204" s="869">
        <v>257</v>
      </c>
      <c r="B204" s="815" t="s">
        <v>2506</v>
      </c>
      <c r="C204" s="815" t="s">
        <v>572</v>
      </c>
    </row>
    <row r="205" spans="1:3" x14ac:dyDescent="0.35">
      <c r="A205" s="869">
        <v>258</v>
      </c>
      <c r="B205" s="815" t="s">
        <v>2507</v>
      </c>
      <c r="C205" s="815" t="s">
        <v>573</v>
      </c>
    </row>
    <row r="206" spans="1:3" ht="26" x14ac:dyDescent="0.35">
      <c r="A206" s="869">
        <v>259</v>
      </c>
      <c r="B206" s="813" t="s">
        <v>2508</v>
      </c>
      <c r="C206" s="813" t="s">
        <v>1163</v>
      </c>
    </row>
    <row r="207" spans="1:3" ht="30" x14ac:dyDescent="0.35">
      <c r="A207" s="869">
        <v>260</v>
      </c>
      <c r="B207" s="810" t="s">
        <v>2509</v>
      </c>
      <c r="C207" s="810" t="s">
        <v>1318</v>
      </c>
    </row>
    <row r="208" spans="1:3" ht="20" x14ac:dyDescent="0.35">
      <c r="A208" s="869">
        <v>261</v>
      </c>
      <c r="B208" s="810" t="s">
        <v>2510</v>
      </c>
      <c r="C208" s="810" t="s">
        <v>1610</v>
      </c>
    </row>
    <row r="209" spans="1:3" x14ac:dyDescent="0.35">
      <c r="A209" s="869">
        <v>262</v>
      </c>
      <c r="B209" s="815" t="s">
        <v>2511</v>
      </c>
      <c r="C209" s="815" t="s">
        <v>1611</v>
      </c>
    </row>
    <row r="210" spans="1:3" x14ac:dyDescent="0.35">
      <c r="A210" s="869">
        <v>263</v>
      </c>
      <c r="B210" s="815" t="s">
        <v>2512</v>
      </c>
      <c r="C210" s="815" t="s">
        <v>1162</v>
      </c>
    </row>
    <row r="211" spans="1:3" x14ac:dyDescent="0.35">
      <c r="A211" s="869">
        <v>264</v>
      </c>
      <c r="B211" s="875" t="s">
        <v>2513</v>
      </c>
      <c r="C211" s="875" t="s">
        <v>575</v>
      </c>
    </row>
    <row r="212" spans="1:3" ht="15" thickBot="1" x14ac:dyDescent="0.4">
      <c r="A212" s="869">
        <v>265</v>
      </c>
      <c r="B212" s="815" t="s">
        <v>2514</v>
      </c>
      <c r="C212" s="815" t="s">
        <v>574</v>
      </c>
    </row>
    <row r="213" spans="1:3" ht="15" thickBot="1" x14ac:dyDescent="0.4">
      <c r="A213" s="869">
        <v>339</v>
      </c>
      <c r="B213" s="876" t="s">
        <v>2515</v>
      </c>
      <c r="C213" s="876" t="s">
        <v>946</v>
      </c>
    </row>
    <row r="214" spans="1:3" ht="26" x14ac:dyDescent="0.35">
      <c r="A214" s="869">
        <v>350</v>
      </c>
      <c r="B214" s="850" t="s">
        <v>739</v>
      </c>
      <c r="C214" s="850" t="s">
        <v>636</v>
      </c>
    </row>
    <row r="215" spans="1:3" x14ac:dyDescent="0.35">
      <c r="A215" s="869">
        <v>351</v>
      </c>
      <c r="B215" s="898" t="s">
        <v>2516</v>
      </c>
      <c r="C215" s="898" t="s">
        <v>654</v>
      </c>
    </row>
    <row r="216" spans="1:3" x14ac:dyDescent="0.35">
      <c r="A216" s="869">
        <v>352</v>
      </c>
      <c r="B216" s="898" t="s">
        <v>2517</v>
      </c>
      <c r="C216" s="898" t="s">
        <v>655</v>
      </c>
    </row>
    <row r="217" spans="1:3" x14ac:dyDescent="0.35">
      <c r="A217" s="869">
        <v>353</v>
      </c>
      <c r="B217" s="898" t="s">
        <v>2518</v>
      </c>
      <c r="C217" s="898" t="s">
        <v>1491</v>
      </c>
    </row>
    <row r="218" spans="1:3" x14ac:dyDescent="0.35">
      <c r="A218" s="869">
        <v>354</v>
      </c>
      <c r="B218" s="898" t="s">
        <v>2519</v>
      </c>
      <c r="C218" s="898" t="s">
        <v>1492</v>
      </c>
    </row>
    <row r="219" spans="1:3" x14ac:dyDescent="0.35">
      <c r="A219" s="869">
        <v>355</v>
      </c>
      <c r="B219" s="898" t="s">
        <v>2520</v>
      </c>
      <c r="C219" s="898" t="s">
        <v>656</v>
      </c>
    </row>
    <row r="220" spans="1:3" x14ac:dyDescent="0.35">
      <c r="A220" s="869">
        <v>356</v>
      </c>
      <c r="B220" s="898" t="s">
        <v>2521</v>
      </c>
      <c r="C220" s="898" t="s">
        <v>657</v>
      </c>
    </row>
    <row r="221" spans="1:3" ht="18" x14ac:dyDescent="0.35">
      <c r="A221" s="869">
        <v>357</v>
      </c>
      <c r="B221" s="812" t="s">
        <v>2522</v>
      </c>
      <c r="C221" s="812" t="s">
        <v>740</v>
      </c>
    </row>
    <row r="222" spans="1:3" ht="31" x14ac:dyDescent="0.35">
      <c r="A222" s="869">
        <v>358</v>
      </c>
      <c r="B222" s="811" t="s">
        <v>2523</v>
      </c>
      <c r="C222" s="811" t="s">
        <v>1012</v>
      </c>
    </row>
    <row r="223" spans="1:3" x14ac:dyDescent="0.35">
      <c r="A223" s="869">
        <v>363</v>
      </c>
      <c r="B223" s="817" t="s">
        <v>2524</v>
      </c>
      <c r="C223" s="817" t="s">
        <v>1017</v>
      </c>
    </row>
    <row r="224" spans="1:3" x14ac:dyDescent="0.35">
      <c r="A224" s="869">
        <v>364</v>
      </c>
      <c r="B224" s="834" t="s">
        <v>2525</v>
      </c>
      <c r="C224" s="839" t="s">
        <v>1015</v>
      </c>
    </row>
    <row r="225" spans="1:3" x14ac:dyDescent="0.35">
      <c r="A225" s="869">
        <v>365</v>
      </c>
      <c r="B225" s="840" t="s">
        <v>2526</v>
      </c>
      <c r="C225" s="840" t="s">
        <v>1792</v>
      </c>
    </row>
    <row r="226" spans="1:3" x14ac:dyDescent="0.35">
      <c r="A226" s="869">
        <v>366</v>
      </c>
      <c r="B226" s="836" t="s">
        <v>2527</v>
      </c>
      <c r="C226" s="841" t="s">
        <v>1013</v>
      </c>
    </row>
    <row r="227" spans="1:3" x14ac:dyDescent="0.35">
      <c r="A227" s="869">
        <v>367</v>
      </c>
      <c r="B227" s="835" t="s">
        <v>2528</v>
      </c>
      <c r="C227" s="842" t="s">
        <v>1014</v>
      </c>
    </row>
    <row r="228" spans="1:3" x14ac:dyDescent="0.35">
      <c r="A228" s="869">
        <v>368</v>
      </c>
      <c r="B228" s="1780" t="s">
        <v>2529</v>
      </c>
      <c r="C228" s="1780" t="s">
        <v>1402</v>
      </c>
    </row>
    <row r="229" spans="1:3" ht="15" thickBot="1" x14ac:dyDescent="0.4">
      <c r="A229" s="869">
        <v>369</v>
      </c>
      <c r="B229" s="843" t="s">
        <v>2530</v>
      </c>
      <c r="C229" s="843" t="s">
        <v>1401</v>
      </c>
    </row>
    <row r="230" spans="1:3" ht="15" thickBot="1" x14ac:dyDescent="0.4">
      <c r="A230" s="869">
        <v>370</v>
      </c>
      <c r="B230" s="844" t="s">
        <v>2531</v>
      </c>
      <c r="C230" s="844" t="s">
        <v>1403</v>
      </c>
    </row>
    <row r="231" spans="1:3" ht="15" thickBot="1" x14ac:dyDescent="0.4">
      <c r="A231" s="869">
        <v>371</v>
      </c>
      <c r="B231" s="844" t="s">
        <v>2532</v>
      </c>
      <c r="C231" s="844" t="s">
        <v>1018</v>
      </c>
    </row>
    <row r="232" spans="1:3" ht="20" x14ac:dyDescent="0.35">
      <c r="A232" s="869">
        <v>375</v>
      </c>
      <c r="B232" s="810" t="s">
        <v>2533</v>
      </c>
      <c r="C232" s="810" t="s">
        <v>1614</v>
      </c>
    </row>
    <row r="233" spans="1:3" ht="20" x14ac:dyDescent="0.35">
      <c r="A233" s="869">
        <v>376</v>
      </c>
      <c r="B233" s="810" t="s">
        <v>2534</v>
      </c>
      <c r="C233" s="810" t="s">
        <v>1615</v>
      </c>
    </row>
    <row r="234" spans="1:3" x14ac:dyDescent="0.35">
      <c r="A234" s="869">
        <v>377</v>
      </c>
      <c r="B234" s="810" t="s">
        <v>2535</v>
      </c>
      <c r="C234" s="810" t="s">
        <v>1616</v>
      </c>
    </row>
    <row r="235" spans="1:3" x14ac:dyDescent="0.35">
      <c r="A235" s="869">
        <v>378</v>
      </c>
      <c r="B235" s="810" t="s">
        <v>2536</v>
      </c>
      <c r="C235" s="810" t="s">
        <v>1617</v>
      </c>
    </row>
    <row r="236" spans="1:3" x14ac:dyDescent="0.35">
      <c r="A236" s="869">
        <v>379</v>
      </c>
      <c r="B236" s="810" t="s">
        <v>2537</v>
      </c>
      <c r="C236" s="810" t="s">
        <v>1789</v>
      </c>
    </row>
    <row r="237" spans="1:3" x14ac:dyDescent="0.35">
      <c r="A237" s="869">
        <v>380</v>
      </c>
      <c r="B237" s="810" t="s">
        <v>2538</v>
      </c>
      <c r="C237" s="810" t="s">
        <v>1669</v>
      </c>
    </row>
    <row r="238" spans="1:3" ht="15.5" x14ac:dyDescent="0.35">
      <c r="A238" s="869">
        <v>385</v>
      </c>
      <c r="B238" s="811" t="s">
        <v>2539</v>
      </c>
      <c r="C238" s="811" t="s">
        <v>993</v>
      </c>
    </row>
    <row r="239" spans="1:3" x14ac:dyDescent="0.35">
      <c r="A239" s="869">
        <v>387</v>
      </c>
      <c r="B239" s="1780" t="s">
        <v>2531</v>
      </c>
      <c r="C239" s="1780" t="s">
        <v>983</v>
      </c>
    </row>
    <row r="240" spans="1:3" x14ac:dyDescent="0.35">
      <c r="A240" s="869">
        <v>388</v>
      </c>
      <c r="B240" s="820" t="s">
        <v>2540</v>
      </c>
      <c r="C240" s="820" t="s">
        <v>249</v>
      </c>
    </row>
    <row r="241" spans="1:3" x14ac:dyDescent="0.35">
      <c r="A241" s="869">
        <v>390</v>
      </c>
      <c r="B241" s="810" t="s">
        <v>2541</v>
      </c>
      <c r="C241" s="810" t="s">
        <v>1609</v>
      </c>
    </row>
    <row r="242" spans="1:3" ht="15.5" x14ac:dyDescent="0.35">
      <c r="A242" s="869">
        <v>391</v>
      </c>
      <c r="B242" s="811" t="s">
        <v>2542</v>
      </c>
      <c r="C242" s="811" t="s">
        <v>1378</v>
      </c>
    </row>
    <row r="243" spans="1:3" x14ac:dyDescent="0.35">
      <c r="A243" s="869">
        <v>392</v>
      </c>
      <c r="B243" s="813" t="s">
        <v>2543</v>
      </c>
      <c r="C243" s="813" t="s">
        <v>1414</v>
      </c>
    </row>
    <row r="244" spans="1:3" ht="20" x14ac:dyDescent="0.35">
      <c r="A244" s="869">
        <v>393</v>
      </c>
      <c r="B244" s="810" t="s">
        <v>2544</v>
      </c>
      <c r="C244" s="810" t="s">
        <v>1409</v>
      </c>
    </row>
    <row r="245" spans="1:3" ht="20" x14ac:dyDescent="0.35">
      <c r="A245" s="869">
        <v>394</v>
      </c>
      <c r="B245" s="809" t="s">
        <v>2545</v>
      </c>
      <c r="C245" s="809" t="s">
        <v>1410</v>
      </c>
    </row>
    <row r="246" spans="1:3" ht="40" x14ac:dyDescent="0.35">
      <c r="A246" s="869">
        <v>395</v>
      </c>
      <c r="B246" s="809" t="s">
        <v>2546</v>
      </c>
      <c r="C246" s="809" t="s">
        <v>1496</v>
      </c>
    </row>
    <row r="247" spans="1:3" ht="30" x14ac:dyDescent="0.35">
      <c r="A247" s="869">
        <v>396</v>
      </c>
      <c r="B247" s="810" t="s">
        <v>2547</v>
      </c>
      <c r="C247" s="810" t="s">
        <v>1613</v>
      </c>
    </row>
    <row r="248" spans="1:3" ht="40" x14ac:dyDescent="0.35">
      <c r="A248" s="869">
        <v>397</v>
      </c>
      <c r="B248" s="810" t="s">
        <v>2548</v>
      </c>
      <c r="C248" s="810" t="s">
        <v>1490</v>
      </c>
    </row>
    <row r="249" spans="1:3" ht="28" x14ac:dyDescent="0.35">
      <c r="A249" s="869">
        <v>398</v>
      </c>
      <c r="B249" s="820" t="s">
        <v>2549</v>
      </c>
      <c r="C249" s="820" t="s">
        <v>1236</v>
      </c>
    </row>
    <row r="250" spans="1:3" x14ac:dyDescent="0.35">
      <c r="A250" s="869">
        <v>399</v>
      </c>
      <c r="B250" s="813" t="s">
        <v>2550</v>
      </c>
      <c r="C250" s="813" t="s">
        <v>1224</v>
      </c>
    </row>
    <row r="251" spans="1:3" x14ac:dyDescent="0.35">
      <c r="A251" s="869">
        <v>400</v>
      </c>
      <c r="B251" s="810" t="s">
        <v>2551</v>
      </c>
      <c r="C251" s="810" t="s">
        <v>1262</v>
      </c>
    </row>
    <row r="252" spans="1:3" x14ac:dyDescent="0.35">
      <c r="A252" s="869">
        <v>401</v>
      </c>
      <c r="B252" s="1780" t="s">
        <v>2552</v>
      </c>
      <c r="C252" s="1780" t="s">
        <v>1217</v>
      </c>
    </row>
    <row r="253" spans="1:3" x14ac:dyDescent="0.35">
      <c r="A253" s="869">
        <v>402</v>
      </c>
      <c r="B253" s="813" t="s">
        <v>2553</v>
      </c>
      <c r="C253" s="813" t="s">
        <v>1218</v>
      </c>
    </row>
    <row r="254" spans="1:3" x14ac:dyDescent="0.35">
      <c r="A254" s="869">
        <v>404</v>
      </c>
      <c r="B254" s="813" t="s">
        <v>2554</v>
      </c>
      <c r="C254" s="813" t="s">
        <v>1219</v>
      </c>
    </row>
    <row r="255" spans="1:3" x14ac:dyDescent="0.35">
      <c r="A255" s="869">
        <v>406</v>
      </c>
      <c r="B255" s="1780" t="s">
        <v>2554</v>
      </c>
      <c r="C255" s="1780" t="s">
        <v>1562</v>
      </c>
    </row>
    <row r="256" spans="1:3" x14ac:dyDescent="0.35">
      <c r="A256" s="869">
        <v>407</v>
      </c>
      <c r="B256" s="813" t="s">
        <v>2555</v>
      </c>
      <c r="C256" s="813" t="s">
        <v>1348</v>
      </c>
    </row>
    <row r="257" spans="1:3" x14ac:dyDescent="0.35">
      <c r="A257" s="869">
        <v>408</v>
      </c>
      <c r="B257" s="810" t="s">
        <v>2556</v>
      </c>
      <c r="C257" s="810" t="s">
        <v>1427</v>
      </c>
    </row>
    <row r="258" spans="1:3" x14ac:dyDescent="0.35">
      <c r="A258" s="869">
        <v>409</v>
      </c>
      <c r="B258" s="1780" t="s">
        <v>2557</v>
      </c>
      <c r="C258" s="1780" t="s">
        <v>1263</v>
      </c>
    </row>
    <row r="259" spans="1:3" x14ac:dyDescent="0.35">
      <c r="A259" s="869">
        <v>410</v>
      </c>
      <c r="B259" s="1780" t="s">
        <v>2558</v>
      </c>
      <c r="C259" s="1780" t="s">
        <v>1264</v>
      </c>
    </row>
    <row r="260" spans="1:3" x14ac:dyDescent="0.35">
      <c r="A260" s="869">
        <v>411</v>
      </c>
      <c r="B260" s="1780" t="s">
        <v>2559</v>
      </c>
      <c r="C260" s="1780" t="s">
        <v>225</v>
      </c>
    </row>
    <row r="261" spans="1:3" x14ac:dyDescent="0.35">
      <c r="A261" s="869">
        <v>412</v>
      </c>
      <c r="B261" s="813" t="s">
        <v>2560</v>
      </c>
      <c r="C261" s="813" t="s">
        <v>1423</v>
      </c>
    </row>
    <row r="262" spans="1:3" x14ac:dyDescent="0.35">
      <c r="A262" s="869">
        <v>413</v>
      </c>
      <c r="B262" s="845" t="s">
        <v>2561</v>
      </c>
      <c r="C262" s="845" t="s">
        <v>1421</v>
      </c>
    </row>
    <row r="263" spans="1:3" x14ac:dyDescent="0.35">
      <c r="A263" s="869">
        <v>414</v>
      </c>
      <c r="B263" s="845" t="s">
        <v>2562</v>
      </c>
      <c r="C263" s="845" t="s">
        <v>1446</v>
      </c>
    </row>
    <row r="264" spans="1:3" x14ac:dyDescent="0.35">
      <c r="A264" s="869">
        <v>415</v>
      </c>
      <c r="B264" s="813" t="s">
        <v>2563</v>
      </c>
      <c r="C264" s="813" t="s">
        <v>1425</v>
      </c>
    </row>
    <row r="265" spans="1:3" x14ac:dyDescent="0.35">
      <c r="A265" s="869">
        <v>416</v>
      </c>
      <c r="B265" s="810" t="s">
        <v>2564</v>
      </c>
      <c r="C265" s="810" t="s">
        <v>1424</v>
      </c>
    </row>
    <row r="266" spans="1:3" ht="40" x14ac:dyDescent="0.35">
      <c r="A266" s="869">
        <v>417</v>
      </c>
      <c r="B266" s="810" t="s">
        <v>2565</v>
      </c>
      <c r="C266" s="810" t="s">
        <v>1426</v>
      </c>
    </row>
    <row r="267" spans="1:3" x14ac:dyDescent="0.35">
      <c r="A267" s="869">
        <v>418</v>
      </c>
      <c r="B267" s="1780" t="s">
        <v>2566</v>
      </c>
      <c r="C267" s="1780" t="s">
        <v>1222</v>
      </c>
    </row>
    <row r="268" spans="1:3" x14ac:dyDescent="0.35">
      <c r="A268" s="869">
        <v>419</v>
      </c>
      <c r="B268" s="1780" t="s">
        <v>2567</v>
      </c>
      <c r="C268" s="1780" t="s">
        <v>1223</v>
      </c>
    </row>
    <row r="269" spans="1:3" x14ac:dyDescent="0.35">
      <c r="A269" s="869">
        <v>420</v>
      </c>
      <c r="B269" s="813" t="s">
        <v>2568</v>
      </c>
      <c r="C269" s="813" t="s">
        <v>1221</v>
      </c>
    </row>
    <row r="270" spans="1:3" ht="20" x14ac:dyDescent="0.35">
      <c r="A270" s="869">
        <v>421</v>
      </c>
      <c r="B270" s="810" t="s">
        <v>2569</v>
      </c>
      <c r="C270" s="810" t="s">
        <v>1565</v>
      </c>
    </row>
    <row r="271" spans="1:3" ht="40" x14ac:dyDescent="0.35">
      <c r="A271" s="869">
        <v>422</v>
      </c>
      <c r="B271" s="810" t="s">
        <v>2570</v>
      </c>
      <c r="C271" s="810" t="s">
        <v>1800</v>
      </c>
    </row>
    <row r="272" spans="1:3" x14ac:dyDescent="0.35">
      <c r="A272" s="869">
        <v>423</v>
      </c>
      <c r="B272" s="898" t="s">
        <v>1430</v>
      </c>
      <c r="C272" s="898" t="s">
        <v>1430</v>
      </c>
    </row>
    <row r="273" spans="1:3" x14ac:dyDescent="0.35">
      <c r="A273" s="869">
        <v>424</v>
      </c>
      <c r="B273" s="810" t="s">
        <v>2215</v>
      </c>
      <c r="C273" s="810" t="s">
        <v>1612</v>
      </c>
    </row>
    <row r="274" spans="1:3" x14ac:dyDescent="0.35">
      <c r="A274" s="869">
        <v>425</v>
      </c>
      <c r="B274" s="813" t="s">
        <v>2571</v>
      </c>
      <c r="C274" s="813" t="s">
        <v>1349</v>
      </c>
    </row>
    <row r="275" spans="1:3" ht="20" x14ac:dyDescent="0.35">
      <c r="A275" s="869">
        <v>426</v>
      </c>
      <c r="B275" s="810" t="s">
        <v>2572</v>
      </c>
      <c r="C275" s="810" t="s">
        <v>1428</v>
      </c>
    </row>
    <row r="276" spans="1:3" ht="20" x14ac:dyDescent="0.35">
      <c r="A276" s="869">
        <v>427</v>
      </c>
      <c r="B276" s="810" t="s">
        <v>2573</v>
      </c>
      <c r="C276" s="810" t="s">
        <v>1429</v>
      </c>
    </row>
    <row r="277" spans="1:3" ht="20" x14ac:dyDescent="0.35">
      <c r="A277" s="869">
        <v>428</v>
      </c>
      <c r="B277" s="810" t="s">
        <v>2574</v>
      </c>
      <c r="C277" s="810" t="s">
        <v>252</v>
      </c>
    </row>
    <row r="278" spans="1:3" x14ac:dyDescent="0.35">
      <c r="A278" s="869">
        <v>429</v>
      </c>
      <c r="B278" s="1780" t="s">
        <v>2575</v>
      </c>
      <c r="C278" s="1780" t="s">
        <v>1216</v>
      </c>
    </row>
    <row r="279" spans="1:3" x14ac:dyDescent="0.35">
      <c r="A279" s="869">
        <v>430</v>
      </c>
      <c r="B279" s="1780" t="s">
        <v>2576</v>
      </c>
      <c r="C279" s="1780" t="s">
        <v>1422</v>
      </c>
    </row>
    <row r="280" spans="1:3" x14ac:dyDescent="0.35">
      <c r="A280" s="869">
        <v>431</v>
      </c>
      <c r="B280" s="813" t="s">
        <v>2577</v>
      </c>
      <c r="C280" s="813" t="s">
        <v>1477</v>
      </c>
    </row>
    <row r="281" spans="1:3" ht="20" x14ac:dyDescent="0.35">
      <c r="A281" s="869">
        <v>432</v>
      </c>
      <c r="B281" s="810" t="s">
        <v>2578</v>
      </c>
      <c r="C281" s="810" t="s">
        <v>1709</v>
      </c>
    </row>
    <row r="282" spans="1:3" x14ac:dyDescent="0.35">
      <c r="A282" s="869">
        <v>433</v>
      </c>
      <c r="B282" s="1780" t="s">
        <v>2579</v>
      </c>
      <c r="C282" s="1780" t="s">
        <v>1478</v>
      </c>
    </row>
    <row r="283" spans="1:3" x14ac:dyDescent="0.35">
      <c r="A283" s="869">
        <v>434</v>
      </c>
      <c r="B283" s="1780" t="s">
        <v>2580</v>
      </c>
      <c r="C283" s="1780" t="s">
        <v>1479</v>
      </c>
    </row>
    <row r="284" spans="1:3" ht="15.5" x14ac:dyDescent="0.35">
      <c r="A284" s="869">
        <v>435</v>
      </c>
      <c r="B284" s="811" t="s">
        <v>2581</v>
      </c>
      <c r="C284" s="811" t="s">
        <v>1354</v>
      </c>
    </row>
    <row r="285" spans="1:3" ht="26" x14ac:dyDescent="0.35">
      <c r="A285" s="869">
        <v>436</v>
      </c>
      <c r="B285" s="813" t="s">
        <v>2582</v>
      </c>
      <c r="C285" s="813" t="s">
        <v>1587</v>
      </c>
    </row>
    <row r="286" spans="1:3" ht="20" x14ac:dyDescent="0.35">
      <c r="A286" s="869">
        <v>437</v>
      </c>
      <c r="B286" s="810" t="s">
        <v>2583</v>
      </c>
      <c r="C286" s="810" t="s">
        <v>1824</v>
      </c>
    </row>
    <row r="287" spans="1:3" ht="20" x14ac:dyDescent="0.35">
      <c r="A287" s="869">
        <v>438</v>
      </c>
      <c r="B287" s="810" t="s">
        <v>2584</v>
      </c>
      <c r="C287" s="810" t="s">
        <v>1152</v>
      </c>
    </row>
    <row r="288" spans="1:3" ht="20" x14ac:dyDescent="0.35">
      <c r="A288" s="869">
        <v>439</v>
      </c>
      <c r="B288" s="810" t="s">
        <v>2585</v>
      </c>
      <c r="C288" s="810" t="s">
        <v>1563</v>
      </c>
    </row>
    <row r="289" spans="1:3" x14ac:dyDescent="0.35">
      <c r="A289" s="869">
        <v>440</v>
      </c>
      <c r="B289" s="810" t="s">
        <v>2586</v>
      </c>
      <c r="C289" s="810" t="s">
        <v>1153</v>
      </c>
    </row>
    <row r="290" spans="1:3" ht="20" x14ac:dyDescent="0.35">
      <c r="A290" s="869">
        <v>441</v>
      </c>
      <c r="B290" s="810" t="s">
        <v>2587</v>
      </c>
      <c r="C290" s="810" t="s">
        <v>413</v>
      </c>
    </row>
    <row r="291" spans="1:3" ht="20" x14ac:dyDescent="0.35">
      <c r="A291" s="869">
        <v>442</v>
      </c>
      <c r="B291" s="810" t="s">
        <v>2588</v>
      </c>
      <c r="C291" s="810" t="s">
        <v>1158</v>
      </c>
    </row>
    <row r="292" spans="1:3" x14ac:dyDescent="0.35">
      <c r="A292" s="869">
        <v>443</v>
      </c>
      <c r="B292" s="810" t="s">
        <v>2589</v>
      </c>
      <c r="C292" s="810" t="s">
        <v>1157</v>
      </c>
    </row>
    <row r="293" spans="1:3" ht="20" x14ac:dyDescent="0.35">
      <c r="A293" s="869">
        <v>444</v>
      </c>
      <c r="B293" s="810" t="s">
        <v>2590</v>
      </c>
      <c r="C293" s="810" t="s">
        <v>1825</v>
      </c>
    </row>
    <row r="294" spans="1:3" x14ac:dyDescent="0.35">
      <c r="A294" s="869">
        <v>445</v>
      </c>
      <c r="B294" s="810" t="s">
        <v>2591</v>
      </c>
      <c r="C294" s="810" t="s">
        <v>1156</v>
      </c>
    </row>
    <row r="295" spans="1:3" ht="20" x14ac:dyDescent="0.35">
      <c r="A295" s="869">
        <v>446</v>
      </c>
      <c r="B295" s="810" t="s">
        <v>2592</v>
      </c>
      <c r="C295" s="810" t="s">
        <v>850</v>
      </c>
    </row>
    <row r="296" spans="1:3" ht="28" x14ac:dyDescent="0.35">
      <c r="A296" s="869">
        <v>447</v>
      </c>
      <c r="B296" s="820" t="s">
        <v>2593</v>
      </c>
      <c r="C296" s="820" t="s">
        <v>1459</v>
      </c>
    </row>
    <row r="297" spans="1:3" ht="26" x14ac:dyDescent="0.35">
      <c r="A297" s="869">
        <v>448</v>
      </c>
      <c r="B297" s="813" t="s">
        <v>2594</v>
      </c>
      <c r="C297" s="813" t="s">
        <v>1079</v>
      </c>
    </row>
    <row r="298" spans="1:3" x14ac:dyDescent="0.35">
      <c r="A298" s="869">
        <v>449</v>
      </c>
      <c r="B298" s="810" t="s">
        <v>2595</v>
      </c>
      <c r="C298" s="810" t="s">
        <v>851</v>
      </c>
    </row>
    <row r="299" spans="1:3" x14ac:dyDescent="0.35">
      <c r="A299" s="869">
        <v>450</v>
      </c>
      <c r="B299" s="810" t="s">
        <v>2596</v>
      </c>
      <c r="C299" s="810" t="s">
        <v>717</v>
      </c>
    </row>
    <row r="300" spans="1:3" x14ac:dyDescent="0.35">
      <c r="A300" s="869">
        <v>451</v>
      </c>
      <c r="B300" s="813" t="s">
        <v>2597</v>
      </c>
      <c r="C300" s="813" t="s">
        <v>1080</v>
      </c>
    </row>
    <row r="301" spans="1:3" x14ac:dyDescent="0.35">
      <c r="A301" s="869">
        <v>452</v>
      </c>
      <c r="B301" s="813" t="s">
        <v>2598</v>
      </c>
      <c r="C301" s="813" t="s">
        <v>1154</v>
      </c>
    </row>
    <row r="302" spans="1:3" ht="20" x14ac:dyDescent="0.35">
      <c r="A302" s="869">
        <v>453</v>
      </c>
      <c r="B302" s="810" t="s">
        <v>2599</v>
      </c>
      <c r="C302" s="810" t="s">
        <v>628</v>
      </c>
    </row>
    <row r="303" spans="1:3" ht="20" x14ac:dyDescent="0.35">
      <c r="A303" s="869">
        <v>454</v>
      </c>
      <c r="B303" s="829" t="s">
        <v>2600</v>
      </c>
      <c r="C303" s="829" t="s">
        <v>1695</v>
      </c>
    </row>
    <row r="304" spans="1:3" ht="26" x14ac:dyDescent="0.35">
      <c r="A304" s="869">
        <v>455</v>
      </c>
      <c r="B304" s="813" t="s">
        <v>2601</v>
      </c>
      <c r="C304" s="813" t="s">
        <v>250</v>
      </c>
    </row>
    <row r="305" spans="1:3" x14ac:dyDescent="0.35">
      <c r="A305" s="869">
        <v>456</v>
      </c>
      <c r="B305" s="810" t="s">
        <v>2602</v>
      </c>
      <c r="C305" s="810" t="s">
        <v>1661</v>
      </c>
    </row>
    <row r="306" spans="1:3" x14ac:dyDescent="0.35">
      <c r="A306" s="869">
        <v>457</v>
      </c>
      <c r="B306" s="1921" t="s">
        <v>2603</v>
      </c>
      <c r="C306" s="846" t="s">
        <v>412</v>
      </c>
    </row>
    <row r="307" spans="1:3" x14ac:dyDescent="0.35">
      <c r="A307" s="869">
        <v>458</v>
      </c>
      <c r="B307" s="813" t="s">
        <v>2604</v>
      </c>
      <c r="C307" s="813" t="s">
        <v>718</v>
      </c>
    </row>
    <row r="308" spans="1:3" ht="20" x14ac:dyDescent="0.35">
      <c r="A308" s="869">
        <v>459</v>
      </c>
      <c r="B308" s="810" t="s">
        <v>2605</v>
      </c>
      <c r="C308" s="810" t="s">
        <v>720</v>
      </c>
    </row>
    <row r="309" spans="1:3" x14ac:dyDescent="0.35">
      <c r="A309" s="869">
        <v>460</v>
      </c>
      <c r="B309" s="810" t="s">
        <v>2606</v>
      </c>
      <c r="C309" s="810" t="s">
        <v>831</v>
      </c>
    </row>
    <row r="310" spans="1:3" x14ac:dyDescent="0.35">
      <c r="A310" s="869">
        <v>461</v>
      </c>
      <c r="B310" s="817" t="s">
        <v>2607</v>
      </c>
      <c r="C310" s="817" t="s">
        <v>719</v>
      </c>
    </row>
    <row r="311" spans="1:3" x14ac:dyDescent="0.35">
      <c r="A311" s="869">
        <v>462</v>
      </c>
      <c r="B311" s="1921" t="s">
        <v>2608</v>
      </c>
      <c r="C311" s="846" t="s">
        <v>414</v>
      </c>
    </row>
    <row r="312" spans="1:3" ht="26" x14ac:dyDescent="0.35">
      <c r="A312" s="869">
        <v>463</v>
      </c>
      <c r="B312" s="813" t="s">
        <v>2609</v>
      </c>
      <c r="C312" s="813" t="s">
        <v>251</v>
      </c>
    </row>
    <row r="313" spans="1:3" ht="20" x14ac:dyDescent="0.35">
      <c r="A313" s="869">
        <v>464</v>
      </c>
      <c r="B313" s="810" t="s">
        <v>2610</v>
      </c>
      <c r="C313" s="810" t="s">
        <v>832</v>
      </c>
    </row>
    <row r="314" spans="1:3" ht="20" x14ac:dyDescent="0.35">
      <c r="A314" s="869">
        <v>465</v>
      </c>
      <c r="B314" s="810" t="s">
        <v>2611</v>
      </c>
      <c r="C314" s="810" t="s">
        <v>106</v>
      </c>
    </row>
    <row r="315" spans="1:3" x14ac:dyDescent="0.35">
      <c r="A315" s="869">
        <v>466</v>
      </c>
      <c r="B315" s="817" t="s">
        <v>2612</v>
      </c>
      <c r="C315" s="817" t="s">
        <v>415</v>
      </c>
    </row>
    <row r="316" spans="1:3" x14ac:dyDescent="0.35">
      <c r="A316" s="869">
        <v>467</v>
      </c>
      <c r="B316" s="813" t="s">
        <v>2613</v>
      </c>
      <c r="C316" s="813" t="s">
        <v>1155</v>
      </c>
    </row>
    <row r="317" spans="1:3" ht="20" x14ac:dyDescent="0.35">
      <c r="A317" s="869">
        <v>468</v>
      </c>
      <c r="B317" s="810" t="s">
        <v>2614</v>
      </c>
      <c r="C317" s="810" t="s">
        <v>724</v>
      </c>
    </row>
    <row r="318" spans="1:3" x14ac:dyDescent="0.35">
      <c r="A318" s="869">
        <v>469</v>
      </c>
      <c r="B318" s="1921" t="s">
        <v>2615</v>
      </c>
      <c r="C318" s="846" t="s">
        <v>723</v>
      </c>
    </row>
    <row r="319" spans="1:3" x14ac:dyDescent="0.35">
      <c r="A319" s="869">
        <v>470</v>
      </c>
      <c r="B319" s="813" t="s">
        <v>2616</v>
      </c>
      <c r="C319" s="813" t="s">
        <v>728</v>
      </c>
    </row>
    <row r="320" spans="1:3" x14ac:dyDescent="0.35">
      <c r="A320" s="869">
        <v>471</v>
      </c>
      <c r="B320" s="1782" t="s">
        <v>2617</v>
      </c>
      <c r="C320" s="847" t="s">
        <v>729</v>
      </c>
    </row>
    <row r="321" spans="1:3" x14ac:dyDescent="0.35">
      <c r="A321" s="869">
        <v>472</v>
      </c>
      <c r="B321" s="1922" t="s">
        <v>2618</v>
      </c>
      <c r="C321" s="848" t="s">
        <v>730</v>
      </c>
    </row>
    <row r="322" spans="1:3" x14ac:dyDescent="0.35">
      <c r="A322" s="869">
        <v>473</v>
      </c>
      <c r="B322" s="1922" t="s">
        <v>2619</v>
      </c>
      <c r="C322" s="848" t="s">
        <v>731</v>
      </c>
    </row>
    <row r="323" spans="1:3" x14ac:dyDescent="0.35">
      <c r="A323" s="869">
        <v>474</v>
      </c>
      <c r="B323" s="849" t="s">
        <v>2620</v>
      </c>
      <c r="C323" s="849" t="s">
        <v>732</v>
      </c>
    </row>
    <row r="324" spans="1:3" ht="26" x14ac:dyDescent="0.35">
      <c r="A324" s="869">
        <v>475</v>
      </c>
      <c r="B324" s="813" t="s">
        <v>2621</v>
      </c>
      <c r="C324" s="813" t="s">
        <v>733</v>
      </c>
    </row>
    <row r="325" spans="1:3" ht="20" x14ac:dyDescent="0.35">
      <c r="A325" s="869">
        <v>476</v>
      </c>
      <c r="B325" s="810" t="s">
        <v>2622</v>
      </c>
      <c r="C325" s="810" t="s">
        <v>1662</v>
      </c>
    </row>
    <row r="326" spans="1:3" x14ac:dyDescent="0.35">
      <c r="A326" s="869">
        <v>477</v>
      </c>
      <c r="B326" s="817" t="s">
        <v>2623</v>
      </c>
      <c r="C326" s="817" t="s">
        <v>416</v>
      </c>
    </row>
    <row r="327" spans="1:3" ht="26" x14ac:dyDescent="0.35">
      <c r="A327" s="869">
        <v>478</v>
      </c>
      <c r="B327" s="813" t="s">
        <v>2624</v>
      </c>
      <c r="C327" s="813" t="s">
        <v>734</v>
      </c>
    </row>
    <row r="328" spans="1:3" ht="20" x14ac:dyDescent="0.35">
      <c r="A328" s="869">
        <v>479</v>
      </c>
      <c r="B328" s="809" t="s">
        <v>2625</v>
      </c>
      <c r="C328" s="809" t="s">
        <v>1564</v>
      </c>
    </row>
    <row r="329" spans="1:3" x14ac:dyDescent="0.35">
      <c r="A329" s="869">
        <v>480</v>
      </c>
      <c r="B329" s="810" t="s">
        <v>2626</v>
      </c>
      <c r="C329" s="810" t="s">
        <v>117</v>
      </c>
    </row>
    <row r="330" spans="1:3" ht="15" thickBot="1" x14ac:dyDescent="0.4">
      <c r="A330" s="869">
        <v>481</v>
      </c>
      <c r="B330" s="1921" t="s">
        <v>2627</v>
      </c>
      <c r="C330" s="846" t="s">
        <v>735</v>
      </c>
    </row>
    <row r="331" spans="1:3" ht="26" x14ac:dyDescent="0.35">
      <c r="A331" s="869">
        <v>482</v>
      </c>
      <c r="B331" s="850" t="s">
        <v>741</v>
      </c>
      <c r="C331" s="850" t="s">
        <v>639</v>
      </c>
    </row>
    <row r="332" spans="1:3" x14ac:dyDescent="0.35">
      <c r="A332" s="869">
        <v>483</v>
      </c>
      <c r="B332" s="898" t="s">
        <v>2628</v>
      </c>
      <c r="C332" s="898" t="s">
        <v>658</v>
      </c>
    </row>
    <row r="333" spans="1:3" x14ac:dyDescent="0.35">
      <c r="A333" s="869">
        <v>484</v>
      </c>
      <c r="B333" s="898" t="s">
        <v>2629</v>
      </c>
      <c r="C333" s="898" t="s">
        <v>659</v>
      </c>
    </row>
    <row r="334" spans="1:3" x14ac:dyDescent="0.35">
      <c r="A334" s="869">
        <v>485</v>
      </c>
      <c r="B334" s="898" t="s">
        <v>2498</v>
      </c>
      <c r="C334" s="898" t="s">
        <v>1147</v>
      </c>
    </row>
    <row r="335" spans="1:3" x14ac:dyDescent="0.35">
      <c r="A335" s="869">
        <v>486</v>
      </c>
      <c r="B335" s="898" t="s">
        <v>2630</v>
      </c>
      <c r="C335" s="898" t="s">
        <v>140</v>
      </c>
    </row>
    <row r="336" spans="1:3" ht="36" x14ac:dyDescent="0.35">
      <c r="A336" s="869">
        <v>487</v>
      </c>
      <c r="B336" s="812" t="s">
        <v>2631</v>
      </c>
      <c r="C336" s="812" t="s">
        <v>742</v>
      </c>
    </row>
    <row r="337" spans="1:3" ht="15.5" x14ac:dyDescent="0.35">
      <c r="A337" s="869">
        <v>488</v>
      </c>
      <c r="B337" s="811" t="s">
        <v>2632</v>
      </c>
      <c r="C337" s="811" t="s">
        <v>47</v>
      </c>
    </row>
    <row r="338" spans="1:3" x14ac:dyDescent="0.35">
      <c r="A338" s="869">
        <v>489</v>
      </c>
      <c r="B338" s="820" t="s">
        <v>2633</v>
      </c>
      <c r="C338" s="820" t="s">
        <v>49</v>
      </c>
    </row>
    <row r="339" spans="1:3" ht="26" x14ac:dyDescent="0.35">
      <c r="A339" s="869">
        <v>490</v>
      </c>
      <c r="B339" s="813" t="s">
        <v>2634</v>
      </c>
      <c r="C339" s="813" t="s">
        <v>520</v>
      </c>
    </row>
    <row r="340" spans="1:3" x14ac:dyDescent="0.35">
      <c r="A340" s="869">
        <v>491</v>
      </c>
      <c r="B340" s="813" t="s">
        <v>2635</v>
      </c>
      <c r="C340" s="813" t="s">
        <v>53</v>
      </c>
    </row>
    <row r="341" spans="1:3" ht="20" x14ac:dyDescent="0.35">
      <c r="A341" s="869">
        <v>492</v>
      </c>
      <c r="B341" s="810" t="s">
        <v>2636</v>
      </c>
      <c r="C341" s="810" t="s">
        <v>147</v>
      </c>
    </row>
    <row r="342" spans="1:3" ht="20" x14ac:dyDescent="0.35">
      <c r="A342" s="869">
        <v>493</v>
      </c>
      <c r="B342" s="810" t="s">
        <v>2637</v>
      </c>
      <c r="C342" s="810" t="s">
        <v>54</v>
      </c>
    </row>
    <row r="343" spans="1:3" x14ac:dyDescent="0.35">
      <c r="A343" s="869">
        <v>494</v>
      </c>
      <c r="B343" s="813" t="s">
        <v>2638</v>
      </c>
      <c r="C343" s="813" t="s">
        <v>1309</v>
      </c>
    </row>
    <row r="344" spans="1:3" ht="20" x14ac:dyDescent="0.35">
      <c r="A344" s="869">
        <v>495</v>
      </c>
      <c r="B344" s="810" t="s">
        <v>2639</v>
      </c>
      <c r="C344" s="810" t="s">
        <v>1826</v>
      </c>
    </row>
    <row r="345" spans="1:3" ht="20" x14ac:dyDescent="0.35">
      <c r="A345" s="869">
        <v>496</v>
      </c>
      <c r="B345" s="810" t="s">
        <v>2640</v>
      </c>
      <c r="C345" s="810" t="s">
        <v>1618</v>
      </c>
    </row>
    <row r="346" spans="1:3" x14ac:dyDescent="0.35">
      <c r="A346" s="869">
        <v>497</v>
      </c>
      <c r="B346" s="810" t="s">
        <v>2641</v>
      </c>
      <c r="C346" s="810" t="s">
        <v>1683</v>
      </c>
    </row>
    <row r="347" spans="1:3" x14ac:dyDescent="0.35">
      <c r="A347" s="869">
        <v>498</v>
      </c>
      <c r="B347" s="810" t="s">
        <v>2642</v>
      </c>
      <c r="C347" s="810" t="s">
        <v>1619</v>
      </c>
    </row>
    <row r="348" spans="1:3" x14ac:dyDescent="0.35">
      <c r="A348" s="869">
        <v>499</v>
      </c>
      <c r="B348" s="810" t="s">
        <v>2643</v>
      </c>
      <c r="C348" s="810" t="s">
        <v>1684</v>
      </c>
    </row>
    <row r="349" spans="1:3" x14ac:dyDescent="0.35">
      <c r="A349" s="869">
        <v>500</v>
      </c>
      <c r="B349" s="898" t="s">
        <v>2644</v>
      </c>
      <c r="C349" s="898" t="s">
        <v>1678</v>
      </c>
    </row>
    <row r="350" spans="1:3" ht="20" x14ac:dyDescent="0.35">
      <c r="A350" s="869">
        <v>501</v>
      </c>
      <c r="B350" s="809" t="s">
        <v>2645</v>
      </c>
      <c r="C350" s="809" t="s">
        <v>348</v>
      </c>
    </row>
    <row r="351" spans="1:3" ht="20" x14ac:dyDescent="0.35">
      <c r="A351" s="869">
        <v>502</v>
      </c>
      <c r="B351" s="810" t="s">
        <v>2646</v>
      </c>
      <c r="C351" s="810" t="s">
        <v>349</v>
      </c>
    </row>
    <row r="352" spans="1:3" ht="20" x14ac:dyDescent="0.35">
      <c r="A352" s="869">
        <v>503</v>
      </c>
      <c r="B352" s="810" t="s">
        <v>2647</v>
      </c>
      <c r="C352" s="810" t="s">
        <v>350</v>
      </c>
    </row>
    <row r="353" spans="1:3" x14ac:dyDescent="0.35">
      <c r="A353" s="869">
        <v>504</v>
      </c>
      <c r="B353" s="813" t="s">
        <v>2648</v>
      </c>
      <c r="C353" s="813" t="s">
        <v>57</v>
      </c>
    </row>
    <row r="354" spans="1:3" x14ac:dyDescent="0.35">
      <c r="A354" s="869">
        <v>505</v>
      </c>
      <c r="B354" s="877" t="s">
        <v>2649</v>
      </c>
      <c r="C354" s="877" t="s">
        <v>1481</v>
      </c>
    </row>
    <row r="355" spans="1:3" x14ac:dyDescent="0.35">
      <c r="A355" s="869">
        <v>506</v>
      </c>
      <c r="B355" s="877" t="s">
        <v>2650</v>
      </c>
      <c r="C355" s="877" t="s">
        <v>13</v>
      </c>
    </row>
    <row r="356" spans="1:3" x14ac:dyDescent="0.35">
      <c r="A356" s="869">
        <v>507</v>
      </c>
      <c r="B356" s="1781" t="s">
        <v>2651</v>
      </c>
      <c r="C356" s="1781" t="s">
        <v>1093</v>
      </c>
    </row>
    <row r="357" spans="1:3" x14ac:dyDescent="0.35">
      <c r="A357" s="869">
        <v>508</v>
      </c>
      <c r="B357" s="810" t="s">
        <v>2652</v>
      </c>
      <c r="C357" s="810" t="s">
        <v>347</v>
      </c>
    </row>
    <row r="358" spans="1:3" x14ac:dyDescent="0.35">
      <c r="A358" s="869">
        <v>509</v>
      </c>
      <c r="B358" s="820" t="s">
        <v>2653</v>
      </c>
      <c r="C358" s="820" t="s">
        <v>1379</v>
      </c>
    </row>
    <row r="359" spans="1:3" ht="26" x14ac:dyDescent="0.35">
      <c r="A359" s="869">
        <v>510</v>
      </c>
      <c r="B359" s="813" t="s">
        <v>2654</v>
      </c>
      <c r="C359" s="813" t="s">
        <v>1783</v>
      </c>
    </row>
    <row r="360" spans="1:3" ht="20" x14ac:dyDescent="0.35">
      <c r="A360" s="869">
        <v>511</v>
      </c>
      <c r="B360" s="810" t="s">
        <v>2655</v>
      </c>
      <c r="C360" s="810" t="s">
        <v>238</v>
      </c>
    </row>
    <row r="361" spans="1:3" ht="20" x14ac:dyDescent="0.35">
      <c r="A361" s="869">
        <v>512</v>
      </c>
      <c r="B361" s="810" t="s">
        <v>2656</v>
      </c>
      <c r="C361" s="810" t="s">
        <v>1784</v>
      </c>
    </row>
    <row r="362" spans="1:3" ht="26" x14ac:dyDescent="0.35">
      <c r="A362" s="869">
        <v>513</v>
      </c>
      <c r="B362" s="813" t="s">
        <v>2657</v>
      </c>
      <c r="C362" s="813" t="s">
        <v>1628</v>
      </c>
    </row>
    <row r="363" spans="1:3" ht="20" x14ac:dyDescent="0.35">
      <c r="A363" s="869">
        <v>514</v>
      </c>
      <c r="B363" s="809" t="s">
        <v>2658</v>
      </c>
      <c r="C363" s="809" t="s">
        <v>828</v>
      </c>
    </row>
    <row r="364" spans="1:3" x14ac:dyDescent="0.35">
      <c r="A364" s="869">
        <v>515</v>
      </c>
      <c r="B364" s="809" t="s">
        <v>2659</v>
      </c>
      <c r="C364" s="809" t="s">
        <v>76</v>
      </c>
    </row>
    <row r="365" spans="1:3" ht="50" x14ac:dyDescent="0.35">
      <c r="A365" s="869">
        <v>516</v>
      </c>
      <c r="B365" s="810" t="s">
        <v>2660</v>
      </c>
      <c r="C365" s="810" t="s">
        <v>504</v>
      </c>
    </row>
    <row r="366" spans="1:3" x14ac:dyDescent="0.35">
      <c r="A366" s="869">
        <v>517</v>
      </c>
      <c r="B366" s="810" t="s">
        <v>2661</v>
      </c>
      <c r="C366" s="810" t="s">
        <v>505</v>
      </c>
    </row>
    <row r="367" spans="1:3" ht="30" x14ac:dyDescent="0.35">
      <c r="A367" s="869">
        <v>518</v>
      </c>
      <c r="B367" s="810" t="s">
        <v>2662</v>
      </c>
      <c r="C367" s="810" t="s">
        <v>506</v>
      </c>
    </row>
    <row r="368" spans="1:3" x14ac:dyDescent="0.35">
      <c r="A368" s="869">
        <v>519</v>
      </c>
      <c r="B368" s="16" t="s">
        <v>2663</v>
      </c>
      <c r="C368" s="16" t="s">
        <v>827</v>
      </c>
    </row>
    <row r="369" spans="1:3" x14ac:dyDescent="0.35">
      <c r="A369" s="869">
        <v>520</v>
      </c>
      <c r="B369" s="809" t="s">
        <v>2664</v>
      </c>
      <c r="C369" s="809" t="s">
        <v>1020</v>
      </c>
    </row>
    <row r="370" spans="1:3" x14ac:dyDescent="0.35">
      <c r="A370" s="869">
        <v>521</v>
      </c>
      <c r="B370" s="810" t="s">
        <v>2665</v>
      </c>
      <c r="C370" s="810" t="s">
        <v>1019</v>
      </c>
    </row>
    <row r="371" spans="1:3" ht="20" x14ac:dyDescent="0.35">
      <c r="A371" s="869">
        <v>522</v>
      </c>
      <c r="B371" s="810" t="s">
        <v>2666</v>
      </c>
      <c r="C371" s="810" t="s">
        <v>1340</v>
      </c>
    </row>
    <row r="372" spans="1:3" ht="30" x14ac:dyDescent="0.35">
      <c r="A372" s="869">
        <v>523</v>
      </c>
      <c r="B372" s="810" t="s">
        <v>2667</v>
      </c>
      <c r="C372" s="810" t="s">
        <v>1341</v>
      </c>
    </row>
    <row r="373" spans="1:3" ht="50" x14ac:dyDescent="0.35">
      <c r="A373" s="869">
        <v>524</v>
      </c>
      <c r="B373" s="810" t="s">
        <v>2668</v>
      </c>
      <c r="C373" s="810" t="s">
        <v>1297</v>
      </c>
    </row>
    <row r="374" spans="1:3" ht="30" x14ac:dyDescent="0.35">
      <c r="A374" s="869">
        <v>525</v>
      </c>
      <c r="B374" s="810" t="s">
        <v>2669</v>
      </c>
      <c r="C374" s="810" t="s">
        <v>209</v>
      </c>
    </row>
    <row r="375" spans="1:3" ht="20" x14ac:dyDescent="0.35">
      <c r="A375" s="869">
        <v>526</v>
      </c>
      <c r="B375" s="810" t="s">
        <v>2670</v>
      </c>
      <c r="C375" s="810" t="s">
        <v>1296</v>
      </c>
    </row>
    <row r="376" spans="1:3" x14ac:dyDescent="0.35">
      <c r="A376" s="869">
        <v>527</v>
      </c>
      <c r="B376" s="16" t="s">
        <v>2671</v>
      </c>
      <c r="C376" s="16" t="s">
        <v>1347</v>
      </c>
    </row>
    <row r="377" spans="1:3" x14ac:dyDescent="0.35">
      <c r="A377" s="869">
        <v>528</v>
      </c>
      <c r="B377" s="820" t="s">
        <v>2672</v>
      </c>
      <c r="C377" s="820" t="s">
        <v>822</v>
      </c>
    </row>
    <row r="378" spans="1:3" x14ac:dyDescent="0.35">
      <c r="A378" s="869">
        <v>529</v>
      </c>
      <c r="B378" s="813" t="s">
        <v>2673</v>
      </c>
      <c r="C378" s="813" t="s">
        <v>58</v>
      </c>
    </row>
    <row r="379" spans="1:3" ht="20" x14ac:dyDescent="0.35">
      <c r="A379" s="869">
        <v>530</v>
      </c>
      <c r="B379" s="810" t="s">
        <v>2674</v>
      </c>
      <c r="C379" s="810" t="s">
        <v>824</v>
      </c>
    </row>
    <row r="380" spans="1:3" x14ac:dyDescent="0.35">
      <c r="A380" s="869">
        <v>531</v>
      </c>
      <c r="B380" s="1921" t="s">
        <v>2675</v>
      </c>
      <c r="C380" s="846" t="s">
        <v>59</v>
      </c>
    </row>
    <row r="381" spans="1:3" x14ac:dyDescent="0.35">
      <c r="A381" s="869">
        <v>532</v>
      </c>
      <c r="B381" s="813" t="s">
        <v>2676</v>
      </c>
      <c r="C381" s="813" t="s">
        <v>61</v>
      </c>
    </row>
    <row r="382" spans="1:3" ht="20" x14ac:dyDescent="0.35">
      <c r="A382" s="869">
        <v>533</v>
      </c>
      <c r="B382" s="810" t="s">
        <v>2677</v>
      </c>
      <c r="C382" s="810" t="s">
        <v>467</v>
      </c>
    </row>
    <row r="383" spans="1:3" x14ac:dyDescent="0.35">
      <c r="A383" s="869">
        <v>534</v>
      </c>
      <c r="B383" s="817" t="s">
        <v>2678</v>
      </c>
      <c r="C383" s="817" t="s">
        <v>62</v>
      </c>
    </row>
    <row r="384" spans="1:3" x14ac:dyDescent="0.35">
      <c r="A384" s="869">
        <v>535</v>
      </c>
      <c r="B384" s="1921" t="s">
        <v>2679</v>
      </c>
      <c r="C384" s="846" t="s">
        <v>685</v>
      </c>
    </row>
    <row r="385" spans="1:3" ht="26" x14ac:dyDescent="0.35">
      <c r="A385" s="869">
        <v>536</v>
      </c>
      <c r="B385" s="813" t="s">
        <v>2680</v>
      </c>
      <c r="C385" s="813" t="s">
        <v>297</v>
      </c>
    </row>
    <row r="386" spans="1:3" ht="20" x14ac:dyDescent="0.35">
      <c r="A386" s="869">
        <v>537</v>
      </c>
      <c r="B386" s="810" t="s">
        <v>2681</v>
      </c>
      <c r="C386" s="810" t="s">
        <v>468</v>
      </c>
    </row>
    <row r="387" spans="1:3" ht="20" x14ac:dyDescent="0.35">
      <c r="A387" s="869">
        <v>538</v>
      </c>
      <c r="B387" s="810" t="s">
        <v>2682</v>
      </c>
      <c r="C387" s="810" t="s">
        <v>1572</v>
      </c>
    </row>
    <row r="388" spans="1:3" x14ac:dyDescent="0.35">
      <c r="A388" s="869">
        <v>539</v>
      </c>
      <c r="B388" s="813" t="s">
        <v>2683</v>
      </c>
      <c r="C388" s="813" t="s">
        <v>1266</v>
      </c>
    </row>
    <row r="389" spans="1:3" ht="30" x14ac:dyDescent="0.35">
      <c r="A389" s="869">
        <v>540</v>
      </c>
      <c r="B389" s="810" t="s">
        <v>2684</v>
      </c>
      <c r="C389" s="810" t="s">
        <v>1844</v>
      </c>
    </row>
    <row r="390" spans="1:3" x14ac:dyDescent="0.35">
      <c r="A390" s="869">
        <v>541</v>
      </c>
      <c r="B390" s="1780" t="s">
        <v>2685</v>
      </c>
      <c r="C390" s="1780" t="s">
        <v>1267</v>
      </c>
    </row>
    <row r="391" spans="1:3" x14ac:dyDescent="0.35">
      <c r="A391" s="869">
        <v>542</v>
      </c>
      <c r="B391" s="813" t="s">
        <v>2686</v>
      </c>
      <c r="C391" s="813" t="s">
        <v>64</v>
      </c>
    </row>
    <row r="392" spans="1:3" x14ac:dyDescent="0.35">
      <c r="A392" s="869">
        <v>543</v>
      </c>
      <c r="B392" s="1921" t="s">
        <v>2687</v>
      </c>
      <c r="C392" s="846" t="s">
        <v>63</v>
      </c>
    </row>
    <row r="393" spans="1:3" x14ac:dyDescent="0.35">
      <c r="A393" s="869">
        <v>544</v>
      </c>
      <c r="B393" s="813" t="s">
        <v>2688</v>
      </c>
      <c r="C393" s="813" t="s">
        <v>823</v>
      </c>
    </row>
    <row r="394" spans="1:3" ht="20" x14ac:dyDescent="0.35">
      <c r="A394" s="869">
        <v>545</v>
      </c>
      <c r="B394" s="810" t="s">
        <v>2689</v>
      </c>
      <c r="C394" s="810" t="s">
        <v>825</v>
      </c>
    </row>
    <row r="395" spans="1:3" ht="20" x14ac:dyDescent="0.35">
      <c r="A395" s="869">
        <v>546</v>
      </c>
      <c r="B395" s="810" t="s">
        <v>2690</v>
      </c>
      <c r="C395" s="810" t="s">
        <v>826</v>
      </c>
    </row>
    <row r="396" spans="1:3" x14ac:dyDescent="0.35">
      <c r="A396" s="869">
        <v>547</v>
      </c>
      <c r="B396" s="1921" t="s">
        <v>2691</v>
      </c>
      <c r="C396" s="846" t="s">
        <v>75</v>
      </c>
    </row>
    <row r="397" spans="1:3" x14ac:dyDescent="0.35">
      <c r="A397" s="869">
        <v>548</v>
      </c>
      <c r="B397" s="820" t="s">
        <v>2692</v>
      </c>
      <c r="C397" s="820" t="s">
        <v>1793</v>
      </c>
    </row>
    <row r="398" spans="1:3" ht="20" x14ac:dyDescent="0.35">
      <c r="A398" s="869">
        <v>549</v>
      </c>
      <c r="B398" s="810" t="s">
        <v>2693</v>
      </c>
      <c r="C398" s="810" t="s">
        <v>469</v>
      </c>
    </row>
    <row r="399" spans="1:3" x14ac:dyDescent="0.35">
      <c r="A399" s="869">
        <v>550</v>
      </c>
      <c r="B399" s="810" t="s">
        <v>2694</v>
      </c>
      <c r="C399" s="810" t="s">
        <v>829</v>
      </c>
    </row>
    <row r="400" spans="1:3" ht="20" x14ac:dyDescent="0.35">
      <c r="A400" s="869">
        <v>551</v>
      </c>
      <c r="B400" s="810" t="s">
        <v>2695</v>
      </c>
      <c r="C400" s="810" t="s">
        <v>830</v>
      </c>
    </row>
    <row r="401" spans="1:3" ht="26" x14ac:dyDescent="0.35">
      <c r="A401" s="869">
        <v>552</v>
      </c>
      <c r="B401" s="813" t="s">
        <v>2696</v>
      </c>
      <c r="C401" s="813" t="s">
        <v>77</v>
      </c>
    </row>
    <row r="402" spans="1:3" ht="20" x14ac:dyDescent="0.35">
      <c r="A402" s="869">
        <v>553</v>
      </c>
      <c r="B402" s="810" t="s">
        <v>2697</v>
      </c>
      <c r="C402" s="810" t="s">
        <v>1298</v>
      </c>
    </row>
    <row r="403" spans="1:3" ht="40" x14ac:dyDescent="0.35">
      <c r="A403" s="869">
        <v>554</v>
      </c>
      <c r="B403" s="810" t="s">
        <v>2698</v>
      </c>
      <c r="C403" s="810" t="s">
        <v>68</v>
      </c>
    </row>
    <row r="404" spans="1:3" x14ac:dyDescent="0.35">
      <c r="A404" s="869">
        <v>555</v>
      </c>
      <c r="B404" s="1921" t="s">
        <v>2699</v>
      </c>
      <c r="C404" s="846" t="s">
        <v>60</v>
      </c>
    </row>
    <row r="405" spans="1:3" x14ac:dyDescent="0.35">
      <c r="A405" s="869">
        <v>556</v>
      </c>
      <c r="B405" s="1921" t="s">
        <v>2700</v>
      </c>
      <c r="C405" s="846" t="s">
        <v>470</v>
      </c>
    </row>
    <row r="406" spans="1:3" x14ac:dyDescent="0.35">
      <c r="A406" s="869">
        <v>557</v>
      </c>
      <c r="B406" s="1780" t="s">
        <v>2701</v>
      </c>
      <c r="C406" s="846" t="s">
        <v>471</v>
      </c>
    </row>
    <row r="407" spans="1:3" ht="26" x14ac:dyDescent="0.35">
      <c r="A407" s="869">
        <v>558</v>
      </c>
      <c r="B407" s="813" t="s">
        <v>2702</v>
      </c>
      <c r="C407" s="813" t="s">
        <v>709</v>
      </c>
    </row>
    <row r="408" spans="1:3" ht="30" x14ac:dyDescent="0.35">
      <c r="A408" s="869">
        <v>559</v>
      </c>
      <c r="B408" s="810" t="s">
        <v>2703</v>
      </c>
      <c r="C408" s="810" t="s">
        <v>1573</v>
      </c>
    </row>
    <row r="409" spans="1:3" x14ac:dyDescent="0.35">
      <c r="A409" s="869">
        <v>560</v>
      </c>
      <c r="B409" s="810" t="s">
        <v>2704</v>
      </c>
      <c r="C409" s="810" t="s">
        <v>7</v>
      </c>
    </row>
    <row r="410" spans="1:3" x14ac:dyDescent="0.35">
      <c r="A410" s="869">
        <v>561</v>
      </c>
      <c r="B410" s="817" t="s">
        <v>2705</v>
      </c>
      <c r="C410" s="817" t="s">
        <v>615</v>
      </c>
    </row>
    <row r="411" spans="1:3" x14ac:dyDescent="0.35">
      <c r="A411" s="869">
        <v>562</v>
      </c>
      <c r="B411" s="813" t="s">
        <v>2706</v>
      </c>
      <c r="C411" s="813" t="s">
        <v>11</v>
      </c>
    </row>
    <row r="412" spans="1:3" ht="20" x14ac:dyDescent="0.35">
      <c r="A412" s="869">
        <v>563</v>
      </c>
      <c r="B412" s="809" t="s">
        <v>2707</v>
      </c>
      <c r="C412" s="809" t="s">
        <v>1027</v>
      </c>
    </row>
    <row r="413" spans="1:3" ht="20" x14ac:dyDescent="0.35">
      <c r="A413" s="869">
        <v>564</v>
      </c>
      <c r="B413" s="809" t="s">
        <v>2708</v>
      </c>
      <c r="C413" s="809" t="s">
        <v>1620</v>
      </c>
    </row>
    <row r="414" spans="1:3" ht="26" x14ac:dyDescent="0.35">
      <c r="A414" s="869">
        <v>565</v>
      </c>
      <c r="B414" s="817" t="s">
        <v>2709</v>
      </c>
      <c r="C414" s="817" t="s">
        <v>213</v>
      </c>
    </row>
    <row r="415" spans="1:3" x14ac:dyDescent="0.35">
      <c r="A415" s="869">
        <v>566</v>
      </c>
      <c r="B415" s="1780" t="s">
        <v>2710</v>
      </c>
      <c r="C415" s="1780" t="s">
        <v>1352</v>
      </c>
    </row>
    <row r="416" spans="1:3" ht="26" x14ac:dyDescent="0.35">
      <c r="A416" s="869">
        <v>567</v>
      </c>
      <c r="B416" s="817" t="s">
        <v>2711</v>
      </c>
      <c r="C416" s="817" t="s">
        <v>212</v>
      </c>
    </row>
    <row r="417" spans="1:3" x14ac:dyDescent="0.35">
      <c r="A417" s="869">
        <v>568</v>
      </c>
      <c r="B417" s="1780" t="s">
        <v>2712</v>
      </c>
      <c r="C417" s="1780" t="s">
        <v>1353</v>
      </c>
    </row>
    <row r="418" spans="1:3" ht="26" x14ac:dyDescent="0.35">
      <c r="A418" s="869">
        <v>569</v>
      </c>
      <c r="B418" s="813" t="s">
        <v>2713</v>
      </c>
      <c r="C418" s="813" t="s">
        <v>296</v>
      </c>
    </row>
    <row r="419" spans="1:3" x14ac:dyDescent="0.35">
      <c r="A419" s="869">
        <v>570</v>
      </c>
      <c r="B419" s="810" t="s">
        <v>2714</v>
      </c>
      <c r="C419" s="810" t="s">
        <v>848</v>
      </c>
    </row>
    <row r="420" spans="1:3" x14ac:dyDescent="0.35">
      <c r="A420" s="869">
        <v>571</v>
      </c>
      <c r="B420" s="1921" t="s">
        <v>2715</v>
      </c>
      <c r="C420" s="846" t="s">
        <v>67</v>
      </c>
    </row>
    <row r="421" spans="1:3" x14ac:dyDescent="0.35">
      <c r="A421" s="869">
        <v>572</v>
      </c>
      <c r="B421" s="820" t="s">
        <v>2716</v>
      </c>
      <c r="C421" s="820" t="s">
        <v>1463</v>
      </c>
    </row>
    <row r="422" spans="1:3" ht="26" x14ac:dyDescent="0.35">
      <c r="A422" s="869">
        <v>573</v>
      </c>
      <c r="B422" s="813" t="s">
        <v>2717</v>
      </c>
      <c r="C422" s="813" t="s">
        <v>1464</v>
      </c>
    </row>
    <row r="423" spans="1:3" x14ac:dyDescent="0.35">
      <c r="A423" s="869">
        <v>574</v>
      </c>
      <c r="B423" s="1780" t="s">
        <v>2718</v>
      </c>
      <c r="C423" s="1780" t="s">
        <v>298</v>
      </c>
    </row>
    <row r="424" spans="1:3" ht="20" x14ac:dyDescent="0.35">
      <c r="A424" s="869">
        <v>575</v>
      </c>
      <c r="B424" s="810" t="s">
        <v>2719</v>
      </c>
      <c r="C424" s="810" t="s">
        <v>1574</v>
      </c>
    </row>
    <row r="425" spans="1:3" ht="20" x14ac:dyDescent="0.35">
      <c r="A425" s="869">
        <v>576</v>
      </c>
      <c r="B425" s="829" t="s">
        <v>2720</v>
      </c>
      <c r="C425" s="829" t="s">
        <v>1299</v>
      </c>
    </row>
    <row r="426" spans="1:3" x14ac:dyDescent="0.35">
      <c r="A426" s="869">
        <v>577</v>
      </c>
      <c r="B426" s="834" t="s">
        <v>2721</v>
      </c>
      <c r="C426" s="834" t="s">
        <v>210</v>
      </c>
    </row>
    <row r="427" spans="1:3" x14ac:dyDescent="0.35">
      <c r="A427" s="869">
        <v>578</v>
      </c>
      <c r="B427" s="835" t="s">
        <v>2722</v>
      </c>
      <c r="C427" s="835" t="s">
        <v>211</v>
      </c>
    </row>
    <row r="428" spans="1:3" x14ac:dyDescent="0.35">
      <c r="A428" s="869">
        <v>579</v>
      </c>
      <c r="B428" s="813" t="s">
        <v>2723</v>
      </c>
      <c r="C428" s="813" t="s">
        <v>1342</v>
      </c>
    </row>
    <row r="429" spans="1:3" x14ac:dyDescent="0.35">
      <c r="A429" s="869">
        <v>580</v>
      </c>
      <c r="B429" s="878" t="s">
        <v>2724</v>
      </c>
      <c r="C429" s="878" t="s">
        <v>1343</v>
      </c>
    </row>
    <row r="430" spans="1:3" ht="26" x14ac:dyDescent="0.35">
      <c r="A430" s="869">
        <v>581</v>
      </c>
      <c r="B430" s="813" t="s">
        <v>2725</v>
      </c>
      <c r="C430" s="813" t="s">
        <v>684</v>
      </c>
    </row>
    <row r="431" spans="1:3" x14ac:dyDescent="0.35">
      <c r="A431" s="869">
        <v>582</v>
      </c>
      <c r="B431" s="829" t="s">
        <v>2726</v>
      </c>
      <c r="C431" s="829" t="s">
        <v>1300</v>
      </c>
    </row>
    <row r="432" spans="1:3" x14ac:dyDescent="0.35">
      <c r="A432" s="869">
        <v>583</v>
      </c>
      <c r="B432" s="1780" t="s">
        <v>2727</v>
      </c>
      <c r="C432" s="1780" t="s">
        <v>236</v>
      </c>
    </row>
    <row r="433" spans="1:3" ht="26" x14ac:dyDescent="0.35">
      <c r="A433" s="869">
        <v>584</v>
      </c>
      <c r="B433" s="813" t="s">
        <v>2728</v>
      </c>
      <c r="C433" s="813" t="s">
        <v>300</v>
      </c>
    </row>
    <row r="434" spans="1:3" x14ac:dyDescent="0.35">
      <c r="A434" s="869">
        <v>585</v>
      </c>
      <c r="B434" s="817" t="s">
        <v>2729</v>
      </c>
      <c r="C434" s="817" t="s">
        <v>301</v>
      </c>
    </row>
    <row r="435" spans="1:3" x14ac:dyDescent="0.35">
      <c r="A435" s="869">
        <v>586</v>
      </c>
      <c r="B435" s="1921" t="s">
        <v>2730</v>
      </c>
      <c r="C435" s="846" t="s">
        <v>302</v>
      </c>
    </row>
    <row r="436" spans="1:3" x14ac:dyDescent="0.35">
      <c r="A436" s="869">
        <v>587</v>
      </c>
      <c r="B436" s="813" t="s">
        <v>2731</v>
      </c>
      <c r="C436" s="813" t="s">
        <v>1344</v>
      </c>
    </row>
    <row r="437" spans="1:3" ht="20" x14ac:dyDescent="0.35">
      <c r="A437" s="869">
        <v>588</v>
      </c>
      <c r="B437" s="810" t="s">
        <v>2732</v>
      </c>
      <c r="C437" s="810" t="s">
        <v>1301</v>
      </c>
    </row>
    <row r="438" spans="1:3" ht="20" x14ac:dyDescent="0.35">
      <c r="A438" s="869">
        <v>589</v>
      </c>
      <c r="B438" s="810" t="s">
        <v>2733</v>
      </c>
      <c r="C438" s="810" t="s">
        <v>711</v>
      </c>
    </row>
    <row r="439" spans="1:3" x14ac:dyDescent="0.35">
      <c r="A439" s="869">
        <v>590</v>
      </c>
      <c r="B439" s="1780" t="s">
        <v>2734</v>
      </c>
      <c r="C439" s="1780" t="s">
        <v>710</v>
      </c>
    </row>
    <row r="440" spans="1:3" x14ac:dyDescent="0.35">
      <c r="A440" s="869">
        <v>591</v>
      </c>
      <c r="B440" s="1780" t="s">
        <v>2735</v>
      </c>
      <c r="C440" s="1780" t="s">
        <v>1345</v>
      </c>
    </row>
    <row r="441" spans="1:3" ht="26" x14ac:dyDescent="0.35">
      <c r="A441" s="869">
        <v>592</v>
      </c>
      <c r="B441" s="817" t="s">
        <v>2736</v>
      </c>
      <c r="C441" s="817" t="s">
        <v>1465</v>
      </c>
    </row>
    <row r="442" spans="1:3" x14ac:dyDescent="0.35">
      <c r="A442" s="869">
        <v>593</v>
      </c>
      <c r="B442" s="1780" t="s">
        <v>2737</v>
      </c>
      <c r="C442" s="1780" t="s">
        <v>304</v>
      </c>
    </row>
    <row r="443" spans="1:3" ht="26" x14ac:dyDescent="0.35">
      <c r="A443" s="869">
        <v>594</v>
      </c>
      <c r="B443" s="813" t="s">
        <v>2738</v>
      </c>
      <c r="C443" s="813" t="s">
        <v>1466</v>
      </c>
    </row>
    <row r="444" spans="1:3" ht="20" x14ac:dyDescent="0.35">
      <c r="A444" s="869">
        <v>595</v>
      </c>
      <c r="B444" s="809" t="s">
        <v>2739</v>
      </c>
      <c r="C444" s="809" t="s">
        <v>1302</v>
      </c>
    </row>
    <row r="445" spans="1:3" x14ac:dyDescent="0.35">
      <c r="A445" s="869">
        <v>596</v>
      </c>
      <c r="B445" s="809" t="s">
        <v>2740</v>
      </c>
      <c r="C445" s="809" t="s">
        <v>1588</v>
      </c>
    </row>
    <row r="446" spans="1:3" x14ac:dyDescent="0.35">
      <c r="A446" s="869">
        <v>597</v>
      </c>
      <c r="B446" s="1780" t="s">
        <v>2741</v>
      </c>
      <c r="C446" s="1780" t="s">
        <v>1388</v>
      </c>
    </row>
    <row r="447" spans="1:3" x14ac:dyDescent="0.35">
      <c r="A447" s="869">
        <v>598</v>
      </c>
      <c r="B447" s="813" t="s">
        <v>2742</v>
      </c>
      <c r="C447" s="813" t="s">
        <v>528</v>
      </c>
    </row>
    <row r="448" spans="1:3" ht="20" x14ac:dyDescent="0.35">
      <c r="A448" s="869">
        <v>599</v>
      </c>
      <c r="B448" s="810" t="s">
        <v>2743</v>
      </c>
      <c r="C448" s="810" t="s">
        <v>1589</v>
      </c>
    </row>
    <row r="449" spans="1:3" ht="26" x14ac:dyDescent="0.35">
      <c r="A449" s="869">
        <v>600</v>
      </c>
      <c r="B449" s="813" t="s">
        <v>2744</v>
      </c>
      <c r="C449" s="813" t="s">
        <v>529</v>
      </c>
    </row>
    <row r="450" spans="1:3" ht="20" x14ac:dyDescent="0.35">
      <c r="A450" s="869">
        <v>601</v>
      </c>
      <c r="B450" s="810" t="s">
        <v>2745</v>
      </c>
      <c r="C450" s="810" t="s">
        <v>1590</v>
      </c>
    </row>
    <row r="451" spans="1:3" ht="30" x14ac:dyDescent="0.35">
      <c r="A451" s="869">
        <v>602</v>
      </c>
      <c r="B451" s="810" t="s">
        <v>2746</v>
      </c>
      <c r="C451" s="810" t="s">
        <v>1303</v>
      </c>
    </row>
    <row r="452" spans="1:3" ht="20.5" thickBot="1" x14ac:dyDescent="0.4">
      <c r="A452" s="869">
        <v>603</v>
      </c>
      <c r="B452" s="809" t="s">
        <v>2747</v>
      </c>
      <c r="C452" s="809" t="s">
        <v>472</v>
      </c>
    </row>
    <row r="453" spans="1:3" x14ac:dyDescent="0.35">
      <c r="A453" s="869">
        <v>604</v>
      </c>
      <c r="B453" s="879" t="s">
        <v>2748</v>
      </c>
      <c r="C453" s="879" t="s">
        <v>525</v>
      </c>
    </row>
    <row r="454" spans="1:3" ht="15.5" x14ac:dyDescent="0.35">
      <c r="A454" s="869">
        <v>605</v>
      </c>
      <c r="B454" s="811" t="s">
        <v>2749</v>
      </c>
      <c r="C454" s="811" t="s">
        <v>1268</v>
      </c>
    </row>
    <row r="455" spans="1:3" x14ac:dyDescent="0.35">
      <c r="A455" s="869">
        <v>606</v>
      </c>
      <c r="B455" s="820" t="s">
        <v>2750</v>
      </c>
      <c r="C455" s="820" t="s">
        <v>1283</v>
      </c>
    </row>
    <row r="456" spans="1:3" ht="30" x14ac:dyDescent="0.35">
      <c r="A456" s="869">
        <v>607</v>
      </c>
      <c r="B456" s="809" t="s">
        <v>2751</v>
      </c>
      <c r="C456" s="809" t="s">
        <v>1696</v>
      </c>
    </row>
    <row r="457" spans="1:3" ht="20" x14ac:dyDescent="0.35">
      <c r="A457" s="869">
        <v>608</v>
      </c>
      <c r="B457" s="809" t="s">
        <v>2752</v>
      </c>
      <c r="C457" s="809" t="s">
        <v>1797</v>
      </c>
    </row>
    <row r="458" spans="1:3" ht="26" x14ac:dyDescent="0.35">
      <c r="A458" s="869">
        <v>609</v>
      </c>
      <c r="B458" s="813" t="s">
        <v>2753</v>
      </c>
      <c r="C458" s="813" t="s">
        <v>1629</v>
      </c>
    </row>
    <row r="459" spans="1:3" x14ac:dyDescent="0.35">
      <c r="A459" s="869">
        <v>610</v>
      </c>
      <c r="B459" s="810" t="s">
        <v>2754</v>
      </c>
      <c r="C459" s="810" t="s">
        <v>1668</v>
      </c>
    </row>
    <row r="460" spans="1:3" ht="26" x14ac:dyDescent="0.35">
      <c r="A460" s="869">
        <v>611</v>
      </c>
      <c r="B460" s="813" t="s">
        <v>2755</v>
      </c>
      <c r="C460" s="813" t="s">
        <v>1289</v>
      </c>
    </row>
    <row r="461" spans="1:3" ht="20" x14ac:dyDescent="0.35">
      <c r="A461" s="869">
        <v>612</v>
      </c>
      <c r="B461" s="810" t="s">
        <v>2756</v>
      </c>
      <c r="C461" s="810" t="s">
        <v>1622</v>
      </c>
    </row>
    <row r="462" spans="1:3" x14ac:dyDescent="0.35">
      <c r="A462" s="869">
        <v>613</v>
      </c>
      <c r="B462" s="817" t="s">
        <v>2757</v>
      </c>
      <c r="C462" s="817" t="s">
        <v>905</v>
      </c>
    </row>
    <row r="463" spans="1:3" ht="26" x14ac:dyDescent="0.35">
      <c r="A463" s="869">
        <v>614</v>
      </c>
      <c r="B463" s="813" t="s">
        <v>2758</v>
      </c>
      <c r="C463" s="813" t="s">
        <v>1290</v>
      </c>
    </row>
    <row r="464" spans="1:3" x14ac:dyDescent="0.35">
      <c r="A464" s="869">
        <v>615</v>
      </c>
      <c r="B464" s="898" t="s">
        <v>2759</v>
      </c>
      <c r="C464" s="898" t="s">
        <v>1591</v>
      </c>
    </row>
    <row r="465" spans="1:3" ht="20" x14ac:dyDescent="0.35">
      <c r="A465" s="869">
        <v>616</v>
      </c>
      <c r="B465" s="810" t="s">
        <v>2760</v>
      </c>
      <c r="C465" s="810" t="s">
        <v>1664</v>
      </c>
    </row>
    <row r="466" spans="1:3" x14ac:dyDescent="0.35">
      <c r="A466" s="869">
        <v>617</v>
      </c>
      <c r="B466" s="817" t="s">
        <v>2761</v>
      </c>
      <c r="C466" s="817" t="s">
        <v>1451</v>
      </c>
    </row>
    <row r="467" spans="1:3" x14ac:dyDescent="0.35">
      <c r="A467" s="869">
        <v>618</v>
      </c>
      <c r="B467" s="880" t="s">
        <v>2762</v>
      </c>
      <c r="C467" s="880" t="s">
        <v>1449</v>
      </c>
    </row>
    <row r="468" spans="1:3" x14ac:dyDescent="0.35">
      <c r="A468" s="869">
        <v>619</v>
      </c>
      <c r="B468" s="881" t="s">
        <v>2763</v>
      </c>
      <c r="C468" s="881" t="s">
        <v>1450</v>
      </c>
    </row>
    <row r="469" spans="1:3" x14ac:dyDescent="0.35">
      <c r="A469" s="869">
        <v>620</v>
      </c>
      <c r="B469" s="813" t="s">
        <v>2764</v>
      </c>
      <c r="C469" s="813" t="s">
        <v>1663</v>
      </c>
    </row>
    <row r="470" spans="1:3" x14ac:dyDescent="0.35">
      <c r="A470" s="869">
        <v>621</v>
      </c>
      <c r="B470" s="1780" t="s">
        <v>2765</v>
      </c>
      <c r="C470" s="1780" t="s">
        <v>1288</v>
      </c>
    </row>
    <row r="471" spans="1:3" x14ac:dyDescent="0.35">
      <c r="A471" s="869">
        <v>622</v>
      </c>
      <c r="B471" s="813" t="s">
        <v>2766</v>
      </c>
      <c r="C471" s="813" t="s">
        <v>1269</v>
      </c>
    </row>
    <row r="472" spans="1:3" x14ac:dyDescent="0.35">
      <c r="A472" s="869">
        <v>623</v>
      </c>
      <c r="B472" s="810" t="s">
        <v>2767</v>
      </c>
      <c r="C472" s="810" t="s">
        <v>1623</v>
      </c>
    </row>
    <row r="473" spans="1:3" x14ac:dyDescent="0.35">
      <c r="A473" s="869">
        <v>624</v>
      </c>
      <c r="B473" s="813" t="s">
        <v>2768</v>
      </c>
      <c r="C473" s="813" t="s">
        <v>1270</v>
      </c>
    </row>
    <row r="474" spans="1:3" x14ac:dyDescent="0.35">
      <c r="A474" s="869">
        <v>625</v>
      </c>
      <c r="B474" s="813" t="s">
        <v>2769</v>
      </c>
      <c r="C474" s="813" t="s">
        <v>1291</v>
      </c>
    </row>
    <row r="475" spans="1:3" x14ac:dyDescent="0.35">
      <c r="A475" s="869">
        <v>626</v>
      </c>
      <c r="B475" s="1780" t="s">
        <v>2770</v>
      </c>
      <c r="C475" s="1780" t="s">
        <v>1271</v>
      </c>
    </row>
    <row r="476" spans="1:3" x14ac:dyDescent="0.35">
      <c r="A476" s="869">
        <v>627</v>
      </c>
      <c r="B476" s="813" t="s">
        <v>2771</v>
      </c>
      <c r="C476" s="813" t="s">
        <v>1279</v>
      </c>
    </row>
    <row r="477" spans="1:3" ht="20" x14ac:dyDescent="0.35">
      <c r="A477" s="869">
        <v>628</v>
      </c>
      <c r="B477" s="810" t="s">
        <v>2772</v>
      </c>
      <c r="C477" s="810" t="s">
        <v>1621</v>
      </c>
    </row>
    <row r="478" spans="1:3" x14ac:dyDescent="0.35">
      <c r="A478" s="869">
        <v>629</v>
      </c>
      <c r="B478" s="817" t="s">
        <v>2773</v>
      </c>
      <c r="C478" s="817" t="s">
        <v>1280</v>
      </c>
    </row>
    <row r="479" spans="1:3" x14ac:dyDescent="0.35">
      <c r="A479" s="869">
        <v>630</v>
      </c>
      <c r="B479" s="813" t="s">
        <v>2774</v>
      </c>
      <c r="C479" s="813" t="s">
        <v>1272</v>
      </c>
    </row>
    <row r="480" spans="1:3" ht="20" x14ac:dyDescent="0.35">
      <c r="A480" s="869">
        <v>631</v>
      </c>
      <c r="B480" s="810" t="s">
        <v>2775</v>
      </c>
      <c r="C480" s="810" t="s">
        <v>1635</v>
      </c>
    </row>
    <row r="481" spans="1:3" x14ac:dyDescent="0.35">
      <c r="A481" s="869">
        <v>632</v>
      </c>
      <c r="B481" s="813" t="s">
        <v>2776</v>
      </c>
      <c r="C481" s="813" t="s">
        <v>1281</v>
      </c>
    </row>
    <row r="482" spans="1:3" x14ac:dyDescent="0.35">
      <c r="A482" s="869">
        <v>634</v>
      </c>
      <c r="B482" s="813" t="s">
        <v>2777</v>
      </c>
      <c r="C482" s="813" t="s">
        <v>1273</v>
      </c>
    </row>
    <row r="483" spans="1:3" x14ac:dyDescent="0.35">
      <c r="A483" s="869">
        <v>635</v>
      </c>
      <c r="B483" s="1780" t="s">
        <v>2778</v>
      </c>
      <c r="C483" s="1780" t="s">
        <v>1274</v>
      </c>
    </row>
    <row r="484" spans="1:3" x14ac:dyDescent="0.35">
      <c r="A484" s="869">
        <v>636</v>
      </c>
      <c r="B484" s="813" t="s">
        <v>2779</v>
      </c>
      <c r="C484" s="813" t="s">
        <v>1277</v>
      </c>
    </row>
    <row r="485" spans="1:3" ht="20" x14ac:dyDescent="0.35">
      <c r="A485" s="869">
        <v>637</v>
      </c>
      <c r="B485" s="810" t="s">
        <v>2780</v>
      </c>
      <c r="C485" s="810" t="s">
        <v>1666</v>
      </c>
    </row>
    <row r="486" spans="1:3" ht="20" x14ac:dyDescent="0.35">
      <c r="A486" s="869">
        <v>638</v>
      </c>
      <c r="B486" s="810" t="s">
        <v>2781</v>
      </c>
      <c r="C486" s="810" t="s">
        <v>1667</v>
      </c>
    </row>
    <row r="487" spans="1:3" x14ac:dyDescent="0.35">
      <c r="A487" s="869">
        <v>639</v>
      </c>
      <c r="B487" s="1781" t="s">
        <v>2782</v>
      </c>
      <c r="C487" s="1781" t="s">
        <v>1282</v>
      </c>
    </row>
    <row r="488" spans="1:3" x14ac:dyDescent="0.35">
      <c r="A488" s="869">
        <v>640</v>
      </c>
      <c r="B488" s="813" t="s">
        <v>2783</v>
      </c>
      <c r="C488" s="813" t="s">
        <v>1275</v>
      </c>
    </row>
    <row r="489" spans="1:3" ht="20" x14ac:dyDescent="0.35">
      <c r="A489" s="869">
        <v>641</v>
      </c>
      <c r="B489" s="810" t="s">
        <v>2784</v>
      </c>
      <c r="C489" s="810" t="s">
        <v>1665</v>
      </c>
    </row>
    <row r="490" spans="1:3" x14ac:dyDescent="0.35">
      <c r="A490" s="869">
        <v>642</v>
      </c>
      <c r="B490" s="1780" t="s">
        <v>2785</v>
      </c>
      <c r="C490" s="1780" t="s">
        <v>1276</v>
      </c>
    </row>
    <row r="491" spans="1:3" x14ac:dyDescent="0.35">
      <c r="A491" s="869">
        <v>643</v>
      </c>
      <c r="B491" s="1780" t="s">
        <v>2786</v>
      </c>
      <c r="C491" s="1780" t="s">
        <v>1467</v>
      </c>
    </row>
    <row r="492" spans="1:3" x14ac:dyDescent="0.35">
      <c r="A492" s="869">
        <v>644</v>
      </c>
      <c r="B492" s="820" t="s">
        <v>2787</v>
      </c>
      <c r="C492" s="820" t="s">
        <v>477</v>
      </c>
    </row>
    <row r="493" spans="1:3" x14ac:dyDescent="0.35">
      <c r="A493" s="869">
        <v>645</v>
      </c>
      <c r="B493" s="813" t="s">
        <v>2788</v>
      </c>
      <c r="C493" s="813" t="s">
        <v>1259</v>
      </c>
    </row>
    <row r="494" spans="1:3" ht="30" x14ac:dyDescent="0.35">
      <c r="A494" s="869">
        <v>646</v>
      </c>
      <c r="B494" s="810" t="s">
        <v>2789</v>
      </c>
      <c r="C494" s="810" t="s">
        <v>1719</v>
      </c>
    </row>
    <row r="495" spans="1:3" x14ac:dyDescent="0.35">
      <c r="A495" s="869">
        <v>647</v>
      </c>
      <c r="B495" s="813" t="s">
        <v>2790</v>
      </c>
      <c r="C495" s="813" t="s">
        <v>141</v>
      </c>
    </row>
    <row r="496" spans="1:3" ht="20" x14ac:dyDescent="0.35">
      <c r="A496" s="869">
        <v>648</v>
      </c>
      <c r="B496" s="810" t="s">
        <v>2791</v>
      </c>
      <c r="C496" s="810" t="s">
        <v>478</v>
      </c>
    </row>
    <row r="497" spans="1:3" x14ac:dyDescent="0.35">
      <c r="A497" s="869">
        <v>649</v>
      </c>
      <c r="B497" s="1921" t="s">
        <v>2792</v>
      </c>
      <c r="C497" s="846" t="s">
        <v>14</v>
      </c>
    </row>
    <row r="498" spans="1:3" x14ac:dyDescent="0.35">
      <c r="A498" s="869">
        <v>650</v>
      </c>
      <c r="B498" s="1921" t="s">
        <v>2793</v>
      </c>
      <c r="C498" s="846" t="s">
        <v>145</v>
      </c>
    </row>
    <row r="499" spans="1:3" x14ac:dyDescent="0.35">
      <c r="A499" s="869">
        <v>651</v>
      </c>
      <c r="B499" s="817" t="s">
        <v>2794</v>
      </c>
      <c r="C499" s="817" t="s">
        <v>142</v>
      </c>
    </row>
    <row r="500" spans="1:3" x14ac:dyDescent="0.35">
      <c r="A500" s="869">
        <v>652</v>
      </c>
      <c r="B500" s="1921" t="s">
        <v>2795</v>
      </c>
      <c r="C500" s="846" t="s">
        <v>143</v>
      </c>
    </row>
    <row r="501" spans="1:3" x14ac:dyDescent="0.35">
      <c r="A501" s="869">
        <v>653</v>
      </c>
      <c r="B501" s="817" t="s">
        <v>2796</v>
      </c>
      <c r="C501" s="817" t="s">
        <v>144</v>
      </c>
    </row>
    <row r="502" spans="1:3" x14ac:dyDescent="0.35">
      <c r="A502" s="869">
        <v>654</v>
      </c>
      <c r="B502" s="1921" t="s">
        <v>2797</v>
      </c>
      <c r="C502" s="846" t="s">
        <v>1160</v>
      </c>
    </row>
    <row r="503" spans="1:3" x14ac:dyDescent="0.35">
      <c r="A503" s="869">
        <v>655</v>
      </c>
      <c r="B503" s="817" t="s">
        <v>2798</v>
      </c>
      <c r="C503" s="817" t="s">
        <v>1387</v>
      </c>
    </row>
    <row r="504" spans="1:3" x14ac:dyDescent="0.35">
      <c r="A504" s="869">
        <v>656</v>
      </c>
      <c r="B504" s="1921" t="s">
        <v>2799</v>
      </c>
      <c r="C504" s="846" t="s">
        <v>146</v>
      </c>
    </row>
    <row r="505" spans="1:3" x14ac:dyDescent="0.35">
      <c r="A505" s="869">
        <v>657</v>
      </c>
      <c r="B505" s="817" t="s">
        <v>2800</v>
      </c>
      <c r="C505" s="817" t="s">
        <v>479</v>
      </c>
    </row>
    <row r="506" spans="1:3" x14ac:dyDescent="0.35">
      <c r="A506" s="869">
        <v>658</v>
      </c>
      <c r="B506" s="1921" t="s">
        <v>2801</v>
      </c>
      <c r="C506" s="846" t="s">
        <v>480</v>
      </c>
    </row>
    <row r="507" spans="1:3" ht="26" x14ac:dyDescent="0.35">
      <c r="A507" s="869">
        <v>659</v>
      </c>
      <c r="B507" s="817" t="s">
        <v>2802</v>
      </c>
      <c r="C507" s="817" t="s">
        <v>618</v>
      </c>
    </row>
    <row r="508" spans="1:3" x14ac:dyDescent="0.35">
      <c r="A508" s="869">
        <v>660</v>
      </c>
      <c r="B508" s="1921" t="s">
        <v>2803</v>
      </c>
      <c r="C508" s="846" t="s">
        <v>619</v>
      </c>
    </row>
    <row r="509" spans="1:3" ht="15" thickBot="1" x14ac:dyDescent="0.4">
      <c r="A509" s="869">
        <v>661</v>
      </c>
      <c r="B509" s="1780" t="s">
        <v>2804</v>
      </c>
      <c r="C509" s="1780" t="s">
        <v>1346</v>
      </c>
    </row>
    <row r="510" spans="1:3" ht="26" x14ac:dyDescent="0.35">
      <c r="A510" s="869">
        <v>662</v>
      </c>
      <c r="B510" s="850" t="s">
        <v>743</v>
      </c>
      <c r="C510" s="850" t="s">
        <v>640</v>
      </c>
    </row>
    <row r="511" spans="1:3" ht="36" x14ac:dyDescent="0.35">
      <c r="A511" s="869">
        <v>663</v>
      </c>
      <c r="B511" s="812" t="s">
        <v>2805</v>
      </c>
      <c r="C511" s="812" t="s">
        <v>744</v>
      </c>
    </row>
    <row r="512" spans="1:3" ht="26" x14ac:dyDescent="0.35">
      <c r="A512" s="869">
        <v>664</v>
      </c>
      <c r="B512" s="1809" t="s">
        <v>2806</v>
      </c>
      <c r="C512" s="1809" t="s">
        <v>1672</v>
      </c>
    </row>
    <row r="513" spans="1:3" ht="31" x14ac:dyDescent="0.35">
      <c r="A513" s="869">
        <v>665</v>
      </c>
      <c r="B513" s="811" t="s">
        <v>2807</v>
      </c>
      <c r="C513" s="811" t="s">
        <v>1083</v>
      </c>
    </row>
    <row r="514" spans="1:3" ht="20" x14ac:dyDescent="0.35">
      <c r="A514" s="869">
        <v>670</v>
      </c>
      <c r="B514" s="810" t="s">
        <v>2808</v>
      </c>
      <c r="C514" s="810" t="s">
        <v>875</v>
      </c>
    </row>
    <row r="515" spans="1:3" ht="20" x14ac:dyDescent="0.35">
      <c r="A515" s="869">
        <v>671</v>
      </c>
      <c r="B515" s="810" t="s">
        <v>2809</v>
      </c>
      <c r="C515" s="810" t="s">
        <v>1295</v>
      </c>
    </row>
    <row r="516" spans="1:3" ht="20" x14ac:dyDescent="0.35">
      <c r="A516" s="869">
        <v>672</v>
      </c>
      <c r="B516" s="810" t="s">
        <v>2810</v>
      </c>
      <c r="C516" s="810" t="s">
        <v>136</v>
      </c>
    </row>
    <row r="517" spans="1:3" x14ac:dyDescent="0.35">
      <c r="A517" s="869">
        <v>675</v>
      </c>
      <c r="B517" s="817" t="s">
        <v>2811</v>
      </c>
      <c r="C517" s="817" t="s">
        <v>1592</v>
      </c>
    </row>
    <row r="518" spans="1:3" x14ac:dyDescent="0.35">
      <c r="A518" s="869">
        <v>676</v>
      </c>
      <c r="B518" s="1923" t="s">
        <v>2812</v>
      </c>
      <c r="C518" s="851" t="s">
        <v>134</v>
      </c>
    </row>
    <row r="519" spans="1:3" x14ac:dyDescent="0.35">
      <c r="A519" s="869">
        <v>677</v>
      </c>
      <c r="B519" s="1923" t="s">
        <v>2813</v>
      </c>
      <c r="C519" s="851" t="s">
        <v>135</v>
      </c>
    </row>
    <row r="520" spans="1:3" x14ac:dyDescent="0.35">
      <c r="A520" s="869">
        <v>678</v>
      </c>
      <c r="B520" s="813" t="s">
        <v>2814</v>
      </c>
      <c r="C520" s="813" t="s">
        <v>1002</v>
      </c>
    </row>
    <row r="521" spans="1:3" ht="20" x14ac:dyDescent="0.35">
      <c r="A521" s="869">
        <v>679</v>
      </c>
      <c r="B521" s="810" t="s">
        <v>2815</v>
      </c>
      <c r="C521" s="810" t="s">
        <v>1003</v>
      </c>
    </row>
    <row r="522" spans="1:3" x14ac:dyDescent="0.35">
      <c r="A522" s="869">
        <v>680</v>
      </c>
      <c r="B522" s="820" t="s">
        <v>2816</v>
      </c>
      <c r="C522" s="820" t="s">
        <v>1339</v>
      </c>
    </row>
    <row r="523" spans="1:3" x14ac:dyDescent="0.35">
      <c r="A523" s="869">
        <v>681</v>
      </c>
      <c r="B523" s="813" t="s">
        <v>2817</v>
      </c>
      <c r="C523" s="813" t="s">
        <v>874</v>
      </c>
    </row>
    <row r="524" spans="1:3" ht="20" x14ac:dyDescent="0.35">
      <c r="A524" s="869">
        <v>682</v>
      </c>
      <c r="B524" s="810" t="s">
        <v>2818</v>
      </c>
      <c r="C524" s="810" t="s">
        <v>1351</v>
      </c>
    </row>
    <row r="525" spans="1:3" ht="20" x14ac:dyDescent="0.35">
      <c r="A525" s="869">
        <v>683</v>
      </c>
      <c r="B525" s="810" t="s">
        <v>2819</v>
      </c>
      <c r="C525" s="810" t="s">
        <v>1677</v>
      </c>
    </row>
    <row r="526" spans="1:3" ht="30" x14ac:dyDescent="0.35">
      <c r="A526" s="869">
        <v>684</v>
      </c>
      <c r="B526" s="810" t="s">
        <v>2820</v>
      </c>
      <c r="C526" s="810" t="s">
        <v>1827</v>
      </c>
    </row>
    <row r="527" spans="1:3" x14ac:dyDescent="0.35">
      <c r="A527" s="869">
        <v>685</v>
      </c>
      <c r="B527" s="817" t="s">
        <v>70</v>
      </c>
      <c r="C527" s="817" t="s">
        <v>70</v>
      </c>
    </row>
    <row r="528" spans="1:3" x14ac:dyDescent="0.35">
      <c r="A528" s="869">
        <v>686</v>
      </c>
      <c r="B528" s="834" t="s">
        <v>2821</v>
      </c>
      <c r="C528" s="834" t="s">
        <v>71</v>
      </c>
    </row>
    <row r="529" spans="1:3" x14ac:dyDescent="0.35">
      <c r="A529" s="869">
        <v>687</v>
      </c>
      <c r="B529" s="836" t="s">
        <v>2822</v>
      </c>
      <c r="C529" s="836" t="s">
        <v>284</v>
      </c>
    </row>
    <row r="530" spans="1:3" x14ac:dyDescent="0.35">
      <c r="A530" s="869">
        <v>688</v>
      </c>
      <c r="B530" s="1781" t="s">
        <v>2823</v>
      </c>
      <c r="C530" s="1781" t="s">
        <v>994</v>
      </c>
    </row>
    <row r="531" spans="1:3" x14ac:dyDescent="0.35">
      <c r="A531" s="869">
        <v>689</v>
      </c>
      <c r="B531" s="834" t="s">
        <v>2824</v>
      </c>
      <c r="C531" s="834" t="s">
        <v>995</v>
      </c>
    </row>
    <row r="532" spans="1:3" x14ac:dyDescent="0.35">
      <c r="A532" s="869">
        <v>690</v>
      </c>
      <c r="B532" s="835" t="s">
        <v>2825</v>
      </c>
      <c r="C532" s="835" t="s">
        <v>996</v>
      </c>
    </row>
    <row r="533" spans="1:3" x14ac:dyDescent="0.35">
      <c r="A533" s="869">
        <v>691</v>
      </c>
      <c r="B533" s="813" t="s">
        <v>2826</v>
      </c>
      <c r="C533" s="813" t="s">
        <v>1021</v>
      </c>
    </row>
    <row r="534" spans="1:3" ht="20" x14ac:dyDescent="0.35">
      <c r="A534" s="869">
        <v>692</v>
      </c>
      <c r="B534" s="810" t="s">
        <v>2827</v>
      </c>
      <c r="C534" s="810" t="s">
        <v>1500</v>
      </c>
    </row>
    <row r="535" spans="1:3" ht="20" x14ac:dyDescent="0.35">
      <c r="A535" s="869">
        <v>693</v>
      </c>
      <c r="B535" s="810" t="s">
        <v>2828</v>
      </c>
      <c r="C535" s="810" t="s">
        <v>1624</v>
      </c>
    </row>
    <row r="536" spans="1:3" ht="20" x14ac:dyDescent="0.35">
      <c r="A536" s="869">
        <v>694</v>
      </c>
      <c r="B536" s="810" t="s">
        <v>2829</v>
      </c>
      <c r="C536" s="810" t="s">
        <v>1431</v>
      </c>
    </row>
    <row r="537" spans="1:3" ht="20" x14ac:dyDescent="0.35">
      <c r="A537" s="869">
        <v>695</v>
      </c>
      <c r="B537" s="810" t="s">
        <v>2830</v>
      </c>
      <c r="C537" s="810" t="s">
        <v>1798</v>
      </c>
    </row>
    <row r="538" spans="1:3" x14ac:dyDescent="0.35">
      <c r="A538" s="869">
        <v>696</v>
      </c>
      <c r="B538" s="1921" t="s">
        <v>2831</v>
      </c>
      <c r="C538" s="846" t="s">
        <v>712</v>
      </c>
    </row>
    <row r="539" spans="1:3" x14ac:dyDescent="0.35">
      <c r="A539" s="869">
        <v>697</v>
      </c>
      <c r="B539" s="834" t="s">
        <v>2832</v>
      </c>
      <c r="C539" s="839" t="s">
        <v>118</v>
      </c>
    </row>
    <row r="540" spans="1:3" x14ac:dyDescent="0.35">
      <c r="A540" s="869">
        <v>698</v>
      </c>
      <c r="B540" s="835" t="s">
        <v>2833</v>
      </c>
      <c r="C540" s="835" t="s">
        <v>1720</v>
      </c>
    </row>
    <row r="541" spans="1:3" x14ac:dyDescent="0.35">
      <c r="A541" s="869">
        <v>699</v>
      </c>
      <c r="B541" s="820" t="s">
        <v>2834</v>
      </c>
      <c r="C541" s="820" t="s">
        <v>114</v>
      </c>
    </row>
    <row r="542" spans="1:3" x14ac:dyDescent="0.35">
      <c r="A542" s="869">
        <v>700</v>
      </c>
      <c r="B542" s="813" t="s">
        <v>2835</v>
      </c>
      <c r="C542" s="813" t="s">
        <v>119</v>
      </c>
    </row>
    <row r="543" spans="1:3" ht="30" x14ac:dyDescent="0.35">
      <c r="A543" s="869">
        <v>702</v>
      </c>
      <c r="B543" s="810" t="s">
        <v>2836</v>
      </c>
      <c r="C543" s="810" t="s">
        <v>1828</v>
      </c>
    </row>
    <row r="544" spans="1:3" x14ac:dyDescent="0.35">
      <c r="A544" s="869">
        <v>703</v>
      </c>
      <c r="B544" s="810" t="s">
        <v>2837</v>
      </c>
      <c r="C544" s="810" t="s">
        <v>1032</v>
      </c>
    </row>
    <row r="545" spans="1:3" x14ac:dyDescent="0.35">
      <c r="A545" s="869">
        <v>704</v>
      </c>
      <c r="B545" s="898" t="s">
        <v>1031</v>
      </c>
      <c r="C545" s="898" t="s">
        <v>1031</v>
      </c>
    </row>
    <row r="546" spans="1:3" ht="26" x14ac:dyDescent="0.35">
      <c r="A546" s="869">
        <v>705</v>
      </c>
      <c r="B546" s="813" t="s">
        <v>2838</v>
      </c>
      <c r="C546" s="813" t="s">
        <v>1103</v>
      </c>
    </row>
    <row r="547" spans="1:3" x14ac:dyDescent="0.35">
      <c r="A547" s="869">
        <v>706</v>
      </c>
      <c r="B547" s="815" t="s">
        <v>2839</v>
      </c>
      <c r="C547" s="815" t="s">
        <v>1029</v>
      </c>
    </row>
    <row r="548" spans="1:3" x14ac:dyDescent="0.35">
      <c r="A548" s="869">
        <v>707</v>
      </c>
      <c r="B548" s="1917" t="s">
        <v>2840</v>
      </c>
      <c r="C548" s="814" t="s">
        <v>1001</v>
      </c>
    </row>
    <row r="549" spans="1:3" ht="28" x14ac:dyDescent="0.35">
      <c r="A549" s="869">
        <v>708</v>
      </c>
      <c r="B549" s="852" t="s">
        <v>2841</v>
      </c>
      <c r="C549" s="852" t="s">
        <v>1740</v>
      </c>
    </row>
    <row r="550" spans="1:3" ht="39" x14ac:dyDescent="0.35">
      <c r="A550" s="869">
        <v>709</v>
      </c>
      <c r="B550" s="1809" t="s">
        <v>2842</v>
      </c>
      <c r="C550" s="1809" t="s">
        <v>1679</v>
      </c>
    </row>
    <row r="551" spans="1:3" ht="52" x14ac:dyDescent="0.35">
      <c r="A551" s="869">
        <v>710</v>
      </c>
      <c r="B551" s="1809" t="s">
        <v>2843</v>
      </c>
      <c r="C551" s="1809" t="s">
        <v>1722</v>
      </c>
    </row>
    <row r="552" spans="1:3" x14ac:dyDescent="0.35">
      <c r="A552" s="869">
        <v>711</v>
      </c>
      <c r="B552" s="1809" t="s">
        <v>2844</v>
      </c>
      <c r="C552" s="1809" t="s">
        <v>1721</v>
      </c>
    </row>
    <row r="553" spans="1:3" x14ac:dyDescent="0.35">
      <c r="A553" s="869">
        <v>712</v>
      </c>
      <c r="B553" t="s">
        <v>1843</v>
      </c>
      <c r="C553" t="s">
        <v>1843</v>
      </c>
    </row>
    <row r="554" spans="1:3" x14ac:dyDescent="0.35">
      <c r="A554" s="869">
        <v>713</v>
      </c>
      <c r="B554" s="898" t="s">
        <v>2845</v>
      </c>
      <c r="C554" s="898" t="s">
        <v>1625</v>
      </c>
    </row>
    <row r="555" spans="1:3" ht="26" x14ac:dyDescent="0.35">
      <c r="A555" s="869">
        <v>714</v>
      </c>
      <c r="B555" s="1794" t="s">
        <v>2846</v>
      </c>
      <c r="C555" s="1794" t="s">
        <v>1808</v>
      </c>
    </row>
    <row r="556" spans="1:3" ht="20" x14ac:dyDescent="0.35">
      <c r="A556" s="869">
        <v>715</v>
      </c>
      <c r="B556" s="1796" t="s">
        <v>2847</v>
      </c>
      <c r="C556" s="1796" t="s">
        <v>1701</v>
      </c>
    </row>
    <row r="557" spans="1:3" ht="20" x14ac:dyDescent="0.35">
      <c r="A557" s="869">
        <v>716</v>
      </c>
      <c r="B557" s="1627" t="s">
        <v>2848</v>
      </c>
      <c r="C557" s="1627" t="s">
        <v>1809</v>
      </c>
    </row>
    <row r="558" spans="1:3" ht="40" x14ac:dyDescent="0.35">
      <c r="A558" s="869">
        <v>717</v>
      </c>
      <c r="B558" s="1795" t="s">
        <v>2849</v>
      </c>
      <c r="C558" s="1795" t="s">
        <v>1807</v>
      </c>
    </row>
    <row r="559" spans="1:3" ht="50" x14ac:dyDescent="0.35">
      <c r="A559" s="869">
        <v>718</v>
      </c>
      <c r="B559" s="1795" t="s">
        <v>2850</v>
      </c>
      <c r="C559" s="1795" t="s">
        <v>1806</v>
      </c>
    </row>
    <row r="560" spans="1:3" ht="20" x14ac:dyDescent="0.35">
      <c r="A560" s="869">
        <v>719</v>
      </c>
      <c r="B560" s="1795" t="s">
        <v>2851</v>
      </c>
      <c r="C560" s="1795" t="s">
        <v>1407</v>
      </c>
    </row>
    <row r="561" spans="1:3" ht="40" x14ac:dyDescent="0.35">
      <c r="A561" s="869">
        <v>720</v>
      </c>
      <c r="B561" s="1795" t="s">
        <v>2852</v>
      </c>
      <c r="C561" s="1795" t="s">
        <v>1811</v>
      </c>
    </row>
    <row r="562" spans="1:3" ht="30" x14ac:dyDescent="0.35">
      <c r="A562" s="869">
        <v>721</v>
      </c>
      <c r="B562" s="1795" t="s">
        <v>2853</v>
      </c>
      <c r="C562" s="1795" t="s">
        <v>1810</v>
      </c>
    </row>
    <row r="563" spans="1:3" ht="30" x14ac:dyDescent="0.35">
      <c r="A563" s="869">
        <v>722</v>
      </c>
      <c r="B563" s="1795" t="s">
        <v>2854</v>
      </c>
      <c r="C563" s="1795" t="s">
        <v>1708</v>
      </c>
    </row>
    <row r="564" spans="1:3" ht="20" x14ac:dyDescent="0.35">
      <c r="A564" s="869">
        <v>723</v>
      </c>
      <c r="B564" s="1795" t="s">
        <v>2855</v>
      </c>
      <c r="C564" s="1795" t="s">
        <v>1606</v>
      </c>
    </row>
    <row r="565" spans="1:3" x14ac:dyDescent="0.35">
      <c r="A565" s="869">
        <v>724</v>
      </c>
      <c r="B565" s="1793" t="s">
        <v>2856</v>
      </c>
      <c r="C565" s="1793" t="s">
        <v>1803</v>
      </c>
    </row>
    <row r="566" spans="1:3" x14ac:dyDescent="0.35">
      <c r="A566" s="869">
        <v>725</v>
      </c>
      <c r="B566" s="1794" t="s">
        <v>2857</v>
      </c>
      <c r="C566" s="1794" t="s">
        <v>1285</v>
      </c>
    </row>
    <row r="567" spans="1:3" ht="40" x14ac:dyDescent="0.35">
      <c r="A567" s="869">
        <v>726</v>
      </c>
      <c r="B567" s="1795" t="s">
        <v>2858</v>
      </c>
      <c r="C567" s="1795" t="s">
        <v>1795</v>
      </c>
    </row>
    <row r="568" spans="1:3" ht="30" x14ac:dyDescent="0.35">
      <c r="A568" s="869">
        <v>727</v>
      </c>
      <c r="B568" s="1795" t="s">
        <v>2859</v>
      </c>
      <c r="C568" s="1795" t="s">
        <v>1489</v>
      </c>
    </row>
    <row r="569" spans="1:3" ht="20" x14ac:dyDescent="0.35">
      <c r="A569" s="869">
        <v>728</v>
      </c>
      <c r="B569" s="1795" t="s">
        <v>2860</v>
      </c>
      <c r="C569" s="1795" t="s">
        <v>1782</v>
      </c>
    </row>
    <row r="570" spans="1:3" ht="20" x14ac:dyDescent="0.35">
      <c r="A570" s="869">
        <v>729</v>
      </c>
      <c r="B570" s="1796" t="s">
        <v>2861</v>
      </c>
      <c r="C570" s="1796" t="s">
        <v>1729</v>
      </c>
    </row>
    <row r="571" spans="1:3" x14ac:dyDescent="0.35">
      <c r="A571" s="869">
        <v>730</v>
      </c>
      <c r="B571" s="1797" t="s">
        <v>2862</v>
      </c>
      <c r="C571" s="1797" t="s">
        <v>1476</v>
      </c>
    </row>
    <row r="572" spans="1:3" x14ac:dyDescent="0.35">
      <c r="A572" s="869">
        <v>731</v>
      </c>
      <c r="B572" s="1812" t="s">
        <v>2863</v>
      </c>
      <c r="C572" s="1812" t="s">
        <v>1278</v>
      </c>
    </row>
    <row r="573" spans="1:3" ht="26" x14ac:dyDescent="0.35">
      <c r="A573" s="869">
        <v>732</v>
      </c>
      <c r="B573" s="1794" t="s">
        <v>2864</v>
      </c>
      <c r="C573" s="1794" t="s">
        <v>1554</v>
      </c>
    </row>
    <row r="574" spans="1:3" ht="30" x14ac:dyDescent="0.35">
      <c r="A574" s="869">
        <v>733</v>
      </c>
      <c r="B574" s="1796" t="s">
        <v>2865</v>
      </c>
      <c r="C574" s="1796" t="s">
        <v>1723</v>
      </c>
    </row>
    <row r="575" spans="1:3" ht="20" x14ac:dyDescent="0.35">
      <c r="A575" s="869">
        <v>734</v>
      </c>
      <c r="B575" s="1795" t="s">
        <v>2866</v>
      </c>
      <c r="C575" s="1795" t="s">
        <v>1724</v>
      </c>
    </row>
    <row r="576" spans="1:3" ht="40" x14ac:dyDescent="0.35">
      <c r="A576" s="869">
        <v>735</v>
      </c>
      <c r="B576" s="1795" t="s">
        <v>2867</v>
      </c>
      <c r="C576" s="1795" t="s">
        <v>1725</v>
      </c>
    </row>
    <row r="577" spans="1:3" ht="70" x14ac:dyDescent="0.35">
      <c r="A577" s="869">
        <v>736</v>
      </c>
      <c r="B577" s="1795" t="s">
        <v>2868</v>
      </c>
      <c r="C577" s="1795" t="s">
        <v>1739</v>
      </c>
    </row>
    <row r="578" spans="1:3" ht="30" x14ac:dyDescent="0.35">
      <c r="A578" s="869">
        <v>737</v>
      </c>
      <c r="B578" s="1795" t="s">
        <v>2869</v>
      </c>
      <c r="C578" s="1795" t="s">
        <v>1737</v>
      </c>
    </row>
    <row r="579" spans="1:3" x14ac:dyDescent="0.35">
      <c r="A579" s="869">
        <v>738</v>
      </c>
      <c r="B579" s="899" t="s">
        <v>2870</v>
      </c>
      <c r="C579" s="899" t="s">
        <v>1602</v>
      </c>
    </row>
    <row r="580" spans="1:3" ht="20" x14ac:dyDescent="0.35">
      <c r="A580" s="869">
        <v>739</v>
      </c>
      <c r="B580" s="1795" t="s">
        <v>2871</v>
      </c>
      <c r="C580" s="1795" t="s">
        <v>1317</v>
      </c>
    </row>
    <row r="581" spans="1:3" x14ac:dyDescent="0.35">
      <c r="A581" s="869">
        <v>740</v>
      </c>
      <c r="B581" s="1794" t="s">
        <v>2872</v>
      </c>
      <c r="C581" s="1794" t="s">
        <v>1315</v>
      </c>
    </row>
    <row r="582" spans="1:3" x14ac:dyDescent="0.35">
      <c r="A582" s="869">
        <v>741</v>
      </c>
      <c r="B582" s="1793" t="s">
        <v>2873</v>
      </c>
      <c r="C582" s="1793" t="s">
        <v>1250</v>
      </c>
    </row>
    <row r="583" spans="1:3" x14ac:dyDescent="0.35">
      <c r="A583" s="869">
        <v>742</v>
      </c>
      <c r="B583" s="1798" t="s">
        <v>2874</v>
      </c>
      <c r="C583" s="1798" t="s">
        <v>1249</v>
      </c>
    </row>
    <row r="584" spans="1:3" x14ac:dyDescent="0.35">
      <c r="A584" s="869">
        <v>743</v>
      </c>
      <c r="B584" s="1924" t="s">
        <v>2875</v>
      </c>
      <c r="C584" s="1803" t="s">
        <v>1026</v>
      </c>
    </row>
    <row r="585" spans="1:3" x14ac:dyDescent="0.35">
      <c r="A585" s="869">
        <v>744</v>
      </c>
      <c r="B585" s="1924" t="s">
        <v>2876</v>
      </c>
      <c r="C585" s="1803" t="s">
        <v>1025</v>
      </c>
    </row>
    <row r="586" spans="1:3" x14ac:dyDescent="0.35">
      <c r="A586" s="869">
        <v>745</v>
      </c>
      <c r="B586" s="1918" t="s">
        <v>2877</v>
      </c>
      <c r="C586" s="1801" t="s">
        <v>959</v>
      </c>
    </row>
    <row r="587" spans="1:3" x14ac:dyDescent="0.35">
      <c r="A587" s="869">
        <v>746</v>
      </c>
      <c r="B587" s="1798" t="s">
        <v>2878</v>
      </c>
      <c r="C587" s="1799" t="s">
        <v>961</v>
      </c>
    </row>
    <row r="588" spans="1:3" x14ac:dyDescent="0.35">
      <c r="A588" s="869">
        <v>747</v>
      </c>
      <c r="B588" s="1800" t="s">
        <v>2879</v>
      </c>
      <c r="C588" s="1800" t="s">
        <v>958</v>
      </c>
    </row>
    <row r="589" spans="1:3" x14ac:dyDescent="0.35">
      <c r="A589" s="869">
        <v>748</v>
      </c>
      <c r="B589" s="1918" t="s">
        <v>2880</v>
      </c>
      <c r="C589" s="1801" t="s">
        <v>48</v>
      </c>
    </row>
    <row r="590" spans="1:3" x14ac:dyDescent="0.35">
      <c r="A590" s="869">
        <v>749</v>
      </c>
      <c r="B590" s="1925" t="s">
        <v>2881</v>
      </c>
      <c r="C590" s="1802" t="s">
        <v>432</v>
      </c>
    </row>
    <row r="591" spans="1:3" x14ac:dyDescent="0.35">
      <c r="A591" s="869">
        <v>750</v>
      </c>
      <c r="B591" s="1794" t="s">
        <v>2882</v>
      </c>
      <c r="C591" s="1794" t="s">
        <v>1316</v>
      </c>
    </row>
    <row r="592" spans="1:3" x14ac:dyDescent="0.35">
      <c r="A592" s="869">
        <v>751</v>
      </c>
      <c r="B592" s="1793" t="s">
        <v>2883</v>
      </c>
      <c r="C592" s="1793" t="s">
        <v>1251</v>
      </c>
    </row>
    <row r="593" spans="1:3" x14ac:dyDescent="0.35">
      <c r="A593" s="869">
        <v>752</v>
      </c>
      <c r="B593" s="1794" t="s">
        <v>2884</v>
      </c>
      <c r="C593" s="1794" t="s">
        <v>1603</v>
      </c>
    </row>
    <row r="594" spans="1:3" ht="30" x14ac:dyDescent="0.35">
      <c r="A594" s="869">
        <v>753</v>
      </c>
      <c r="B594" s="1795" t="s">
        <v>2885</v>
      </c>
      <c r="C594" s="1795" t="s">
        <v>1499</v>
      </c>
    </row>
    <row r="595" spans="1:3" ht="20" x14ac:dyDescent="0.35">
      <c r="A595" s="869">
        <v>754</v>
      </c>
      <c r="B595" s="1795" t="s">
        <v>2886</v>
      </c>
      <c r="C595" s="1795" t="s">
        <v>1497</v>
      </c>
    </row>
    <row r="596" spans="1:3" x14ac:dyDescent="0.35">
      <c r="A596" s="869">
        <v>755</v>
      </c>
      <c r="B596" s="1797" t="s">
        <v>2887</v>
      </c>
      <c r="C596" s="1797" t="s">
        <v>1252</v>
      </c>
    </row>
    <row r="597" spans="1:3" x14ac:dyDescent="0.35">
      <c r="A597" s="869">
        <v>756</v>
      </c>
      <c r="B597" s="1794" t="s">
        <v>2888</v>
      </c>
      <c r="C597" s="1794" t="s">
        <v>1214</v>
      </c>
    </row>
    <row r="598" spans="1:3" ht="20" x14ac:dyDescent="0.35">
      <c r="A598" s="869">
        <v>757</v>
      </c>
      <c r="B598" s="1796" t="s">
        <v>2889</v>
      </c>
      <c r="C598" s="1796" t="s">
        <v>1702</v>
      </c>
    </row>
    <row r="599" spans="1:3" ht="40" x14ac:dyDescent="0.35">
      <c r="A599" s="869">
        <v>758</v>
      </c>
      <c r="B599" s="1795" t="s">
        <v>2890</v>
      </c>
      <c r="C599" s="1795" t="s">
        <v>1804</v>
      </c>
    </row>
    <row r="600" spans="1:3" ht="40" x14ac:dyDescent="0.35">
      <c r="A600" s="869">
        <v>759</v>
      </c>
      <c r="B600" s="1795" t="s">
        <v>2891</v>
      </c>
      <c r="C600" s="1795" t="s">
        <v>1805</v>
      </c>
    </row>
    <row r="601" spans="1:3" ht="30" x14ac:dyDescent="0.35">
      <c r="A601" s="869">
        <v>760</v>
      </c>
      <c r="B601" s="1795" t="s">
        <v>2892</v>
      </c>
      <c r="C601" s="1795" t="s">
        <v>1781</v>
      </c>
    </row>
    <row r="602" spans="1:3" x14ac:dyDescent="0.35">
      <c r="A602" s="869">
        <v>761</v>
      </c>
      <c r="B602" s="898" t="s">
        <v>2893</v>
      </c>
      <c r="C602" s="898" t="s">
        <v>1727</v>
      </c>
    </row>
    <row r="603" spans="1:3" x14ac:dyDescent="0.35">
      <c r="A603" s="869">
        <v>762</v>
      </c>
      <c r="B603" s="1793" t="s">
        <v>2894</v>
      </c>
      <c r="C603" s="1793" t="s">
        <v>1247</v>
      </c>
    </row>
    <row r="604" spans="1:3" x14ac:dyDescent="0.35">
      <c r="A604" s="869">
        <v>763</v>
      </c>
      <c r="B604" s="1797" t="s">
        <v>2822</v>
      </c>
      <c r="C604" s="1797" t="s">
        <v>1183</v>
      </c>
    </row>
    <row r="605" spans="1:3" x14ac:dyDescent="0.35">
      <c r="A605" s="869">
        <v>764</v>
      </c>
      <c r="B605" s="1797" t="s">
        <v>2895</v>
      </c>
      <c r="C605" s="1797" t="s">
        <v>1199</v>
      </c>
    </row>
    <row r="606" spans="1:3" x14ac:dyDescent="0.35">
      <c r="A606" s="869">
        <v>765</v>
      </c>
      <c r="B606" s="1793" t="s">
        <v>2896</v>
      </c>
      <c r="C606" s="1793" t="s">
        <v>1544</v>
      </c>
    </row>
    <row r="607" spans="1:3" x14ac:dyDescent="0.35">
      <c r="A607" s="869">
        <v>766</v>
      </c>
      <c r="B607" s="1797" t="s">
        <v>2897</v>
      </c>
      <c r="C607" s="1797" t="s">
        <v>1728</v>
      </c>
    </row>
    <row r="608" spans="1:3" x14ac:dyDescent="0.35">
      <c r="A608" s="869">
        <v>767</v>
      </c>
      <c r="B608" s="1797" t="s">
        <v>2898</v>
      </c>
      <c r="C608" s="1797" t="s">
        <v>1245</v>
      </c>
    </row>
    <row r="609" spans="1:3" x14ac:dyDescent="0.35">
      <c r="A609" s="869">
        <v>768</v>
      </c>
      <c r="B609" s="1793" t="s">
        <v>2899</v>
      </c>
      <c r="C609" s="1793" t="s">
        <v>1248</v>
      </c>
    </row>
    <row r="610" spans="1:3" x14ac:dyDescent="0.35">
      <c r="A610" s="869">
        <v>769</v>
      </c>
      <c r="B610" s="1797" t="s">
        <v>2900</v>
      </c>
      <c r="C610" s="1797" t="s">
        <v>1175</v>
      </c>
    </row>
    <row r="611" spans="1:3" x14ac:dyDescent="0.35">
      <c r="A611" s="869">
        <v>770</v>
      </c>
      <c r="B611" s="1797" t="s">
        <v>2901</v>
      </c>
      <c r="C611" s="1797" t="s">
        <v>1200</v>
      </c>
    </row>
    <row r="612" spans="1:3" x14ac:dyDescent="0.35">
      <c r="A612" s="869">
        <v>771</v>
      </c>
      <c r="B612" s="1794" t="s">
        <v>2902</v>
      </c>
      <c r="C612" s="1794" t="s">
        <v>1443</v>
      </c>
    </row>
    <row r="613" spans="1:3" x14ac:dyDescent="0.35">
      <c r="A613" s="869">
        <v>772</v>
      </c>
      <c r="B613" s="900" t="s">
        <v>2903</v>
      </c>
      <c r="C613" s="900" t="s">
        <v>1444</v>
      </c>
    </row>
    <row r="614" spans="1:3" ht="20" x14ac:dyDescent="0.35">
      <c r="A614" s="869">
        <v>773</v>
      </c>
      <c r="B614" s="1795" t="s">
        <v>2904</v>
      </c>
      <c r="C614" s="1795" t="s">
        <v>1445</v>
      </c>
    </row>
    <row r="615" spans="1:3" x14ac:dyDescent="0.35">
      <c r="A615" s="869">
        <v>774</v>
      </c>
      <c r="B615" s="1794" t="s">
        <v>2905</v>
      </c>
      <c r="C615" s="1794" t="s">
        <v>1321</v>
      </c>
    </row>
    <row r="616" spans="1:3" ht="20" x14ac:dyDescent="0.35">
      <c r="A616" s="869">
        <v>775</v>
      </c>
      <c r="B616" s="1795" t="s">
        <v>2906</v>
      </c>
      <c r="C616" s="1795" t="s">
        <v>1447</v>
      </c>
    </row>
    <row r="617" spans="1:3" x14ac:dyDescent="0.35">
      <c r="A617" s="869">
        <v>776</v>
      </c>
      <c r="B617" s="1798" t="s">
        <v>2907</v>
      </c>
      <c r="C617" s="1798" t="s">
        <v>1436</v>
      </c>
    </row>
    <row r="618" spans="1:3" x14ac:dyDescent="0.35">
      <c r="A618" s="869">
        <v>777</v>
      </c>
      <c r="B618" s="1797" t="s">
        <v>2908</v>
      </c>
      <c r="C618" s="1797" t="s">
        <v>1237</v>
      </c>
    </row>
    <row r="619" spans="1:3" x14ac:dyDescent="0.35">
      <c r="A619" s="869">
        <v>778</v>
      </c>
      <c r="B619" s="1797" t="s">
        <v>2909</v>
      </c>
      <c r="C619" s="1797" t="s">
        <v>1386</v>
      </c>
    </row>
    <row r="620" spans="1:3" x14ac:dyDescent="0.35">
      <c r="A620" s="869">
        <v>779</v>
      </c>
      <c r="B620" s="1794" t="s">
        <v>2910</v>
      </c>
      <c r="C620" s="1794" t="s">
        <v>1432</v>
      </c>
    </row>
    <row r="621" spans="1:3" ht="40" x14ac:dyDescent="0.35">
      <c r="A621" s="869">
        <v>780</v>
      </c>
      <c r="B621" s="1795" t="s">
        <v>2911</v>
      </c>
      <c r="C621" s="1795" t="s">
        <v>1796</v>
      </c>
    </row>
    <row r="622" spans="1:3" x14ac:dyDescent="0.35">
      <c r="A622" s="869">
        <v>781</v>
      </c>
      <c r="B622" s="1798" t="s">
        <v>2912</v>
      </c>
      <c r="C622" s="1798" t="s">
        <v>1437</v>
      </c>
    </row>
    <row r="623" spans="1:3" x14ac:dyDescent="0.35">
      <c r="A623" s="869">
        <v>782</v>
      </c>
      <c r="B623" s="1797" t="s">
        <v>2913</v>
      </c>
      <c r="C623" s="1797" t="s">
        <v>1440</v>
      </c>
    </row>
    <row r="624" spans="1:3" x14ac:dyDescent="0.35">
      <c r="A624" s="869">
        <v>783</v>
      </c>
      <c r="B624" s="1797" t="s">
        <v>2914</v>
      </c>
      <c r="C624" s="1797" t="s">
        <v>1438</v>
      </c>
    </row>
    <row r="625" spans="1:3" x14ac:dyDescent="0.35">
      <c r="A625" s="869">
        <v>784</v>
      </c>
      <c r="B625" s="1794" t="s">
        <v>2915</v>
      </c>
      <c r="C625" s="1794" t="s">
        <v>1417</v>
      </c>
    </row>
    <row r="626" spans="1:3" ht="20" x14ac:dyDescent="0.35">
      <c r="A626" s="869">
        <v>785</v>
      </c>
      <c r="B626" s="1795" t="s">
        <v>2916</v>
      </c>
      <c r="C626" s="1795" t="s">
        <v>1626</v>
      </c>
    </row>
    <row r="627" spans="1:3" ht="20" x14ac:dyDescent="0.35">
      <c r="A627" s="869">
        <v>786</v>
      </c>
      <c r="B627" s="1795" t="s">
        <v>2917</v>
      </c>
      <c r="C627" s="1795" t="s">
        <v>1730</v>
      </c>
    </row>
    <row r="628" spans="1:3" ht="20" x14ac:dyDescent="0.35">
      <c r="A628" s="869">
        <v>787</v>
      </c>
      <c r="B628" s="1796" t="s">
        <v>2918</v>
      </c>
      <c r="C628" s="1796" t="s">
        <v>1731</v>
      </c>
    </row>
    <row r="629" spans="1:3" x14ac:dyDescent="0.35">
      <c r="A629" s="869">
        <v>788</v>
      </c>
      <c r="B629" s="1798" t="s">
        <v>2919</v>
      </c>
      <c r="C629" s="1798" t="s">
        <v>1433</v>
      </c>
    </row>
    <row r="630" spans="1:3" x14ac:dyDescent="0.35">
      <c r="A630" s="869">
        <v>789</v>
      </c>
      <c r="B630" s="1797" t="s">
        <v>2920</v>
      </c>
      <c r="C630" s="1797" t="s">
        <v>1418</v>
      </c>
    </row>
    <row r="631" spans="1:3" x14ac:dyDescent="0.35">
      <c r="A631" s="869">
        <v>790</v>
      </c>
      <c r="B631" s="1797" t="s">
        <v>2921</v>
      </c>
      <c r="C631" s="1797" t="s">
        <v>1439</v>
      </c>
    </row>
    <row r="632" spans="1:3" x14ac:dyDescent="0.35">
      <c r="A632" s="869">
        <v>791</v>
      </c>
      <c r="B632" s="1794" t="s">
        <v>2922</v>
      </c>
      <c r="C632" s="1794" t="s">
        <v>1320</v>
      </c>
    </row>
    <row r="633" spans="1:3" ht="20" x14ac:dyDescent="0.35">
      <c r="A633" s="869">
        <v>792</v>
      </c>
      <c r="B633" s="1796" t="s">
        <v>2923</v>
      </c>
      <c r="C633" s="1796" t="s">
        <v>1685</v>
      </c>
    </row>
    <row r="634" spans="1:3" ht="30" x14ac:dyDescent="0.35">
      <c r="A634" s="869">
        <v>793</v>
      </c>
      <c r="B634" s="1795" t="s">
        <v>2924</v>
      </c>
      <c r="C634" s="1795" t="s">
        <v>1732</v>
      </c>
    </row>
    <row r="635" spans="1:3" x14ac:dyDescent="0.35">
      <c r="A635" s="869">
        <v>794</v>
      </c>
      <c r="B635" s="1798" t="s">
        <v>2925</v>
      </c>
      <c r="C635" s="1798" t="s">
        <v>1434</v>
      </c>
    </row>
    <row r="636" spans="1:3" x14ac:dyDescent="0.35">
      <c r="A636" s="869">
        <v>795</v>
      </c>
      <c r="B636" s="1797" t="s">
        <v>2926</v>
      </c>
      <c r="C636" s="1797" t="s">
        <v>1198</v>
      </c>
    </row>
    <row r="637" spans="1:3" x14ac:dyDescent="0.35">
      <c r="A637" s="869">
        <v>796</v>
      </c>
      <c r="B637" s="1797" t="s">
        <v>2927</v>
      </c>
      <c r="C637" s="1797" t="s">
        <v>1404</v>
      </c>
    </row>
    <row r="638" spans="1:3" x14ac:dyDescent="0.35">
      <c r="A638" s="869">
        <v>797</v>
      </c>
      <c r="B638" s="1794" t="s">
        <v>2928</v>
      </c>
      <c r="C638" s="1794" t="s">
        <v>1319</v>
      </c>
    </row>
    <row r="639" spans="1:3" ht="30" x14ac:dyDescent="0.35">
      <c r="A639" s="869">
        <v>798</v>
      </c>
      <c r="B639" s="1795" t="s">
        <v>2929</v>
      </c>
      <c r="C639" s="1795" t="s">
        <v>1448</v>
      </c>
    </row>
    <row r="640" spans="1:3" x14ac:dyDescent="0.35">
      <c r="A640" s="869">
        <v>799</v>
      </c>
      <c r="B640" s="1798" t="s">
        <v>2930</v>
      </c>
      <c r="C640" s="1798" t="s">
        <v>1435</v>
      </c>
    </row>
    <row r="641" spans="1:3" x14ac:dyDescent="0.35">
      <c r="A641" s="869">
        <v>800</v>
      </c>
      <c r="B641" s="1797" t="s">
        <v>2931</v>
      </c>
      <c r="C641" s="1797" t="s">
        <v>1176</v>
      </c>
    </row>
    <row r="642" spans="1:3" x14ac:dyDescent="0.35">
      <c r="A642" s="869">
        <v>801</v>
      </c>
      <c r="B642" s="1797" t="s">
        <v>2932</v>
      </c>
      <c r="C642" s="1797" t="s">
        <v>1405</v>
      </c>
    </row>
    <row r="643" spans="1:3" ht="20" x14ac:dyDescent="0.35">
      <c r="A643" s="869">
        <v>802</v>
      </c>
      <c r="B643" s="1796" t="s">
        <v>2933</v>
      </c>
      <c r="C643" s="1796" t="s">
        <v>1794</v>
      </c>
    </row>
    <row r="644" spans="1:3" ht="30" x14ac:dyDescent="0.35">
      <c r="A644" s="869">
        <v>803</v>
      </c>
      <c r="B644" s="1795" t="s">
        <v>2934</v>
      </c>
      <c r="C644" s="1795" t="s">
        <v>1734</v>
      </c>
    </row>
    <row r="645" spans="1:3" x14ac:dyDescent="0.35">
      <c r="A645" s="869">
        <v>804</v>
      </c>
      <c r="B645" s="1797" t="s">
        <v>2935</v>
      </c>
      <c r="C645" s="1797" t="s">
        <v>1486</v>
      </c>
    </row>
    <row r="646" spans="1:3" x14ac:dyDescent="0.35">
      <c r="A646" s="869">
        <v>805</v>
      </c>
      <c r="B646" s="1794" t="s">
        <v>2936</v>
      </c>
      <c r="C646" s="1794" t="s">
        <v>1253</v>
      </c>
    </row>
    <row r="647" spans="1:3" ht="30" x14ac:dyDescent="0.35">
      <c r="A647" s="869">
        <v>806</v>
      </c>
      <c r="B647" s="1795" t="s">
        <v>2937</v>
      </c>
      <c r="C647" s="1795" t="s">
        <v>1392</v>
      </c>
    </row>
    <row r="648" spans="1:3" ht="20" x14ac:dyDescent="0.35">
      <c r="A648" s="869">
        <v>807</v>
      </c>
      <c r="B648" s="1795" t="s">
        <v>2938</v>
      </c>
      <c r="C648" s="1795" t="s">
        <v>1735</v>
      </c>
    </row>
    <row r="649" spans="1:3" x14ac:dyDescent="0.35">
      <c r="A649" s="869">
        <v>808</v>
      </c>
      <c r="B649" s="1796" t="s">
        <v>2939</v>
      </c>
      <c r="C649" s="1796" t="s">
        <v>1786</v>
      </c>
    </row>
    <row r="650" spans="1:3" x14ac:dyDescent="0.35">
      <c r="A650" s="869">
        <v>809</v>
      </c>
      <c r="B650" s="1794" t="s">
        <v>2940</v>
      </c>
      <c r="C650" s="1794" t="s">
        <v>1238</v>
      </c>
    </row>
    <row r="651" spans="1:3" ht="30" x14ac:dyDescent="0.35">
      <c r="A651" s="869">
        <v>810</v>
      </c>
      <c r="B651" s="1795" t="s">
        <v>2941</v>
      </c>
      <c r="C651" s="1795" t="s">
        <v>1498</v>
      </c>
    </row>
    <row r="652" spans="1:3" x14ac:dyDescent="0.35">
      <c r="A652" s="869">
        <v>811</v>
      </c>
      <c r="B652" s="1796" t="s">
        <v>2942</v>
      </c>
      <c r="C652" s="1796" t="s">
        <v>1801</v>
      </c>
    </row>
    <row r="653" spans="1:3" x14ac:dyDescent="0.35">
      <c r="A653" s="869">
        <v>812</v>
      </c>
      <c r="B653" s="899" t="s">
        <v>2943</v>
      </c>
      <c r="C653" s="899" t="s">
        <v>1241</v>
      </c>
    </row>
    <row r="654" spans="1:3" x14ac:dyDescent="0.35">
      <c r="A654" s="869">
        <v>813</v>
      </c>
      <c r="B654" s="1793" t="s">
        <v>2944</v>
      </c>
      <c r="C654" s="1793" t="s">
        <v>1240</v>
      </c>
    </row>
    <row r="655" spans="1:3" x14ac:dyDescent="0.35">
      <c r="A655" s="869">
        <v>814</v>
      </c>
      <c r="B655" s="1793" t="s">
        <v>2945</v>
      </c>
      <c r="C655" s="1793" t="s">
        <v>1239</v>
      </c>
    </row>
    <row r="656" spans="1:3" x14ac:dyDescent="0.35">
      <c r="A656" s="869">
        <v>815</v>
      </c>
      <c r="B656" s="899" t="s">
        <v>2946</v>
      </c>
      <c r="C656" s="899" t="s">
        <v>1242</v>
      </c>
    </row>
    <row r="657" spans="1:3" ht="20" x14ac:dyDescent="0.35">
      <c r="A657" s="869">
        <v>816</v>
      </c>
      <c r="B657" s="1795" t="s">
        <v>2947</v>
      </c>
      <c r="C657" s="1795" t="s">
        <v>1607</v>
      </c>
    </row>
    <row r="658" spans="1:3" x14ac:dyDescent="0.35">
      <c r="A658" s="869">
        <v>818</v>
      </c>
      <c r="B658" s="898" t="s">
        <v>2893</v>
      </c>
      <c r="C658" s="898" t="s">
        <v>1660</v>
      </c>
    </row>
    <row r="659" spans="1:3" ht="15" thickBot="1" x14ac:dyDescent="0.4">
      <c r="A659" s="869">
        <v>819</v>
      </c>
      <c r="B659" s="1797" t="s">
        <v>2948</v>
      </c>
      <c r="C659" s="1797" t="s">
        <v>1246</v>
      </c>
    </row>
    <row r="660" spans="1:3" ht="26" x14ac:dyDescent="0.35">
      <c r="A660" s="869">
        <v>820</v>
      </c>
      <c r="B660" s="850" t="s">
        <v>745</v>
      </c>
      <c r="C660" s="850" t="s">
        <v>641</v>
      </c>
    </row>
    <row r="661" spans="1:3" ht="36" x14ac:dyDescent="0.35">
      <c r="A661" s="869">
        <v>821</v>
      </c>
      <c r="B661" s="812" t="s">
        <v>2949</v>
      </c>
      <c r="C661" s="812" t="s">
        <v>746</v>
      </c>
    </row>
    <row r="662" spans="1:3" ht="26" x14ac:dyDescent="0.35">
      <c r="A662" s="869">
        <v>822</v>
      </c>
      <c r="B662" s="1809" t="s">
        <v>2950</v>
      </c>
      <c r="C662" s="1809" t="s">
        <v>1593</v>
      </c>
    </row>
    <row r="663" spans="1:3" ht="20" x14ac:dyDescent="0.35">
      <c r="A663" s="869">
        <v>823</v>
      </c>
      <c r="B663" s="810" t="s">
        <v>2951</v>
      </c>
      <c r="C663" s="810" t="s">
        <v>1293</v>
      </c>
    </row>
    <row r="664" spans="1:3" x14ac:dyDescent="0.35">
      <c r="A664" s="869">
        <v>826</v>
      </c>
      <c r="B664" s="898" t="s">
        <v>2952</v>
      </c>
      <c r="C664" s="898" t="s">
        <v>1472</v>
      </c>
    </row>
    <row r="665" spans="1:3" x14ac:dyDescent="0.35">
      <c r="A665" s="869">
        <v>828</v>
      </c>
      <c r="B665" s="817" t="s">
        <v>2953</v>
      </c>
      <c r="C665" s="817" t="s">
        <v>1000</v>
      </c>
    </row>
    <row r="666" spans="1:3" ht="26" x14ac:dyDescent="0.35">
      <c r="A666" s="869">
        <v>829</v>
      </c>
      <c r="B666" s="813" t="s">
        <v>2954</v>
      </c>
      <c r="C666" s="813" t="s">
        <v>333</v>
      </c>
    </row>
    <row r="667" spans="1:3" ht="20" x14ac:dyDescent="0.35">
      <c r="A667" s="869">
        <v>830</v>
      </c>
      <c r="B667" s="810" t="s">
        <v>2955</v>
      </c>
      <c r="C667" s="810" t="s">
        <v>1005</v>
      </c>
    </row>
    <row r="668" spans="1:3" ht="20" x14ac:dyDescent="0.35">
      <c r="A668" s="869">
        <v>831</v>
      </c>
      <c r="B668" s="810" t="s">
        <v>2956</v>
      </c>
      <c r="C668" s="810" t="s">
        <v>1007</v>
      </c>
    </row>
    <row r="669" spans="1:3" x14ac:dyDescent="0.35">
      <c r="A669" s="869">
        <v>832</v>
      </c>
      <c r="B669" s="810" t="s">
        <v>2957</v>
      </c>
      <c r="C669" s="810" t="s">
        <v>1094</v>
      </c>
    </row>
    <row r="670" spans="1:3" ht="20" x14ac:dyDescent="0.35">
      <c r="A670" s="869">
        <v>833</v>
      </c>
      <c r="B670" s="810" t="s">
        <v>2958</v>
      </c>
      <c r="C670" s="810" t="s">
        <v>1338</v>
      </c>
    </row>
    <row r="671" spans="1:3" ht="20" x14ac:dyDescent="0.35">
      <c r="A671" s="869">
        <v>834</v>
      </c>
      <c r="B671" s="810" t="s">
        <v>2959</v>
      </c>
      <c r="C671" s="810" t="s">
        <v>35</v>
      </c>
    </row>
    <row r="672" spans="1:3" x14ac:dyDescent="0.35">
      <c r="A672" s="869">
        <v>836</v>
      </c>
      <c r="B672" s="815" t="s">
        <v>2960</v>
      </c>
      <c r="C672" s="815" t="s">
        <v>530</v>
      </c>
    </row>
    <row r="673" spans="1:3" x14ac:dyDescent="0.35">
      <c r="A673" s="869">
        <v>837</v>
      </c>
      <c r="B673" s="815" t="s">
        <v>2961</v>
      </c>
      <c r="C673" s="815" t="s">
        <v>533</v>
      </c>
    </row>
    <row r="674" spans="1:3" x14ac:dyDescent="0.35">
      <c r="A674" s="869">
        <v>838</v>
      </c>
      <c r="B674" s="815" t="s">
        <v>2962</v>
      </c>
      <c r="C674" s="815" t="s">
        <v>1337</v>
      </c>
    </row>
    <row r="675" spans="1:3" x14ac:dyDescent="0.35">
      <c r="A675" s="869">
        <v>839</v>
      </c>
      <c r="B675" s="813" t="s">
        <v>2963</v>
      </c>
      <c r="C675" s="813" t="s">
        <v>1627</v>
      </c>
    </row>
    <row r="676" spans="1:3" x14ac:dyDescent="0.35">
      <c r="A676" s="869">
        <v>840</v>
      </c>
      <c r="B676" s="1794" t="s">
        <v>2964</v>
      </c>
      <c r="C676" s="1794" t="s">
        <v>1802</v>
      </c>
    </row>
    <row r="677" spans="1:3" x14ac:dyDescent="0.35">
      <c r="A677" s="869">
        <v>841</v>
      </c>
      <c r="B677" s="1627" t="s">
        <v>2965</v>
      </c>
      <c r="C677" s="1627" t="s">
        <v>1389</v>
      </c>
    </row>
    <row r="678" spans="1:3" ht="40" x14ac:dyDescent="0.35">
      <c r="A678" s="869">
        <v>842</v>
      </c>
      <c r="B678" s="1795" t="s">
        <v>2966</v>
      </c>
      <c r="C678" s="1795" t="s">
        <v>1390</v>
      </c>
    </row>
    <row r="679" spans="1:3" ht="40" x14ac:dyDescent="0.35">
      <c r="A679" s="869">
        <v>843</v>
      </c>
      <c r="B679" s="1795" t="s">
        <v>2967</v>
      </c>
      <c r="C679" s="1795" t="s">
        <v>1738</v>
      </c>
    </row>
    <row r="680" spans="1:3" ht="20" x14ac:dyDescent="0.35">
      <c r="A680" s="869">
        <v>844</v>
      </c>
      <c r="B680" s="1795" t="s">
        <v>2968</v>
      </c>
      <c r="C680" s="1795" t="s">
        <v>1636</v>
      </c>
    </row>
    <row r="681" spans="1:3" ht="40" x14ac:dyDescent="0.35">
      <c r="A681" s="869">
        <v>845</v>
      </c>
      <c r="B681" s="1795" t="s">
        <v>2969</v>
      </c>
      <c r="C681" s="1795" t="s">
        <v>1741</v>
      </c>
    </row>
    <row r="682" spans="1:3" ht="30" x14ac:dyDescent="0.35">
      <c r="A682" s="869">
        <v>846</v>
      </c>
      <c r="B682" s="1795" t="s">
        <v>2970</v>
      </c>
      <c r="C682" s="1795" t="s">
        <v>1743</v>
      </c>
    </row>
    <row r="683" spans="1:3" ht="20" x14ac:dyDescent="0.35">
      <c r="A683" s="869">
        <v>847</v>
      </c>
      <c r="B683" s="1795" t="s">
        <v>2971</v>
      </c>
      <c r="C683" s="1795" t="s">
        <v>1742</v>
      </c>
    </row>
    <row r="684" spans="1:3" ht="40" x14ac:dyDescent="0.35">
      <c r="A684" s="869">
        <v>848</v>
      </c>
      <c r="B684" s="1795" t="s">
        <v>2972</v>
      </c>
      <c r="C684" s="1795" t="s">
        <v>1638</v>
      </c>
    </row>
    <row r="685" spans="1:3" ht="20" x14ac:dyDescent="0.35">
      <c r="A685" s="869">
        <v>849</v>
      </c>
      <c r="B685" s="1795" t="s">
        <v>2973</v>
      </c>
      <c r="C685" s="1795" t="s">
        <v>1637</v>
      </c>
    </row>
    <row r="686" spans="1:3" x14ac:dyDescent="0.35">
      <c r="A686" s="869">
        <v>850</v>
      </c>
      <c r="B686" s="1795" t="s">
        <v>2974</v>
      </c>
      <c r="C686" s="1795" t="s">
        <v>1744</v>
      </c>
    </row>
    <row r="687" spans="1:3" x14ac:dyDescent="0.35">
      <c r="A687" s="869">
        <v>851</v>
      </c>
      <c r="B687" s="1797" t="s">
        <v>2975</v>
      </c>
      <c r="C687" s="1797" t="s">
        <v>1633</v>
      </c>
    </row>
    <row r="688" spans="1:3" x14ac:dyDescent="0.35">
      <c r="A688" s="869">
        <v>852</v>
      </c>
      <c r="B688" s="1797" t="s">
        <v>2976</v>
      </c>
      <c r="C688" s="1797" t="s">
        <v>1631</v>
      </c>
    </row>
    <row r="689" spans="1:3" x14ac:dyDescent="0.35">
      <c r="A689" s="869">
        <v>853</v>
      </c>
      <c r="B689" s="1797" t="s">
        <v>2977</v>
      </c>
      <c r="C689" s="1797" t="s">
        <v>1632</v>
      </c>
    </row>
    <row r="690" spans="1:3" x14ac:dyDescent="0.35">
      <c r="A690" s="869">
        <v>854</v>
      </c>
      <c r="B690" s="1627" t="s">
        <v>2978</v>
      </c>
      <c r="C690" s="1627" t="s">
        <v>1676</v>
      </c>
    </row>
    <row r="691" spans="1:3" ht="30" x14ac:dyDescent="0.35">
      <c r="A691" s="869">
        <v>855</v>
      </c>
      <c r="B691" s="1627" t="s">
        <v>2979</v>
      </c>
      <c r="C691" s="1627" t="s">
        <v>1745</v>
      </c>
    </row>
    <row r="692" spans="1:3" x14ac:dyDescent="0.35">
      <c r="A692" s="869">
        <v>856</v>
      </c>
      <c r="B692" s="1794" t="s">
        <v>2980</v>
      </c>
      <c r="C692" s="1794" t="s">
        <v>605</v>
      </c>
    </row>
    <row r="693" spans="1:3" x14ac:dyDescent="0.35">
      <c r="A693" s="869">
        <v>857</v>
      </c>
      <c r="B693" s="1795" t="s">
        <v>2981</v>
      </c>
      <c r="C693" s="1795" t="s">
        <v>1453</v>
      </c>
    </row>
    <row r="694" spans="1:3" ht="60" x14ac:dyDescent="0.35">
      <c r="A694" s="869">
        <v>858</v>
      </c>
      <c r="B694" s="1795" t="s">
        <v>2982</v>
      </c>
      <c r="C694" s="1795" t="s">
        <v>1746</v>
      </c>
    </row>
    <row r="695" spans="1:3" ht="30" x14ac:dyDescent="0.35">
      <c r="A695" s="869">
        <v>859</v>
      </c>
      <c r="B695" s="1795" t="s">
        <v>2983</v>
      </c>
      <c r="C695" s="1795" t="s">
        <v>1747</v>
      </c>
    </row>
    <row r="696" spans="1:3" x14ac:dyDescent="0.35">
      <c r="A696" s="869">
        <v>860</v>
      </c>
      <c r="B696" s="1795" t="s">
        <v>2984</v>
      </c>
      <c r="C696" s="1795" t="s">
        <v>1630</v>
      </c>
    </row>
    <row r="697" spans="1:3" ht="20" x14ac:dyDescent="0.35">
      <c r="A697" s="869">
        <v>861</v>
      </c>
      <c r="B697" s="1795" t="s">
        <v>2985</v>
      </c>
      <c r="C697" s="1795" t="s">
        <v>1470</v>
      </c>
    </row>
    <row r="698" spans="1:3" x14ac:dyDescent="0.35">
      <c r="A698" s="869">
        <v>862</v>
      </c>
      <c r="B698" s="1795" t="s">
        <v>2986</v>
      </c>
      <c r="C698" s="1795" t="s">
        <v>1452</v>
      </c>
    </row>
    <row r="699" spans="1:3" ht="20" x14ac:dyDescent="0.35">
      <c r="A699" s="869">
        <v>863</v>
      </c>
      <c r="B699" s="1627" t="s">
        <v>2987</v>
      </c>
      <c r="C699" s="1627" t="s">
        <v>1830</v>
      </c>
    </row>
    <row r="700" spans="1:3" ht="20" x14ac:dyDescent="0.35">
      <c r="A700" s="869">
        <v>864</v>
      </c>
      <c r="B700" s="1795" t="s">
        <v>2988</v>
      </c>
      <c r="C700" s="1795" t="s">
        <v>1726</v>
      </c>
    </row>
    <row r="701" spans="1:3" x14ac:dyDescent="0.35">
      <c r="A701" s="869">
        <v>865</v>
      </c>
      <c r="B701" s="1793" t="s">
        <v>2989</v>
      </c>
      <c r="C701" s="1793" t="s">
        <v>1454</v>
      </c>
    </row>
    <row r="702" spans="1:3" x14ac:dyDescent="0.35">
      <c r="A702" s="869">
        <v>866</v>
      </c>
      <c r="B702" s="1793" t="s">
        <v>2990</v>
      </c>
      <c r="C702" s="1793" t="s">
        <v>1455</v>
      </c>
    </row>
    <row r="703" spans="1:3" x14ac:dyDescent="0.35">
      <c r="A703" s="869">
        <v>867</v>
      </c>
      <c r="B703" s="1797" t="s">
        <v>2991</v>
      </c>
      <c r="C703" s="1797" t="s">
        <v>1640</v>
      </c>
    </row>
    <row r="704" spans="1:3" x14ac:dyDescent="0.35">
      <c r="A704" s="869">
        <v>868</v>
      </c>
      <c r="B704" s="1793" t="s">
        <v>2992</v>
      </c>
      <c r="C704" s="1793" t="s">
        <v>1456</v>
      </c>
    </row>
    <row r="705" spans="1:3" x14ac:dyDescent="0.35">
      <c r="A705" s="869">
        <v>869</v>
      </c>
      <c r="B705" s="1797" t="s">
        <v>2993</v>
      </c>
      <c r="C705" s="1797" t="s">
        <v>1639</v>
      </c>
    </row>
    <row r="706" spans="1:3" x14ac:dyDescent="0.35">
      <c r="A706" s="869">
        <v>870</v>
      </c>
      <c r="B706" s="1793" t="s">
        <v>2994</v>
      </c>
      <c r="C706" s="1793" t="s">
        <v>1457</v>
      </c>
    </row>
    <row r="707" spans="1:3" x14ac:dyDescent="0.35">
      <c r="A707" s="869">
        <v>871</v>
      </c>
      <c r="B707" s="1797" t="s">
        <v>2995</v>
      </c>
      <c r="C707" s="1797" t="s">
        <v>1641</v>
      </c>
    </row>
    <row r="708" spans="1:3" x14ac:dyDescent="0.35">
      <c r="A708" s="869">
        <v>872</v>
      </c>
      <c r="B708" s="1793" t="s">
        <v>2996</v>
      </c>
      <c r="C708" s="1793" t="s">
        <v>1458</v>
      </c>
    </row>
    <row r="709" spans="1:3" x14ac:dyDescent="0.35">
      <c r="A709" s="869">
        <v>873</v>
      </c>
      <c r="B709" s="1797" t="s">
        <v>2997</v>
      </c>
      <c r="C709" s="1797" t="s">
        <v>1642</v>
      </c>
    </row>
    <row r="710" spans="1:3" x14ac:dyDescent="0.35">
      <c r="A710" s="869">
        <v>874</v>
      </c>
      <c r="B710" s="1797" t="s">
        <v>2998</v>
      </c>
      <c r="C710" s="1797" t="s">
        <v>1265</v>
      </c>
    </row>
    <row r="711" spans="1:3" x14ac:dyDescent="0.35">
      <c r="A711" s="869">
        <v>880</v>
      </c>
      <c r="B711" s="1626" t="s">
        <v>2999</v>
      </c>
      <c r="C711" s="1626" t="s">
        <v>1471</v>
      </c>
    </row>
    <row r="712" spans="1:3" x14ac:dyDescent="0.35">
      <c r="A712" s="869">
        <v>884</v>
      </c>
      <c r="B712" s="810" t="s">
        <v>3000</v>
      </c>
      <c r="C712" s="810" t="s">
        <v>1095</v>
      </c>
    </row>
    <row r="713" spans="1:3" x14ac:dyDescent="0.35">
      <c r="A713" s="869">
        <v>885</v>
      </c>
      <c r="B713" s="816" t="s">
        <v>3001</v>
      </c>
      <c r="C713" s="816" t="s">
        <v>34</v>
      </c>
    </row>
    <row r="714" spans="1:3" ht="40" x14ac:dyDescent="0.35">
      <c r="A714" s="869">
        <v>886</v>
      </c>
      <c r="B714" s="1627" t="s">
        <v>3002</v>
      </c>
      <c r="C714" s="1627" t="s">
        <v>1474</v>
      </c>
    </row>
    <row r="715" spans="1:3" ht="20" x14ac:dyDescent="0.35">
      <c r="A715" s="869">
        <v>887</v>
      </c>
      <c r="B715" s="1627" t="s">
        <v>3003</v>
      </c>
      <c r="C715" s="1627" t="s">
        <v>1748</v>
      </c>
    </row>
    <row r="716" spans="1:3" x14ac:dyDescent="0.35">
      <c r="A716" s="869">
        <v>888</v>
      </c>
      <c r="B716" s="1795" t="s">
        <v>3004</v>
      </c>
      <c r="C716" s="1795" t="s">
        <v>1749</v>
      </c>
    </row>
    <row r="717" spans="1:3" ht="20" x14ac:dyDescent="0.35">
      <c r="A717" s="869">
        <v>889</v>
      </c>
      <c r="B717" s="1795" t="s">
        <v>3005</v>
      </c>
      <c r="C717" s="1795" t="s">
        <v>1643</v>
      </c>
    </row>
    <row r="718" spans="1:3" x14ac:dyDescent="0.35">
      <c r="A718" s="869">
        <v>890</v>
      </c>
      <c r="B718" s="1797" t="s">
        <v>3006</v>
      </c>
      <c r="C718" s="1797" t="s">
        <v>1750</v>
      </c>
    </row>
    <row r="719" spans="1:3" x14ac:dyDescent="0.35">
      <c r="A719" s="869">
        <v>891</v>
      </c>
      <c r="B719" s="1812" t="s">
        <v>3007</v>
      </c>
      <c r="C719" s="1812" t="s">
        <v>1785</v>
      </c>
    </row>
    <row r="720" spans="1:3" x14ac:dyDescent="0.35">
      <c r="A720" s="869">
        <v>892</v>
      </c>
      <c r="B720" s="1797" t="s">
        <v>3008</v>
      </c>
      <c r="C720" s="1797" t="s">
        <v>1703</v>
      </c>
    </row>
    <row r="721" spans="1:3" ht="20" x14ac:dyDescent="0.35">
      <c r="A721" s="869">
        <v>893</v>
      </c>
      <c r="B721" s="1795" t="s">
        <v>3009</v>
      </c>
      <c r="C721" s="1795" t="s">
        <v>1485</v>
      </c>
    </row>
    <row r="722" spans="1:3" x14ac:dyDescent="0.35">
      <c r="A722" s="869">
        <v>896</v>
      </c>
      <c r="B722" s="898" t="s">
        <v>3010</v>
      </c>
      <c r="C722" s="898" t="s">
        <v>1634</v>
      </c>
    </row>
    <row r="723" spans="1:3" ht="20" x14ac:dyDescent="0.35">
      <c r="A723" s="869">
        <v>897</v>
      </c>
      <c r="B723" s="810" t="s">
        <v>3011</v>
      </c>
      <c r="C723" s="810" t="s">
        <v>1033</v>
      </c>
    </row>
    <row r="724" spans="1:3" ht="15" thickBot="1" x14ac:dyDescent="0.4">
      <c r="A724" s="869">
        <v>898</v>
      </c>
      <c r="B724" s="197" t="s">
        <v>3012</v>
      </c>
      <c r="C724" s="197" t="s">
        <v>1034</v>
      </c>
    </row>
    <row r="725" spans="1:3" ht="26" x14ac:dyDescent="0.35">
      <c r="A725" s="869">
        <v>900</v>
      </c>
      <c r="B725" s="850" t="s">
        <v>747</v>
      </c>
      <c r="C725" s="850" t="s">
        <v>642</v>
      </c>
    </row>
    <row r="726" spans="1:3" ht="36" x14ac:dyDescent="0.35">
      <c r="A726" s="869">
        <v>901</v>
      </c>
      <c r="B726" s="812" t="s">
        <v>3013</v>
      </c>
      <c r="C726" s="812" t="s">
        <v>748</v>
      </c>
    </row>
    <row r="727" spans="1:3" ht="15.5" x14ac:dyDescent="0.35">
      <c r="A727" s="869">
        <v>902</v>
      </c>
      <c r="B727" s="811" t="s">
        <v>3014</v>
      </c>
      <c r="C727" s="811" t="s">
        <v>88</v>
      </c>
    </row>
    <row r="728" spans="1:3" ht="28" x14ac:dyDescent="0.35">
      <c r="A728" s="869">
        <v>903</v>
      </c>
      <c r="B728" s="820" t="s">
        <v>3015</v>
      </c>
      <c r="C728" s="820" t="s">
        <v>89</v>
      </c>
    </row>
    <row r="729" spans="1:3" ht="20" x14ac:dyDescent="0.35">
      <c r="A729" s="869">
        <v>904</v>
      </c>
      <c r="B729" s="810" t="s">
        <v>3016</v>
      </c>
      <c r="C729" s="810" t="s">
        <v>1356</v>
      </c>
    </row>
    <row r="730" spans="1:3" ht="20" x14ac:dyDescent="0.35">
      <c r="A730" s="869">
        <v>905</v>
      </c>
      <c r="B730" s="810" t="s">
        <v>3017</v>
      </c>
      <c r="C730" s="810" t="s">
        <v>1167</v>
      </c>
    </row>
    <row r="731" spans="1:3" ht="20" x14ac:dyDescent="0.35">
      <c r="A731" s="869">
        <v>906</v>
      </c>
      <c r="B731" s="810" t="s">
        <v>3018</v>
      </c>
      <c r="C731" s="810" t="s">
        <v>137</v>
      </c>
    </row>
    <row r="732" spans="1:3" x14ac:dyDescent="0.35">
      <c r="A732" s="869">
        <v>907</v>
      </c>
      <c r="B732" s="813" t="s">
        <v>3019</v>
      </c>
      <c r="C732" s="813" t="s">
        <v>107</v>
      </c>
    </row>
    <row r="733" spans="1:3" ht="20" x14ac:dyDescent="0.35">
      <c r="A733" s="869">
        <v>908</v>
      </c>
      <c r="B733" s="829" t="s">
        <v>3020</v>
      </c>
      <c r="C733" s="829" t="s">
        <v>335</v>
      </c>
    </row>
    <row r="734" spans="1:3" x14ac:dyDescent="0.35">
      <c r="A734" s="869">
        <v>909</v>
      </c>
      <c r="B734" s="813" t="s">
        <v>3021</v>
      </c>
      <c r="C734" s="813" t="s">
        <v>1831</v>
      </c>
    </row>
    <row r="735" spans="1:3" x14ac:dyDescent="0.35">
      <c r="A735" s="869">
        <v>910</v>
      </c>
      <c r="B735" s="810" t="s">
        <v>3022</v>
      </c>
      <c r="C735" s="810" t="s">
        <v>90</v>
      </c>
    </row>
    <row r="736" spans="1:3" x14ac:dyDescent="0.35">
      <c r="A736" s="869">
        <v>911</v>
      </c>
      <c r="B736" s="810" t="s">
        <v>3023</v>
      </c>
      <c r="C736" s="810" t="s">
        <v>1357</v>
      </c>
    </row>
    <row r="737" spans="1:3" x14ac:dyDescent="0.35">
      <c r="A737" s="869">
        <v>912</v>
      </c>
      <c r="B737" s="810" t="s">
        <v>3024</v>
      </c>
      <c r="C737" s="810" t="s">
        <v>91</v>
      </c>
    </row>
    <row r="738" spans="1:3" x14ac:dyDescent="0.35">
      <c r="A738" s="869">
        <v>913</v>
      </c>
      <c r="B738" s="810" t="s">
        <v>3025</v>
      </c>
      <c r="C738" s="810" t="s">
        <v>92</v>
      </c>
    </row>
    <row r="739" spans="1:3" x14ac:dyDescent="0.35">
      <c r="A739" s="869">
        <v>914</v>
      </c>
      <c r="B739" s="810" t="s">
        <v>3026</v>
      </c>
      <c r="C739" s="810" t="s">
        <v>93</v>
      </c>
    </row>
    <row r="740" spans="1:3" x14ac:dyDescent="0.35">
      <c r="A740" s="869">
        <v>915</v>
      </c>
      <c r="B740" s="810" t="s">
        <v>3027</v>
      </c>
      <c r="C740" s="810" t="s">
        <v>94</v>
      </c>
    </row>
    <row r="741" spans="1:3" x14ac:dyDescent="0.35">
      <c r="A741" s="869">
        <v>916</v>
      </c>
      <c r="B741" s="810" t="s">
        <v>3028</v>
      </c>
      <c r="C741" s="810" t="s">
        <v>1045</v>
      </c>
    </row>
    <row r="742" spans="1:3" ht="20" x14ac:dyDescent="0.35">
      <c r="A742" s="869">
        <v>917</v>
      </c>
      <c r="B742" s="809" t="s">
        <v>3029</v>
      </c>
      <c r="C742" s="809" t="s">
        <v>1375</v>
      </c>
    </row>
    <row r="743" spans="1:3" x14ac:dyDescent="0.35">
      <c r="A743" s="869">
        <v>918</v>
      </c>
      <c r="B743" s="24" t="s">
        <v>3030</v>
      </c>
      <c r="C743" s="24" t="s">
        <v>322</v>
      </c>
    </row>
    <row r="744" spans="1:3" x14ac:dyDescent="0.35">
      <c r="A744" s="869">
        <v>919</v>
      </c>
      <c r="B744" s="24" t="s">
        <v>3031</v>
      </c>
      <c r="C744" s="24" t="s">
        <v>323</v>
      </c>
    </row>
    <row r="745" spans="1:3" x14ac:dyDescent="0.35">
      <c r="A745" s="869">
        <v>920</v>
      </c>
      <c r="B745" s="24" t="s">
        <v>3032</v>
      </c>
      <c r="C745" s="24" t="s">
        <v>324</v>
      </c>
    </row>
    <row r="746" spans="1:3" x14ac:dyDescent="0.35">
      <c r="A746" s="869">
        <v>921</v>
      </c>
      <c r="B746" s="1921" t="s">
        <v>3033</v>
      </c>
      <c r="C746" s="846" t="s">
        <v>325</v>
      </c>
    </row>
    <row r="747" spans="1:3" x14ac:dyDescent="0.35">
      <c r="A747" s="869">
        <v>922</v>
      </c>
      <c r="B747" s="849" t="s">
        <v>3034</v>
      </c>
      <c r="C747" s="853" t="s">
        <v>557</v>
      </c>
    </row>
    <row r="748" spans="1:3" x14ac:dyDescent="0.35">
      <c r="A748" s="869">
        <v>923</v>
      </c>
      <c r="B748" s="836" t="s">
        <v>3035</v>
      </c>
      <c r="C748" s="841" t="s">
        <v>558</v>
      </c>
    </row>
    <row r="749" spans="1:3" x14ac:dyDescent="0.35">
      <c r="A749" s="869">
        <v>924</v>
      </c>
      <c r="B749" s="836" t="s">
        <v>559</v>
      </c>
      <c r="C749" s="841" t="s">
        <v>559</v>
      </c>
    </row>
    <row r="750" spans="1:3" x14ac:dyDescent="0.35">
      <c r="A750" s="869">
        <v>925</v>
      </c>
      <c r="B750" s="836" t="s">
        <v>3036</v>
      </c>
      <c r="C750" s="841" t="s">
        <v>405</v>
      </c>
    </row>
    <row r="751" spans="1:3" x14ac:dyDescent="0.35">
      <c r="A751" s="869">
        <v>926</v>
      </c>
      <c r="B751" s="836" t="s">
        <v>3037</v>
      </c>
      <c r="C751" s="841" t="s">
        <v>560</v>
      </c>
    </row>
    <row r="752" spans="1:3" x14ac:dyDescent="0.35">
      <c r="A752" s="869">
        <v>927</v>
      </c>
      <c r="B752" s="836" t="s">
        <v>3038</v>
      </c>
      <c r="C752" s="841" t="s">
        <v>561</v>
      </c>
    </row>
    <row r="753" spans="1:3" x14ac:dyDescent="0.35">
      <c r="A753" s="869">
        <v>928</v>
      </c>
      <c r="B753" s="836" t="s">
        <v>562</v>
      </c>
      <c r="C753" s="841" t="s">
        <v>562</v>
      </c>
    </row>
    <row r="754" spans="1:3" x14ac:dyDescent="0.35">
      <c r="A754" s="869">
        <v>929</v>
      </c>
      <c r="B754" s="836" t="s">
        <v>3039</v>
      </c>
      <c r="C754" s="841" t="s">
        <v>563</v>
      </c>
    </row>
    <row r="755" spans="1:3" x14ac:dyDescent="0.35">
      <c r="A755" s="869">
        <v>930</v>
      </c>
      <c r="B755" s="836" t="s">
        <v>3040</v>
      </c>
      <c r="C755" s="841" t="s">
        <v>407</v>
      </c>
    </row>
    <row r="756" spans="1:3" x14ac:dyDescent="0.35">
      <c r="A756" s="869">
        <v>931</v>
      </c>
      <c r="B756" s="836" t="s">
        <v>3041</v>
      </c>
      <c r="C756" s="841" t="s">
        <v>564</v>
      </c>
    </row>
    <row r="757" spans="1:3" x14ac:dyDescent="0.35">
      <c r="A757" s="869">
        <v>932</v>
      </c>
      <c r="B757" s="836" t="s">
        <v>3042</v>
      </c>
      <c r="C757" s="841" t="s">
        <v>272</v>
      </c>
    </row>
    <row r="758" spans="1:3" x14ac:dyDescent="0.35">
      <c r="A758" s="869">
        <v>933</v>
      </c>
      <c r="B758" s="836" t="s">
        <v>3043</v>
      </c>
      <c r="C758" s="841" t="s">
        <v>78</v>
      </c>
    </row>
    <row r="759" spans="1:3" x14ac:dyDescent="0.35">
      <c r="A759" s="869">
        <v>934</v>
      </c>
      <c r="B759" s="836" t="s">
        <v>3044</v>
      </c>
      <c r="C759" s="841" t="s">
        <v>408</v>
      </c>
    </row>
    <row r="760" spans="1:3" x14ac:dyDescent="0.35">
      <c r="A760" s="869">
        <v>935</v>
      </c>
      <c r="B760" s="836" t="s">
        <v>3045</v>
      </c>
      <c r="C760" s="841" t="s">
        <v>79</v>
      </c>
    </row>
    <row r="761" spans="1:3" x14ac:dyDescent="0.35">
      <c r="A761" s="869">
        <v>936</v>
      </c>
      <c r="B761" s="836" t="s">
        <v>3046</v>
      </c>
      <c r="C761" s="841" t="s">
        <v>80</v>
      </c>
    </row>
    <row r="762" spans="1:3" x14ac:dyDescent="0.35">
      <c r="A762" s="869">
        <v>937</v>
      </c>
      <c r="B762" s="836" t="s">
        <v>3047</v>
      </c>
      <c r="C762" s="841" t="s">
        <v>409</v>
      </c>
    </row>
    <row r="763" spans="1:3" x14ac:dyDescent="0.35">
      <c r="A763" s="869">
        <v>938</v>
      </c>
      <c r="B763" s="836" t="s">
        <v>3048</v>
      </c>
      <c r="C763" s="841" t="s">
        <v>81</v>
      </c>
    </row>
    <row r="764" spans="1:3" x14ac:dyDescent="0.35">
      <c r="A764" s="869">
        <v>939</v>
      </c>
      <c r="B764" s="836" t="s">
        <v>3049</v>
      </c>
      <c r="C764" s="841" t="s">
        <v>410</v>
      </c>
    </row>
    <row r="765" spans="1:3" x14ac:dyDescent="0.35">
      <c r="A765" s="869">
        <v>940</v>
      </c>
      <c r="B765" s="836" t="s">
        <v>3050</v>
      </c>
      <c r="C765" s="841" t="s">
        <v>82</v>
      </c>
    </row>
    <row r="766" spans="1:3" x14ac:dyDescent="0.35">
      <c r="A766" s="869">
        <v>941</v>
      </c>
      <c r="B766" s="836" t="s">
        <v>3051</v>
      </c>
      <c r="C766" s="841" t="s">
        <v>411</v>
      </c>
    </row>
    <row r="767" spans="1:3" x14ac:dyDescent="0.35">
      <c r="A767" s="869">
        <v>942</v>
      </c>
      <c r="B767" s="836" t="s">
        <v>3052</v>
      </c>
      <c r="C767" s="841" t="s">
        <v>1115</v>
      </c>
    </row>
    <row r="768" spans="1:3" x14ac:dyDescent="0.35">
      <c r="A768" s="869">
        <v>943</v>
      </c>
      <c r="B768" s="836" t="s">
        <v>3053</v>
      </c>
      <c r="C768" s="841" t="s">
        <v>83</v>
      </c>
    </row>
    <row r="769" spans="1:3" x14ac:dyDescent="0.35">
      <c r="A769" s="869">
        <v>944</v>
      </c>
      <c r="B769" s="836" t="s">
        <v>3054</v>
      </c>
      <c r="C769" s="841" t="s">
        <v>84</v>
      </c>
    </row>
    <row r="770" spans="1:3" x14ac:dyDescent="0.35">
      <c r="A770" s="869">
        <v>945</v>
      </c>
      <c r="B770" s="836" t="s">
        <v>3055</v>
      </c>
      <c r="C770" s="841" t="s">
        <v>1116</v>
      </c>
    </row>
    <row r="771" spans="1:3" x14ac:dyDescent="0.35">
      <c r="A771" s="869">
        <v>946</v>
      </c>
      <c r="B771" s="836" t="s">
        <v>3056</v>
      </c>
      <c r="C771" s="841" t="s">
        <v>1117</v>
      </c>
    </row>
    <row r="772" spans="1:3" x14ac:dyDescent="0.35">
      <c r="A772" s="869">
        <v>947</v>
      </c>
      <c r="B772" s="836" t="s">
        <v>3057</v>
      </c>
      <c r="C772" s="841" t="s">
        <v>1118</v>
      </c>
    </row>
    <row r="773" spans="1:3" x14ac:dyDescent="0.35">
      <c r="A773" s="869">
        <v>948</v>
      </c>
      <c r="B773" s="836" t="s">
        <v>3058</v>
      </c>
      <c r="C773" s="841" t="s">
        <v>1119</v>
      </c>
    </row>
    <row r="774" spans="1:3" x14ac:dyDescent="0.35">
      <c r="A774" s="869">
        <v>949</v>
      </c>
      <c r="B774" s="836" t="s">
        <v>3059</v>
      </c>
      <c r="C774" s="841" t="s">
        <v>1120</v>
      </c>
    </row>
    <row r="775" spans="1:3" x14ac:dyDescent="0.35">
      <c r="A775" s="869">
        <v>950</v>
      </c>
      <c r="B775" s="836" t="s">
        <v>3060</v>
      </c>
      <c r="C775" s="841" t="s">
        <v>1121</v>
      </c>
    </row>
    <row r="776" spans="1:3" x14ac:dyDescent="0.35">
      <c r="A776" s="869">
        <v>951</v>
      </c>
      <c r="B776" s="836" t="s">
        <v>3061</v>
      </c>
      <c r="C776" s="841" t="s">
        <v>1122</v>
      </c>
    </row>
    <row r="777" spans="1:3" x14ac:dyDescent="0.35">
      <c r="A777" s="869">
        <v>952</v>
      </c>
      <c r="B777" s="836" t="s">
        <v>3062</v>
      </c>
      <c r="C777" s="841" t="s">
        <v>1123</v>
      </c>
    </row>
    <row r="778" spans="1:3" x14ac:dyDescent="0.35">
      <c r="A778" s="869">
        <v>953</v>
      </c>
      <c r="B778" s="836" t="s">
        <v>3063</v>
      </c>
      <c r="C778" s="841" t="s">
        <v>1124</v>
      </c>
    </row>
    <row r="779" spans="1:3" x14ac:dyDescent="0.35">
      <c r="A779" s="869">
        <v>954</v>
      </c>
      <c r="B779" s="836" t="s">
        <v>3064</v>
      </c>
      <c r="C779" s="841" t="s">
        <v>1125</v>
      </c>
    </row>
    <row r="780" spans="1:3" x14ac:dyDescent="0.35">
      <c r="A780" s="869">
        <v>955</v>
      </c>
      <c r="B780" s="836" t="s">
        <v>3065</v>
      </c>
      <c r="C780" s="836" t="s">
        <v>1832</v>
      </c>
    </row>
    <row r="781" spans="1:3" x14ac:dyDescent="0.35">
      <c r="A781" s="869">
        <v>956</v>
      </c>
      <c r="B781" s="836" t="s">
        <v>3066</v>
      </c>
      <c r="C781" s="841" t="s">
        <v>1126</v>
      </c>
    </row>
    <row r="782" spans="1:3" x14ac:dyDescent="0.35">
      <c r="A782" s="869">
        <v>957</v>
      </c>
      <c r="B782" s="836" t="s">
        <v>3067</v>
      </c>
      <c r="C782" s="841" t="s">
        <v>1127</v>
      </c>
    </row>
    <row r="783" spans="1:3" x14ac:dyDescent="0.35">
      <c r="A783" s="869">
        <v>958</v>
      </c>
      <c r="B783" s="836" t="s">
        <v>3068</v>
      </c>
      <c r="C783" s="841" t="s">
        <v>1128</v>
      </c>
    </row>
    <row r="784" spans="1:3" x14ac:dyDescent="0.35">
      <c r="A784" s="869">
        <v>959</v>
      </c>
      <c r="B784" s="836" t="s">
        <v>3069</v>
      </c>
      <c r="C784" s="841" t="s">
        <v>1129</v>
      </c>
    </row>
    <row r="785" spans="1:3" x14ac:dyDescent="0.35">
      <c r="A785" s="869">
        <v>960</v>
      </c>
      <c r="B785" s="836" t="s">
        <v>3070</v>
      </c>
      <c r="C785" s="841" t="s">
        <v>539</v>
      </c>
    </row>
    <row r="786" spans="1:3" x14ac:dyDescent="0.35">
      <c r="A786" s="869">
        <v>961</v>
      </c>
      <c r="B786" s="836" t="s">
        <v>3071</v>
      </c>
      <c r="C786" s="841" t="s">
        <v>540</v>
      </c>
    </row>
    <row r="787" spans="1:3" x14ac:dyDescent="0.35">
      <c r="A787" s="869">
        <v>962</v>
      </c>
      <c r="B787" s="836" t="s">
        <v>3072</v>
      </c>
      <c r="C787" s="841" t="s">
        <v>541</v>
      </c>
    </row>
    <row r="788" spans="1:3" x14ac:dyDescent="0.35">
      <c r="A788" s="869">
        <v>963</v>
      </c>
      <c r="B788" s="836" t="s">
        <v>3073</v>
      </c>
      <c r="C788" s="841" t="s">
        <v>85</v>
      </c>
    </row>
    <row r="789" spans="1:3" x14ac:dyDescent="0.35">
      <c r="A789" s="869">
        <v>964</v>
      </c>
      <c r="B789" s="836" t="s">
        <v>3074</v>
      </c>
      <c r="C789" s="841" t="s">
        <v>86</v>
      </c>
    </row>
    <row r="790" spans="1:3" x14ac:dyDescent="0.35">
      <c r="A790" s="869">
        <v>965</v>
      </c>
      <c r="B790" s="836" t="s">
        <v>3075</v>
      </c>
      <c r="C790" s="841" t="s">
        <v>87</v>
      </c>
    </row>
    <row r="791" spans="1:3" x14ac:dyDescent="0.35">
      <c r="A791" s="869">
        <v>966</v>
      </c>
      <c r="B791" s="836" t="s">
        <v>3076</v>
      </c>
      <c r="C791" s="841" t="s">
        <v>542</v>
      </c>
    </row>
    <row r="792" spans="1:3" x14ac:dyDescent="0.35">
      <c r="A792" s="869">
        <v>967</v>
      </c>
      <c r="B792" s="836" t="s">
        <v>3077</v>
      </c>
      <c r="C792" s="841" t="s">
        <v>543</v>
      </c>
    </row>
    <row r="793" spans="1:3" x14ac:dyDescent="0.35">
      <c r="A793" s="869">
        <v>968</v>
      </c>
      <c r="B793" s="836" t="s">
        <v>3078</v>
      </c>
      <c r="C793" s="841" t="s">
        <v>544</v>
      </c>
    </row>
    <row r="794" spans="1:3" x14ac:dyDescent="0.35">
      <c r="A794" s="869">
        <v>969</v>
      </c>
      <c r="B794" s="836" t="s">
        <v>3079</v>
      </c>
      <c r="C794" s="841" t="s">
        <v>545</v>
      </c>
    </row>
    <row r="795" spans="1:3" x14ac:dyDescent="0.35">
      <c r="A795" s="869">
        <v>970</v>
      </c>
      <c r="B795" s="836" t="s">
        <v>3080</v>
      </c>
      <c r="C795" s="841" t="s">
        <v>547</v>
      </c>
    </row>
    <row r="796" spans="1:3" x14ac:dyDescent="0.35">
      <c r="A796" s="869">
        <v>971</v>
      </c>
      <c r="B796" s="836" t="s">
        <v>3081</v>
      </c>
      <c r="C796" s="841" t="s">
        <v>548</v>
      </c>
    </row>
    <row r="797" spans="1:3" x14ac:dyDescent="0.35">
      <c r="A797" s="869">
        <v>972</v>
      </c>
      <c r="B797" s="836" t="s">
        <v>3082</v>
      </c>
      <c r="C797" s="841" t="s">
        <v>549</v>
      </c>
    </row>
    <row r="798" spans="1:3" x14ac:dyDescent="0.35">
      <c r="A798" s="869">
        <v>973</v>
      </c>
      <c r="B798" s="836" t="s">
        <v>3083</v>
      </c>
      <c r="C798" s="841" t="s">
        <v>551</v>
      </c>
    </row>
    <row r="799" spans="1:3" x14ac:dyDescent="0.35">
      <c r="A799" s="869">
        <v>974</v>
      </c>
      <c r="B799" s="836" t="s">
        <v>3084</v>
      </c>
      <c r="C799" s="841" t="s">
        <v>552</v>
      </c>
    </row>
    <row r="800" spans="1:3" x14ac:dyDescent="0.35">
      <c r="A800" s="869">
        <v>975</v>
      </c>
      <c r="B800" s="836" t="s">
        <v>3085</v>
      </c>
      <c r="C800" s="841" t="s">
        <v>554</v>
      </c>
    </row>
    <row r="801" spans="1:3" x14ac:dyDescent="0.35">
      <c r="A801" s="869">
        <v>976</v>
      </c>
      <c r="B801" s="835" t="s">
        <v>3086</v>
      </c>
      <c r="C801" s="842" t="s">
        <v>556</v>
      </c>
    </row>
    <row r="802" spans="1:3" x14ac:dyDescent="0.35">
      <c r="A802" s="869">
        <v>977</v>
      </c>
      <c r="B802" s="813" t="s">
        <v>3087</v>
      </c>
      <c r="C802" s="813" t="s">
        <v>1046</v>
      </c>
    </row>
    <row r="803" spans="1:3" ht="20" x14ac:dyDescent="0.35">
      <c r="A803" s="869">
        <v>978</v>
      </c>
      <c r="B803" s="810" t="s">
        <v>3088</v>
      </c>
      <c r="C803" s="810" t="s">
        <v>1364</v>
      </c>
    </row>
    <row r="804" spans="1:3" ht="20" x14ac:dyDescent="0.35">
      <c r="A804" s="869">
        <v>979</v>
      </c>
      <c r="B804" s="809" t="s">
        <v>3089</v>
      </c>
      <c r="C804" s="809" t="s">
        <v>1716</v>
      </c>
    </row>
    <row r="805" spans="1:3" ht="20" x14ac:dyDescent="0.35">
      <c r="A805" s="869">
        <v>980</v>
      </c>
      <c r="B805" s="809" t="s">
        <v>3090</v>
      </c>
      <c r="C805" s="809" t="s">
        <v>1833</v>
      </c>
    </row>
    <row r="806" spans="1:3" ht="20" x14ac:dyDescent="0.35">
      <c r="A806" s="869">
        <v>981</v>
      </c>
      <c r="B806" s="810" t="s">
        <v>3091</v>
      </c>
      <c r="C806" s="810" t="s">
        <v>1365</v>
      </c>
    </row>
    <row r="807" spans="1:3" x14ac:dyDescent="0.35">
      <c r="A807" s="869">
        <v>982</v>
      </c>
      <c r="B807" s="1780" t="s">
        <v>3092</v>
      </c>
      <c r="C807" s="1780" t="s">
        <v>495</v>
      </c>
    </row>
    <row r="808" spans="1:3" ht="15.5" x14ac:dyDescent="0.35">
      <c r="A808" s="869">
        <v>983</v>
      </c>
      <c r="B808" s="811" t="s">
        <v>3093</v>
      </c>
      <c r="C808" s="811" t="s">
        <v>698</v>
      </c>
    </row>
    <row r="809" spans="1:3" ht="28" x14ac:dyDescent="0.35">
      <c r="A809" s="869">
        <v>984</v>
      </c>
      <c r="B809" s="820" t="s">
        <v>3094</v>
      </c>
      <c r="C809" s="820" t="s">
        <v>237</v>
      </c>
    </row>
    <row r="810" spans="1:3" ht="20" x14ac:dyDescent="0.35">
      <c r="A810" s="869">
        <v>985</v>
      </c>
      <c r="B810" s="810" t="s">
        <v>3095</v>
      </c>
      <c r="C810" s="810" t="s">
        <v>1358</v>
      </c>
    </row>
    <row r="811" spans="1:3" x14ac:dyDescent="0.35">
      <c r="A811" s="869">
        <v>986</v>
      </c>
      <c r="B811" s="813" t="s">
        <v>3096</v>
      </c>
      <c r="C811" s="813" t="s">
        <v>108</v>
      </c>
    </row>
    <row r="812" spans="1:3" ht="20" x14ac:dyDescent="0.35">
      <c r="A812" s="869">
        <v>987</v>
      </c>
      <c r="B812" s="810" t="s">
        <v>3097</v>
      </c>
      <c r="C812" s="810" t="s">
        <v>1048</v>
      </c>
    </row>
    <row r="813" spans="1:3" x14ac:dyDescent="0.35">
      <c r="A813" s="869">
        <v>988</v>
      </c>
      <c r="B813" s="1921" t="s">
        <v>3098</v>
      </c>
      <c r="C813" s="846" t="s">
        <v>109</v>
      </c>
    </row>
    <row r="814" spans="1:3" x14ac:dyDescent="0.35">
      <c r="A814" s="869">
        <v>989</v>
      </c>
      <c r="B814" s="813" t="s">
        <v>3099</v>
      </c>
      <c r="C814" s="813" t="s">
        <v>110</v>
      </c>
    </row>
    <row r="815" spans="1:3" x14ac:dyDescent="0.35">
      <c r="A815" s="869">
        <v>990</v>
      </c>
      <c r="B815" s="810" t="s">
        <v>3100</v>
      </c>
      <c r="C815" s="810" t="s">
        <v>1376</v>
      </c>
    </row>
    <row r="816" spans="1:3" x14ac:dyDescent="0.35">
      <c r="A816" s="869">
        <v>991</v>
      </c>
      <c r="B816" s="810" t="s">
        <v>3101</v>
      </c>
      <c r="C816" s="810" t="s">
        <v>2181</v>
      </c>
    </row>
    <row r="817" spans="1:3" ht="20" x14ac:dyDescent="0.35">
      <c r="A817" s="869">
        <v>992</v>
      </c>
      <c r="B817" s="810" t="s">
        <v>3102</v>
      </c>
      <c r="C817" s="810" t="s">
        <v>112</v>
      </c>
    </row>
    <row r="818" spans="1:3" x14ac:dyDescent="0.35">
      <c r="A818" s="869">
        <v>993</v>
      </c>
      <c r="B818" s="810" t="s">
        <v>3103</v>
      </c>
      <c r="C818" s="810" t="s">
        <v>2180</v>
      </c>
    </row>
    <row r="819" spans="1:3" ht="20" x14ac:dyDescent="0.35">
      <c r="A819" s="869">
        <v>994</v>
      </c>
      <c r="B819" s="810" t="s">
        <v>3104</v>
      </c>
      <c r="C819" s="810" t="s">
        <v>1075</v>
      </c>
    </row>
    <row r="820" spans="1:3" x14ac:dyDescent="0.35">
      <c r="A820" s="869">
        <v>995</v>
      </c>
      <c r="B820" s="834" t="s">
        <v>3105</v>
      </c>
      <c r="C820" s="839" t="s">
        <v>1076</v>
      </c>
    </row>
    <row r="821" spans="1:3" x14ac:dyDescent="0.35">
      <c r="A821" s="869">
        <v>996</v>
      </c>
      <c r="B821" s="835" t="s">
        <v>3106</v>
      </c>
      <c r="C821" s="842" t="s">
        <v>1077</v>
      </c>
    </row>
    <row r="822" spans="1:3" x14ac:dyDescent="0.35">
      <c r="A822" s="869">
        <v>997</v>
      </c>
      <c r="B822" s="813" t="s">
        <v>3107</v>
      </c>
      <c r="C822" s="813" t="s">
        <v>1078</v>
      </c>
    </row>
    <row r="823" spans="1:3" ht="20" x14ac:dyDescent="0.35">
      <c r="A823" s="869">
        <v>998</v>
      </c>
      <c r="B823" s="810" t="s">
        <v>3108</v>
      </c>
      <c r="C823" s="810" t="s">
        <v>1366</v>
      </c>
    </row>
    <row r="824" spans="1:3" x14ac:dyDescent="0.35">
      <c r="A824" s="869">
        <v>999</v>
      </c>
      <c r="B824" s="1921" t="s">
        <v>3109</v>
      </c>
      <c r="C824" s="846" t="s">
        <v>404</v>
      </c>
    </row>
    <row r="825" spans="1:3" ht="15.5" x14ac:dyDescent="0.35">
      <c r="A825" s="869">
        <v>1000</v>
      </c>
      <c r="B825" s="811" t="s">
        <v>699</v>
      </c>
      <c r="C825" s="811" t="s">
        <v>699</v>
      </c>
    </row>
    <row r="826" spans="1:3" ht="28" x14ac:dyDescent="0.35">
      <c r="A826" s="869">
        <v>1001</v>
      </c>
      <c r="B826" s="820" t="s">
        <v>3110</v>
      </c>
      <c r="C826" s="820" t="s">
        <v>1049</v>
      </c>
    </row>
    <row r="827" spans="1:3" ht="20" x14ac:dyDescent="0.35">
      <c r="A827" s="869">
        <v>1002</v>
      </c>
      <c r="B827" s="810" t="s">
        <v>3111</v>
      </c>
      <c r="C827" s="810" t="s">
        <v>1359</v>
      </c>
    </row>
    <row r="828" spans="1:3" x14ac:dyDescent="0.35">
      <c r="A828" s="869">
        <v>1003</v>
      </c>
      <c r="B828" s="813" t="s">
        <v>3112</v>
      </c>
      <c r="C828" s="813" t="s">
        <v>1047</v>
      </c>
    </row>
    <row r="829" spans="1:3" ht="20" x14ac:dyDescent="0.35">
      <c r="A829" s="869">
        <v>1004</v>
      </c>
      <c r="B829" s="810" t="s">
        <v>3113</v>
      </c>
      <c r="C829" s="810" t="s">
        <v>265</v>
      </c>
    </row>
    <row r="830" spans="1:3" x14ac:dyDescent="0.35">
      <c r="A830" s="869">
        <v>1005</v>
      </c>
      <c r="B830" s="1921" t="s">
        <v>3114</v>
      </c>
      <c r="C830" s="846" t="s">
        <v>266</v>
      </c>
    </row>
    <row r="831" spans="1:3" x14ac:dyDescent="0.35">
      <c r="A831" s="869">
        <v>1006</v>
      </c>
      <c r="B831" s="810" t="s">
        <v>3115</v>
      </c>
      <c r="C831" s="810" t="s">
        <v>1377</v>
      </c>
    </row>
    <row r="832" spans="1:3" x14ac:dyDescent="0.35">
      <c r="A832" s="869">
        <v>1007</v>
      </c>
      <c r="B832" s="810" t="s">
        <v>3116</v>
      </c>
      <c r="C832" s="810" t="s">
        <v>2183</v>
      </c>
    </row>
    <row r="833" spans="1:3" ht="20" x14ac:dyDescent="0.35">
      <c r="A833" s="869">
        <v>1008</v>
      </c>
      <c r="B833" s="810" t="s">
        <v>3117</v>
      </c>
      <c r="C833" s="810" t="s">
        <v>4</v>
      </c>
    </row>
    <row r="834" spans="1:3" x14ac:dyDescent="0.35">
      <c r="A834" s="869">
        <v>1009</v>
      </c>
      <c r="B834" s="810" t="s">
        <v>3118</v>
      </c>
      <c r="C834" s="810" t="s">
        <v>2184</v>
      </c>
    </row>
    <row r="835" spans="1:3" ht="20" x14ac:dyDescent="0.35">
      <c r="A835" s="869">
        <v>1010</v>
      </c>
      <c r="B835" s="810" t="s">
        <v>3119</v>
      </c>
      <c r="C835" s="810" t="s">
        <v>5</v>
      </c>
    </row>
    <row r="836" spans="1:3" x14ac:dyDescent="0.35">
      <c r="A836" s="869">
        <v>1011</v>
      </c>
      <c r="B836" s="813" t="s">
        <v>3120</v>
      </c>
      <c r="C836" s="813" t="s">
        <v>6</v>
      </c>
    </row>
    <row r="837" spans="1:3" ht="20" x14ac:dyDescent="0.35">
      <c r="A837" s="869">
        <v>1012</v>
      </c>
      <c r="B837" s="810" t="s">
        <v>3121</v>
      </c>
      <c r="C837" s="810" t="s">
        <v>1367</v>
      </c>
    </row>
    <row r="838" spans="1:3" x14ac:dyDescent="0.35">
      <c r="A838" s="869">
        <v>1013</v>
      </c>
      <c r="B838" s="1921" t="s">
        <v>3122</v>
      </c>
      <c r="C838" s="846" t="s">
        <v>756</v>
      </c>
    </row>
    <row r="839" spans="1:3" ht="15.5" x14ac:dyDescent="0.35">
      <c r="A839" s="869">
        <v>1014</v>
      </c>
      <c r="B839" s="811" t="s">
        <v>3123</v>
      </c>
      <c r="C839" s="811" t="s">
        <v>885</v>
      </c>
    </row>
    <row r="840" spans="1:3" ht="28" x14ac:dyDescent="0.35">
      <c r="A840" s="869">
        <v>1015</v>
      </c>
      <c r="B840" s="820" t="s">
        <v>3124</v>
      </c>
      <c r="C840" s="820" t="s">
        <v>105</v>
      </c>
    </row>
    <row r="841" spans="1:3" ht="20" x14ac:dyDescent="0.35">
      <c r="A841" s="869">
        <v>1016</v>
      </c>
      <c r="B841" s="810" t="s">
        <v>3125</v>
      </c>
      <c r="C841" s="810" t="s">
        <v>1371</v>
      </c>
    </row>
    <row r="842" spans="1:3" x14ac:dyDescent="0.35">
      <c r="A842" s="869">
        <v>1017</v>
      </c>
      <c r="B842" s="813" t="s">
        <v>3126</v>
      </c>
      <c r="C842" s="813" t="s">
        <v>757</v>
      </c>
    </row>
    <row r="843" spans="1:3" x14ac:dyDescent="0.35">
      <c r="A843" s="869">
        <v>1018</v>
      </c>
      <c r="B843" s="810" t="s">
        <v>3127</v>
      </c>
      <c r="C843" s="810" t="s">
        <v>758</v>
      </c>
    </row>
    <row r="844" spans="1:3" x14ac:dyDescent="0.35">
      <c r="A844" s="869">
        <v>1019</v>
      </c>
      <c r="B844" s="1921" t="s">
        <v>3128</v>
      </c>
      <c r="C844" s="846" t="s">
        <v>759</v>
      </c>
    </row>
    <row r="845" spans="1:3" x14ac:dyDescent="0.35">
      <c r="A845" s="869">
        <v>1020</v>
      </c>
      <c r="B845" s="813" t="s">
        <v>3129</v>
      </c>
      <c r="C845" s="813" t="s">
        <v>760</v>
      </c>
    </row>
    <row r="846" spans="1:3" x14ac:dyDescent="0.35">
      <c r="A846" s="869">
        <v>1021</v>
      </c>
      <c r="B846" s="810" t="s">
        <v>3130</v>
      </c>
      <c r="C846" s="810" t="s">
        <v>1372</v>
      </c>
    </row>
    <row r="847" spans="1:3" ht="20" x14ac:dyDescent="0.35">
      <c r="A847" s="869">
        <v>1022</v>
      </c>
      <c r="B847" s="810" t="s">
        <v>3131</v>
      </c>
      <c r="C847" s="810" t="s">
        <v>2182</v>
      </c>
    </row>
    <row r="848" spans="1:3" ht="20" x14ac:dyDescent="0.35">
      <c r="A848" s="869">
        <v>1023</v>
      </c>
      <c r="B848" s="810" t="s">
        <v>3132</v>
      </c>
      <c r="C848" s="810" t="s">
        <v>2185</v>
      </c>
    </row>
    <row r="849" spans="1:3" ht="20" x14ac:dyDescent="0.35">
      <c r="A849" s="869">
        <v>1024</v>
      </c>
      <c r="B849" s="810" t="s">
        <v>3133</v>
      </c>
      <c r="C849" s="810" t="s">
        <v>2186</v>
      </c>
    </row>
    <row r="850" spans="1:3" x14ac:dyDescent="0.35">
      <c r="A850" s="869">
        <v>1025</v>
      </c>
      <c r="B850" s="817" t="s">
        <v>3134</v>
      </c>
      <c r="C850" s="817" t="s">
        <v>761</v>
      </c>
    </row>
    <row r="851" spans="1:3" x14ac:dyDescent="0.35">
      <c r="A851" s="869">
        <v>1026</v>
      </c>
      <c r="B851" s="834" t="s">
        <v>3135</v>
      </c>
      <c r="C851" s="839" t="s">
        <v>894</v>
      </c>
    </row>
    <row r="852" spans="1:3" x14ac:dyDescent="0.35">
      <c r="A852" s="869">
        <v>1027</v>
      </c>
      <c r="B852" s="836" t="s">
        <v>3136</v>
      </c>
      <c r="C852" s="841" t="s">
        <v>762</v>
      </c>
    </row>
    <row r="853" spans="1:3" x14ac:dyDescent="0.35">
      <c r="A853" s="869">
        <v>1028</v>
      </c>
      <c r="B853" s="835" t="s">
        <v>3137</v>
      </c>
      <c r="C853" s="842" t="s">
        <v>934</v>
      </c>
    </row>
    <row r="854" spans="1:3" x14ac:dyDescent="0.35">
      <c r="A854" s="869">
        <v>1029</v>
      </c>
      <c r="B854" s="813" t="s">
        <v>3138</v>
      </c>
      <c r="C854" s="813" t="s">
        <v>935</v>
      </c>
    </row>
    <row r="855" spans="1:3" ht="20" x14ac:dyDescent="0.35">
      <c r="A855" s="869">
        <v>1030</v>
      </c>
      <c r="B855" s="810" t="s">
        <v>3139</v>
      </c>
      <c r="C855" s="810" t="s">
        <v>1373</v>
      </c>
    </row>
    <row r="856" spans="1:3" x14ac:dyDescent="0.35">
      <c r="A856" s="869">
        <v>1031</v>
      </c>
      <c r="B856" s="1921" t="s">
        <v>3140</v>
      </c>
      <c r="C856" s="846" t="s">
        <v>936</v>
      </c>
    </row>
    <row r="857" spans="1:3" x14ac:dyDescent="0.35">
      <c r="A857" s="869">
        <v>1032</v>
      </c>
      <c r="B857" s="820" t="s">
        <v>3141</v>
      </c>
      <c r="C857" s="820" t="s">
        <v>1502</v>
      </c>
    </row>
    <row r="858" spans="1:3" ht="20" x14ac:dyDescent="0.35">
      <c r="A858" s="869">
        <v>1033</v>
      </c>
      <c r="B858" s="810" t="s">
        <v>3142</v>
      </c>
      <c r="C858" s="810" t="s">
        <v>1503</v>
      </c>
    </row>
    <row r="859" spans="1:3" ht="20" x14ac:dyDescent="0.35">
      <c r="A859" s="869">
        <v>1034</v>
      </c>
      <c r="B859" s="810" t="s">
        <v>3143</v>
      </c>
      <c r="C859" s="810" t="s">
        <v>231</v>
      </c>
    </row>
    <row r="860" spans="1:3" ht="20" x14ac:dyDescent="0.35">
      <c r="A860" s="869">
        <v>1035</v>
      </c>
      <c r="B860" s="810" t="s">
        <v>3144</v>
      </c>
      <c r="C860" s="810" t="s">
        <v>1110</v>
      </c>
    </row>
    <row r="861" spans="1:3" x14ac:dyDescent="0.35">
      <c r="A861" s="869">
        <v>1036</v>
      </c>
      <c r="B861" s="813" t="s">
        <v>3145</v>
      </c>
      <c r="C861" s="813" t="s">
        <v>256</v>
      </c>
    </row>
    <row r="862" spans="1:3" ht="20" x14ac:dyDescent="0.35">
      <c r="A862" s="869">
        <v>1037</v>
      </c>
      <c r="B862" s="810" t="s">
        <v>3146</v>
      </c>
      <c r="C862" s="810" t="s">
        <v>1504</v>
      </c>
    </row>
    <row r="863" spans="1:3" x14ac:dyDescent="0.35">
      <c r="A863" s="869">
        <v>1038</v>
      </c>
      <c r="B863" s="817" t="s">
        <v>3147</v>
      </c>
      <c r="C863" s="817" t="s">
        <v>257</v>
      </c>
    </row>
    <row r="864" spans="1:3" ht="26" x14ac:dyDescent="0.35">
      <c r="A864" s="869">
        <v>1039</v>
      </c>
      <c r="B864" s="817" t="s">
        <v>3148</v>
      </c>
      <c r="C864" s="854" t="s">
        <v>258</v>
      </c>
    </row>
    <row r="865" spans="1:3" ht="26" x14ac:dyDescent="0.35">
      <c r="A865" s="869">
        <v>1040</v>
      </c>
      <c r="B865" s="813" t="s">
        <v>3149</v>
      </c>
      <c r="C865" s="813" t="s">
        <v>232</v>
      </c>
    </row>
    <row r="866" spans="1:3" x14ac:dyDescent="0.35">
      <c r="A866" s="869">
        <v>1041</v>
      </c>
      <c r="B866" s="810" t="s">
        <v>3150</v>
      </c>
      <c r="C866" s="810" t="s">
        <v>1505</v>
      </c>
    </row>
    <row r="867" spans="1:3" x14ac:dyDescent="0.35">
      <c r="A867" s="869">
        <v>1042</v>
      </c>
      <c r="B867" s="1921" t="s">
        <v>3151</v>
      </c>
      <c r="C867" s="846" t="s">
        <v>226</v>
      </c>
    </row>
    <row r="868" spans="1:3" ht="15.5" x14ac:dyDescent="0.35">
      <c r="A868" s="869">
        <v>1043</v>
      </c>
      <c r="B868" s="811" t="s">
        <v>3152</v>
      </c>
      <c r="C868" s="811" t="s">
        <v>496</v>
      </c>
    </row>
    <row r="869" spans="1:3" ht="28" x14ac:dyDescent="0.35">
      <c r="A869" s="869">
        <v>1044</v>
      </c>
      <c r="B869" s="820" t="s">
        <v>3153</v>
      </c>
      <c r="C869" s="820" t="s">
        <v>676</v>
      </c>
    </row>
    <row r="870" spans="1:3" ht="20" x14ac:dyDescent="0.35">
      <c r="A870" s="869">
        <v>1045</v>
      </c>
      <c r="B870" s="810" t="s">
        <v>3154</v>
      </c>
      <c r="C870" s="810" t="s">
        <v>1360</v>
      </c>
    </row>
    <row r="871" spans="1:3" ht="20" x14ac:dyDescent="0.35">
      <c r="A871" s="869">
        <v>1046</v>
      </c>
      <c r="B871" s="810" t="s">
        <v>3155</v>
      </c>
      <c r="C871" s="810" t="s">
        <v>1799</v>
      </c>
    </row>
    <row r="872" spans="1:3" x14ac:dyDescent="0.35">
      <c r="A872" s="869">
        <v>1047</v>
      </c>
      <c r="B872" s="810" t="s">
        <v>3156</v>
      </c>
      <c r="C872" s="810" t="s">
        <v>1374</v>
      </c>
    </row>
    <row r="873" spans="1:3" x14ac:dyDescent="0.35">
      <c r="A873" s="869">
        <v>1048</v>
      </c>
      <c r="B873" s="836" t="s">
        <v>3044</v>
      </c>
      <c r="C873" s="841" t="s">
        <v>917</v>
      </c>
    </row>
    <row r="874" spans="1:3" x14ac:dyDescent="0.35">
      <c r="A874" s="869">
        <v>1049</v>
      </c>
      <c r="B874" s="813" t="s">
        <v>3157</v>
      </c>
      <c r="C874" s="813" t="s">
        <v>918</v>
      </c>
    </row>
    <row r="875" spans="1:3" ht="20" x14ac:dyDescent="0.35">
      <c r="A875" s="869">
        <v>1050</v>
      </c>
      <c r="B875" s="810" t="s">
        <v>3158</v>
      </c>
      <c r="C875" s="810" t="s">
        <v>1368</v>
      </c>
    </row>
    <row r="876" spans="1:3" ht="20" x14ac:dyDescent="0.35">
      <c r="A876" s="869">
        <v>1051</v>
      </c>
      <c r="B876" s="809" t="s">
        <v>3159</v>
      </c>
      <c r="C876" s="809" t="s">
        <v>1145</v>
      </c>
    </row>
    <row r="877" spans="1:3" ht="20" x14ac:dyDescent="0.35">
      <c r="A877" s="869">
        <v>1052</v>
      </c>
      <c r="B877" s="809" t="s">
        <v>3160</v>
      </c>
      <c r="C877" s="809" t="s">
        <v>1834</v>
      </c>
    </row>
    <row r="878" spans="1:3" x14ac:dyDescent="0.35">
      <c r="A878" s="869">
        <v>1053</v>
      </c>
      <c r="B878" s="1780" t="s">
        <v>3161</v>
      </c>
      <c r="C878" s="1780" t="s">
        <v>919</v>
      </c>
    </row>
    <row r="879" spans="1:3" ht="28" x14ac:dyDescent="0.35">
      <c r="A879" s="869">
        <v>1054</v>
      </c>
      <c r="B879" s="820" t="s">
        <v>3162</v>
      </c>
      <c r="C879" s="820" t="s">
        <v>937</v>
      </c>
    </row>
    <row r="880" spans="1:3" ht="20" x14ac:dyDescent="0.35">
      <c r="A880" s="869">
        <v>1055</v>
      </c>
      <c r="B880" s="810" t="s">
        <v>3163</v>
      </c>
      <c r="C880" s="810" t="s">
        <v>1361</v>
      </c>
    </row>
    <row r="881" spans="1:3" x14ac:dyDescent="0.35">
      <c r="A881" s="869">
        <v>1056</v>
      </c>
      <c r="B881" s="809" t="s">
        <v>3164</v>
      </c>
      <c r="C881" s="809" t="s">
        <v>1835</v>
      </c>
    </row>
    <row r="882" spans="1:3" x14ac:dyDescent="0.35">
      <c r="A882" s="869">
        <v>1057</v>
      </c>
      <c r="B882" s="813" t="s">
        <v>3165</v>
      </c>
      <c r="C882" s="813" t="s">
        <v>665</v>
      </c>
    </row>
    <row r="883" spans="1:3" ht="20" x14ac:dyDescent="0.35">
      <c r="A883" s="869">
        <v>1059</v>
      </c>
      <c r="B883" s="809" t="s">
        <v>3166</v>
      </c>
      <c r="C883" s="809" t="s">
        <v>667</v>
      </c>
    </row>
    <row r="884" spans="1:3" x14ac:dyDescent="0.35">
      <c r="A884" s="869">
        <v>1060</v>
      </c>
      <c r="B884" s="1921" t="s">
        <v>3167</v>
      </c>
      <c r="C884" s="846" t="s">
        <v>938</v>
      </c>
    </row>
    <row r="885" spans="1:3" x14ac:dyDescent="0.35">
      <c r="A885" s="869">
        <v>1061</v>
      </c>
      <c r="B885" s="813" t="s">
        <v>3168</v>
      </c>
      <c r="C885" s="813" t="s">
        <v>663</v>
      </c>
    </row>
    <row r="886" spans="1:3" x14ac:dyDescent="0.35">
      <c r="A886" s="869">
        <v>1063</v>
      </c>
      <c r="B886" s="810" t="s">
        <v>3169</v>
      </c>
      <c r="C886" s="810" t="s">
        <v>661</v>
      </c>
    </row>
    <row r="887" spans="1:3" x14ac:dyDescent="0.35">
      <c r="A887" s="869">
        <v>1064</v>
      </c>
      <c r="B887" s="1921" t="s">
        <v>3170</v>
      </c>
      <c r="C887" s="846" t="s">
        <v>662</v>
      </c>
    </row>
    <row r="888" spans="1:3" x14ac:dyDescent="0.35">
      <c r="A888" s="869">
        <v>1065</v>
      </c>
      <c r="B888" s="813" t="s">
        <v>3171</v>
      </c>
      <c r="C888" s="813" t="s">
        <v>666</v>
      </c>
    </row>
    <row r="889" spans="1:3" ht="20" x14ac:dyDescent="0.35">
      <c r="A889" s="869">
        <v>1066</v>
      </c>
      <c r="B889" s="810" t="s">
        <v>3172</v>
      </c>
      <c r="C889" s="810" t="s">
        <v>1369</v>
      </c>
    </row>
    <row r="890" spans="1:3" x14ac:dyDescent="0.35">
      <c r="A890" s="869">
        <v>1067</v>
      </c>
      <c r="B890" s="810" t="s">
        <v>3173</v>
      </c>
      <c r="C890" s="810" t="s">
        <v>235</v>
      </c>
    </row>
    <row r="891" spans="1:3" x14ac:dyDescent="0.35">
      <c r="A891" s="869">
        <v>1068</v>
      </c>
      <c r="B891" s="1921" t="s">
        <v>3174</v>
      </c>
      <c r="C891" s="846" t="s">
        <v>664</v>
      </c>
    </row>
    <row r="892" spans="1:3" ht="15.5" x14ac:dyDescent="0.35">
      <c r="A892" s="869">
        <v>1069</v>
      </c>
      <c r="B892" s="811" t="s">
        <v>3175</v>
      </c>
      <c r="C892" s="811" t="s">
        <v>895</v>
      </c>
    </row>
    <row r="893" spans="1:3" ht="28" x14ac:dyDescent="0.35">
      <c r="A893" s="869">
        <v>1070</v>
      </c>
      <c r="B893" s="820" t="s">
        <v>3176</v>
      </c>
      <c r="C893" s="820" t="s">
        <v>668</v>
      </c>
    </row>
    <row r="894" spans="1:3" ht="20" x14ac:dyDescent="0.35">
      <c r="A894" s="869">
        <v>1071</v>
      </c>
      <c r="B894" s="810" t="s">
        <v>3177</v>
      </c>
      <c r="C894" s="810" t="s">
        <v>1362</v>
      </c>
    </row>
    <row r="895" spans="1:3" x14ac:dyDescent="0.35">
      <c r="A895" s="869">
        <v>1072</v>
      </c>
      <c r="B895" s="809" t="s">
        <v>3164</v>
      </c>
      <c r="C895" s="809" t="s">
        <v>1836</v>
      </c>
    </row>
    <row r="896" spans="1:3" x14ac:dyDescent="0.35">
      <c r="A896" s="869">
        <v>1073</v>
      </c>
      <c r="B896" s="813" t="s">
        <v>3178</v>
      </c>
      <c r="C896" s="813" t="s">
        <v>669</v>
      </c>
    </row>
    <row r="897" spans="1:3" x14ac:dyDescent="0.35">
      <c r="A897" s="869">
        <v>1075</v>
      </c>
      <c r="B897" s="1921" t="s">
        <v>3179</v>
      </c>
      <c r="C897" s="846" t="s">
        <v>670</v>
      </c>
    </row>
    <row r="898" spans="1:3" x14ac:dyDescent="0.35">
      <c r="A898" s="869">
        <v>1076</v>
      </c>
      <c r="B898" s="810" t="s">
        <v>3180</v>
      </c>
      <c r="C898" s="810" t="s">
        <v>671</v>
      </c>
    </row>
    <row r="899" spans="1:3" ht="26" x14ac:dyDescent="0.35">
      <c r="A899" s="869">
        <v>1077</v>
      </c>
      <c r="B899" s="813" t="s">
        <v>3181</v>
      </c>
      <c r="C899" s="813" t="s">
        <v>672</v>
      </c>
    </row>
    <row r="900" spans="1:3" ht="20" x14ac:dyDescent="0.35">
      <c r="A900" s="869">
        <v>1078</v>
      </c>
      <c r="B900" s="810" t="s">
        <v>3182</v>
      </c>
      <c r="C900" s="810" t="s">
        <v>1370</v>
      </c>
    </row>
    <row r="901" spans="1:3" x14ac:dyDescent="0.35">
      <c r="A901" s="869">
        <v>1079</v>
      </c>
      <c r="B901" s="1921" t="s">
        <v>3183</v>
      </c>
      <c r="C901" s="846" t="s">
        <v>673</v>
      </c>
    </row>
    <row r="902" spans="1:3" ht="15.5" x14ac:dyDescent="0.35">
      <c r="A902" s="869">
        <v>1080</v>
      </c>
      <c r="B902" s="811" t="s">
        <v>3184</v>
      </c>
      <c r="C902" s="811" t="s">
        <v>674</v>
      </c>
    </row>
    <row r="903" spans="1:3" ht="28" x14ac:dyDescent="0.35">
      <c r="A903" s="869">
        <v>1081</v>
      </c>
      <c r="B903" s="820" t="s">
        <v>3185</v>
      </c>
      <c r="C903" s="820" t="s">
        <v>675</v>
      </c>
    </row>
    <row r="904" spans="1:3" ht="20" x14ac:dyDescent="0.35">
      <c r="A904" s="869">
        <v>1082</v>
      </c>
      <c r="B904" s="810" t="s">
        <v>3186</v>
      </c>
      <c r="C904" s="810" t="s">
        <v>1363</v>
      </c>
    </row>
    <row r="905" spans="1:3" x14ac:dyDescent="0.35">
      <c r="A905" s="869">
        <v>1083</v>
      </c>
      <c r="B905" s="813" t="s">
        <v>3187</v>
      </c>
      <c r="C905" s="813" t="s">
        <v>248</v>
      </c>
    </row>
    <row r="906" spans="1:3" ht="20" x14ac:dyDescent="0.35">
      <c r="A906" s="869">
        <v>1085</v>
      </c>
      <c r="B906" s="810" t="s">
        <v>3188</v>
      </c>
      <c r="C906" s="810" t="s">
        <v>334</v>
      </c>
    </row>
    <row r="907" spans="1:3" x14ac:dyDescent="0.35">
      <c r="A907" s="869">
        <v>1086</v>
      </c>
      <c r="B907" s="834" t="s">
        <v>3189</v>
      </c>
      <c r="C907" s="839" t="s">
        <v>911</v>
      </c>
    </row>
    <row r="908" spans="1:3" x14ac:dyDescent="0.35">
      <c r="A908" s="869">
        <v>1087</v>
      </c>
      <c r="B908" s="836" t="s">
        <v>3190</v>
      </c>
      <c r="C908" s="841" t="s">
        <v>912</v>
      </c>
    </row>
    <row r="909" spans="1:3" x14ac:dyDescent="0.35">
      <c r="A909" s="869">
        <v>1088</v>
      </c>
      <c r="B909" s="836" t="s">
        <v>3191</v>
      </c>
      <c r="C909" s="841" t="s">
        <v>913</v>
      </c>
    </row>
    <row r="910" spans="1:3" x14ac:dyDescent="0.35">
      <c r="A910" s="869">
        <v>1089</v>
      </c>
      <c r="B910" s="835" t="s">
        <v>3192</v>
      </c>
      <c r="C910" s="842" t="s">
        <v>914</v>
      </c>
    </row>
    <row r="911" spans="1:3" x14ac:dyDescent="0.35">
      <c r="A911" s="869">
        <v>1090</v>
      </c>
      <c r="B911" s="1921" t="s">
        <v>3193</v>
      </c>
      <c r="C911" s="846" t="s">
        <v>909</v>
      </c>
    </row>
    <row r="912" spans="1:3" ht="26" x14ac:dyDescent="0.35">
      <c r="A912" s="869">
        <v>1091</v>
      </c>
      <c r="B912" s="813" t="s">
        <v>3194</v>
      </c>
      <c r="C912" s="813" t="s">
        <v>915</v>
      </c>
    </row>
    <row r="913" spans="1:3" ht="20" x14ac:dyDescent="0.35">
      <c r="A913" s="869">
        <v>1092</v>
      </c>
      <c r="B913" s="810" t="s">
        <v>3195</v>
      </c>
      <c r="C913" s="810" t="s">
        <v>1355</v>
      </c>
    </row>
    <row r="914" spans="1:3" x14ac:dyDescent="0.35">
      <c r="A914" s="869">
        <v>1093</v>
      </c>
      <c r="B914" s="1921" t="s">
        <v>3196</v>
      </c>
      <c r="C914" s="846" t="s">
        <v>1098</v>
      </c>
    </row>
    <row r="915" spans="1:3" ht="15.5" x14ac:dyDescent="0.35">
      <c r="A915" s="869">
        <v>1094</v>
      </c>
      <c r="B915" s="811" t="s">
        <v>3197</v>
      </c>
      <c r="C915" s="811" t="s">
        <v>601</v>
      </c>
    </row>
    <row r="916" spans="1:3" x14ac:dyDescent="0.35">
      <c r="A916" s="869">
        <v>1095</v>
      </c>
      <c r="B916" s="820" t="s">
        <v>3198</v>
      </c>
      <c r="C916" s="820" t="s">
        <v>1506</v>
      </c>
    </row>
    <row r="917" spans="1:3" ht="20" x14ac:dyDescent="0.35">
      <c r="A917" s="869">
        <v>1096</v>
      </c>
      <c r="B917" s="810" t="s">
        <v>3199</v>
      </c>
      <c r="C917" s="810" t="s">
        <v>1507</v>
      </c>
    </row>
    <row r="918" spans="1:3" x14ac:dyDescent="0.35">
      <c r="A918" s="869">
        <v>1097</v>
      </c>
      <c r="B918" s="810" t="s">
        <v>3200</v>
      </c>
      <c r="C918" s="810" t="s">
        <v>255</v>
      </c>
    </row>
    <row r="919" spans="1:3" x14ac:dyDescent="0.35">
      <c r="A919" s="869">
        <v>1098</v>
      </c>
      <c r="B919" s="810" t="s">
        <v>3201</v>
      </c>
      <c r="C919" s="810" t="s">
        <v>677</v>
      </c>
    </row>
    <row r="920" spans="1:3" x14ac:dyDescent="0.35">
      <c r="A920" s="869">
        <v>1099</v>
      </c>
      <c r="B920" s="810" t="s">
        <v>3202</v>
      </c>
      <c r="C920" s="810" t="s">
        <v>600</v>
      </c>
    </row>
    <row r="921" spans="1:3" x14ac:dyDescent="0.35">
      <c r="A921" s="869">
        <v>1100</v>
      </c>
      <c r="B921" s="810" t="s">
        <v>3203</v>
      </c>
      <c r="C921" s="810" t="s">
        <v>264</v>
      </c>
    </row>
    <row r="922" spans="1:3" ht="20" x14ac:dyDescent="0.35">
      <c r="A922" s="869">
        <v>1101</v>
      </c>
      <c r="B922" s="810" t="s">
        <v>3204</v>
      </c>
      <c r="C922" s="810" t="s">
        <v>1508</v>
      </c>
    </row>
    <row r="923" spans="1:3" x14ac:dyDescent="0.35">
      <c r="A923" s="869">
        <v>1102</v>
      </c>
      <c r="B923" s="813" t="s">
        <v>3205</v>
      </c>
      <c r="C923" s="813" t="s">
        <v>1024</v>
      </c>
    </row>
    <row r="924" spans="1:3" x14ac:dyDescent="0.35">
      <c r="A924" s="869">
        <v>1103</v>
      </c>
      <c r="B924" s="810" t="s">
        <v>3206</v>
      </c>
      <c r="C924" s="810" t="s">
        <v>602</v>
      </c>
    </row>
    <row r="925" spans="1:3" x14ac:dyDescent="0.35">
      <c r="A925" s="869">
        <v>1104</v>
      </c>
      <c r="B925" s="836" t="s">
        <v>3207</v>
      </c>
      <c r="C925" s="841" t="s">
        <v>604</v>
      </c>
    </row>
    <row r="926" spans="1:3" x14ac:dyDescent="0.35">
      <c r="A926" s="869">
        <v>1105</v>
      </c>
      <c r="B926" s="835" t="s">
        <v>3208</v>
      </c>
      <c r="C926" s="842" t="s">
        <v>603</v>
      </c>
    </row>
    <row r="927" spans="1:3" ht="15" thickBot="1" x14ac:dyDescent="0.4">
      <c r="A927" s="869">
        <v>1106</v>
      </c>
      <c r="B927" s="835" t="s">
        <v>3209</v>
      </c>
      <c r="C927" s="842" t="s">
        <v>1022</v>
      </c>
    </row>
    <row r="928" spans="1:3" ht="26" x14ac:dyDescent="0.35">
      <c r="A928" s="869">
        <v>1107</v>
      </c>
      <c r="B928" s="850" t="s">
        <v>749</v>
      </c>
      <c r="C928" s="850" t="s">
        <v>643</v>
      </c>
    </row>
    <row r="929" spans="1:3" ht="18" x14ac:dyDescent="0.35">
      <c r="A929" s="869">
        <v>1108</v>
      </c>
      <c r="B929" s="822" t="s">
        <v>3210</v>
      </c>
      <c r="C929" s="822" t="s">
        <v>328</v>
      </c>
    </row>
    <row r="930" spans="1:3" ht="16" thickBot="1" x14ac:dyDescent="0.4">
      <c r="A930" s="869">
        <v>1109</v>
      </c>
      <c r="B930" s="770" t="s">
        <v>3211</v>
      </c>
      <c r="C930" s="770" t="s">
        <v>329</v>
      </c>
    </row>
    <row r="931" spans="1:3" ht="26" x14ac:dyDescent="0.35">
      <c r="A931" s="869">
        <v>1110</v>
      </c>
      <c r="B931" s="850" t="s">
        <v>751</v>
      </c>
      <c r="C931" s="850" t="s">
        <v>644</v>
      </c>
    </row>
    <row r="932" spans="1:3" ht="36" x14ac:dyDescent="0.35">
      <c r="A932" s="869">
        <v>1111</v>
      </c>
      <c r="B932" s="812" t="s">
        <v>3212</v>
      </c>
      <c r="C932" s="812" t="s">
        <v>750</v>
      </c>
    </row>
    <row r="933" spans="1:3" ht="15.5" x14ac:dyDescent="0.35">
      <c r="A933" s="869">
        <v>1112</v>
      </c>
      <c r="B933" s="811" t="s">
        <v>3213</v>
      </c>
      <c r="C933" s="811" t="s">
        <v>26</v>
      </c>
    </row>
    <row r="934" spans="1:3" ht="28" x14ac:dyDescent="0.35">
      <c r="A934" s="869">
        <v>1113</v>
      </c>
      <c r="B934" s="820" t="s">
        <v>3214</v>
      </c>
      <c r="C934" s="820" t="s">
        <v>25</v>
      </c>
    </row>
    <row r="935" spans="1:3" ht="20" x14ac:dyDescent="0.35">
      <c r="A935" s="869">
        <v>1114</v>
      </c>
      <c r="B935" s="810" t="s">
        <v>3215</v>
      </c>
      <c r="C935" s="810" t="s">
        <v>30</v>
      </c>
    </row>
    <row r="936" spans="1:3" x14ac:dyDescent="0.35">
      <c r="A936" s="869">
        <v>1115</v>
      </c>
      <c r="B936" s="810" t="s">
        <v>3216</v>
      </c>
      <c r="C936" s="810" t="s">
        <v>31</v>
      </c>
    </row>
    <row r="937" spans="1:3" ht="20" x14ac:dyDescent="0.35">
      <c r="A937" s="869">
        <v>1116</v>
      </c>
      <c r="B937" s="810" t="s">
        <v>3217</v>
      </c>
      <c r="C937" s="810" t="s">
        <v>753</v>
      </c>
    </row>
    <row r="938" spans="1:3" ht="20" x14ac:dyDescent="0.35">
      <c r="A938" s="869">
        <v>1117</v>
      </c>
      <c r="B938" s="810" t="s">
        <v>3218</v>
      </c>
      <c r="C938" s="810" t="s">
        <v>752</v>
      </c>
    </row>
    <row r="939" spans="1:3" x14ac:dyDescent="0.35">
      <c r="A939" s="869">
        <v>1118</v>
      </c>
      <c r="B939" s="810" t="s">
        <v>3219</v>
      </c>
      <c r="C939" s="810" t="s">
        <v>678</v>
      </c>
    </row>
    <row r="940" spans="1:3" ht="20" x14ac:dyDescent="0.35">
      <c r="A940" s="869">
        <v>1120</v>
      </c>
      <c r="B940" s="1785" t="s">
        <v>3220</v>
      </c>
      <c r="C940" s="1785" t="s">
        <v>27</v>
      </c>
    </row>
    <row r="941" spans="1:3" x14ac:dyDescent="0.35">
      <c r="A941" s="869">
        <v>1121</v>
      </c>
      <c r="B941" s="817" t="s">
        <v>3221</v>
      </c>
      <c r="C941" s="817" t="s">
        <v>28</v>
      </c>
    </row>
    <row r="942" spans="1:3" x14ac:dyDescent="0.35">
      <c r="A942" s="869">
        <v>1122</v>
      </c>
      <c r="B942" s="815" t="s">
        <v>3222</v>
      </c>
      <c r="C942" s="815" t="s">
        <v>29</v>
      </c>
    </row>
    <row r="943" spans="1:3" x14ac:dyDescent="0.35">
      <c r="A943" s="869">
        <v>1124</v>
      </c>
      <c r="B943" s="813" t="s">
        <v>3223</v>
      </c>
      <c r="C943" s="813" t="s">
        <v>1815</v>
      </c>
    </row>
    <row r="944" spans="1:3" ht="20" x14ac:dyDescent="0.35">
      <c r="A944" s="869">
        <v>1125</v>
      </c>
      <c r="B944" s="1785" t="s">
        <v>3224</v>
      </c>
      <c r="C944" s="1785" t="s">
        <v>1814</v>
      </c>
    </row>
    <row r="945" spans="1:3" x14ac:dyDescent="0.35">
      <c r="A945" s="869">
        <v>1126</v>
      </c>
      <c r="B945" s="882" t="s">
        <v>3225</v>
      </c>
      <c r="C945" s="882" t="s">
        <v>1816</v>
      </c>
    </row>
    <row r="946" spans="1:3" x14ac:dyDescent="0.35">
      <c r="A946" s="869">
        <v>1127</v>
      </c>
      <c r="B946" s="882" t="s">
        <v>3226</v>
      </c>
      <c r="C946" s="882" t="s">
        <v>1812</v>
      </c>
    </row>
    <row r="947" spans="1:3" x14ac:dyDescent="0.35">
      <c r="A947" s="869">
        <v>1128</v>
      </c>
      <c r="B947" s="882" t="s">
        <v>3227</v>
      </c>
      <c r="C947" s="882" t="s">
        <v>1813</v>
      </c>
    </row>
    <row r="948" spans="1:3" x14ac:dyDescent="0.35">
      <c r="A948" s="869">
        <v>1129</v>
      </c>
      <c r="B948" s="813" t="s">
        <v>3228</v>
      </c>
      <c r="C948" s="813" t="s">
        <v>418</v>
      </c>
    </row>
    <row r="949" spans="1:3" ht="15.5" x14ac:dyDescent="0.35">
      <c r="A949" s="869">
        <v>1130</v>
      </c>
      <c r="B949" s="811" t="s">
        <v>3229</v>
      </c>
      <c r="C949" s="811" t="s">
        <v>419</v>
      </c>
    </row>
    <row r="950" spans="1:3" ht="42.5" thickBot="1" x14ac:dyDescent="0.4">
      <c r="A950" s="869">
        <v>1131</v>
      </c>
      <c r="B950" s="818" t="s">
        <v>3230</v>
      </c>
      <c r="C950" s="818" t="s">
        <v>292</v>
      </c>
    </row>
    <row r="951" spans="1:3" ht="26" x14ac:dyDescent="0.35">
      <c r="A951" s="869">
        <v>1132</v>
      </c>
      <c r="B951" s="850" t="s">
        <v>327</v>
      </c>
      <c r="C951" s="850" t="s">
        <v>645</v>
      </c>
    </row>
    <row r="952" spans="1:3" x14ac:dyDescent="0.35">
      <c r="A952" s="869">
        <v>1133</v>
      </c>
      <c r="B952" s="898" t="s">
        <v>3231</v>
      </c>
      <c r="C952" s="898" t="s">
        <v>336</v>
      </c>
    </row>
    <row r="953" spans="1:3" x14ac:dyDescent="0.35">
      <c r="A953" s="869">
        <v>1134</v>
      </c>
      <c r="B953" s="898" t="s">
        <v>3232</v>
      </c>
      <c r="C953" s="898" t="s">
        <v>244</v>
      </c>
    </row>
    <row r="954" spans="1:3" x14ac:dyDescent="0.35">
      <c r="A954" s="869">
        <v>1135</v>
      </c>
      <c r="B954" s="898" t="s">
        <v>3233</v>
      </c>
      <c r="C954" s="898" t="s">
        <v>245</v>
      </c>
    </row>
    <row r="955" spans="1:3" x14ac:dyDescent="0.35">
      <c r="A955" s="869">
        <v>1136</v>
      </c>
      <c r="B955" s="898" t="s">
        <v>3234</v>
      </c>
      <c r="C955" s="898" t="s">
        <v>246</v>
      </c>
    </row>
    <row r="956" spans="1:3" x14ac:dyDescent="0.35">
      <c r="A956" s="869">
        <v>1137</v>
      </c>
      <c r="B956" s="898" t="s">
        <v>3235</v>
      </c>
      <c r="C956" s="898" t="s">
        <v>247</v>
      </c>
    </row>
    <row r="957" spans="1:3" ht="18" x14ac:dyDescent="0.35">
      <c r="A957" s="869">
        <v>1138</v>
      </c>
      <c r="B957" s="822" t="s">
        <v>3236</v>
      </c>
      <c r="C957" s="822" t="s">
        <v>270</v>
      </c>
    </row>
    <row r="958" spans="1:3" x14ac:dyDescent="0.35">
      <c r="A958" s="869">
        <v>1139</v>
      </c>
      <c r="B958" s="820" t="s">
        <v>3237</v>
      </c>
      <c r="C958" s="820" t="s">
        <v>241</v>
      </c>
    </row>
    <row r="959" spans="1:3" x14ac:dyDescent="0.35">
      <c r="A959" s="869">
        <v>1140</v>
      </c>
      <c r="B959" s="14" t="s">
        <v>3238</v>
      </c>
      <c r="C959" s="14" t="s">
        <v>614</v>
      </c>
    </row>
    <row r="960" spans="1:3" x14ac:dyDescent="0.35">
      <c r="A960" s="869">
        <v>1141</v>
      </c>
      <c r="B960" s="14" t="s">
        <v>3239</v>
      </c>
      <c r="C960" s="14" t="s">
        <v>606</v>
      </c>
    </row>
    <row r="961" spans="1:3" x14ac:dyDescent="0.35">
      <c r="A961" s="869">
        <v>1142</v>
      </c>
      <c r="B961" s="14" t="s">
        <v>3240</v>
      </c>
      <c r="C961" s="14" t="s">
        <v>609</v>
      </c>
    </row>
    <row r="962" spans="1:3" x14ac:dyDescent="0.35">
      <c r="A962" s="869">
        <v>1143</v>
      </c>
      <c r="B962" s="14" t="s">
        <v>3241</v>
      </c>
      <c r="C962" s="14" t="s">
        <v>612</v>
      </c>
    </row>
    <row r="963" spans="1:3" x14ac:dyDescent="0.35">
      <c r="A963" s="869">
        <v>1144</v>
      </c>
      <c r="B963" s="14" t="s">
        <v>3242</v>
      </c>
      <c r="C963" s="14" t="s">
        <v>1512</v>
      </c>
    </row>
    <row r="964" spans="1:3" x14ac:dyDescent="0.35">
      <c r="A964" s="869">
        <v>1145</v>
      </c>
      <c r="B964" s="14" t="s">
        <v>3243</v>
      </c>
      <c r="C964" s="14" t="s">
        <v>607</v>
      </c>
    </row>
    <row r="965" spans="1:3" x14ac:dyDescent="0.35">
      <c r="A965" s="869">
        <v>1146</v>
      </c>
      <c r="B965" s="14" t="s">
        <v>3244</v>
      </c>
      <c r="C965" s="14" t="s">
        <v>610</v>
      </c>
    </row>
    <row r="966" spans="1:3" x14ac:dyDescent="0.35">
      <c r="A966" s="869">
        <v>1147</v>
      </c>
      <c r="B966" s="14" t="s">
        <v>3245</v>
      </c>
      <c r="C966" s="14" t="s">
        <v>608</v>
      </c>
    </row>
    <row r="967" spans="1:3" x14ac:dyDescent="0.35">
      <c r="A967" s="869">
        <v>1148</v>
      </c>
      <c r="B967" s="14" t="s">
        <v>3246</v>
      </c>
      <c r="C967" s="14" t="s">
        <v>1513</v>
      </c>
    </row>
    <row r="968" spans="1:3" x14ac:dyDescent="0.35">
      <c r="A968" s="869">
        <v>1149</v>
      </c>
      <c r="B968" s="14" t="s">
        <v>3247</v>
      </c>
      <c r="C968" s="14" t="s">
        <v>1511</v>
      </c>
    </row>
    <row r="969" spans="1:3" x14ac:dyDescent="0.35">
      <c r="A969" s="869">
        <v>1150</v>
      </c>
      <c r="B969" s="14" t="s">
        <v>3248</v>
      </c>
      <c r="C969" s="14" t="s">
        <v>613</v>
      </c>
    </row>
    <row r="970" spans="1:3" x14ac:dyDescent="0.35">
      <c r="A970" s="869">
        <v>1151</v>
      </c>
      <c r="B970" s="14" t="s">
        <v>3249</v>
      </c>
      <c r="C970" s="14" t="s">
        <v>611</v>
      </c>
    </row>
    <row r="971" spans="1:3" x14ac:dyDescent="0.35">
      <c r="A971" s="869">
        <v>1152</v>
      </c>
      <c r="B971" s="820" t="s">
        <v>3250</v>
      </c>
      <c r="C971" s="820" t="s">
        <v>242</v>
      </c>
    </row>
    <row r="972" spans="1:3" x14ac:dyDescent="0.35">
      <c r="A972" s="869">
        <v>1153</v>
      </c>
      <c r="B972" s="855" t="s">
        <v>3251</v>
      </c>
      <c r="C972" s="855" t="s">
        <v>840</v>
      </c>
    </row>
    <row r="973" spans="1:3" x14ac:dyDescent="0.35">
      <c r="A973" s="869">
        <v>1154</v>
      </c>
      <c r="B973" s="855" t="s">
        <v>3252</v>
      </c>
      <c r="C973" s="855" t="s">
        <v>1520</v>
      </c>
    </row>
    <row r="974" spans="1:3" x14ac:dyDescent="0.35">
      <c r="A974" s="869">
        <v>1155</v>
      </c>
      <c r="B974" s="855" t="s">
        <v>3253</v>
      </c>
      <c r="C974" s="855" t="s">
        <v>841</v>
      </c>
    </row>
    <row r="975" spans="1:3" ht="15.5" x14ac:dyDescent="0.35">
      <c r="A975" s="869">
        <v>1156</v>
      </c>
      <c r="B975" s="770" t="s">
        <v>3232</v>
      </c>
      <c r="C975" s="770" t="s">
        <v>337</v>
      </c>
    </row>
    <row r="976" spans="1:3" x14ac:dyDescent="0.35">
      <c r="A976" s="869">
        <v>1157</v>
      </c>
      <c r="B976" s="820" t="s">
        <v>3254</v>
      </c>
      <c r="C976" s="820" t="s">
        <v>240</v>
      </c>
    </row>
    <row r="977" spans="1:3" x14ac:dyDescent="0.35">
      <c r="A977" s="869">
        <v>1158</v>
      </c>
      <c r="B977" s="1782" t="s">
        <v>3255</v>
      </c>
      <c r="C977" s="1782" t="s">
        <v>36</v>
      </c>
    </row>
    <row r="978" spans="1:3" x14ac:dyDescent="0.35">
      <c r="A978" s="869">
        <v>1159</v>
      </c>
      <c r="B978" s="1782" t="s">
        <v>3256</v>
      </c>
      <c r="C978" s="1782" t="s">
        <v>37</v>
      </c>
    </row>
    <row r="979" spans="1:3" x14ac:dyDescent="0.35">
      <c r="A979" s="869">
        <v>1160</v>
      </c>
      <c r="B979" s="1782" t="s">
        <v>3257</v>
      </c>
      <c r="C979" s="1782" t="s">
        <v>38</v>
      </c>
    </row>
    <row r="980" spans="1:3" x14ac:dyDescent="0.35">
      <c r="A980" s="869">
        <v>1161</v>
      </c>
      <c r="B980" s="1782" t="s">
        <v>3258</v>
      </c>
      <c r="C980" s="1782" t="s">
        <v>39</v>
      </c>
    </row>
    <row r="981" spans="1:3" ht="26" x14ac:dyDescent="0.35">
      <c r="A981" s="869">
        <v>1162</v>
      </c>
      <c r="B981" s="813" t="s">
        <v>3259</v>
      </c>
      <c r="C981" s="813" t="s">
        <v>708</v>
      </c>
    </row>
    <row r="982" spans="1:3" x14ac:dyDescent="0.35">
      <c r="A982" s="869">
        <v>1163</v>
      </c>
      <c r="B982" s="856" t="s">
        <v>3260</v>
      </c>
      <c r="C982" s="856" t="s">
        <v>1536</v>
      </c>
    </row>
    <row r="983" spans="1:3" x14ac:dyDescent="0.35">
      <c r="A983" s="869">
        <v>1164</v>
      </c>
      <c r="B983" s="857" t="s">
        <v>3261</v>
      </c>
      <c r="C983" s="857" t="s">
        <v>736</v>
      </c>
    </row>
    <row r="984" spans="1:3" ht="15.5" x14ac:dyDescent="0.35">
      <c r="A984" s="869">
        <v>1165</v>
      </c>
      <c r="B984" s="770" t="s">
        <v>3233</v>
      </c>
      <c r="C984" s="770" t="s">
        <v>340</v>
      </c>
    </row>
    <row r="985" spans="1:3" ht="28" x14ac:dyDescent="0.35">
      <c r="A985" s="869">
        <v>1166</v>
      </c>
      <c r="B985" s="820" t="s">
        <v>3262</v>
      </c>
      <c r="C985" s="820" t="s">
        <v>1537</v>
      </c>
    </row>
    <row r="986" spans="1:3" x14ac:dyDescent="0.35">
      <c r="A986" s="869">
        <v>1167</v>
      </c>
      <c r="B986" s="820" t="s">
        <v>3263</v>
      </c>
      <c r="C986" s="820" t="s">
        <v>842</v>
      </c>
    </row>
    <row r="987" spans="1:3" ht="20" x14ac:dyDescent="0.35">
      <c r="A987" s="869">
        <v>1168</v>
      </c>
      <c r="B987" s="810" t="s">
        <v>3264</v>
      </c>
      <c r="C987" s="810" t="s">
        <v>1751</v>
      </c>
    </row>
    <row r="988" spans="1:3" x14ac:dyDescent="0.35">
      <c r="A988" s="869">
        <v>1169</v>
      </c>
      <c r="B988" s="810" t="s">
        <v>3265</v>
      </c>
      <c r="C988" s="810" t="s">
        <v>1596</v>
      </c>
    </row>
    <row r="989" spans="1:3" x14ac:dyDescent="0.35">
      <c r="A989" s="869">
        <v>1170</v>
      </c>
      <c r="B989" s="810" t="s">
        <v>3266</v>
      </c>
      <c r="C989" s="810" t="s">
        <v>1752</v>
      </c>
    </row>
    <row r="990" spans="1:3" x14ac:dyDescent="0.35">
      <c r="A990" s="869">
        <v>1171</v>
      </c>
      <c r="B990" s="810" t="s">
        <v>2884</v>
      </c>
      <c r="C990" s="810" t="s">
        <v>1753</v>
      </c>
    </row>
    <row r="991" spans="1:3" ht="20" x14ac:dyDescent="0.35">
      <c r="A991" s="869">
        <v>1172</v>
      </c>
      <c r="B991" s="810" t="s">
        <v>3267</v>
      </c>
      <c r="C991" s="810" t="s">
        <v>1754</v>
      </c>
    </row>
    <row r="992" spans="1:3" ht="20" x14ac:dyDescent="0.35">
      <c r="A992" s="869">
        <v>1173</v>
      </c>
      <c r="B992" s="810" t="s">
        <v>3268</v>
      </c>
      <c r="C992" s="810" t="s">
        <v>1755</v>
      </c>
    </row>
    <row r="993" spans="1:3" x14ac:dyDescent="0.35">
      <c r="A993" s="869">
        <v>1174</v>
      </c>
      <c r="B993" s="810" t="s">
        <v>3269</v>
      </c>
      <c r="C993" s="810" t="s">
        <v>1756</v>
      </c>
    </row>
    <row r="994" spans="1:3" ht="30" x14ac:dyDescent="0.35">
      <c r="A994" s="869">
        <v>1175</v>
      </c>
      <c r="B994" s="810" t="s">
        <v>3270</v>
      </c>
      <c r="C994" s="810" t="s">
        <v>1778</v>
      </c>
    </row>
    <row r="995" spans="1:3" ht="20" x14ac:dyDescent="0.35">
      <c r="A995" s="869">
        <v>1176</v>
      </c>
      <c r="B995" s="810" t="s">
        <v>3271</v>
      </c>
      <c r="C995" s="810" t="s">
        <v>1757</v>
      </c>
    </row>
    <row r="996" spans="1:3" x14ac:dyDescent="0.35">
      <c r="A996" s="869">
        <v>1177</v>
      </c>
      <c r="B996" s="810" t="s">
        <v>3272</v>
      </c>
      <c r="C996" s="810" t="s">
        <v>1758</v>
      </c>
    </row>
    <row r="997" spans="1:3" ht="40" x14ac:dyDescent="0.35">
      <c r="A997" s="869">
        <v>1178</v>
      </c>
      <c r="B997" s="809" t="s">
        <v>3273</v>
      </c>
      <c r="C997" s="809" t="s">
        <v>1598</v>
      </c>
    </row>
    <row r="998" spans="1:3" ht="30" x14ac:dyDescent="0.35">
      <c r="A998" s="869">
        <v>1179</v>
      </c>
      <c r="B998" s="810" t="s">
        <v>3274</v>
      </c>
      <c r="C998" s="810" t="s">
        <v>1759</v>
      </c>
    </row>
    <row r="999" spans="1:3" x14ac:dyDescent="0.35">
      <c r="A999" s="869">
        <v>1180</v>
      </c>
      <c r="B999" s="810" t="s">
        <v>3275</v>
      </c>
      <c r="C999" s="810" t="s">
        <v>1760</v>
      </c>
    </row>
    <row r="1000" spans="1:3" ht="20" x14ac:dyDescent="0.35">
      <c r="A1000" s="869">
        <v>1181</v>
      </c>
      <c r="B1000" s="810" t="s">
        <v>3276</v>
      </c>
      <c r="C1000" s="810" t="s">
        <v>1761</v>
      </c>
    </row>
    <row r="1001" spans="1:3" ht="20" x14ac:dyDescent="0.35">
      <c r="A1001" s="869">
        <v>1182</v>
      </c>
      <c r="B1001" s="810" t="s">
        <v>3277</v>
      </c>
      <c r="C1001" s="810" t="s">
        <v>1762</v>
      </c>
    </row>
    <row r="1002" spans="1:3" x14ac:dyDescent="0.35">
      <c r="A1002" s="869">
        <v>1183</v>
      </c>
      <c r="B1002" s="817" t="s">
        <v>3278</v>
      </c>
      <c r="C1002" s="817" t="s">
        <v>1406</v>
      </c>
    </row>
    <row r="1003" spans="1:3" x14ac:dyDescent="0.35">
      <c r="A1003" s="869">
        <v>1184</v>
      </c>
      <c r="B1003" s="1781" t="s">
        <v>3279</v>
      </c>
      <c r="C1003" s="1781" t="s">
        <v>1391</v>
      </c>
    </row>
    <row r="1004" spans="1:3" x14ac:dyDescent="0.35">
      <c r="A1004" s="869">
        <v>1185</v>
      </c>
      <c r="B1004" s="820" t="s">
        <v>3280</v>
      </c>
      <c r="C1004" s="820" t="s">
        <v>1555</v>
      </c>
    </row>
    <row r="1005" spans="1:3" x14ac:dyDescent="0.35">
      <c r="A1005" s="869">
        <v>1186</v>
      </c>
      <c r="B1005" s="813" t="s">
        <v>3281</v>
      </c>
      <c r="C1005" s="813" t="s">
        <v>1542</v>
      </c>
    </row>
    <row r="1006" spans="1:3" x14ac:dyDescent="0.35">
      <c r="A1006" s="869">
        <v>1187</v>
      </c>
      <c r="B1006" s="817" t="s">
        <v>3282</v>
      </c>
      <c r="C1006" s="817" t="s">
        <v>1540</v>
      </c>
    </row>
    <row r="1007" spans="1:3" x14ac:dyDescent="0.35">
      <c r="A1007" s="869">
        <v>1188</v>
      </c>
      <c r="B1007" s="817" t="s">
        <v>3283</v>
      </c>
      <c r="C1007" s="817" t="s">
        <v>1146</v>
      </c>
    </row>
    <row r="1008" spans="1:3" x14ac:dyDescent="0.35">
      <c r="A1008" s="869">
        <v>1189</v>
      </c>
      <c r="B1008" s="817" t="s">
        <v>3284</v>
      </c>
      <c r="C1008" s="817" t="s">
        <v>1541</v>
      </c>
    </row>
    <row r="1009" spans="1:3" x14ac:dyDescent="0.35">
      <c r="A1009" s="869">
        <v>1190</v>
      </c>
      <c r="B1009" s="834" t="s">
        <v>3285</v>
      </c>
      <c r="C1009" s="834" t="s">
        <v>1600</v>
      </c>
    </row>
    <row r="1010" spans="1:3" x14ac:dyDescent="0.35">
      <c r="A1010" s="869">
        <v>1191</v>
      </c>
      <c r="B1010" s="835" t="s">
        <v>3286</v>
      </c>
      <c r="C1010" s="835" t="s">
        <v>1599</v>
      </c>
    </row>
    <row r="1011" spans="1:3" x14ac:dyDescent="0.35">
      <c r="A1011" s="869">
        <v>1192</v>
      </c>
      <c r="B1011" s="817" t="s">
        <v>3287</v>
      </c>
      <c r="C1011" s="817" t="s">
        <v>1557</v>
      </c>
    </row>
    <row r="1012" spans="1:3" x14ac:dyDescent="0.35">
      <c r="A1012" s="869">
        <v>1193</v>
      </c>
      <c r="B1012" s="813" t="s">
        <v>3288</v>
      </c>
      <c r="C1012" s="813" t="s">
        <v>1543</v>
      </c>
    </row>
    <row r="1013" spans="1:3" ht="28" x14ac:dyDescent="0.35">
      <c r="A1013" s="869">
        <v>1194</v>
      </c>
      <c r="B1013" s="820" t="s">
        <v>3289</v>
      </c>
      <c r="C1013" s="820" t="s">
        <v>1556</v>
      </c>
    </row>
    <row r="1014" spans="1:3" x14ac:dyDescent="0.35">
      <c r="A1014" s="869">
        <v>1195</v>
      </c>
      <c r="B1014" s="858" t="s">
        <v>3290</v>
      </c>
      <c r="C1014" s="858" t="s">
        <v>963</v>
      </c>
    </row>
    <row r="1015" spans="1:3" x14ac:dyDescent="0.35">
      <c r="A1015" s="869">
        <v>1196</v>
      </c>
      <c r="B1015" s="820" t="s">
        <v>3291</v>
      </c>
      <c r="C1015" s="820" t="s">
        <v>843</v>
      </c>
    </row>
    <row r="1016" spans="1:3" x14ac:dyDescent="0.35">
      <c r="A1016" s="869">
        <v>1197</v>
      </c>
      <c r="B1016" s="14" t="s">
        <v>3292</v>
      </c>
      <c r="C1016" s="14" t="s">
        <v>1763</v>
      </c>
    </row>
    <row r="1017" spans="1:3" x14ac:dyDescent="0.35">
      <c r="A1017" s="869">
        <v>1198</v>
      </c>
      <c r="B1017" s="820" t="s">
        <v>3293</v>
      </c>
      <c r="C1017" s="820" t="s">
        <v>844</v>
      </c>
    </row>
    <row r="1018" spans="1:3" x14ac:dyDescent="0.35">
      <c r="A1018" s="869">
        <v>1199</v>
      </c>
      <c r="B1018" s="820" t="s">
        <v>3294</v>
      </c>
      <c r="C1018" s="820" t="s">
        <v>1567</v>
      </c>
    </row>
    <row r="1019" spans="1:3" ht="15.5" x14ac:dyDescent="0.35">
      <c r="A1019" s="869">
        <v>1200</v>
      </c>
      <c r="B1019" s="770" t="s">
        <v>3295</v>
      </c>
      <c r="C1019" s="770" t="s">
        <v>1601</v>
      </c>
    </row>
    <row r="1020" spans="1:3" x14ac:dyDescent="0.35">
      <c r="A1020" s="869">
        <v>1201</v>
      </c>
      <c r="B1020" s="820" t="s">
        <v>3296</v>
      </c>
      <c r="C1020" s="820" t="s">
        <v>1568</v>
      </c>
    </row>
    <row r="1021" spans="1:3" x14ac:dyDescent="0.35">
      <c r="A1021" s="869">
        <v>1202</v>
      </c>
      <c r="B1021" s="859" t="s">
        <v>3297</v>
      </c>
      <c r="C1021" s="859" t="s">
        <v>500</v>
      </c>
    </row>
    <row r="1022" spans="1:3" x14ac:dyDescent="0.35">
      <c r="A1022" s="869">
        <v>1203</v>
      </c>
      <c r="B1022" s="860" t="s">
        <v>3298</v>
      </c>
      <c r="C1022" s="860" t="s">
        <v>501</v>
      </c>
    </row>
    <row r="1023" spans="1:3" ht="20" x14ac:dyDescent="0.35">
      <c r="A1023" s="869">
        <v>1204</v>
      </c>
      <c r="B1023" s="861" t="s">
        <v>3299</v>
      </c>
      <c r="C1023" s="861" t="s">
        <v>502</v>
      </c>
    </row>
    <row r="1024" spans="1:3" x14ac:dyDescent="0.35">
      <c r="A1024" s="869">
        <v>1205</v>
      </c>
      <c r="B1024" s="860" t="s">
        <v>3300</v>
      </c>
      <c r="C1024" s="860" t="s">
        <v>167</v>
      </c>
    </row>
    <row r="1025" spans="1:3" x14ac:dyDescent="0.35">
      <c r="A1025" s="869">
        <v>1206</v>
      </c>
      <c r="B1025" s="861" t="s">
        <v>3301</v>
      </c>
      <c r="C1025" s="861" t="s">
        <v>503</v>
      </c>
    </row>
    <row r="1026" spans="1:3" x14ac:dyDescent="0.35">
      <c r="A1026" s="869">
        <v>1207</v>
      </c>
      <c r="B1026" s="860" t="s">
        <v>3302</v>
      </c>
      <c r="C1026" s="860" t="s">
        <v>1579</v>
      </c>
    </row>
    <row r="1027" spans="1:3" x14ac:dyDescent="0.35">
      <c r="A1027" s="869">
        <v>1208</v>
      </c>
      <c r="B1027" s="861" t="s">
        <v>3303</v>
      </c>
      <c r="C1027" s="861" t="s">
        <v>1580</v>
      </c>
    </row>
    <row r="1028" spans="1:3" x14ac:dyDescent="0.35">
      <c r="A1028" s="869">
        <v>1209</v>
      </c>
      <c r="B1028" s="860" t="s">
        <v>3304</v>
      </c>
      <c r="C1028" s="860" t="s">
        <v>338</v>
      </c>
    </row>
    <row r="1029" spans="1:3" ht="30" x14ac:dyDescent="0.35">
      <c r="A1029" s="869">
        <v>1210</v>
      </c>
      <c r="B1029" s="861" t="s">
        <v>3305</v>
      </c>
      <c r="C1029" s="861" t="s">
        <v>1768</v>
      </c>
    </row>
    <row r="1030" spans="1:3" x14ac:dyDescent="0.35">
      <c r="A1030" s="869">
        <v>1211</v>
      </c>
      <c r="B1030" s="860" t="s">
        <v>1604</v>
      </c>
      <c r="C1030" s="860" t="s">
        <v>1604</v>
      </c>
    </row>
    <row r="1031" spans="1:3" ht="20" x14ac:dyDescent="0.35">
      <c r="A1031" s="869">
        <v>1212</v>
      </c>
      <c r="B1031" s="861" t="s">
        <v>3306</v>
      </c>
      <c r="C1031" s="861" t="s">
        <v>1566</v>
      </c>
    </row>
    <row r="1032" spans="1:3" x14ac:dyDescent="0.35">
      <c r="A1032" s="869">
        <v>1213</v>
      </c>
      <c r="B1032" s="860" t="s">
        <v>1605</v>
      </c>
      <c r="C1032" s="860" t="s">
        <v>1605</v>
      </c>
    </row>
    <row r="1033" spans="1:3" ht="20" x14ac:dyDescent="0.35">
      <c r="A1033" s="869">
        <v>1214</v>
      </c>
      <c r="B1033" s="861" t="s">
        <v>3307</v>
      </c>
      <c r="C1033" s="861" t="s">
        <v>1764</v>
      </c>
    </row>
    <row r="1034" spans="1:3" x14ac:dyDescent="0.35">
      <c r="A1034" s="869">
        <v>1215</v>
      </c>
      <c r="B1034" s="861" t="s">
        <v>3308</v>
      </c>
      <c r="C1034" s="861" t="s">
        <v>1779</v>
      </c>
    </row>
    <row r="1035" spans="1:3" ht="20" x14ac:dyDescent="0.35">
      <c r="A1035" s="869">
        <v>1216</v>
      </c>
      <c r="B1035" s="861" t="s">
        <v>3309</v>
      </c>
      <c r="C1035" s="861" t="s">
        <v>1780</v>
      </c>
    </row>
    <row r="1036" spans="1:3" x14ac:dyDescent="0.35">
      <c r="A1036" s="869">
        <v>1217</v>
      </c>
      <c r="B1036" s="860" t="s">
        <v>3310</v>
      </c>
      <c r="C1036" s="860" t="s">
        <v>339</v>
      </c>
    </row>
    <row r="1037" spans="1:3" ht="20" x14ac:dyDescent="0.35">
      <c r="A1037" s="869">
        <v>1218</v>
      </c>
      <c r="B1037" s="861" t="s">
        <v>3311</v>
      </c>
      <c r="C1037" s="861" t="s">
        <v>1561</v>
      </c>
    </row>
    <row r="1038" spans="1:3" x14ac:dyDescent="0.35">
      <c r="A1038" s="869">
        <v>1219</v>
      </c>
      <c r="B1038" s="860" t="s">
        <v>3312</v>
      </c>
      <c r="C1038" s="860" t="s">
        <v>1560</v>
      </c>
    </row>
    <row r="1039" spans="1:3" ht="20" x14ac:dyDescent="0.35">
      <c r="A1039" s="869">
        <v>1220</v>
      </c>
      <c r="B1039" s="861" t="s">
        <v>3313</v>
      </c>
      <c r="C1039" s="861" t="s">
        <v>1570</v>
      </c>
    </row>
    <row r="1040" spans="1:3" ht="20" x14ac:dyDescent="0.35">
      <c r="A1040" s="869">
        <v>1221</v>
      </c>
      <c r="B1040" s="861" t="s">
        <v>3314</v>
      </c>
      <c r="C1040" s="861" t="s">
        <v>1535</v>
      </c>
    </row>
    <row r="1041" spans="1:3" ht="20" x14ac:dyDescent="0.35">
      <c r="A1041" s="869">
        <v>1222</v>
      </c>
      <c r="B1041" s="861" t="s">
        <v>3315</v>
      </c>
      <c r="C1041" s="861" t="s">
        <v>1534</v>
      </c>
    </row>
    <row r="1042" spans="1:3" x14ac:dyDescent="0.35">
      <c r="A1042" s="869">
        <v>1223</v>
      </c>
      <c r="B1042" s="860" t="s">
        <v>3316</v>
      </c>
      <c r="C1042" s="860" t="s">
        <v>1381</v>
      </c>
    </row>
    <row r="1043" spans="1:3" x14ac:dyDescent="0.35">
      <c r="A1043" s="869">
        <v>1224</v>
      </c>
      <c r="B1043" s="861" t="s">
        <v>3317</v>
      </c>
      <c r="C1043" s="861" t="s">
        <v>1382</v>
      </c>
    </row>
    <row r="1044" spans="1:3" x14ac:dyDescent="0.35">
      <c r="A1044" s="869">
        <v>1225</v>
      </c>
      <c r="B1044" s="1785" t="s">
        <v>3318</v>
      </c>
      <c r="C1044" s="1785" t="s">
        <v>1575</v>
      </c>
    </row>
    <row r="1045" spans="1:3" ht="30" x14ac:dyDescent="0.35">
      <c r="A1045" s="869">
        <v>1226</v>
      </c>
      <c r="B1045" s="1785" t="s">
        <v>3319</v>
      </c>
      <c r="C1045" s="1785" t="s">
        <v>1569</v>
      </c>
    </row>
    <row r="1046" spans="1:3" ht="40" x14ac:dyDescent="0.35">
      <c r="A1046" s="869">
        <v>1227</v>
      </c>
      <c r="B1046" s="859" t="s">
        <v>3320</v>
      </c>
      <c r="C1046" s="859" t="s">
        <v>1765</v>
      </c>
    </row>
    <row r="1047" spans="1:3" x14ac:dyDescent="0.35">
      <c r="A1047" s="869">
        <v>1228</v>
      </c>
      <c r="B1047" s="861" t="s">
        <v>3321</v>
      </c>
      <c r="C1047" s="861" t="s">
        <v>1576</v>
      </c>
    </row>
    <row r="1048" spans="1:3" ht="20" x14ac:dyDescent="0.35">
      <c r="A1048" s="869">
        <v>1229</v>
      </c>
      <c r="B1048" s="861" t="s">
        <v>3322</v>
      </c>
      <c r="C1048" s="861" t="s">
        <v>1837</v>
      </c>
    </row>
    <row r="1049" spans="1:3" x14ac:dyDescent="0.35">
      <c r="A1049" s="869">
        <v>1230</v>
      </c>
      <c r="B1049" s="862" t="s">
        <v>3323</v>
      </c>
      <c r="C1049" s="862" t="s">
        <v>1577</v>
      </c>
    </row>
    <row r="1050" spans="1:3" ht="30.5" thickBot="1" x14ac:dyDescent="0.4">
      <c r="A1050" s="869">
        <v>1231</v>
      </c>
      <c r="B1050" s="862" t="s">
        <v>3324</v>
      </c>
      <c r="C1050" s="862" t="s">
        <v>1766</v>
      </c>
    </row>
    <row r="1051" spans="1:3" ht="91.5" thickBot="1" x14ac:dyDescent="0.4">
      <c r="A1051" s="869">
        <v>1232</v>
      </c>
      <c r="B1051" s="883" t="s">
        <v>3325</v>
      </c>
      <c r="C1051" s="883" t="s">
        <v>1767</v>
      </c>
    </row>
    <row r="1052" spans="1:3" x14ac:dyDescent="0.35">
      <c r="A1052" s="869">
        <v>1233</v>
      </c>
      <c r="B1052" s="786" t="s">
        <v>3326</v>
      </c>
      <c r="C1052" s="786" t="s">
        <v>1578</v>
      </c>
    </row>
    <row r="1053" spans="1:3" x14ac:dyDescent="0.35">
      <c r="A1053" s="869">
        <v>1234</v>
      </c>
      <c r="B1053" s="819" t="s">
        <v>3327</v>
      </c>
      <c r="C1053" s="819" t="s">
        <v>95</v>
      </c>
    </row>
    <row r="1054" spans="1:3" x14ac:dyDescent="0.35">
      <c r="A1054" s="869">
        <v>1235</v>
      </c>
      <c r="B1054" s="863" t="s">
        <v>3328</v>
      </c>
      <c r="C1054" s="863" t="s">
        <v>341</v>
      </c>
    </row>
    <row r="1055" spans="1:3" x14ac:dyDescent="0.35">
      <c r="A1055" s="869">
        <v>1236</v>
      </c>
      <c r="B1055" s="863" t="s">
        <v>3329</v>
      </c>
      <c r="C1055" s="863" t="s">
        <v>1571</v>
      </c>
    </row>
    <row r="1056" spans="1:3" x14ac:dyDescent="0.35">
      <c r="A1056" s="869">
        <v>1237</v>
      </c>
      <c r="B1056" s="1811" t="s">
        <v>3330</v>
      </c>
      <c r="C1056" s="1811" t="s">
        <v>1654</v>
      </c>
    </row>
    <row r="1057" spans="1:3" x14ac:dyDescent="0.35">
      <c r="A1057" s="869">
        <v>1238</v>
      </c>
      <c r="B1057" s="899" t="s">
        <v>3331</v>
      </c>
      <c r="C1057" s="899" t="s">
        <v>1585</v>
      </c>
    </row>
    <row r="1058" spans="1:3" x14ac:dyDescent="0.35">
      <c r="A1058" s="869">
        <v>1239</v>
      </c>
      <c r="B1058" s="899" t="s">
        <v>3332</v>
      </c>
      <c r="C1058" s="899" t="s">
        <v>1586</v>
      </c>
    </row>
    <row r="1059" spans="1:3" x14ac:dyDescent="0.35">
      <c r="A1059" s="869">
        <v>1240</v>
      </c>
      <c r="B1059" s="1798" t="s">
        <v>3333</v>
      </c>
      <c r="C1059" s="1798" t="s">
        <v>1655</v>
      </c>
    </row>
    <row r="1060" spans="1:3" x14ac:dyDescent="0.35">
      <c r="A1060" s="869">
        <v>1241</v>
      </c>
      <c r="B1060" s="1798" t="s">
        <v>3334</v>
      </c>
      <c r="C1060" s="1798" t="s">
        <v>1656</v>
      </c>
    </row>
    <row r="1061" spans="1:3" x14ac:dyDescent="0.35">
      <c r="A1061" s="869">
        <v>1242</v>
      </c>
      <c r="B1061" s="1798" t="s">
        <v>3335</v>
      </c>
      <c r="C1061" s="1798" t="s">
        <v>1657</v>
      </c>
    </row>
    <row r="1062" spans="1:3" x14ac:dyDescent="0.35">
      <c r="A1062" s="869">
        <v>1243</v>
      </c>
      <c r="B1062" s="1798" t="s">
        <v>3336</v>
      </c>
      <c r="C1062" s="1798" t="s">
        <v>1658</v>
      </c>
    </row>
    <row r="1063" spans="1:3" x14ac:dyDescent="0.35">
      <c r="A1063" s="869">
        <v>1244</v>
      </c>
      <c r="B1063" s="1798" t="s">
        <v>3337</v>
      </c>
      <c r="C1063" s="1798" t="s">
        <v>1659</v>
      </c>
    </row>
    <row r="1064" spans="1:3" ht="15.5" x14ac:dyDescent="0.35">
      <c r="A1064" s="869">
        <v>1245</v>
      </c>
      <c r="B1064" s="770" t="s">
        <v>3338</v>
      </c>
      <c r="C1064" s="770" t="s">
        <v>16</v>
      </c>
    </row>
    <row r="1065" spans="1:3" ht="50" x14ac:dyDescent="0.35">
      <c r="A1065" s="869">
        <v>1246</v>
      </c>
      <c r="B1065" s="810" t="s">
        <v>3339</v>
      </c>
      <c r="C1065" s="810" t="s">
        <v>1769</v>
      </c>
    </row>
    <row r="1066" spans="1:3" ht="20" x14ac:dyDescent="0.35">
      <c r="A1066" s="869">
        <v>1247</v>
      </c>
      <c r="B1066" s="810" t="s">
        <v>3340</v>
      </c>
      <c r="C1066" s="810" t="s">
        <v>1838</v>
      </c>
    </row>
    <row r="1067" spans="1:3" ht="20" x14ac:dyDescent="0.35">
      <c r="A1067" s="869">
        <v>1248</v>
      </c>
      <c r="B1067" s="810" t="s">
        <v>3341</v>
      </c>
      <c r="C1067" s="810" t="s">
        <v>1770</v>
      </c>
    </row>
    <row r="1068" spans="1:3" x14ac:dyDescent="0.35">
      <c r="A1068" s="869">
        <v>1249</v>
      </c>
      <c r="B1068" s="810" t="s">
        <v>3342</v>
      </c>
      <c r="C1068" s="810" t="s">
        <v>17</v>
      </c>
    </row>
    <row r="1069" spans="1:3" ht="20" x14ac:dyDescent="0.35">
      <c r="A1069" s="869">
        <v>1250</v>
      </c>
      <c r="B1069" s="810" t="s">
        <v>3343</v>
      </c>
      <c r="C1069" s="810" t="s">
        <v>1771</v>
      </c>
    </row>
    <row r="1070" spans="1:3" ht="30" x14ac:dyDescent="0.35">
      <c r="A1070" s="869">
        <v>1251</v>
      </c>
      <c r="B1070" s="810" t="s">
        <v>3344</v>
      </c>
      <c r="C1070" s="810" t="s">
        <v>1772</v>
      </c>
    </row>
    <row r="1071" spans="1:3" ht="30" x14ac:dyDescent="0.35">
      <c r="A1071" s="869">
        <v>1252</v>
      </c>
      <c r="B1071" s="810" t="s">
        <v>3345</v>
      </c>
      <c r="C1071" s="810" t="s">
        <v>1773</v>
      </c>
    </row>
    <row r="1072" spans="1:3" ht="20" x14ac:dyDescent="0.35">
      <c r="A1072" s="869">
        <v>1253</v>
      </c>
      <c r="B1072" s="810" t="s">
        <v>3346</v>
      </c>
      <c r="C1072" s="810" t="s">
        <v>18</v>
      </c>
    </row>
    <row r="1073" spans="1:3" ht="50" x14ac:dyDescent="0.35">
      <c r="A1073" s="869">
        <v>1254</v>
      </c>
      <c r="B1073" s="810" t="s">
        <v>3347</v>
      </c>
      <c r="C1073" s="810" t="s">
        <v>1839</v>
      </c>
    </row>
    <row r="1074" spans="1:3" ht="50" x14ac:dyDescent="0.35">
      <c r="A1074" s="869">
        <v>1255</v>
      </c>
      <c r="B1074" s="810" t="s">
        <v>3348</v>
      </c>
      <c r="C1074" s="810" t="s">
        <v>1706</v>
      </c>
    </row>
    <row r="1075" spans="1:3" ht="40" x14ac:dyDescent="0.35">
      <c r="A1075" s="869">
        <v>1256</v>
      </c>
      <c r="B1075" s="810" t="s">
        <v>3349</v>
      </c>
      <c r="C1075" s="810" t="s">
        <v>1690</v>
      </c>
    </row>
    <row r="1076" spans="1:3" ht="30.5" thickBot="1" x14ac:dyDescent="0.4">
      <c r="A1076" s="869">
        <v>1257</v>
      </c>
      <c r="B1076" s="810" t="s">
        <v>3350</v>
      </c>
      <c r="C1076" s="810" t="s">
        <v>620</v>
      </c>
    </row>
    <row r="1077" spans="1:3" ht="117.5" thickBot="1" x14ac:dyDescent="0.4">
      <c r="A1077" s="869">
        <v>1258</v>
      </c>
      <c r="B1077" s="883" t="s">
        <v>3351</v>
      </c>
      <c r="C1077" s="883" t="s">
        <v>1697</v>
      </c>
    </row>
    <row r="1078" spans="1:3" x14ac:dyDescent="0.35">
      <c r="A1078" s="869">
        <v>1259</v>
      </c>
      <c r="B1078" s="820" t="s">
        <v>3352</v>
      </c>
      <c r="C1078" s="820" t="s">
        <v>19</v>
      </c>
    </row>
    <row r="1079" spans="1:3" ht="40" x14ac:dyDescent="0.35">
      <c r="A1079" s="869">
        <v>1260</v>
      </c>
      <c r="B1079" s="810" t="s">
        <v>3353</v>
      </c>
      <c r="C1079" s="810" t="s">
        <v>1686</v>
      </c>
    </row>
    <row r="1080" spans="1:3" ht="20" x14ac:dyDescent="0.35">
      <c r="A1080" s="869">
        <v>1261</v>
      </c>
      <c r="B1080" s="809" t="s">
        <v>3354</v>
      </c>
      <c r="C1080" s="809" t="s">
        <v>243</v>
      </c>
    </row>
    <row r="1081" spans="1:3" x14ac:dyDescent="0.35">
      <c r="A1081" s="869">
        <v>1262</v>
      </c>
      <c r="B1081" s="14" t="s">
        <v>3355</v>
      </c>
      <c r="C1081" s="14" t="s">
        <v>1692</v>
      </c>
    </row>
    <row r="1082" spans="1:3" ht="20" x14ac:dyDescent="0.35">
      <c r="A1082" s="869">
        <v>1263</v>
      </c>
      <c r="B1082" s="810" t="s">
        <v>3356</v>
      </c>
      <c r="C1082" s="810" t="s">
        <v>1774</v>
      </c>
    </row>
    <row r="1083" spans="1:3" ht="20" x14ac:dyDescent="0.35">
      <c r="A1083" s="869">
        <v>1264</v>
      </c>
      <c r="B1083" s="810" t="s">
        <v>3357</v>
      </c>
      <c r="C1083" s="810" t="s">
        <v>1775</v>
      </c>
    </row>
    <row r="1084" spans="1:3" ht="20" x14ac:dyDescent="0.35">
      <c r="A1084" s="869">
        <v>1265</v>
      </c>
      <c r="B1084" s="810" t="s">
        <v>3358</v>
      </c>
      <c r="C1084" s="810" t="s">
        <v>1705</v>
      </c>
    </row>
    <row r="1085" spans="1:3" x14ac:dyDescent="0.35">
      <c r="A1085" s="869">
        <v>1266</v>
      </c>
      <c r="B1085" s="14" t="s">
        <v>3359</v>
      </c>
      <c r="C1085" s="14" t="s">
        <v>623</v>
      </c>
    </row>
    <row r="1086" spans="1:3" x14ac:dyDescent="0.35">
      <c r="A1086" s="869">
        <v>1267</v>
      </c>
      <c r="B1086" s="819" t="s">
        <v>3360</v>
      </c>
      <c r="C1086" s="819" t="s">
        <v>1840</v>
      </c>
    </row>
    <row r="1087" spans="1:3" x14ac:dyDescent="0.35">
      <c r="A1087" s="869">
        <v>1268</v>
      </c>
      <c r="B1087" s="819" t="s">
        <v>3361</v>
      </c>
      <c r="C1087" s="819" t="s">
        <v>1776</v>
      </c>
    </row>
    <row r="1088" spans="1:3" x14ac:dyDescent="0.35">
      <c r="A1088" s="869">
        <v>1269</v>
      </c>
      <c r="B1088" s="810" t="s">
        <v>3362</v>
      </c>
      <c r="C1088" s="810" t="s">
        <v>1777</v>
      </c>
    </row>
    <row r="1089" spans="1:3" x14ac:dyDescent="0.35">
      <c r="A1089" s="869">
        <v>1270</v>
      </c>
      <c r="B1089" s="14" t="s">
        <v>3363</v>
      </c>
      <c r="C1089" s="14" t="s">
        <v>1691</v>
      </c>
    </row>
    <row r="1090" spans="1:3" x14ac:dyDescent="0.35">
      <c r="A1090" s="869">
        <v>1271</v>
      </c>
      <c r="B1090" s="821" t="s">
        <v>3364</v>
      </c>
      <c r="C1090" s="821" t="s">
        <v>622</v>
      </c>
    </row>
    <row r="1091" spans="1:3" x14ac:dyDescent="0.35">
      <c r="A1091" s="869">
        <v>1272</v>
      </c>
      <c r="B1091" s="856" t="s">
        <v>3365</v>
      </c>
      <c r="C1091" s="856" t="s">
        <v>15</v>
      </c>
    </row>
    <row r="1092" spans="1:3" x14ac:dyDescent="0.35">
      <c r="A1092" s="869">
        <v>1273</v>
      </c>
      <c r="B1092" s="14" t="s">
        <v>3366</v>
      </c>
      <c r="C1092" s="14" t="s">
        <v>20</v>
      </c>
    </row>
    <row r="1093" spans="1:3" x14ac:dyDescent="0.35">
      <c r="A1093" s="869">
        <v>1274</v>
      </c>
      <c r="B1093" s="819" t="s">
        <v>3367</v>
      </c>
      <c r="C1093" s="819" t="s">
        <v>621</v>
      </c>
    </row>
    <row r="1094" spans="1:3" x14ac:dyDescent="0.35">
      <c r="A1094" s="869">
        <v>1275</v>
      </c>
      <c r="B1094" s="14" t="s">
        <v>3368</v>
      </c>
      <c r="C1094" s="14" t="s">
        <v>1689</v>
      </c>
    </row>
    <row r="1095" spans="1:3" ht="30" x14ac:dyDescent="0.35">
      <c r="A1095" s="869">
        <v>1276</v>
      </c>
      <c r="B1095" s="810" t="s">
        <v>3369</v>
      </c>
      <c r="C1095" s="810" t="s">
        <v>1707</v>
      </c>
    </row>
    <row r="1096" spans="1:3" ht="20" x14ac:dyDescent="0.35">
      <c r="A1096" s="869">
        <v>1277</v>
      </c>
      <c r="B1096" s="809" t="s">
        <v>3370</v>
      </c>
      <c r="C1096" s="809" t="s">
        <v>189</v>
      </c>
    </row>
    <row r="1097" spans="1:3" x14ac:dyDescent="0.35">
      <c r="A1097" s="869">
        <v>1278</v>
      </c>
      <c r="B1097" s="819" t="s">
        <v>1688</v>
      </c>
      <c r="C1097" s="819" t="s">
        <v>1688</v>
      </c>
    </row>
    <row r="1098" spans="1:3" x14ac:dyDescent="0.35">
      <c r="A1098" s="869">
        <v>1279</v>
      </c>
      <c r="B1098" s="819" t="s">
        <v>3371</v>
      </c>
      <c r="C1098" s="819" t="s">
        <v>624</v>
      </c>
    </row>
    <row r="1099" spans="1:3" x14ac:dyDescent="0.35">
      <c r="A1099" s="869">
        <v>1280</v>
      </c>
      <c r="B1099" s="14" t="s">
        <v>3372</v>
      </c>
      <c r="C1099" s="14" t="s">
        <v>1714</v>
      </c>
    </row>
    <row r="1100" spans="1:3" ht="30" x14ac:dyDescent="0.35">
      <c r="A1100" s="869">
        <v>1281</v>
      </c>
      <c r="B1100" s="810" t="s">
        <v>3373</v>
      </c>
      <c r="C1100" s="810" t="s">
        <v>1715</v>
      </c>
    </row>
    <row r="1101" spans="1:3" ht="20" x14ac:dyDescent="0.35">
      <c r="A1101" s="869">
        <v>1282</v>
      </c>
      <c r="B1101" s="810" t="s">
        <v>3374</v>
      </c>
      <c r="C1101" s="810" t="s">
        <v>2301</v>
      </c>
    </row>
    <row r="1102" spans="1:3" x14ac:dyDescent="0.35">
      <c r="A1102" s="869">
        <v>1283</v>
      </c>
      <c r="B1102" s="14" t="s">
        <v>3375</v>
      </c>
      <c r="C1102" s="14" t="s">
        <v>1687</v>
      </c>
    </row>
    <row r="1103" spans="1:3" ht="50" x14ac:dyDescent="0.35">
      <c r="A1103" s="869">
        <v>1284</v>
      </c>
      <c r="B1103" s="810" t="s">
        <v>3376</v>
      </c>
      <c r="C1103" s="810" t="s">
        <v>1713</v>
      </c>
    </row>
    <row r="1104" spans="1:3" x14ac:dyDescent="0.35">
      <c r="A1104" s="869">
        <v>1285</v>
      </c>
      <c r="B1104" s="898" t="s">
        <v>3377</v>
      </c>
      <c r="C1104" s="898" t="s">
        <v>190</v>
      </c>
    </row>
    <row r="1105" spans="1:3" x14ac:dyDescent="0.35">
      <c r="A1105" s="869">
        <v>1286</v>
      </c>
      <c r="B1105" s="884" t="s">
        <v>3378</v>
      </c>
      <c r="C1105" s="884" t="s">
        <v>949</v>
      </c>
    </row>
    <row r="1106" spans="1:3" x14ac:dyDescent="0.35">
      <c r="A1106" s="869">
        <v>1287</v>
      </c>
      <c r="B1106" s="884" t="s">
        <v>3379</v>
      </c>
      <c r="C1106" s="884" t="s">
        <v>950</v>
      </c>
    </row>
    <row r="1107" spans="1:3" x14ac:dyDescent="0.35">
      <c r="A1107" s="869">
        <v>1288</v>
      </c>
      <c r="B1107" s="885" t="s">
        <v>3380</v>
      </c>
      <c r="C1107" s="885" t="s">
        <v>51</v>
      </c>
    </row>
    <row r="1108" spans="1:3" x14ac:dyDescent="0.35">
      <c r="A1108" s="869">
        <v>1289</v>
      </c>
      <c r="B1108" s="885" t="s">
        <v>3381</v>
      </c>
      <c r="C1108" s="885" t="s">
        <v>52</v>
      </c>
    </row>
    <row r="1109" spans="1:3" x14ac:dyDescent="0.35">
      <c r="A1109" s="869">
        <v>1290</v>
      </c>
      <c r="B1109" s="885" t="s">
        <v>3382</v>
      </c>
      <c r="C1109" s="885" t="s">
        <v>1105</v>
      </c>
    </row>
    <row r="1110" spans="1:3" x14ac:dyDescent="0.35">
      <c r="A1110" s="869">
        <v>1291</v>
      </c>
      <c r="B1110" s="885" t="s">
        <v>97</v>
      </c>
      <c r="C1110" s="885" t="s">
        <v>97</v>
      </c>
    </row>
    <row r="1111" spans="1:3" x14ac:dyDescent="0.35">
      <c r="A1111" s="869">
        <v>1292</v>
      </c>
      <c r="B1111" s="885" t="s">
        <v>3383</v>
      </c>
      <c r="C1111" s="885" t="s">
        <v>490</v>
      </c>
    </row>
    <row r="1112" spans="1:3" x14ac:dyDescent="0.35">
      <c r="A1112" s="869">
        <v>1293</v>
      </c>
      <c r="B1112" s="885" t="s">
        <v>3384</v>
      </c>
      <c r="C1112" s="885" t="s">
        <v>980</v>
      </c>
    </row>
    <row r="1113" spans="1:3" x14ac:dyDescent="0.35">
      <c r="A1113" s="869">
        <v>1294</v>
      </c>
      <c r="B1113" s="885" t="s">
        <v>3385</v>
      </c>
      <c r="C1113" s="885" t="s">
        <v>139</v>
      </c>
    </row>
    <row r="1114" spans="1:3" x14ac:dyDescent="0.35">
      <c r="A1114" s="869">
        <v>1295</v>
      </c>
      <c r="B1114" s="885" t="s">
        <v>3386</v>
      </c>
      <c r="C1114" s="885" t="s">
        <v>491</v>
      </c>
    </row>
    <row r="1115" spans="1:3" x14ac:dyDescent="0.35">
      <c r="A1115" s="869">
        <v>1296</v>
      </c>
      <c r="B1115" s="885" t="s">
        <v>3387</v>
      </c>
      <c r="C1115" s="885" t="s">
        <v>1680</v>
      </c>
    </row>
    <row r="1116" spans="1:3" x14ac:dyDescent="0.35">
      <c r="A1116" s="869">
        <v>1297</v>
      </c>
      <c r="B1116" s="885" t="s">
        <v>3388</v>
      </c>
      <c r="C1116" s="885" t="s">
        <v>900</v>
      </c>
    </row>
    <row r="1117" spans="1:3" x14ac:dyDescent="0.35">
      <c r="A1117" s="869">
        <v>1298</v>
      </c>
      <c r="B1117" s="885" t="s">
        <v>3389</v>
      </c>
      <c r="C1117" s="885" t="s">
        <v>1111</v>
      </c>
    </row>
    <row r="1118" spans="1:3" x14ac:dyDescent="0.35">
      <c r="A1118" s="869">
        <v>1299</v>
      </c>
      <c r="B1118" s="885" t="s">
        <v>3390</v>
      </c>
      <c r="C1118" s="885" t="s">
        <v>519</v>
      </c>
    </row>
    <row r="1119" spans="1:3" x14ac:dyDescent="0.35">
      <c r="A1119" s="869">
        <v>1300</v>
      </c>
      <c r="B1119" s="865" t="s">
        <v>3391</v>
      </c>
      <c r="C1119" s="865" t="s">
        <v>1336</v>
      </c>
    </row>
    <row r="1120" spans="1:3" x14ac:dyDescent="0.35">
      <c r="A1120" s="869">
        <v>1301</v>
      </c>
      <c r="B1120" s="865" t="s">
        <v>3392</v>
      </c>
      <c r="C1120" s="865" t="s">
        <v>1681</v>
      </c>
    </row>
    <row r="1121" spans="1:3" x14ac:dyDescent="0.35">
      <c r="A1121" s="869">
        <v>1302</v>
      </c>
      <c r="B1121" s="885" t="s">
        <v>3393</v>
      </c>
      <c r="C1121" s="885" t="s">
        <v>1165</v>
      </c>
    </row>
    <row r="1122" spans="1:3" x14ac:dyDescent="0.35">
      <c r="A1122" s="869">
        <v>1303</v>
      </c>
      <c r="B1122" s="865" t="s">
        <v>582</v>
      </c>
      <c r="C1122" s="864" t="s">
        <v>582</v>
      </c>
    </row>
    <row r="1123" spans="1:3" x14ac:dyDescent="0.35">
      <c r="A1123" s="869">
        <v>1304</v>
      </c>
      <c r="B1123" s="865" t="s">
        <v>583</v>
      </c>
      <c r="C1123" s="864" t="s">
        <v>583</v>
      </c>
    </row>
    <row r="1124" spans="1:3" x14ac:dyDescent="0.35">
      <c r="A1124" s="869">
        <v>1305</v>
      </c>
      <c r="B1124" s="885" t="s">
        <v>3394</v>
      </c>
      <c r="C1124" s="885" t="s">
        <v>532</v>
      </c>
    </row>
    <row r="1125" spans="1:3" x14ac:dyDescent="0.35">
      <c r="A1125" s="869">
        <v>1306</v>
      </c>
      <c r="B1125" s="885" t="s">
        <v>3395</v>
      </c>
      <c r="C1125" s="885" t="s">
        <v>535</v>
      </c>
    </row>
    <row r="1126" spans="1:3" x14ac:dyDescent="0.35">
      <c r="A1126" s="869">
        <v>1307</v>
      </c>
      <c r="B1126" s="885" t="s">
        <v>3396</v>
      </c>
      <c r="C1126" s="885" t="s">
        <v>1096</v>
      </c>
    </row>
    <row r="1127" spans="1:3" x14ac:dyDescent="0.35">
      <c r="A1127" s="869">
        <v>1308</v>
      </c>
      <c r="B1127" s="885" t="s">
        <v>3397</v>
      </c>
      <c r="C1127" s="885" t="s">
        <v>536</v>
      </c>
    </row>
    <row r="1128" spans="1:3" x14ac:dyDescent="0.35">
      <c r="A1128" s="869">
        <v>1309</v>
      </c>
      <c r="B1128" s="885" t="s">
        <v>3398</v>
      </c>
      <c r="C1128" s="885" t="s">
        <v>537</v>
      </c>
    </row>
    <row r="1129" spans="1:3" x14ac:dyDescent="0.35">
      <c r="A1129" s="869">
        <v>1310</v>
      </c>
      <c r="B1129" s="885" t="s">
        <v>3399</v>
      </c>
      <c r="C1129" s="885" t="s">
        <v>538</v>
      </c>
    </row>
    <row r="1130" spans="1:3" x14ac:dyDescent="0.35">
      <c r="A1130" s="869">
        <v>1311</v>
      </c>
      <c r="B1130" s="865" t="s">
        <v>3400</v>
      </c>
      <c r="C1130" s="864" t="s">
        <v>1037</v>
      </c>
    </row>
    <row r="1131" spans="1:3" x14ac:dyDescent="0.35">
      <c r="A1131" s="869">
        <v>1312</v>
      </c>
      <c r="B1131" s="865" t="s">
        <v>3401</v>
      </c>
      <c r="C1131" s="865" t="s">
        <v>1473</v>
      </c>
    </row>
    <row r="1132" spans="1:3" x14ac:dyDescent="0.35">
      <c r="A1132" s="869">
        <v>1313</v>
      </c>
      <c r="B1132" s="885" t="s">
        <v>3402</v>
      </c>
      <c r="C1132" s="885" t="s">
        <v>1038</v>
      </c>
    </row>
    <row r="1133" spans="1:3" x14ac:dyDescent="0.35">
      <c r="A1133" s="869">
        <v>1314</v>
      </c>
      <c r="B1133" s="885" t="s">
        <v>3403</v>
      </c>
      <c r="C1133" s="885" t="s">
        <v>1039</v>
      </c>
    </row>
    <row r="1134" spans="1:3" x14ac:dyDescent="0.35">
      <c r="A1134" s="869">
        <v>1315</v>
      </c>
      <c r="B1134" s="885" t="s">
        <v>3404</v>
      </c>
      <c r="C1134" s="885" t="s">
        <v>1040</v>
      </c>
    </row>
    <row r="1135" spans="1:3" x14ac:dyDescent="0.35">
      <c r="A1135" s="869">
        <v>1316</v>
      </c>
      <c r="B1135" s="885" t="s">
        <v>3405</v>
      </c>
      <c r="C1135" s="885" t="s">
        <v>1081</v>
      </c>
    </row>
    <row r="1136" spans="1:3" x14ac:dyDescent="0.35">
      <c r="A1136" s="869">
        <v>1317</v>
      </c>
      <c r="B1136" s="885" t="s">
        <v>3406</v>
      </c>
      <c r="C1136" s="885" t="s">
        <v>1082</v>
      </c>
    </row>
    <row r="1137" spans="1:3" x14ac:dyDescent="0.35">
      <c r="A1137" s="869">
        <v>1318</v>
      </c>
      <c r="B1137" s="885" t="s">
        <v>3407</v>
      </c>
      <c r="C1137" s="885" t="s">
        <v>705</v>
      </c>
    </row>
    <row r="1138" spans="1:3" x14ac:dyDescent="0.35">
      <c r="A1138" s="869">
        <v>1319</v>
      </c>
      <c r="B1138" s="865" t="s">
        <v>715</v>
      </c>
      <c r="C1138" s="864" t="s">
        <v>715</v>
      </c>
    </row>
    <row r="1139" spans="1:3" x14ac:dyDescent="0.35">
      <c r="A1139" s="869">
        <v>1320</v>
      </c>
      <c r="B1139" s="865" t="s">
        <v>3408</v>
      </c>
      <c r="C1139" s="864" t="s">
        <v>716</v>
      </c>
    </row>
    <row r="1140" spans="1:3" x14ac:dyDescent="0.35">
      <c r="A1140" s="869">
        <v>1321</v>
      </c>
      <c r="B1140" s="865" t="s">
        <v>3409</v>
      </c>
      <c r="C1140" s="864" t="s">
        <v>1149</v>
      </c>
    </row>
    <row r="1141" spans="1:3" x14ac:dyDescent="0.35">
      <c r="A1141" s="869">
        <v>1322</v>
      </c>
      <c r="B1141" s="865" t="s">
        <v>3410</v>
      </c>
      <c r="C1141" s="864" t="s">
        <v>1150</v>
      </c>
    </row>
    <row r="1142" spans="1:3" x14ac:dyDescent="0.35">
      <c r="A1142" s="869">
        <v>1323</v>
      </c>
      <c r="B1142" s="865" t="s">
        <v>3411</v>
      </c>
      <c r="C1142" s="864" t="s">
        <v>726</v>
      </c>
    </row>
    <row r="1143" spans="1:3" x14ac:dyDescent="0.35">
      <c r="A1143" s="869">
        <v>1324</v>
      </c>
      <c r="B1143" s="865" t="s">
        <v>3412</v>
      </c>
      <c r="C1143" s="864" t="s">
        <v>261</v>
      </c>
    </row>
    <row r="1144" spans="1:3" x14ac:dyDescent="0.35">
      <c r="A1144" s="869">
        <v>1325</v>
      </c>
      <c r="B1144" s="865" t="s">
        <v>3413</v>
      </c>
      <c r="C1144" s="864" t="s">
        <v>1074</v>
      </c>
    </row>
    <row r="1145" spans="1:3" x14ac:dyDescent="0.35">
      <c r="A1145" s="869">
        <v>1326</v>
      </c>
      <c r="B1145" s="865" t="s">
        <v>3414</v>
      </c>
      <c r="C1145" s="864" t="s">
        <v>1174</v>
      </c>
    </row>
    <row r="1146" spans="1:3" x14ac:dyDescent="0.35">
      <c r="A1146" s="869">
        <v>1327</v>
      </c>
      <c r="B1146" s="865" t="s">
        <v>3415</v>
      </c>
      <c r="C1146" s="864" t="s">
        <v>1130</v>
      </c>
    </row>
    <row r="1147" spans="1:3" x14ac:dyDescent="0.35">
      <c r="A1147" s="869">
        <v>1328</v>
      </c>
      <c r="B1147" s="865" t="s">
        <v>3416</v>
      </c>
      <c r="C1147" s="864" t="s">
        <v>755</v>
      </c>
    </row>
    <row r="1148" spans="1:3" x14ac:dyDescent="0.35">
      <c r="A1148" s="869">
        <v>1329</v>
      </c>
      <c r="B1148" s="865" t="s">
        <v>3417</v>
      </c>
      <c r="C1148" s="864" t="s">
        <v>421</v>
      </c>
    </row>
    <row r="1149" spans="1:3" x14ac:dyDescent="0.35">
      <c r="A1149" s="869">
        <v>1330</v>
      </c>
      <c r="B1149" s="865" t="s">
        <v>3418</v>
      </c>
      <c r="C1149" s="864" t="s">
        <v>1072</v>
      </c>
    </row>
    <row r="1150" spans="1:3" x14ac:dyDescent="0.35">
      <c r="A1150" s="869">
        <v>1331</v>
      </c>
      <c r="B1150" s="885" t="s">
        <v>3419</v>
      </c>
      <c r="C1150" s="885" t="s">
        <v>784</v>
      </c>
    </row>
    <row r="1151" spans="1:3" x14ac:dyDescent="0.35">
      <c r="A1151" s="869">
        <v>1332</v>
      </c>
      <c r="B1151" s="885" t="s">
        <v>3420</v>
      </c>
      <c r="C1151" s="885" t="s">
        <v>498</v>
      </c>
    </row>
    <row r="1152" spans="1:3" x14ac:dyDescent="0.35">
      <c r="A1152" s="869">
        <v>1333</v>
      </c>
      <c r="B1152" s="865" t="s">
        <v>3421</v>
      </c>
      <c r="C1152" s="864" t="s">
        <v>815</v>
      </c>
    </row>
    <row r="1153" spans="1:3" x14ac:dyDescent="0.35">
      <c r="A1153" s="869">
        <v>1334</v>
      </c>
      <c r="B1153" s="865" t="s">
        <v>3422</v>
      </c>
      <c r="C1153" s="864" t="s">
        <v>445</v>
      </c>
    </row>
    <row r="1154" spans="1:3" x14ac:dyDescent="0.35">
      <c r="A1154" s="869">
        <v>1335</v>
      </c>
      <c r="B1154" s="865" t="s">
        <v>3423</v>
      </c>
      <c r="C1154" s="864" t="s">
        <v>446</v>
      </c>
    </row>
    <row r="1155" spans="1:3" x14ac:dyDescent="0.35">
      <c r="A1155" s="869">
        <v>1336</v>
      </c>
      <c r="B1155" s="885" t="s">
        <v>3424</v>
      </c>
      <c r="C1155" s="885" t="s">
        <v>447</v>
      </c>
    </row>
    <row r="1156" spans="1:3" x14ac:dyDescent="0.35">
      <c r="A1156" s="869">
        <v>1337</v>
      </c>
      <c r="B1156" s="885" t="s">
        <v>3425</v>
      </c>
      <c r="C1156" s="885" t="s">
        <v>448</v>
      </c>
    </row>
    <row r="1157" spans="1:3" x14ac:dyDescent="0.35">
      <c r="A1157" s="869">
        <v>1338</v>
      </c>
      <c r="B1157" s="886" t="s">
        <v>3426</v>
      </c>
      <c r="C1157" s="886" t="s">
        <v>1229</v>
      </c>
    </row>
    <row r="1158" spans="1:3" x14ac:dyDescent="0.35">
      <c r="A1158" s="869">
        <v>1339</v>
      </c>
      <c r="B1158" s="885" t="s">
        <v>3427</v>
      </c>
      <c r="C1158" s="885" t="s">
        <v>449</v>
      </c>
    </row>
    <row r="1159" spans="1:3" x14ac:dyDescent="0.35">
      <c r="A1159" s="869">
        <v>1340</v>
      </c>
      <c r="B1159" s="885" t="s">
        <v>3428</v>
      </c>
      <c r="C1159" s="885" t="s">
        <v>450</v>
      </c>
    </row>
    <row r="1160" spans="1:3" x14ac:dyDescent="0.35">
      <c r="A1160" s="869">
        <v>1341</v>
      </c>
      <c r="B1160" s="885" t="s">
        <v>3429</v>
      </c>
      <c r="C1160" s="885" t="s">
        <v>451</v>
      </c>
    </row>
    <row r="1161" spans="1:3" x14ac:dyDescent="0.35">
      <c r="A1161" s="869">
        <v>1342</v>
      </c>
      <c r="B1161" s="885" t="s">
        <v>452</v>
      </c>
      <c r="C1161" s="885" t="s">
        <v>452</v>
      </c>
    </row>
    <row r="1162" spans="1:3" x14ac:dyDescent="0.35">
      <c r="A1162" s="869">
        <v>1343</v>
      </c>
      <c r="B1162" s="885" t="s">
        <v>3430</v>
      </c>
      <c r="C1162" s="885" t="s">
        <v>453</v>
      </c>
    </row>
    <row r="1163" spans="1:3" x14ac:dyDescent="0.35">
      <c r="A1163" s="869">
        <v>1344</v>
      </c>
      <c r="B1163" s="885" t="s">
        <v>3431</v>
      </c>
      <c r="C1163" s="885" t="s">
        <v>454</v>
      </c>
    </row>
    <row r="1164" spans="1:3" x14ac:dyDescent="0.35">
      <c r="A1164" s="869">
        <v>1345</v>
      </c>
      <c r="B1164" s="885" t="s">
        <v>3432</v>
      </c>
      <c r="C1164" s="885" t="s">
        <v>455</v>
      </c>
    </row>
    <row r="1165" spans="1:3" x14ac:dyDescent="0.35">
      <c r="A1165" s="869">
        <v>1346</v>
      </c>
      <c r="B1165" s="885" t="s">
        <v>3433</v>
      </c>
      <c r="C1165" s="885" t="s">
        <v>456</v>
      </c>
    </row>
    <row r="1166" spans="1:3" x14ac:dyDescent="0.35">
      <c r="A1166" s="869">
        <v>1347</v>
      </c>
      <c r="B1166" s="885" t="s">
        <v>3434</v>
      </c>
      <c r="C1166" s="885" t="s">
        <v>465</v>
      </c>
    </row>
    <row r="1167" spans="1:3" x14ac:dyDescent="0.35">
      <c r="A1167" s="869">
        <v>1348</v>
      </c>
      <c r="B1167" s="885" t="s">
        <v>3435</v>
      </c>
      <c r="C1167" s="885" t="s">
        <v>457</v>
      </c>
    </row>
    <row r="1168" spans="1:3" x14ac:dyDescent="0.35">
      <c r="A1168" s="869">
        <v>1349</v>
      </c>
      <c r="B1168" s="885" t="s">
        <v>3436</v>
      </c>
      <c r="C1168" s="885" t="s">
        <v>458</v>
      </c>
    </row>
    <row r="1169" spans="1:3" x14ac:dyDescent="0.35">
      <c r="A1169" s="869">
        <v>1350</v>
      </c>
      <c r="B1169" s="885" t="s">
        <v>3437</v>
      </c>
      <c r="C1169" s="885" t="s">
        <v>459</v>
      </c>
    </row>
    <row r="1170" spans="1:3" x14ac:dyDescent="0.35">
      <c r="A1170" s="869">
        <v>1351</v>
      </c>
      <c r="B1170" s="885" t="s">
        <v>941</v>
      </c>
      <c r="C1170" s="885" t="s">
        <v>941</v>
      </c>
    </row>
    <row r="1171" spans="1:3" x14ac:dyDescent="0.35">
      <c r="A1171" s="869">
        <v>1352</v>
      </c>
      <c r="B1171" s="885" t="s">
        <v>3438</v>
      </c>
      <c r="C1171" s="885" t="s">
        <v>460</v>
      </c>
    </row>
    <row r="1172" spans="1:3" x14ac:dyDescent="0.35">
      <c r="A1172" s="869">
        <v>1353</v>
      </c>
      <c r="B1172" s="885" t="s">
        <v>3439</v>
      </c>
      <c r="C1172" s="885" t="s">
        <v>461</v>
      </c>
    </row>
    <row r="1173" spans="1:3" x14ac:dyDescent="0.35">
      <c r="A1173" s="869">
        <v>1354</v>
      </c>
      <c r="B1173" s="885" t="s">
        <v>462</v>
      </c>
      <c r="C1173" s="885" t="s">
        <v>462</v>
      </c>
    </row>
    <row r="1174" spans="1:3" x14ac:dyDescent="0.35">
      <c r="A1174" s="869">
        <v>1355</v>
      </c>
      <c r="B1174" s="885" t="s">
        <v>3440</v>
      </c>
      <c r="C1174" s="885" t="s">
        <v>463</v>
      </c>
    </row>
    <row r="1175" spans="1:3" x14ac:dyDescent="0.35">
      <c r="A1175" s="869">
        <v>1356</v>
      </c>
      <c r="B1175" s="885" t="s">
        <v>3441</v>
      </c>
      <c r="C1175" s="885" t="s">
        <v>940</v>
      </c>
    </row>
    <row r="1176" spans="1:3" x14ac:dyDescent="0.35">
      <c r="A1176" s="869">
        <v>1357</v>
      </c>
      <c r="B1176" s="885" t="s">
        <v>3442</v>
      </c>
      <c r="C1176" s="885" t="s">
        <v>464</v>
      </c>
    </row>
    <row r="1177" spans="1:3" x14ac:dyDescent="0.35">
      <c r="A1177" s="869">
        <v>1358</v>
      </c>
      <c r="B1177" s="885" t="s">
        <v>1084</v>
      </c>
      <c r="C1177" s="885" t="s">
        <v>1084</v>
      </c>
    </row>
    <row r="1178" spans="1:3" x14ac:dyDescent="0.35">
      <c r="A1178" s="869">
        <v>1359</v>
      </c>
      <c r="B1178" s="885" t="s">
        <v>3443</v>
      </c>
      <c r="C1178" s="885" t="s">
        <v>1085</v>
      </c>
    </row>
    <row r="1179" spans="1:3" x14ac:dyDescent="0.35">
      <c r="A1179" s="869">
        <v>1360</v>
      </c>
      <c r="B1179" s="885" t="s">
        <v>3444</v>
      </c>
      <c r="C1179" s="885" t="s">
        <v>1086</v>
      </c>
    </row>
    <row r="1180" spans="1:3" x14ac:dyDescent="0.35">
      <c r="A1180" s="869">
        <v>1361</v>
      </c>
      <c r="B1180" s="885" t="s">
        <v>3445</v>
      </c>
      <c r="C1180" s="885" t="s">
        <v>1087</v>
      </c>
    </row>
    <row r="1181" spans="1:3" x14ac:dyDescent="0.35">
      <c r="A1181" s="869">
        <v>1362</v>
      </c>
      <c r="B1181" s="885" t="s">
        <v>3446</v>
      </c>
      <c r="C1181" s="885" t="s">
        <v>1052</v>
      </c>
    </row>
    <row r="1182" spans="1:3" x14ac:dyDescent="0.35">
      <c r="A1182" s="869">
        <v>1363</v>
      </c>
      <c r="B1182" s="885" t="s">
        <v>3447</v>
      </c>
      <c r="C1182" s="885" t="s">
        <v>1053</v>
      </c>
    </row>
    <row r="1183" spans="1:3" x14ac:dyDescent="0.35">
      <c r="A1183" s="869">
        <v>1364</v>
      </c>
      <c r="B1183" s="885" t="s">
        <v>3448</v>
      </c>
      <c r="C1183" s="885" t="s">
        <v>1054</v>
      </c>
    </row>
    <row r="1184" spans="1:3" x14ac:dyDescent="0.35">
      <c r="A1184" s="869">
        <v>1398</v>
      </c>
      <c r="B1184" s="865" t="s">
        <v>3449</v>
      </c>
      <c r="C1184" s="865" t="s">
        <v>1823</v>
      </c>
    </row>
    <row r="1185" spans="1:3" x14ac:dyDescent="0.35">
      <c r="A1185" s="869">
        <v>1401</v>
      </c>
      <c r="B1185" s="865" t="s">
        <v>3450</v>
      </c>
      <c r="C1185" s="864" t="s">
        <v>966</v>
      </c>
    </row>
    <row r="1186" spans="1:3" x14ac:dyDescent="0.35">
      <c r="A1186" s="869">
        <v>1403</v>
      </c>
      <c r="B1186" s="865" t="s">
        <v>3451</v>
      </c>
      <c r="C1186" s="864" t="s">
        <v>969</v>
      </c>
    </row>
    <row r="1187" spans="1:3" x14ac:dyDescent="0.35">
      <c r="A1187" s="869">
        <v>1404</v>
      </c>
      <c r="B1187" s="865" t="s">
        <v>3452</v>
      </c>
      <c r="C1187" s="864" t="s">
        <v>973</v>
      </c>
    </row>
    <row r="1188" spans="1:3" x14ac:dyDescent="0.35">
      <c r="A1188" s="869">
        <v>1405</v>
      </c>
      <c r="B1188" s="865" t="s">
        <v>3453</v>
      </c>
      <c r="C1188" s="864" t="s">
        <v>975</v>
      </c>
    </row>
    <row r="1189" spans="1:3" x14ac:dyDescent="0.35">
      <c r="A1189" s="869">
        <v>1406</v>
      </c>
      <c r="B1189" s="865" t="s">
        <v>3454</v>
      </c>
      <c r="C1189" s="864" t="s">
        <v>977</v>
      </c>
    </row>
    <row r="1190" spans="1:3" x14ac:dyDescent="0.35">
      <c r="A1190" s="869">
        <v>1407</v>
      </c>
      <c r="B1190" s="865" t="s">
        <v>3455</v>
      </c>
      <c r="C1190" s="864" t="s">
        <v>476</v>
      </c>
    </row>
    <row r="1191" spans="1:3" x14ac:dyDescent="0.35">
      <c r="A1191" s="869">
        <v>1408</v>
      </c>
      <c r="B1191" s="865" t="s">
        <v>3456</v>
      </c>
      <c r="C1191" s="864" t="s">
        <v>473</v>
      </c>
    </row>
    <row r="1192" spans="1:3" x14ac:dyDescent="0.35">
      <c r="A1192" s="869">
        <v>1410</v>
      </c>
      <c r="B1192" s="865" t="s">
        <v>3457</v>
      </c>
      <c r="C1192" s="864" t="s">
        <v>239</v>
      </c>
    </row>
    <row r="1193" spans="1:3" x14ac:dyDescent="0.35">
      <c r="A1193" s="869">
        <v>1411</v>
      </c>
      <c r="B1193" s="865" t="s">
        <v>3458</v>
      </c>
      <c r="C1193" s="865" t="s">
        <v>1538</v>
      </c>
    </row>
    <row r="1194" spans="1:3" x14ac:dyDescent="0.35">
      <c r="A1194" s="869">
        <v>1412</v>
      </c>
      <c r="B1194" s="865" t="s">
        <v>3459</v>
      </c>
      <c r="C1194" s="864" t="s">
        <v>1057</v>
      </c>
    </row>
    <row r="1195" spans="1:3" x14ac:dyDescent="0.35">
      <c r="A1195" s="869">
        <v>1413</v>
      </c>
      <c r="B1195" s="865" t="s">
        <v>3460</v>
      </c>
      <c r="C1195" s="864" t="s">
        <v>1059</v>
      </c>
    </row>
    <row r="1196" spans="1:3" x14ac:dyDescent="0.35">
      <c r="A1196" s="869">
        <v>1414</v>
      </c>
      <c r="B1196" s="865" t="s">
        <v>3461</v>
      </c>
      <c r="C1196" s="864" t="s">
        <v>1062</v>
      </c>
    </row>
    <row r="1197" spans="1:3" x14ac:dyDescent="0.35">
      <c r="A1197" s="869">
        <v>1415</v>
      </c>
      <c r="B1197" s="865" t="s">
        <v>3462</v>
      </c>
      <c r="C1197" s="864" t="s">
        <v>482</v>
      </c>
    </row>
    <row r="1198" spans="1:3" x14ac:dyDescent="0.35">
      <c r="A1198" s="869">
        <v>1416</v>
      </c>
      <c r="B1198" s="865" t="s">
        <v>3463</v>
      </c>
      <c r="C1198" s="864" t="s">
        <v>485</v>
      </c>
    </row>
    <row r="1199" spans="1:3" x14ac:dyDescent="0.35">
      <c r="A1199" s="869">
        <v>1417</v>
      </c>
      <c r="B1199" s="865" t="s">
        <v>3464</v>
      </c>
      <c r="C1199" s="864" t="s">
        <v>488</v>
      </c>
    </row>
    <row r="1200" spans="1:3" x14ac:dyDescent="0.35">
      <c r="A1200" s="869">
        <v>1418</v>
      </c>
      <c r="B1200" s="865" t="s">
        <v>3465</v>
      </c>
      <c r="C1200" s="864" t="s">
        <v>493</v>
      </c>
    </row>
    <row r="1201" spans="1:3" x14ac:dyDescent="0.35">
      <c r="A1201" s="869">
        <v>1419</v>
      </c>
      <c r="B1201" s="865" t="s">
        <v>3466</v>
      </c>
      <c r="C1201" s="864" t="s">
        <v>836</v>
      </c>
    </row>
    <row r="1202" spans="1:3" x14ac:dyDescent="0.35">
      <c r="A1202" s="869">
        <v>1420</v>
      </c>
      <c r="B1202" s="865" t="s">
        <v>3467</v>
      </c>
      <c r="C1202" s="864" t="s">
        <v>122</v>
      </c>
    </row>
    <row r="1203" spans="1:3" x14ac:dyDescent="0.35">
      <c r="A1203" s="869">
        <v>1421</v>
      </c>
      <c r="B1203" s="865" t="s">
        <v>3468</v>
      </c>
      <c r="C1203" s="864" t="s">
        <v>123</v>
      </c>
    </row>
    <row r="1204" spans="1:3" x14ac:dyDescent="0.35">
      <c r="A1204" s="869">
        <v>1422</v>
      </c>
      <c r="B1204" s="865" t="s">
        <v>3469</v>
      </c>
      <c r="C1204" s="864" t="s">
        <v>130</v>
      </c>
    </row>
    <row r="1205" spans="1:3" x14ac:dyDescent="0.35">
      <c r="A1205" s="869">
        <v>1423</v>
      </c>
      <c r="B1205" s="865" t="s">
        <v>3470</v>
      </c>
      <c r="C1205" s="864" t="s">
        <v>192</v>
      </c>
    </row>
    <row r="1206" spans="1:3" x14ac:dyDescent="0.35">
      <c r="A1206" s="869">
        <v>1424</v>
      </c>
      <c r="B1206" s="865" t="s">
        <v>3471</v>
      </c>
      <c r="C1206" s="864" t="s">
        <v>191</v>
      </c>
    </row>
    <row r="1207" spans="1:3" x14ac:dyDescent="0.35">
      <c r="A1207" s="869">
        <v>1425</v>
      </c>
      <c r="B1207" s="865" t="s">
        <v>1699</v>
      </c>
      <c r="C1207" s="865" t="s">
        <v>1699</v>
      </c>
    </row>
    <row r="1208" spans="1:3" x14ac:dyDescent="0.35">
      <c r="A1208" s="869">
        <v>1426</v>
      </c>
      <c r="B1208" s="865" t="s">
        <v>3472</v>
      </c>
      <c r="C1208" s="865" t="s">
        <v>1700</v>
      </c>
    </row>
    <row r="1209" spans="1:3" x14ac:dyDescent="0.35">
      <c r="A1209" s="869">
        <v>1427</v>
      </c>
      <c r="B1209" s="887" t="s">
        <v>3473</v>
      </c>
      <c r="C1209" s="887" t="s">
        <v>778</v>
      </c>
    </row>
    <row r="1210" spans="1:3" x14ac:dyDescent="0.35">
      <c r="A1210" s="869">
        <v>1428</v>
      </c>
      <c r="B1210" s="885" t="s">
        <v>3474</v>
      </c>
      <c r="C1210" s="885" t="s">
        <v>984</v>
      </c>
    </row>
    <row r="1211" spans="1:3" x14ac:dyDescent="0.35">
      <c r="A1211" s="869">
        <v>1429</v>
      </c>
      <c r="B1211" s="885" t="s">
        <v>3475</v>
      </c>
      <c r="C1211" s="885" t="s">
        <v>166</v>
      </c>
    </row>
    <row r="1212" spans="1:3" x14ac:dyDescent="0.35">
      <c r="A1212" s="869">
        <v>1430</v>
      </c>
      <c r="B1212" s="885" t="s">
        <v>3476</v>
      </c>
      <c r="C1212" s="885" t="s">
        <v>779</v>
      </c>
    </row>
    <row r="1213" spans="1:3" x14ac:dyDescent="0.35">
      <c r="A1213" s="869">
        <v>1431</v>
      </c>
      <c r="B1213" s="888" t="s">
        <v>3477</v>
      </c>
      <c r="C1213" s="888" t="s">
        <v>172</v>
      </c>
    </row>
    <row r="1214" spans="1:3" x14ac:dyDescent="0.35">
      <c r="A1214" s="869">
        <v>1432</v>
      </c>
      <c r="B1214" s="888" t="s">
        <v>3478</v>
      </c>
      <c r="C1214" s="888" t="s">
        <v>175</v>
      </c>
    </row>
    <row r="1215" spans="1:3" x14ac:dyDescent="0.35">
      <c r="A1215" s="869">
        <v>1433</v>
      </c>
      <c r="B1215" s="888" t="s">
        <v>3479</v>
      </c>
      <c r="C1215" s="888" t="s">
        <v>177</v>
      </c>
    </row>
    <row r="1216" spans="1:3" x14ac:dyDescent="0.35">
      <c r="A1216" s="869">
        <v>1434</v>
      </c>
      <c r="B1216" s="888" t="s">
        <v>3480</v>
      </c>
      <c r="C1216" s="888" t="s">
        <v>179</v>
      </c>
    </row>
    <row r="1217" spans="1:3" x14ac:dyDescent="0.35">
      <c r="A1217" s="869">
        <v>1435</v>
      </c>
      <c r="B1217" s="888" t="s">
        <v>3481</v>
      </c>
      <c r="C1217" s="888" t="s">
        <v>1144</v>
      </c>
    </row>
    <row r="1218" spans="1:3" x14ac:dyDescent="0.35">
      <c r="A1218" s="869">
        <v>1436</v>
      </c>
      <c r="B1218" s="888" t="s">
        <v>3482</v>
      </c>
      <c r="C1218" s="888" t="s">
        <v>183</v>
      </c>
    </row>
    <row r="1219" spans="1:3" x14ac:dyDescent="0.35">
      <c r="A1219" s="869">
        <v>1437</v>
      </c>
      <c r="B1219" s="888" t="s">
        <v>3483</v>
      </c>
      <c r="C1219" s="888" t="s">
        <v>781</v>
      </c>
    </row>
    <row r="1220" spans="1:3" x14ac:dyDescent="0.35">
      <c r="A1220" s="869">
        <v>1438</v>
      </c>
      <c r="B1220" s="888" t="s">
        <v>3484</v>
      </c>
      <c r="C1220" s="888" t="s">
        <v>273</v>
      </c>
    </row>
    <row r="1221" spans="1:3" x14ac:dyDescent="0.35">
      <c r="A1221" s="869">
        <v>1439</v>
      </c>
      <c r="B1221" s="888" t="s">
        <v>3485</v>
      </c>
      <c r="C1221" s="888" t="s">
        <v>186</v>
      </c>
    </row>
    <row r="1222" spans="1:3" x14ac:dyDescent="0.35">
      <c r="A1222" s="869">
        <v>1440</v>
      </c>
      <c r="B1222" s="888" t="s">
        <v>3486</v>
      </c>
      <c r="C1222" s="888" t="s">
        <v>697</v>
      </c>
    </row>
    <row r="1223" spans="1:3" x14ac:dyDescent="0.35">
      <c r="A1223" s="869">
        <v>1441</v>
      </c>
      <c r="B1223" s="888" t="s">
        <v>3487</v>
      </c>
      <c r="C1223" s="888" t="s">
        <v>764</v>
      </c>
    </row>
    <row r="1224" spans="1:3" x14ac:dyDescent="0.35">
      <c r="A1224" s="869">
        <v>1442</v>
      </c>
      <c r="B1224" s="888" t="s">
        <v>3488</v>
      </c>
      <c r="C1224" s="888" t="s">
        <v>769</v>
      </c>
    </row>
    <row r="1225" spans="1:3" x14ac:dyDescent="0.35">
      <c r="A1225" s="869">
        <v>1443</v>
      </c>
      <c r="B1225" s="888" t="s">
        <v>3489</v>
      </c>
      <c r="C1225" s="888" t="s">
        <v>774</v>
      </c>
    </row>
    <row r="1226" spans="1:3" x14ac:dyDescent="0.35">
      <c r="A1226" s="869">
        <v>1444</v>
      </c>
      <c r="B1226" s="888" t="s">
        <v>3490</v>
      </c>
      <c r="C1226" s="888" t="s">
        <v>701</v>
      </c>
    </row>
    <row r="1227" spans="1:3" x14ac:dyDescent="0.35">
      <c r="A1227" s="869">
        <v>1445</v>
      </c>
      <c r="B1227" s="888" t="s">
        <v>3491</v>
      </c>
      <c r="C1227" s="888" t="s">
        <v>1063</v>
      </c>
    </row>
    <row r="1228" spans="1:3" x14ac:dyDescent="0.35">
      <c r="A1228" s="869">
        <v>1446</v>
      </c>
      <c r="B1228" s="888" t="s">
        <v>3492</v>
      </c>
      <c r="C1228" s="888" t="s">
        <v>1068</v>
      </c>
    </row>
    <row r="1229" spans="1:3" x14ac:dyDescent="0.35">
      <c r="A1229" s="869">
        <v>1447</v>
      </c>
      <c r="B1229" s="888" t="s">
        <v>3493</v>
      </c>
      <c r="C1229" s="888" t="s">
        <v>876</v>
      </c>
    </row>
    <row r="1230" spans="1:3" x14ac:dyDescent="0.35">
      <c r="A1230" s="869">
        <v>1448</v>
      </c>
      <c r="B1230" s="888" t="s">
        <v>3494</v>
      </c>
      <c r="C1230" s="888" t="s">
        <v>878</v>
      </c>
    </row>
    <row r="1231" spans="1:3" x14ac:dyDescent="0.35">
      <c r="A1231" s="869">
        <v>1449</v>
      </c>
      <c r="B1231" s="888" t="s">
        <v>3495</v>
      </c>
      <c r="C1231" s="888" t="s">
        <v>880</v>
      </c>
    </row>
    <row r="1232" spans="1:3" x14ac:dyDescent="0.35">
      <c r="A1232" s="869">
        <v>1450</v>
      </c>
      <c r="B1232" s="888" t="s">
        <v>3496</v>
      </c>
      <c r="C1232" s="888" t="s">
        <v>780</v>
      </c>
    </row>
    <row r="1233" spans="1:3" x14ac:dyDescent="0.35">
      <c r="A1233" s="869">
        <v>1451</v>
      </c>
      <c r="B1233" s="888" t="s">
        <v>3497</v>
      </c>
      <c r="C1233" s="888" t="s">
        <v>882</v>
      </c>
    </row>
    <row r="1234" spans="1:3" x14ac:dyDescent="0.35">
      <c r="A1234" s="869">
        <v>1452</v>
      </c>
      <c r="B1234" s="888" t="s">
        <v>3498</v>
      </c>
      <c r="C1234" s="888" t="s">
        <v>884</v>
      </c>
    </row>
    <row r="1235" spans="1:3" x14ac:dyDescent="0.35">
      <c r="A1235" s="869">
        <v>1453</v>
      </c>
      <c r="B1235" s="888" t="s">
        <v>3499</v>
      </c>
      <c r="C1235" s="888" t="s">
        <v>893</v>
      </c>
    </row>
    <row r="1236" spans="1:3" x14ac:dyDescent="0.35">
      <c r="A1236" s="869">
        <v>1454</v>
      </c>
      <c r="B1236" s="888" t="s">
        <v>3500</v>
      </c>
      <c r="C1236" s="888" t="s">
        <v>896</v>
      </c>
    </row>
    <row r="1237" spans="1:3" x14ac:dyDescent="0.35">
      <c r="A1237" s="869">
        <v>1455</v>
      </c>
      <c r="B1237" s="888" t="s">
        <v>3501</v>
      </c>
      <c r="C1237" s="888" t="s">
        <v>274</v>
      </c>
    </row>
    <row r="1238" spans="1:3" x14ac:dyDescent="0.35">
      <c r="A1238" s="869">
        <v>1456</v>
      </c>
      <c r="B1238" s="888" t="s">
        <v>3502</v>
      </c>
      <c r="C1238" s="888" t="s">
        <v>275</v>
      </c>
    </row>
    <row r="1239" spans="1:3" x14ac:dyDescent="0.35">
      <c r="A1239" s="869">
        <v>1457</v>
      </c>
      <c r="B1239" s="888" t="s">
        <v>3503</v>
      </c>
      <c r="C1239" s="888" t="s">
        <v>276</v>
      </c>
    </row>
    <row r="1240" spans="1:3" x14ac:dyDescent="0.35">
      <c r="A1240" s="869">
        <v>1458</v>
      </c>
      <c r="B1240" s="887" t="s">
        <v>3504</v>
      </c>
      <c r="C1240" s="887" t="s">
        <v>165</v>
      </c>
    </row>
    <row r="1241" spans="1:3" x14ac:dyDescent="0.35">
      <c r="A1241" s="869">
        <v>1459</v>
      </c>
      <c r="B1241" s="889" t="s">
        <v>3505</v>
      </c>
      <c r="C1241" s="889" t="s">
        <v>168</v>
      </c>
    </row>
    <row r="1242" spans="1:3" x14ac:dyDescent="0.35">
      <c r="A1242" s="869">
        <v>1460</v>
      </c>
      <c r="B1242" s="889" t="s">
        <v>3506</v>
      </c>
      <c r="C1242" s="889" t="s">
        <v>169</v>
      </c>
    </row>
    <row r="1243" spans="1:3" x14ac:dyDescent="0.35">
      <c r="A1243" s="869">
        <v>1461</v>
      </c>
      <c r="B1243" s="889" t="s">
        <v>3507</v>
      </c>
      <c r="C1243" s="889" t="s">
        <v>170</v>
      </c>
    </row>
    <row r="1244" spans="1:3" x14ac:dyDescent="0.35">
      <c r="A1244" s="869">
        <v>1462</v>
      </c>
      <c r="B1244" s="889" t="s">
        <v>3508</v>
      </c>
      <c r="C1244" s="889" t="s">
        <v>171</v>
      </c>
    </row>
    <row r="1245" spans="1:3" x14ac:dyDescent="0.35">
      <c r="A1245" s="869">
        <v>1463</v>
      </c>
      <c r="B1245" s="889" t="s">
        <v>3509</v>
      </c>
      <c r="C1245" s="889" t="s">
        <v>1004</v>
      </c>
    </row>
    <row r="1246" spans="1:3" x14ac:dyDescent="0.35">
      <c r="A1246" s="869">
        <v>1464</v>
      </c>
      <c r="B1246" s="1926" t="s">
        <v>481</v>
      </c>
      <c r="C1246" s="890" t="s">
        <v>481</v>
      </c>
    </row>
    <row r="1247" spans="1:3" x14ac:dyDescent="0.35">
      <c r="A1247" s="869">
        <v>1465</v>
      </c>
      <c r="B1247" s="891" t="s">
        <v>3510</v>
      </c>
      <c r="C1247" s="891" t="s">
        <v>1243</v>
      </c>
    </row>
    <row r="1248" spans="1:3" x14ac:dyDescent="0.35">
      <c r="A1248" s="869">
        <v>1466</v>
      </c>
      <c r="B1248" s="891" t="s">
        <v>3511</v>
      </c>
      <c r="C1248" s="891" t="s">
        <v>1294</v>
      </c>
    </row>
    <row r="1249" spans="1:3" x14ac:dyDescent="0.35">
      <c r="A1249" s="869">
        <v>1467</v>
      </c>
      <c r="B1249" s="891" t="s">
        <v>3512</v>
      </c>
      <c r="C1249" s="891" t="s">
        <v>1226</v>
      </c>
    </row>
    <row r="1250" spans="1:3" x14ac:dyDescent="0.35">
      <c r="A1250" s="869">
        <v>1468</v>
      </c>
      <c r="B1250" s="892" t="s">
        <v>3513</v>
      </c>
      <c r="C1250" s="892" t="s">
        <v>1525</v>
      </c>
    </row>
    <row r="1251" spans="1:3" x14ac:dyDescent="0.35">
      <c r="A1251" s="869">
        <v>1469</v>
      </c>
      <c r="B1251" s="892" t="s">
        <v>3514</v>
      </c>
      <c r="C1251" s="892" t="s">
        <v>1524</v>
      </c>
    </row>
    <row r="1252" spans="1:3" x14ac:dyDescent="0.35">
      <c r="A1252" s="869">
        <v>1470</v>
      </c>
      <c r="B1252" s="892" t="s">
        <v>3515</v>
      </c>
      <c r="C1252" s="892" t="s">
        <v>1531</v>
      </c>
    </row>
    <row r="1253" spans="1:3" x14ac:dyDescent="0.35">
      <c r="A1253" s="869">
        <v>1471</v>
      </c>
      <c r="B1253" s="893" t="s">
        <v>3516</v>
      </c>
      <c r="C1253" s="893" t="s">
        <v>173</v>
      </c>
    </row>
    <row r="1254" spans="1:3" x14ac:dyDescent="0.35">
      <c r="A1254" s="869">
        <v>1472</v>
      </c>
      <c r="B1254" s="893" t="s">
        <v>174</v>
      </c>
      <c r="C1254" s="893" t="s">
        <v>174</v>
      </c>
    </row>
    <row r="1255" spans="1:3" x14ac:dyDescent="0.35">
      <c r="A1255" s="869">
        <v>1473</v>
      </c>
      <c r="B1255" s="893" t="s">
        <v>3517</v>
      </c>
      <c r="C1255" s="893" t="s">
        <v>985</v>
      </c>
    </row>
    <row r="1256" spans="1:3" x14ac:dyDescent="0.35">
      <c r="A1256" s="869">
        <v>1474</v>
      </c>
      <c r="B1256" s="893" t="s">
        <v>3518</v>
      </c>
      <c r="C1256" s="893" t="s">
        <v>176</v>
      </c>
    </row>
    <row r="1257" spans="1:3" x14ac:dyDescent="0.35">
      <c r="A1257" s="869">
        <v>1475</v>
      </c>
      <c r="B1257" s="893" t="s">
        <v>3519</v>
      </c>
      <c r="C1257" s="893" t="s">
        <v>178</v>
      </c>
    </row>
    <row r="1258" spans="1:3" x14ac:dyDescent="0.35">
      <c r="A1258" s="869">
        <v>1476</v>
      </c>
      <c r="B1258" s="893" t="s">
        <v>3520</v>
      </c>
      <c r="C1258" s="893" t="s">
        <v>834</v>
      </c>
    </row>
    <row r="1259" spans="1:3" x14ac:dyDescent="0.35">
      <c r="A1259" s="869">
        <v>1477</v>
      </c>
      <c r="B1259" s="893" t="s">
        <v>3521</v>
      </c>
      <c r="C1259" s="893" t="s">
        <v>180</v>
      </c>
    </row>
    <row r="1260" spans="1:3" x14ac:dyDescent="0.35">
      <c r="A1260" s="869">
        <v>1478</v>
      </c>
      <c r="B1260" s="893" t="s">
        <v>3522</v>
      </c>
      <c r="C1260" s="893" t="s">
        <v>181</v>
      </c>
    </row>
    <row r="1261" spans="1:3" x14ac:dyDescent="0.35">
      <c r="A1261" s="869">
        <v>1479</v>
      </c>
      <c r="B1261" s="893" t="s">
        <v>3523</v>
      </c>
      <c r="C1261" s="893" t="s">
        <v>182</v>
      </c>
    </row>
    <row r="1262" spans="1:3" x14ac:dyDescent="0.35">
      <c r="A1262" s="869">
        <v>1480</v>
      </c>
      <c r="B1262" s="893" t="s">
        <v>3524</v>
      </c>
      <c r="C1262" s="893" t="s">
        <v>184</v>
      </c>
    </row>
    <row r="1263" spans="1:3" x14ac:dyDescent="0.35">
      <c r="A1263" s="869">
        <v>1481</v>
      </c>
      <c r="B1263" s="893" t="s">
        <v>3525</v>
      </c>
      <c r="C1263" s="893" t="s">
        <v>185</v>
      </c>
    </row>
    <row r="1264" spans="1:3" x14ac:dyDescent="0.35">
      <c r="A1264" s="869">
        <v>1482</v>
      </c>
      <c r="B1264" s="893" t="s">
        <v>3526</v>
      </c>
      <c r="C1264" s="893" t="s">
        <v>187</v>
      </c>
    </row>
    <row r="1265" spans="1:3" x14ac:dyDescent="0.35">
      <c r="A1265" s="869">
        <v>1483</v>
      </c>
      <c r="B1265" s="893" t="s">
        <v>3527</v>
      </c>
      <c r="C1265" s="893" t="s">
        <v>188</v>
      </c>
    </row>
    <row r="1266" spans="1:3" x14ac:dyDescent="0.35">
      <c r="A1266" s="869">
        <v>1484</v>
      </c>
      <c r="B1266" s="893" t="s">
        <v>3528</v>
      </c>
      <c r="C1266" s="893" t="s">
        <v>986</v>
      </c>
    </row>
    <row r="1267" spans="1:3" x14ac:dyDescent="0.35">
      <c r="A1267" s="869">
        <v>1485</v>
      </c>
      <c r="B1267" s="893" t="s">
        <v>3529</v>
      </c>
      <c r="C1267" s="893" t="s">
        <v>987</v>
      </c>
    </row>
    <row r="1268" spans="1:3" x14ac:dyDescent="0.35">
      <c r="A1268" s="869">
        <v>1486</v>
      </c>
      <c r="B1268" s="893" t="s">
        <v>3530</v>
      </c>
      <c r="C1268" s="893" t="s">
        <v>700</v>
      </c>
    </row>
    <row r="1269" spans="1:3" x14ac:dyDescent="0.35">
      <c r="A1269" s="869">
        <v>1487</v>
      </c>
      <c r="B1269" s="893" t="s">
        <v>3531</v>
      </c>
      <c r="C1269" s="893" t="s">
        <v>765</v>
      </c>
    </row>
    <row r="1270" spans="1:3" x14ac:dyDescent="0.35">
      <c r="A1270" s="869">
        <v>1488</v>
      </c>
      <c r="B1270" s="893" t="s">
        <v>3532</v>
      </c>
      <c r="C1270" s="893" t="s">
        <v>766</v>
      </c>
    </row>
    <row r="1271" spans="1:3" x14ac:dyDescent="0.35">
      <c r="A1271" s="869">
        <v>1489</v>
      </c>
      <c r="B1271" s="893" t="s">
        <v>3533</v>
      </c>
      <c r="C1271" s="893" t="s">
        <v>767</v>
      </c>
    </row>
    <row r="1272" spans="1:3" x14ac:dyDescent="0.35">
      <c r="A1272" s="869">
        <v>1490</v>
      </c>
      <c r="B1272" s="893" t="s">
        <v>3534</v>
      </c>
      <c r="C1272" s="893" t="s">
        <v>768</v>
      </c>
    </row>
    <row r="1273" spans="1:3" x14ac:dyDescent="0.35">
      <c r="A1273" s="869">
        <v>1491</v>
      </c>
      <c r="B1273" s="893" t="s">
        <v>3535</v>
      </c>
      <c r="C1273" s="893" t="s">
        <v>770</v>
      </c>
    </row>
    <row r="1274" spans="1:3" x14ac:dyDescent="0.35">
      <c r="A1274" s="869">
        <v>1492</v>
      </c>
      <c r="B1274" s="893" t="s">
        <v>3536</v>
      </c>
      <c r="C1274" s="893" t="s">
        <v>771</v>
      </c>
    </row>
    <row r="1275" spans="1:3" x14ac:dyDescent="0.35">
      <c r="A1275" s="869">
        <v>1493</v>
      </c>
      <c r="B1275" s="893" t="s">
        <v>3537</v>
      </c>
      <c r="C1275" s="893" t="s">
        <v>772</v>
      </c>
    </row>
    <row r="1276" spans="1:3" x14ac:dyDescent="0.35">
      <c r="A1276" s="869">
        <v>1494</v>
      </c>
      <c r="B1276" s="893" t="s">
        <v>3538</v>
      </c>
      <c r="C1276" s="893" t="s">
        <v>773</v>
      </c>
    </row>
    <row r="1277" spans="1:3" x14ac:dyDescent="0.35">
      <c r="A1277" s="869">
        <v>1495</v>
      </c>
      <c r="B1277" s="893" t="s">
        <v>3539</v>
      </c>
      <c r="C1277" s="893" t="s">
        <v>775</v>
      </c>
    </row>
    <row r="1278" spans="1:3" x14ac:dyDescent="0.35">
      <c r="A1278" s="869">
        <v>1496</v>
      </c>
      <c r="B1278" s="893" t="s">
        <v>3540</v>
      </c>
      <c r="C1278" s="893" t="s">
        <v>702</v>
      </c>
    </row>
    <row r="1279" spans="1:3" x14ac:dyDescent="0.35">
      <c r="A1279" s="869">
        <v>1497</v>
      </c>
      <c r="B1279" s="893" t="s">
        <v>3541</v>
      </c>
      <c r="C1279" s="893" t="s">
        <v>703</v>
      </c>
    </row>
    <row r="1280" spans="1:3" x14ac:dyDescent="0.35">
      <c r="A1280" s="869">
        <v>1498</v>
      </c>
      <c r="B1280" s="893" t="s">
        <v>3542</v>
      </c>
      <c r="C1280" s="893" t="s">
        <v>704</v>
      </c>
    </row>
    <row r="1281" spans="1:3" x14ac:dyDescent="0.35">
      <c r="A1281" s="869">
        <v>1499</v>
      </c>
      <c r="B1281" s="893" t="s">
        <v>3543</v>
      </c>
      <c r="C1281" s="893" t="s">
        <v>1064</v>
      </c>
    </row>
    <row r="1282" spans="1:3" x14ac:dyDescent="0.35">
      <c r="A1282" s="869">
        <v>1500</v>
      </c>
      <c r="B1282" s="893" t="s">
        <v>1065</v>
      </c>
      <c r="C1282" s="893" t="s">
        <v>1065</v>
      </c>
    </row>
    <row r="1283" spans="1:3" x14ac:dyDescent="0.35">
      <c r="A1283" s="869">
        <v>1501</v>
      </c>
      <c r="B1283" s="894" t="s">
        <v>3544</v>
      </c>
      <c r="C1283" s="894" t="s">
        <v>1736</v>
      </c>
    </row>
    <row r="1284" spans="1:3" x14ac:dyDescent="0.35">
      <c r="A1284" s="869">
        <v>1502</v>
      </c>
      <c r="B1284" s="893" t="s">
        <v>3545</v>
      </c>
      <c r="C1284" s="893" t="s">
        <v>1066</v>
      </c>
    </row>
    <row r="1285" spans="1:3" x14ac:dyDescent="0.35">
      <c r="A1285" s="869">
        <v>1503</v>
      </c>
      <c r="B1285" s="893" t="s">
        <v>3546</v>
      </c>
      <c r="C1285" s="893" t="s">
        <v>1067</v>
      </c>
    </row>
    <row r="1286" spans="1:3" x14ac:dyDescent="0.35">
      <c r="A1286" s="869">
        <v>1504</v>
      </c>
      <c r="B1286" s="893" t="s">
        <v>3547</v>
      </c>
      <c r="C1286" s="893" t="s">
        <v>706</v>
      </c>
    </row>
    <row r="1287" spans="1:3" x14ac:dyDescent="0.35">
      <c r="A1287" s="869">
        <v>1505</v>
      </c>
      <c r="B1287" s="893" t="s">
        <v>3548</v>
      </c>
      <c r="C1287" s="893" t="s">
        <v>1069</v>
      </c>
    </row>
    <row r="1288" spans="1:3" x14ac:dyDescent="0.35">
      <c r="A1288" s="869">
        <v>1506</v>
      </c>
      <c r="B1288" s="893" t="s">
        <v>3549</v>
      </c>
      <c r="C1288" s="893" t="s">
        <v>1070</v>
      </c>
    </row>
    <row r="1289" spans="1:3" x14ac:dyDescent="0.35">
      <c r="A1289" s="869">
        <v>1507</v>
      </c>
      <c r="B1289" s="893" t="s">
        <v>3550</v>
      </c>
      <c r="C1289" s="893" t="s">
        <v>42</v>
      </c>
    </row>
    <row r="1290" spans="1:3" x14ac:dyDescent="0.35">
      <c r="A1290" s="869">
        <v>1508</v>
      </c>
      <c r="B1290" s="893" t="s">
        <v>3551</v>
      </c>
      <c r="C1290" s="893" t="s">
        <v>43</v>
      </c>
    </row>
    <row r="1291" spans="1:3" x14ac:dyDescent="0.35">
      <c r="A1291" s="869">
        <v>1509</v>
      </c>
      <c r="B1291" s="893" t="s">
        <v>3552</v>
      </c>
      <c r="C1291" s="893" t="s">
        <v>44</v>
      </c>
    </row>
    <row r="1292" spans="1:3" x14ac:dyDescent="0.35">
      <c r="A1292" s="869">
        <v>1510</v>
      </c>
      <c r="B1292" s="893" t="s">
        <v>3553</v>
      </c>
      <c r="C1292" s="893" t="s">
        <v>45</v>
      </c>
    </row>
    <row r="1293" spans="1:3" x14ac:dyDescent="0.35">
      <c r="A1293" s="869">
        <v>1511</v>
      </c>
      <c r="B1293" s="893" t="s">
        <v>3554</v>
      </c>
      <c r="C1293" s="893" t="s">
        <v>46</v>
      </c>
    </row>
    <row r="1294" spans="1:3" x14ac:dyDescent="0.35">
      <c r="A1294" s="869">
        <v>1512</v>
      </c>
      <c r="B1294" s="893" t="s">
        <v>3555</v>
      </c>
      <c r="C1294" s="893" t="s">
        <v>877</v>
      </c>
    </row>
    <row r="1295" spans="1:3" x14ac:dyDescent="0.35">
      <c r="A1295" s="869">
        <v>1513</v>
      </c>
      <c r="B1295" s="893" t="s">
        <v>3556</v>
      </c>
      <c r="C1295" s="893" t="s">
        <v>879</v>
      </c>
    </row>
    <row r="1296" spans="1:3" x14ac:dyDescent="0.35">
      <c r="A1296" s="869">
        <v>1514</v>
      </c>
      <c r="B1296" s="894" t="s">
        <v>3557</v>
      </c>
      <c r="C1296" s="894" t="s">
        <v>873</v>
      </c>
    </row>
    <row r="1297" spans="1:3" x14ac:dyDescent="0.35">
      <c r="A1297" s="869">
        <v>1515</v>
      </c>
      <c r="B1297" s="893" t="s">
        <v>3558</v>
      </c>
      <c r="C1297" s="893" t="s">
        <v>881</v>
      </c>
    </row>
    <row r="1298" spans="1:3" x14ac:dyDescent="0.35">
      <c r="A1298" s="869">
        <v>1516</v>
      </c>
      <c r="B1298" s="893" t="s">
        <v>3559</v>
      </c>
      <c r="C1298" s="893" t="s">
        <v>883</v>
      </c>
    </row>
    <row r="1299" spans="1:3" x14ac:dyDescent="0.35">
      <c r="A1299" s="869">
        <v>1517</v>
      </c>
      <c r="B1299" s="893" t="s">
        <v>3560</v>
      </c>
      <c r="C1299" s="893" t="s">
        <v>260</v>
      </c>
    </row>
    <row r="1300" spans="1:3" x14ac:dyDescent="0.35">
      <c r="A1300" s="869">
        <v>1518</v>
      </c>
      <c r="B1300" s="893" t="s">
        <v>3561</v>
      </c>
      <c r="C1300" s="893" t="s">
        <v>886</v>
      </c>
    </row>
    <row r="1301" spans="1:3" x14ac:dyDescent="0.35">
      <c r="A1301" s="869">
        <v>1519</v>
      </c>
      <c r="B1301" s="893" t="s">
        <v>3562</v>
      </c>
      <c r="C1301" s="893" t="s">
        <v>887</v>
      </c>
    </row>
    <row r="1302" spans="1:3" x14ac:dyDescent="0.35">
      <c r="A1302" s="869">
        <v>1520</v>
      </c>
      <c r="B1302" s="893" t="s">
        <v>3563</v>
      </c>
      <c r="C1302" s="893" t="s">
        <v>888</v>
      </c>
    </row>
    <row r="1303" spans="1:3" x14ac:dyDescent="0.35">
      <c r="A1303" s="869">
        <v>1521</v>
      </c>
      <c r="B1303" s="893" t="s">
        <v>3564</v>
      </c>
      <c r="C1303" s="893" t="s">
        <v>889</v>
      </c>
    </row>
    <row r="1304" spans="1:3" x14ac:dyDescent="0.35">
      <c r="A1304" s="869">
        <v>1522</v>
      </c>
      <c r="B1304" s="893" t="s">
        <v>3565</v>
      </c>
      <c r="C1304" s="893" t="s">
        <v>988</v>
      </c>
    </row>
    <row r="1305" spans="1:3" x14ac:dyDescent="0.35">
      <c r="A1305" s="869">
        <v>1523</v>
      </c>
      <c r="B1305" s="893" t="s">
        <v>3566</v>
      </c>
      <c r="C1305" s="893" t="s">
        <v>890</v>
      </c>
    </row>
    <row r="1306" spans="1:3" x14ac:dyDescent="0.35">
      <c r="A1306" s="869">
        <v>1524</v>
      </c>
      <c r="B1306" s="893" t="s">
        <v>3567</v>
      </c>
      <c r="C1306" s="893" t="s">
        <v>259</v>
      </c>
    </row>
    <row r="1307" spans="1:3" x14ac:dyDescent="0.35">
      <c r="A1307" s="869">
        <v>1525</v>
      </c>
      <c r="B1307" s="893" t="s">
        <v>3568</v>
      </c>
      <c r="C1307" s="893" t="s">
        <v>891</v>
      </c>
    </row>
    <row r="1308" spans="1:3" x14ac:dyDescent="0.35">
      <c r="A1308" s="869">
        <v>1526</v>
      </c>
      <c r="B1308" s="893" t="s">
        <v>3569</v>
      </c>
      <c r="C1308" s="893" t="s">
        <v>892</v>
      </c>
    </row>
    <row r="1309" spans="1:3" x14ac:dyDescent="0.35">
      <c r="A1309" s="869">
        <v>1527</v>
      </c>
      <c r="B1309" s="893" t="s">
        <v>3570</v>
      </c>
      <c r="C1309" s="893" t="s">
        <v>989</v>
      </c>
    </row>
    <row r="1310" spans="1:3" x14ac:dyDescent="0.35">
      <c r="A1310" s="869">
        <v>1528</v>
      </c>
      <c r="B1310" s="893" t="s">
        <v>3571</v>
      </c>
      <c r="C1310" s="893" t="s">
        <v>990</v>
      </c>
    </row>
    <row r="1311" spans="1:3" x14ac:dyDescent="0.35">
      <c r="A1311" s="869">
        <v>1529</v>
      </c>
      <c r="B1311" s="893" t="s">
        <v>3572</v>
      </c>
      <c r="C1311" s="893" t="s">
        <v>897</v>
      </c>
    </row>
    <row r="1312" spans="1:3" x14ac:dyDescent="0.35">
      <c r="A1312" s="869">
        <v>1530</v>
      </c>
      <c r="B1312" s="887" t="s">
        <v>3573</v>
      </c>
      <c r="C1312" s="887" t="s">
        <v>315</v>
      </c>
    </row>
    <row r="1313" spans="1:3" x14ac:dyDescent="0.35">
      <c r="A1313" s="869">
        <v>1531</v>
      </c>
      <c r="B1313" s="893" t="s">
        <v>2757</v>
      </c>
      <c r="C1313" s="893" t="s">
        <v>316</v>
      </c>
    </row>
    <row r="1314" spans="1:3" x14ac:dyDescent="0.35">
      <c r="A1314" s="869">
        <v>1532</v>
      </c>
      <c r="B1314" s="893" t="s">
        <v>3574</v>
      </c>
      <c r="C1314" s="893" t="s">
        <v>499</v>
      </c>
    </row>
    <row r="1315" spans="1:3" x14ac:dyDescent="0.35">
      <c r="A1315" s="869">
        <v>1533</v>
      </c>
      <c r="B1315" s="423" t="s">
        <v>3575</v>
      </c>
      <c r="C1315" s="393" t="s">
        <v>309</v>
      </c>
    </row>
    <row r="1316" spans="1:3" x14ac:dyDescent="0.35">
      <c r="A1316" s="869">
        <v>1534</v>
      </c>
      <c r="B1316" s="423" t="s">
        <v>3576</v>
      </c>
      <c r="C1316" s="393" t="s">
        <v>310</v>
      </c>
    </row>
    <row r="1317" spans="1:3" x14ac:dyDescent="0.35">
      <c r="A1317" s="869">
        <v>1535</v>
      </c>
      <c r="B1317" s="423" t="s">
        <v>3577</v>
      </c>
      <c r="C1317" s="423" t="s">
        <v>1306</v>
      </c>
    </row>
    <row r="1318" spans="1:3" x14ac:dyDescent="0.35">
      <c r="A1318" s="869">
        <v>1536</v>
      </c>
      <c r="B1318" s="423" t="s">
        <v>3578</v>
      </c>
      <c r="C1318" s="393" t="s">
        <v>311</v>
      </c>
    </row>
    <row r="1319" spans="1:3" x14ac:dyDescent="0.35">
      <c r="A1319" s="869">
        <v>1537</v>
      </c>
      <c r="B1319" s="423" t="s">
        <v>3579</v>
      </c>
      <c r="C1319" s="393" t="s">
        <v>312</v>
      </c>
    </row>
    <row r="1320" spans="1:3" x14ac:dyDescent="0.35">
      <c r="A1320" s="869">
        <v>1538</v>
      </c>
      <c r="B1320" s="423" t="s">
        <v>3580</v>
      </c>
      <c r="C1320" s="393" t="s">
        <v>313</v>
      </c>
    </row>
    <row r="1321" spans="1:3" x14ac:dyDescent="0.35">
      <c r="A1321" s="869">
        <v>1539</v>
      </c>
      <c r="B1321" s="423" t="s">
        <v>3581</v>
      </c>
      <c r="C1321" s="393" t="s">
        <v>314</v>
      </c>
    </row>
    <row r="1322" spans="1:3" x14ac:dyDescent="0.35">
      <c r="A1322" s="869">
        <v>1540</v>
      </c>
      <c r="B1322" s="1747" t="s">
        <v>3582</v>
      </c>
      <c r="C1322" s="1747" t="s">
        <v>1820</v>
      </c>
    </row>
    <row r="1323" spans="1:3" ht="18.5" x14ac:dyDescent="0.35">
      <c r="A1323" s="1814" t="s">
        <v>2263</v>
      </c>
      <c r="B1323" s="1814" t="s">
        <v>2263</v>
      </c>
      <c r="C1323" s="1814" t="s">
        <v>2263</v>
      </c>
    </row>
    <row r="1324" spans="1:3" ht="75" x14ac:dyDescent="0.35">
      <c r="A1324" s="869">
        <v>2000</v>
      </c>
      <c r="B1324" s="1818" t="s">
        <v>3583</v>
      </c>
      <c r="C1324" s="1818" t="s">
        <v>2033</v>
      </c>
    </row>
    <row r="1325" spans="1:3" ht="23.5" thickBot="1" x14ac:dyDescent="0.4">
      <c r="A1325" s="869">
        <v>2001</v>
      </c>
      <c r="B1325" s="1819" t="s">
        <v>3584</v>
      </c>
      <c r="C1325" s="1819" t="s">
        <v>1872</v>
      </c>
    </row>
    <row r="1326" spans="1:3" ht="15" thickBot="1" x14ac:dyDescent="0.4">
      <c r="A1326" s="869">
        <v>2002</v>
      </c>
      <c r="B1326" s="1820" t="s">
        <v>3585</v>
      </c>
      <c r="C1326" s="1820" t="s">
        <v>1932</v>
      </c>
    </row>
    <row r="1327" spans="1:3" ht="75.5" x14ac:dyDescent="0.35">
      <c r="A1327" s="869">
        <v>2003</v>
      </c>
      <c r="B1327" s="1821" t="s">
        <v>3586</v>
      </c>
      <c r="C1327" s="1821" t="s">
        <v>2284</v>
      </c>
    </row>
    <row r="1328" spans="1:3" x14ac:dyDescent="0.35">
      <c r="A1328" s="869">
        <v>2004</v>
      </c>
      <c r="B1328" s="1822" t="s">
        <v>2045</v>
      </c>
      <c r="C1328" s="1822" t="s">
        <v>2045</v>
      </c>
    </row>
    <row r="1329" spans="1:3" ht="50" x14ac:dyDescent="0.35">
      <c r="A1329" s="869">
        <v>2005</v>
      </c>
      <c r="B1329" s="1821" t="s">
        <v>3587</v>
      </c>
      <c r="C1329" s="1821" t="s">
        <v>2285</v>
      </c>
    </row>
    <row r="1330" spans="1:3" ht="50" x14ac:dyDescent="0.35">
      <c r="A1330" s="869">
        <v>2006</v>
      </c>
      <c r="B1330" s="1821" t="s">
        <v>3588</v>
      </c>
      <c r="C1330" s="1821" t="s">
        <v>2046</v>
      </c>
    </row>
    <row r="1331" spans="1:3" ht="46.5" x14ac:dyDescent="0.35">
      <c r="A1331" s="869">
        <v>2007</v>
      </c>
      <c r="B1331" s="1823" t="s">
        <v>3864</v>
      </c>
      <c r="C1331" s="1823" t="s">
        <v>2310</v>
      </c>
    </row>
    <row r="1332" spans="1:3" ht="75.5" thickBot="1" x14ac:dyDescent="0.4">
      <c r="A1332" s="869">
        <v>2008</v>
      </c>
      <c r="B1332" s="1821" t="s">
        <v>3589</v>
      </c>
      <c r="C1332" s="1821" t="s">
        <v>2095</v>
      </c>
    </row>
    <row r="1333" spans="1:3" ht="15" thickBot="1" x14ac:dyDescent="0.4">
      <c r="A1333" s="869">
        <v>2009</v>
      </c>
      <c r="B1333" s="1824" t="s">
        <v>3590</v>
      </c>
      <c r="C1333" s="1824" t="s">
        <v>2265</v>
      </c>
    </row>
    <row r="1334" spans="1:3" ht="15" thickBot="1" x14ac:dyDescent="0.4">
      <c r="A1334" s="869">
        <v>2010</v>
      </c>
      <c r="B1334" s="1825" t="s">
        <v>3591</v>
      </c>
      <c r="C1334" s="1825" t="s">
        <v>2106</v>
      </c>
    </row>
    <row r="1335" spans="1:3" ht="15" thickBot="1" x14ac:dyDescent="0.4">
      <c r="A1335" s="869">
        <v>2011</v>
      </c>
      <c r="B1335" s="1826" t="s">
        <v>3592</v>
      </c>
      <c r="C1335" s="1826" t="s">
        <v>2286</v>
      </c>
    </row>
    <row r="1336" spans="1:3" ht="25" x14ac:dyDescent="0.35">
      <c r="A1336" s="869">
        <v>2012</v>
      </c>
      <c r="B1336" s="1827" t="s">
        <v>3593</v>
      </c>
      <c r="C1336" s="1827" t="s">
        <v>2105</v>
      </c>
    </row>
    <row r="1337" spans="1:3" ht="38" thickBot="1" x14ac:dyDescent="0.4">
      <c r="A1337" s="869">
        <v>2013</v>
      </c>
      <c r="B1337" s="1827" t="s">
        <v>3594</v>
      </c>
      <c r="C1337" s="1827" t="s">
        <v>2032</v>
      </c>
    </row>
    <row r="1338" spans="1:3" x14ac:dyDescent="0.35">
      <c r="A1338" s="869">
        <v>2014</v>
      </c>
      <c r="B1338" s="1828" t="s">
        <v>3595</v>
      </c>
      <c r="C1338" s="1828" t="s">
        <v>2102</v>
      </c>
    </row>
    <row r="1339" spans="1:3" ht="25" x14ac:dyDescent="0.35">
      <c r="A1339" s="869">
        <v>2015</v>
      </c>
      <c r="B1339" s="1827" t="s">
        <v>3596</v>
      </c>
      <c r="C1339" s="1827" t="s">
        <v>2096</v>
      </c>
    </row>
    <row r="1340" spans="1:3" x14ac:dyDescent="0.35">
      <c r="A1340" s="869">
        <v>2016</v>
      </c>
      <c r="B1340" s="1829" t="s">
        <v>3597</v>
      </c>
      <c r="C1340" s="1829" t="s">
        <v>1890</v>
      </c>
    </row>
    <row r="1341" spans="1:3" ht="25" x14ac:dyDescent="0.35">
      <c r="A1341" s="869">
        <v>2017</v>
      </c>
      <c r="B1341" s="1827" t="s">
        <v>3598</v>
      </c>
      <c r="C1341" s="1827" t="s">
        <v>2097</v>
      </c>
    </row>
    <row r="1342" spans="1:3" x14ac:dyDescent="0.35">
      <c r="A1342" s="869">
        <v>2018</v>
      </c>
      <c r="B1342" s="1830" t="s">
        <v>3599</v>
      </c>
      <c r="C1342" s="1830" t="s">
        <v>2103</v>
      </c>
    </row>
    <row r="1343" spans="1:3" x14ac:dyDescent="0.35">
      <c r="A1343" s="869">
        <v>2019</v>
      </c>
      <c r="B1343" s="1831" t="s">
        <v>3600</v>
      </c>
      <c r="C1343" s="1831" t="s">
        <v>2104</v>
      </c>
    </row>
    <row r="1344" spans="1:3" ht="39" x14ac:dyDescent="0.35">
      <c r="A1344" s="869">
        <v>2020</v>
      </c>
      <c r="B1344" s="1832" t="s">
        <v>3601</v>
      </c>
      <c r="C1344" s="1832" t="s">
        <v>2116</v>
      </c>
    </row>
    <row r="1345" spans="1:3" x14ac:dyDescent="0.35">
      <c r="A1345" s="869">
        <v>2021</v>
      </c>
      <c r="B1345" s="1833" t="s">
        <v>3602</v>
      </c>
      <c r="C1345" s="1833" t="s">
        <v>2109</v>
      </c>
    </row>
    <row r="1346" spans="1:3" ht="20" x14ac:dyDescent="0.35">
      <c r="A1346" s="869">
        <v>2022</v>
      </c>
      <c r="B1346" s="1834" t="s">
        <v>3603</v>
      </c>
      <c r="C1346" s="1834" t="s">
        <v>2111</v>
      </c>
    </row>
    <row r="1347" spans="1:3" x14ac:dyDescent="0.35">
      <c r="A1347" s="869">
        <v>2023</v>
      </c>
      <c r="B1347" s="1833" t="s">
        <v>3604</v>
      </c>
      <c r="C1347" s="1833" t="s">
        <v>2110</v>
      </c>
    </row>
    <row r="1348" spans="1:3" ht="20" x14ac:dyDescent="0.35">
      <c r="A1348" s="869">
        <v>2024</v>
      </c>
      <c r="B1348" s="1834" t="s">
        <v>3605</v>
      </c>
      <c r="C1348" s="1834" t="s">
        <v>2112</v>
      </c>
    </row>
    <row r="1349" spans="1:3" x14ac:dyDescent="0.35">
      <c r="A1349" s="869">
        <v>2025</v>
      </c>
      <c r="B1349" s="1833" t="s">
        <v>3606</v>
      </c>
      <c r="C1349" s="1833" t="s">
        <v>2113</v>
      </c>
    </row>
    <row r="1350" spans="1:3" x14ac:dyDescent="0.35">
      <c r="A1350" s="869">
        <v>2026</v>
      </c>
      <c r="B1350" s="1834" t="s">
        <v>3607</v>
      </c>
      <c r="C1350" s="1834" t="s">
        <v>2117</v>
      </c>
    </row>
    <row r="1351" spans="1:3" ht="20" x14ac:dyDescent="0.35">
      <c r="A1351" s="869">
        <v>2027</v>
      </c>
      <c r="B1351" s="1833" t="s">
        <v>3608</v>
      </c>
      <c r="C1351" s="1833" t="s">
        <v>2126</v>
      </c>
    </row>
    <row r="1352" spans="1:3" x14ac:dyDescent="0.35">
      <c r="A1352" s="869">
        <v>2028</v>
      </c>
      <c r="B1352" s="1833" t="s">
        <v>3609</v>
      </c>
      <c r="C1352" s="1833" t="s">
        <v>2114</v>
      </c>
    </row>
    <row r="1353" spans="1:3" ht="20" x14ac:dyDescent="0.35">
      <c r="A1353" s="869">
        <v>2029</v>
      </c>
      <c r="B1353" s="1834" t="s">
        <v>3610</v>
      </c>
      <c r="C1353" s="1834" t="s">
        <v>2169</v>
      </c>
    </row>
    <row r="1354" spans="1:3" x14ac:dyDescent="0.35">
      <c r="A1354" s="869">
        <v>2030</v>
      </c>
      <c r="B1354" s="1833" t="s">
        <v>3611</v>
      </c>
      <c r="C1354" s="1833" t="s">
        <v>2170</v>
      </c>
    </row>
    <row r="1355" spans="1:3" ht="20" x14ac:dyDescent="0.35">
      <c r="A1355" s="869">
        <v>2031</v>
      </c>
      <c r="B1355" s="1834" t="s">
        <v>3612</v>
      </c>
      <c r="C1355" s="1834" t="s">
        <v>2173</v>
      </c>
    </row>
    <row r="1356" spans="1:3" x14ac:dyDescent="0.35">
      <c r="A1356" s="869">
        <v>2032</v>
      </c>
      <c r="B1356" s="1834" t="s">
        <v>3613</v>
      </c>
      <c r="C1356" s="1834" t="s">
        <v>2174</v>
      </c>
    </row>
    <row r="1357" spans="1:3" x14ac:dyDescent="0.35">
      <c r="A1357" s="869">
        <v>2033</v>
      </c>
      <c r="B1357" s="1833" t="s">
        <v>3614</v>
      </c>
      <c r="C1357" s="1833" t="s">
        <v>2172</v>
      </c>
    </row>
    <row r="1358" spans="1:3" x14ac:dyDescent="0.35">
      <c r="A1358" s="869">
        <v>2034</v>
      </c>
      <c r="B1358" s="1834" t="s">
        <v>3615</v>
      </c>
      <c r="C1358" s="1834" t="s">
        <v>2171</v>
      </c>
    </row>
    <row r="1359" spans="1:3" ht="25" x14ac:dyDescent="0.35">
      <c r="A1359" s="869">
        <v>2035</v>
      </c>
      <c r="B1359" s="1835" t="s">
        <v>3616</v>
      </c>
      <c r="C1359" s="1835" t="s">
        <v>2115</v>
      </c>
    </row>
    <row r="1360" spans="1:3" x14ac:dyDescent="0.35">
      <c r="A1360" s="869">
        <v>2036</v>
      </c>
      <c r="B1360" s="1836" t="s">
        <v>3617</v>
      </c>
      <c r="C1360" s="1836" t="s">
        <v>2125</v>
      </c>
    </row>
    <row r="1361" spans="1:3" ht="18.5" thickBot="1" x14ac:dyDescent="0.4">
      <c r="A1361" s="869">
        <v>2037</v>
      </c>
      <c r="B1361" s="1837" t="s">
        <v>3618</v>
      </c>
      <c r="C1361" s="1837" t="s">
        <v>2179</v>
      </c>
    </row>
    <row r="1362" spans="1:3" ht="23.5" thickBot="1" x14ac:dyDescent="0.4">
      <c r="A1362" s="869">
        <v>2038</v>
      </c>
      <c r="B1362" s="1838" t="s">
        <v>3619</v>
      </c>
      <c r="C1362" s="1838" t="s">
        <v>2298</v>
      </c>
    </row>
    <row r="1363" spans="1:3" ht="15" thickBot="1" x14ac:dyDescent="0.4">
      <c r="A1363" s="869">
        <v>2039</v>
      </c>
      <c r="B1363" s="1839" t="s">
        <v>3620</v>
      </c>
      <c r="C1363" s="1839" t="s">
        <v>2153</v>
      </c>
    </row>
    <row r="1364" spans="1:3" ht="15" thickBot="1" x14ac:dyDescent="0.4">
      <c r="A1364" s="869">
        <v>2040</v>
      </c>
      <c r="B1364" s="1840" t="s">
        <v>3621</v>
      </c>
      <c r="C1364" s="1840" t="s">
        <v>2138</v>
      </c>
    </row>
    <row r="1365" spans="1:3" x14ac:dyDescent="0.35">
      <c r="A1365" s="869">
        <v>2041</v>
      </c>
      <c r="B1365" s="1841" t="s">
        <v>3622</v>
      </c>
      <c r="C1365" s="1841" t="s">
        <v>2006</v>
      </c>
    </row>
    <row r="1366" spans="1:3" ht="20" x14ac:dyDescent="0.35">
      <c r="A1366" s="869">
        <v>2042</v>
      </c>
      <c r="B1366" s="1834" t="s">
        <v>3623</v>
      </c>
      <c r="C1366" s="1834" t="s">
        <v>2015</v>
      </c>
    </row>
    <row r="1367" spans="1:3" ht="20" x14ac:dyDescent="0.35">
      <c r="A1367" s="869">
        <v>2043</v>
      </c>
      <c r="B1367" s="1833" t="s">
        <v>3624</v>
      </c>
      <c r="C1367" s="1833" t="s">
        <v>2004</v>
      </c>
    </row>
    <row r="1368" spans="1:3" x14ac:dyDescent="0.35">
      <c r="A1368" s="869">
        <v>2044</v>
      </c>
      <c r="B1368" s="1841" t="s">
        <v>3625</v>
      </c>
      <c r="C1368" s="1841" t="s">
        <v>2154</v>
      </c>
    </row>
    <row r="1369" spans="1:3" ht="30" x14ac:dyDescent="0.35">
      <c r="A1369" s="869">
        <v>2045</v>
      </c>
      <c r="B1369" s="1834" t="s">
        <v>3626</v>
      </c>
      <c r="C1369" s="1834" t="s">
        <v>2160</v>
      </c>
    </row>
    <row r="1370" spans="1:3" ht="20" x14ac:dyDescent="0.35">
      <c r="A1370" s="869">
        <v>2046</v>
      </c>
      <c r="B1370" s="1834" t="s">
        <v>3627</v>
      </c>
      <c r="C1370" s="1834" t="s">
        <v>2253</v>
      </c>
    </row>
    <row r="1371" spans="1:3" ht="31" x14ac:dyDescent="0.35">
      <c r="A1371" s="869">
        <v>2047</v>
      </c>
      <c r="B1371" s="1842" t="s">
        <v>3628</v>
      </c>
      <c r="C1371" s="1842" t="s">
        <v>2098</v>
      </c>
    </row>
    <row r="1372" spans="1:3" ht="50" x14ac:dyDescent="0.35">
      <c r="A1372" s="869">
        <v>2048</v>
      </c>
      <c r="B1372" s="1834" t="s">
        <v>3629</v>
      </c>
      <c r="C1372" s="1834" t="s">
        <v>2287</v>
      </c>
    </row>
    <row r="1373" spans="1:3" ht="20" x14ac:dyDescent="0.35">
      <c r="A1373" s="869">
        <v>2049</v>
      </c>
      <c r="B1373" s="1834" t="s">
        <v>3630</v>
      </c>
      <c r="C1373" s="1834" t="s">
        <v>2044</v>
      </c>
    </row>
    <row r="1374" spans="1:3" ht="15" thickBot="1" x14ac:dyDescent="0.4">
      <c r="A1374" s="869">
        <v>2050</v>
      </c>
      <c r="B1374" s="1841" t="s">
        <v>3631</v>
      </c>
      <c r="C1374" s="1841" t="s">
        <v>2119</v>
      </c>
    </row>
    <row r="1375" spans="1:3" ht="20" x14ac:dyDescent="0.35">
      <c r="A1375" s="869">
        <v>2051</v>
      </c>
      <c r="B1375" s="1843" t="s">
        <v>3632</v>
      </c>
      <c r="C1375" s="1843" t="s">
        <v>2118</v>
      </c>
    </row>
    <row r="1376" spans="1:3" x14ac:dyDescent="0.35">
      <c r="A1376" s="869">
        <v>2052</v>
      </c>
      <c r="B1376" s="1834" t="s">
        <v>3633</v>
      </c>
      <c r="C1376" s="1834" t="s">
        <v>2124</v>
      </c>
    </row>
    <row r="1377" spans="1:3" ht="15" thickBot="1" x14ac:dyDescent="0.4">
      <c r="A1377" s="869">
        <v>2053</v>
      </c>
      <c r="B1377" s="1835" t="s">
        <v>3634</v>
      </c>
      <c r="C1377" s="1835" t="s">
        <v>2121</v>
      </c>
    </row>
    <row r="1378" spans="1:3" x14ac:dyDescent="0.35">
      <c r="A1378" s="869">
        <v>2054</v>
      </c>
      <c r="B1378" s="1843" t="s">
        <v>3635</v>
      </c>
      <c r="C1378" s="1843" t="s">
        <v>2122</v>
      </c>
    </row>
    <row r="1379" spans="1:3" ht="15" thickBot="1" x14ac:dyDescent="0.4">
      <c r="A1379" s="869">
        <v>2055</v>
      </c>
      <c r="B1379" s="1834" t="s">
        <v>3636</v>
      </c>
      <c r="C1379" s="1834" t="s">
        <v>2123</v>
      </c>
    </row>
    <row r="1380" spans="1:3" ht="20" x14ac:dyDescent="0.35">
      <c r="A1380" s="869">
        <v>2056</v>
      </c>
      <c r="B1380" s="1843" t="s">
        <v>3637</v>
      </c>
      <c r="C1380" s="1843" t="s">
        <v>2288</v>
      </c>
    </row>
    <row r="1381" spans="1:3" x14ac:dyDescent="0.35">
      <c r="A1381" s="869">
        <v>2057</v>
      </c>
      <c r="B1381" s="1844" t="s">
        <v>3638</v>
      </c>
      <c r="C1381" s="1844" t="s">
        <v>2107</v>
      </c>
    </row>
    <row r="1382" spans="1:3" x14ac:dyDescent="0.35">
      <c r="A1382" s="869">
        <v>2058</v>
      </c>
      <c r="B1382" s="1844" t="s">
        <v>3639</v>
      </c>
      <c r="C1382" s="1844" t="s">
        <v>2120</v>
      </c>
    </row>
    <row r="1383" spans="1:3" x14ac:dyDescent="0.35">
      <c r="A1383" s="869">
        <v>2059</v>
      </c>
      <c r="B1383" s="1844" t="s">
        <v>3640</v>
      </c>
      <c r="C1383" s="1844" t="s">
        <v>2108</v>
      </c>
    </row>
    <row r="1384" spans="1:3" x14ac:dyDescent="0.35">
      <c r="A1384" s="869">
        <v>2060</v>
      </c>
      <c r="B1384" s="1841" t="s">
        <v>2391</v>
      </c>
      <c r="C1384" s="1841" t="s">
        <v>2150</v>
      </c>
    </row>
    <row r="1385" spans="1:3" x14ac:dyDescent="0.35">
      <c r="A1385" s="869">
        <v>2061</v>
      </c>
      <c r="B1385" s="1834" t="s">
        <v>3641</v>
      </c>
      <c r="C1385" s="1834" t="s">
        <v>2151</v>
      </c>
    </row>
    <row r="1386" spans="1:3" ht="40" x14ac:dyDescent="0.35">
      <c r="A1386" s="869">
        <v>2062</v>
      </c>
      <c r="B1386" s="1834" t="s">
        <v>3642</v>
      </c>
      <c r="C1386" s="1834" t="s">
        <v>2152</v>
      </c>
    </row>
    <row r="1387" spans="1:3" x14ac:dyDescent="0.35">
      <c r="A1387" s="869">
        <v>2063</v>
      </c>
      <c r="B1387" s="1834" t="s">
        <v>3643</v>
      </c>
      <c r="C1387" s="1834" t="s">
        <v>2031</v>
      </c>
    </row>
    <row r="1388" spans="1:3" x14ac:dyDescent="0.35">
      <c r="A1388" s="869">
        <v>2064</v>
      </c>
      <c r="B1388" s="1841" t="s">
        <v>3644</v>
      </c>
      <c r="C1388" s="1841" t="s">
        <v>2002</v>
      </c>
    </row>
    <row r="1389" spans="1:3" ht="20" x14ac:dyDescent="0.35">
      <c r="A1389" s="869">
        <v>2065</v>
      </c>
      <c r="B1389" s="1834" t="s">
        <v>3645</v>
      </c>
      <c r="C1389" s="1834" t="s">
        <v>2003</v>
      </c>
    </row>
    <row r="1390" spans="1:3" x14ac:dyDescent="0.35">
      <c r="A1390" s="869">
        <v>2066</v>
      </c>
      <c r="B1390" s="1841" t="s">
        <v>3646</v>
      </c>
      <c r="C1390" s="1841" t="s">
        <v>1845</v>
      </c>
    </row>
    <row r="1391" spans="1:3" ht="20" x14ac:dyDescent="0.35">
      <c r="A1391" s="869">
        <v>2067</v>
      </c>
      <c r="B1391" s="1834" t="s">
        <v>3647</v>
      </c>
      <c r="C1391" s="1834" t="s">
        <v>2018</v>
      </c>
    </row>
    <row r="1392" spans="1:3" ht="60" x14ac:dyDescent="0.35">
      <c r="A1392" s="869">
        <v>2068</v>
      </c>
      <c r="B1392" s="1834" t="s">
        <v>3648</v>
      </c>
      <c r="C1392" s="1834" t="s">
        <v>2019</v>
      </c>
    </row>
    <row r="1393" spans="1:3" ht="15" thickBot="1" x14ac:dyDescent="0.4">
      <c r="A1393" s="869">
        <v>2069</v>
      </c>
      <c r="B1393" s="1845" t="s">
        <v>2020</v>
      </c>
      <c r="C1393" s="1845" t="s">
        <v>2020</v>
      </c>
    </row>
    <row r="1394" spans="1:3" ht="15" thickBot="1" x14ac:dyDescent="0.4">
      <c r="A1394" s="869">
        <v>2070</v>
      </c>
      <c r="B1394" s="1846" t="s">
        <v>3649</v>
      </c>
      <c r="C1394" s="1846" t="s">
        <v>1923</v>
      </c>
    </row>
    <row r="1395" spans="1:3" ht="15" thickBot="1" x14ac:dyDescent="0.4">
      <c r="A1395" s="869">
        <v>2071</v>
      </c>
      <c r="B1395" s="1847" t="s">
        <v>3650</v>
      </c>
      <c r="C1395" s="1847" t="s">
        <v>1924</v>
      </c>
    </row>
    <row r="1396" spans="1:3" ht="25.5" thickBot="1" x14ac:dyDescent="0.4">
      <c r="A1396" s="869">
        <v>2072</v>
      </c>
      <c r="B1396" s="1848" t="s">
        <v>3651</v>
      </c>
      <c r="C1396" s="1848" t="s">
        <v>2194</v>
      </c>
    </row>
    <row r="1397" spans="1:3" x14ac:dyDescent="0.35">
      <c r="A1397" s="869">
        <v>2073</v>
      </c>
      <c r="B1397" s="1849" t="s">
        <v>3652</v>
      </c>
      <c r="C1397" s="1849" t="s">
        <v>2147</v>
      </c>
    </row>
    <row r="1398" spans="1:3" x14ac:dyDescent="0.35">
      <c r="A1398" s="869">
        <v>2074</v>
      </c>
      <c r="B1398" s="1841" t="s">
        <v>3653</v>
      </c>
      <c r="C1398" s="1841" t="s">
        <v>2148</v>
      </c>
    </row>
    <row r="1399" spans="1:3" ht="15.5" x14ac:dyDescent="0.35">
      <c r="A1399" s="869">
        <v>2075</v>
      </c>
      <c r="B1399" s="1842" t="s">
        <v>3654</v>
      </c>
      <c r="C1399" s="1842" t="s">
        <v>2143</v>
      </c>
    </row>
    <row r="1400" spans="1:3" x14ac:dyDescent="0.35">
      <c r="A1400" s="869">
        <v>2076</v>
      </c>
      <c r="B1400" s="1841" t="s">
        <v>3655</v>
      </c>
      <c r="C1400" s="1841" t="s">
        <v>2142</v>
      </c>
    </row>
    <row r="1401" spans="1:3" ht="20" x14ac:dyDescent="0.35">
      <c r="A1401" s="869">
        <v>2077</v>
      </c>
      <c r="B1401" s="1834" t="s">
        <v>3656</v>
      </c>
      <c r="C1401" s="1834" t="s">
        <v>2054</v>
      </c>
    </row>
    <row r="1402" spans="1:3" ht="20" x14ac:dyDescent="0.35">
      <c r="A1402" s="869">
        <v>2078</v>
      </c>
      <c r="B1402" s="1833" t="s">
        <v>3657</v>
      </c>
      <c r="C1402" s="1833" t="s">
        <v>2132</v>
      </c>
    </row>
    <row r="1403" spans="1:3" ht="15" thickBot="1" x14ac:dyDescent="0.4">
      <c r="A1403" s="869">
        <v>2079</v>
      </c>
      <c r="B1403" s="1841" t="s">
        <v>3658</v>
      </c>
      <c r="C1403" s="1841" t="s">
        <v>2289</v>
      </c>
    </row>
    <row r="1404" spans="1:3" ht="15" thickBot="1" x14ac:dyDescent="0.4">
      <c r="A1404" s="869">
        <v>2080</v>
      </c>
      <c r="B1404" s="1850" t="s">
        <v>3659</v>
      </c>
      <c r="C1404" s="1850" t="s">
        <v>2290</v>
      </c>
    </row>
    <row r="1405" spans="1:3" ht="15" thickBot="1" x14ac:dyDescent="0.4">
      <c r="A1405" s="869">
        <v>2081</v>
      </c>
      <c r="B1405" s="1839" t="s">
        <v>3660</v>
      </c>
      <c r="C1405" s="1839" t="s">
        <v>2231</v>
      </c>
    </row>
    <row r="1406" spans="1:3" ht="54" x14ac:dyDescent="0.35">
      <c r="A1406" s="869">
        <v>2082</v>
      </c>
      <c r="B1406" s="1837" t="s">
        <v>3661</v>
      </c>
      <c r="C1406" s="1837" t="s">
        <v>2291</v>
      </c>
    </row>
    <row r="1407" spans="1:3" x14ac:dyDescent="0.35">
      <c r="A1407" s="869">
        <v>2083</v>
      </c>
      <c r="B1407" s="1833" t="s">
        <v>3662</v>
      </c>
      <c r="C1407" s="1833" t="s">
        <v>2048</v>
      </c>
    </row>
    <row r="1408" spans="1:3" ht="15" thickBot="1" x14ac:dyDescent="0.4">
      <c r="A1408" s="869">
        <v>2084</v>
      </c>
      <c r="B1408" s="1851" t="s">
        <v>3663</v>
      </c>
      <c r="C1408" s="1851" t="s">
        <v>2161</v>
      </c>
    </row>
    <row r="1409" spans="1:3" ht="30.5" thickBot="1" x14ac:dyDescent="0.4">
      <c r="A1409" s="869">
        <v>2085</v>
      </c>
      <c r="B1409" s="1852" t="s">
        <v>3664</v>
      </c>
      <c r="C1409" s="1852" t="s">
        <v>2167</v>
      </c>
    </row>
    <row r="1410" spans="1:3" ht="15" thickBot="1" x14ac:dyDescent="0.4">
      <c r="A1410" s="869">
        <v>2086</v>
      </c>
      <c r="B1410" s="1851" t="s">
        <v>3665</v>
      </c>
      <c r="C1410" s="1851" t="s">
        <v>2162</v>
      </c>
    </row>
    <row r="1411" spans="1:3" ht="15" thickBot="1" x14ac:dyDescent="0.4">
      <c r="A1411" s="869">
        <v>2087</v>
      </c>
      <c r="B1411" s="1852" t="s">
        <v>3666</v>
      </c>
      <c r="C1411" s="1852" t="s">
        <v>2166</v>
      </c>
    </row>
    <row r="1412" spans="1:3" x14ac:dyDescent="0.35">
      <c r="A1412" s="869">
        <v>2088</v>
      </c>
      <c r="B1412" s="1833" t="s">
        <v>3667</v>
      </c>
      <c r="C1412" s="1833" t="s">
        <v>2049</v>
      </c>
    </row>
    <row r="1413" spans="1:3" ht="30.5" thickBot="1" x14ac:dyDescent="0.4">
      <c r="A1413" s="869">
        <v>2089</v>
      </c>
      <c r="B1413" s="1852" t="s">
        <v>3668</v>
      </c>
      <c r="C1413" s="1852" t="s">
        <v>2220</v>
      </c>
    </row>
    <row r="1414" spans="1:3" ht="15" thickBot="1" x14ac:dyDescent="0.4">
      <c r="A1414" s="869">
        <v>2090</v>
      </c>
      <c r="B1414" s="1852" t="s">
        <v>3669</v>
      </c>
      <c r="C1414" s="1852" t="s">
        <v>2163</v>
      </c>
    </row>
    <row r="1415" spans="1:3" ht="30.5" thickBot="1" x14ac:dyDescent="0.4">
      <c r="A1415" s="869">
        <v>2091</v>
      </c>
      <c r="B1415" s="1852" t="s">
        <v>3670</v>
      </c>
      <c r="C1415" s="1852" t="s">
        <v>2164</v>
      </c>
    </row>
    <row r="1416" spans="1:3" ht="15" thickBot="1" x14ac:dyDescent="0.4">
      <c r="A1416" s="869">
        <v>2092</v>
      </c>
      <c r="B1416" s="1852" t="s">
        <v>3671</v>
      </c>
      <c r="C1416" s="1852" t="s">
        <v>2165</v>
      </c>
    </row>
    <row r="1417" spans="1:3" ht="15" thickBot="1" x14ac:dyDescent="0.4">
      <c r="A1417" s="869">
        <v>2093</v>
      </c>
      <c r="B1417" s="1851" t="s">
        <v>3672</v>
      </c>
      <c r="C1417" s="1851" t="s">
        <v>2050</v>
      </c>
    </row>
    <row r="1418" spans="1:3" ht="20.5" thickBot="1" x14ac:dyDescent="0.4">
      <c r="A1418" s="869">
        <v>2094</v>
      </c>
      <c r="B1418" s="1852" t="s">
        <v>3673</v>
      </c>
      <c r="C1418" s="1852" t="s">
        <v>2168</v>
      </c>
    </row>
    <row r="1419" spans="1:3" ht="15" thickBot="1" x14ac:dyDescent="0.4">
      <c r="A1419" s="869">
        <v>2095</v>
      </c>
      <c r="B1419" s="1851" t="s">
        <v>3674</v>
      </c>
      <c r="C1419" s="1851" t="s">
        <v>2016</v>
      </c>
    </row>
    <row r="1420" spans="1:3" ht="15" thickBot="1" x14ac:dyDescent="0.4">
      <c r="A1420" s="869">
        <v>2096</v>
      </c>
      <c r="B1420" s="1852" t="s">
        <v>3675</v>
      </c>
      <c r="C1420" s="1852" t="s">
        <v>2051</v>
      </c>
    </row>
    <row r="1421" spans="1:3" ht="15" thickBot="1" x14ac:dyDescent="0.4">
      <c r="A1421" s="869">
        <v>2097</v>
      </c>
      <c r="B1421" s="1851" t="s">
        <v>3676</v>
      </c>
      <c r="C1421" s="1851" t="s">
        <v>2052</v>
      </c>
    </row>
    <row r="1422" spans="1:3" ht="20.5" thickBot="1" x14ac:dyDescent="0.4">
      <c r="A1422" s="869">
        <v>2098</v>
      </c>
      <c r="B1422" s="1852" t="s">
        <v>3677</v>
      </c>
      <c r="C1422" s="1852" t="s">
        <v>2071</v>
      </c>
    </row>
    <row r="1423" spans="1:3" ht="15" thickBot="1" x14ac:dyDescent="0.4">
      <c r="A1423" s="869">
        <v>2099</v>
      </c>
      <c r="B1423" s="1853" t="s">
        <v>3678</v>
      </c>
      <c r="C1423" s="1853" t="s">
        <v>2034</v>
      </c>
    </row>
    <row r="1424" spans="1:3" ht="15" thickBot="1" x14ac:dyDescent="0.4">
      <c r="A1424" s="869">
        <v>2100</v>
      </c>
      <c r="B1424" s="1853" t="s">
        <v>3679</v>
      </c>
      <c r="C1424" s="1853" t="s">
        <v>2035</v>
      </c>
    </row>
    <row r="1425" spans="1:3" ht="15" thickBot="1" x14ac:dyDescent="0.4">
      <c r="A1425" s="869">
        <v>2101</v>
      </c>
      <c r="B1425" s="1854" t="s">
        <v>3680</v>
      </c>
      <c r="C1425" s="1854" t="s">
        <v>1878</v>
      </c>
    </row>
    <row r="1426" spans="1:3" x14ac:dyDescent="0.35">
      <c r="A1426" s="869">
        <v>2102</v>
      </c>
      <c r="B1426" s="1833" t="s">
        <v>3681</v>
      </c>
      <c r="C1426" s="1833" t="s">
        <v>2219</v>
      </c>
    </row>
    <row r="1427" spans="1:3" ht="30.5" thickBot="1" x14ac:dyDescent="0.4">
      <c r="A1427" s="869">
        <v>2103</v>
      </c>
      <c r="B1427" s="1852" t="s">
        <v>3682</v>
      </c>
      <c r="C1427" s="1852" t="s">
        <v>2254</v>
      </c>
    </row>
    <row r="1428" spans="1:3" ht="15" thickBot="1" x14ac:dyDescent="0.4">
      <c r="A1428" s="869">
        <v>2104</v>
      </c>
      <c r="B1428" s="1855" t="s">
        <v>3683</v>
      </c>
      <c r="C1428" s="1855" t="s">
        <v>2141</v>
      </c>
    </row>
    <row r="1429" spans="1:3" ht="15" thickBot="1" x14ac:dyDescent="0.4">
      <c r="A1429" s="869">
        <v>2105</v>
      </c>
      <c r="B1429" s="1855" t="s">
        <v>3684</v>
      </c>
      <c r="C1429" s="1855" t="s">
        <v>2275</v>
      </c>
    </row>
    <row r="1430" spans="1:3" ht="15.5" x14ac:dyDescent="0.35">
      <c r="A1430" s="869">
        <v>2106</v>
      </c>
      <c r="B1430" s="1842" t="s">
        <v>3685</v>
      </c>
      <c r="C1430" s="1842" t="s">
        <v>1971</v>
      </c>
    </row>
    <row r="1431" spans="1:3" ht="26" x14ac:dyDescent="0.35">
      <c r="A1431" s="869">
        <v>2107</v>
      </c>
      <c r="B1431" s="1841" t="s">
        <v>3686</v>
      </c>
      <c r="C1431" s="1841" t="s">
        <v>2053</v>
      </c>
    </row>
    <row r="1432" spans="1:3" x14ac:dyDescent="0.35">
      <c r="A1432" s="869">
        <v>2108</v>
      </c>
      <c r="B1432" s="1856" t="s">
        <v>1846</v>
      </c>
      <c r="C1432" s="1856" t="s">
        <v>1846</v>
      </c>
    </row>
    <row r="1433" spans="1:3" x14ac:dyDescent="0.35">
      <c r="A1433" s="869">
        <v>2109</v>
      </c>
      <c r="B1433" s="1856" t="s">
        <v>2920</v>
      </c>
      <c r="C1433" s="1856" t="s">
        <v>1965</v>
      </c>
    </row>
    <row r="1434" spans="1:3" x14ac:dyDescent="0.35">
      <c r="A1434" s="869">
        <v>2110</v>
      </c>
      <c r="B1434" s="1841" t="s">
        <v>3687</v>
      </c>
      <c r="C1434" s="1841" t="s">
        <v>2055</v>
      </c>
    </row>
    <row r="1435" spans="1:3" ht="20.5" thickBot="1" x14ac:dyDescent="0.4">
      <c r="A1435" s="869">
        <v>2111</v>
      </c>
      <c r="B1435" s="1834" t="s">
        <v>3688</v>
      </c>
      <c r="C1435" s="1834" t="s">
        <v>2133</v>
      </c>
    </row>
    <row r="1436" spans="1:3" ht="15" thickBot="1" x14ac:dyDescent="0.4">
      <c r="A1436" s="869">
        <v>2112</v>
      </c>
      <c r="B1436" s="1857" t="s">
        <v>3689</v>
      </c>
      <c r="C1436" s="1857" t="s">
        <v>2056</v>
      </c>
    </row>
    <row r="1437" spans="1:3" ht="20" x14ac:dyDescent="0.35">
      <c r="A1437" s="869">
        <v>2113</v>
      </c>
      <c r="B1437" s="1843" t="s">
        <v>3690</v>
      </c>
      <c r="C1437" s="1843" t="s">
        <v>2047</v>
      </c>
    </row>
    <row r="1438" spans="1:3" ht="20" x14ac:dyDescent="0.35">
      <c r="A1438" s="869">
        <v>2114</v>
      </c>
      <c r="B1438" s="1834" t="s">
        <v>3691</v>
      </c>
      <c r="C1438" s="1834" t="s">
        <v>2058</v>
      </c>
    </row>
    <row r="1439" spans="1:3" ht="20" x14ac:dyDescent="0.35">
      <c r="A1439" s="869">
        <v>2115</v>
      </c>
      <c r="B1439" s="1834" t="s">
        <v>3692</v>
      </c>
      <c r="C1439" s="1834" t="s">
        <v>2059</v>
      </c>
    </row>
    <row r="1440" spans="1:3" ht="20" x14ac:dyDescent="0.35">
      <c r="A1440" s="869">
        <v>2116</v>
      </c>
      <c r="B1440" s="1834" t="s">
        <v>3693</v>
      </c>
      <c r="C1440" s="1834" t="s">
        <v>2060</v>
      </c>
    </row>
    <row r="1441" spans="1:3" ht="20" x14ac:dyDescent="0.35">
      <c r="A1441" s="869">
        <v>2117</v>
      </c>
      <c r="B1441" s="1834" t="s">
        <v>3694</v>
      </c>
      <c r="C1441" s="1834" t="s">
        <v>2061</v>
      </c>
    </row>
    <row r="1442" spans="1:3" ht="20" x14ac:dyDescent="0.35">
      <c r="A1442" s="869">
        <v>2118</v>
      </c>
      <c r="B1442" s="1834" t="s">
        <v>3695</v>
      </c>
      <c r="C1442" s="1834" t="s">
        <v>2062</v>
      </c>
    </row>
    <row r="1443" spans="1:3" ht="20.5" thickBot="1" x14ac:dyDescent="0.4">
      <c r="A1443" s="869">
        <v>2119</v>
      </c>
      <c r="B1443" s="1834" t="s">
        <v>3696</v>
      </c>
      <c r="C1443" s="1834" t="s">
        <v>2063</v>
      </c>
    </row>
    <row r="1444" spans="1:3" ht="60" x14ac:dyDescent="0.35">
      <c r="A1444" s="869">
        <v>2120</v>
      </c>
      <c r="B1444" s="1857" t="s">
        <v>3697</v>
      </c>
      <c r="C1444" s="1857" t="s">
        <v>2249</v>
      </c>
    </row>
    <row r="1445" spans="1:3" ht="26" x14ac:dyDescent="0.35">
      <c r="A1445" s="869">
        <v>2121</v>
      </c>
      <c r="B1445" s="1841" t="s">
        <v>3698</v>
      </c>
      <c r="C1445" s="1841" t="s">
        <v>2258</v>
      </c>
    </row>
    <row r="1446" spans="1:3" ht="40" x14ac:dyDescent="0.35">
      <c r="A1446" s="869">
        <v>2122</v>
      </c>
      <c r="B1446" s="1834" t="s">
        <v>3699</v>
      </c>
      <c r="C1446" s="1834" t="s">
        <v>2259</v>
      </c>
    </row>
    <row r="1447" spans="1:3" x14ac:dyDescent="0.35">
      <c r="A1447" s="869">
        <v>2123</v>
      </c>
      <c r="B1447" s="1841" t="s">
        <v>3700</v>
      </c>
      <c r="C1447" s="1841" t="s">
        <v>2065</v>
      </c>
    </row>
    <row r="1448" spans="1:3" ht="26" x14ac:dyDescent="0.35">
      <c r="A1448" s="869">
        <v>2124</v>
      </c>
      <c r="B1448" s="1858" t="s">
        <v>3701</v>
      </c>
      <c r="C1448" s="1858" t="s">
        <v>2064</v>
      </c>
    </row>
    <row r="1449" spans="1:3" ht="26" x14ac:dyDescent="0.35">
      <c r="A1449" s="869">
        <v>2125</v>
      </c>
      <c r="B1449" s="1858" t="s">
        <v>3702</v>
      </c>
      <c r="C1449" s="1858" t="s">
        <v>2074</v>
      </c>
    </row>
    <row r="1450" spans="1:3" x14ac:dyDescent="0.35">
      <c r="A1450" s="869">
        <v>2126</v>
      </c>
      <c r="B1450" s="1849" t="s">
        <v>3703</v>
      </c>
      <c r="C1450" s="1849" t="s">
        <v>2066</v>
      </c>
    </row>
    <row r="1451" spans="1:3" ht="20" x14ac:dyDescent="0.35">
      <c r="A1451" s="869">
        <v>2127</v>
      </c>
      <c r="B1451" s="1834" t="s">
        <v>3704</v>
      </c>
      <c r="C1451" s="1834" t="s">
        <v>2067</v>
      </c>
    </row>
    <row r="1452" spans="1:3" x14ac:dyDescent="0.35">
      <c r="A1452" s="869">
        <v>2128</v>
      </c>
      <c r="B1452" s="1834" t="s">
        <v>3705</v>
      </c>
      <c r="C1452" s="1834" t="s">
        <v>2068</v>
      </c>
    </row>
    <row r="1453" spans="1:3" ht="20" x14ac:dyDescent="0.35">
      <c r="A1453" s="869">
        <v>2129</v>
      </c>
      <c r="B1453" s="1834" t="s">
        <v>3706</v>
      </c>
      <c r="C1453" s="1834" t="s">
        <v>2069</v>
      </c>
    </row>
    <row r="1454" spans="1:3" ht="30" x14ac:dyDescent="0.35">
      <c r="A1454" s="869">
        <v>2130</v>
      </c>
      <c r="B1454" s="1834" t="s">
        <v>3707</v>
      </c>
      <c r="C1454" s="1834" t="s">
        <v>2144</v>
      </c>
    </row>
    <row r="1455" spans="1:3" ht="26" x14ac:dyDescent="0.35">
      <c r="A1455" s="869">
        <v>2131</v>
      </c>
      <c r="B1455" s="1841" t="s">
        <v>3708</v>
      </c>
      <c r="C1455" s="1841" t="s">
        <v>2007</v>
      </c>
    </row>
    <row r="1456" spans="1:3" ht="40" x14ac:dyDescent="0.35">
      <c r="A1456" s="869">
        <v>2132</v>
      </c>
      <c r="B1456" s="1834" t="s">
        <v>3709</v>
      </c>
      <c r="C1456" s="1834" t="s">
        <v>2250</v>
      </c>
    </row>
    <row r="1457" spans="1:3" ht="25" x14ac:dyDescent="0.35">
      <c r="A1457" s="869">
        <v>2133</v>
      </c>
      <c r="B1457" s="1835" t="s">
        <v>3710</v>
      </c>
      <c r="C1457" s="1835" t="s">
        <v>2251</v>
      </c>
    </row>
    <row r="1458" spans="1:3" ht="15" thickBot="1" x14ac:dyDescent="0.4">
      <c r="A1458" s="869">
        <v>2134</v>
      </c>
      <c r="B1458" s="1859" t="s">
        <v>3711</v>
      </c>
      <c r="C1458" s="1859" t="s">
        <v>2292</v>
      </c>
    </row>
    <row r="1459" spans="1:3" ht="15" thickBot="1" x14ac:dyDescent="0.4">
      <c r="A1459" s="869">
        <v>2135</v>
      </c>
      <c r="B1459" s="1860" t="s">
        <v>3712</v>
      </c>
      <c r="C1459" s="1860" t="s">
        <v>2145</v>
      </c>
    </row>
    <row r="1460" spans="1:3" ht="15" thickBot="1" x14ac:dyDescent="0.4">
      <c r="A1460" s="869">
        <v>2136</v>
      </c>
      <c r="B1460" s="1860" t="s">
        <v>3713</v>
      </c>
      <c r="C1460" s="1860" t="s">
        <v>2009</v>
      </c>
    </row>
    <row r="1461" spans="1:3" ht="15" thickBot="1" x14ac:dyDescent="0.4">
      <c r="A1461" s="869">
        <v>2137</v>
      </c>
      <c r="B1461" s="1860" t="s">
        <v>3714</v>
      </c>
      <c r="C1461" s="1860" t="s">
        <v>2008</v>
      </c>
    </row>
    <row r="1462" spans="1:3" ht="20" x14ac:dyDescent="0.35">
      <c r="A1462" s="869">
        <v>2138</v>
      </c>
      <c r="B1462" s="1834" t="s">
        <v>3715</v>
      </c>
      <c r="C1462" s="1834" t="s">
        <v>2135</v>
      </c>
    </row>
    <row r="1463" spans="1:3" ht="20" x14ac:dyDescent="0.35">
      <c r="A1463" s="869">
        <v>2139</v>
      </c>
      <c r="B1463" s="1834" t="s">
        <v>3716</v>
      </c>
      <c r="C1463" s="1834" t="s">
        <v>2136</v>
      </c>
    </row>
    <row r="1464" spans="1:3" ht="20.5" thickBot="1" x14ac:dyDescent="0.4">
      <c r="A1464" s="869">
        <v>2140</v>
      </c>
      <c r="B1464" s="1834" t="s">
        <v>3717</v>
      </c>
      <c r="C1464" s="1834" t="s">
        <v>2134</v>
      </c>
    </row>
    <row r="1465" spans="1:3" ht="34.5" x14ac:dyDescent="0.35">
      <c r="A1465" s="869">
        <v>2141</v>
      </c>
      <c r="B1465" s="1838" t="s">
        <v>3718</v>
      </c>
      <c r="C1465" s="1838" t="s">
        <v>2299</v>
      </c>
    </row>
    <row r="1466" spans="1:3" x14ac:dyDescent="0.35">
      <c r="A1466" s="869">
        <v>2142</v>
      </c>
      <c r="B1466" s="1841" t="s">
        <v>3719</v>
      </c>
      <c r="C1466" s="1841" t="s">
        <v>2209</v>
      </c>
    </row>
    <row r="1467" spans="1:3" x14ac:dyDescent="0.35">
      <c r="A1467" s="869">
        <v>2143</v>
      </c>
      <c r="B1467" s="1841" t="s">
        <v>3720</v>
      </c>
      <c r="C1467" s="1841" t="s">
        <v>1912</v>
      </c>
    </row>
    <row r="1468" spans="1:3" ht="30" x14ac:dyDescent="0.35">
      <c r="A1468" s="869">
        <v>2144</v>
      </c>
      <c r="B1468" s="1834" t="s">
        <v>3721</v>
      </c>
      <c r="C1468" s="1834" t="s">
        <v>2255</v>
      </c>
    </row>
    <row r="1469" spans="1:3" ht="30" x14ac:dyDescent="0.35">
      <c r="A1469" s="869">
        <v>2145</v>
      </c>
      <c r="B1469" s="1834" t="s">
        <v>3722</v>
      </c>
      <c r="C1469" s="1834" t="s">
        <v>1897</v>
      </c>
    </row>
    <row r="1470" spans="1:3" ht="20" x14ac:dyDescent="0.35">
      <c r="A1470" s="869">
        <v>2146</v>
      </c>
      <c r="B1470" s="1834" t="s">
        <v>3723</v>
      </c>
      <c r="C1470" s="1834" t="s">
        <v>1891</v>
      </c>
    </row>
    <row r="1471" spans="1:3" ht="20" x14ac:dyDescent="0.35">
      <c r="A1471" s="869">
        <v>2147</v>
      </c>
      <c r="B1471" s="1834" t="s">
        <v>3724</v>
      </c>
      <c r="C1471" s="1834" t="s">
        <v>2293</v>
      </c>
    </row>
    <row r="1472" spans="1:3" ht="15" thickBot="1" x14ac:dyDescent="0.4">
      <c r="A1472" s="869">
        <v>2148</v>
      </c>
      <c r="B1472" s="1861" t="s">
        <v>1846</v>
      </c>
      <c r="C1472" s="1861" t="s">
        <v>2199</v>
      </c>
    </row>
    <row r="1473" spans="1:3" ht="15" thickBot="1" x14ac:dyDescent="0.4">
      <c r="A1473" s="869">
        <v>2149</v>
      </c>
      <c r="B1473" s="1862" t="s">
        <v>3725</v>
      </c>
      <c r="C1473" s="1862" t="s">
        <v>2277</v>
      </c>
    </row>
    <row r="1474" spans="1:3" ht="15" thickBot="1" x14ac:dyDescent="0.4">
      <c r="A1474" s="869">
        <v>2150</v>
      </c>
      <c r="B1474" s="1862" t="s">
        <v>3726</v>
      </c>
      <c r="C1474" s="1862" t="s">
        <v>1854</v>
      </c>
    </row>
    <row r="1475" spans="1:3" ht="15" thickBot="1" x14ac:dyDescent="0.4">
      <c r="A1475" s="869">
        <v>2151</v>
      </c>
      <c r="B1475" s="1863" t="s">
        <v>3727</v>
      </c>
      <c r="C1475" s="1863" t="s">
        <v>1853</v>
      </c>
    </row>
    <row r="1476" spans="1:3" ht="15" thickBot="1" x14ac:dyDescent="0.4">
      <c r="A1476" s="869">
        <v>2152</v>
      </c>
      <c r="B1476" s="1862" t="s">
        <v>3728</v>
      </c>
      <c r="C1476" s="1862" t="s">
        <v>2294</v>
      </c>
    </row>
    <row r="1477" spans="1:3" ht="15" thickBot="1" x14ac:dyDescent="0.4">
      <c r="A1477" s="869">
        <v>2153</v>
      </c>
      <c r="B1477" s="1862" t="s">
        <v>3729</v>
      </c>
      <c r="C1477" s="1862" t="s">
        <v>1857</v>
      </c>
    </row>
    <row r="1478" spans="1:3" ht="15" thickBot="1" x14ac:dyDescent="0.4">
      <c r="A1478" s="869">
        <v>2154</v>
      </c>
      <c r="B1478" s="1862" t="s">
        <v>3730</v>
      </c>
      <c r="C1478" s="1862" t="s">
        <v>1859</v>
      </c>
    </row>
    <row r="1479" spans="1:3" ht="40" x14ac:dyDescent="0.35">
      <c r="A1479" s="869">
        <v>2155</v>
      </c>
      <c r="B1479" s="1834" t="s">
        <v>3731</v>
      </c>
      <c r="C1479" s="1834" t="s">
        <v>1917</v>
      </c>
    </row>
    <row r="1480" spans="1:3" x14ac:dyDescent="0.35">
      <c r="A1480" s="869">
        <v>2156</v>
      </c>
      <c r="B1480" s="1864" t="s">
        <v>3732</v>
      </c>
      <c r="C1480" s="1864" t="s">
        <v>1979</v>
      </c>
    </row>
    <row r="1481" spans="1:3" ht="15" thickBot="1" x14ac:dyDescent="0.4">
      <c r="A1481" s="869">
        <v>2157</v>
      </c>
      <c r="B1481" s="1861" t="s">
        <v>3733</v>
      </c>
      <c r="C1481" s="1861" t="s">
        <v>2200</v>
      </c>
    </row>
    <row r="1482" spans="1:3" ht="15" thickBot="1" x14ac:dyDescent="0.4">
      <c r="A1482" s="869">
        <v>2158</v>
      </c>
      <c r="B1482" s="1862" t="s">
        <v>3734</v>
      </c>
      <c r="C1482" s="1862" t="s">
        <v>1892</v>
      </c>
    </row>
    <row r="1483" spans="1:3" ht="15" thickBot="1" x14ac:dyDescent="0.4">
      <c r="A1483" s="869">
        <v>2159</v>
      </c>
      <c r="B1483" s="1864" t="s">
        <v>3735</v>
      </c>
      <c r="C1483" s="1864" t="s">
        <v>1978</v>
      </c>
    </row>
    <row r="1484" spans="1:3" ht="15" thickBot="1" x14ac:dyDescent="0.4">
      <c r="A1484" s="869">
        <v>2160</v>
      </c>
      <c r="B1484" s="1865" t="s">
        <v>3736</v>
      </c>
      <c r="C1484" s="1865" t="s">
        <v>2070</v>
      </c>
    </row>
    <row r="1485" spans="1:3" ht="15" thickBot="1" x14ac:dyDescent="0.4">
      <c r="A1485" s="869">
        <v>2161</v>
      </c>
      <c r="B1485" s="1866" t="s">
        <v>3737</v>
      </c>
      <c r="C1485" s="1866" t="s">
        <v>1977</v>
      </c>
    </row>
    <row r="1486" spans="1:3" ht="40" x14ac:dyDescent="0.35">
      <c r="A1486" s="869">
        <v>2162</v>
      </c>
      <c r="B1486" s="1834" t="s">
        <v>3738</v>
      </c>
      <c r="C1486" s="1834" t="s">
        <v>2256</v>
      </c>
    </row>
    <row r="1487" spans="1:3" ht="30" x14ac:dyDescent="0.35">
      <c r="A1487" s="869">
        <v>2163</v>
      </c>
      <c r="B1487" s="1834" t="s">
        <v>3739</v>
      </c>
      <c r="C1487" s="1834" t="s">
        <v>1915</v>
      </c>
    </row>
    <row r="1488" spans="1:3" ht="20" x14ac:dyDescent="0.35">
      <c r="A1488" s="869">
        <v>2164</v>
      </c>
      <c r="B1488" s="1834" t="s">
        <v>3740</v>
      </c>
      <c r="C1488" s="1834" t="s">
        <v>2210</v>
      </c>
    </row>
    <row r="1489" spans="1:3" ht="15" thickBot="1" x14ac:dyDescent="0.4">
      <c r="A1489" s="869">
        <v>2165</v>
      </c>
      <c r="B1489" s="1864" t="s">
        <v>3741</v>
      </c>
      <c r="C1489" s="1864" t="s">
        <v>1852</v>
      </c>
    </row>
    <row r="1490" spans="1:3" ht="15" thickBot="1" x14ac:dyDescent="0.4">
      <c r="A1490" s="869">
        <v>2166</v>
      </c>
      <c r="B1490" s="1867" t="s">
        <v>3742</v>
      </c>
      <c r="C1490" s="1867" t="s">
        <v>1847</v>
      </c>
    </row>
    <row r="1491" spans="1:3" ht="20" x14ac:dyDescent="0.35">
      <c r="A1491" s="869">
        <v>2167</v>
      </c>
      <c r="B1491" s="1834" t="s">
        <v>3743</v>
      </c>
      <c r="C1491" s="1834" t="s">
        <v>2176</v>
      </c>
    </row>
    <row r="1492" spans="1:3" ht="30" x14ac:dyDescent="0.35">
      <c r="A1492" s="869">
        <v>2168</v>
      </c>
      <c r="B1492" s="1834" t="s">
        <v>3744</v>
      </c>
      <c r="C1492" s="1834" t="s">
        <v>2208</v>
      </c>
    </row>
    <row r="1493" spans="1:3" ht="30" x14ac:dyDescent="0.35">
      <c r="A1493" s="869">
        <v>2169</v>
      </c>
      <c r="B1493" s="1834" t="s">
        <v>3745</v>
      </c>
      <c r="C1493" s="1834" t="s">
        <v>2139</v>
      </c>
    </row>
    <row r="1494" spans="1:3" ht="30" x14ac:dyDescent="0.35">
      <c r="A1494" s="869">
        <v>2170</v>
      </c>
      <c r="B1494" s="1834" t="s">
        <v>3746</v>
      </c>
      <c r="C1494" s="1834" t="s">
        <v>2236</v>
      </c>
    </row>
    <row r="1495" spans="1:3" x14ac:dyDescent="0.35">
      <c r="A1495" s="869">
        <v>2171</v>
      </c>
      <c r="B1495" s="1868" t="s">
        <v>3747</v>
      </c>
      <c r="C1495" s="1868" t="s">
        <v>1913</v>
      </c>
    </row>
    <row r="1496" spans="1:3" x14ac:dyDescent="0.35">
      <c r="A1496" s="869">
        <v>2172</v>
      </c>
      <c r="B1496" s="1841" t="s">
        <v>3748</v>
      </c>
      <c r="C1496" s="1841" t="s">
        <v>2203</v>
      </c>
    </row>
    <row r="1497" spans="1:3" ht="20" x14ac:dyDescent="0.35">
      <c r="A1497" s="869">
        <v>2173</v>
      </c>
      <c r="B1497" s="1834" t="s">
        <v>3749</v>
      </c>
      <c r="C1497" s="1834" t="s">
        <v>2137</v>
      </c>
    </row>
    <row r="1498" spans="1:3" ht="20" x14ac:dyDescent="0.35">
      <c r="A1498" s="869">
        <v>2174</v>
      </c>
      <c r="B1498" s="1833" t="s">
        <v>3750</v>
      </c>
      <c r="C1498" s="1833" t="s">
        <v>2252</v>
      </c>
    </row>
    <row r="1499" spans="1:3" x14ac:dyDescent="0.35">
      <c r="A1499" s="869">
        <v>2175</v>
      </c>
      <c r="B1499" s="1833" t="s">
        <v>3751</v>
      </c>
      <c r="C1499" s="1833" t="s">
        <v>2204</v>
      </c>
    </row>
    <row r="1500" spans="1:3" ht="20" x14ac:dyDescent="0.35">
      <c r="A1500" s="869">
        <v>2176</v>
      </c>
      <c r="B1500" s="1833" t="s">
        <v>3752</v>
      </c>
      <c r="C1500" s="1833" t="s">
        <v>2197</v>
      </c>
    </row>
    <row r="1501" spans="1:3" x14ac:dyDescent="0.35">
      <c r="A1501" s="869">
        <v>2177</v>
      </c>
      <c r="B1501" s="1833" t="s">
        <v>3753</v>
      </c>
      <c r="C1501" s="1833" t="s">
        <v>2198</v>
      </c>
    </row>
    <row r="1502" spans="1:3" ht="20" x14ac:dyDescent="0.35">
      <c r="A1502" s="869">
        <v>2178</v>
      </c>
      <c r="B1502" s="1833" t="s">
        <v>3754</v>
      </c>
      <c r="C1502" s="1833" t="s">
        <v>2205</v>
      </c>
    </row>
    <row r="1503" spans="1:3" ht="20" x14ac:dyDescent="0.35">
      <c r="A1503" s="869">
        <v>2179</v>
      </c>
      <c r="B1503" s="1834" t="s">
        <v>3755</v>
      </c>
      <c r="C1503" s="1834" t="s">
        <v>2211</v>
      </c>
    </row>
    <row r="1504" spans="1:3" ht="15" thickBot="1" x14ac:dyDescent="0.4">
      <c r="A1504" s="869">
        <v>2180</v>
      </c>
      <c r="B1504" s="1834" t="s">
        <v>3756</v>
      </c>
      <c r="C1504" s="1834" t="s">
        <v>2178</v>
      </c>
    </row>
    <row r="1505" spans="1:3" ht="15" thickBot="1" x14ac:dyDescent="0.4">
      <c r="A1505" s="869">
        <v>2181</v>
      </c>
      <c r="B1505" s="1869" t="s">
        <v>3757</v>
      </c>
      <c r="C1505" s="1869" t="s">
        <v>1916</v>
      </c>
    </row>
    <row r="1506" spans="1:3" ht="15" thickBot="1" x14ac:dyDescent="0.4">
      <c r="A1506" s="869">
        <v>2182</v>
      </c>
      <c r="B1506" s="1860" t="s">
        <v>3758</v>
      </c>
      <c r="C1506" s="1860" t="s">
        <v>1927</v>
      </c>
    </row>
    <row r="1507" spans="1:3" x14ac:dyDescent="0.35">
      <c r="A1507" s="869">
        <v>2183</v>
      </c>
      <c r="B1507" s="1841" t="s">
        <v>3759</v>
      </c>
      <c r="C1507" s="1841" t="s">
        <v>2030</v>
      </c>
    </row>
    <row r="1508" spans="1:3" ht="20" x14ac:dyDescent="0.35">
      <c r="A1508" s="869">
        <v>2184</v>
      </c>
      <c r="B1508" s="1834" t="s">
        <v>3760</v>
      </c>
      <c r="C1508" s="1834" t="s">
        <v>2214</v>
      </c>
    </row>
    <row r="1509" spans="1:3" x14ac:dyDescent="0.35">
      <c r="A1509" s="869">
        <v>2185</v>
      </c>
      <c r="B1509" s="1864" t="s">
        <v>3761</v>
      </c>
      <c r="C1509" s="1864" t="s">
        <v>1981</v>
      </c>
    </row>
    <row r="1510" spans="1:3" ht="15" thickBot="1" x14ac:dyDescent="0.4">
      <c r="A1510" s="869">
        <v>2186</v>
      </c>
      <c r="B1510" s="1861" t="s">
        <v>3762</v>
      </c>
      <c r="C1510" s="1861" t="s">
        <v>1875</v>
      </c>
    </row>
    <row r="1511" spans="1:3" ht="15" thickBot="1" x14ac:dyDescent="0.4">
      <c r="A1511" s="869">
        <v>2187</v>
      </c>
      <c r="B1511" s="1862" t="s">
        <v>3763</v>
      </c>
      <c r="C1511" s="1862" t="s">
        <v>2029</v>
      </c>
    </row>
    <row r="1512" spans="1:3" ht="15" thickBot="1" x14ac:dyDescent="0.4">
      <c r="A1512" s="869">
        <v>2188</v>
      </c>
      <c r="B1512" s="1862" t="s">
        <v>3764</v>
      </c>
      <c r="C1512" s="1862" t="s">
        <v>2207</v>
      </c>
    </row>
    <row r="1513" spans="1:3" x14ac:dyDescent="0.35">
      <c r="A1513" s="869">
        <v>2189</v>
      </c>
      <c r="B1513" s="1870" t="s">
        <v>3765</v>
      </c>
      <c r="C1513" s="1870" t="s">
        <v>2234</v>
      </c>
    </row>
    <row r="1514" spans="1:3" ht="15" thickBot="1" x14ac:dyDescent="0.4">
      <c r="A1514" s="869">
        <v>2190</v>
      </c>
      <c r="B1514" s="1863" t="s">
        <v>3766</v>
      </c>
      <c r="C1514" s="1863" t="s">
        <v>2235</v>
      </c>
    </row>
    <row r="1515" spans="1:3" ht="26.5" thickBot="1" x14ac:dyDescent="0.4">
      <c r="A1515" s="869">
        <v>2191</v>
      </c>
      <c r="B1515" s="1870" t="s">
        <v>3767</v>
      </c>
      <c r="C1515" s="1870" t="s">
        <v>1860</v>
      </c>
    </row>
    <row r="1516" spans="1:3" ht="15" thickBot="1" x14ac:dyDescent="0.4">
      <c r="A1516" s="869">
        <v>2192</v>
      </c>
      <c r="B1516" s="1867" t="s">
        <v>3768</v>
      </c>
      <c r="C1516" s="1867" t="s">
        <v>2076</v>
      </c>
    </row>
    <row r="1517" spans="1:3" ht="40" x14ac:dyDescent="0.35">
      <c r="A1517" s="869">
        <v>2193</v>
      </c>
      <c r="B1517" s="1871" t="s">
        <v>3769</v>
      </c>
      <c r="C1517" s="1871" t="s">
        <v>2140</v>
      </c>
    </row>
    <row r="1518" spans="1:3" ht="20.5" thickBot="1" x14ac:dyDescent="0.4">
      <c r="A1518" s="869">
        <v>2194</v>
      </c>
      <c r="B1518" s="1871" t="s">
        <v>3770</v>
      </c>
      <c r="C1518" s="1871" t="s">
        <v>2078</v>
      </c>
    </row>
    <row r="1519" spans="1:3" ht="15" thickBot="1" x14ac:dyDescent="0.4">
      <c r="A1519" s="869">
        <v>2195</v>
      </c>
      <c r="B1519" s="1867" t="s">
        <v>3771</v>
      </c>
      <c r="C1519" s="1867" t="s">
        <v>2077</v>
      </c>
    </row>
    <row r="1520" spans="1:3" ht="20" x14ac:dyDescent="0.35">
      <c r="A1520" s="869">
        <v>2196</v>
      </c>
      <c r="B1520" s="1872" t="s">
        <v>3772</v>
      </c>
      <c r="C1520" s="1872" t="s">
        <v>2017</v>
      </c>
    </row>
    <row r="1521" spans="1:3" ht="20" x14ac:dyDescent="0.35">
      <c r="A1521" s="869">
        <v>2197</v>
      </c>
      <c r="B1521" s="1871" t="s">
        <v>3773</v>
      </c>
      <c r="C1521" s="1871" t="s">
        <v>2075</v>
      </c>
    </row>
    <row r="1522" spans="1:3" ht="30" x14ac:dyDescent="0.35">
      <c r="A1522" s="869">
        <v>2198</v>
      </c>
      <c r="B1522" s="1871" t="s">
        <v>3774</v>
      </c>
      <c r="C1522" s="1871" t="s">
        <v>2175</v>
      </c>
    </row>
    <row r="1523" spans="1:3" ht="20.5" thickBot="1" x14ac:dyDescent="0.4">
      <c r="A1523" s="869">
        <v>2199</v>
      </c>
      <c r="B1523" s="1871" t="s">
        <v>3775</v>
      </c>
      <c r="C1523" s="1871" t="s">
        <v>2079</v>
      </c>
    </row>
    <row r="1524" spans="1:3" ht="15" thickBot="1" x14ac:dyDescent="0.4">
      <c r="A1524" s="869">
        <v>2200</v>
      </c>
      <c r="B1524" s="1867" t="s">
        <v>3776</v>
      </c>
      <c r="C1524" s="1867" t="s">
        <v>1849</v>
      </c>
    </row>
    <row r="1525" spans="1:3" x14ac:dyDescent="0.35">
      <c r="A1525" s="869">
        <v>2201</v>
      </c>
      <c r="B1525" s="1834" t="s">
        <v>3777</v>
      </c>
      <c r="C1525" s="1834" t="s">
        <v>2213</v>
      </c>
    </row>
    <row r="1526" spans="1:3" ht="15" thickBot="1" x14ac:dyDescent="0.4">
      <c r="A1526" s="869">
        <v>2202</v>
      </c>
      <c r="B1526" s="1853" t="s">
        <v>3778</v>
      </c>
      <c r="C1526" s="1853" t="s">
        <v>2212</v>
      </c>
    </row>
    <row r="1527" spans="1:3" ht="25" x14ac:dyDescent="0.35">
      <c r="A1527" s="869">
        <v>2203</v>
      </c>
      <c r="B1527" s="1927" t="s">
        <v>3779</v>
      </c>
      <c r="C1527" s="1835" t="s">
        <v>2257</v>
      </c>
    </row>
    <row r="1528" spans="1:3" x14ac:dyDescent="0.35">
      <c r="A1528" s="869">
        <v>2204</v>
      </c>
      <c r="B1528" s="1833" t="s">
        <v>3780</v>
      </c>
      <c r="C1528" s="1833" t="s">
        <v>2216</v>
      </c>
    </row>
    <row r="1529" spans="1:3" ht="20" x14ac:dyDescent="0.35">
      <c r="A1529" s="869">
        <v>2205</v>
      </c>
      <c r="B1529" s="1834" t="s">
        <v>3781</v>
      </c>
      <c r="C1529" s="1834" t="s">
        <v>2187</v>
      </c>
    </row>
    <row r="1530" spans="1:3" ht="20" x14ac:dyDescent="0.35">
      <c r="A1530" s="869">
        <v>2206</v>
      </c>
      <c r="B1530" s="1834" t="s">
        <v>3782</v>
      </c>
      <c r="C1530" s="1834" t="s">
        <v>2188</v>
      </c>
    </row>
    <row r="1531" spans="1:3" ht="20" x14ac:dyDescent="0.35">
      <c r="A1531" s="869">
        <v>2207</v>
      </c>
      <c r="B1531" s="1834" t="s">
        <v>3783</v>
      </c>
      <c r="C1531" s="1834" t="s">
        <v>2189</v>
      </c>
    </row>
    <row r="1532" spans="1:3" ht="20" x14ac:dyDescent="0.35">
      <c r="A1532" s="869">
        <v>2208</v>
      </c>
      <c r="B1532" s="1834" t="s">
        <v>3784</v>
      </c>
      <c r="C1532" s="1834" t="s">
        <v>2190</v>
      </c>
    </row>
    <row r="1533" spans="1:3" ht="26" x14ac:dyDescent="0.35">
      <c r="A1533" s="869">
        <v>2209</v>
      </c>
      <c r="B1533" s="1841" t="s">
        <v>3785</v>
      </c>
      <c r="C1533" s="1841" t="s">
        <v>1982</v>
      </c>
    </row>
    <row r="1534" spans="1:3" x14ac:dyDescent="0.35">
      <c r="A1534" s="869">
        <v>2210</v>
      </c>
      <c r="B1534" s="1873" t="s">
        <v>3786</v>
      </c>
      <c r="C1534" s="1873" t="s">
        <v>2028</v>
      </c>
    </row>
    <row r="1535" spans="1:3" x14ac:dyDescent="0.35">
      <c r="A1535" s="869">
        <v>2211</v>
      </c>
      <c r="B1535" s="1874" t="s">
        <v>3787</v>
      </c>
      <c r="C1535" s="1874" t="s">
        <v>2021</v>
      </c>
    </row>
    <row r="1536" spans="1:3" x14ac:dyDescent="0.35">
      <c r="A1536" s="869">
        <v>2212</v>
      </c>
      <c r="B1536" s="1874" t="s">
        <v>3788</v>
      </c>
      <c r="C1536" s="1874" t="s">
        <v>2025</v>
      </c>
    </row>
    <row r="1537" spans="1:3" x14ac:dyDescent="0.35">
      <c r="A1537" s="869">
        <v>2213</v>
      </c>
      <c r="B1537" s="1874" t="s">
        <v>3789</v>
      </c>
      <c r="C1537" s="1874" t="s">
        <v>2022</v>
      </c>
    </row>
    <row r="1538" spans="1:3" x14ac:dyDescent="0.35">
      <c r="A1538" s="869">
        <v>2214</v>
      </c>
      <c r="B1538" s="1874" t="s">
        <v>3790</v>
      </c>
      <c r="C1538" s="1874" t="s">
        <v>2026</v>
      </c>
    </row>
    <row r="1539" spans="1:3" x14ac:dyDescent="0.35">
      <c r="A1539" s="869">
        <v>2215</v>
      </c>
      <c r="B1539" s="1874" t="s">
        <v>3791</v>
      </c>
      <c r="C1539" s="1874" t="s">
        <v>2023</v>
      </c>
    </row>
    <row r="1540" spans="1:3" x14ac:dyDescent="0.35">
      <c r="A1540" s="869">
        <v>2216</v>
      </c>
      <c r="B1540" s="1874" t="s">
        <v>3792</v>
      </c>
      <c r="C1540" s="1874" t="s">
        <v>2027</v>
      </c>
    </row>
    <row r="1541" spans="1:3" x14ac:dyDescent="0.35">
      <c r="A1541" s="869">
        <v>2217</v>
      </c>
      <c r="B1541" s="1874" t="s">
        <v>3793</v>
      </c>
      <c r="C1541" s="1874" t="s">
        <v>2024</v>
      </c>
    </row>
    <row r="1542" spans="1:3" x14ac:dyDescent="0.35">
      <c r="A1542" s="869">
        <v>2218</v>
      </c>
      <c r="B1542" s="1849" t="s">
        <v>3794</v>
      </c>
      <c r="C1542" s="1849" t="s">
        <v>2245</v>
      </c>
    </row>
    <row r="1543" spans="1:3" x14ac:dyDescent="0.35">
      <c r="A1543" s="869">
        <v>2219</v>
      </c>
      <c r="B1543" s="1849" t="s">
        <v>3795</v>
      </c>
      <c r="C1543" s="1849" t="s">
        <v>2246</v>
      </c>
    </row>
    <row r="1544" spans="1:3" ht="40.5" thickBot="1" x14ac:dyDescent="0.4">
      <c r="A1544" s="869">
        <v>2220</v>
      </c>
      <c r="B1544" s="1833" t="s">
        <v>3273</v>
      </c>
      <c r="C1544" s="1833" t="s">
        <v>2247</v>
      </c>
    </row>
    <row r="1545" spans="1:3" ht="15" thickBot="1" x14ac:dyDescent="0.4">
      <c r="A1545" s="869">
        <v>2221</v>
      </c>
      <c r="B1545" s="1875" t="s">
        <v>3796</v>
      </c>
      <c r="C1545" s="1875" t="s">
        <v>1884</v>
      </c>
    </row>
    <row r="1546" spans="1:3" ht="15" thickBot="1" x14ac:dyDescent="0.4">
      <c r="A1546" s="869">
        <v>2222</v>
      </c>
      <c r="B1546" s="1852" t="s">
        <v>3797</v>
      </c>
      <c r="C1546" s="1852" t="s">
        <v>2081</v>
      </c>
    </row>
    <row r="1547" spans="1:3" ht="15" thickBot="1" x14ac:dyDescent="0.4">
      <c r="A1547" s="869">
        <v>2223</v>
      </c>
      <c r="B1547" s="1852" t="s">
        <v>3798</v>
      </c>
      <c r="C1547" s="1852" t="s">
        <v>2233</v>
      </c>
    </row>
    <row r="1548" spans="1:3" ht="20.5" thickBot="1" x14ac:dyDescent="0.4">
      <c r="A1548" s="869">
        <v>2224</v>
      </c>
      <c r="B1548" s="1852" t="s">
        <v>3799</v>
      </c>
      <c r="C1548" s="1852" t="s">
        <v>2221</v>
      </c>
    </row>
    <row r="1549" spans="1:3" ht="15" thickBot="1" x14ac:dyDescent="0.4">
      <c r="A1549" s="869">
        <v>2225</v>
      </c>
      <c r="B1549" s="1876" t="s">
        <v>3800</v>
      </c>
      <c r="C1549" s="1876" t="s">
        <v>1988</v>
      </c>
    </row>
    <row r="1550" spans="1:3" ht="20.5" thickBot="1" x14ac:dyDescent="0.4">
      <c r="A1550" s="869">
        <v>2226</v>
      </c>
      <c r="B1550" s="1852" t="s">
        <v>3801</v>
      </c>
      <c r="C1550" s="1852" t="s">
        <v>2222</v>
      </c>
    </row>
    <row r="1551" spans="1:3" ht="15" thickBot="1" x14ac:dyDescent="0.4">
      <c r="A1551" s="869">
        <v>2227</v>
      </c>
      <c r="B1551" s="1876" t="s">
        <v>3802</v>
      </c>
      <c r="C1551" s="1876" t="s">
        <v>1989</v>
      </c>
    </row>
    <row r="1552" spans="1:3" ht="20.5" thickBot="1" x14ac:dyDescent="0.4">
      <c r="A1552" s="869">
        <v>2228</v>
      </c>
      <c r="B1552" s="1852" t="s">
        <v>3803</v>
      </c>
      <c r="C1552" s="1852" t="s">
        <v>2223</v>
      </c>
    </row>
    <row r="1553" spans="1:3" ht="15" thickBot="1" x14ac:dyDescent="0.4">
      <c r="A1553" s="869">
        <v>2229</v>
      </c>
      <c r="B1553" s="1876" t="s">
        <v>3804</v>
      </c>
      <c r="C1553" s="1876" t="s">
        <v>2082</v>
      </c>
    </row>
    <row r="1554" spans="1:3" ht="20.5" thickBot="1" x14ac:dyDescent="0.4">
      <c r="A1554" s="869">
        <v>2230</v>
      </c>
      <c r="B1554" s="1852" t="s">
        <v>3805</v>
      </c>
      <c r="C1554" s="1852" t="s">
        <v>2224</v>
      </c>
    </row>
    <row r="1555" spans="1:3" ht="15" thickBot="1" x14ac:dyDescent="0.4">
      <c r="A1555" s="869">
        <v>2231</v>
      </c>
      <c r="B1555" s="1876" t="s">
        <v>3806</v>
      </c>
      <c r="C1555" s="1876" t="s">
        <v>2083</v>
      </c>
    </row>
    <row r="1556" spans="1:3" ht="20.5" thickBot="1" x14ac:dyDescent="0.4">
      <c r="A1556" s="869">
        <v>2232</v>
      </c>
      <c r="B1556" s="1852" t="s">
        <v>3807</v>
      </c>
      <c r="C1556" s="1852" t="s">
        <v>2225</v>
      </c>
    </row>
    <row r="1557" spans="1:3" ht="15" thickBot="1" x14ac:dyDescent="0.4">
      <c r="A1557" s="869">
        <v>2233</v>
      </c>
      <c r="B1557" s="1876" t="s">
        <v>3808</v>
      </c>
      <c r="C1557" s="1876" t="s">
        <v>1996</v>
      </c>
    </row>
    <row r="1558" spans="1:3" ht="30.5" thickBot="1" x14ac:dyDescent="0.4">
      <c r="A1558" s="869">
        <v>2234</v>
      </c>
      <c r="B1558" s="1852" t="s">
        <v>3809</v>
      </c>
      <c r="C1558" s="1852" t="s">
        <v>2226</v>
      </c>
    </row>
    <row r="1559" spans="1:3" ht="15" thickBot="1" x14ac:dyDescent="0.4">
      <c r="A1559" s="869">
        <v>2235</v>
      </c>
      <c r="B1559" s="1876" t="s">
        <v>3810</v>
      </c>
      <c r="C1559" s="1876" t="s">
        <v>2001</v>
      </c>
    </row>
    <row r="1560" spans="1:3" ht="20.5" thickBot="1" x14ac:dyDescent="0.4">
      <c r="A1560" s="869">
        <v>2236</v>
      </c>
      <c r="B1560" s="1852" t="s">
        <v>3811</v>
      </c>
      <c r="C1560" s="1852" t="s">
        <v>2227</v>
      </c>
    </row>
    <row r="1561" spans="1:3" ht="40.5" thickBot="1" x14ac:dyDescent="0.4">
      <c r="A1561" s="869">
        <v>2237</v>
      </c>
      <c r="B1561" s="1852" t="s">
        <v>3812</v>
      </c>
      <c r="C1561" s="1852" t="s">
        <v>2228</v>
      </c>
    </row>
    <row r="1562" spans="1:3" ht="15" thickBot="1" x14ac:dyDescent="0.4">
      <c r="A1562" s="869">
        <v>2238</v>
      </c>
      <c r="B1562" s="1877" t="s">
        <v>3813</v>
      </c>
      <c r="C1562" s="1877" t="s">
        <v>1865</v>
      </c>
    </row>
    <row r="1563" spans="1:3" ht="15" thickBot="1" x14ac:dyDescent="0.4">
      <c r="A1563" s="869">
        <v>2239</v>
      </c>
      <c r="B1563" s="1878" t="s">
        <v>3814</v>
      </c>
      <c r="C1563" s="1878" t="s">
        <v>1993</v>
      </c>
    </row>
    <row r="1564" spans="1:3" ht="15" thickBot="1" x14ac:dyDescent="0.4">
      <c r="A1564" s="869">
        <v>2240</v>
      </c>
      <c r="B1564" s="1873" t="s">
        <v>3815</v>
      </c>
      <c r="C1564" s="1873" t="s">
        <v>1966</v>
      </c>
    </row>
    <row r="1565" spans="1:3" ht="15" thickBot="1" x14ac:dyDescent="0.4">
      <c r="A1565" s="869">
        <v>2241</v>
      </c>
      <c r="B1565" s="1879" t="s">
        <v>3816</v>
      </c>
      <c r="C1565" s="1879" t="s">
        <v>1871</v>
      </c>
    </row>
    <row r="1566" spans="1:3" ht="15" thickBot="1" x14ac:dyDescent="0.4">
      <c r="A1566" s="869">
        <v>2242</v>
      </c>
      <c r="B1566" s="1878" t="s">
        <v>3817</v>
      </c>
      <c r="C1566" s="1878" t="s">
        <v>1956</v>
      </c>
    </row>
    <row r="1567" spans="1:3" ht="15" thickBot="1" x14ac:dyDescent="0.4">
      <c r="A1567" s="869">
        <v>2243</v>
      </c>
      <c r="B1567" s="1877" t="s">
        <v>3818</v>
      </c>
      <c r="C1567" s="1877" t="s">
        <v>1848</v>
      </c>
    </row>
    <row r="1568" spans="1:3" ht="15" thickBot="1" x14ac:dyDescent="0.4">
      <c r="A1568" s="869">
        <v>2244</v>
      </c>
      <c r="B1568" s="1877" t="s">
        <v>3819</v>
      </c>
      <c r="C1568" s="1877" t="s">
        <v>1889</v>
      </c>
    </row>
    <row r="1569" spans="1:3" ht="15" thickBot="1" x14ac:dyDescent="0.4">
      <c r="A1569" s="869">
        <v>2245</v>
      </c>
      <c r="B1569" s="1877" t="s">
        <v>3820</v>
      </c>
      <c r="C1569" s="1877" t="s">
        <v>1870</v>
      </c>
    </row>
    <row r="1570" spans="1:3" ht="15" thickBot="1" x14ac:dyDescent="0.4">
      <c r="A1570" s="869">
        <v>2246</v>
      </c>
      <c r="B1570" s="1878" t="s">
        <v>3821</v>
      </c>
      <c r="C1570" s="1878" t="s">
        <v>1957</v>
      </c>
    </row>
    <row r="1571" spans="1:3" ht="15" thickBot="1" x14ac:dyDescent="0.4">
      <c r="A1571" s="869">
        <v>2247</v>
      </c>
      <c r="B1571" s="1877" t="s">
        <v>3822</v>
      </c>
      <c r="C1571" s="1877" t="s">
        <v>1980</v>
      </c>
    </row>
    <row r="1572" spans="1:3" ht="15" thickBot="1" x14ac:dyDescent="0.4">
      <c r="A1572" s="869">
        <v>2248</v>
      </c>
      <c r="B1572" s="1880" t="s">
        <v>3823</v>
      </c>
      <c r="C1572" s="1880" t="s">
        <v>2084</v>
      </c>
    </row>
    <row r="1573" spans="1:3" ht="15" thickBot="1" x14ac:dyDescent="0.4">
      <c r="A1573" s="869">
        <v>2249</v>
      </c>
      <c r="B1573" s="1880" t="s">
        <v>3824</v>
      </c>
      <c r="C1573" s="1880" t="s">
        <v>2085</v>
      </c>
    </row>
    <row r="1574" spans="1:3" ht="15" thickBot="1" x14ac:dyDescent="0.4">
      <c r="A1574" s="869">
        <v>2250</v>
      </c>
      <c r="B1574" s="1878" t="s">
        <v>3825</v>
      </c>
      <c r="C1574" s="1878" t="s">
        <v>1958</v>
      </c>
    </row>
    <row r="1575" spans="1:3" ht="15" thickBot="1" x14ac:dyDescent="0.4">
      <c r="A1575" s="869">
        <v>2251</v>
      </c>
      <c r="B1575" s="1880" t="s">
        <v>3826</v>
      </c>
      <c r="C1575" s="1880" t="s">
        <v>2086</v>
      </c>
    </row>
    <row r="1576" spans="1:3" ht="15" thickBot="1" x14ac:dyDescent="0.4">
      <c r="A1576" s="869">
        <v>2252</v>
      </c>
      <c r="B1576" s="1880" t="s">
        <v>3827</v>
      </c>
      <c r="C1576" s="1880" t="s">
        <v>2087</v>
      </c>
    </row>
    <row r="1577" spans="1:3" ht="15" thickBot="1" x14ac:dyDescent="0.4">
      <c r="A1577" s="869">
        <v>2253</v>
      </c>
      <c r="B1577" s="1878" t="s">
        <v>3828</v>
      </c>
      <c r="C1577" s="1878" t="s">
        <v>1959</v>
      </c>
    </row>
    <row r="1578" spans="1:3" ht="15" thickBot="1" x14ac:dyDescent="0.4">
      <c r="A1578" s="869">
        <v>2254</v>
      </c>
      <c r="B1578" s="1880" t="s">
        <v>3829</v>
      </c>
      <c r="C1578" s="1880" t="s">
        <v>2088</v>
      </c>
    </row>
    <row r="1579" spans="1:3" ht="15" thickBot="1" x14ac:dyDescent="0.4">
      <c r="A1579" s="869">
        <v>2255</v>
      </c>
      <c r="B1579" s="1880" t="s">
        <v>3830</v>
      </c>
      <c r="C1579" s="1880" t="s">
        <v>2089</v>
      </c>
    </row>
    <row r="1580" spans="1:3" ht="15" thickBot="1" x14ac:dyDescent="0.4">
      <c r="A1580" s="869">
        <v>2256</v>
      </c>
      <c r="B1580" s="1878" t="s">
        <v>3831</v>
      </c>
      <c r="C1580" s="1878" t="s">
        <v>1960</v>
      </c>
    </row>
    <row r="1581" spans="1:3" ht="15" thickBot="1" x14ac:dyDescent="0.4">
      <c r="A1581" s="869">
        <v>2257</v>
      </c>
      <c r="B1581" s="1880" t="s">
        <v>3832</v>
      </c>
      <c r="C1581" s="1880" t="s">
        <v>2090</v>
      </c>
    </row>
    <row r="1582" spans="1:3" ht="15" thickBot="1" x14ac:dyDescent="0.4">
      <c r="A1582" s="869">
        <v>2258</v>
      </c>
      <c r="B1582" s="1880" t="s">
        <v>3833</v>
      </c>
      <c r="C1582" s="1880" t="s">
        <v>2091</v>
      </c>
    </row>
    <row r="1583" spans="1:3" ht="15" thickBot="1" x14ac:dyDescent="0.4">
      <c r="A1583" s="869">
        <v>2259</v>
      </c>
      <c r="B1583" s="1878" t="s">
        <v>3834</v>
      </c>
      <c r="C1583" s="1878" t="s">
        <v>1961</v>
      </c>
    </row>
    <row r="1584" spans="1:3" ht="15" thickBot="1" x14ac:dyDescent="0.4">
      <c r="A1584" s="869">
        <v>2260</v>
      </c>
      <c r="B1584" s="1880" t="s">
        <v>3835</v>
      </c>
      <c r="C1584" s="1880" t="s">
        <v>2092</v>
      </c>
    </row>
    <row r="1585" spans="1:3" ht="15" thickBot="1" x14ac:dyDescent="0.4">
      <c r="A1585" s="869">
        <v>2261</v>
      </c>
      <c r="B1585" s="1880" t="s">
        <v>3836</v>
      </c>
      <c r="C1585" s="1880" t="s">
        <v>2093</v>
      </c>
    </row>
    <row r="1586" spans="1:3" ht="15" thickBot="1" x14ac:dyDescent="0.4">
      <c r="A1586" s="869">
        <v>2262</v>
      </c>
      <c r="B1586" s="1873" t="s">
        <v>3837</v>
      </c>
      <c r="C1586" s="1873" t="s">
        <v>1991</v>
      </c>
    </row>
    <row r="1587" spans="1:3" ht="15" thickBot="1" x14ac:dyDescent="0.4">
      <c r="A1587" s="869">
        <v>2263</v>
      </c>
      <c r="B1587" s="1879" t="s">
        <v>3838</v>
      </c>
      <c r="C1587" s="1879" t="s">
        <v>1918</v>
      </c>
    </row>
    <row r="1588" spans="1:3" ht="15" thickBot="1" x14ac:dyDescent="0.4">
      <c r="A1588" s="869">
        <v>2264</v>
      </c>
      <c r="B1588" s="1877" t="s">
        <v>3839</v>
      </c>
      <c r="C1588" s="1877" t="s">
        <v>1987</v>
      </c>
    </row>
    <row r="1589" spans="1:3" ht="15" thickBot="1" x14ac:dyDescent="0.4">
      <c r="A1589" s="869">
        <v>2265</v>
      </c>
      <c r="B1589" s="1880" t="s">
        <v>3840</v>
      </c>
      <c r="C1589" s="1880" t="s">
        <v>1990</v>
      </c>
    </row>
    <row r="1590" spans="1:3" ht="15" thickBot="1" x14ac:dyDescent="0.4">
      <c r="A1590" s="869">
        <v>2266</v>
      </c>
      <c r="B1590" s="1880" t="s">
        <v>3841</v>
      </c>
      <c r="C1590" s="1880" t="s">
        <v>1992</v>
      </c>
    </row>
    <row r="1591" spans="1:3" ht="15" thickBot="1" x14ac:dyDescent="0.4">
      <c r="A1591" s="869">
        <v>2267</v>
      </c>
      <c r="B1591" s="1878" t="s">
        <v>3842</v>
      </c>
      <c r="C1591" s="1878" t="s">
        <v>1997</v>
      </c>
    </row>
    <row r="1592" spans="1:3" ht="15" thickBot="1" x14ac:dyDescent="0.4">
      <c r="A1592" s="869">
        <v>2268</v>
      </c>
      <c r="B1592" s="1877" t="s">
        <v>3843</v>
      </c>
      <c r="C1592" s="1877" t="s">
        <v>2000</v>
      </c>
    </row>
    <row r="1593" spans="1:3" ht="15" thickBot="1" x14ac:dyDescent="0.4">
      <c r="A1593" s="869">
        <v>2269</v>
      </c>
      <c r="B1593" s="1877" t="s">
        <v>3844</v>
      </c>
      <c r="C1593" s="1877" t="s">
        <v>1893</v>
      </c>
    </row>
    <row r="1594" spans="1:3" x14ac:dyDescent="0.35">
      <c r="A1594" s="869">
        <v>2270</v>
      </c>
      <c r="B1594" s="1834" t="s">
        <v>3845</v>
      </c>
      <c r="C1594" s="1834" t="s">
        <v>2240</v>
      </c>
    </row>
    <row r="1595" spans="1:3" ht="20.5" thickBot="1" x14ac:dyDescent="0.4">
      <c r="A1595" s="869">
        <v>2271</v>
      </c>
      <c r="B1595" s="1834" t="s">
        <v>3846</v>
      </c>
      <c r="C1595" s="1834" t="s">
        <v>2241</v>
      </c>
    </row>
    <row r="1596" spans="1:3" ht="91.5" thickBot="1" x14ac:dyDescent="0.4">
      <c r="A1596" s="869">
        <v>2272</v>
      </c>
      <c r="B1596" s="1881" t="s">
        <v>3847</v>
      </c>
      <c r="C1596" s="1881" t="s">
        <v>2243</v>
      </c>
    </row>
    <row r="1597" spans="1:3" x14ac:dyDescent="0.35">
      <c r="A1597" s="869">
        <v>2273</v>
      </c>
      <c r="B1597" s="1873" t="s">
        <v>3848</v>
      </c>
      <c r="C1597" s="1873" t="s">
        <v>2238</v>
      </c>
    </row>
    <row r="1598" spans="1:3" ht="15" thickBot="1" x14ac:dyDescent="0.4">
      <c r="A1598" s="869">
        <v>2274</v>
      </c>
      <c r="B1598" s="1877" t="s">
        <v>3849</v>
      </c>
      <c r="C1598" s="1877" t="s">
        <v>2127</v>
      </c>
    </row>
    <row r="1599" spans="1:3" x14ac:dyDescent="0.35">
      <c r="A1599" s="869">
        <v>2275</v>
      </c>
      <c r="B1599" s="1873" t="s">
        <v>3850</v>
      </c>
      <c r="C1599" s="1873" t="s">
        <v>2080</v>
      </c>
    </row>
    <row r="1600" spans="1:3" ht="15" thickBot="1" x14ac:dyDescent="0.4">
      <c r="A1600" s="869">
        <v>2276</v>
      </c>
      <c r="B1600" s="1877" t="s">
        <v>3851</v>
      </c>
      <c r="C1600" s="1877" t="s">
        <v>1976</v>
      </c>
    </row>
    <row r="1601" spans="1:3" x14ac:dyDescent="0.35">
      <c r="A1601" s="869">
        <v>2277</v>
      </c>
      <c r="B1601" s="1873" t="s">
        <v>3852</v>
      </c>
      <c r="C1601" s="1873" t="s">
        <v>2239</v>
      </c>
    </row>
    <row r="1602" spans="1:3" ht="40" x14ac:dyDescent="0.35">
      <c r="A1602" s="869">
        <v>2278</v>
      </c>
      <c r="B1602" s="1834" t="s">
        <v>3853</v>
      </c>
      <c r="C1602" s="1834" t="s">
        <v>2244</v>
      </c>
    </row>
    <row r="1603" spans="1:3" ht="15" thickBot="1" x14ac:dyDescent="0.4">
      <c r="A1603" s="869">
        <v>2279</v>
      </c>
      <c r="B1603" s="1882" t="s">
        <v>3854</v>
      </c>
      <c r="C1603" s="1882" t="s">
        <v>1975</v>
      </c>
    </row>
    <row r="1604" spans="1:3" x14ac:dyDescent="0.35">
      <c r="A1604" s="869">
        <v>2280</v>
      </c>
      <c r="B1604" s="1121" t="s">
        <v>3855</v>
      </c>
      <c r="C1604" s="1121" t="s">
        <v>1973</v>
      </c>
    </row>
    <row r="1605" spans="1:3" x14ac:dyDescent="0.35">
      <c r="A1605" s="869">
        <v>2281</v>
      </c>
      <c r="B1605" s="1121" t="s">
        <v>3856</v>
      </c>
      <c r="C1605" s="1121" t="s">
        <v>2295</v>
      </c>
    </row>
    <row r="1606" spans="1:3" x14ac:dyDescent="0.35">
      <c r="A1606" s="869">
        <v>2282</v>
      </c>
      <c r="B1606" s="1121" t="s">
        <v>3857</v>
      </c>
      <c r="C1606" s="1121" t="s">
        <v>2237</v>
      </c>
    </row>
    <row r="1607" spans="1:3" x14ac:dyDescent="0.35">
      <c r="A1607" s="869">
        <v>2283</v>
      </c>
      <c r="B1607" s="1121" t="s">
        <v>3858</v>
      </c>
      <c r="C1607" s="1121" t="s">
        <v>2229</v>
      </c>
    </row>
    <row r="1608" spans="1:3" x14ac:dyDescent="0.35">
      <c r="A1608" s="869">
        <v>2284</v>
      </c>
      <c r="B1608" s="1121" t="s">
        <v>3859</v>
      </c>
      <c r="C1608" s="1121" t="s">
        <v>2230</v>
      </c>
    </row>
    <row r="1609" spans="1:3" x14ac:dyDescent="0.35">
      <c r="A1609" s="869">
        <v>2285</v>
      </c>
      <c r="B1609" s="1121" t="s">
        <v>3860</v>
      </c>
      <c r="C1609" s="1121" t="s">
        <v>2217</v>
      </c>
    </row>
    <row r="1610" spans="1:3" x14ac:dyDescent="0.35">
      <c r="A1610" s="869">
        <v>2286</v>
      </c>
      <c r="B1610" s="1121" t="s">
        <v>3861</v>
      </c>
      <c r="C1610" s="1121" t="s">
        <v>2012</v>
      </c>
    </row>
    <row r="1611" spans="1:3" x14ac:dyDescent="0.35">
      <c r="A1611" s="869">
        <v>2287</v>
      </c>
      <c r="B1611" s="1121" t="s">
        <v>3862</v>
      </c>
      <c r="C1611" s="1121" t="s">
        <v>2013</v>
      </c>
    </row>
    <row r="1612" spans="1:3" x14ac:dyDescent="0.35">
      <c r="A1612" s="869">
        <v>2288</v>
      </c>
      <c r="B1612" s="1121" t="s">
        <v>3863</v>
      </c>
      <c r="C1612" s="1121" t="s">
        <v>2296</v>
      </c>
    </row>
  </sheetData>
  <sheetProtection formatCells="0" formatColumns="0" formatRows="0"/>
  <autoFilter ref="A1:C1611" xr:uid="{29386CC8-4973-40A2-98B2-B0AEF8FD3771}"/>
  <phoneticPr fontId="34" type="noConversion"/>
  <hyperlinks>
    <hyperlink ref="C1328" r:id="rId1" xr:uid="{93AE7DBE-22C8-454D-A27B-1F95E84CDA74}"/>
    <hyperlink ref="C1359" r:id="rId2" location="JUMP_A_II" display="../../../../heller/AppData/Local/Microsoft/Windows/INetCache/Content.MSO/B6D1B612.xls - JUMP_A_II" xr:uid="{51C740B4-B1AE-4C0F-8254-7DA45C04A383}"/>
    <hyperlink ref="C1363" r:id="rId3" location="JUMP_A_II2" display="../../../../heller/AppData/Local/Microsoft/Windows/INetCache/Content.MSO/B6D1B612.xls - JUMP_A_II2" xr:uid="{FF54F4CC-3AE6-4972-AB1D-633F871010A0}"/>
    <hyperlink ref="C1364" r:id="rId4" location="JUMP_A_II" display="../../../../heller/AppData/Local/Microsoft/Windows/INetCache/Content.MSO/B6D1B612.xls - JUMP_A_II" xr:uid="{8C39933A-A8E4-4F91-AD11-A5101ACCC37E}"/>
    <hyperlink ref="C1377" r:id="rId5" location="JUMP_NIMsSummary" display="../../../../heller/AppData/Local/Microsoft/Windows/INetCache/Content.MSO/B6D1B612.xls - JUMP_NIMsSummary" xr:uid="{4FFEC194-034C-44AE-9DBC-4C602378D333}"/>
    <hyperlink ref="C1393" r:id="rId6" xr:uid="{28183C3E-C74F-43A5-B2FA-DC449245A572}"/>
    <hyperlink ref="C1405" r:id="rId7" location="'B+C_SubInstallations'!JUMP_B_II" display="../../../../heller/AppData/Local/Microsoft/Windows/INetCache/Content.MSO/B6D1B612.xls - 'B+C_SubInstallations'!JUMP_B_II" xr:uid="{B6EFBB12-B726-46EA-8FE7-97D7F71F6B20}"/>
    <hyperlink ref="C1457" r:id="rId8" location="JUMP_D_III" display="../../../../heller/AppData/Local/Microsoft/Windows/INetCache/Content.MSO/B6D1B612.xls - JUMP_D_III" xr:uid="{48BF3149-7B3C-4055-8217-324084E114B3}"/>
    <hyperlink ref="C1527" r:id="rId9" location="JUMP_E_I" display="../../../../heller/AppData/Local/Microsoft/Windows/INetCache/Content.MSO/B6D1B612.xls - JUMP_E_I" xr:uid="{E965130B-0E8C-4E04-BE98-E1FB3BC6DEA7}"/>
    <hyperlink ref="B1328" r:id="rId10" xr:uid="{4EA630A6-C215-4D5A-A85D-819C795C78BD}"/>
    <hyperlink ref="B1359" r:id="rId11" location="JUMP_A_II" display="../../../heller/AppData/Local/Microsoft/Windows/INetCache/Content.MSO/B6D1B612.xls - JUMP_A_II" xr:uid="{159B66CD-3450-4F77-8936-A0C3D1464DDB}"/>
    <hyperlink ref="B1363" r:id="rId12" location="JUMP_A_II2" display="../../../heller/AppData/Local/Microsoft/Windows/INetCache/Content.MSO/B6D1B612.xls - JUMP_A_II2" xr:uid="{E7011AAB-5590-4658-BF48-CA2415B89511}"/>
    <hyperlink ref="B1364" r:id="rId13" location="JUMP_A_II" display="../../../heller/AppData/Local/Microsoft/Windows/INetCache/Content.MSO/B6D1B612.xls - JUMP_A_II" xr:uid="{8A56BE9F-5295-4BFC-8561-DE45293641CE}"/>
    <hyperlink ref="B1377" r:id="rId14" location="JUMP_NIMsSummary" display="../../../heller/AppData/Local/Microsoft/Windows/INetCache/Content.MSO/B6D1B612.xls - JUMP_NIMsSummary" xr:uid="{CCDEC436-F07C-4314-9424-369F5BA7A10F}"/>
    <hyperlink ref="B1393" r:id="rId15" display="https://eur-lex.europa.eu/eli/dir/2013/34/oj?locale=sv" xr:uid="{1B073792-4C30-42ED-A56B-39C8426BB9F1}"/>
    <hyperlink ref="B1405" r:id="rId16" location="'B+C_SubInstallations'!JUMP_B_II" display="../../../heller/AppData/Local/Microsoft/Windows/INetCache/Content.MSO/B6D1B612.xls - 'B+C_SubInstallations'!JUMP_B_II" xr:uid="{01622A46-3380-4843-BE77-F59C5E50FA29}"/>
    <hyperlink ref="B1457" r:id="rId17" location="JUMP_D_III" display="../../../heller/AppData/Local/Microsoft/Windows/INetCache/Content.MSO/B6D1B612.xls - JUMP_D_III" xr:uid="{64ACAAE1-6E15-41BF-A83B-484F35849973}"/>
    <hyperlink ref="B64" r:id="rId18" xr:uid="{8CFA7888-60EF-4B87-9E04-FF11CC105884}"/>
    <hyperlink ref="B62" r:id="rId19" xr:uid="{805870C9-2763-4AA3-9087-68C3128B3FBA}"/>
  </hyperlinks>
  <pageMargins left="0.7" right="0.7" top="0.78740157499999996" bottom="0.78740157499999996" header="0.3" footer="0.3"/>
  <pageSetup paperSize="9" scale="10" fitToHeight="4" orientation="portrait" r:id="rId20"/>
  <headerFooter>
    <oddHeader>&amp;L&amp;F; &amp;A&amp;R&amp;D; &amp;T</oddHeader>
    <oddFooter>&amp;C&amp;P /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B0C507-46B3-4F4C-9251-8DDFDDC66261}">
  <sheetPr codeName="Tabelle16">
    <tabColor indexed="57"/>
    <pageSetUpPr fitToPage="1"/>
  </sheetPr>
  <dimension ref="A1:C90"/>
  <sheetViews>
    <sheetView workbookViewId="0">
      <selection activeCell="B3" sqref="B3"/>
    </sheetView>
  </sheetViews>
  <sheetFormatPr defaultColWidth="9.1796875" defaultRowHeight="12.5" x14ac:dyDescent="0.25"/>
  <cols>
    <col min="1" max="1" width="23.453125" customWidth="1"/>
    <col min="2" max="2" width="34.7265625" customWidth="1"/>
    <col min="3" max="3" width="39.81640625" customWidth="1"/>
  </cols>
  <sheetData>
    <row r="1" spans="1:3" ht="13.5" thickBot="1" x14ac:dyDescent="0.35">
      <c r="A1" s="176" t="s">
        <v>787</v>
      </c>
    </row>
    <row r="2" spans="1:3" ht="13" thickBot="1" x14ac:dyDescent="0.3">
      <c r="A2" s="211" t="s">
        <v>788</v>
      </c>
      <c r="B2" s="212" t="s">
        <v>1901</v>
      </c>
    </row>
    <row r="3" spans="1:3" ht="13" thickBot="1" x14ac:dyDescent="0.3">
      <c r="A3" s="213" t="s">
        <v>786</v>
      </c>
      <c r="B3" s="214">
        <v>46045</v>
      </c>
      <c r="C3" s="1916" t="str">
        <f>IF(ISNUMBER(MATCH(B3,A14:A28,0)),VLOOKUP(B3,A14:B28,2,FALSE),"---")</f>
        <v>ALC P4_COM_en_20260123.xls</v>
      </c>
    </row>
    <row r="4" spans="1:3" x14ac:dyDescent="0.25">
      <c r="A4" s="215" t="s">
        <v>791</v>
      </c>
      <c r="B4" s="216" t="s">
        <v>792</v>
      </c>
    </row>
    <row r="5" spans="1:3" ht="13" thickBot="1" x14ac:dyDescent="0.3">
      <c r="A5" s="217" t="s">
        <v>790</v>
      </c>
      <c r="B5" s="218" t="s">
        <v>807</v>
      </c>
    </row>
    <row r="7" spans="1:3" ht="13" x14ac:dyDescent="0.3">
      <c r="A7" s="176" t="s">
        <v>789</v>
      </c>
    </row>
    <row r="8" spans="1:3" x14ac:dyDescent="0.25">
      <c r="A8" s="409" t="s">
        <v>1902</v>
      </c>
      <c r="B8" s="199"/>
      <c r="C8" s="409" t="s">
        <v>1905</v>
      </c>
    </row>
    <row r="9" spans="1:3" x14ac:dyDescent="0.25">
      <c r="A9" s="409" t="s">
        <v>1903</v>
      </c>
      <c r="B9" s="199"/>
      <c r="C9" s="409" t="s">
        <v>1906</v>
      </c>
    </row>
    <row r="10" spans="1:3" x14ac:dyDescent="0.25">
      <c r="A10" s="409" t="s">
        <v>1904</v>
      </c>
      <c r="B10" s="199"/>
      <c r="C10" s="409" t="s">
        <v>1907</v>
      </c>
    </row>
    <row r="11" spans="1:3" x14ac:dyDescent="0.25">
      <c r="A11" s="409" t="s">
        <v>1901</v>
      </c>
      <c r="B11" s="199"/>
      <c r="C11" s="409" t="s">
        <v>1900</v>
      </c>
    </row>
    <row r="13" spans="1:3" ht="13" x14ac:dyDescent="0.3">
      <c r="A13" s="397" t="s">
        <v>2</v>
      </c>
      <c r="B13" s="398" t="s">
        <v>374</v>
      </c>
      <c r="C13" s="398" t="s">
        <v>104</v>
      </c>
    </row>
    <row r="14" spans="1:3" x14ac:dyDescent="0.25">
      <c r="A14" s="399">
        <v>44032</v>
      </c>
      <c r="B14" s="400" t="str">
        <f>IF(ISBLANK($A14),"---", VLOOKUP($B$2,$A$8:$C$11,3,0) &amp; "_" &amp; VLOOKUP($B$4,$A$31:$B$63,2,0)&amp;"_"&amp;VLOOKUP($B$5,$A$66:$B$90,2,0)&amp;"_"&amp; TEXT(YEAR($A14),"0###") &amp; TEXT(MONTH($A14),"0#") &amp; TEXT(DAY($A14),"0#")&amp;  ".xls")</f>
        <v>ALC P4_COM_en_20200720.xls</v>
      </c>
      <c r="C14" s="401" t="s">
        <v>2262</v>
      </c>
    </row>
    <row r="15" spans="1:3" x14ac:dyDescent="0.25">
      <c r="A15" s="402">
        <v>44118</v>
      </c>
      <c r="B15" s="403" t="str">
        <f>IF(ISBLANK($A15),"---", VLOOKUP($B$2,$A$8:$C$11,3,0) &amp; "_" &amp; VLOOKUP($B$4,$A$31:$B$63,2,0)&amp;"_"&amp;VLOOKUP($B$5,$A$66:$B$90,2,0)&amp;"_"&amp; TEXT(YEAR($A15),"0###") &amp; TEXT(MONTH($A15),"0#") &amp; TEXT(DAY($A15),"0#")&amp;  ".xls")</f>
        <v>ALC P4_COM_en_20201014.xls</v>
      </c>
      <c r="C15" s="404" t="s">
        <v>2297</v>
      </c>
    </row>
    <row r="16" spans="1:3" x14ac:dyDescent="0.25">
      <c r="A16" s="402">
        <v>44152</v>
      </c>
      <c r="B16" s="403" t="str">
        <f t="shared" ref="B16:B28" si="0">IF(ISBLANK($A16),"---", VLOOKUP($B$2,$A$8:$C$11,3,0) &amp; "_" &amp; VLOOKUP($B$4,$A$31:$B$63,2,0)&amp;"_"&amp;VLOOKUP($B$5,$A$66:$B$90,2,0)&amp;"_"&amp; TEXT(YEAR($A16),"0###") &amp; TEXT(MONTH($A16),"0#") &amp; TEXT(DAY($A16),"0#")&amp;  ".xls")</f>
        <v>ALC P4_COM_en_20201117.xls</v>
      </c>
      <c r="C16" s="404" t="s">
        <v>2300</v>
      </c>
    </row>
    <row r="17" spans="1:3" x14ac:dyDescent="0.25">
      <c r="A17" s="402">
        <v>44257</v>
      </c>
      <c r="B17" s="403" t="str">
        <f t="shared" si="0"/>
        <v>ALC P4_COM_en_20210302.xls</v>
      </c>
      <c r="C17" s="404" t="s">
        <v>2302</v>
      </c>
    </row>
    <row r="18" spans="1:3" x14ac:dyDescent="0.25">
      <c r="A18" s="402">
        <v>44264</v>
      </c>
      <c r="B18" s="403" t="str">
        <f t="shared" si="0"/>
        <v>ALC P4_COM_en_20210309.xls</v>
      </c>
      <c r="C18" s="404" t="s">
        <v>2303</v>
      </c>
    </row>
    <row r="19" spans="1:3" x14ac:dyDescent="0.25">
      <c r="A19" s="402">
        <v>44265</v>
      </c>
      <c r="B19" s="403" t="str">
        <f t="shared" si="0"/>
        <v>ALC P4_COM_en_20210310.xls</v>
      </c>
      <c r="C19" s="404" t="s">
        <v>2304</v>
      </c>
    </row>
    <row r="20" spans="1:3" x14ac:dyDescent="0.25">
      <c r="A20" s="402">
        <v>44405</v>
      </c>
      <c r="B20" s="403" t="str">
        <f t="shared" si="0"/>
        <v>ALC P4_COM_en_20210728.xls</v>
      </c>
      <c r="C20" s="404" t="s">
        <v>2306</v>
      </c>
    </row>
    <row r="21" spans="1:3" x14ac:dyDescent="0.25">
      <c r="A21" s="402">
        <v>44802</v>
      </c>
      <c r="B21" s="403" t="str">
        <f t="shared" si="0"/>
        <v>ALC P4_COM_en_20220829.xls</v>
      </c>
      <c r="C21" s="404" t="s">
        <v>2307</v>
      </c>
    </row>
    <row r="22" spans="1:3" x14ac:dyDescent="0.25">
      <c r="A22" s="402">
        <v>44956</v>
      </c>
      <c r="B22" s="403" t="str">
        <f t="shared" si="0"/>
        <v>ALC P4_COM_en_20230130.xls</v>
      </c>
      <c r="C22" s="404" t="s">
        <v>2308</v>
      </c>
    </row>
    <row r="23" spans="1:3" x14ac:dyDescent="0.25">
      <c r="A23" s="402">
        <v>46045</v>
      </c>
      <c r="B23" s="403" t="str">
        <f t="shared" si="0"/>
        <v>ALC P4_COM_en_20260123.xls</v>
      </c>
      <c r="C23" s="404" t="s">
        <v>2309</v>
      </c>
    </row>
    <row r="24" spans="1:3" x14ac:dyDescent="0.25">
      <c r="A24" s="402"/>
      <c r="B24" s="403" t="str">
        <f t="shared" si="0"/>
        <v>---</v>
      </c>
      <c r="C24" s="404"/>
    </row>
    <row r="25" spans="1:3" x14ac:dyDescent="0.25">
      <c r="A25" s="402"/>
      <c r="B25" s="403" t="str">
        <f t="shared" si="0"/>
        <v>---</v>
      </c>
      <c r="C25" s="404"/>
    </row>
    <row r="26" spans="1:3" x14ac:dyDescent="0.25">
      <c r="A26" s="402"/>
      <c r="B26" s="403" t="str">
        <f t="shared" si="0"/>
        <v>---</v>
      </c>
      <c r="C26" s="404"/>
    </row>
    <row r="27" spans="1:3" x14ac:dyDescent="0.25">
      <c r="A27" s="402"/>
      <c r="B27" s="403" t="str">
        <f t="shared" si="0"/>
        <v>---</v>
      </c>
      <c r="C27" s="404"/>
    </row>
    <row r="28" spans="1:3" x14ac:dyDescent="0.25">
      <c r="A28" s="405"/>
      <c r="B28" s="408" t="str">
        <f t="shared" si="0"/>
        <v>---</v>
      </c>
      <c r="C28" s="406"/>
    </row>
    <row r="30" spans="1:3" ht="13" x14ac:dyDescent="0.3">
      <c r="A30" s="176" t="s">
        <v>791</v>
      </c>
    </row>
    <row r="31" spans="1:3" x14ac:dyDescent="0.25">
      <c r="A31" s="210" t="s">
        <v>792</v>
      </c>
      <c r="B31" s="210" t="s">
        <v>375</v>
      </c>
    </row>
    <row r="32" spans="1:3" x14ac:dyDescent="0.25">
      <c r="A32" s="210" t="s">
        <v>1051</v>
      </c>
      <c r="B32" s="210" t="s">
        <v>945</v>
      </c>
    </row>
    <row r="33" spans="1:2" x14ac:dyDescent="0.25">
      <c r="A33" s="210" t="s">
        <v>445</v>
      </c>
      <c r="B33" s="210" t="s">
        <v>376</v>
      </c>
    </row>
    <row r="34" spans="1:2" x14ac:dyDescent="0.25">
      <c r="A34" s="210" t="s">
        <v>446</v>
      </c>
      <c r="B34" s="210" t="s">
        <v>377</v>
      </c>
    </row>
    <row r="35" spans="1:2" x14ac:dyDescent="0.25">
      <c r="A35" s="210" t="s">
        <v>447</v>
      </c>
      <c r="B35" s="210" t="s">
        <v>378</v>
      </c>
    </row>
    <row r="36" spans="1:2" x14ac:dyDescent="0.25">
      <c r="A36" s="210" t="s">
        <v>1229</v>
      </c>
      <c r="B36" s="210" t="s">
        <v>1230</v>
      </c>
    </row>
    <row r="37" spans="1:2" x14ac:dyDescent="0.25">
      <c r="A37" s="210" t="s">
        <v>448</v>
      </c>
      <c r="B37" s="210" t="s">
        <v>379</v>
      </c>
    </row>
    <row r="38" spans="1:2" x14ac:dyDescent="0.25">
      <c r="A38" s="210" t="s">
        <v>449</v>
      </c>
      <c r="B38" s="210" t="s">
        <v>380</v>
      </c>
    </row>
    <row r="39" spans="1:2" x14ac:dyDescent="0.25">
      <c r="A39" s="210" t="s">
        <v>450</v>
      </c>
      <c r="B39" s="210" t="s">
        <v>381</v>
      </c>
    </row>
    <row r="40" spans="1:2" x14ac:dyDescent="0.25">
      <c r="A40" s="210" t="s">
        <v>451</v>
      </c>
      <c r="B40" s="210" t="s">
        <v>382</v>
      </c>
    </row>
    <row r="41" spans="1:2" x14ac:dyDescent="0.25">
      <c r="A41" s="210" t="s">
        <v>452</v>
      </c>
      <c r="B41" s="210" t="s">
        <v>383</v>
      </c>
    </row>
    <row r="42" spans="1:2" x14ac:dyDescent="0.25">
      <c r="A42" s="210" t="s">
        <v>453</v>
      </c>
      <c r="B42" s="210" t="s">
        <v>384</v>
      </c>
    </row>
    <row r="43" spans="1:2" x14ac:dyDescent="0.25">
      <c r="A43" s="210" t="s">
        <v>454</v>
      </c>
      <c r="B43" s="210" t="s">
        <v>385</v>
      </c>
    </row>
    <row r="44" spans="1:2" x14ac:dyDescent="0.25">
      <c r="A44" s="210" t="s">
        <v>455</v>
      </c>
      <c r="B44" s="210" t="s">
        <v>386</v>
      </c>
    </row>
    <row r="45" spans="1:2" x14ac:dyDescent="0.25">
      <c r="A45" s="210" t="s">
        <v>456</v>
      </c>
      <c r="B45" s="210" t="s">
        <v>387</v>
      </c>
    </row>
    <row r="46" spans="1:2" x14ac:dyDescent="0.25">
      <c r="A46" s="210" t="s">
        <v>465</v>
      </c>
      <c r="B46" s="210" t="s">
        <v>1231</v>
      </c>
    </row>
    <row r="47" spans="1:2" x14ac:dyDescent="0.25">
      <c r="A47" s="210" t="s">
        <v>457</v>
      </c>
      <c r="B47" s="210" t="s">
        <v>388</v>
      </c>
    </row>
    <row r="48" spans="1:2" x14ac:dyDescent="0.25">
      <c r="A48" s="210" t="s">
        <v>458</v>
      </c>
      <c r="B48" s="210" t="s">
        <v>389</v>
      </c>
    </row>
    <row r="49" spans="1:2" x14ac:dyDescent="0.25">
      <c r="A49" s="210" t="s">
        <v>459</v>
      </c>
      <c r="B49" s="210" t="s">
        <v>390</v>
      </c>
    </row>
    <row r="50" spans="1:2" x14ac:dyDescent="0.25">
      <c r="A50" s="210" t="s">
        <v>941</v>
      </c>
      <c r="B50" s="210" t="s">
        <v>943</v>
      </c>
    </row>
    <row r="51" spans="1:2" x14ac:dyDescent="0.25">
      <c r="A51" s="210" t="s">
        <v>460</v>
      </c>
      <c r="B51" s="210" t="s">
        <v>391</v>
      </c>
    </row>
    <row r="52" spans="1:2" x14ac:dyDescent="0.25">
      <c r="A52" s="210" t="s">
        <v>461</v>
      </c>
      <c r="B52" s="210" t="s">
        <v>392</v>
      </c>
    </row>
    <row r="53" spans="1:2" x14ac:dyDescent="0.25">
      <c r="A53" s="210" t="s">
        <v>462</v>
      </c>
      <c r="B53" s="210" t="s">
        <v>393</v>
      </c>
    </row>
    <row r="54" spans="1:2" x14ac:dyDescent="0.25">
      <c r="A54" s="210" t="s">
        <v>463</v>
      </c>
      <c r="B54" s="210" t="s">
        <v>394</v>
      </c>
    </row>
    <row r="55" spans="1:2" x14ac:dyDescent="0.25">
      <c r="A55" s="210" t="s">
        <v>940</v>
      </c>
      <c r="B55" s="210" t="s">
        <v>944</v>
      </c>
    </row>
    <row r="56" spans="1:2" x14ac:dyDescent="0.25">
      <c r="A56" s="210" t="s">
        <v>464</v>
      </c>
      <c r="B56" s="210" t="s">
        <v>395</v>
      </c>
    </row>
    <row r="57" spans="1:2" x14ac:dyDescent="0.25">
      <c r="A57" s="210" t="s">
        <v>1084</v>
      </c>
      <c r="B57" s="210" t="s">
        <v>396</v>
      </c>
    </row>
    <row r="58" spans="1:2" x14ac:dyDescent="0.25">
      <c r="A58" s="210" t="s">
        <v>1085</v>
      </c>
      <c r="B58" s="210" t="s">
        <v>397</v>
      </c>
    </row>
    <row r="59" spans="1:2" x14ac:dyDescent="0.25">
      <c r="A59" s="210" t="s">
        <v>1086</v>
      </c>
      <c r="B59" s="210" t="s">
        <v>398</v>
      </c>
    </row>
    <row r="60" spans="1:2" x14ac:dyDescent="0.25">
      <c r="A60" s="210" t="s">
        <v>1087</v>
      </c>
      <c r="B60" s="210" t="s">
        <v>399</v>
      </c>
    </row>
    <row r="61" spans="1:2" x14ac:dyDescent="0.25">
      <c r="A61" s="210" t="s">
        <v>1052</v>
      </c>
      <c r="B61" s="210" t="s">
        <v>400</v>
      </c>
    </row>
    <row r="62" spans="1:2" x14ac:dyDescent="0.25">
      <c r="A62" s="210" t="s">
        <v>1053</v>
      </c>
      <c r="B62" s="210" t="s">
        <v>401</v>
      </c>
    </row>
    <row r="63" spans="1:2" x14ac:dyDescent="0.25">
      <c r="A63" s="210" t="s">
        <v>1054</v>
      </c>
      <c r="B63" s="210" t="s">
        <v>402</v>
      </c>
    </row>
    <row r="65" spans="1:2" ht="13" x14ac:dyDescent="0.3">
      <c r="A65" s="176" t="s">
        <v>3</v>
      </c>
    </row>
    <row r="66" spans="1:2" x14ac:dyDescent="0.25">
      <c r="A66" s="407" t="s">
        <v>793</v>
      </c>
      <c r="B66" s="407" t="s">
        <v>794</v>
      </c>
    </row>
    <row r="67" spans="1:2" x14ac:dyDescent="0.25">
      <c r="A67" s="407" t="s">
        <v>795</v>
      </c>
      <c r="B67" s="407" t="s">
        <v>796</v>
      </c>
    </row>
    <row r="68" spans="1:2" x14ac:dyDescent="0.25">
      <c r="A68" s="407" t="s">
        <v>1232</v>
      </c>
      <c r="B68" s="407" t="s">
        <v>1233</v>
      </c>
    </row>
    <row r="69" spans="1:2" x14ac:dyDescent="0.25">
      <c r="A69" s="407" t="s">
        <v>797</v>
      </c>
      <c r="B69" s="407" t="s">
        <v>798</v>
      </c>
    </row>
    <row r="70" spans="1:2" x14ac:dyDescent="0.25">
      <c r="A70" s="407" t="s">
        <v>799</v>
      </c>
      <c r="B70" s="407" t="s">
        <v>800</v>
      </c>
    </row>
    <row r="71" spans="1:2" x14ac:dyDescent="0.25">
      <c r="A71" s="407" t="s">
        <v>801</v>
      </c>
      <c r="B71" s="407" t="s">
        <v>802</v>
      </c>
    </row>
    <row r="72" spans="1:2" x14ac:dyDescent="0.25">
      <c r="A72" s="407" t="s">
        <v>803</v>
      </c>
      <c r="B72" s="407" t="s">
        <v>804</v>
      </c>
    </row>
    <row r="73" spans="1:2" x14ac:dyDescent="0.25">
      <c r="A73" s="407" t="s">
        <v>805</v>
      </c>
      <c r="B73" s="407" t="s">
        <v>806</v>
      </c>
    </row>
    <row r="74" spans="1:2" x14ac:dyDescent="0.25">
      <c r="A74" s="407" t="s">
        <v>807</v>
      </c>
      <c r="B74" s="407" t="s">
        <v>808</v>
      </c>
    </row>
    <row r="75" spans="1:2" x14ac:dyDescent="0.25">
      <c r="A75" s="407" t="s">
        <v>809</v>
      </c>
      <c r="B75" s="407" t="s">
        <v>810</v>
      </c>
    </row>
    <row r="76" spans="1:2" x14ac:dyDescent="0.25">
      <c r="A76" s="407" t="s">
        <v>1234</v>
      </c>
      <c r="B76" s="407" t="s">
        <v>1235</v>
      </c>
    </row>
    <row r="77" spans="1:2" x14ac:dyDescent="0.25">
      <c r="A77" s="407" t="s">
        <v>811</v>
      </c>
      <c r="B77" s="407" t="s">
        <v>812</v>
      </c>
    </row>
    <row r="78" spans="1:2" x14ac:dyDescent="0.25">
      <c r="A78" s="407" t="s">
        <v>813</v>
      </c>
      <c r="B78" s="407" t="s">
        <v>351</v>
      </c>
    </row>
    <row r="79" spans="1:2" x14ac:dyDescent="0.25">
      <c r="A79" s="407" t="s">
        <v>352</v>
      </c>
      <c r="B79" s="407" t="s">
        <v>353</v>
      </c>
    </row>
    <row r="80" spans="1:2" x14ac:dyDescent="0.25">
      <c r="A80" s="407" t="s">
        <v>354</v>
      </c>
      <c r="B80" s="407" t="s">
        <v>355</v>
      </c>
    </row>
    <row r="81" spans="1:2" x14ac:dyDescent="0.25">
      <c r="A81" s="407" t="s">
        <v>356</v>
      </c>
      <c r="B81" s="407" t="s">
        <v>357</v>
      </c>
    </row>
    <row r="82" spans="1:2" x14ac:dyDescent="0.25">
      <c r="A82" s="407" t="s">
        <v>1008</v>
      </c>
      <c r="B82" s="407" t="s">
        <v>1009</v>
      </c>
    </row>
    <row r="83" spans="1:2" x14ac:dyDescent="0.25">
      <c r="A83" s="407" t="s">
        <v>358</v>
      </c>
      <c r="B83" s="407" t="s">
        <v>359</v>
      </c>
    </row>
    <row r="84" spans="1:2" x14ac:dyDescent="0.25">
      <c r="A84" s="407" t="s">
        <v>360</v>
      </c>
      <c r="B84" s="407" t="s">
        <v>361</v>
      </c>
    </row>
    <row r="85" spans="1:2" x14ac:dyDescent="0.25">
      <c r="A85" s="407" t="s">
        <v>362</v>
      </c>
      <c r="B85" s="407" t="s">
        <v>363</v>
      </c>
    </row>
    <row r="86" spans="1:2" x14ac:dyDescent="0.25">
      <c r="A86" s="407" t="s">
        <v>364</v>
      </c>
      <c r="B86" s="407" t="s">
        <v>365</v>
      </c>
    </row>
    <row r="87" spans="1:2" x14ac:dyDescent="0.25">
      <c r="A87" s="407" t="s">
        <v>366</v>
      </c>
      <c r="B87" s="407" t="s">
        <v>367</v>
      </c>
    </row>
    <row r="88" spans="1:2" x14ac:dyDescent="0.25">
      <c r="A88" s="407" t="s">
        <v>368</v>
      </c>
      <c r="B88" s="407" t="s">
        <v>369</v>
      </c>
    </row>
    <row r="89" spans="1:2" x14ac:dyDescent="0.25">
      <c r="A89" s="407" t="s">
        <v>370</v>
      </c>
      <c r="B89" s="407" t="s">
        <v>371</v>
      </c>
    </row>
    <row r="90" spans="1:2" x14ac:dyDescent="0.25">
      <c r="A90" s="407" t="s">
        <v>372</v>
      </c>
      <c r="B90" s="407" t="s">
        <v>373</v>
      </c>
    </row>
  </sheetData>
  <sheetProtection sheet="1" objects="1" scenarios="1" formatCells="0" formatColumns="0" formatRows="0"/>
  <phoneticPr fontId="7" type="noConversion"/>
  <dataValidations count="4">
    <dataValidation type="list" allowBlank="1" showInputMessage="1" showErrorMessage="1" sqref="B5" xr:uid="{2F83E198-6AB0-44CB-9104-9F835F675501}">
      <formula1>$A$66:$A$90</formula1>
    </dataValidation>
    <dataValidation type="list" allowBlank="1" showInputMessage="1" showErrorMessage="1" sqref="B4" xr:uid="{8F68CB2A-4D40-4F73-8CD1-E69C13C8D1D0}">
      <formula1>$A$31:$A$63</formula1>
    </dataValidation>
    <dataValidation type="list" allowBlank="1" showInputMessage="1" showErrorMessage="1" sqref="B2" xr:uid="{08CE585E-B907-45DF-B430-BCECB5326AD9}">
      <formula1>$A$8:$A$11</formula1>
    </dataValidation>
    <dataValidation type="list" allowBlank="1" showInputMessage="1" showErrorMessage="1" sqref="B3" xr:uid="{BF267D38-6E5A-4246-92D9-7F58735CFA17}">
      <formula1>$A$14:$A$26</formula1>
    </dataValidation>
  </dataValidations>
  <pageMargins left="0.78740157499999996" right="0.78740157499999996" top="0.984251969" bottom="0.984251969" header="0.5" footer="0.5"/>
  <pageSetup paperSize="9" scale="64" orientation="portrait" r:id="rId1"/>
  <headerFooter alignWithMargins="0">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C727F2-C89F-451C-A1F8-36C8D63E10FA}">
  <sheetPr codeName="Tabelle2"/>
  <dimension ref="A1:J97"/>
  <sheetViews>
    <sheetView zoomScaleNormal="100" workbookViewId="0">
      <pane ySplit="3" topLeftCell="A4" activePane="bottomLeft" state="frozen"/>
      <selection pane="bottomLeft" sqref="A1:A3"/>
    </sheetView>
  </sheetViews>
  <sheetFormatPr defaultColWidth="9.1796875" defaultRowHeight="12.5" x14ac:dyDescent="0.25"/>
  <cols>
    <col min="1" max="1" width="4.7265625" style="521" customWidth="1"/>
    <col min="2" max="2" width="12.7265625" style="521" customWidth="1"/>
    <col min="3" max="3" width="15.7265625" style="521" customWidth="1"/>
    <col min="4" max="10" width="12.7265625" style="521" customWidth="1"/>
    <col min="11" max="16384" width="9.1796875" style="521"/>
  </cols>
  <sheetData>
    <row r="1" spans="1:10" ht="13.5" customHeight="1" thickBot="1" x14ac:dyDescent="0.35">
      <c r="A1" s="1933" t="s">
        <v>638</v>
      </c>
      <c r="B1" s="592" t="str">
        <f>Translations!$B$2</f>
        <v>Navigeringsfält:</v>
      </c>
      <c r="C1" s="590"/>
      <c r="D1" s="1936" t="str">
        <f>Translations!$B$16</f>
        <v>Innehållsförteckning</v>
      </c>
      <c r="E1" s="1936"/>
      <c r="F1" s="1936" t="str">
        <f>Translations!$B$17</f>
        <v>Föregående blad</v>
      </c>
      <c r="G1" s="1936"/>
      <c r="H1" s="1936" t="str">
        <f>Translations!$B$3</f>
        <v>Nästa blad</v>
      </c>
      <c r="I1" s="1936"/>
      <c r="J1" s="1904" t="str">
        <f>Translations!$B$4</f>
        <v>Sammanfattning</v>
      </c>
    </row>
    <row r="2" spans="1:10" ht="13.5" thickBot="1" x14ac:dyDescent="0.3">
      <c r="A2" s="1934"/>
      <c r="B2" s="1936" t="str">
        <f>Translations!$B$5</f>
        <v>Högst upp</v>
      </c>
      <c r="C2" s="1936"/>
      <c r="D2" s="1955"/>
      <c r="E2" s="1939"/>
      <c r="F2" s="1939"/>
      <c r="G2" s="1939"/>
      <c r="H2" s="1939"/>
      <c r="I2" s="1939"/>
      <c r="J2" s="1905"/>
    </row>
    <row r="3" spans="1:10" ht="13.5" thickBot="1" x14ac:dyDescent="0.3">
      <c r="A3" s="1935"/>
      <c r="B3" s="1936" t="str">
        <f>Translations!$B$6</f>
        <v>Längst ner</v>
      </c>
      <c r="C3" s="1936"/>
      <c r="D3" s="1937"/>
      <c r="E3" s="1938"/>
      <c r="F3" s="1938"/>
      <c r="G3" s="1938"/>
      <c r="H3" s="1938"/>
      <c r="I3" s="1938"/>
      <c r="J3" s="1770"/>
    </row>
    <row r="4" spans="1:10" x14ac:dyDescent="0.25">
      <c r="A4" s="3"/>
      <c r="B4" s="3"/>
      <c r="C4" s="3"/>
      <c r="D4" s="3"/>
      <c r="E4" s="3"/>
      <c r="F4" s="3"/>
      <c r="G4" s="3"/>
      <c r="H4" s="3"/>
      <c r="I4" s="3"/>
      <c r="J4" s="3"/>
    </row>
    <row r="5" spans="1:10" ht="18" x14ac:dyDescent="0.25">
      <c r="A5" s="13"/>
      <c r="B5" s="2004" t="str">
        <f>Translations!$B$18</f>
        <v>RIKTLINJER OCH VILLKOR</v>
      </c>
      <c r="C5" s="2004"/>
      <c r="D5" s="2004"/>
      <c r="E5" s="2004"/>
      <c r="F5" s="2004"/>
      <c r="G5" s="2004"/>
      <c r="H5" s="2004"/>
      <c r="I5" s="2004"/>
      <c r="J5" s="2004"/>
    </row>
    <row r="6" spans="1:10" ht="13" x14ac:dyDescent="0.25">
      <c r="A6" s="13"/>
      <c r="B6" s="2005"/>
      <c r="C6" s="2005"/>
      <c r="D6" s="2005"/>
      <c r="E6" s="2005"/>
      <c r="F6" s="2005"/>
      <c r="G6" s="2005"/>
      <c r="H6" s="2005"/>
      <c r="I6" s="2005"/>
      <c r="J6" s="2005"/>
    </row>
    <row r="7" spans="1:10" ht="15.5" x14ac:dyDescent="0.35">
      <c r="A7" s="11"/>
      <c r="B7" s="1975" t="str">
        <f>Translations!$B$19</f>
        <v>Allmän information om mallen</v>
      </c>
      <c r="C7" s="1975"/>
      <c r="D7" s="1975"/>
      <c r="E7" s="1975"/>
      <c r="F7" s="1975"/>
      <c r="G7" s="1975"/>
      <c r="H7" s="1975"/>
      <c r="I7" s="1975"/>
      <c r="J7" s="1975"/>
    </row>
    <row r="8" spans="1:10" x14ac:dyDescent="0.25">
      <c r="A8" s="177"/>
      <c r="B8" s="177"/>
      <c r="C8" s="177"/>
      <c r="D8" s="177"/>
      <c r="E8" s="177"/>
      <c r="F8" s="177"/>
      <c r="G8" s="177"/>
      <c r="H8" s="177"/>
      <c r="I8" s="177"/>
      <c r="J8" s="20"/>
    </row>
    <row r="9" spans="1:10" ht="25.5" customHeight="1" x14ac:dyDescent="0.25">
      <c r="A9" s="231">
        <v>1</v>
      </c>
      <c r="B9" s="1959" t="str">
        <f>Translations!$B$20</f>
        <v>Enligt direktiv 2003/87/EG, senast ändrat genom direktiv (EU) 2018/410 (nedan kallat ETS-direktivet) ska medlemsstaterna fördela utsläppsrätter gratis till anläggningar på grundval av fullständigt harmoniserade bestämmelser som omfattar hela unionen (artikel 10a.1). Direktivet kan laddas ner via följande länk:</v>
      </c>
      <c r="C9" s="1960"/>
      <c r="D9" s="1960"/>
      <c r="E9" s="1960"/>
      <c r="F9" s="1960"/>
      <c r="G9" s="1960"/>
      <c r="H9" s="1960"/>
      <c r="I9" s="1960"/>
      <c r="J9" s="1960"/>
    </row>
    <row r="10" spans="1:10" x14ac:dyDescent="0.25">
      <c r="A10" s="177"/>
      <c r="B10" s="2007" t="str">
        <f>Translations!$B$21</f>
        <v>https://eur-lex.europa.eu/eli/dir/2003/87/2018-04-08</v>
      </c>
      <c r="C10" s="2008"/>
      <c r="D10" s="2008"/>
      <c r="E10" s="2008"/>
      <c r="F10" s="2008"/>
      <c r="G10" s="2008"/>
      <c r="H10" s="2008"/>
      <c r="I10" s="2008"/>
      <c r="J10" s="2008"/>
    </row>
    <row r="11" spans="1:10" ht="38.25" customHeight="1" x14ac:dyDescent="0.25">
      <c r="A11" s="231">
        <f>A9+1</f>
        <v>2</v>
      </c>
      <c r="B11" s="1959" t="str">
        <f>Translations!$B$22</f>
        <v>Bestämmelserna om gratis tilldelning (ibland kallade FAR) finns i tilldelningsförordningen, dvs. kommissionens delegerade förordning (EU) 2019/331 av den 19 december 2018 om fastställande av unionstäckande övergångsbestämmelser för harmoniserad gratis tilldelning av utsläppsrätter enligt artikel 10a i Europaparlamentets och rådets direktiv 2003/87/EG. Finns på:</v>
      </c>
      <c r="C11" s="1960"/>
      <c r="D11" s="1960"/>
      <c r="E11" s="1960"/>
      <c r="F11" s="1960"/>
      <c r="G11" s="1960"/>
      <c r="H11" s="1960"/>
      <c r="I11" s="1960"/>
      <c r="J11" s="1960"/>
    </row>
    <row r="12" spans="1:10" x14ac:dyDescent="0.25">
      <c r="A12" s="177"/>
      <c r="B12" s="1992" t="str">
        <f>Translations!$B$23</f>
        <v>http://data.europa.eu/eli/reg_del/2019/331/oj</v>
      </c>
      <c r="C12" s="1993"/>
      <c r="D12" s="1993"/>
      <c r="E12" s="1993"/>
      <c r="F12" s="1993"/>
      <c r="G12" s="1993"/>
      <c r="H12" s="1993"/>
      <c r="I12" s="1993"/>
      <c r="J12" s="1993"/>
    </row>
    <row r="13" spans="1:10" ht="38.25" customHeight="1" x14ac:dyDescent="0.25">
      <c r="A13" s="231">
        <f>A11+1</f>
        <v>3</v>
      </c>
      <c r="B13" s="1959" t="str">
        <f>Translations!$B$1327</f>
        <v>Reglerna för årliga justeringar av tilldelning ingår i verksamhetsändringsförordningen, dvs. kommissionens genomförandeförordning (EU) 2019/1842 av den 31 oktober 2019 om tillämpningsföreskrifter för Europaparlamentets och rådets direktiv 2003/87/EG vad gäller ytterligare åtgärder i samband med justeringar av gratis tilldelning av utsläppsrätter på grund av förändringar av verksamhetsnivå (ibland kallade ALC-R eller RALC). Finns på:</v>
      </c>
      <c r="C13" s="1960"/>
      <c r="D13" s="1960"/>
      <c r="E13" s="1960"/>
      <c r="F13" s="1960"/>
      <c r="G13" s="1960"/>
      <c r="H13" s="1960"/>
      <c r="I13" s="1960"/>
      <c r="J13" s="1960"/>
    </row>
    <row r="14" spans="1:10" x14ac:dyDescent="0.25">
      <c r="A14" s="177"/>
      <c r="B14" s="1992" t="str">
        <f>Translations!$B$1328</f>
        <v>https://eur-lex.europa.eu/eli/reg_impl/2019/1842/oj</v>
      </c>
      <c r="C14" s="1993"/>
      <c r="D14" s="1993"/>
      <c r="E14" s="1993"/>
      <c r="F14" s="1993"/>
      <c r="G14" s="1993"/>
      <c r="H14" s="1993"/>
      <c r="I14" s="1993"/>
      <c r="J14" s="1993"/>
    </row>
    <row r="15" spans="1:10" ht="25.5" customHeight="1" x14ac:dyDescent="0.25">
      <c r="A15" s="231">
        <f>A13+1</f>
        <v>4</v>
      </c>
      <c r="B15" s="1959" t="str">
        <f>Translations!$B$1329</f>
        <v>En viktig beståndsdel av verksamhetsändringsförordningen är den årliga datarapporteringen som inhämtar all relevant information från verksamhetsutövarna vid anläggningarna som medlemsstaterna behöver för att beräkna justeringar av tilldelningen.</v>
      </c>
      <c r="C15" s="1960"/>
      <c r="D15" s="1960"/>
      <c r="E15" s="1960"/>
      <c r="F15" s="1960"/>
      <c r="G15" s="1960"/>
      <c r="H15" s="1960"/>
      <c r="I15" s="1960"/>
      <c r="J15" s="1960"/>
    </row>
    <row r="16" spans="1:10" ht="25.5" customHeight="1" x14ac:dyDescent="0.25">
      <c r="A16" s="231">
        <f>A15+1</f>
        <v>5</v>
      </c>
      <c r="B16" s="1959" t="str">
        <f>Translations!$B$1330</f>
        <v>Denna datainsamlingsmall har tagits fram av konsulter (Umweltbundesamt GmbH Austria och SQ Consult) på uppdrag av kommissionen och omfattar ändringar av tilldelningsnivåer för nya deltagare, upphörande av (del)anläggningar och ändringar av verksamhetsnivåer.</v>
      </c>
      <c r="C16" s="1960"/>
      <c r="D16" s="1960"/>
      <c r="E16" s="1960"/>
      <c r="F16" s="1960"/>
      <c r="G16" s="1960"/>
      <c r="H16" s="1960"/>
      <c r="I16" s="1960"/>
      <c r="J16" s="1960"/>
    </row>
    <row r="17" spans="1:10" ht="12.75" customHeight="1" x14ac:dyDescent="0.25">
      <c r="A17" s="231"/>
      <c r="B17" s="1959" t="str">
        <f>Translations!$B$24</f>
        <v xml:space="preserve">Synpunkterna i denna fil är upphovsmännens egna och stämmer nödvändigtvis inte överens med kommissionens synpunkter. </v>
      </c>
      <c r="C17" s="1960"/>
      <c r="D17" s="1960"/>
      <c r="E17" s="1960"/>
      <c r="F17" s="1960"/>
      <c r="G17" s="1960"/>
      <c r="H17" s="1960"/>
      <c r="I17" s="1960"/>
      <c r="J17" s="1960"/>
    </row>
    <row r="18" spans="1:10" ht="38.9" customHeight="1" x14ac:dyDescent="0.25">
      <c r="A18" s="231">
        <f>A16+1</f>
        <v>6</v>
      </c>
      <c r="B18" s="2006" t="str">
        <f>Translations!$B$1331</f>
        <v>Detta är slutversionen av mallen för ändring av tilldelningsnivå för fas 4.1 (2021-2025) av ETS-systemet, daterad den 20 juli 2020, med korrigieringar (23 januari 2026)</v>
      </c>
      <c r="C18" s="2006"/>
      <c r="D18" s="2006"/>
      <c r="E18" s="2006"/>
      <c r="F18" s="2006"/>
      <c r="G18" s="2006"/>
      <c r="H18" s="2006"/>
      <c r="I18" s="2006"/>
      <c r="J18" s="2006"/>
    </row>
    <row r="19" spans="1:10" x14ac:dyDescent="0.25">
      <c r="A19" s="177"/>
      <c r="B19" s="177"/>
      <c r="C19" s="177"/>
      <c r="D19" s="177"/>
      <c r="E19" s="177"/>
      <c r="F19" s="177"/>
      <c r="G19" s="177"/>
      <c r="H19" s="177"/>
      <c r="I19" s="177"/>
      <c r="J19" s="20"/>
    </row>
    <row r="20" spans="1:10" ht="15.5" x14ac:dyDescent="0.35">
      <c r="A20" s="11"/>
      <c r="B20" s="1975" t="str">
        <f>Translations!$B$25</f>
        <v>Så här använder ni filen</v>
      </c>
      <c r="C20" s="1975"/>
      <c r="D20" s="1975"/>
      <c r="E20" s="1975"/>
      <c r="F20" s="1975"/>
      <c r="G20" s="1975"/>
      <c r="H20" s="1975"/>
      <c r="I20" s="1975"/>
      <c r="J20" s="1975"/>
    </row>
    <row r="21" spans="1:10" x14ac:dyDescent="0.25">
      <c r="A21" s="177"/>
      <c r="B21" s="177"/>
      <c r="C21" s="177"/>
      <c r="D21" s="177"/>
      <c r="E21" s="177"/>
      <c r="F21" s="177"/>
      <c r="G21" s="177"/>
      <c r="H21" s="177"/>
      <c r="I21" s="177"/>
      <c r="J21" s="20"/>
    </row>
    <row r="22" spans="1:10" ht="13" x14ac:dyDescent="0.25">
      <c r="A22" s="231">
        <f>A18+1</f>
        <v>7</v>
      </c>
      <c r="B22" s="1959" t="str">
        <f>Translations!$B$26</f>
        <v>Automatisk beräkning (som finns under menyn Formler/Beräkningsalternativ) måste aktiveras.</v>
      </c>
      <c r="C22" s="1960"/>
      <c r="D22" s="1960"/>
      <c r="E22" s="1960"/>
      <c r="F22" s="1960"/>
      <c r="G22" s="1960"/>
      <c r="H22" s="1960"/>
      <c r="I22" s="1960"/>
      <c r="J22" s="1960"/>
    </row>
    <row r="23" spans="1:10" ht="38.25" customHeight="1" x14ac:dyDescent="0.25">
      <c r="A23"/>
      <c r="B23" s="1959" t="str">
        <f>Translations!$B$1332</f>
        <v>Du bör helst gå igenom filen från början till slut. Vissa funktioner vägleder dig genom blanketten beroende på vad du har matat in tidigare, till exempel celler som ändrar färg om de inte behöver fyllas i (se färgkoder nedan). Ibland bör man dock först göra inmatningar i ett annat blad innan man går vidare (t.ex. måste ”H_specialBM” fyllas i innan ”F_ProductBM” kan färdigställas i fall där bilaga III till FAR måste tillämpas).</v>
      </c>
      <c r="C23" s="1960"/>
      <c r="D23" s="1960"/>
      <c r="E23" s="1960"/>
      <c r="F23" s="1960"/>
      <c r="G23" s="1960"/>
      <c r="H23" s="1960"/>
      <c r="I23" s="1960"/>
      <c r="J23" s="1960"/>
    </row>
    <row r="24" spans="1:10" ht="40" customHeight="1" x14ac:dyDescent="0.25">
      <c r="A24" s="231">
        <f>A22+1</f>
        <v>8</v>
      </c>
      <c r="B24" s="1959" t="str">
        <f>Translations!$B$27</f>
        <v>Värdet noll ska anges i stället för att cellen lämnas tom. Om en cell lämnats tom vet inte den behöriga myndigheten om värdet inte har rapporterats eller om det är irrelevant eller okänt. Värden som behövs för beräkningar bör alltid anges (särskilt värdet noll, eftersom vissa formler inte ger några resultat så länge som nödvändiga celler lämnats tomma).</v>
      </c>
      <c r="C24" s="1960"/>
      <c r="D24" s="1960"/>
      <c r="E24" s="1960"/>
      <c r="F24" s="1960"/>
      <c r="G24" s="1960"/>
      <c r="H24" s="1960"/>
      <c r="I24" s="1960"/>
      <c r="J24" s="1960"/>
    </row>
    <row r="25" spans="1:10" ht="40" customHeight="1" x14ac:dyDescent="0.25">
      <c r="A25" s="231">
        <f>A24+1</f>
        <v>9</v>
      </c>
      <c r="B25" s="1959" t="str">
        <f>Translations!$B$28</f>
        <v>I flera fält går det att välja mellan fördefinierade värden. Man kan välja ett alternativ i ”nedrullningslistan” genom att klicka med musen på den lilla pil som visas i cellens högerkant eller trycka Alt+nedåtpil när man markerat cellen. I vissa fält kan man skriva in egen text även om det finns en nedrullningslista. Det går att göra när nedrullningslistorna innehåller tomma listposter.</v>
      </c>
      <c r="C25" s="1960"/>
      <c r="D25" s="1960"/>
      <c r="E25" s="1960"/>
      <c r="F25" s="1960"/>
      <c r="G25" s="1960"/>
      <c r="H25" s="1960"/>
      <c r="I25" s="1960"/>
      <c r="J25" s="1960"/>
    </row>
    <row r="26" spans="1:10" ht="25.5" customHeight="1" x14ac:dyDescent="0.25">
      <c r="A26" s="231">
        <f>A25+1</f>
        <v>10</v>
      </c>
      <c r="B26" s="1959" t="str">
        <f>Translations!$B$29</f>
        <v>Ibland visas felmeddelanden när datainmatningar är ofullständiga. Avsaknad av felmeddelanden är ingen garanti för korrekta beräkningar då det inte alltid går att testa datans fullständighet. Om inga resultat visas i ett grönt fält kan det antas att vissa data fortfarande saknas.</v>
      </c>
      <c r="C26" s="1960"/>
      <c r="D26" s="1960"/>
      <c r="E26" s="1960"/>
      <c r="F26" s="1960"/>
      <c r="G26" s="1960"/>
      <c r="H26" s="1960"/>
      <c r="I26" s="1960"/>
      <c r="J26" s="1960"/>
    </row>
    <row r="27" spans="1:10" ht="12.75" customHeight="1" x14ac:dyDescent="0.25">
      <c r="A27" s="231"/>
      <c r="B27" s="1959" t="str">
        <f>Translations!$B$30</f>
        <v>Man måste vara särskilt noga med att datan stämmer överens med de enheter som visas.</v>
      </c>
      <c r="C27" s="1960"/>
      <c r="D27" s="1960"/>
      <c r="E27" s="1960"/>
      <c r="F27" s="1960"/>
      <c r="G27" s="1960"/>
      <c r="H27" s="1960"/>
      <c r="I27" s="1960"/>
      <c r="J27" s="1960"/>
    </row>
    <row r="28" spans="1:10" ht="12.75" customHeight="1" x14ac:dyDescent="0.25">
      <c r="A28" s="231"/>
      <c r="B28" s="177" t="str">
        <f>Translations!$B$31</f>
        <v>Felmeddelandena är ofta mycket korta på grund av det begränsade utrymmet. De viktigaste meddelandena är följande:</v>
      </c>
      <c r="C28" s="20"/>
      <c r="D28" s="20"/>
      <c r="E28" s="20"/>
      <c r="F28" s="20"/>
      <c r="G28" s="20"/>
      <c r="H28" s="20"/>
      <c r="I28" s="20"/>
      <c r="J28" s="20"/>
    </row>
    <row r="29" spans="1:10" ht="12.75" customHeight="1" x14ac:dyDescent="0.25">
      <c r="A29" s="231"/>
      <c r="B29" s="177"/>
      <c r="C29" s="763" t="str">
        <f>EUconst_Incomplete</f>
        <v>ofullständigt!</v>
      </c>
      <c r="D29" s="1996" t="str">
        <f>Translations!$B$32</f>
        <v>Det finns inte tillräckligt med data för att utföra beräkningen (t.ex. en utsläppsfaktor saknas för ett visst år).</v>
      </c>
      <c r="E29" s="1997"/>
      <c r="F29" s="1997"/>
      <c r="G29" s="1997"/>
      <c r="H29" s="1997"/>
      <c r="I29" s="1997"/>
      <c r="J29" s="1997"/>
    </row>
    <row r="30" spans="1:10" ht="12.75" customHeight="1" x14ac:dyDescent="0.25">
      <c r="A30" s="231"/>
      <c r="B30" s="177"/>
      <c r="C30" s="763" t="str">
        <f>EUconst_Inconsistent</f>
        <v>inkonsekvent!</v>
      </c>
      <c r="D30" s="1996" t="str">
        <f>Translations!$B$33</f>
        <v>De valda enheterna stämmer inte överens och beräkningarna utifrån inmatningarna kommer att ge felaktiga resultat.</v>
      </c>
      <c r="E30" s="1997"/>
      <c r="F30" s="1997"/>
      <c r="G30" s="1997"/>
      <c r="H30" s="1997"/>
      <c r="I30" s="1997"/>
      <c r="J30" s="1997"/>
    </row>
    <row r="31" spans="1:10" ht="12.75" customHeight="1" x14ac:dyDescent="0.25">
      <c r="A31" s="231"/>
      <c r="B31" s="177"/>
      <c r="C31" s="763" t="str">
        <f>EUconst_Negative</f>
        <v>negativt!</v>
      </c>
      <c r="D31" s="1996" t="str">
        <f>Translations!$B$34</f>
        <v>Inga negativa värden är tillåtna i beräkningen.</v>
      </c>
      <c r="E31" s="1997"/>
      <c r="F31" s="1997"/>
      <c r="G31" s="1997"/>
      <c r="H31" s="1997"/>
      <c r="I31" s="1997"/>
      <c r="J31" s="1997"/>
    </row>
    <row r="32" spans="1:10" ht="12.75" customHeight="1" x14ac:dyDescent="0.25">
      <c r="A32" s="231"/>
      <c r="B32" s="177"/>
      <c r="C32" s="763" t="str">
        <f>EUconst_NotEligible</f>
        <v>A.IV.1.f!</v>
      </c>
      <c r="D32" s="1996" t="str">
        <f>Translations!$B$35</f>
        <v>Hänvisningar till delar av ett dokument. Data saknas i de delar som det hänvisas till.</v>
      </c>
      <c r="E32" s="1997"/>
      <c r="F32" s="1997"/>
      <c r="G32" s="1997"/>
      <c r="H32" s="1997"/>
      <c r="I32" s="1997"/>
      <c r="J32" s="1997"/>
    </row>
    <row r="33" spans="1:10" ht="12.75" customHeight="1" x14ac:dyDescent="0.25">
      <c r="A33" s="231"/>
      <c r="B33" s="177"/>
      <c r="C33" s="177"/>
      <c r="D33" s="177"/>
      <c r="E33" s="177"/>
      <c r="F33" s="177"/>
      <c r="G33" s="177"/>
      <c r="H33" s="177"/>
      <c r="I33" s="177"/>
      <c r="J33" s="177"/>
    </row>
    <row r="34" spans="1:10" s="764" customFormat="1" ht="12.75" customHeight="1" x14ac:dyDescent="0.25">
      <c r="A34" s="231">
        <f>A26+1</f>
        <v>11</v>
      </c>
      <c r="B34" s="1995" t="str">
        <f>Translations!$B$36</f>
        <v>Färgkoder och teckensnitt</v>
      </c>
      <c r="C34" s="1963"/>
      <c r="D34" s="1963"/>
      <c r="E34" s="1963"/>
      <c r="F34" s="1963"/>
      <c r="G34" s="1963"/>
      <c r="H34" s="1963"/>
      <c r="I34" s="1963"/>
      <c r="J34" s="1963"/>
    </row>
    <row r="35" spans="1:10" s="764" customFormat="1" ht="12.75" customHeight="1" x14ac:dyDescent="0.25">
      <c r="A35" s="178"/>
      <c r="B35" s="1943" t="str">
        <f>Translations!$B$37</f>
        <v>Fetmarkerad text:</v>
      </c>
      <c r="C35" s="1963"/>
      <c r="D35" s="1976" t="str">
        <f>Translations!$B$38</f>
        <v>Denna text beskriver vilken inmatning som krävs.</v>
      </c>
      <c r="E35" s="1976"/>
      <c r="F35" s="1976"/>
      <c r="G35" s="1976"/>
      <c r="H35" s="1976"/>
      <c r="I35" s="1976"/>
      <c r="J35" s="1976"/>
    </row>
    <row r="36" spans="1:10" s="764" customFormat="1" x14ac:dyDescent="0.25">
      <c r="A36" s="178"/>
      <c r="B36" s="1999" t="str">
        <f>Translations!$B$39</f>
        <v>Mindre kursiv text:</v>
      </c>
      <c r="C36" s="2000"/>
      <c r="D36" s="1976" t="str">
        <f>Translations!$B$40</f>
        <v xml:space="preserve">Denna text ger ytterligare förklaringar. </v>
      </c>
      <c r="E36" s="1976"/>
      <c r="F36" s="1976"/>
      <c r="G36" s="1976"/>
      <c r="H36" s="1976"/>
      <c r="I36" s="1976"/>
      <c r="J36" s="1976"/>
    </row>
    <row r="37" spans="1:10" s="764" customFormat="1" ht="12.75" customHeight="1" x14ac:dyDescent="0.25">
      <c r="A37" s="178"/>
      <c r="B37" s="1985" t="s">
        <v>2099</v>
      </c>
      <c r="C37" s="1986"/>
      <c r="D37" s="1976" t="str">
        <f>Translations!$B$41</f>
        <v>Gula fält är obligatoriska inmatningsfält. Om frågan inte är relevant för anläggningen krävs dock ingen inmatning.</v>
      </c>
      <c r="E37" s="1976"/>
      <c r="F37" s="1976"/>
      <c r="G37" s="1976"/>
      <c r="H37" s="1976"/>
      <c r="I37" s="1976"/>
      <c r="J37" s="1976"/>
    </row>
    <row r="38" spans="1:10" s="764" customFormat="1" x14ac:dyDescent="0.25">
      <c r="A38" s="178"/>
      <c r="B38" s="1987" t="s">
        <v>2100</v>
      </c>
      <c r="C38" s="1986"/>
      <c r="D38" s="1994" t="str">
        <f>Translations!$B$42</f>
        <v>Ljusgula fält innebär att inmatning vanligtvis inte behöver göras.</v>
      </c>
      <c r="E38" s="1963"/>
      <c r="F38" s="1963"/>
      <c r="G38" s="1963"/>
      <c r="H38" s="1963"/>
      <c r="I38" s="1963"/>
      <c r="J38" s="1963"/>
    </row>
    <row r="39" spans="1:10" s="764" customFormat="1" x14ac:dyDescent="0.25">
      <c r="A39" s="178"/>
      <c r="B39" s="2001" t="str">
        <f>Translations!$B$1333</f>
        <v>Automatiska</v>
      </c>
      <c r="C39" s="1984"/>
      <c r="D39" s="1994" t="str">
        <f>Translations!$B$43</f>
        <v>Gröna fält visar automatiskt beräknade resultat. Röd text är felmeddelanden (att data saknas osv.).</v>
      </c>
      <c r="E39" s="1963"/>
      <c r="F39" s="1963"/>
      <c r="G39" s="1963"/>
      <c r="H39" s="1963"/>
      <c r="I39" s="1963"/>
      <c r="J39" s="1963"/>
    </row>
    <row r="40" spans="1:10" s="764" customFormat="1" ht="12.75" customHeight="1" x14ac:dyDescent="0.25">
      <c r="A40" s="178"/>
      <c r="B40" s="1983" t="str">
        <f>Translations!$B$1334</f>
        <v>Irrelevanta</v>
      </c>
      <c r="C40" s="1984"/>
      <c r="D40" s="1976" t="str">
        <f>Translations!$B$44</f>
        <v>Skuggade fält innebär att ingen inmatning behövs eftersom inmatning gjorts i ett annat fält.</v>
      </c>
      <c r="E40" s="1976"/>
      <c r="F40" s="1976"/>
      <c r="G40" s="1976"/>
      <c r="H40" s="1976"/>
      <c r="I40" s="1976"/>
      <c r="J40" s="1976"/>
    </row>
    <row r="41" spans="1:10" s="764" customFormat="1" ht="12.75" customHeight="1" x14ac:dyDescent="0.25">
      <c r="A41" s="178"/>
      <c r="B41" s="2009" t="str">
        <f>Translations!$B$1335</f>
        <v>Länk till referensdatarapport med NIMs-data</v>
      </c>
      <c r="C41" s="2010"/>
      <c r="D41" s="1976" t="str">
        <f>Translations!$B$1336</f>
        <v>Olivgröna fält indikerar att uppgifterna baseras på länkar till externa Excel-filer, särskilt referensdatarapporten för nationella genomförandeåtgärder (NIMs).</v>
      </c>
      <c r="E41" s="1976"/>
      <c r="F41" s="1976"/>
      <c r="G41" s="1976"/>
      <c r="H41" s="1976"/>
      <c r="I41" s="1976"/>
      <c r="J41" s="1976"/>
    </row>
    <row r="42" spans="1:10" s="764" customFormat="1" ht="12.75" customHeight="1" x14ac:dyDescent="0.25">
      <c r="A42" s="178"/>
      <c r="B42" s="1998" t="s">
        <v>2101</v>
      </c>
      <c r="C42" s="1998"/>
      <c r="D42" s="1976" t="str">
        <f>Translations!$B$1337</f>
        <v>Mörkorange fält indikerar att uppgifterna är obligatoriska men endast får fyllas i av behörig myndighet eller av verksamhetsutövaren om den behöriga myndigheten har anvisat detta.</v>
      </c>
      <c r="E42" s="1976"/>
      <c r="F42" s="1976"/>
      <c r="G42" s="1976"/>
      <c r="H42" s="1976"/>
      <c r="I42" s="1976"/>
      <c r="J42" s="1976"/>
    </row>
    <row r="43" spans="1:10" s="764" customFormat="1" ht="12.75" customHeight="1" x14ac:dyDescent="0.25">
      <c r="A43" s="178"/>
      <c r="B43" s="1977" t="str">
        <f>Translations!$B$1338</f>
        <v>Tillskrivning av utsläpp</v>
      </c>
      <c r="C43" s="1978"/>
      <c r="D43" s="1976" t="str">
        <f>Translations!$B$1339</f>
        <v>Ljusblå områden är avsedda för uppgifter som i huvudsak är relevanta för tillskrivning av utsläpp till delanläggningar.</v>
      </c>
      <c r="E43" s="1963"/>
      <c r="F43" s="1963"/>
      <c r="G43" s="1963"/>
      <c r="H43" s="1963"/>
      <c r="I43" s="1963"/>
      <c r="J43" s="1963"/>
    </row>
    <row r="44" spans="1:10" s="764" customFormat="1" ht="12.75" customHeight="1" x14ac:dyDescent="0.25">
      <c r="A44" s="178"/>
      <c r="B44" s="1979" t="str">
        <f>Translations!$B$1340</f>
        <v>Justeringar</v>
      </c>
      <c r="C44" s="1980"/>
      <c r="D44" s="1976" t="str">
        <f>Translations!$B$1341</f>
        <v>Ljusorange områden är avsedda för avsnitt där tilldelningsjusteringar bestäms.</v>
      </c>
      <c r="E44" s="1963"/>
      <c r="F44" s="1963"/>
      <c r="G44" s="1963"/>
      <c r="H44" s="1963"/>
      <c r="I44" s="1963"/>
      <c r="J44" s="1963"/>
    </row>
    <row r="45" spans="1:10" s="764" customFormat="1" x14ac:dyDescent="0.25">
      <c r="A45" s="178"/>
      <c r="B45" s="1981" t="str">
        <f>Translations!$B$1342</f>
        <v>Medlemsstaternas anpassning</v>
      </c>
      <c r="C45" s="1981"/>
      <c r="D45" s="1976" t="str">
        <f>Translations!$B$45</f>
        <v>Gråtonade områden ska fyllas i av medlemsstaterna innan deras egna versioner av mallen offentliggörs.</v>
      </c>
      <c r="E45" s="1963"/>
      <c r="F45" s="1963"/>
      <c r="G45" s="1963"/>
      <c r="H45" s="1963"/>
      <c r="I45" s="1963"/>
      <c r="J45" s="1963"/>
    </row>
    <row r="46" spans="1:10" s="764" customFormat="1" x14ac:dyDescent="0.25">
      <c r="A46" s="178"/>
      <c r="B46" s="1982" t="str">
        <f>Translations!$B$1343</f>
        <v>Navigering</v>
      </c>
      <c r="C46" s="1982"/>
      <c r="D46" s="1976" t="str">
        <f>Translations!$B$46</f>
        <v>Ljusgråa områden används för navigering och hyperlänkar.</v>
      </c>
      <c r="E46" s="1963"/>
      <c r="F46" s="1963"/>
      <c r="G46" s="1963"/>
      <c r="H46" s="1963"/>
      <c r="I46" s="1963"/>
      <c r="J46" s="1963"/>
    </row>
    <row r="47" spans="1:10" s="764" customFormat="1" x14ac:dyDescent="0.25">
      <c r="A47" s="178"/>
      <c r="B47" s="179"/>
      <c r="C47" s="178"/>
      <c r="D47" s="178"/>
      <c r="E47" s="178"/>
      <c r="F47" s="178"/>
      <c r="G47" s="178"/>
      <c r="H47" s="178"/>
      <c r="I47" s="178"/>
      <c r="J47" s="178"/>
    </row>
    <row r="48" spans="1:10" ht="40" customHeight="1" x14ac:dyDescent="0.25">
      <c r="A48" s="231">
        <f>A34+1</f>
        <v>12</v>
      </c>
      <c r="B48" s="1959" t="str">
        <f>Translations!$B$47</f>
        <v>På navigationspanelerna högst upp på varje blad ges hyperlänkarna för att man snabbt ska kunna gå till olika inmatningsavsnitt. Första raden (”Innehållsförteckning”, ”Föregående blad”, ”Nästa blad”, ”Sammanfattning”) och enheterna ”Högst upp” och ”Längst ner” är desamma för alla blad. Beroende på vilket blad det rör sig om har ytterligare menyalternativ lagts till. Om bakgrundsfärgen på något av hyperlänksfälten blir röd saknas data i avsnittet.</v>
      </c>
      <c r="C48" s="1960"/>
      <c r="D48" s="1960"/>
      <c r="E48" s="1960"/>
      <c r="F48" s="1960"/>
      <c r="G48" s="1960"/>
      <c r="H48" s="1960"/>
      <c r="I48" s="1960"/>
      <c r="J48" s="1960"/>
    </row>
    <row r="49" spans="1:10" ht="40" customHeight="1" x14ac:dyDescent="0.25">
      <c r="A49" s="231">
        <f>A48+1</f>
        <v>13</v>
      </c>
      <c r="B49" s="1959" t="str">
        <f>Translations!$B$48</f>
        <v>Denna mall har låsts för datainmatning förutom i de gula fälten. Av öppenhetsskäl finns dock inget lösenord. Detta innebär att alla formler kan visas. Det rekommenderas att skyddet bibehålls när filen används för datainmatning. Bladen bör endast vara oskyddade när formlernas giltighet kontrolleras. Det rekommenderas att detta görs i en separat fil.</v>
      </c>
      <c r="C49" s="1960"/>
      <c r="D49" s="1960"/>
      <c r="E49" s="1960"/>
      <c r="F49" s="1960"/>
      <c r="G49" s="1960"/>
      <c r="H49" s="1960"/>
      <c r="I49" s="1960"/>
      <c r="J49" s="1960"/>
    </row>
    <row r="50" spans="1:10" ht="40" customHeight="1" x14ac:dyDescent="0.25">
      <c r="A50" s="231">
        <f>A49+1</f>
        <v>14</v>
      </c>
      <c r="B50" s="2002" t="str">
        <f>Translations!$B$49</f>
        <v>För att skydda formler mot oavsiktliga ändringar, som ofta leder till felaktiga och vilseledande resultat, 
är det mycket viktigt att INTE ANVÄNDA funktionerna KLIPP UT &amp; KLISTRA IN. 
Om du vill flytta data ska du först KOPIERA och KLISTRA IN dem och därefter radera oönskade data på det ursprungliga (felaktiga) stället.</v>
      </c>
      <c r="C50" s="2003"/>
      <c r="D50" s="2003"/>
      <c r="E50" s="2003"/>
      <c r="F50" s="2003"/>
      <c r="G50" s="2003"/>
      <c r="H50" s="2003"/>
      <c r="I50" s="2003"/>
      <c r="J50" s="2003"/>
    </row>
    <row r="51" spans="1:10" ht="51" customHeight="1" x14ac:dyDescent="0.25">
      <c r="A51" s="231">
        <f>A50+1</f>
        <v>15</v>
      </c>
      <c r="B51" s="1959" t="str">
        <f>Translations!$B$50</f>
        <v>Datafälten har inte optimerats för numeriska och andra format. Bladskyddet har begränsats så att du kan använda era egna format. Framför allt kan du välja hur många decimaler som ska visas. Antalet decimaler påverkar i princip inte beräkningens exakthet. I princip bör alternativet ”Visad precision” i MS Excel avaktiveras. För mer information, se MS Excels ”Hjälp”-funktion.</v>
      </c>
      <c r="C51" s="1960"/>
      <c r="D51" s="1960"/>
      <c r="E51" s="1960"/>
      <c r="F51" s="1960"/>
      <c r="G51" s="1960"/>
      <c r="H51" s="1960"/>
      <c r="I51" s="1960"/>
      <c r="J51" s="1960"/>
    </row>
    <row r="52" spans="1:10" ht="12.75" customHeight="1" thickBot="1" x14ac:dyDescent="0.3">
      <c r="A52"/>
      <c r="B52" s="1959"/>
      <c r="C52" s="1960"/>
      <c r="D52" s="1960"/>
      <c r="E52" s="1960"/>
      <c r="F52" s="1960"/>
      <c r="G52" s="1960"/>
      <c r="H52" s="1960"/>
      <c r="I52" s="1960"/>
      <c r="J52" s="1960"/>
    </row>
    <row r="53" spans="1:10" ht="91.9" customHeight="1" thickBot="1" x14ac:dyDescent="0.3">
      <c r="A53" s="231">
        <f>A51+1</f>
        <v>16</v>
      </c>
      <c r="B53" s="1961" t="str">
        <f>Translations!$B$51</f>
        <v>OBSERVERA: Alla formler har tagits fram med omsorg. Misstag kan dock inte helt uteslutas.
Såsom anges ovan garanteras fullständig öppenhet för att kontrollera beräkningarnas giltighet. Vare sig upphovsmännen till denna fil eller Europeiska kommissionen kan hållas ansvariga för eventuella skador till följd av felaktiga eller vilseledande beräkningsresultat.
Användaren av denna fil (dvs. verksamhetsutövaren vid en ETS-anläggning) ansvarar fullt ut för att korrekt data rapporteras till den behöriga myndigheten.</v>
      </c>
      <c r="C53" s="1962"/>
      <c r="D53" s="1962"/>
      <c r="E53" s="1962"/>
      <c r="F53" s="1962"/>
      <c r="G53" s="1962"/>
      <c r="H53" s="1962"/>
      <c r="I53" s="1962"/>
      <c r="J53" s="1962"/>
    </row>
    <row r="54" spans="1:10" x14ac:dyDescent="0.25">
      <c r="A54" s="3"/>
      <c r="B54" s="3"/>
      <c r="C54" s="3"/>
      <c r="D54" s="3"/>
      <c r="E54" s="3"/>
      <c r="F54" s="3"/>
      <c r="G54" s="3"/>
      <c r="H54" s="3"/>
      <c r="I54" s="3"/>
      <c r="J54" s="3"/>
    </row>
    <row r="55" spans="1:10" x14ac:dyDescent="0.25">
      <c r="A55" s="3"/>
      <c r="B55" s="3"/>
      <c r="C55" s="3"/>
      <c r="D55" s="3"/>
      <c r="E55" s="3"/>
      <c r="F55" s="3"/>
      <c r="G55" s="3"/>
      <c r="H55" s="3"/>
      <c r="I55" s="3"/>
      <c r="J55" s="3"/>
    </row>
    <row r="56" spans="1:10" ht="15.5" x14ac:dyDescent="0.35">
      <c r="A56" s="11"/>
      <c r="B56" s="1975" t="str">
        <f>Translations!$B$52</f>
        <v>Medlemsstatsspecifik information</v>
      </c>
      <c r="C56" s="1975"/>
      <c r="D56" s="1975"/>
      <c r="E56" s="1975"/>
      <c r="F56" s="1975"/>
      <c r="G56" s="1975"/>
      <c r="H56" s="1975"/>
      <c r="I56" s="1975"/>
      <c r="J56" s="1975"/>
    </row>
    <row r="57" spans="1:10" x14ac:dyDescent="0.25">
      <c r="A57" s="177"/>
      <c r="B57" s="177"/>
      <c r="C57" s="177"/>
      <c r="D57" s="177"/>
      <c r="E57" s="177"/>
      <c r="F57" s="177"/>
      <c r="G57" s="177"/>
      <c r="H57" s="177"/>
      <c r="I57" s="177"/>
      <c r="J57" s="20"/>
    </row>
    <row r="58" spans="1:10" ht="15" customHeight="1" x14ac:dyDescent="0.25">
      <c r="A58" s="20"/>
      <c r="B58" s="1964" t="str">
        <f>Translations!$B$53</f>
        <v>Denna rapport ska lämnas in till er behöriga myndighet på följande adress:</v>
      </c>
      <c r="C58" s="1964"/>
      <c r="D58" s="1964"/>
      <c r="E58" s="1964"/>
      <c r="F58" s="1964"/>
      <c r="G58" s="1964"/>
      <c r="H58" s="1964"/>
      <c r="I58" s="1964"/>
      <c r="J58" s="1964"/>
    </row>
    <row r="59" spans="1:10" x14ac:dyDescent="0.25">
      <c r="A59" s="178"/>
      <c r="B59" s="178"/>
      <c r="C59" s="178"/>
      <c r="D59" s="178"/>
      <c r="E59" s="178"/>
      <c r="F59" s="178"/>
      <c r="G59" s="178"/>
      <c r="H59" s="178"/>
      <c r="I59" s="178"/>
      <c r="J59" s="178"/>
    </row>
    <row r="60" spans="1:10" x14ac:dyDescent="0.25">
      <c r="A60" s="178"/>
      <c r="B60" s="178"/>
      <c r="C60" s="178"/>
      <c r="D60" s="1966" t="str">
        <f>Translations!$B$54</f>
        <v xml:space="preserve">
Rapporten ska lämnas in via Naturvårdsverkets e-tjänst för ändringar av tilldelning av utsläppsrätter. Under "Övriga webbplatser" finns en länk till en sida med ytterligare vägledning om e-tjänsten. Via denna sida klickar du dig sedan vidare till själva e-tjänsten.</v>
      </c>
      <c r="E60" s="1967"/>
      <c r="F60" s="1967"/>
      <c r="G60" s="1968"/>
      <c r="H60" s="178"/>
      <c r="I60" s="178"/>
      <c r="J60" s="178"/>
    </row>
    <row r="61" spans="1:10" x14ac:dyDescent="0.25">
      <c r="A61" s="178"/>
      <c r="B61" s="178"/>
      <c r="C61" s="178"/>
      <c r="D61" s="1969"/>
      <c r="E61" s="1970"/>
      <c r="F61" s="1970"/>
      <c r="G61" s="1971"/>
      <c r="H61" s="178"/>
      <c r="I61" s="178"/>
      <c r="J61" s="178"/>
    </row>
    <row r="62" spans="1:10" x14ac:dyDescent="0.25">
      <c r="A62" s="178"/>
      <c r="B62" s="178"/>
      <c r="C62" s="178"/>
      <c r="D62" s="1969"/>
      <c r="E62" s="1970"/>
      <c r="F62" s="1970"/>
      <c r="G62" s="1971"/>
      <c r="H62" s="178"/>
      <c r="I62" s="178"/>
      <c r="J62" s="178"/>
    </row>
    <row r="63" spans="1:10" x14ac:dyDescent="0.25">
      <c r="A63" s="178"/>
      <c r="B63" s="3"/>
      <c r="C63" s="178"/>
      <c r="D63" s="1969"/>
      <c r="E63" s="1970"/>
      <c r="F63" s="1970"/>
      <c r="G63" s="1971"/>
      <c r="H63" s="178"/>
      <c r="I63" s="178"/>
      <c r="J63" s="178"/>
    </row>
    <row r="64" spans="1:10" x14ac:dyDescent="0.25">
      <c r="A64" s="178"/>
      <c r="B64" s="178"/>
      <c r="C64" s="178"/>
      <c r="D64" s="1969"/>
      <c r="E64" s="1970"/>
      <c r="F64" s="1970"/>
      <c r="G64" s="1971"/>
      <c r="H64" s="178"/>
      <c r="I64" s="178"/>
      <c r="J64" s="178"/>
    </row>
    <row r="65" spans="1:10" x14ac:dyDescent="0.25">
      <c r="A65" s="178"/>
      <c r="B65" s="178"/>
      <c r="C65" s="178"/>
      <c r="D65" s="1969"/>
      <c r="E65" s="1970"/>
      <c r="F65" s="1970"/>
      <c r="G65" s="1971"/>
      <c r="H65" s="178"/>
      <c r="I65" s="178"/>
      <c r="J65" s="178"/>
    </row>
    <row r="66" spans="1:10" x14ac:dyDescent="0.25">
      <c r="A66" s="178"/>
      <c r="B66" s="178"/>
      <c r="C66" s="178"/>
      <c r="D66" s="1969"/>
      <c r="E66" s="1970"/>
      <c r="F66" s="1970"/>
      <c r="G66" s="1971"/>
      <c r="H66" s="178"/>
      <c r="I66" s="178"/>
      <c r="J66" s="178"/>
    </row>
    <row r="67" spans="1:10" x14ac:dyDescent="0.25">
      <c r="A67" s="178"/>
      <c r="B67" s="178"/>
      <c r="C67" s="178"/>
      <c r="D67" s="1972"/>
      <c r="E67" s="1973"/>
      <c r="F67" s="1973"/>
      <c r="G67" s="1974"/>
      <c r="H67" s="178"/>
      <c r="I67" s="178"/>
      <c r="J67" s="178"/>
    </row>
    <row r="68" spans="1:10" x14ac:dyDescent="0.25">
      <c r="A68" s="178"/>
      <c r="B68" s="178"/>
      <c r="C68" s="178"/>
      <c r="D68" s="178"/>
      <c r="E68" s="178"/>
      <c r="F68" s="178"/>
      <c r="G68" s="178"/>
      <c r="H68" s="178"/>
      <c r="I68" s="178"/>
      <c r="J68" s="178"/>
    </row>
    <row r="69" spans="1:10" x14ac:dyDescent="0.25">
      <c r="A69" s="3"/>
      <c r="B69" s="3"/>
      <c r="C69" s="3"/>
      <c r="D69" s="3"/>
      <c r="E69" s="3"/>
      <c r="F69" s="3"/>
      <c r="G69" s="3"/>
      <c r="H69" s="3"/>
      <c r="I69" s="3"/>
      <c r="J69" s="3"/>
    </row>
    <row r="70" spans="1:10" ht="15.5" x14ac:dyDescent="0.25">
      <c r="A70" s="3"/>
      <c r="B70" s="1965" t="str">
        <f>Translations!$B$55</f>
        <v>Informationskällor:</v>
      </c>
      <c r="C70" s="1965"/>
      <c r="D70" s="1965"/>
      <c r="E70" s="1965"/>
      <c r="F70" s="1965"/>
      <c r="G70" s="1965"/>
      <c r="H70" s="1965"/>
      <c r="I70" s="1965"/>
      <c r="J70" s="1965"/>
    </row>
    <row r="71" spans="1:10" x14ac:dyDescent="0.25">
      <c r="A71" s="3"/>
      <c r="B71" s="1943" t="str">
        <f>Translations!$B$56</f>
        <v>EU-webbplatser:</v>
      </c>
      <c r="C71" s="1963"/>
      <c r="D71" s="1963"/>
      <c r="E71" s="1963"/>
      <c r="F71" s="1963"/>
      <c r="G71" s="1963"/>
      <c r="H71" s="1963"/>
      <c r="I71" s="1963"/>
      <c r="J71" s="1963"/>
    </row>
    <row r="72" spans="1:10" x14ac:dyDescent="0.25">
      <c r="A72" s="3"/>
      <c r="B72" s="1964" t="str">
        <f>Translations!$B$57</f>
        <v>EU-lagstiftning:</v>
      </c>
      <c r="C72" s="1964"/>
      <c r="D72" s="1989" t="str">
        <f>Translations!$B$58</f>
        <v xml:space="preserve">http://eur-lex.europa.eu/sv/index.htm </v>
      </c>
      <c r="E72" s="1963"/>
      <c r="F72" s="1963"/>
      <c r="G72" s="1963"/>
      <c r="H72" s="1963"/>
      <c r="I72" s="1963"/>
      <c r="J72" s="1963"/>
    </row>
    <row r="73" spans="1:10" x14ac:dyDescent="0.25">
      <c r="A73" s="3"/>
      <c r="B73" s="1964" t="str">
        <f>Translations!$B$59</f>
        <v>Allmänt om ETS-systemet:</v>
      </c>
      <c r="C73" s="1964"/>
      <c r="D73" s="1989" t="str">
        <f>Translations!$B$60</f>
        <v>http://ec.europa.eu/clima/policies/ets/index_sv.htm</v>
      </c>
      <c r="E73" s="1963"/>
      <c r="F73" s="1963"/>
      <c r="G73" s="1963"/>
      <c r="H73" s="1963"/>
      <c r="I73" s="1963"/>
      <c r="J73" s="1963"/>
    </row>
    <row r="74" spans="1:10" x14ac:dyDescent="0.25">
      <c r="A74" s="3"/>
      <c r="B74" s="3"/>
      <c r="C74" s="229"/>
      <c r="D74" s="3"/>
      <c r="E74" s="3"/>
      <c r="F74" s="3"/>
      <c r="G74" s="3"/>
      <c r="H74" s="3"/>
      <c r="I74" s="3"/>
      <c r="J74" s="3"/>
    </row>
    <row r="75" spans="1:10" x14ac:dyDescent="0.25">
      <c r="A75" s="3"/>
      <c r="B75" s="1943" t="str">
        <f>Translations!$B$61</f>
        <v>Övriga webbplatser:</v>
      </c>
      <c r="C75" s="1963"/>
      <c r="D75" s="1963"/>
      <c r="E75" s="1963"/>
      <c r="F75" s="1963"/>
      <c r="G75" s="1963"/>
      <c r="H75" s="1963"/>
      <c r="I75" s="1963"/>
      <c r="J75" s="1963"/>
    </row>
    <row r="76" spans="1:10" x14ac:dyDescent="0.25">
      <c r="A76" s="3"/>
      <c r="B76" s="1988" t="str">
        <f>Translations!$B$62</f>
        <v>https://www.naturvardsverket.se/Stod-i-miljoarbetet/Vagledningar/Utslappshandel---vagledningar/Gratis-tilldelning-2021-2030/Lamna-in-handlingar/</v>
      </c>
      <c r="C76" s="1988"/>
      <c r="D76" s="1988"/>
      <c r="E76" s="1988"/>
      <c r="F76" s="1988"/>
      <c r="G76" s="1988"/>
      <c r="H76" s="1988"/>
      <c r="I76" s="1988"/>
      <c r="J76" s="1988"/>
    </row>
    <row r="77" spans="1:10" x14ac:dyDescent="0.25">
      <c r="A77" s="3"/>
      <c r="B77" s="1988"/>
      <c r="C77" s="1988"/>
      <c r="D77" s="1988"/>
      <c r="E77" s="1988"/>
      <c r="F77" s="1988"/>
      <c r="G77" s="1988"/>
      <c r="H77" s="1988"/>
      <c r="I77" s="1988"/>
      <c r="J77" s="1988"/>
    </row>
    <row r="78" spans="1:10" x14ac:dyDescent="0.25">
      <c r="A78" s="3"/>
      <c r="B78" s="1964" t="str">
        <f>Translations!$B$63</f>
        <v>Hjälpcentral:</v>
      </c>
      <c r="C78" s="1964"/>
      <c r="D78" s="1964"/>
      <c r="E78" s="1964"/>
      <c r="F78" s="1964"/>
      <c r="G78" s="1964"/>
      <c r="H78" s="1964"/>
      <c r="I78" s="1964"/>
      <c r="J78" s="1964"/>
    </row>
    <row r="79" spans="1:10" x14ac:dyDescent="0.25">
      <c r="A79" s="3"/>
      <c r="B79" s="1988" t="str">
        <f>Translations!$B$64</f>
        <v>EUETS@naturvardsverket.se</v>
      </c>
      <c r="C79" s="1988"/>
      <c r="D79" s="1988"/>
      <c r="E79" s="1988"/>
      <c r="F79" s="1988"/>
      <c r="G79" s="1988"/>
      <c r="H79" s="1988"/>
      <c r="I79" s="1988"/>
      <c r="J79" s="1988"/>
    </row>
    <row r="80" spans="1:10" x14ac:dyDescent="0.25">
      <c r="A80" s="3"/>
      <c r="B80" s="1988"/>
      <c r="C80" s="1988"/>
      <c r="D80" s="1988"/>
      <c r="E80" s="1988"/>
      <c r="F80" s="1988"/>
      <c r="G80" s="1988"/>
      <c r="H80" s="1988"/>
      <c r="I80" s="1988"/>
      <c r="J80" s="1988"/>
    </row>
    <row r="81" spans="1:10" x14ac:dyDescent="0.25">
      <c r="A81" s="3"/>
      <c r="B81" s="3"/>
      <c r="C81" s="3"/>
      <c r="D81" s="3"/>
      <c r="E81" s="3"/>
      <c r="F81" s="3"/>
      <c r="G81" s="3"/>
      <c r="H81" s="3"/>
      <c r="I81" s="3"/>
      <c r="J81" s="3"/>
    </row>
    <row r="82" spans="1:10" s="764" customFormat="1" x14ac:dyDescent="0.25">
      <c r="A82" s="178"/>
      <c r="B82" s="178"/>
      <c r="C82" s="178"/>
      <c r="D82" s="178"/>
      <c r="E82" s="178"/>
      <c r="F82" s="178"/>
      <c r="G82" s="178"/>
      <c r="H82" s="178"/>
      <c r="I82" s="178"/>
      <c r="J82" s="178"/>
    </row>
    <row r="83" spans="1:10" ht="15.5" x14ac:dyDescent="0.25">
      <c r="A83" s="3"/>
      <c r="B83" s="1990" t="str">
        <f>Translations!$B$65</f>
        <v>Ytterligare riktlinjer från medlemsstaten:</v>
      </c>
      <c r="C83" s="1990"/>
      <c r="D83" s="1990"/>
      <c r="E83" s="1990"/>
      <c r="F83" s="1990"/>
      <c r="G83" s="1990"/>
      <c r="H83" s="1990"/>
      <c r="I83" s="1990"/>
      <c r="J83" s="1990"/>
    </row>
    <row r="84" spans="1:10" x14ac:dyDescent="0.25">
      <c r="A84" s="3"/>
      <c r="B84" s="1988"/>
      <c r="C84" s="1988"/>
      <c r="D84" s="1988"/>
      <c r="E84" s="1988"/>
      <c r="F84" s="1988"/>
      <c r="G84" s="1988"/>
      <c r="H84" s="1988"/>
      <c r="I84" s="1988"/>
      <c r="J84" s="1988"/>
    </row>
    <row r="85" spans="1:10" x14ac:dyDescent="0.25">
      <c r="A85" s="3"/>
      <c r="B85" s="1988"/>
      <c r="C85" s="1988"/>
      <c r="D85" s="1988"/>
      <c r="E85" s="1988"/>
      <c r="F85" s="1988"/>
      <c r="G85" s="1988"/>
      <c r="H85" s="1988"/>
      <c r="I85" s="1988"/>
      <c r="J85" s="1988"/>
    </row>
    <row r="86" spans="1:10" x14ac:dyDescent="0.25">
      <c r="A86" s="3"/>
      <c r="B86" s="1988"/>
      <c r="C86" s="1988"/>
      <c r="D86" s="1988"/>
      <c r="E86" s="1988"/>
      <c r="F86" s="1988"/>
      <c r="G86" s="1988"/>
      <c r="H86" s="1988"/>
      <c r="I86" s="1988"/>
      <c r="J86" s="1988"/>
    </row>
    <row r="87" spans="1:10" x14ac:dyDescent="0.25">
      <c r="A87" s="3"/>
      <c r="B87" s="1988"/>
      <c r="C87" s="1988"/>
      <c r="D87" s="1988"/>
      <c r="E87" s="1988"/>
      <c r="F87" s="1988"/>
      <c r="G87" s="1988"/>
      <c r="H87" s="1988"/>
      <c r="I87" s="1988"/>
      <c r="J87" s="1988"/>
    </row>
    <row r="88" spans="1:10" x14ac:dyDescent="0.25">
      <c r="A88" s="3"/>
      <c r="B88" s="1988"/>
      <c r="C88" s="1988"/>
      <c r="D88" s="1988"/>
      <c r="E88" s="1988"/>
      <c r="F88" s="1988"/>
      <c r="G88" s="1988"/>
      <c r="H88" s="1988"/>
      <c r="I88" s="1988"/>
      <c r="J88" s="1988"/>
    </row>
    <row r="89" spans="1:10" x14ac:dyDescent="0.25">
      <c r="A89" s="3"/>
      <c r="B89" s="1988"/>
      <c r="C89" s="1988"/>
      <c r="D89" s="1988"/>
      <c r="E89" s="1988"/>
      <c r="F89" s="1988"/>
      <c r="G89" s="1988"/>
      <c r="H89" s="1988"/>
      <c r="I89" s="1988"/>
      <c r="J89" s="1988"/>
    </row>
    <row r="90" spans="1:10" x14ac:dyDescent="0.25">
      <c r="A90" s="3"/>
      <c r="B90" s="1988"/>
      <c r="C90" s="1988"/>
      <c r="D90" s="1988"/>
      <c r="E90" s="1988"/>
      <c r="F90" s="1988"/>
      <c r="G90" s="1988"/>
      <c r="H90" s="1988"/>
      <c r="I90" s="1988"/>
      <c r="J90" s="1988"/>
    </row>
    <row r="91" spans="1:10" x14ac:dyDescent="0.25">
      <c r="A91" s="3"/>
      <c r="B91" s="1988"/>
      <c r="C91" s="1988"/>
      <c r="D91" s="1988"/>
      <c r="E91" s="1988"/>
      <c r="F91" s="1988"/>
      <c r="G91" s="1988"/>
      <c r="H91" s="1988"/>
      <c r="I91" s="1988"/>
      <c r="J91" s="1988"/>
    </row>
    <row r="92" spans="1:10" x14ac:dyDescent="0.25">
      <c r="A92" s="3"/>
      <c r="B92" s="1988"/>
      <c r="C92" s="1988"/>
      <c r="D92" s="1988"/>
      <c r="E92" s="1988"/>
      <c r="F92" s="1988"/>
      <c r="G92" s="1988"/>
      <c r="H92" s="1988"/>
      <c r="I92" s="1988"/>
      <c r="J92" s="1988"/>
    </row>
    <row r="93" spans="1:10" x14ac:dyDescent="0.25">
      <c r="A93" s="3"/>
      <c r="B93" s="1988"/>
      <c r="C93" s="1988"/>
      <c r="D93" s="1988"/>
      <c r="E93" s="1988"/>
      <c r="F93" s="1988"/>
      <c r="G93" s="1988"/>
      <c r="H93" s="1988"/>
      <c r="I93" s="1988"/>
      <c r="J93" s="1988"/>
    </row>
    <row r="94" spans="1:10" x14ac:dyDescent="0.25">
      <c r="A94" s="3"/>
      <c r="B94" s="1988"/>
      <c r="C94" s="1988"/>
      <c r="D94" s="1988"/>
      <c r="E94" s="1988"/>
      <c r="F94" s="1988"/>
      <c r="G94" s="1988"/>
      <c r="H94" s="1988"/>
      <c r="I94" s="1988"/>
      <c r="J94" s="1988"/>
    </row>
    <row r="95" spans="1:10" x14ac:dyDescent="0.25">
      <c r="A95" s="3"/>
      <c r="B95" s="1988"/>
      <c r="C95" s="1988"/>
      <c r="D95" s="1988"/>
      <c r="E95" s="1988"/>
      <c r="F95" s="1988"/>
      <c r="G95" s="1988"/>
      <c r="H95" s="1988"/>
      <c r="I95" s="1988"/>
      <c r="J95" s="1988"/>
    </row>
    <row r="96" spans="1:10" x14ac:dyDescent="0.25">
      <c r="A96" s="3"/>
      <c r="B96" s="3"/>
      <c r="C96" s="3"/>
      <c r="D96" s="3"/>
      <c r="E96" s="3"/>
      <c r="F96" s="3"/>
      <c r="G96" s="3"/>
      <c r="H96" s="3"/>
      <c r="I96" s="3"/>
      <c r="J96" s="3"/>
    </row>
    <row r="97" spans="1:10" x14ac:dyDescent="0.25">
      <c r="A97" s="3"/>
      <c r="B97" s="1991" t="str">
        <f>Translations!$B$66</f>
        <v xml:space="preserve">&lt;&lt;&lt; Klicka här för att gå vidare till nästa blad &gt;&gt;&gt; </v>
      </c>
      <c r="C97" s="1991"/>
      <c r="D97" s="1991"/>
      <c r="E97" s="1991"/>
      <c r="F97" s="1991"/>
      <c r="G97" s="1991"/>
      <c r="H97" s="1991"/>
      <c r="I97" s="1991"/>
      <c r="J97" s="1991"/>
    </row>
  </sheetData>
  <sheetProtection sheet="1" objects="1" scenarios="1" formatCells="0" formatColumns="0" formatRows="0"/>
  <mergeCells count="96">
    <mergeCell ref="B15:J15"/>
    <mergeCell ref="B50:J50"/>
    <mergeCell ref="D32:J32"/>
    <mergeCell ref="B5:J5"/>
    <mergeCell ref="B6:J6"/>
    <mergeCell ref="D40:J40"/>
    <mergeCell ref="B25:J25"/>
    <mergeCell ref="B18:J18"/>
    <mergeCell ref="B23:J23"/>
    <mergeCell ref="B17:J17"/>
    <mergeCell ref="B11:J11"/>
    <mergeCell ref="B10:J10"/>
    <mergeCell ref="B14:J14"/>
    <mergeCell ref="B26:J26"/>
    <mergeCell ref="B27:J27"/>
    <mergeCell ref="B41:C41"/>
    <mergeCell ref="B42:C42"/>
    <mergeCell ref="B36:C36"/>
    <mergeCell ref="D39:J39"/>
    <mergeCell ref="D45:J45"/>
    <mergeCell ref="D46:J46"/>
    <mergeCell ref="B39:C39"/>
    <mergeCell ref="D41:J41"/>
    <mergeCell ref="D1:E1"/>
    <mergeCell ref="F1:G1"/>
    <mergeCell ref="H1:I1"/>
    <mergeCell ref="B35:C35"/>
    <mergeCell ref="B24:J24"/>
    <mergeCell ref="B9:J9"/>
    <mergeCell ref="B7:J7"/>
    <mergeCell ref="B20:J20"/>
    <mergeCell ref="B22:J22"/>
    <mergeCell ref="B16:J16"/>
    <mergeCell ref="B13:J13"/>
    <mergeCell ref="F2:G2"/>
    <mergeCell ref="B34:J34"/>
    <mergeCell ref="D29:J29"/>
    <mergeCell ref="D30:J30"/>
    <mergeCell ref="D31:J31"/>
    <mergeCell ref="B97:J97"/>
    <mergeCell ref="A1:A3"/>
    <mergeCell ref="H2:I2"/>
    <mergeCell ref="D3:E3"/>
    <mergeCell ref="F3:G3"/>
    <mergeCell ref="H3:I3"/>
    <mergeCell ref="B2:C2"/>
    <mergeCell ref="D2:E2"/>
    <mergeCell ref="B3:C3"/>
    <mergeCell ref="B12:J12"/>
    <mergeCell ref="B79:J79"/>
    <mergeCell ref="B80:J80"/>
    <mergeCell ref="B75:J75"/>
    <mergeCell ref="B78:J78"/>
    <mergeCell ref="B72:C72"/>
    <mergeCell ref="D38:J38"/>
    <mergeCell ref="B84:J84"/>
    <mergeCell ref="B85:J85"/>
    <mergeCell ref="B86:J86"/>
    <mergeCell ref="B87:J87"/>
    <mergeCell ref="B73:C73"/>
    <mergeCell ref="D72:J72"/>
    <mergeCell ref="D73:J73"/>
    <mergeCell ref="B83:J83"/>
    <mergeCell ref="B76:J76"/>
    <mergeCell ref="B77:J77"/>
    <mergeCell ref="B92:J92"/>
    <mergeCell ref="B93:J93"/>
    <mergeCell ref="B94:J94"/>
    <mergeCell ref="B95:J95"/>
    <mergeCell ref="B88:J88"/>
    <mergeCell ref="B89:J89"/>
    <mergeCell ref="B90:J90"/>
    <mergeCell ref="B91:J91"/>
    <mergeCell ref="B51:J51"/>
    <mergeCell ref="D37:J37"/>
    <mergeCell ref="D36:J36"/>
    <mergeCell ref="D35:J35"/>
    <mergeCell ref="D42:J42"/>
    <mergeCell ref="B43:C43"/>
    <mergeCell ref="B44:C44"/>
    <mergeCell ref="D43:J43"/>
    <mergeCell ref="D44:J44"/>
    <mergeCell ref="B49:J49"/>
    <mergeCell ref="B45:C45"/>
    <mergeCell ref="B46:C46"/>
    <mergeCell ref="B48:J48"/>
    <mergeCell ref="B40:C40"/>
    <mergeCell ref="B37:C37"/>
    <mergeCell ref="B38:C38"/>
    <mergeCell ref="B52:J52"/>
    <mergeCell ref="B53:J53"/>
    <mergeCell ref="B71:J71"/>
    <mergeCell ref="B58:J58"/>
    <mergeCell ref="B70:J70"/>
    <mergeCell ref="D60:G67"/>
    <mergeCell ref="B56:J56"/>
  </mergeCells>
  <phoneticPr fontId="7" type="noConversion"/>
  <conditionalFormatting sqref="B42">
    <cfRule type="expression" dxfId="828" priority="1" stopIfTrue="1">
      <formula>S42</formula>
    </cfRule>
  </conditionalFormatting>
  <hyperlinks>
    <hyperlink ref="D72" r:id="rId1" display="http://eur-lex.europa.eu/en/index.htm " xr:uid="{B3E57EA8-2608-49AB-9E1A-C6D38F1C7AA8}"/>
    <hyperlink ref="D73" r:id="rId2" display="http://ec.europa.eu/clima/policies/ets/index_en.htm" xr:uid="{44E52D37-B24C-484E-A4A8-B12C056E8AA2}"/>
    <hyperlink ref="B10:J10" r:id="rId3" display="http://ec.europa.eu/clima/documentation/ets/docs/decision_benchmarking_15_dec_en.pdf. " xr:uid="{03C396B5-EACC-49FB-BF53-DC9831B532A5}"/>
    <hyperlink ref="B10" r:id="rId4" display="https://eur-lex.europa.eu/eli/dir/2003/87/2018-04-08" xr:uid="{D8A6A4B5-1EA3-4331-8B13-2C954F916C2D}"/>
    <hyperlink ref="D1:E1" location="JUMP_TOC_Home" display="Table of contents" xr:uid="{638D6D69-848D-406D-86AD-461B5D9CC8C8}"/>
    <hyperlink ref="J1" location="JUMP_K_I" display="Summary" xr:uid="{434482BA-00C5-441E-873B-34E3F721A96A}"/>
    <hyperlink ref="B97:J97" location="JUMP_A_I" display="&lt;&lt;&lt; Click here to proceed to next sheet &gt;&gt;&gt; " xr:uid="{2158FD09-90B4-4173-B45E-63548336E58D}"/>
    <hyperlink ref="B2:C2" location="JUMP_Guidelines_Home" display="Top of sheet" xr:uid="{5A4833CE-C0F1-4BB1-8528-B8F0E6FB35AD}"/>
    <hyperlink ref="B3:C3" location="JUMP_Guidelines_Bottom" display="End of sheet" xr:uid="{3A539B9B-99E4-4AA5-9F46-6762ACE609F9}"/>
    <hyperlink ref="F1:G1" location="JUMP_TOC_Home" display="Previous sheet" xr:uid="{03C58D9D-253C-409E-908C-54167F19AFD7}"/>
    <hyperlink ref="H1:I1" location="JUMP_A_I" display="Next sheet" xr:uid="{36DE99A9-6374-4EFF-B501-B35C7DB86453}"/>
    <hyperlink ref="B12" r:id="rId5" display="https://ec.europa.eu/info/law/better-regulation/initiatives/ares-2018-5486983_en" xr:uid="{D008E1F5-B7B4-4BE3-8F62-7C04E12A710D}"/>
    <hyperlink ref="B12:J12" r:id="rId6" display="http://data.europa.eu/eli/reg_del/2019/331/oj" xr:uid="{C2A1074B-6F77-49EE-90B9-82ADC6223391}"/>
    <hyperlink ref="B14" r:id="rId7" display="https://eur-lex.europa.eu/eli/reg_impl/2019/1842/oj" xr:uid="{869757F9-D959-4237-9914-04714EF18097}"/>
    <hyperlink ref="B14:J14" r:id="rId8" display="https://eur-lex.europa.eu/eli/reg_impl/2019/1842/oj" xr:uid="{A69027E9-9EF0-42BD-9931-805602E7CCBC}"/>
  </hyperlinks>
  <pageMargins left="0.78740157480314965" right="0.78740157480314965" top="0.78740157480314965" bottom="0.78740157480314965" header="0.39370078740157483" footer="0.39370078740157483"/>
  <pageSetup paperSize="9" scale="64" fitToHeight="2" orientation="portrait" r:id="rId9"/>
  <headerFooter alignWithMargins="0">
    <oddHeader>&amp;L&amp;F; &amp;A&amp;R&amp;D; &amp;T</oddHeader>
    <oddFooter>&amp;C&amp;P / &amp;N</oddFooter>
  </headerFooter>
  <rowBreaks count="1" manualBreakCount="1">
    <brk id="69" max="10"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7AA18-BC98-4DA0-B0FF-8CE71FCB6070}">
  <sheetPr codeName="Tabelle4"/>
  <dimension ref="A1:P1457"/>
  <sheetViews>
    <sheetView zoomScaleNormal="100" zoomScaleSheetLayoutView="115" workbookViewId="0">
      <pane ySplit="1" topLeftCell="A2" activePane="bottomLeft" state="frozen"/>
      <selection activeCell="B2" sqref="B2"/>
      <selection pane="bottomLeft" activeCell="B2" sqref="B2"/>
    </sheetView>
  </sheetViews>
  <sheetFormatPr defaultColWidth="11.453125" defaultRowHeight="12.5" x14ac:dyDescent="0.25"/>
  <cols>
    <col min="1" max="1" width="1.7265625" style="1622" hidden="1" customWidth="1"/>
    <col min="2" max="2" width="2.7265625" style="1607" customWidth="1"/>
    <col min="3" max="4" width="4.7265625" style="1607" customWidth="1"/>
    <col min="5" max="14" width="12.7265625" style="1607" customWidth="1"/>
    <col min="15" max="15" width="4.7265625" style="1607" customWidth="1"/>
    <col min="16" max="16" width="11.453125" style="1622" hidden="1" customWidth="1"/>
    <col min="17" max="16384" width="11.453125" style="1607"/>
  </cols>
  <sheetData>
    <row r="1" spans="1:16" s="1622" customFormat="1" hidden="1" x14ac:dyDescent="0.25">
      <c r="A1" s="1622" t="s">
        <v>346</v>
      </c>
      <c r="P1" s="1622" t="str">
        <f>"ausblenden"</f>
        <v>ausblenden</v>
      </c>
    </row>
    <row r="2" spans="1:16" ht="13" thickBot="1" x14ac:dyDescent="0.3">
      <c r="B2" s="3"/>
      <c r="C2" s="4"/>
      <c r="D2" s="3"/>
      <c r="E2" s="3"/>
      <c r="F2" s="5"/>
      <c r="G2" s="5"/>
      <c r="H2" s="5"/>
      <c r="I2" s="3"/>
      <c r="J2" s="3"/>
      <c r="K2" s="3"/>
      <c r="L2" s="3"/>
      <c r="M2" s="6"/>
      <c r="N2" s="6"/>
    </row>
    <row r="3" spans="1:16" ht="5.15" customHeight="1" x14ac:dyDescent="0.25">
      <c r="B3" s="3"/>
      <c r="C3" s="3"/>
      <c r="D3" s="140"/>
      <c r="E3" s="139"/>
      <c r="F3" s="139"/>
      <c r="G3" s="139"/>
      <c r="H3" s="139"/>
      <c r="I3" s="139"/>
      <c r="J3" s="139"/>
      <c r="K3" s="139"/>
      <c r="L3" s="139"/>
      <c r="M3" s="138"/>
      <c r="N3" s="895"/>
    </row>
    <row r="4" spans="1:16" ht="12.75" customHeight="1" x14ac:dyDescent="0.25">
      <c r="B4" s="3"/>
      <c r="C4" s="3"/>
      <c r="D4" s="136"/>
      <c r="E4" s="2165" t="str">
        <f>Translations!$B$1344</f>
        <v>Detta blad har samma struktur som bladet "K_Summary" i referensdatarapporten för nationella genomförandeåtgärder (NIMs) och innehåller länkar till en tom mall.</v>
      </c>
      <c r="F4" s="2165"/>
      <c r="G4" s="2165"/>
      <c r="H4" s="2165"/>
      <c r="I4" s="2165"/>
      <c r="J4" s="2165"/>
      <c r="K4" s="2165"/>
      <c r="L4" s="2165"/>
      <c r="M4" s="2165"/>
      <c r="N4" s="2166"/>
    </row>
    <row r="5" spans="1:16" s="533" customFormat="1" ht="84" customHeight="1" x14ac:dyDescent="0.25">
      <c r="A5" s="349"/>
      <c r="B5" s="3"/>
      <c r="C5" s="3"/>
      <c r="D5" s="965"/>
      <c r="E5" s="486"/>
      <c r="F5" s="1785"/>
      <c r="G5" s="1785"/>
      <c r="H5" s="2170"/>
      <c r="I5" s="2170"/>
      <c r="J5" s="2170"/>
      <c r="K5" s="2170"/>
      <c r="L5" s="1785"/>
      <c r="M5" s="1785"/>
      <c r="N5" s="1786"/>
      <c r="O5" s="1748"/>
      <c r="P5" s="349"/>
    </row>
    <row r="6" spans="1:16" s="533" customFormat="1" ht="25.5" customHeight="1" x14ac:dyDescent="0.25">
      <c r="A6" s="349"/>
      <c r="B6" s="3"/>
      <c r="C6" s="3"/>
      <c r="D6" s="965"/>
      <c r="E6" s="486" t="str">
        <f>Translations!$B$1345</f>
        <v>Steg 1</v>
      </c>
      <c r="F6" s="2075" t="str">
        <f>Translations!$B$1346</f>
        <v>För att hämta data från referensdatarapportfilen som innehåller NIMs-data ändrar du filreferensen via funktionen ”Redigera länkar” på fliken ”Data” i aktivitetsfältet i Excel.</v>
      </c>
      <c r="G6" s="2075"/>
      <c r="H6" s="2075"/>
      <c r="I6" s="2075"/>
      <c r="J6" s="2075"/>
      <c r="K6" s="2075"/>
      <c r="L6" s="2075"/>
      <c r="M6" s="2075"/>
      <c r="N6" s="2171"/>
      <c r="O6" s="1748"/>
      <c r="P6" s="349"/>
    </row>
    <row r="7" spans="1:16" x14ac:dyDescent="0.25">
      <c r="B7" s="3"/>
      <c r="C7" s="3"/>
      <c r="D7" s="136"/>
      <c r="E7" s="486" t="str">
        <f>Translations!$B$1347</f>
        <v>Steg 2</v>
      </c>
      <c r="F7" s="2075" t="str">
        <f>Translations!$B$1348</f>
        <v>Välj ”Redigera länkar” under gruppen ”Anslutning” eller ”Frågor och anslutningar”, beroende på vilken version av Excel du använder.</v>
      </c>
      <c r="G7" s="2075"/>
      <c r="H7" s="2075"/>
      <c r="I7" s="2075"/>
      <c r="J7" s="2075"/>
      <c r="K7" s="2075"/>
      <c r="L7" s="2075"/>
      <c r="M7" s="2075"/>
      <c r="N7" s="2171"/>
    </row>
    <row r="8" spans="1:16" x14ac:dyDescent="0.25">
      <c r="B8" s="3"/>
      <c r="C8" s="3"/>
      <c r="D8" s="136"/>
      <c r="E8" s="486" t="str">
        <f>Translations!$B$1349</f>
        <v>Steg 3</v>
      </c>
      <c r="F8" s="2075" t="str">
        <f>Translations!$B$1350</f>
        <v>I dialogrutan som öppnas väljer du länken till den tomma mallen och klickar sedan på ”Ändra källa”.</v>
      </c>
      <c r="G8" s="2075"/>
      <c r="H8" s="2075"/>
      <c r="I8" s="2075"/>
      <c r="J8" s="2075"/>
      <c r="K8" s="2075"/>
      <c r="L8" s="2075"/>
      <c r="M8" s="2075"/>
      <c r="N8" s="2171"/>
    </row>
    <row r="9" spans="1:16" s="533" customFormat="1" ht="12.75" customHeight="1" x14ac:dyDescent="0.25">
      <c r="A9" s="349"/>
      <c r="B9" s="3"/>
      <c r="C9" s="3"/>
      <c r="D9" s="965"/>
      <c r="E9" s="486"/>
      <c r="F9" s="2168" t="str">
        <f>Translations!$B$1351</f>
        <v>Observera att detta endast fungerar när det aktuella bladet är aktivt. Om du försöker göra detta från något annat blad kommer knappen ”Ändra källa” att vara inaktiv.</v>
      </c>
      <c r="G9" s="2168"/>
      <c r="H9" s="2168"/>
      <c r="I9" s="2168"/>
      <c r="J9" s="2168"/>
      <c r="K9" s="2168"/>
      <c r="L9" s="2168"/>
      <c r="M9" s="2168"/>
      <c r="N9" s="2169"/>
      <c r="O9" s="1748"/>
      <c r="P9" s="349"/>
    </row>
    <row r="10" spans="1:16" x14ac:dyDescent="0.25">
      <c r="B10" s="3"/>
      <c r="C10" s="3"/>
      <c r="D10" s="136"/>
      <c r="E10" s="486" t="str">
        <f>Translations!$B$1352</f>
        <v>Steg 4</v>
      </c>
      <c r="F10" s="2075" t="str">
        <f>Translations!$B$1353</f>
        <v>Välj din referensdatarapportfil för NIMs i dialogrutan och klicka på OK. Observera att det kan ta några sekunder att uppdatera alla länkade celler.</v>
      </c>
      <c r="G10" s="2075"/>
      <c r="H10" s="2075"/>
      <c r="I10" s="2075"/>
      <c r="J10" s="2075"/>
      <c r="K10" s="2075"/>
      <c r="L10" s="2075"/>
      <c r="M10" s="2075"/>
      <c r="N10" s="2171"/>
    </row>
    <row r="11" spans="1:16" s="533" customFormat="1" ht="12.75" customHeight="1" x14ac:dyDescent="0.25">
      <c r="A11" s="349"/>
      <c r="B11" s="3"/>
      <c r="C11" s="3"/>
      <c r="D11" s="965"/>
      <c r="E11" s="486" t="str">
        <f>Translations!$B$1354</f>
        <v>Steg 5</v>
      </c>
      <c r="F11" s="2075" t="str">
        <f>Translations!$B$1355</f>
        <v>(valfritt) Du kan nu klicka på ”bryt länk” i dialogrutan. Därmed tas alla externa filer bort och ersätts med värden.</v>
      </c>
      <c r="G11" s="2075"/>
      <c r="H11" s="2075"/>
      <c r="I11" s="2075"/>
      <c r="J11" s="2075"/>
      <c r="K11" s="2075"/>
      <c r="L11" s="2075"/>
      <c r="M11" s="2075"/>
      <c r="N11" s="2171"/>
      <c r="O11" s="1748"/>
      <c r="P11" s="349"/>
    </row>
    <row r="12" spans="1:16" s="533" customFormat="1" ht="12.75" customHeight="1" x14ac:dyDescent="0.25">
      <c r="A12" s="349"/>
      <c r="B12" s="3"/>
      <c r="C12" s="3"/>
      <c r="D12" s="965"/>
      <c r="E12" s="486"/>
      <c r="F12" s="2075" t="str">
        <f>Translations!$B$1356</f>
        <v>Observera att de föregående stegen inte längre kan upprepas om du gör detta.</v>
      </c>
      <c r="G12" s="2075"/>
      <c r="H12" s="2075"/>
      <c r="I12" s="2075"/>
      <c r="J12" s="2075"/>
      <c r="K12" s="2075"/>
      <c r="L12" s="2075"/>
      <c r="M12" s="2075"/>
      <c r="N12" s="2171"/>
      <c r="O12" s="1748"/>
      <c r="P12" s="349"/>
    </row>
    <row r="13" spans="1:16" s="533" customFormat="1" ht="12.75" customHeight="1" x14ac:dyDescent="0.25">
      <c r="A13" s="349"/>
      <c r="B13" s="3"/>
      <c r="C13" s="3"/>
      <c r="D13" s="965"/>
      <c r="E13" s="486" t="str">
        <f>Translations!$B$1357</f>
        <v>Steg 6</v>
      </c>
      <c r="F13" s="2075" t="str">
        <f>Translations!$B$1358</f>
        <v>Stäng dialogrutan ”Redigera länkar”.</v>
      </c>
      <c r="G13" s="2075"/>
      <c r="H13" s="2075"/>
      <c r="I13" s="2075"/>
      <c r="J13" s="2075"/>
      <c r="K13" s="2075"/>
      <c r="L13" s="2075"/>
      <c r="M13" s="2075"/>
      <c r="N13" s="2171"/>
      <c r="O13" s="1748"/>
      <c r="P13" s="349"/>
    </row>
    <row r="14" spans="1:16" ht="12.75" customHeight="1" x14ac:dyDescent="0.25">
      <c r="B14" s="3"/>
      <c r="C14" s="3"/>
      <c r="D14" s="136"/>
      <c r="E14" s="486"/>
      <c r="F14" s="2172" t="str">
        <f>Translations!$B$1359</f>
        <v>Nu bör du se NIMs-data nedan i det här bladet och kan återgå till avsnitt A.II och fortsätta.</v>
      </c>
      <c r="G14" s="2172"/>
      <c r="H14" s="2172"/>
      <c r="I14" s="2172"/>
      <c r="J14" s="2172"/>
      <c r="K14" s="2172"/>
      <c r="L14" s="2172"/>
      <c r="M14" s="2172"/>
      <c r="N14" s="2173"/>
    </row>
    <row r="15" spans="1:16" ht="13" x14ac:dyDescent="0.3">
      <c r="B15" s="3"/>
      <c r="C15" s="3"/>
      <c r="D15" s="136"/>
      <c r="E15" s="1629"/>
      <c r="F15" s="2167" t="str">
        <f>Translations!$B$1360</f>
        <v>OBS! UTFÖR INGA manuella ändringar i någon av nedanstående celler i det här bladet.</v>
      </c>
      <c r="G15" s="2167"/>
      <c r="H15" s="2167"/>
      <c r="I15" s="2167"/>
      <c r="J15" s="2167"/>
      <c r="K15" s="2167"/>
      <c r="L15" s="2167"/>
      <c r="M15" s="2167"/>
      <c r="N15" s="1630"/>
    </row>
    <row r="16" spans="1:16" ht="5.15" customHeight="1" thickBot="1" x14ac:dyDescent="0.3">
      <c r="B16" s="3"/>
      <c r="C16" s="3"/>
      <c r="D16" s="135"/>
      <c r="E16" s="134"/>
      <c r="F16" s="134"/>
      <c r="G16" s="134"/>
      <c r="H16" s="134"/>
      <c r="I16" s="134"/>
      <c r="J16" s="134"/>
      <c r="K16" s="134"/>
      <c r="L16" s="134"/>
      <c r="M16" s="133"/>
      <c r="N16" s="897"/>
    </row>
    <row r="17" spans="2:14" x14ac:dyDescent="0.25">
      <c r="B17" s="3"/>
      <c r="C17" s="3"/>
      <c r="D17" s="3"/>
      <c r="E17" s="3"/>
      <c r="F17" s="3"/>
      <c r="G17" s="3"/>
      <c r="H17" s="3"/>
      <c r="I17" s="3"/>
      <c r="J17" s="3"/>
      <c r="K17" s="3"/>
      <c r="L17" s="3"/>
      <c r="M17" s="6"/>
      <c r="N17" s="6"/>
    </row>
    <row r="18" spans="2:14" ht="15.5" x14ac:dyDescent="0.35">
      <c r="B18" s="3"/>
      <c r="C18" s="11" t="s">
        <v>1108</v>
      </c>
      <c r="D18" s="12" t="str">
        <f>Translations!$B$952</f>
        <v>Uppgifter om anläggningen</v>
      </c>
      <c r="E18" s="12"/>
      <c r="F18" s="12"/>
      <c r="G18" s="12"/>
      <c r="H18" s="12"/>
      <c r="I18" s="12"/>
      <c r="J18" s="12"/>
      <c r="K18" s="12"/>
      <c r="L18" s="12"/>
      <c r="M18" s="12"/>
      <c r="N18" s="12"/>
    </row>
    <row r="19" spans="2:14" ht="5.15" customHeight="1" x14ac:dyDescent="0.25">
      <c r="B19" s="3"/>
      <c r="C19" s="3"/>
      <c r="D19" s="3"/>
      <c r="E19" s="3"/>
      <c r="F19" s="3"/>
      <c r="G19" s="3"/>
      <c r="H19" s="3"/>
      <c r="I19" s="3"/>
      <c r="J19" s="3"/>
      <c r="K19" s="3"/>
      <c r="L19" s="3"/>
      <c r="M19" s="6"/>
      <c r="N19" s="6"/>
    </row>
    <row r="20" spans="2:14" ht="15" customHeight="1" x14ac:dyDescent="0.3">
      <c r="B20" s="15"/>
      <c r="C20" s="17">
        <v>1</v>
      </c>
      <c r="D20" s="2053" t="str">
        <f>Translations!$B$958</f>
        <v>Allmän information (avsnitt A.I):</v>
      </c>
      <c r="E20" s="1963"/>
      <c r="F20" s="1963"/>
      <c r="G20" s="1963"/>
      <c r="H20" s="1963"/>
      <c r="I20" s="1963"/>
      <c r="J20" s="1963"/>
      <c r="K20" s="1963"/>
      <c r="L20" s="1963"/>
      <c r="M20" s="1963"/>
      <c r="N20" s="1963"/>
    </row>
    <row r="21" spans="2:14" ht="5.15" customHeight="1" x14ac:dyDescent="0.25">
      <c r="B21" s="15"/>
      <c r="C21" s="15"/>
      <c r="D21" s="15"/>
      <c r="E21" s="289"/>
      <c r="F21" s="289"/>
      <c r="G21" s="289"/>
      <c r="H21" s="289"/>
      <c r="I21" s="289"/>
      <c r="J21" s="289"/>
      <c r="K21" s="289"/>
      <c r="L21" s="289"/>
      <c r="M21" s="289"/>
      <c r="N21" s="15"/>
    </row>
    <row r="22" spans="2:14" ht="13" x14ac:dyDescent="0.25">
      <c r="B22" s="15"/>
      <c r="C22" s="15"/>
      <c r="D22" s="15"/>
      <c r="E22" s="39" t="str">
        <f>Translations!$B$959</f>
        <v>Anläggningens identifieringsnummer:</v>
      </c>
      <c r="F22" s="289"/>
      <c r="G22" s="289"/>
      <c r="H22" s="2174" t="str">
        <f>[1]K_Summary!H12</f>
        <v/>
      </c>
      <c r="I22" s="2174"/>
      <c r="J22" s="289"/>
      <c r="K22" s="1608"/>
      <c r="L22" s="422" t="str">
        <f>Translations!$B$960</f>
        <v>Medlemsstat:</v>
      </c>
      <c r="M22" s="2057" t="str">
        <f>[1]K_Summary!M12</f>
        <v/>
      </c>
      <c r="N22" s="2175"/>
    </row>
    <row r="23" spans="2:14" ht="13" x14ac:dyDescent="0.25">
      <c r="B23" s="15"/>
      <c r="C23" s="15"/>
      <c r="D23" s="15"/>
      <c r="E23" s="39" t="str">
        <f>Translations!$B$78</f>
        <v>Anläggningens namn:</v>
      </c>
      <c r="F23" s="289"/>
      <c r="G23" s="289"/>
      <c r="H23" s="2161" t="str">
        <f>[1]K_Summary!H13</f>
        <v/>
      </c>
      <c r="I23" s="2162"/>
      <c r="J23" s="2162"/>
      <c r="K23" s="2162"/>
      <c r="L23" s="2162"/>
      <c r="M23" s="289"/>
      <c r="N23" s="15"/>
    </row>
    <row r="24" spans="2:14" ht="13" x14ac:dyDescent="0.25">
      <c r="B24" s="15"/>
      <c r="C24" s="15"/>
      <c r="D24" s="15"/>
      <c r="E24" s="39" t="str">
        <f>Translations!$B$104</f>
        <v>Verksamhetsutövarens namn:</v>
      </c>
      <c r="F24" s="289"/>
      <c r="G24" s="289"/>
      <c r="H24" s="2161" t="str">
        <f>[1]K_Summary!H14</f>
        <v/>
      </c>
      <c r="I24" s="2162"/>
      <c r="J24" s="2162"/>
      <c r="K24" s="2162"/>
      <c r="L24" s="2162"/>
      <c r="M24" s="289"/>
      <c r="N24" s="15"/>
    </row>
    <row r="25" spans="2:14" ht="13" x14ac:dyDescent="0.25">
      <c r="B25" s="15"/>
      <c r="C25" s="15"/>
      <c r="D25" s="15"/>
      <c r="E25" s="39" t="str">
        <f>Translations!$B$961</f>
        <v>Kontrollör (företag):</v>
      </c>
      <c r="F25" s="289"/>
      <c r="G25" s="289"/>
      <c r="H25" s="2161" t="str">
        <f>[1]K_Summary!H15</f>
        <v/>
      </c>
      <c r="I25" s="2162"/>
      <c r="J25" s="2162"/>
      <c r="K25" s="2162"/>
      <c r="L25" s="2162"/>
      <c r="M25" s="289"/>
      <c r="N25" s="15"/>
    </row>
    <row r="26" spans="2:14" ht="5.15" customHeight="1" x14ac:dyDescent="0.25">
      <c r="B26" s="15"/>
      <c r="C26" s="15"/>
      <c r="D26" s="15"/>
      <c r="E26" s="39"/>
      <c r="F26" s="289"/>
      <c r="G26" s="289"/>
      <c r="H26" s="184"/>
      <c r="I26" s="289"/>
      <c r="J26" s="289"/>
      <c r="K26" s="289"/>
      <c r="L26" s="289"/>
      <c r="M26" s="289"/>
      <c r="N26" s="15"/>
    </row>
    <row r="27" spans="2:14" ht="13" x14ac:dyDescent="0.25">
      <c r="B27" s="15"/>
      <c r="C27" s="15"/>
      <c r="D27" s="15"/>
      <c r="E27" s="39" t="str">
        <f>Translations!$B$962</f>
        <v>Har tidigare omfattats av ETS:</v>
      </c>
      <c r="F27" s="289"/>
      <c r="G27" s="289"/>
      <c r="H27" s="1784" t="str">
        <f>[1]K_Summary!H17</f>
        <v/>
      </c>
      <c r="I27" s="289"/>
      <c r="J27" s="289"/>
      <c r="K27" s="289"/>
      <c r="L27" s="422" t="str">
        <f>Translations!$B$963</f>
        <v>Liten utsläppskälla (artikel 27):</v>
      </c>
      <c r="M27" s="605" t="str">
        <f>[1]K_Summary!M17</f>
        <v/>
      </c>
      <c r="N27" s="15"/>
    </row>
    <row r="28" spans="2:14" ht="13" x14ac:dyDescent="0.25">
      <c r="B28" s="15"/>
      <c r="C28" s="15"/>
      <c r="D28" s="15"/>
      <c r="E28" s="39" t="str">
        <f>Translations!$B$964</f>
        <v>Befintlig anläggning:</v>
      </c>
      <c r="F28" s="289"/>
      <c r="G28" s="289"/>
      <c r="H28" s="1784" t="str">
        <f>[1]K_Summary!H18</f>
        <v/>
      </c>
      <c r="I28" s="289"/>
      <c r="J28" s="289"/>
      <c r="K28" s="289"/>
      <c r="L28" s="422" t="str">
        <f>Translations!$B$965</f>
        <v>Sjukhus:</v>
      </c>
      <c r="M28" s="605" t="str">
        <f>[1]K_Summary!M18</f>
        <v/>
      </c>
      <c r="N28" s="15"/>
    </row>
    <row r="29" spans="2:14" ht="13" x14ac:dyDescent="0.25">
      <c r="B29" s="15"/>
      <c r="C29" s="15"/>
      <c r="D29" s="15"/>
      <c r="E29" s="39" t="str">
        <f>Translations!$B$966</f>
        <v>Startdatum:</v>
      </c>
      <c r="F29" s="289"/>
      <c r="G29" s="289"/>
      <c r="H29" s="1784" t="str">
        <f>[1]K_Summary!H19</f>
        <v/>
      </c>
      <c r="I29" s="289"/>
      <c r="J29" s="289"/>
      <c r="K29" s="289"/>
      <c r="L29" s="422" t="str">
        <f>Translations!$B$967</f>
        <v>Liten utsläppskälla (artikel 27a):</v>
      </c>
      <c r="M29" s="605" t="str">
        <f>[1]K_Summary!M19</f>
        <v/>
      </c>
      <c r="N29" s="15"/>
    </row>
    <row r="30" spans="2:14" ht="13" x14ac:dyDescent="0.25">
      <c r="B30" s="15"/>
      <c r="C30" s="15"/>
      <c r="D30" s="15"/>
      <c r="E30" s="39"/>
      <c r="F30" s="289"/>
      <c r="G30" s="289"/>
      <c r="H30" s="184"/>
      <c r="I30" s="289"/>
      <c r="J30" s="289"/>
      <c r="K30" s="289"/>
      <c r="L30" s="422" t="str">
        <f>Translations!$B$968</f>
        <v>Enheter &lt; 300 h:</v>
      </c>
      <c r="M30" s="605" t="str">
        <f>[1]K_Summary!M20</f>
        <v/>
      </c>
      <c r="N30" s="15"/>
    </row>
    <row r="31" spans="2:14" ht="13" x14ac:dyDescent="0.25">
      <c r="B31" s="15"/>
      <c r="C31" s="15"/>
      <c r="D31" s="15"/>
      <c r="E31" s="39" t="str">
        <f>Translations!$B$969</f>
        <v>Nace-kod för 2010 (Nace Rev. 2):</v>
      </c>
      <c r="F31" s="289"/>
      <c r="G31" s="289"/>
      <c r="H31" s="1784" t="str">
        <f>[1]K_Summary!H21</f>
        <v/>
      </c>
      <c r="I31" s="289"/>
      <c r="J31" s="289"/>
      <c r="K31" s="289"/>
      <c r="L31" s="422" t="str">
        <f>Translations!$B$970</f>
        <v>EPRTR-ID:</v>
      </c>
      <c r="M31" s="605" t="str">
        <f>[1]K_Summary!M21</f>
        <v/>
      </c>
      <c r="N31" s="15"/>
    </row>
    <row r="32" spans="2:14" ht="5.15" customHeight="1" x14ac:dyDescent="0.25">
      <c r="B32" s="15"/>
      <c r="C32" s="15"/>
      <c r="D32" s="15"/>
      <c r="E32" s="534"/>
      <c r="F32" s="534"/>
      <c r="G32" s="534"/>
      <c r="H32" s="534"/>
      <c r="I32" s="289"/>
      <c r="J32" s="289"/>
      <c r="K32" s="289"/>
      <c r="L32" s="289"/>
      <c r="M32" s="289"/>
      <c r="N32" s="15"/>
    </row>
    <row r="33" spans="2:14" ht="13" x14ac:dyDescent="0.25">
      <c r="B33" s="15"/>
      <c r="C33" s="15"/>
      <c r="D33" s="13"/>
      <c r="E33" s="39" t="str">
        <f>Translations!$B$130</f>
        <v>Verksamhet enligt bilaga I till ETS-direktivet:</v>
      </c>
      <c r="F33" s="15"/>
      <c r="G33" s="15"/>
      <c r="H33" s="178"/>
      <c r="I33" s="178"/>
      <c r="J33" s="178"/>
      <c r="K33" s="178"/>
      <c r="L33" s="15"/>
      <c r="M33" s="604" t="s">
        <v>2094</v>
      </c>
      <c r="N33" s="604" t="s">
        <v>2094</v>
      </c>
    </row>
    <row r="34" spans="2:14" ht="13" x14ac:dyDescent="0.25">
      <c r="B34" s="15"/>
      <c r="C34" s="15"/>
      <c r="D34" s="39"/>
      <c r="E34" s="291">
        <v>1</v>
      </c>
      <c r="F34" s="2155" t="str">
        <f>[1]K_Summary!F24</f>
        <v/>
      </c>
      <c r="G34" s="1997"/>
      <c r="H34" s="1997"/>
      <c r="I34" s="1997"/>
      <c r="J34" s="1997"/>
      <c r="K34" s="1997"/>
      <c r="L34" s="1997"/>
      <c r="M34" s="1997"/>
      <c r="N34" s="2156"/>
    </row>
    <row r="35" spans="2:14" ht="13" x14ac:dyDescent="0.25">
      <c r="B35" s="15"/>
      <c r="C35" s="15"/>
      <c r="D35" s="13"/>
      <c r="E35" s="291">
        <v>2</v>
      </c>
      <c r="F35" s="2155" t="str">
        <f>[1]K_Summary!F25</f>
        <v/>
      </c>
      <c r="G35" s="1997"/>
      <c r="H35" s="1997"/>
      <c r="I35" s="1997"/>
      <c r="J35" s="1997"/>
      <c r="K35" s="1997"/>
      <c r="L35" s="1997"/>
      <c r="M35" s="1997"/>
      <c r="N35" s="2156"/>
    </row>
    <row r="36" spans="2:14" x14ac:dyDescent="0.25">
      <c r="B36" s="15"/>
      <c r="C36" s="15"/>
      <c r="D36" s="185"/>
      <c r="E36" s="291">
        <v>3</v>
      </c>
      <c r="F36" s="2155" t="str">
        <f>[1]K_Summary!F26</f>
        <v/>
      </c>
      <c r="G36" s="1997"/>
      <c r="H36" s="1997"/>
      <c r="I36" s="1997"/>
      <c r="J36" s="1997"/>
      <c r="K36" s="1997"/>
      <c r="L36" s="1997"/>
      <c r="M36" s="1997"/>
      <c r="N36" s="2156"/>
    </row>
    <row r="37" spans="2:14" x14ac:dyDescent="0.25">
      <c r="B37" s="15"/>
      <c r="C37" s="15"/>
      <c r="D37" s="185"/>
      <c r="E37" s="291">
        <v>4</v>
      </c>
      <c r="F37" s="2155" t="str">
        <f>[1]K_Summary!F27</f>
        <v/>
      </c>
      <c r="G37" s="1997"/>
      <c r="H37" s="1997"/>
      <c r="I37" s="1997"/>
      <c r="J37" s="1997"/>
      <c r="K37" s="1997"/>
      <c r="L37" s="1997"/>
      <c r="M37" s="1997"/>
      <c r="N37" s="2156"/>
    </row>
    <row r="38" spans="2:14" x14ac:dyDescent="0.25">
      <c r="B38" s="15"/>
      <c r="C38" s="15"/>
      <c r="D38" s="185"/>
      <c r="E38" s="291">
        <v>5</v>
      </c>
      <c r="F38" s="2155" t="str">
        <f>[1]K_Summary!F28</f>
        <v/>
      </c>
      <c r="G38" s="1997"/>
      <c r="H38" s="1997"/>
      <c r="I38" s="1997"/>
      <c r="J38" s="1997"/>
      <c r="K38" s="1997"/>
      <c r="L38" s="1997"/>
      <c r="M38" s="1997"/>
      <c r="N38" s="2156"/>
    </row>
    <row r="39" spans="2:14" x14ac:dyDescent="0.25">
      <c r="B39" s="15"/>
      <c r="C39" s="15"/>
      <c r="D39" s="15"/>
      <c r="E39" s="291">
        <v>6</v>
      </c>
      <c r="F39" s="2155" t="str">
        <f>[1]K_Summary!F29</f>
        <v/>
      </c>
      <c r="G39" s="1997"/>
      <c r="H39" s="1997"/>
      <c r="I39" s="1997"/>
      <c r="J39" s="1997"/>
      <c r="K39" s="1997"/>
      <c r="L39" s="1997"/>
      <c r="M39" s="1997"/>
      <c r="N39" s="2156"/>
    </row>
    <row r="40" spans="2:14" ht="5.15" customHeight="1" x14ac:dyDescent="0.25">
      <c r="B40" s="15"/>
      <c r="C40" s="15"/>
      <c r="D40" s="15"/>
      <c r="E40" s="289"/>
      <c r="F40" s="289"/>
      <c r="G40" s="289"/>
      <c r="H40" s="289"/>
      <c r="I40" s="289"/>
      <c r="J40" s="289"/>
      <c r="K40" s="289"/>
      <c r="L40" s="289"/>
      <c r="M40" s="289"/>
      <c r="N40" s="15"/>
    </row>
    <row r="41" spans="2:14" ht="12.75" customHeight="1" x14ac:dyDescent="0.3">
      <c r="B41" s="15"/>
      <c r="C41" s="17">
        <v>2</v>
      </c>
      <c r="D41" s="2053" t="str">
        <f>Translations!$B$971</f>
        <v>Tekniska anslutningar (avsnitt A.IV):</v>
      </c>
      <c r="E41" s="1963"/>
      <c r="F41" s="1963"/>
      <c r="G41" s="1963"/>
      <c r="H41" s="1963"/>
      <c r="I41" s="1963"/>
      <c r="J41" s="1963"/>
      <c r="K41" s="1963"/>
      <c r="L41" s="1963"/>
      <c r="M41" s="1963"/>
      <c r="N41" s="1963"/>
    </row>
    <row r="42" spans="2:14" ht="12.75" customHeight="1" x14ac:dyDescent="0.25">
      <c r="B42" s="15"/>
      <c r="C42" s="15"/>
      <c r="D42" s="15"/>
      <c r="E42" s="2163" t="str">
        <f>Translations!$B$972</f>
        <v>Anslutningsnamn</v>
      </c>
      <c r="F42" s="2145"/>
      <c r="G42" s="2145"/>
      <c r="H42" s="2164"/>
      <c r="I42" s="2163" t="str">
        <f>Translations!$B$973</f>
        <v>EUTL-ID, om tillämpligt</v>
      </c>
      <c r="J42" s="2145"/>
      <c r="K42" s="2164"/>
      <c r="L42" s="2163" t="str">
        <f>Translations!$B$974</f>
        <v>Enhetstyp</v>
      </c>
      <c r="M42" s="2145"/>
      <c r="N42" s="2145"/>
    </row>
    <row r="43" spans="2:14" x14ac:dyDescent="0.25">
      <c r="B43" s="15"/>
      <c r="C43" s="15"/>
      <c r="D43" s="15">
        <v>1</v>
      </c>
      <c r="E43" s="2153" t="str">
        <f>[1]K_Summary!E33</f>
        <v/>
      </c>
      <c r="F43" s="2120"/>
      <c r="G43" s="2120"/>
      <c r="H43" s="2154"/>
      <c r="I43" s="2155" t="str">
        <f>[1]K_Summary!I33</f>
        <v/>
      </c>
      <c r="J43" s="1997"/>
      <c r="K43" s="2156"/>
      <c r="L43" s="2153" t="str">
        <f>[1]K_Summary!L33</f>
        <v/>
      </c>
      <c r="M43" s="2089"/>
      <c r="N43" s="2157"/>
    </row>
    <row r="44" spans="2:14" x14ac:dyDescent="0.25">
      <c r="B44" s="15"/>
      <c r="C44" s="15"/>
      <c r="D44" s="15">
        <v>2</v>
      </c>
      <c r="E44" s="2153" t="str">
        <f>[1]K_Summary!E34</f>
        <v/>
      </c>
      <c r="F44" s="2120"/>
      <c r="G44" s="2120"/>
      <c r="H44" s="2154"/>
      <c r="I44" s="2155" t="str">
        <f>[1]K_Summary!I34</f>
        <v/>
      </c>
      <c r="J44" s="1997"/>
      <c r="K44" s="2156"/>
      <c r="L44" s="2153" t="str">
        <f>[1]K_Summary!L34</f>
        <v/>
      </c>
      <c r="M44" s="2089"/>
      <c r="N44" s="2157"/>
    </row>
    <row r="45" spans="2:14" x14ac:dyDescent="0.25">
      <c r="B45" s="15"/>
      <c r="C45" s="15"/>
      <c r="D45" s="15">
        <v>3</v>
      </c>
      <c r="E45" s="2153" t="str">
        <f>[1]K_Summary!E35</f>
        <v/>
      </c>
      <c r="F45" s="2120"/>
      <c r="G45" s="2120"/>
      <c r="H45" s="2154"/>
      <c r="I45" s="2155" t="str">
        <f>[1]K_Summary!I35</f>
        <v/>
      </c>
      <c r="J45" s="1997"/>
      <c r="K45" s="2156"/>
      <c r="L45" s="2153" t="str">
        <f>[1]K_Summary!L35</f>
        <v/>
      </c>
      <c r="M45" s="2089"/>
      <c r="N45" s="2157"/>
    </row>
    <row r="46" spans="2:14" x14ac:dyDescent="0.25">
      <c r="B46" s="15"/>
      <c r="C46" s="15"/>
      <c r="D46" s="15">
        <v>4</v>
      </c>
      <c r="E46" s="2153" t="str">
        <f>[1]K_Summary!E36</f>
        <v/>
      </c>
      <c r="F46" s="2120"/>
      <c r="G46" s="2120"/>
      <c r="H46" s="2154"/>
      <c r="I46" s="2155" t="str">
        <f>[1]K_Summary!I36</f>
        <v/>
      </c>
      <c r="J46" s="1997"/>
      <c r="K46" s="2156"/>
      <c r="L46" s="2153" t="str">
        <f>[1]K_Summary!L36</f>
        <v/>
      </c>
      <c r="M46" s="2089"/>
      <c r="N46" s="2157"/>
    </row>
    <row r="47" spans="2:14" x14ac:dyDescent="0.25">
      <c r="B47" s="15"/>
      <c r="C47" s="15"/>
      <c r="D47" s="15">
        <v>5</v>
      </c>
      <c r="E47" s="2153" t="str">
        <f>[1]K_Summary!E37</f>
        <v/>
      </c>
      <c r="F47" s="2120"/>
      <c r="G47" s="2120"/>
      <c r="H47" s="2154"/>
      <c r="I47" s="2155" t="str">
        <f>[1]K_Summary!I37</f>
        <v/>
      </c>
      <c r="J47" s="1997"/>
      <c r="K47" s="2156"/>
      <c r="L47" s="2153" t="str">
        <f>[1]K_Summary!L37</f>
        <v/>
      </c>
      <c r="M47" s="2089"/>
      <c r="N47" s="2157"/>
    </row>
    <row r="48" spans="2:14" x14ac:dyDescent="0.25">
      <c r="B48" s="15"/>
      <c r="C48" s="15"/>
      <c r="D48" s="15">
        <v>6</v>
      </c>
      <c r="E48" s="2153" t="str">
        <f>[1]K_Summary!E38</f>
        <v/>
      </c>
      <c r="F48" s="2120"/>
      <c r="G48" s="2120"/>
      <c r="H48" s="2154"/>
      <c r="I48" s="2155" t="str">
        <f>[1]K_Summary!I38</f>
        <v/>
      </c>
      <c r="J48" s="1997"/>
      <c r="K48" s="2156"/>
      <c r="L48" s="2153" t="str">
        <f>[1]K_Summary!L38</f>
        <v/>
      </c>
      <c r="M48" s="2089"/>
      <c r="N48" s="2157"/>
    </row>
    <row r="49" spans="2:14" x14ac:dyDescent="0.25">
      <c r="B49" s="15"/>
      <c r="C49" s="15"/>
      <c r="D49" s="15">
        <v>7</v>
      </c>
      <c r="E49" s="2153" t="str">
        <f>[1]K_Summary!E39</f>
        <v/>
      </c>
      <c r="F49" s="2120"/>
      <c r="G49" s="2120"/>
      <c r="H49" s="2154"/>
      <c r="I49" s="2155" t="str">
        <f>[1]K_Summary!I39</f>
        <v/>
      </c>
      <c r="J49" s="1997"/>
      <c r="K49" s="2156"/>
      <c r="L49" s="2153" t="str">
        <f>[1]K_Summary!L39</f>
        <v/>
      </c>
      <c r="M49" s="2089"/>
      <c r="N49" s="2157"/>
    </row>
    <row r="50" spans="2:14" x14ac:dyDescent="0.25">
      <c r="B50" s="15"/>
      <c r="C50" s="15"/>
      <c r="D50" s="15">
        <v>8</v>
      </c>
      <c r="E50" s="2153" t="str">
        <f>[1]K_Summary!E40</f>
        <v/>
      </c>
      <c r="F50" s="2120"/>
      <c r="G50" s="2120"/>
      <c r="H50" s="2154"/>
      <c r="I50" s="2155" t="str">
        <f>[1]K_Summary!I40</f>
        <v/>
      </c>
      <c r="J50" s="1997"/>
      <c r="K50" s="2156"/>
      <c r="L50" s="2153" t="str">
        <f>[1]K_Summary!L40</f>
        <v/>
      </c>
      <c r="M50" s="2089"/>
      <c r="N50" s="2157"/>
    </row>
    <row r="51" spans="2:14" x14ac:dyDescent="0.25">
      <c r="B51" s="15"/>
      <c r="C51" s="15"/>
      <c r="D51" s="15">
        <v>9</v>
      </c>
      <c r="E51" s="2153" t="str">
        <f>[1]K_Summary!E41</f>
        <v/>
      </c>
      <c r="F51" s="2120"/>
      <c r="G51" s="2120"/>
      <c r="H51" s="2154"/>
      <c r="I51" s="2155" t="str">
        <f>[1]K_Summary!I41</f>
        <v/>
      </c>
      <c r="J51" s="1997"/>
      <c r="K51" s="2156"/>
      <c r="L51" s="2153" t="str">
        <f>[1]K_Summary!L41</f>
        <v/>
      </c>
      <c r="M51" s="2089"/>
      <c r="N51" s="2157"/>
    </row>
    <row r="52" spans="2:14" x14ac:dyDescent="0.25">
      <c r="B52" s="15"/>
      <c r="C52" s="15"/>
      <c r="D52" s="15">
        <v>10</v>
      </c>
      <c r="E52" s="2153" t="str">
        <f>[1]K_Summary!E42</f>
        <v/>
      </c>
      <c r="F52" s="2120"/>
      <c r="G52" s="2120"/>
      <c r="H52" s="2154"/>
      <c r="I52" s="2155" t="str">
        <f>[1]K_Summary!I42</f>
        <v/>
      </c>
      <c r="J52" s="1997"/>
      <c r="K52" s="2156"/>
      <c r="L52" s="2153" t="str">
        <f>[1]K_Summary!L42</f>
        <v/>
      </c>
      <c r="M52" s="2089"/>
      <c r="N52" s="2157"/>
    </row>
    <row r="53" spans="2:14" x14ac:dyDescent="0.25">
      <c r="B53" s="15"/>
      <c r="C53" s="15"/>
      <c r="D53" s="15"/>
      <c r="E53" s="15"/>
      <c r="F53" s="15"/>
      <c r="G53" s="15"/>
      <c r="H53" s="15"/>
      <c r="I53" s="15"/>
      <c r="J53" s="15"/>
      <c r="K53" s="15"/>
      <c r="L53" s="15"/>
      <c r="M53" s="15"/>
      <c r="N53" s="15"/>
    </row>
    <row r="54" spans="2:14" ht="15.5" x14ac:dyDescent="0.35">
      <c r="B54" s="3"/>
      <c r="C54" s="11" t="s">
        <v>954</v>
      </c>
      <c r="D54" s="12" t="str">
        <f>Translations!$B$975</f>
        <v>Referensperiod och berättigande</v>
      </c>
      <c r="E54" s="12"/>
      <c r="F54" s="12"/>
      <c r="G54" s="12"/>
      <c r="H54" s="12"/>
      <c r="I54" s="12"/>
      <c r="J54" s="12"/>
      <c r="K54" s="12"/>
      <c r="L54" s="12"/>
      <c r="M54" s="12"/>
      <c r="N54" s="12"/>
    </row>
    <row r="55" spans="2:14" ht="5.15" customHeight="1" x14ac:dyDescent="0.25">
      <c r="B55" s="15"/>
      <c r="C55" s="15"/>
      <c r="D55" s="15"/>
      <c r="E55" s="15"/>
      <c r="F55" s="15"/>
      <c r="G55" s="15"/>
      <c r="H55" s="15"/>
      <c r="I55" s="15"/>
      <c r="J55" s="15"/>
      <c r="K55" s="15"/>
      <c r="L55" s="15"/>
      <c r="M55" s="15"/>
      <c r="N55" s="15"/>
    </row>
    <row r="56" spans="2:14" ht="15" customHeight="1" x14ac:dyDescent="0.3">
      <c r="B56" s="15"/>
      <c r="C56" s="17">
        <v>1</v>
      </c>
      <c r="D56" s="2079" t="str">
        <f>Translations!$B$976</f>
        <v>Berättigande till gratis tilldelning (avsnitt A.II.1):</v>
      </c>
      <c r="E56" s="2079"/>
      <c r="F56" s="2079"/>
      <c r="G56" s="2079"/>
      <c r="H56" s="2079"/>
      <c r="I56" s="2079"/>
      <c r="J56" s="2079"/>
      <c r="K56" s="2079"/>
      <c r="L56" s="2079"/>
      <c r="M56" s="2079"/>
      <c r="N56" s="2079"/>
    </row>
    <row r="57" spans="2:14" ht="5.15" customHeight="1" x14ac:dyDescent="0.25">
      <c r="B57" s="3"/>
      <c r="C57" s="3"/>
      <c r="D57" s="3"/>
      <c r="E57" s="3"/>
      <c r="F57" s="3"/>
      <c r="G57" s="3"/>
      <c r="H57" s="3"/>
      <c r="I57" s="3"/>
      <c r="J57" s="3"/>
      <c r="K57" s="3"/>
      <c r="L57" s="3"/>
      <c r="M57" s="6"/>
      <c r="N57" s="6"/>
    </row>
    <row r="58" spans="2:14" ht="12.75" customHeight="1" x14ac:dyDescent="0.25">
      <c r="B58" s="15"/>
      <c r="C58" s="15"/>
      <c r="D58" s="15"/>
      <c r="E58" s="2131" t="str">
        <f>Translations!$B$977</f>
        <v>Elproducent:</v>
      </c>
      <c r="F58" s="2131"/>
      <c r="G58" s="2131"/>
      <c r="H58" s="2158"/>
      <c r="I58" s="464" t="str">
        <f>[1]K_Summary!I48</f>
        <v/>
      </c>
      <c r="J58" s="15"/>
      <c r="K58" s="2159" t="str">
        <f>Translations!$B$978</f>
        <v>CCS-anläggning:</v>
      </c>
      <c r="L58" s="2060"/>
      <c r="M58" s="464" t="str">
        <f>[1]K_Summary!M48</f>
        <v/>
      </c>
      <c r="N58" s="15"/>
    </row>
    <row r="59" spans="2:14" ht="12.75" customHeight="1" x14ac:dyDescent="0.25">
      <c r="B59" s="15"/>
      <c r="C59" s="15"/>
      <c r="D59" s="15"/>
      <c r="E59" s="2159" t="str">
        <f>Translations!$B$979</f>
        <v>Anläggning som omfattas av artikel 10a.3 i ETS-direktivet:</v>
      </c>
      <c r="F59" s="1963"/>
      <c r="G59" s="1963"/>
      <c r="H59" s="2060"/>
      <c r="I59" s="465" t="str">
        <f>[1]K_Summary!I49</f>
        <v/>
      </c>
      <c r="J59" s="15"/>
      <c r="K59" s="2159" t="str">
        <f>Translations!$B$980</f>
        <v>Anläggningen producerar värme:</v>
      </c>
      <c r="L59" s="2060"/>
      <c r="M59" s="464" t="str">
        <f>[1]K_Summary!M49</f>
        <v/>
      </c>
      <c r="N59" s="15"/>
    </row>
    <row r="60" spans="2:14" ht="5.15" customHeight="1" x14ac:dyDescent="0.25">
      <c r="B60" s="3"/>
      <c r="C60" s="3"/>
      <c r="D60" s="3"/>
      <c r="E60" s="3"/>
      <c r="F60" s="3"/>
      <c r="G60" s="3"/>
      <c r="H60" s="3"/>
      <c r="I60" s="3"/>
      <c r="J60" s="3"/>
      <c r="K60" s="3"/>
      <c r="L60" s="3"/>
      <c r="M60" s="6"/>
      <c r="N60" s="6"/>
    </row>
    <row r="61" spans="2:14" ht="13.5" customHeight="1" x14ac:dyDescent="0.25">
      <c r="B61" s="15"/>
      <c r="C61" s="15"/>
      <c r="D61" s="15"/>
      <c r="E61" s="2153" t="str">
        <f>[1]K_Summary!E51</f>
        <v>It is mandatory that under A.II.1 one of the questions (e) or (f) is answered!</v>
      </c>
      <c r="F61" s="2120"/>
      <c r="G61" s="2120"/>
      <c r="H61" s="2120"/>
      <c r="I61" s="2120"/>
      <c r="J61" s="2120"/>
      <c r="K61" s="2120"/>
      <c r="L61" s="2120"/>
      <c r="M61" s="2154"/>
      <c r="N61" s="15"/>
    </row>
    <row r="62" spans="2:14" x14ac:dyDescent="0.25">
      <c r="B62" s="15"/>
      <c r="C62" s="15"/>
      <c r="D62" s="15"/>
      <c r="E62" s="2153" t="str">
        <f>[1]K_Summary!E52</f>
        <v/>
      </c>
      <c r="F62" s="2120"/>
      <c r="G62" s="2120"/>
      <c r="H62" s="2120"/>
      <c r="I62" s="2120"/>
      <c r="J62" s="2120"/>
      <c r="K62" s="2120"/>
      <c r="L62" s="2120"/>
      <c r="M62" s="2154"/>
      <c r="N62" s="15"/>
    </row>
    <row r="63" spans="2:14" ht="5.15" customHeight="1" thickBot="1" x14ac:dyDescent="0.3">
      <c r="B63" s="3"/>
      <c r="C63" s="3"/>
      <c r="D63" s="3"/>
      <c r="E63" s="6"/>
      <c r="F63" s="6"/>
      <c r="G63" s="6"/>
      <c r="H63" s="6"/>
      <c r="I63" s="6"/>
      <c r="J63" s="6"/>
      <c r="K63" s="6"/>
      <c r="L63" s="6"/>
      <c r="M63" s="6"/>
      <c r="N63" s="6"/>
    </row>
    <row r="64" spans="2:14" ht="13.5" customHeight="1" thickBot="1" x14ac:dyDescent="0.3">
      <c r="B64" s="15"/>
      <c r="C64" s="15"/>
      <c r="D64" s="15"/>
      <c r="E64" s="1943" t="str">
        <f>Translations!$B$981</f>
        <v>Anläggningen är berättigad till gratis tilldelning enligt artikel 10a i ETS-direktivet:</v>
      </c>
      <c r="F64" s="1963"/>
      <c r="G64" s="1963"/>
      <c r="H64" s="1963"/>
      <c r="I64" s="1963"/>
      <c r="J64" s="1963"/>
      <c r="K64" s="1963"/>
      <c r="L64" s="2160"/>
      <c r="M64" s="227" t="b">
        <f>[1]K_Summary!M54</f>
        <v>0</v>
      </c>
      <c r="N64" s="15"/>
    </row>
    <row r="65" spans="2:14" ht="5.15" customHeight="1" x14ac:dyDescent="0.25">
      <c r="B65" s="15"/>
      <c r="C65" s="15"/>
      <c r="D65" s="15"/>
      <c r="E65" s="15"/>
      <c r="F65" s="15"/>
      <c r="G65" s="15"/>
      <c r="H65" s="15"/>
      <c r="I65" s="15"/>
      <c r="J65" s="15"/>
      <c r="K65" s="15"/>
      <c r="L65" s="15"/>
      <c r="M65" s="15"/>
      <c r="N65" s="15"/>
    </row>
    <row r="66" spans="2:14" ht="14" x14ac:dyDescent="0.3">
      <c r="B66" s="15"/>
      <c r="C66" s="17">
        <v>2</v>
      </c>
      <c r="D66" s="619" t="str">
        <f>Translations!$B$982</f>
        <v>Referensår (avsnitt A.II.2)</v>
      </c>
      <c r="E66" s="15"/>
      <c r="F66" s="15"/>
      <c r="G66" s="15"/>
      <c r="H66" s="15"/>
      <c r="I66" s="15"/>
      <c r="J66" s="15"/>
      <c r="K66" s="15"/>
      <c r="L66" s="15"/>
      <c r="M66" s="15"/>
      <c r="N66" s="15"/>
    </row>
    <row r="67" spans="2:14" ht="13" x14ac:dyDescent="0.25">
      <c r="B67" s="15"/>
      <c r="C67" s="15"/>
      <c r="D67" s="15"/>
      <c r="E67" s="39"/>
      <c r="F67" s="15"/>
      <c r="G67" s="15"/>
      <c r="H67" s="15"/>
      <c r="I67" s="350">
        <v>2014</v>
      </c>
      <c r="J67" s="350">
        <v>2015</v>
      </c>
      <c r="K67" s="350">
        <v>2016</v>
      </c>
      <c r="L67" s="350">
        <v>2017</v>
      </c>
      <c r="M67" s="350">
        <v>2018</v>
      </c>
      <c r="N67" s="15"/>
    </row>
    <row r="68" spans="2:14" x14ac:dyDescent="0.25">
      <c r="B68" s="15"/>
      <c r="C68" s="15"/>
      <c r="D68" s="15"/>
      <c r="E68" s="514" t="str">
        <f>Translations!$B$983</f>
        <v>År att beakta:</v>
      </c>
      <c r="F68" s="514"/>
      <c r="G68" s="514"/>
      <c r="H68" s="514"/>
      <c r="I68" s="620" t="b">
        <f>[1]K_Summary!I58</f>
        <v>0</v>
      </c>
      <c r="J68" s="620" t="b">
        <f>[1]K_Summary!J58</f>
        <v>0</v>
      </c>
      <c r="K68" s="620" t="b">
        <f>[1]K_Summary!K58</f>
        <v>0</v>
      </c>
      <c r="L68" s="620" t="b">
        <f>[1]K_Summary!L58</f>
        <v>0</v>
      </c>
      <c r="M68" s="620" t="b">
        <f>[1]K_Summary!M58</f>
        <v>0</v>
      </c>
      <c r="N68" s="15"/>
    </row>
    <row r="69" spans="2:14" x14ac:dyDescent="0.25">
      <c r="B69" s="15"/>
      <c r="C69" s="15"/>
      <c r="D69" s="15"/>
      <c r="E69" s="15"/>
      <c r="F69" s="15"/>
      <c r="G69" s="15"/>
      <c r="H69" s="15"/>
      <c r="I69" s="15"/>
      <c r="J69" s="15"/>
      <c r="K69" s="15"/>
      <c r="L69" s="15"/>
      <c r="M69" s="15"/>
      <c r="N69" s="15"/>
    </row>
    <row r="70" spans="2:14" ht="15.5" x14ac:dyDescent="0.35">
      <c r="B70" s="3"/>
      <c r="C70" s="11" t="s">
        <v>962</v>
      </c>
      <c r="D70" s="12" t="str">
        <f>Translations!$B$984</f>
        <v>Utsläpp och energiflöden</v>
      </c>
      <c r="E70" s="12"/>
      <c r="F70" s="12"/>
      <c r="G70" s="12"/>
      <c r="H70" s="12"/>
      <c r="I70" s="12"/>
      <c r="J70" s="12"/>
      <c r="K70" s="12"/>
      <c r="L70" s="12"/>
      <c r="M70" s="12"/>
      <c r="N70" s="12"/>
    </row>
    <row r="71" spans="2:14" x14ac:dyDescent="0.25">
      <c r="B71" s="15"/>
      <c r="C71" s="15"/>
      <c r="D71" s="15"/>
      <c r="E71" s="15"/>
      <c r="F71" s="15"/>
      <c r="G71" s="15"/>
      <c r="H71" s="15"/>
      <c r="I71" s="15"/>
      <c r="J71" s="15"/>
      <c r="K71" s="15"/>
      <c r="L71" s="15"/>
      <c r="M71" s="15"/>
      <c r="N71" s="15"/>
    </row>
    <row r="72" spans="2:14" ht="12.75" customHeight="1" x14ac:dyDescent="0.3">
      <c r="B72" s="15"/>
      <c r="C72" s="17">
        <v>1</v>
      </c>
      <c r="D72" s="2053" t="str">
        <f>Translations!$B$985</f>
        <v>Uppgifter från sammanfattningen av utsläppsdata (avsnitt D.I)</v>
      </c>
      <c r="E72" s="1963"/>
      <c r="F72" s="1963"/>
      <c r="G72" s="1963"/>
      <c r="H72" s="1963"/>
      <c r="I72" s="1963"/>
      <c r="J72" s="1963"/>
      <c r="K72" s="1963"/>
      <c r="L72" s="1963"/>
      <c r="M72" s="1963"/>
      <c r="N72" s="1963"/>
    </row>
    <row r="73" spans="2:14" ht="5.15" customHeight="1" x14ac:dyDescent="0.25">
      <c r="B73" s="15"/>
      <c r="C73" s="15"/>
      <c r="D73" s="15"/>
      <c r="E73" s="15"/>
      <c r="F73" s="15"/>
      <c r="G73" s="15"/>
      <c r="H73" s="15"/>
      <c r="I73" s="15"/>
      <c r="J73" s="15"/>
      <c r="K73" s="15"/>
      <c r="L73" s="15"/>
      <c r="M73" s="15"/>
      <c r="N73" s="15"/>
    </row>
    <row r="74" spans="2:14" ht="12.75" customHeight="1" x14ac:dyDescent="0.25">
      <c r="B74" s="15"/>
      <c r="C74" s="15"/>
      <c r="D74" s="15"/>
      <c r="E74" s="2139" t="str">
        <f>Translations!$B$223</f>
        <v>Uppgifter på anläggningsnivå:</v>
      </c>
      <c r="F74" s="2139"/>
      <c r="G74" s="2139"/>
      <c r="H74" s="31" t="str">
        <f>Translations!$B$1014</f>
        <v>Enhet</v>
      </c>
      <c r="I74" s="320">
        <v>2014</v>
      </c>
      <c r="J74" s="320">
        <v>2015</v>
      </c>
      <c r="K74" s="320">
        <v>2016</v>
      </c>
      <c r="L74" s="320">
        <v>2017</v>
      </c>
      <c r="M74" s="320">
        <v>2018</v>
      </c>
      <c r="N74" s="15"/>
    </row>
    <row r="75" spans="2:14" ht="12.75" customHeight="1" x14ac:dyDescent="0.25">
      <c r="B75" s="15"/>
      <c r="C75" s="15"/>
      <c r="D75" s="15"/>
      <c r="E75" s="2041" t="str">
        <f>Translations!$B$224</f>
        <v>Totala koldioxidutsläpp</v>
      </c>
      <c r="F75" s="2041"/>
      <c r="G75" s="2041"/>
      <c r="H75" s="456" t="str">
        <f>EUconst_tCO2pa</f>
        <v>t CO2 / år</v>
      </c>
      <c r="I75" s="946" t="str">
        <f>[1]K_Summary!I65</f>
        <v/>
      </c>
      <c r="J75" s="946" t="str">
        <f>[1]K_Summary!J65</f>
        <v/>
      </c>
      <c r="K75" s="946" t="str">
        <f>[1]K_Summary!K65</f>
        <v/>
      </c>
      <c r="L75" s="946" t="str">
        <f>[1]K_Summary!L65</f>
        <v/>
      </c>
      <c r="M75" s="946" t="str">
        <f>[1]K_Summary!M65</f>
        <v/>
      </c>
      <c r="N75" s="15"/>
    </row>
    <row r="76" spans="2:14" ht="12.75" customHeight="1" x14ac:dyDescent="0.25">
      <c r="B76" s="15"/>
      <c r="C76" s="15"/>
      <c r="D76" s="15"/>
      <c r="E76" s="2149" t="str">
        <f>Translations!$B$225</f>
        <v>Utsläpp från biomassa</v>
      </c>
      <c r="F76" s="2149"/>
      <c r="G76" s="2149"/>
      <c r="H76" s="164" t="str">
        <f>EUconst_tCO2pa</f>
        <v>t CO2 / år</v>
      </c>
      <c r="I76" s="304" t="str">
        <f>[1]K_Summary!I66</f>
        <v/>
      </c>
      <c r="J76" s="304" t="str">
        <f>[1]K_Summary!J66</f>
        <v/>
      </c>
      <c r="K76" s="304" t="str">
        <f>[1]K_Summary!K66</f>
        <v/>
      </c>
      <c r="L76" s="304" t="str">
        <f>[1]K_Summary!L66</f>
        <v/>
      </c>
      <c r="M76" s="304" t="str">
        <f>[1]K_Summary!M66</f>
        <v/>
      </c>
      <c r="N76" s="15"/>
    </row>
    <row r="77" spans="2:14" ht="12.75" customHeight="1" x14ac:dyDescent="0.25">
      <c r="B77" s="15"/>
      <c r="C77" s="15"/>
      <c r="D77" s="15"/>
      <c r="E77" s="2044" t="str">
        <f>Translations!$B$226</f>
        <v>Totala utsläpp av dikväveoxid</v>
      </c>
      <c r="F77" s="2044"/>
      <c r="G77" s="2044"/>
      <c r="H77" s="459" t="str">
        <f>EUconst_tCO2epa</f>
        <v>t CO2e/år</v>
      </c>
      <c r="I77" s="949" t="str">
        <f>[1]K_Summary!I67</f>
        <v/>
      </c>
      <c r="J77" s="949" t="str">
        <f>[1]K_Summary!J67</f>
        <v/>
      </c>
      <c r="K77" s="949" t="str">
        <f>[1]K_Summary!K67</f>
        <v/>
      </c>
      <c r="L77" s="949" t="str">
        <f>[1]K_Summary!L67</f>
        <v/>
      </c>
      <c r="M77" s="949" t="str">
        <f>[1]K_Summary!M67</f>
        <v/>
      </c>
      <c r="N77" s="15"/>
    </row>
    <row r="78" spans="2:14" ht="12.75" customHeight="1" x14ac:dyDescent="0.25">
      <c r="B78" s="15"/>
      <c r="C78" s="15"/>
      <c r="D78" s="15"/>
      <c r="E78" s="2110" t="str">
        <f>Translations!$B$227</f>
        <v>Totala utsläpp av perfluorkarbon</v>
      </c>
      <c r="F78" s="2110"/>
      <c r="G78" s="2110"/>
      <c r="H78" s="461" t="str">
        <f>EUconst_tCO2epa</f>
        <v>t CO2e/år</v>
      </c>
      <c r="I78" s="1558" t="str">
        <f>[1]K_Summary!I68</f>
        <v/>
      </c>
      <c r="J78" s="1558" t="str">
        <f>[1]K_Summary!J68</f>
        <v/>
      </c>
      <c r="K78" s="1558" t="str">
        <f>[1]K_Summary!K68</f>
        <v/>
      </c>
      <c r="L78" s="1558" t="str">
        <f>[1]K_Summary!L68</f>
        <v/>
      </c>
      <c r="M78" s="1558" t="str">
        <f>[1]K_Summary!M68</f>
        <v/>
      </c>
      <c r="N78" s="15"/>
    </row>
    <row r="79" spans="2:14" ht="12.75" customHeight="1" x14ac:dyDescent="0.25">
      <c r="B79" s="15"/>
      <c r="C79" s="15"/>
      <c r="D79" s="15"/>
      <c r="E79" s="2119" t="str">
        <f>Translations!$B$228</f>
        <v>Summan av direkta utsläpp</v>
      </c>
      <c r="F79" s="2119"/>
      <c r="G79" s="2119"/>
      <c r="H79" s="122" t="str">
        <f>EUconst_tCO2epa</f>
        <v>t CO2e/år</v>
      </c>
      <c r="I79" s="1559" t="str">
        <f>[1]K_Summary!I69</f>
        <v/>
      </c>
      <c r="J79" s="421" t="str">
        <f>[1]K_Summary!J69</f>
        <v/>
      </c>
      <c r="K79" s="421" t="str">
        <f>[1]K_Summary!K69</f>
        <v/>
      </c>
      <c r="L79" s="421" t="str">
        <f>[1]K_Summary!L69</f>
        <v/>
      </c>
      <c r="M79" s="421" t="str">
        <f>[1]K_Summary!M69</f>
        <v/>
      </c>
      <c r="N79" s="15"/>
    </row>
    <row r="80" spans="2:14" ht="13.5" customHeight="1" thickBot="1" x14ac:dyDescent="0.3">
      <c r="B80" s="15"/>
      <c r="C80" s="15"/>
      <c r="D80" s="15"/>
      <c r="E80" s="2150" t="str">
        <f>Translations!$B$229</f>
        <v>Överförd koldioxid för export</v>
      </c>
      <c r="F80" s="2150"/>
      <c r="G80" s="2150"/>
      <c r="H80" s="522" t="str">
        <f>EUconst_tCO2pa</f>
        <v>t CO2 / år</v>
      </c>
      <c r="I80" s="1560" t="str">
        <f>[1]K_Summary!I70</f>
        <v/>
      </c>
      <c r="J80" s="1561" t="str">
        <f>[1]K_Summary!J70</f>
        <v/>
      </c>
      <c r="K80" s="1561" t="str">
        <f>[1]K_Summary!K70</f>
        <v/>
      </c>
      <c r="L80" s="1561" t="str">
        <f>[1]K_Summary!L70</f>
        <v/>
      </c>
      <c r="M80" s="1561" t="str">
        <f>[1]K_Summary!M70</f>
        <v/>
      </c>
      <c r="N80" s="15"/>
    </row>
    <row r="81" spans="2:14" ht="13.5" customHeight="1" thickBot="1" x14ac:dyDescent="0.3">
      <c r="B81" s="15"/>
      <c r="C81" s="15"/>
      <c r="D81" s="15"/>
      <c r="E81" s="2151" t="str">
        <f>Translations!$B$230</f>
        <v>Anläggningens totala direkta utsläpp</v>
      </c>
      <c r="F81" s="2152"/>
      <c r="G81" s="2152"/>
      <c r="H81" s="523" t="str">
        <f>EUconst_tCO2epa</f>
        <v>t CO2e/år</v>
      </c>
      <c r="I81" s="524" t="str">
        <f>[1]K_Summary!I71</f>
        <v/>
      </c>
      <c r="J81" s="524" t="str">
        <f>[1]K_Summary!J71</f>
        <v/>
      </c>
      <c r="K81" s="524" t="str">
        <f>[1]K_Summary!K71</f>
        <v/>
      </c>
      <c r="L81" s="524" t="str">
        <f>[1]K_Summary!L71</f>
        <v/>
      </c>
      <c r="M81" s="526" t="str">
        <f>[1]K_Summary!M71</f>
        <v/>
      </c>
      <c r="N81" s="15"/>
    </row>
    <row r="82" spans="2:14" ht="13.5" customHeight="1" thickBot="1" x14ac:dyDescent="0.3">
      <c r="B82" s="15"/>
      <c r="C82" s="15"/>
      <c r="D82" s="15"/>
      <c r="E82" s="2151" t="str">
        <f>Translations!$B$231</f>
        <v>Total energitillförsel från bränslen</v>
      </c>
      <c r="F82" s="2152"/>
      <c r="G82" s="2152"/>
      <c r="H82" s="523" t="str">
        <f>EUconst_TJpa</f>
        <v>TJ / år</v>
      </c>
      <c r="I82" s="525" t="str">
        <f>[1]K_Summary!I72</f>
        <v/>
      </c>
      <c r="J82" s="525" t="str">
        <f>[1]K_Summary!J72</f>
        <v/>
      </c>
      <c r="K82" s="525" t="str">
        <f>[1]K_Summary!K72</f>
        <v/>
      </c>
      <c r="L82" s="525" t="str">
        <f>[1]K_Summary!L72</f>
        <v/>
      </c>
      <c r="M82" s="527" t="str">
        <f>[1]K_Summary!M72</f>
        <v/>
      </c>
      <c r="N82" s="15"/>
    </row>
    <row r="83" spans="2:14" ht="15" customHeight="1" x14ac:dyDescent="0.25">
      <c r="B83" s="15"/>
      <c r="C83" s="15"/>
      <c r="D83" s="15"/>
      <c r="E83" s="15"/>
      <c r="F83" s="15"/>
      <c r="G83" s="15"/>
      <c r="H83" s="15"/>
      <c r="I83" s="15"/>
      <c r="J83" s="15"/>
      <c r="K83" s="15"/>
      <c r="L83" s="15"/>
      <c r="M83" s="15"/>
      <c r="N83" s="15"/>
    </row>
    <row r="84" spans="2:14" ht="12.75" customHeight="1" x14ac:dyDescent="0.3">
      <c r="B84" s="15"/>
      <c r="C84" s="17">
        <v>2</v>
      </c>
      <c r="D84" s="2053" t="str">
        <f>Translations!$B$986</f>
        <v>Tillskrivning av utsläpp till delanläggningar (avsnitt D.II)</v>
      </c>
      <c r="E84" s="1963"/>
      <c r="F84" s="1963"/>
      <c r="G84" s="1963"/>
      <c r="H84" s="1963"/>
      <c r="I84" s="1963"/>
      <c r="J84" s="1963"/>
      <c r="K84" s="1963"/>
      <c r="L84" s="1963"/>
      <c r="M84" s="1963"/>
      <c r="N84" s="1963"/>
    </row>
    <row r="85" spans="2:14" ht="5.15" customHeight="1" x14ac:dyDescent="0.25">
      <c r="B85" s="3"/>
      <c r="C85" s="3"/>
      <c r="D85" s="3"/>
      <c r="E85" s="3"/>
      <c r="F85" s="3"/>
      <c r="G85" s="3"/>
      <c r="H85" s="3"/>
      <c r="I85" s="3"/>
      <c r="J85" s="3"/>
      <c r="K85" s="3"/>
      <c r="L85" s="3"/>
      <c r="M85" s="6"/>
      <c r="N85" s="6"/>
    </row>
    <row r="86" spans="2:14" ht="12.75" customHeight="1" x14ac:dyDescent="0.25">
      <c r="B86" s="3"/>
      <c r="C86" s="3"/>
      <c r="D86" s="15"/>
      <c r="E86" s="2061" t="str">
        <f>Translations!$B$987</f>
        <v>Uppgifterna hämtas automatiskt från motsvarande inmatningar i bladen F och G i de ljusblå rutorna under respektive delanläggning.</v>
      </c>
      <c r="F86" s="1963"/>
      <c r="G86" s="1963"/>
      <c r="H86" s="1963"/>
      <c r="I86" s="1963"/>
      <c r="J86" s="1963"/>
      <c r="K86" s="1963"/>
      <c r="L86" s="1963"/>
      <c r="M86" s="1963"/>
      <c r="N86" s="1963"/>
    </row>
    <row r="87" spans="2:14" ht="12.75" customHeight="1" x14ac:dyDescent="0.25">
      <c r="B87" s="3"/>
      <c r="C87" s="3"/>
      <c r="D87" s="15"/>
      <c r="E87" s="2061" t="str">
        <f>Translations!$B$988</f>
        <v>De utsläpp som kan tillskrivas fastställs enligt följande:</v>
      </c>
      <c r="F87" s="1963"/>
      <c r="G87" s="1963"/>
      <c r="H87" s="1963"/>
      <c r="I87" s="1963"/>
      <c r="J87" s="1963"/>
      <c r="K87" s="1963"/>
      <c r="L87" s="1963"/>
      <c r="M87" s="1963"/>
      <c r="N87" s="1963"/>
    </row>
    <row r="88" spans="2:14" ht="25.5" customHeight="1" x14ac:dyDescent="0.25">
      <c r="B88" s="3"/>
      <c r="C88" s="3"/>
      <c r="D88" s="15"/>
      <c r="E88" s="581" t="s">
        <v>1594</v>
      </c>
      <c r="F88" s="2075" t="str">
        <f>Translations!$B$678</f>
        <v>Direkta utsläpp övervakas enligt den övervakningsplan som ska godkännas enligt M&amp;R-förordningen, dvs. med hänsyn tagen till de utsläpp som fastställts utifrån beräkningsbaserade metoder (med hjälp av bränsle-/materialmängder), mätbaserade metoder (Cems) och nivålösa metoder (”alternativa övervakningsmetoder”/”fall-back”)</v>
      </c>
      <c r="G88" s="2075"/>
      <c r="H88" s="2075"/>
      <c r="I88" s="2075"/>
      <c r="J88" s="2075"/>
      <c r="K88" s="2075"/>
      <c r="L88" s="2075"/>
      <c r="M88" s="2075"/>
      <c r="N88" s="2075"/>
    </row>
    <row r="89" spans="2:14" ht="12.75" customHeight="1" x14ac:dyDescent="0.25">
      <c r="B89" s="3"/>
      <c r="C89" s="3"/>
      <c r="D89" s="15"/>
      <c r="E89" s="666" t="s">
        <v>1597</v>
      </c>
      <c r="F89" s="2075" t="str">
        <f>Translations!$B$989</f>
        <v>Utsläpp i samband med andra interna bränsle-/materialmängder</v>
      </c>
      <c r="G89" s="2075"/>
      <c r="H89" s="2075"/>
      <c r="I89" s="2075"/>
      <c r="J89" s="2075"/>
      <c r="K89" s="2075"/>
      <c r="L89" s="2075"/>
      <c r="M89" s="2075"/>
      <c r="N89" s="2075"/>
    </row>
    <row r="90" spans="2:14" ht="12.75" customHeight="1" x14ac:dyDescent="0.25">
      <c r="B90" s="3"/>
      <c r="C90" s="3"/>
      <c r="D90" s="15"/>
      <c r="E90" s="666" t="s">
        <v>1597</v>
      </c>
      <c r="F90" s="2075" t="str">
        <f>Translations!$B$990</f>
        <v>Mängd växthusgaser som importerats eller exporterats som råvaror</v>
      </c>
      <c r="G90" s="2075"/>
      <c r="H90" s="2075"/>
      <c r="I90" s="2075"/>
      <c r="J90" s="2075"/>
      <c r="K90" s="2075"/>
      <c r="L90" s="2075"/>
      <c r="M90" s="2075"/>
      <c r="N90" s="2075"/>
    </row>
    <row r="91" spans="2:14" ht="12.75" customHeight="1" x14ac:dyDescent="0.25">
      <c r="B91" s="3"/>
      <c r="C91" s="3"/>
      <c r="D91" s="15"/>
      <c r="E91" s="666" t="s">
        <v>1595</v>
      </c>
      <c r="F91" s="2075" t="str">
        <f>Translations!$B$991</f>
        <v>Utsläpp i samband med importerad värme i enlighet med avsnitt 10.1.2 och 10.1.3 i bilaga VII till FAR</v>
      </c>
      <c r="G91" s="2075"/>
      <c r="H91" s="2075"/>
      <c r="I91" s="2075"/>
      <c r="J91" s="2075"/>
      <c r="K91" s="2075"/>
      <c r="L91" s="2075"/>
      <c r="M91" s="2075"/>
      <c r="N91" s="2075"/>
    </row>
    <row r="92" spans="2:14" ht="12.75" customHeight="1" x14ac:dyDescent="0.25">
      <c r="B92" s="3"/>
      <c r="C92" s="3"/>
      <c r="D92" s="15"/>
      <c r="E92" s="666" t="s">
        <v>1112</v>
      </c>
      <c r="F92" s="2075" t="str">
        <f>Translations!$B$992</f>
        <v>Utsläpp i samband med exporterad värme i enlighet med avsnitt 10.1.2 och 10.1.3 i bilaga VII till FAR</v>
      </c>
      <c r="G92" s="2075"/>
      <c r="H92" s="2075"/>
      <c r="I92" s="2075"/>
      <c r="J92" s="2075"/>
      <c r="K92" s="2075"/>
      <c r="L92" s="2075"/>
      <c r="M92" s="2075"/>
      <c r="N92" s="2075"/>
    </row>
    <row r="93" spans="2:14" ht="12.75" customHeight="1" x14ac:dyDescent="0.25">
      <c r="B93" s="3"/>
      <c r="C93" s="3"/>
      <c r="D93" s="15"/>
      <c r="E93" s="666" t="s">
        <v>1595</v>
      </c>
      <c r="F93" s="2075" t="str">
        <f>Translations!$B$993</f>
        <v>Utsläpp i samband med importerade restgaser enlighet med avsnitt 10.1.5 i bilaga VII till FAR</v>
      </c>
      <c r="G93" s="2075"/>
      <c r="H93" s="2075"/>
      <c r="I93" s="2075"/>
      <c r="J93" s="2075"/>
      <c r="K93" s="2075"/>
      <c r="L93" s="2075"/>
      <c r="M93" s="2075"/>
      <c r="N93" s="2075"/>
    </row>
    <row r="94" spans="2:14" ht="25.5" customHeight="1" x14ac:dyDescent="0.25">
      <c r="B94" s="3"/>
      <c r="C94" s="3"/>
      <c r="D94" s="15"/>
      <c r="E94" s="666" t="s">
        <v>1112</v>
      </c>
      <c r="F94" s="2075" t="str">
        <f>Translations!$B$994</f>
        <v>Utsläpp i samband med exporterade restgaser i enlighet med avsnitt 10.1.5 i bilaga VII till FAR beräknade genom avdrag för energiinnehåll multiplicerat med utsläppsfaktorn för naturgas och standardkorrigeringsfaktorn 0,667</v>
      </c>
      <c r="G94" s="2075"/>
      <c r="H94" s="2075"/>
      <c r="I94" s="2075"/>
      <c r="J94" s="2075"/>
      <c r="K94" s="2075"/>
      <c r="L94" s="2075"/>
      <c r="M94" s="2075"/>
      <c r="N94" s="2075"/>
    </row>
    <row r="95" spans="2:14" ht="12.75" customHeight="1" x14ac:dyDescent="0.25">
      <c r="B95" s="3"/>
      <c r="C95" s="3"/>
      <c r="D95" s="15"/>
      <c r="E95" s="666" t="s">
        <v>1595</v>
      </c>
      <c r="F95" s="2075" t="str">
        <f>Translations!$B$995</f>
        <v>Utsläpp i samband med delanläggningars relevanta elförbrukning där utbytbarheten mellan bränslen och el är relevant</v>
      </c>
      <c r="G95" s="2075"/>
      <c r="H95" s="2075"/>
      <c r="I95" s="2075"/>
      <c r="J95" s="2075"/>
      <c r="K95" s="2075"/>
      <c r="L95" s="2075"/>
      <c r="M95" s="2075"/>
      <c r="N95" s="2075"/>
    </row>
    <row r="96" spans="2:14" ht="12.75" customHeight="1" x14ac:dyDescent="0.25">
      <c r="B96" s="3"/>
      <c r="C96" s="3"/>
      <c r="D96" s="15"/>
      <c r="E96" s="666" t="s">
        <v>1112</v>
      </c>
      <c r="F96" s="2075" t="str">
        <f>Translations!$B$996</f>
        <v>Utsläpp i samband med el som produceras på annat sätt än via mätbar värme</v>
      </c>
      <c r="G96" s="2075"/>
      <c r="H96" s="2075"/>
      <c r="I96" s="2075"/>
      <c r="J96" s="2075"/>
      <c r="K96" s="2075"/>
      <c r="L96" s="2075"/>
      <c r="M96" s="2075"/>
      <c r="N96" s="2075"/>
    </row>
    <row r="97" spans="2:14" ht="25.5" customHeight="1" x14ac:dyDescent="0.25">
      <c r="B97" s="3"/>
      <c r="C97" s="3"/>
      <c r="D97" s="15"/>
      <c r="E97" s="2070" t="str">
        <f>Translations!$B$997</f>
        <v>I vissa fall kan inte de tillskrivningsbara utsläppen beräknas för förslaget till preliminär tilldelning eftersom värme- eller bränsleriktmärkesvärden behövs för detta. I sådana fall visas inga värden för de tillskrivningsbara utsläppen och i stället anges ”ej tillämpligt”. Exempel på fall:</v>
      </c>
      <c r="F97" s="2071"/>
      <c r="G97" s="2071"/>
      <c r="H97" s="2071"/>
      <c r="I97" s="2071"/>
      <c r="J97" s="2071"/>
      <c r="K97" s="2071"/>
      <c r="L97" s="2071"/>
      <c r="M97" s="2071"/>
      <c r="N97" s="2071"/>
    </row>
    <row r="98" spans="2:14" ht="25.5" customHeight="1" x14ac:dyDescent="0.25">
      <c r="B98" s="3"/>
      <c r="C98" s="3"/>
      <c r="D98" s="15"/>
      <c r="E98" s="666" t="s">
        <v>1112</v>
      </c>
      <c r="F98" s="2075" t="str">
        <f>Translations!$B$998</f>
        <v>Om ingen emissionsfaktor för importerad eller exporterad värme är tillämplig eller känd, dvs. om inget sådant värde har angetts. I sådana fall används standardvärden baserade på värmeriktmärket för att beräkna de tillskrivningsbara utsläppen, så snart detta är känt.</v>
      </c>
      <c r="G98" s="2075"/>
      <c r="H98" s="2075"/>
      <c r="I98" s="2075"/>
      <c r="J98" s="2075"/>
      <c r="K98" s="2075"/>
      <c r="L98" s="2075"/>
      <c r="M98" s="2075"/>
      <c r="N98" s="2075"/>
    </row>
    <row r="99" spans="2:14" ht="12.75" customHeight="1" x14ac:dyDescent="0.25">
      <c r="B99" s="3"/>
      <c r="C99" s="3"/>
      <c r="D99" s="15"/>
      <c r="E99" s="666" t="s">
        <v>1112</v>
      </c>
      <c r="F99" s="2075" t="str">
        <f>Translations!$B$999</f>
        <v>Om restgaser importeras. I sådant fall kommer bränsleriktmärket att användas, så snart detta är känt.</v>
      </c>
      <c r="G99" s="2075"/>
      <c r="H99" s="2075"/>
      <c r="I99" s="2075"/>
      <c r="J99" s="2075"/>
      <c r="K99" s="2075"/>
      <c r="L99" s="2075"/>
      <c r="M99" s="2075"/>
      <c r="N99" s="2075"/>
    </row>
    <row r="100" spans="2:14" ht="25.5" customHeight="1" x14ac:dyDescent="0.25">
      <c r="B100" s="3"/>
      <c r="C100" s="3"/>
      <c r="D100" s="15"/>
      <c r="E100" s="2061" t="str">
        <f>Translations!$B$1000</f>
        <v>Värdet ”andra utsläpp” visas i kontrollsyfte. Det innefattar utsläpp i samband med elproduktion och fackling förutom säkerhetsfackling samt andra utsläpp som inte leder till gratis tilldelning.</v>
      </c>
      <c r="F100" s="1963"/>
      <c r="G100" s="1963"/>
      <c r="H100" s="1963"/>
      <c r="I100" s="1963"/>
      <c r="J100" s="1963"/>
      <c r="K100" s="1963"/>
      <c r="L100" s="1963"/>
      <c r="M100" s="1963"/>
      <c r="N100" s="1963"/>
    </row>
    <row r="101" spans="2:14" ht="12.75" customHeight="1" x14ac:dyDescent="0.25">
      <c r="B101" s="3"/>
      <c r="C101" s="3"/>
      <c r="D101" s="15"/>
      <c r="E101" s="2061" t="str">
        <f>Translations!$B$1001</f>
        <v>Om ”ej tillämpligt” visas för minst en delanläggning för ett visst år kommer värdena för ”andra utsläpp” inte heller att visas, i syfte att undvika förvirring.</v>
      </c>
      <c r="F101" s="1963"/>
      <c r="G101" s="1963"/>
      <c r="H101" s="1963"/>
      <c r="I101" s="1963"/>
      <c r="J101" s="1963"/>
      <c r="K101" s="1963"/>
      <c r="L101" s="1963"/>
      <c r="M101" s="1963"/>
      <c r="N101" s="1963"/>
    </row>
    <row r="102" spans="2:14" ht="13.5" customHeight="1" x14ac:dyDescent="0.25">
      <c r="B102" s="3"/>
      <c r="C102" s="3"/>
      <c r="D102" s="13"/>
      <c r="E102" s="2139" t="str">
        <f>Translations!$B$1002</f>
        <v>Uppgifter på delanläggningsnivå:</v>
      </c>
      <c r="F102" s="2139"/>
      <c r="G102" s="2139"/>
      <c r="H102" s="31" t="str">
        <f>Translations!$B$1014</f>
        <v>Enhet</v>
      </c>
      <c r="I102" s="320">
        <v>2014</v>
      </c>
      <c r="J102" s="320">
        <v>2015</v>
      </c>
      <c r="K102" s="320">
        <v>2016</v>
      </c>
      <c r="L102" s="320">
        <v>2017</v>
      </c>
      <c r="M102" s="320">
        <v>2018</v>
      </c>
      <c r="N102" s="6"/>
    </row>
    <row r="103" spans="2:14" x14ac:dyDescent="0.25">
      <c r="B103" s="15"/>
      <c r="C103" s="15"/>
      <c r="D103" s="289"/>
      <c r="E103" s="2148" t="str">
        <f>[1]K_Summary!E93</f>
        <v/>
      </c>
      <c r="F103" s="2148"/>
      <c r="G103" s="2148"/>
      <c r="H103" s="562" t="str">
        <f t="shared" ref="H103:H120" si="0">EUconst_tCO2epa</f>
        <v>t CO2e/år</v>
      </c>
      <c r="I103" s="1562" t="str">
        <f>[1]K_Summary!I93</f>
        <v/>
      </c>
      <c r="J103" s="1562" t="str">
        <f>[1]K_Summary!J93</f>
        <v/>
      </c>
      <c r="K103" s="1562" t="str">
        <f>[1]K_Summary!K93</f>
        <v/>
      </c>
      <c r="L103" s="1562" t="str">
        <f>[1]K_Summary!L93</f>
        <v/>
      </c>
      <c r="M103" s="1562" t="str">
        <f>[1]K_Summary!M93</f>
        <v/>
      </c>
      <c r="N103" s="6"/>
    </row>
    <row r="104" spans="2:14" x14ac:dyDescent="0.25">
      <c r="B104" s="15"/>
      <c r="C104" s="15"/>
      <c r="D104" s="289"/>
      <c r="E104" s="2113" t="str">
        <f>[1]K_Summary!E94</f>
        <v/>
      </c>
      <c r="F104" s="2113"/>
      <c r="G104" s="2113"/>
      <c r="H104" s="1563" t="str">
        <f t="shared" si="0"/>
        <v>t CO2e/år</v>
      </c>
      <c r="I104" s="1564" t="str">
        <f>[1]K_Summary!I94</f>
        <v/>
      </c>
      <c r="J104" s="1564" t="str">
        <f>[1]K_Summary!J94</f>
        <v/>
      </c>
      <c r="K104" s="1564" t="str">
        <f>[1]K_Summary!K94</f>
        <v/>
      </c>
      <c r="L104" s="1564" t="str">
        <f>[1]K_Summary!L94</f>
        <v/>
      </c>
      <c r="M104" s="1564" t="str">
        <f>[1]K_Summary!M94</f>
        <v/>
      </c>
      <c r="N104" s="6"/>
    </row>
    <row r="105" spans="2:14" ht="12.75" customHeight="1" x14ac:dyDescent="0.25">
      <c r="B105" s="15"/>
      <c r="C105" s="15"/>
      <c r="D105" s="289"/>
      <c r="E105" s="2113" t="str">
        <f>[1]K_Summary!E95</f>
        <v/>
      </c>
      <c r="F105" s="2113"/>
      <c r="G105" s="2113"/>
      <c r="H105" s="1563" t="str">
        <f t="shared" si="0"/>
        <v>t CO2e/år</v>
      </c>
      <c r="I105" s="1564" t="str">
        <f>[1]K_Summary!I95</f>
        <v/>
      </c>
      <c r="J105" s="1564" t="str">
        <f>[1]K_Summary!J95</f>
        <v/>
      </c>
      <c r="K105" s="1564" t="str">
        <f>[1]K_Summary!K95</f>
        <v/>
      </c>
      <c r="L105" s="1564" t="str">
        <f>[1]K_Summary!L95</f>
        <v/>
      </c>
      <c r="M105" s="1564" t="str">
        <f>[1]K_Summary!M95</f>
        <v/>
      </c>
      <c r="N105" s="6"/>
    </row>
    <row r="106" spans="2:14" x14ac:dyDescent="0.25">
      <c r="B106" s="15"/>
      <c r="C106" s="15"/>
      <c r="D106" s="289"/>
      <c r="E106" s="2113" t="str">
        <f>[1]K_Summary!E96</f>
        <v/>
      </c>
      <c r="F106" s="2113"/>
      <c r="G106" s="2113"/>
      <c r="H106" s="1563" t="str">
        <f t="shared" si="0"/>
        <v>t CO2e/år</v>
      </c>
      <c r="I106" s="1564" t="str">
        <f>[1]K_Summary!I96</f>
        <v/>
      </c>
      <c r="J106" s="1564" t="str">
        <f>[1]K_Summary!J96</f>
        <v/>
      </c>
      <c r="K106" s="1564" t="str">
        <f>[1]K_Summary!K96</f>
        <v/>
      </c>
      <c r="L106" s="1564" t="str">
        <f>[1]K_Summary!L96</f>
        <v/>
      </c>
      <c r="M106" s="1564" t="str">
        <f>[1]K_Summary!M96</f>
        <v/>
      </c>
      <c r="N106" s="6"/>
    </row>
    <row r="107" spans="2:14" x14ac:dyDescent="0.25">
      <c r="B107" s="15"/>
      <c r="C107" s="15"/>
      <c r="D107" s="289"/>
      <c r="E107" s="2113" t="str">
        <f>[1]K_Summary!E97</f>
        <v/>
      </c>
      <c r="F107" s="2113"/>
      <c r="G107" s="2113"/>
      <c r="H107" s="1563" t="str">
        <f t="shared" si="0"/>
        <v>t CO2e/år</v>
      </c>
      <c r="I107" s="1564" t="str">
        <f>[1]K_Summary!I97</f>
        <v/>
      </c>
      <c r="J107" s="1564" t="str">
        <f>[1]K_Summary!J97</f>
        <v/>
      </c>
      <c r="K107" s="1564" t="str">
        <f>[1]K_Summary!K97</f>
        <v/>
      </c>
      <c r="L107" s="1564" t="str">
        <f>[1]K_Summary!L97</f>
        <v/>
      </c>
      <c r="M107" s="1564" t="str">
        <f>[1]K_Summary!M97</f>
        <v/>
      </c>
      <c r="N107" s="6"/>
    </row>
    <row r="108" spans="2:14" ht="12.75" customHeight="1" x14ac:dyDescent="0.25">
      <c r="B108" s="15"/>
      <c r="C108" s="15"/>
      <c r="D108" s="289"/>
      <c r="E108" s="2113" t="str">
        <f>[1]K_Summary!E98</f>
        <v/>
      </c>
      <c r="F108" s="2113"/>
      <c r="G108" s="2113"/>
      <c r="H108" s="1563" t="str">
        <f t="shared" si="0"/>
        <v>t CO2e/år</v>
      </c>
      <c r="I108" s="1564" t="str">
        <f>[1]K_Summary!I98</f>
        <v/>
      </c>
      <c r="J108" s="1564" t="str">
        <f>[1]K_Summary!J98</f>
        <v/>
      </c>
      <c r="K108" s="1564" t="str">
        <f>[1]K_Summary!K98</f>
        <v/>
      </c>
      <c r="L108" s="1564" t="str">
        <f>[1]K_Summary!L98</f>
        <v/>
      </c>
      <c r="M108" s="1564" t="str">
        <f>[1]K_Summary!M98</f>
        <v/>
      </c>
      <c r="N108" s="6"/>
    </row>
    <row r="109" spans="2:14" ht="12.75" customHeight="1" x14ac:dyDescent="0.25">
      <c r="B109" s="15"/>
      <c r="C109" s="15"/>
      <c r="D109" s="289"/>
      <c r="E109" s="2113" t="str">
        <f>[1]K_Summary!E99</f>
        <v/>
      </c>
      <c r="F109" s="2113"/>
      <c r="G109" s="2113"/>
      <c r="H109" s="1563" t="str">
        <f t="shared" si="0"/>
        <v>t CO2e/år</v>
      </c>
      <c r="I109" s="1564" t="str">
        <f>[1]K_Summary!I99</f>
        <v/>
      </c>
      <c r="J109" s="1564" t="str">
        <f>[1]K_Summary!J99</f>
        <v/>
      </c>
      <c r="K109" s="1564" t="str">
        <f>[1]K_Summary!K99</f>
        <v/>
      </c>
      <c r="L109" s="1564" t="str">
        <f>[1]K_Summary!L99</f>
        <v/>
      </c>
      <c r="M109" s="1564" t="str">
        <f>[1]K_Summary!M99</f>
        <v/>
      </c>
      <c r="N109" s="6"/>
    </row>
    <row r="110" spans="2:14" x14ac:dyDescent="0.25">
      <c r="B110" s="15"/>
      <c r="C110" s="15"/>
      <c r="D110" s="289"/>
      <c r="E110" s="2113" t="str">
        <f>[1]K_Summary!E100</f>
        <v/>
      </c>
      <c r="F110" s="2113"/>
      <c r="G110" s="2113"/>
      <c r="H110" s="1563" t="str">
        <f t="shared" si="0"/>
        <v>t CO2e/år</v>
      </c>
      <c r="I110" s="1564" t="str">
        <f>[1]K_Summary!I100</f>
        <v/>
      </c>
      <c r="J110" s="1564" t="str">
        <f>[1]K_Summary!J100</f>
        <v/>
      </c>
      <c r="K110" s="1564" t="str">
        <f>[1]K_Summary!K100</f>
        <v/>
      </c>
      <c r="L110" s="1564" t="str">
        <f>[1]K_Summary!L100</f>
        <v/>
      </c>
      <c r="M110" s="1564" t="str">
        <f>[1]K_Summary!M100</f>
        <v/>
      </c>
      <c r="N110" s="6"/>
    </row>
    <row r="111" spans="2:14" ht="12.75" customHeight="1" x14ac:dyDescent="0.25">
      <c r="B111" s="15"/>
      <c r="C111" s="15"/>
      <c r="D111" s="289"/>
      <c r="E111" s="2113" t="str">
        <f>[1]K_Summary!E101</f>
        <v/>
      </c>
      <c r="F111" s="2113"/>
      <c r="G111" s="2113"/>
      <c r="H111" s="1563" t="str">
        <f t="shared" si="0"/>
        <v>t CO2e/år</v>
      </c>
      <c r="I111" s="1564" t="str">
        <f>[1]K_Summary!I101</f>
        <v/>
      </c>
      <c r="J111" s="1564" t="str">
        <f>[1]K_Summary!J101</f>
        <v/>
      </c>
      <c r="K111" s="1564" t="str">
        <f>[1]K_Summary!K101</f>
        <v/>
      </c>
      <c r="L111" s="1564" t="str">
        <f>[1]K_Summary!L101</f>
        <v/>
      </c>
      <c r="M111" s="1564" t="str">
        <f>[1]K_Summary!M101</f>
        <v/>
      </c>
      <c r="N111" s="6"/>
    </row>
    <row r="112" spans="2:14" ht="13.5" customHeight="1" x14ac:dyDescent="0.25">
      <c r="B112" s="15"/>
      <c r="C112" s="15"/>
      <c r="D112" s="289"/>
      <c r="E112" s="2098" t="str">
        <f>[1]K_Summary!E102</f>
        <v/>
      </c>
      <c r="F112" s="2098"/>
      <c r="G112" s="2098"/>
      <c r="H112" s="1565" t="str">
        <f t="shared" si="0"/>
        <v>t CO2e/år</v>
      </c>
      <c r="I112" s="1566" t="str">
        <f>[1]K_Summary!I102</f>
        <v/>
      </c>
      <c r="J112" s="1566" t="str">
        <f>[1]K_Summary!J102</f>
        <v/>
      </c>
      <c r="K112" s="1566" t="str">
        <f>[1]K_Summary!K102</f>
        <v/>
      </c>
      <c r="L112" s="1566" t="str">
        <f>[1]K_Summary!L102</f>
        <v/>
      </c>
      <c r="M112" s="1566" t="str">
        <f>[1]K_Summary!M102</f>
        <v/>
      </c>
      <c r="N112" s="6"/>
    </row>
    <row r="113" spans="2:14" ht="12.75" customHeight="1" x14ac:dyDescent="0.25">
      <c r="B113" s="15"/>
      <c r="C113" s="15"/>
      <c r="D113" s="289"/>
      <c r="E113" s="2041" t="str">
        <f>Translations!$B$1315</f>
        <v>Delanläggning med värmeriktmärke, KL</v>
      </c>
      <c r="F113" s="2041"/>
      <c r="G113" s="2041"/>
      <c r="H113" s="1563" t="str">
        <f t="shared" si="0"/>
        <v>t CO2e/år</v>
      </c>
      <c r="I113" s="1564" t="str">
        <f>[1]K_Summary!I103</f>
        <v/>
      </c>
      <c r="J113" s="1564" t="str">
        <f>[1]K_Summary!J103</f>
        <v/>
      </c>
      <c r="K113" s="1564" t="str">
        <f>[1]K_Summary!K103</f>
        <v/>
      </c>
      <c r="L113" s="1564" t="str">
        <f>[1]K_Summary!L103</f>
        <v/>
      </c>
      <c r="M113" s="1564" t="str">
        <f>[1]K_Summary!M103</f>
        <v/>
      </c>
      <c r="N113" s="6"/>
    </row>
    <row r="114" spans="2:14" ht="12.75" customHeight="1" x14ac:dyDescent="0.25">
      <c r="B114" s="15"/>
      <c r="C114" s="15"/>
      <c r="D114" s="289"/>
      <c r="E114" s="2044" t="str">
        <f>Translations!$B$1316</f>
        <v>Delanläggning med värmeriktmärke, ej KL</v>
      </c>
      <c r="F114" s="2044"/>
      <c r="G114" s="2044"/>
      <c r="H114" s="1567" t="str">
        <f t="shared" si="0"/>
        <v>t CO2e/år</v>
      </c>
      <c r="I114" s="1568" t="str">
        <f>[1]K_Summary!I104</f>
        <v/>
      </c>
      <c r="J114" s="1568" t="str">
        <f>[1]K_Summary!J104</f>
        <v/>
      </c>
      <c r="K114" s="1568" t="str">
        <f>[1]K_Summary!K104</f>
        <v/>
      </c>
      <c r="L114" s="1568" t="str">
        <f>[1]K_Summary!L104</f>
        <v/>
      </c>
      <c r="M114" s="1568" t="str">
        <f>[1]K_Summary!M104</f>
        <v/>
      </c>
      <c r="N114" s="6"/>
    </row>
    <row r="115" spans="2:14" ht="12.75" customHeight="1" x14ac:dyDescent="0.25">
      <c r="B115" s="15"/>
      <c r="C115" s="15"/>
      <c r="D115" s="289"/>
      <c r="E115" s="2044" t="str">
        <f>Translations!$B$1317</f>
        <v>Fjärrvärmedelanläggning</v>
      </c>
      <c r="F115" s="2044"/>
      <c r="G115" s="2044"/>
      <c r="H115" s="1569" t="str">
        <f t="shared" si="0"/>
        <v>t CO2e/år</v>
      </c>
      <c r="I115" s="1568" t="str">
        <f>[1]K_Summary!I105</f>
        <v/>
      </c>
      <c r="J115" s="1568" t="str">
        <f>[1]K_Summary!J105</f>
        <v/>
      </c>
      <c r="K115" s="1568" t="str">
        <f>[1]K_Summary!K105</f>
        <v/>
      </c>
      <c r="L115" s="1568" t="str">
        <f>[1]K_Summary!L105</f>
        <v/>
      </c>
      <c r="M115" s="1568" t="str">
        <f>[1]K_Summary!M105</f>
        <v/>
      </c>
      <c r="N115" s="6"/>
    </row>
    <row r="116" spans="2:14" ht="12.75" customHeight="1" x14ac:dyDescent="0.25">
      <c r="B116" s="15"/>
      <c r="C116" s="15"/>
      <c r="D116" s="289"/>
      <c r="E116" s="2044" t="str">
        <f>Translations!$B$1318</f>
        <v>Delanläggning med bränsleriktmärke, KL</v>
      </c>
      <c r="F116" s="2044"/>
      <c r="G116" s="2044"/>
      <c r="H116" s="1567" t="str">
        <f t="shared" si="0"/>
        <v>t CO2e/år</v>
      </c>
      <c r="I116" s="1570" t="str">
        <f>[1]K_Summary!I106</f>
        <v/>
      </c>
      <c r="J116" s="1570" t="str">
        <f>[1]K_Summary!J106</f>
        <v/>
      </c>
      <c r="K116" s="1570" t="str">
        <f>[1]K_Summary!K106</f>
        <v/>
      </c>
      <c r="L116" s="1570" t="str">
        <f>[1]K_Summary!L106</f>
        <v/>
      </c>
      <c r="M116" s="1570" t="str">
        <f>[1]K_Summary!M106</f>
        <v/>
      </c>
      <c r="N116" s="6"/>
    </row>
    <row r="117" spans="2:14" ht="12.75" customHeight="1" thickBot="1" x14ac:dyDescent="0.3">
      <c r="B117" s="15"/>
      <c r="C117" s="15"/>
      <c r="D117" s="289"/>
      <c r="E117" s="2140" t="str">
        <f>Translations!$B$1319</f>
        <v>Delanläggning med bränsleriktmärke, ej KL</v>
      </c>
      <c r="F117" s="2140"/>
      <c r="G117" s="2140"/>
      <c r="H117" s="1571" t="str">
        <f t="shared" si="0"/>
        <v>t CO2e/år</v>
      </c>
      <c r="I117" s="1572" t="str">
        <f>[1]K_Summary!I107</f>
        <v/>
      </c>
      <c r="J117" s="1572" t="str">
        <f>[1]K_Summary!J107</f>
        <v/>
      </c>
      <c r="K117" s="1572" t="str">
        <f>[1]K_Summary!K107</f>
        <v/>
      </c>
      <c r="L117" s="1572" t="str">
        <f>[1]K_Summary!L107</f>
        <v/>
      </c>
      <c r="M117" s="1572" t="str">
        <f>[1]K_Summary!M107</f>
        <v/>
      </c>
      <c r="N117" s="6"/>
    </row>
    <row r="118" spans="2:14" ht="12.75" customHeight="1" x14ac:dyDescent="0.25">
      <c r="B118" s="15"/>
      <c r="C118" s="15"/>
      <c r="D118" s="289"/>
      <c r="E118" s="2141" t="str">
        <f>Translations!$B$1320</f>
        <v>Delanläggning med processutsläpp, KL</v>
      </c>
      <c r="F118" s="2146"/>
      <c r="G118" s="2146"/>
      <c r="H118" s="560" t="str">
        <f t="shared" si="0"/>
        <v>t CO2e/år</v>
      </c>
      <c r="I118" s="262" t="str">
        <f>[1]K_Summary!I108</f>
        <v/>
      </c>
      <c r="J118" s="262" t="str">
        <f>[1]K_Summary!J108</f>
        <v/>
      </c>
      <c r="K118" s="262" t="str">
        <f>[1]K_Summary!K108</f>
        <v/>
      </c>
      <c r="L118" s="262" t="str">
        <f>[1]K_Summary!L108</f>
        <v/>
      </c>
      <c r="M118" s="262" t="str">
        <f>[1]K_Summary!M108</f>
        <v/>
      </c>
      <c r="N118" s="6"/>
    </row>
    <row r="119" spans="2:14" ht="13.5" customHeight="1" thickBot="1" x14ac:dyDescent="0.3">
      <c r="B119" s="15"/>
      <c r="C119" s="15"/>
      <c r="D119" s="289"/>
      <c r="E119" s="2143" t="str">
        <f>Translations!$B$1321</f>
        <v>Delanläggning med processutsläpp, ej KL</v>
      </c>
      <c r="F119" s="2147"/>
      <c r="G119" s="2147"/>
      <c r="H119" s="561" t="str">
        <f t="shared" si="0"/>
        <v>t CO2e/år</v>
      </c>
      <c r="I119" s="261" t="str">
        <f>[1]K_Summary!I109</f>
        <v/>
      </c>
      <c r="J119" s="261" t="str">
        <f>[1]K_Summary!J109</f>
        <v/>
      </c>
      <c r="K119" s="261" t="str">
        <f>[1]K_Summary!K109</f>
        <v/>
      </c>
      <c r="L119" s="261" t="str">
        <f>[1]K_Summary!L109</f>
        <v/>
      </c>
      <c r="M119" s="261" t="str">
        <f>[1]K_Summary!M109</f>
        <v/>
      </c>
      <c r="N119" s="6"/>
    </row>
    <row r="120" spans="2:14" ht="12.75" customHeight="1" x14ac:dyDescent="0.25">
      <c r="B120" s="15"/>
      <c r="C120" s="15"/>
      <c r="D120" s="289"/>
      <c r="E120" s="2145" t="str">
        <f>Translations!$B$1003</f>
        <v>Kontroll: Andra utsläpp</v>
      </c>
      <c r="F120" s="2145"/>
      <c r="G120" s="2145"/>
      <c r="H120" s="1565" t="str">
        <f t="shared" si="0"/>
        <v>t CO2e/år</v>
      </c>
      <c r="I120" s="575" t="str">
        <f>[1]K_Summary!I110</f>
        <v/>
      </c>
      <c r="J120" s="575" t="str">
        <f>[1]K_Summary!J110</f>
        <v/>
      </c>
      <c r="K120" s="575" t="str">
        <f>[1]K_Summary!K110</f>
        <v/>
      </c>
      <c r="L120" s="575" t="str">
        <f>[1]K_Summary!L110</f>
        <v/>
      </c>
      <c r="M120" s="575" t="str">
        <f>[1]K_Summary!M110</f>
        <v/>
      </c>
      <c r="N120" s="6"/>
    </row>
    <row r="121" spans="2:14" x14ac:dyDescent="0.25">
      <c r="B121" s="3"/>
      <c r="C121" s="3"/>
      <c r="D121" s="15"/>
      <c r="E121" s="16"/>
      <c r="F121" s="16"/>
      <c r="G121" s="16"/>
      <c r="H121" s="16"/>
      <c r="I121" s="16"/>
      <c r="J121" s="20"/>
      <c r="K121" s="20"/>
      <c r="L121" s="20"/>
      <c r="M121" s="6"/>
      <c r="N121" s="6"/>
    </row>
    <row r="122" spans="2:14" ht="13" x14ac:dyDescent="0.25">
      <c r="B122" s="15"/>
      <c r="C122" s="15"/>
      <c r="D122" s="15"/>
      <c r="E122" s="24" t="str">
        <f>Translations!$B$1002</f>
        <v>Uppgifter på delanläggningsnivå:</v>
      </c>
      <c r="F122" s="24"/>
      <c r="G122" s="24"/>
      <c r="H122" s="31" t="str">
        <f>Translations!$B$1014</f>
        <v>Enhet</v>
      </c>
      <c r="I122" s="320">
        <v>2014</v>
      </c>
      <c r="J122" s="320">
        <v>2015</v>
      </c>
      <c r="K122" s="320">
        <v>2016</v>
      </c>
      <c r="L122" s="320">
        <v>2017</v>
      </c>
      <c r="M122" s="320">
        <v>2018</v>
      </c>
      <c r="N122" s="6"/>
    </row>
    <row r="123" spans="2:14" x14ac:dyDescent="0.25">
      <c r="B123" s="15"/>
      <c r="C123" s="15"/>
      <c r="D123" s="289"/>
      <c r="E123" s="2148" t="str">
        <f>[1]K_Summary!E113</f>
        <v/>
      </c>
      <c r="F123" s="2148"/>
      <c r="G123" s="2148"/>
      <c r="H123" s="562" t="s">
        <v>1113</v>
      </c>
      <c r="I123" s="1562" t="str">
        <f>[1]K_Summary!I113</f>
        <v/>
      </c>
      <c r="J123" s="1562" t="str">
        <f>[1]K_Summary!J113</f>
        <v/>
      </c>
      <c r="K123" s="1562" t="str">
        <f>[1]K_Summary!K113</f>
        <v/>
      </c>
      <c r="L123" s="1562" t="str">
        <f>[1]K_Summary!L113</f>
        <v/>
      </c>
      <c r="M123" s="1562" t="str">
        <f>[1]K_Summary!M113</f>
        <v/>
      </c>
      <c r="N123" s="6"/>
    </row>
    <row r="124" spans="2:14" x14ac:dyDescent="0.25">
      <c r="B124" s="15"/>
      <c r="C124" s="15"/>
      <c r="D124" s="289"/>
      <c r="E124" s="2113" t="str">
        <f>[1]K_Summary!E114</f>
        <v/>
      </c>
      <c r="F124" s="2113"/>
      <c r="G124" s="2113"/>
      <c r="H124" s="1563" t="s">
        <v>1113</v>
      </c>
      <c r="I124" s="1564" t="str">
        <f>[1]K_Summary!I114</f>
        <v/>
      </c>
      <c r="J124" s="1564" t="str">
        <f>[1]K_Summary!J114</f>
        <v/>
      </c>
      <c r="K124" s="1564" t="str">
        <f>[1]K_Summary!K114</f>
        <v/>
      </c>
      <c r="L124" s="1564" t="str">
        <f>[1]K_Summary!L114</f>
        <v/>
      </c>
      <c r="M124" s="1564" t="str">
        <f>[1]K_Summary!M114</f>
        <v/>
      </c>
      <c r="N124" s="6"/>
    </row>
    <row r="125" spans="2:14" x14ac:dyDescent="0.25">
      <c r="B125" s="15"/>
      <c r="C125" s="15"/>
      <c r="D125" s="289"/>
      <c r="E125" s="2113" t="str">
        <f>[1]K_Summary!E115</f>
        <v/>
      </c>
      <c r="F125" s="2113"/>
      <c r="G125" s="2113"/>
      <c r="H125" s="1563" t="s">
        <v>1113</v>
      </c>
      <c r="I125" s="1564" t="str">
        <f>[1]K_Summary!I115</f>
        <v/>
      </c>
      <c r="J125" s="1564" t="str">
        <f>[1]K_Summary!J115</f>
        <v/>
      </c>
      <c r="K125" s="1564" t="str">
        <f>[1]K_Summary!K115</f>
        <v/>
      </c>
      <c r="L125" s="1564" t="str">
        <f>[1]K_Summary!L115</f>
        <v/>
      </c>
      <c r="M125" s="1564" t="str">
        <f>[1]K_Summary!M115</f>
        <v/>
      </c>
      <c r="N125" s="6"/>
    </row>
    <row r="126" spans="2:14" x14ac:dyDescent="0.25">
      <c r="B126" s="15"/>
      <c r="C126" s="15"/>
      <c r="D126" s="289"/>
      <c r="E126" s="2113" t="str">
        <f>[1]K_Summary!E116</f>
        <v/>
      </c>
      <c r="F126" s="2113"/>
      <c r="G126" s="2113"/>
      <c r="H126" s="1563" t="s">
        <v>1113</v>
      </c>
      <c r="I126" s="1564" t="str">
        <f>[1]K_Summary!I116</f>
        <v/>
      </c>
      <c r="J126" s="1564" t="str">
        <f>[1]K_Summary!J116</f>
        <v/>
      </c>
      <c r="K126" s="1564" t="str">
        <f>[1]K_Summary!K116</f>
        <v/>
      </c>
      <c r="L126" s="1564" t="str">
        <f>[1]K_Summary!L116</f>
        <v/>
      </c>
      <c r="M126" s="1564" t="str">
        <f>[1]K_Summary!M116</f>
        <v/>
      </c>
      <c r="N126" s="6"/>
    </row>
    <row r="127" spans="2:14" x14ac:dyDescent="0.25">
      <c r="B127" s="15"/>
      <c r="C127" s="15"/>
      <c r="D127" s="289"/>
      <c r="E127" s="2113" t="str">
        <f>[1]K_Summary!E117</f>
        <v/>
      </c>
      <c r="F127" s="2113"/>
      <c r="G127" s="2113"/>
      <c r="H127" s="1563" t="s">
        <v>1113</v>
      </c>
      <c r="I127" s="1564" t="str">
        <f>[1]K_Summary!I117</f>
        <v/>
      </c>
      <c r="J127" s="1564" t="str">
        <f>[1]K_Summary!J117</f>
        <v/>
      </c>
      <c r="K127" s="1564" t="str">
        <f>[1]K_Summary!K117</f>
        <v/>
      </c>
      <c r="L127" s="1564" t="str">
        <f>[1]K_Summary!L117</f>
        <v/>
      </c>
      <c r="M127" s="1564" t="str">
        <f>[1]K_Summary!M117</f>
        <v/>
      </c>
      <c r="N127" s="6"/>
    </row>
    <row r="128" spans="2:14" x14ac:dyDescent="0.25">
      <c r="B128" s="15"/>
      <c r="C128" s="15"/>
      <c r="D128" s="289"/>
      <c r="E128" s="2113" t="str">
        <f>[1]K_Summary!E118</f>
        <v/>
      </c>
      <c r="F128" s="2113"/>
      <c r="G128" s="2113"/>
      <c r="H128" s="1563" t="s">
        <v>1113</v>
      </c>
      <c r="I128" s="1564" t="str">
        <f>[1]K_Summary!I118</f>
        <v/>
      </c>
      <c r="J128" s="1564" t="str">
        <f>[1]K_Summary!J118</f>
        <v/>
      </c>
      <c r="K128" s="1564" t="str">
        <f>[1]K_Summary!K118</f>
        <v/>
      </c>
      <c r="L128" s="1564" t="str">
        <f>[1]K_Summary!L118</f>
        <v/>
      </c>
      <c r="M128" s="1564" t="str">
        <f>[1]K_Summary!M118</f>
        <v/>
      </c>
      <c r="N128" s="6"/>
    </row>
    <row r="129" spans="2:14" x14ac:dyDescent="0.25">
      <c r="B129" s="15"/>
      <c r="C129" s="15"/>
      <c r="D129" s="289"/>
      <c r="E129" s="2113" t="str">
        <f>[1]K_Summary!E119</f>
        <v/>
      </c>
      <c r="F129" s="2113"/>
      <c r="G129" s="2113"/>
      <c r="H129" s="1563" t="s">
        <v>1113</v>
      </c>
      <c r="I129" s="1564" t="str">
        <f>[1]K_Summary!I119</f>
        <v/>
      </c>
      <c r="J129" s="1564" t="str">
        <f>[1]K_Summary!J119</f>
        <v/>
      </c>
      <c r="K129" s="1564" t="str">
        <f>[1]K_Summary!K119</f>
        <v/>
      </c>
      <c r="L129" s="1564" t="str">
        <f>[1]K_Summary!L119</f>
        <v/>
      </c>
      <c r="M129" s="1564" t="str">
        <f>[1]K_Summary!M119</f>
        <v/>
      </c>
      <c r="N129" s="6"/>
    </row>
    <row r="130" spans="2:14" x14ac:dyDescent="0.25">
      <c r="B130" s="15"/>
      <c r="C130" s="15"/>
      <c r="D130" s="289"/>
      <c r="E130" s="2113" t="str">
        <f>[1]K_Summary!E120</f>
        <v/>
      </c>
      <c r="F130" s="2113"/>
      <c r="G130" s="2113"/>
      <c r="H130" s="1563" t="s">
        <v>1113</v>
      </c>
      <c r="I130" s="1564" t="str">
        <f>[1]K_Summary!I120</f>
        <v/>
      </c>
      <c r="J130" s="1564" t="str">
        <f>[1]K_Summary!J120</f>
        <v/>
      </c>
      <c r="K130" s="1564" t="str">
        <f>[1]K_Summary!K120</f>
        <v/>
      </c>
      <c r="L130" s="1564" t="str">
        <f>[1]K_Summary!L120</f>
        <v/>
      </c>
      <c r="M130" s="1564" t="str">
        <f>[1]K_Summary!M120</f>
        <v/>
      </c>
      <c r="N130" s="6"/>
    </row>
    <row r="131" spans="2:14" x14ac:dyDescent="0.25">
      <c r="B131" s="15"/>
      <c r="C131" s="15"/>
      <c r="D131" s="289"/>
      <c r="E131" s="2113" t="str">
        <f>[1]K_Summary!E121</f>
        <v/>
      </c>
      <c r="F131" s="2113"/>
      <c r="G131" s="2113"/>
      <c r="H131" s="1563" t="s">
        <v>1113</v>
      </c>
      <c r="I131" s="1564" t="str">
        <f>[1]K_Summary!I121</f>
        <v/>
      </c>
      <c r="J131" s="1564" t="str">
        <f>[1]K_Summary!J121</f>
        <v/>
      </c>
      <c r="K131" s="1564" t="str">
        <f>[1]K_Summary!K121</f>
        <v/>
      </c>
      <c r="L131" s="1564" t="str">
        <f>[1]K_Summary!L121</f>
        <v/>
      </c>
      <c r="M131" s="1564" t="str">
        <f>[1]K_Summary!M121</f>
        <v/>
      </c>
      <c r="N131" s="6"/>
    </row>
    <row r="132" spans="2:14" x14ac:dyDescent="0.25">
      <c r="B132" s="15"/>
      <c r="C132" s="15"/>
      <c r="D132" s="289"/>
      <c r="E132" s="2098" t="str">
        <f>[1]K_Summary!E122</f>
        <v/>
      </c>
      <c r="F132" s="2098"/>
      <c r="G132" s="2098"/>
      <c r="H132" s="1573" t="s">
        <v>1113</v>
      </c>
      <c r="I132" s="1566" t="str">
        <f>[1]K_Summary!I122</f>
        <v/>
      </c>
      <c r="J132" s="1566" t="str">
        <f>[1]K_Summary!J122</f>
        <v/>
      </c>
      <c r="K132" s="1566" t="str">
        <f>[1]K_Summary!K122</f>
        <v/>
      </c>
      <c r="L132" s="1566" t="str">
        <f>[1]K_Summary!L122</f>
        <v/>
      </c>
      <c r="M132" s="1566" t="str">
        <f>[1]K_Summary!M122</f>
        <v/>
      </c>
      <c r="N132" s="6"/>
    </row>
    <row r="133" spans="2:14" ht="12.75" customHeight="1" x14ac:dyDescent="0.25">
      <c r="B133" s="15"/>
      <c r="C133" s="15"/>
      <c r="D133" s="289"/>
      <c r="E133" s="2128" t="str">
        <f>Translations!$B$1315</f>
        <v>Delanläggning med värmeriktmärke, KL</v>
      </c>
      <c r="F133" s="2128"/>
      <c r="G133" s="2128"/>
      <c r="H133" s="1563" t="s">
        <v>1113</v>
      </c>
      <c r="I133" s="1564" t="str">
        <f>[1]K_Summary!I123</f>
        <v/>
      </c>
      <c r="J133" s="1564" t="str">
        <f>[1]K_Summary!J123</f>
        <v/>
      </c>
      <c r="K133" s="1564" t="str">
        <f>[1]K_Summary!K123</f>
        <v/>
      </c>
      <c r="L133" s="1564" t="str">
        <f>[1]K_Summary!L123</f>
        <v/>
      </c>
      <c r="M133" s="1564" t="str">
        <f>[1]K_Summary!M123</f>
        <v/>
      </c>
      <c r="N133" s="6"/>
    </row>
    <row r="134" spans="2:14" ht="12.75" customHeight="1" x14ac:dyDescent="0.25">
      <c r="B134" s="15"/>
      <c r="C134" s="15"/>
      <c r="D134" s="289"/>
      <c r="E134" s="2044" t="str">
        <f>Translations!$B$1316</f>
        <v>Delanläggning med värmeriktmärke, ej KL</v>
      </c>
      <c r="F134" s="2044"/>
      <c r="G134" s="2044"/>
      <c r="H134" s="1569" t="s">
        <v>1113</v>
      </c>
      <c r="I134" s="1568" t="str">
        <f>[1]K_Summary!I124</f>
        <v/>
      </c>
      <c r="J134" s="1568" t="str">
        <f>[1]K_Summary!J124</f>
        <v/>
      </c>
      <c r="K134" s="1568" t="str">
        <f>[1]K_Summary!K124</f>
        <v/>
      </c>
      <c r="L134" s="1568" t="str">
        <f>[1]K_Summary!L124</f>
        <v/>
      </c>
      <c r="M134" s="1568" t="str">
        <f>[1]K_Summary!M124</f>
        <v/>
      </c>
      <c r="N134" s="6"/>
    </row>
    <row r="135" spans="2:14" ht="12.75" customHeight="1" x14ac:dyDescent="0.25">
      <c r="B135" s="15"/>
      <c r="C135" s="15"/>
      <c r="D135" s="289"/>
      <c r="E135" s="2044" t="str">
        <f>Translations!$B$1317</f>
        <v>Fjärrvärmedelanläggning</v>
      </c>
      <c r="F135" s="2044"/>
      <c r="G135" s="2044"/>
      <c r="H135" s="1569" t="s">
        <v>1113</v>
      </c>
      <c r="I135" s="1568" t="str">
        <f>[1]K_Summary!I125</f>
        <v/>
      </c>
      <c r="J135" s="1568" t="str">
        <f>[1]K_Summary!J125</f>
        <v/>
      </c>
      <c r="K135" s="1568" t="str">
        <f>[1]K_Summary!K125</f>
        <v/>
      </c>
      <c r="L135" s="1568" t="str">
        <f>[1]K_Summary!L125</f>
        <v/>
      </c>
      <c r="M135" s="1568" t="str">
        <f>[1]K_Summary!M125</f>
        <v/>
      </c>
      <c r="N135" s="6"/>
    </row>
    <row r="136" spans="2:14" ht="12.75" customHeight="1" x14ac:dyDescent="0.25">
      <c r="B136" s="15"/>
      <c r="C136" s="15"/>
      <c r="D136" s="289"/>
      <c r="E136" s="2044" t="str">
        <f>Translations!$B$1318</f>
        <v>Delanläggning med bränsleriktmärke, KL</v>
      </c>
      <c r="F136" s="2044"/>
      <c r="G136" s="2044"/>
      <c r="H136" s="1569" t="s">
        <v>1113</v>
      </c>
      <c r="I136" s="1570" t="str">
        <f>[1]K_Summary!I126</f>
        <v/>
      </c>
      <c r="J136" s="1570" t="str">
        <f>[1]K_Summary!J126</f>
        <v/>
      </c>
      <c r="K136" s="1570" t="str">
        <f>[1]K_Summary!K126</f>
        <v/>
      </c>
      <c r="L136" s="1570" t="str">
        <f>[1]K_Summary!L126</f>
        <v/>
      </c>
      <c r="M136" s="1570" t="str">
        <f>[1]K_Summary!M126</f>
        <v/>
      </c>
      <c r="N136" s="6"/>
    </row>
    <row r="137" spans="2:14" ht="12.75" customHeight="1" thickBot="1" x14ac:dyDescent="0.3">
      <c r="B137" s="15"/>
      <c r="C137" s="15"/>
      <c r="D137" s="289"/>
      <c r="E137" s="2140" t="str">
        <f>Translations!$B$1319</f>
        <v>Delanläggning med bränsleriktmärke, ej KL</v>
      </c>
      <c r="F137" s="2140"/>
      <c r="G137" s="2140"/>
      <c r="H137" s="1571" t="s">
        <v>1113</v>
      </c>
      <c r="I137" s="1572" t="str">
        <f>[1]K_Summary!I127</f>
        <v/>
      </c>
      <c r="J137" s="1572" t="str">
        <f>[1]K_Summary!J127</f>
        <v/>
      </c>
      <c r="K137" s="1572" t="str">
        <f>[1]K_Summary!K127</f>
        <v/>
      </c>
      <c r="L137" s="1572" t="str">
        <f>[1]K_Summary!L127</f>
        <v/>
      </c>
      <c r="M137" s="1572" t="str">
        <f>[1]K_Summary!M127</f>
        <v/>
      </c>
      <c r="N137" s="6"/>
    </row>
    <row r="138" spans="2:14" ht="12.75" customHeight="1" x14ac:dyDescent="0.25">
      <c r="B138" s="15"/>
      <c r="C138" s="15"/>
      <c r="D138" s="289"/>
      <c r="E138" s="2141" t="str">
        <f>Translations!$B$1320</f>
        <v>Delanläggning med processutsläpp, KL</v>
      </c>
      <c r="F138" s="2142"/>
      <c r="G138" s="2142"/>
      <c r="H138" s="560" t="s">
        <v>1113</v>
      </c>
      <c r="I138" s="262" t="str">
        <f>[1]K_Summary!I128</f>
        <v/>
      </c>
      <c r="J138" s="262" t="str">
        <f>[1]K_Summary!J128</f>
        <v/>
      </c>
      <c r="K138" s="262" t="str">
        <f>[1]K_Summary!K128</f>
        <v/>
      </c>
      <c r="L138" s="262" t="str">
        <f>[1]K_Summary!L128</f>
        <v/>
      </c>
      <c r="M138" s="262" t="str">
        <f>[1]K_Summary!M128</f>
        <v/>
      </c>
      <c r="N138" s="6"/>
    </row>
    <row r="139" spans="2:14" ht="13.5" customHeight="1" thickBot="1" x14ac:dyDescent="0.3">
      <c r="B139" s="15"/>
      <c r="C139" s="15"/>
      <c r="D139" s="289"/>
      <c r="E139" s="2143" t="str">
        <f>Translations!$B$1321</f>
        <v>Delanläggning med processutsläpp, ej KL</v>
      </c>
      <c r="F139" s="2144"/>
      <c r="G139" s="2144"/>
      <c r="H139" s="561" t="s">
        <v>1113</v>
      </c>
      <c r="I139" s="261" t="str">
        <f>[1]K_Summary!I129</f>
        <v/>
      </c>
      <c r="J139" s="261" t="str">
        <f>[1]K_Summary!J129</f>
        <v/>
      </c>
      <c r="K139" s="261" t="str">
        <f>[1]K_Summary!K129</f>
        <v/>
      </c>
      <c r="L139" s="261" t="str">
        <f>[1]K_Summary!L129</f>
        <v/>
      </c>
      <c r="M139" s="261" t="str">
        <f>[1]K_Summary!M129</f>
        <v/>
      </c>
      <c r="N139" s="6"/>
    </row>
    <row r="140" spans="2:14" ht="13.5" customHeight="1" x14ac:dyDescent="0.25">
      <c r="B140" s="15"/>
      <c r="C140" s="15"/>
      <c r="D140" s="289"/>
      <c r="E140" s="2145" t="str">
        <f>Translations!$B$1003</f>
        <v>Kontroll: Andra utsläpp</v>
      </c>
      <c r="F140" s="2145"/>
      <c r="G140" s="2145"/>
      <c r="H140" s="1565" t="s">
        <v>1113</v>
      </c>
      <c r="I140" s="575" t="str">
        <f>[1]K_Summary!I130</f>
        <v/>
      </c>
      <c r="J140" s="575" t="str">
        <f>[1]K_Summary!J130</f>
        <v/>
      </c>
      <c r="K140" s="575" t="str">
        <f>[1]K_Summary!K130</f>
        <v/>
      </c>
      <c r="L140" s="575" t="str">
        <f>[1]K_Summary!L130</f>
        <v/>
      </c>
      <c r="M140" s="575" t="str">
        <f>[1]K_Summary!M130</f>
        <v/>
      </c>
      <c r="N140" s="6"/>
    </row>
    <row r="141" spans="2:14" ht="12.75" customHeight="1" x14ac:dyDescent="0.25">
      <c r="B141" s="15"/>
      <c r="C141" s="15"/>
      <c r="D141" s="15"/>
      <c r="E141" s="15"/>
      <c r="F141" s="15"/>
      <c r="G141" s="15"/>
      <c r="H141" s="15"/>
      <c r="I141" s="15"/>
      <c r="J141" s="15"/>
      <c r="K141" s="15"/>
      <c r="L141" s="15"/>
      <c r="M141" s="15"/>
      <c r="N141" s="15"/>
    </row>
    <row r="142" spans="2:14" ht="12.75" customHeight="1" x14ac:dyDescent="0.3">
      <c r="B142" s="15"/>
      <c r="C142" s="17">
        <v>3</v>
      </c>
      <c r="D142" s="2053" t="str">
        <f>Translations!$B$1004</f>
        <v>Kraftvärmeverktyget – avsnitt D.III</v>
      </c>
      <c r="E142" s="1963"/>
      <c r="F142" s="1963"/>
      <c r="G142" s="1963"/>
      <c r="H142" s="1963"/>
      <c r="I142" s="1963"/>
      <c r="J142" s="1963"/>
      <c r="K142" s="1963"/>
      <c r="L142" s="1963"/>
      <c r="M142" s="1963"/>
      <c r="N142" s="1963"/>
    </row>
    <row r="143" spans="2:14" ht="5.15" customHeight="1" x14ac:dyDescent="0.25">
      <c r="B143" s="3"/>
      <c r="C143" s="3"/>
      <c r="D143" s="3"/>
      <c r="E143" s="3"/>
      <c r="F143" s="3"/>
      <c r="G143" s="3"/>
      <c r="H143" s="3"/>
      <c r="I143" s="3"/>
      <c r="J143" s="3"/>
      <c r="K143" s="3"/>
      <c r="L143" s="3"/>
      <c r="M143" s="6"/>
      <c r="N143" s="6"/>
    </row>
    <row r="144" spans="2:14" ht="12.75" customHeight="1" x14ac:dyDescent="0.25">
      <c r="B144" s="15"/>
      <c r="C144" s="3"/>
      <c r="D144" s="13" t="s">
        <v>442</v>
      </c>
      <c r="E144" s="2106" t="str">
        <f>Translations!$B$1005</f>
        <v>Kraftvärmeverktyg 1</v>
      </c>
      <c r="F144" s="2106"/>
      <c r="G144" s="2106"/>
      <c r="H144" s="2106"/>
      <c r="I144" s="2106"/>
      <c r="J144" s="2106"/>
      <c r="K144" s="2106"/>
      <c r="L144" s="2107"/>
      <c r="M144" s="1789" t="str">
        <f>[1]K_Summary!M134</f>
        <v/>
      </c>
      <c r="N144" s="356"/>
    </row>
    <row r="145" spans="2:14" ht="5.15" customHeight="1" x14ac:dyDescent="0.25">
      <c r="B145" s="15"/>
      <c r="C145" s="15"/>
      <c r="D145" s="15"/>
      <c r="E145" s="15"/>
      <c r="F145" s="15"/>
      <c r="G145" s="15"/>
      <c r="H145" s="15"/>
      <c r="I145" s="15"/>
      <c r="J145" s="15"/>
      <c r="K145" s="15"/>
      <c r="L145" s="15"/>
      <c r="M145" s="15"/>
      <c r="N145" s="15"/>
    </row>
    <row r="146" spans="2:14" ht="12.75" customHeight="1" x14ac:dyDescent="0.25">
      <c r="B146" s="15"/>
      <c r="C146" s="15"/>
      <c r="D146" s="15"/>
      <c r="E146" s="2139" t="str">
        <f>Translations!$B$1006</f>
        <v>Energibalans</v>
      </c>
      <c r="F146" s="2000"/>
      <c r="G146" s="2000"/>
      <c r="H146" s="31" t="str">
        <f>Translations!$B$1014</f>
        <v>Enhet</v>
      </c>
      <c r="I146" s="320">
        <v>2014</v>
      </c>
      <c r="J146" s="320">
        <v>2015</v>
      </c>
      <c r="K146" s="320">
        <v>2016</v>
      </c>
      <c r="L146" s="320">
        <v>2017</v>
      </c>
      <c r="M146" s="320">
        <v>2018</v>
      </c>
      <c r="N146" s="15"/>
    </row>
    <row r="147" spans="2:14" ht="12.75" customHeight="1" x14ac:dyDescent="0.25">
      <c r="B147" s="15"/>
      <c r="C147" s="15"/>
      <c r="D147" s="15"/>
      <c r="E147" s="2119" t="str">
        <f>Translations!$B$252</f>
        <v>Insatsbränsle till kraftvärmeenheten</v>
      </c>
      <c r="F147" s="2119"/>
      <c r="G147" s="2119"/>
      <c r="H147" s="129" t="str">
        <f>EUconst_TJpa</f>
        <v>TJ / år</v>
      </c>
      <c r="I147" s="742" t="str">
        <f>[1]K_Summary!I137</f>
        <v/>
      </c>
      <c r="J147" s="742" t="str">
        <f>[1]K_Summary!J137</f>
        <v/>
      </c>
      <c r="K147" s="742" t="str">
        <f>[1]K_Summary!K137</f>
        <v/>
      </c>
      <c r="L147" s="742" t="str">
        <f>[1]K_Summary!L137</f>
        <v/>
      </c>
      <c r="M147" s="742" t="str">
        <f>[1]K_Summary!M137</f>
        <v/>
      </c>
      <c r="N147" s="15"/>
    </row>
    <row r="148" spans="2:14" ht="12.75" customHeight="1" x14ac:dyDescent="0.25">
      <c r="B148" s="15"/>
      <c r="C148" s="15"/>
      <c r="D148" s="15"/>
      <c r="E148" s="2041" t="str">
        <f>Translations!$B$253</f>
        <v>Värmeproduktion vid kraftvärmeenheten</v>
      </c>
      <c r="F148" s="2041"/>
      <c r="G148" s="2041"/>
      <c r="H148" s="954" t="str">
        <f>EUconst_TJpa</f>
        <v>TJ / år</v>
      </c>
      <c r="I148" s="739" t="str">
        <f>[1]K_Summary!I138</f>
        <v/>
      </c>
      <c r="J148" s="739" t="str">
        <f>[1]K_Summary!J138</f>
        <v/>
      </c>
      <c r="K148" s="739" t="str">
        <f>[1]K_Summary!K138</f>
        <v/>
      </c>
      <c r="L148" s="739" t="str">
        <f>[1]K_Summary!L138</f>
        <v/>
      </c>
      <c r="M148" s="739" t="str">
        <f>[1]K_Summary!M138</f>
        <v/>
      </c>
      <c r="N148" s="15"/>
    </row>
    <row r="149" spans="2:14" ht="12.75" customHeight="1" x14ac:dyDescent="0.25">
      <c r="B149" s="15"/>
      <c r="C149" s="15"/>
      <c r="D149" s="15"/>
      <c r="E149" s="2110" t="str">
        <f>Translations!$B$255</f>
        <v>Elproduktion vid kraftvärmeenheten</v>
      </c>
      <c r="F149" s="2110"/>
      <c r="G149" s="2110"/>
      <c r="H149" s="957" t="str">
        <f>EUconst_TJpa</f>
        <v>TJ / år</v>
      </c>
      <c r="I149" s="740" t="str">
        <f>[1]K_Summary!I139</f>
        <v/>
      </c>
      <c r="J149" s="740" t="str">
        <f>[1]K_Summary!J139</f>
        <v/>
      </c>
      <c r="K149" s="740" t="str">
        <f>[1]K_Summary!K139</f>
        <v/>
      </c>
      <c r="L149" s="740" t="str">
        <f>[1]K_Summary!L139</f>
        <v/>
      </c>
      <c r="M149" s="740" t="str">
        <f>[1]K_Summary!M139</f>
        <v/>
      </c>
      <c r="N149" s="15"/>
    </row>
    <row r="150" spans="2:14" ht="5.15" customHeight="1" x14ac:dyDescent="0.25">
      <c r="B150" s="15"/>
      <c r="C150" s="15"/>
      <c r="D150" s="15"/>
      <c r="E150" s="15"/>
      <c r="F150" s="15"/>
      <c r="G150" s="15"/>
      <c r="H150" s="15"/>
      <c r="I150" s="15"/>
      <c r="J150" s="15"/>
      <c r="K150" s="15"/>
      <c r="L150" s="15"/>
      <c r="M150" s="15"/>
      <c r="N150" s="15"/>
    </row>
    <row r="151" spans="2:14" ht="12.75" customHeight="1" x14ac:dyDescent="0.25">
      <c r="B151" s="15"/>
      <c r="C151" s="15"/>
      <c r="D151" s="15"/>
      <c r="E151" s="2139" t="str">
        <f>Translations!$B$1007</f>
        <v>Utsläpp</v>
      </c>
      <c r="F151" s="2000"/>
      <c r="G151" s="2000"/>
      <c r="H151" s="31" t="str">
        <f>Translations!$B$1014</f>
        <v>Enhet</v>
      </c>
      <c r="I151" s="320">
        <v>2014</v>
      </c>
      <c r="J151" s="320">
        <v>2015</v>
      </c>
      <c r="K151" s="320">
        <v>2016</v>
      </c>
      <c r="L151" s="320">
        <v>2017</v>
      </c>
      <c r="M151" s="320">
        <v>2018</v>
      </c>
      <c r="N151" s="15"/>
    </row>
    <row r="152" spans="2:14" ht="12.75" customHeight="1" x14ac:dyDescent="0.25">
      <c r="B152" s="15"/>
      <c r="C152" s="15"/>
      <c r="D152" s="15"/>
      <c r="E152" s="2041" t="str">
        <f>Translations!$B$258</f>
        <v>Från insatsbränsle till kraftvärmeenheten</v>
      </c>
      <c r="F152" s="2041"/>
      <c r="G152" s="2041"/>
      <c r="H152" s="954" t="str">
        <f>EUconst_tCO2pa</f>
        <v>t CO2 / år</v>
      </c>
      <c r="I152" s="739" t="str">
        <f>[1]K_Summary!I142</f>
        <v/>
      </c>
      <c r="J152" s="739" t="str">
        <f>[1]K_Summary!J142</f>
        <v/>
      </c>
      <c r="K152" s="739" t="str">
        <f>[1]K_Summary!K142</f>
        <v/>
      </c>
      <c r="L152" s="739" t="str">
        <f>[1]K_Summary!L142</f>
        <v/>
      </c>
      <c r="M152" s="739" t="str">
        <f>[1]K_Summary!M142</f>
        <v/>
      </c>
      <c r="N152" s="15"/>
    </row>
    <row r="153" spans="2:14" ht="12.75" customHeight="1" x14ac:dyDescent="0.25">
      <c r="B153" s="15"/>
      <c r="C153" s="15"/>
      <c r="D153" s="15"/>
      <c r="E153" s="2110" t="str">
        <f>Translations!$B$259</f>
        <v>Från rökgasrening</v>
      </c>
      <c r="F153" s="2110"/>
      <c r="G153" s="2110"/>
      <c r="H153" s="957" t="str">
        <f>EUconst_tCO2pa</f>
        <v>t CO2 / år</v>
      </c>
      <c r="I153" s="740" t="str">
        <f>[1]K_Summary!I143</f>
        <v/>
      </c>
      <c r="J153" s="740" t="str">
        <f>[1]K_Summary!J143</f>
        <v/>
      </c>
      <c r="K153" s="740" t="str">
        <f>[1]K_Summary!K143</f>
        <v/>
      </c>
      <c r="L153" s="740" t="str">
        <f>[1]K_Summary!L143</f>
        <v/>
      </c>
      <c r="M153" s="740" t="str">
        <f>[1]K_Summary!M143</f>
        <v/>
      </c>
      <c r="N153" s="15"/>
    </row>
    <row r="154" spans="2:14" ht="12.75" customHeight="1" x14ac:dyDescent="0.25">
      <c r="B154" s="15"/>
      <c r="C154" s="15"/>
      <c r="D154" s="15"/>
      <c r="E154" s="2119" t="str">
        <f>Translations!$B$260</f>
        <v>Totala utsläpp</v>
      </c>
      <c r="F154" s="2119"/>
      <c r="G154" s="2119"/>
      <c r="H154" s="129" t="str">
        <f>EUconst_tCO2pa</f>
        <v>t CO2 / år</v>
      </c>
      <c r="I154" s="742" t="str">
        <f>[1]K_Summary!I144</f>
        <v/>
      </c>
      <c r="J154" s="742" t="str">
        <f>[1]K_Summary!J144</f>
        <v/>
      </c>
      <c r="K154" s="742" t="str">
        <f>[1]K_Summary!K144</f>
        <v/>
      </c>
      <c r="L154" s="742" t="str">
        <f>[1]K_Summary!L144</f>
        <v/>
      </c>
      <c r="M154" s="742" t="str">
        <f>[1]K_Summary!M144</f>
        <v/>
      </c>
      <c r="N154" s="15"/>
    </row>
    <row r="155" spans="2:14" ht="5.15" customHeight="1" x14ac:dyDescent="0.25">
      <c r="B155" s="15"/>
      <c r="C155" s="15"/>
      <c r="D155" s="15"/>
      <c r="E155" s="534"/>
      <c r="F155" s="534"/>
      <c r="G155" s="534"/>
      <c r="H155" s="534"/>
      <c r="I155" s="534"/>
      <c r="J155" s="534"/>
      <c r="K155" s="534"/>
      <c r="L155" s="534"/>
      <c r="M155" s="534"/>
      <c r="N155" s="15"/>
    </row>
    <row r="156" spans="2:14" ht="12.75" customHeight="1" x14ac:dyDescent="0.25">
      <c r="B156" s="15"/>
      <c r="C156" s="15"/>
      <c r="D156" s="15"/>
      <c r="E156" s="2139" t="str">
        <f>Translations!$B$1008</f>
        <v>Effektiviteter</v>
      </c>
      <c r="F156" s="2000"/>
      <c r="G156" s="2000"/>
      <c r="H156" s="31" t="str">
        <f>Translations!$B$1014</f>
        <v>Enhet</v>
      </c>
      <c r="I156" s="320">
        <v>2014</v>
      </c>
      <c r="J156" s="320">
        <v>2015</v>
      </c>
      <c r="K156" s="320">
        <v>2016</v>
      </c>
      <c r="L156" s="320">
        <v>2017</v>
      </c>
      <c r="M156" s="320">
        <v>2018</v>
      </c>
      <c r="N156" s="15"/>
    </row>
    <row r="157" spans="2:14" ht="12.75" customHeight="1" x14ac:dyDescent="0.25">
      <c r="B157" s="15"/>
      <c r="C157" s="15"/>
      <c r="D157" s="15"/>
      <c r="E157" s="2041" t="str">
        <f>Translations!$B$267</f>
        <v>Värmeproduktion</v>
      </c>
      <c r="F157" s="2041"/>
      <c r="G157" s="2041"/>
      <c r="H157" s="627" t="s">
        <v>1112</v>
      </c>
      <c r="I157" s="1574" t="str">
        <f>[1]K_Summary!I147</f>
        <v/>
      </c>
      <c r="J157" s="1574" t="str">
        <f>[1]K_Summary!J147</f>
        <v/>
      </c>
      <c r="K157" s="1574" t="str">
        <f>[1]K_Summary!K147</f>
        <v/>
      </c>
      <c r="L157" s="1574" t="str">
        <f>[1]K_Summary!L147</f>
        <v/>
      </c>
      <c r="M157" s="1574" t="str">
        <f>[1]K_Summary!M147</f>
        <v/>
      </c>
      <c r="N157" s="15"/>
    </row>
    <row r="158" spans="2:14" ht="12.75" customHeight="1" x14ac:dyDescent="0.25">
      <c r="B158" s="15"/>
      <c r="C158" s="15"/>
      <c r="D158" s="15"/>
      <c r="E158" s="2110" t="str">
        <f>Translations!$B$268</f>
        <v>Elproduktion</v>
      </c>
      <c r="F158" s="2110"/>
      <c r="G158" s="2110"/>
      <c r="H158" s="629" t="s">
        <v>1112</v>
      </c>
      <c r="I158" s="1575" t="str">
        <f>[1]K_Summary!I148</f>
        <v/>
      </c>
      <c r="J158" s="1575" t="str">
        <f>[1]K_Summary!J148</f>
        <v/>
      </c>
      <c r="K158" s="1575" t="str">
        <f>[1]K_Summary!K148</f>
        <v/>
      </c>
      <c r="L158" s="1575" t="str">
        <f>[1]K_Summary!L148</f>
        <v/>
      </c>
      <c r="M158" s="1575" t="str">
        <f>[1]K_Summary!M148</f>
        <v/>
      </c>
      <c r="N158" s="15"/>
    </row>
    <row r="159" spans="2:14" ht="12.75" customHeight="1" x14ac:dyDescent="0.25">
      <c r="B159" s="15"/>
      <c r="C159" s="15"/>
      <c r="D159" s="15"/>
      <c r="E159" s="2041" t="str">
        <f>Translations!$B$1009</f>
        <v>Värmeproduktion (referens)</v>
      </c>
      <c r="F159" s="2041"/>
      <c r="G159" s="2041"/>
      <c r="H159" s="627" t="s">
        <v>1112</v>
      </c>
      <c r="I159" s="1576" t="str">
        <f>[1]K_Summary!I149</f>
        <v/>
      </c>
      <c r="J159" s="1576" t="str">
        <f>[1]K_Summary!J149</f>
        <v/>
      </c>
      <c r="K159" s="1576" t="str">
        <f>[1]K_Summary!K149</f>
        <v/>
      </c>
      <c r="L159" s="1576" t="str">
        <f>[1]K_Summary!L149</f>
        <v/>
      </c>
      <c r="M159" s="1576" t="str">
        <f>[1]K_Summary!M149</f>
        <v/>
      </c>
      <c r="N159" s="15"/>
    </row>
    <row r="160" spans="2:14" ht="12.75" customHeight="1" x14ac:dyDescent="0.25">
      <c r="B160" s="15"/>
      <c r="C160" s="15"/>
      <c r="D160" s="15"/>
      <c r="E160" s="2110" t="str">
        <f>Translations!$B$1010</f>
        <v>Elproduktion (referens)</v>
      </c>
      <c r="F160" s="2110"/>
      <c r="G160" s="2110"/>
      <c r="H160" s="629" t="s">
        <v>1112</v>
      </c>
      <c r="I160" s="1577" t="str">
        <f>[1]K_Summary!I150</f>
        <v/>
      </c>
      <c r="J160" s="1577" t="str">
        <f>[1]K_Summary!J150</f>
        <v/>
      </c>
      <c r="K160" s="1577" t="str">
        <f>[1]K_Summary!K150</f>
        <v/>
      </c>
      <c r="L160" s="1577" t="str">
        <f>[1]K_Summary!L150</f>
        <v/>
      </c>
      <c r="M160" s="1577" t="str">
        <f>[1]K_Summary!M150</f>
        <v/>
      </c>
      <c r="N160" s="15"/>
    </row>
    <row r="161" spans="2:14" ht="5.15" customHeight="1" x14ac:dyDescent="0.25">
      <c r="B161" s="15"/>
      <c r="C161" s="15"/>
      <c r="D161" s="15"/>
      <c r="E161" s="15"/>
      <c r="F161" s="15"/>
      <c r="G161" s="15"/>
      <c r="H161" s="15"/>
      <c r="I161" s="15"/>
      <c r="J161" s="15"/>
      <c r="K161" s="15"/>
      <c r="L161" s="15"/>
      <c r="M161" s="15"/>
      <c r="N161" s="15"/>
    </row>
    <row r="162" spans="2:14" ht="12.75" customHeight="1" x14ac:dyDescent="0.25">
      <c r="B162" s="15"/>
      <c r="C162" s="15"/>
      <c r="D162" s="15"/>
      <c r="E162" s="2139" t="str">
        <f>Translations!$B$1011</f>
        <v>Resultat</v>
      </c>
      <c r="F162" s="2000"/>
      <c r="G162" s="2000"/>
      <c r="H162" s="31" t="str">
        <f>Translations!$B$1014</f>
        <v>Enhet</v>
      </c>
      <c r="I162" s="320">
        <v>2014</v>
      </c>
      <c r="J162" s="320">
        <v>2015</v>
      </c>
      <c r="K162" s="320">
        <v>2016</v>
      </c>
      <c r="L162" s="320">
        <v>2017</v>
      </c>
      <c r="M162" s="320">
        <v>2018</v>
      </c>
      <c r="N162" s="15"/>
    </row>
    <row r="163" spans="2:14" ht="12.75" customHeight="1" x14ac:dyDescent="0.25">
      <c r="B163" s="15"/>
      <c r="C163" s="15"/>
      <c r="D163" s="15"/>
      <c r="E163" s="2127" t="str">
        <f>Translations!$B$278</f>
        <v>Utsläpp som kan tillskrivas värmeproduktion</v>
      </c>
      <c r="F163" s="2127"/>
      <c r="G163" s="2127"/>
      <c r="H163" s="472" t="str">
        <f>EUconst_tCO2pa</f>
        <v>t CO2 / år</v>
      </c>
      <c r="I163" s="757" t="str">
        <f>[1]K_Summary!I153</f>
        <v/>
      </c>
      <c r="J163" s="757" t="str">
        <f>[1]K_Summary!J153</f>
        <v/>
      </c>
      <c r="K163" s="757" t="str">
        <f>[1]K_Summary!K153</f>
        <v/>
      </c>
      <c r="L163" s="757" t="str">
        <f>[1]K_Summary!L153</f>
        <v/>
      </c>
      <c r="M163" s="757" t="str">
        <f>[1]K_Summary!M153</f>
        <v/>
      </c>
      <c r="N163" s="15"/>
    </row>
    <row r="164" spans="2:14" ht="12.75" customHeight="1" x14ac:dyDescent="0.25">
      <c r="B164" s="15"/>
      <c r="C164" s="15"/>
      <c r="D164" s="15"/>
      <c r="E164" s="2119" t="str">
        <f>Translations!$B$279</f>
        <v>Emissionsfaktor, värme</v>
      </c>
      <c r="F164" s="2119"/>
      <c r="G164" s="2119"/>
      <c r="H164" s="129" t="str">
        <f>EUconst_tCO2pTJ</f>
        <v>t CO2 / TJ</v>
      </c>
      <c r="I164" s="742" t="str">
        <f>[1]K_Summary!I154</f>
        <v/>
      </c>
      <c r="J164" s="742" t="str">
        <f>[1]K_Summary!J154</f>
        <v/>
      </c>
      <c r="K164" s="742" t="str">
        <f>[1]K_Summary!K154</f>
        <v/>
      </c>
      <c r="L164" s="742" t="str">
        <f>[1]K_Summary!L154</f>
        <v/>
      </c>
      <c r="M164" s="742" t="str">
        <f>[1]K_Summary!M154</f>
        <v/>
      </c>
      <c r="N164" s="15"/>
    </row>
    <row r="165" spans="2:14" ht="5.15" customHeight="1" x14ac:dyDescent="0.25">
      <c r="B165" s="15"/>
      <c r="C165" s="15"/>
      <c r="D165" s="15"/>
      <c r="E165" s="15"/>
      <c r="F165" s="15"/>
      <c r="G165" s="15"/>
      <c r="H165" s="15"/>
      <c r="I165" s="15"/>
      <c r="J165" s="15"/>
      <c r="K165" s="15"/>
      <c r="L165" s="15"/>
      <c r="M165" s="15"/>
      <c r="N165" s="15"/>
    </row>
    <row r="166" spans="2:14" ht="12.75" customHeight="1" x14ac:dyDescent="0.25">
      <c r="B166" s="15"/>
      <c r="C166" s="15"/>
      <c r="D166" s="15"/>
      <c r="E166" s="2041" t="str">
        <f>Translations!$B$282</f>
        <v>Insatsbränsle för värme</v>
      </c>
      <c r="F166" s="2041"/>
      <c r="G166" s="2041"/>
      <c r="H166" s="954" t="str">
        <f>EUconst_TJpa</f>
        <v>TJ / år</v>
      </c>
      <c r="I166" s="739" t="str">
        <f>[1]K_Summary!I156</f>
        <v/>
      </c>
      <c r="J166" s="739" t="str">
        <f>[1]K_Summary!J156</f>
        <v/>
      </c>
      <c r="K166" s="739" t="str">
        <f>[1]K_Summary!K156</f>
        <v/>
      </c>
      <c r="L166" s="739" t="str">
        <f>[1]K_Summary!L156</f>
        <v/>
      </c>
      <c r="M166" s="739" t="str">
        <f>[1]K_Summary!M156</f>
        <v/>
      </c>
      <c r="N166" s="15"/>
    </row>
    <row r="167" spans="2:14" ht="12.75" customHeight="1" x14ac:dyDescent="0.25">
      <c r="B167" s="15"/>
      <c r="C167" s="15"/>
      <c r="D167" s="15"/>
      <c r="E167" s="2110" t="str">
        <f>Translations!$B$283</f>
        <v>Insatsbränsle för el</v>
      </c>
      <c r="F167" s="2110"/>
      <c r="G167" s="2110"/>
      <c r="H167" s="957" t="str">
        <f>EUconst_TJpa</f>
        <v>TJ / år</v>
      </c>
      <c r="I167" s="740" t="str">
        <f>[1]K_Summary!I157</f>
        <v/>
      </c>
      <c r="J167" s="740" t="str">
        <f>[1]K_Summary!J157</f>
        <v/>
      </c>
      <c r="K167" s="740" t="str">
        <f>[1]K_Summary!K157</f>
        <v/>
      </c>
      <c r="L167" s="740" t="str">
        <f>[1]K_Summary!L157</f>
        <v/>
      </c>
      <c r="M167" s="740" t="str">
        <f>[1]K_Summary!M157</f>
        <v/>
      </c>
      <c r="N167" s="15"/>
    </row>
    <row r="168" spans="2:14" ht="12.75" customHeight="1" x14ac:dyDescent="0.25">
      <c r="B168" s="15"/>
      <c r="C168" s="3"/>
      <c r="D168" s="3"/>
      <c r="E168" s="3"/>
      <c r="F168" s="3"/>
      <c r="G168" s="3"/>
      <c r="H168" s="3"/>
      <c r="I168" s="3"/>
      <c r="J168" s="3"/>
      <c r="K168" s="3"/>
      <c r="L168" s="3"/>
      <c r="M168" s="6"/>
      <c r="N168" s="6"/>
    </row>
    <row r="169" spans="2:14" ht="12.75" customHeight="1" x14ac:dyDescent="0.25">
      <c r="B169" s="15"/>
      <c r="C169" s="3"/>
      <c r="D169" s="13" t="s">
        <v>955</v>
      </c>
      <c r="E169" s="2106" t="str">
        <f>Translations!$B$1012</f>
        <v>Kraftvärmeverktyg 2</v>
      </c>
      <c r="F169" s="2106"/>
      <c r="G169" s="2106"/>
      <c r="H169" s="2106"/>
      <c r="I169" s="2106"/>
      <c r="J169" s="2106"/>
      <c r="K169" s="2106"/>
      <c r="L169" s="2107"/>
      <c r="M169" s="1789" t="str">
        <f>[1]K_Summary!M159</f>
        <v/>
      </c>
      <c r="N169" s="356"/>
    </row>
    <row r="170" spans="2:14" ht="5.15" customHeight="1" x14ac:dyDescent="0.25">
      <c r="B170" s="15"/>
      <c r="C170" s="15"/>
      <c r="D170" s="15"/>
      <c r="E170" s="15"/>
      <c r="F170" s="15"/>
      <c r="G170" s="15"/>
      <c r="H170" s="15"/>
      <c r="I170" s="15"/>
      <c r="J170" s="15"/>
      <c r="K170" s="15"/>
      <c r="L170" s="15"/>
      <c r="M170" s="15"/>
      <c r="N170" s="15"/>
    </row>
    <row r="171" spans="2:14" ht="12.75" customHeight="1" x14ac:dyDescent="0.25">
      <c r="B171" s="15"/>
      <c r="C171" s="15"/>
      <c r="D171" s="15"/>
      <c r="E171" s="2139" t="str">
        <f>Translations!$B$1006</f>
        <v>Energibalans</v>
      </c>
      <c r="F171" s="2000"/>
      <c r="G171" s="2000"/>
      <c r="H171" s="31" t="str">
        <f>Translations!$B$1014</f>
        <v>Enhet</v>
      </c>
      <c r="I171" s="320">
        <v>2014</v>
      </c>
      <c r="J171" s="320">
        <v>2015</v>
      </c>
      <c r="K171" s="320">
        <v>2016</v>
      </c>
      <c r="L171" s="320">
        <v>2017</v>
      </c>
      <c r="M171" s="320">
        <v>2018</v>
      </c>
      <c r="N171" s="15"/>
    </row>
    <row r="172" spans="2:14" ht="12.75" customHeight="1" x14ac:dyDescent="0.25">
      <c r="B172" s="15"/>
      <c r="C172" s="15"/>
      <c r="D172" s="15"/>
      <c r="E172" s="2119" t="str">
        <f>Translations!$B$252</f>
        <v>Insatsbränsle till kraftvärmeenheten</v>
      </c>
      <c r="F172" s="2119"/>
      <c r="G172" s="2119"/>
      <c r="H172" s="129" t="str">
        <f>EUconst_TJpa</f>
        <v>TJ / år</v>
      </c>
      <c r="I172" s="742" t="str">
        <f>[1]K_Summary!I162</f>
        <v/>
      </c>
      <c r="J172" s="742" t="str">
        <f>[1]K_Summary!J162</f>
        <v/>
      </c>
      <c r="K172" s="742" t="str">
        <f>[1]K_Summary!K162</f>
        <v/>
      </c>
      <c r="L172" s="742" t="str">
        <f>[1]K_Summary!L162</f>
        <v/>
      </c>
      <c r="M172" s="742" t="str">
        <f>[1]K_Summary!M162</f>
        <v/>
      </c>
      <c r="N172" s="15"/>
    </row>
    <row r="173" spans="2:14" ht="12.75" customHeight="1" x14ac:dyDescent="0.25">
      <c r="B173" s="15"/>
      <c r="C173" s="15"/>
      <c r="D173" s="15"/>
      <c r="E173" s="2041" t="str">
        <f>Translations!$B$253</f>
        <v>Värmeproduktion vid kraftvärmeenheten</v>
      </c>
      <c r="F173" s="2041"/>
      <c r="G173" s="2041"/>
      <c r="H173" s="954" t="str">
        <f>EUconst_TJpa</f>
        <v>TJ / år</v>
      </c>
      <c r="I173" s="739" t="str">
        <f>[1]K_Summary!I163</f>
        <v/>
      </c>
      <c r="J173" s="739" t="str">
        <f>[1]K_Summary!J163</f>
        <v/>
      </c>
      <c r="K173" s="739" t="str">
        <f>[1]K_Summary!K163</f>
        <v/>
      </c>
      <c r="L173" s="739" t="str">
        <f>[1]K_Summary!L163</f>
        <v/>
      </c>
      <c r="M173" s="739" t="str">
        <f>[1]K_Summary!M163</f>
        <v/>
      </c>
      <c r="N173" s="15"/>
    </row>
    <row r="174" spans="2:14" ht="12.75" customHeight="1" x14ac:dyDescent="0.25">
      <c r="B174" s="15"/>
      <c r="C174" s="15"/>
      <c r="D174" s="15"/>
      <c r="E174" s="2110" t="str">
        <f>Translations!$B$254</f>
        <v>Elproduktion vid kraftvärmeenheten</v>
      </c>
      <c r="F174" s="2110"/>
      <c r="G174" s="2110"/>
      <c r="H174" s="957" t="str">
        <f>EUconst_TJpa</f>
        <v>TJ / år</v>
      </c>
      <c r="I174" s="740" t="str">
        <f>[1]K_Summary!I164</f>
        <v/>
      </c>
      <c r="J174" s="740" t="str">
        <f>[1]K_Summary!J164</f>
        <v/>
      </c>
      <c r="K174" s="740" t="str">
        <f>[1]K_Summary!K164</f>
        <v/>
      </c>
      <c r="L174" s="740" t="str">
        <f>[1]K_Summary!L164</f>
        <v/>
      </c>
      <c r="M174" s="740" t="str">
        <f>[1]K_Summary!M164</f>
        <v/>
      </c>
      <c r="N174" s="15"/>
    </row>
    <row r="175" spans="2:14" ht="5.15" customHeight="1" x14ac:dyDescent="0.25">
      <c r="B175" s="15"/>
      <c r="C175" s="15"/>
      <c r="D175" s="15"/>
      <c r="E175" s="15"/>
      <c r="F175" s="15"/>
      <c r="G175" s="15"/>
      <c r="H175" s="15"/>
      <c r="I175" s="15"/>
      <c r="J175" s="15"/>
      <c r="K175" s="15"/>
      <c r="L175" s="15"/>
      <c r="M175" s="15"/>
      <c r="N175" s="15"/>
    </row>
    <row r="176" spans="2:14" ht="12.75" customHeight="1" x14ac:dyDescent="0.25">
      <c r="B176" s="15"/>
      <c r="C176" s="3"/>
      <c r="D176" s="15"/>
      <c r="E176" s="2139" t="str">
        <f>Translations!$B$1007</f>
        <v>Utsläpp</v>
      </c>
      <c r="F176" s="2000"/>
      <c r="G176" s="2000"/>
      <c r="H176" s="31" t="str">
        <f>Translations!$B$1014</f>
        <v>Enhet</v>
      </c>
      <c r="I176" s="320">
        <v>2014</v>
      </c>
      <c r="J176" s="320">
        <v>2015</v>
      </c>
      <c r="K176" s="320">
        <v>2016</v>
      </c>
      <c r="L176" s="320">
        <v>2017</v>
      </c>
      <c r="M176" s="320">
        <v>2018</v>
      </c>
      <c r="N176" s="356"/>
    </row>
    <row r="177" spans="2:14" ht="12.75" customHeight="1" x14ac:dyDescent="0.25">
      <c r="B177" s="15"/>
      <c r="C177" s="15"/>
      <c r="D177" s="15"/>
      <c r="E177" s="2041" t="str">
        <f>Translations!$B$258</f>
        <v>Från insatsbränsle till kraftvärmeenheten</v>
      </c>
      <c r="F177" s="2041"/>
      <c r="G177" s="2041"/>
      <c r="H177" s="954" t="str">
        <f>EUconst_tCO2pa</f>
        <v>t CO2 / år</v>
      </c>
      <c r="I177" s="739" t="str">
        <f>[1]K_Summary!I167</f>
        <v/>
      </c>
      <c r="J177" s="739" t="str">
        <f>[1]K_Summary!J167</f>
        <v/>
      </c>
      <c r="K177" s="739" t="str">
        <f>[1]K_Summary!K167</f>
        <v/>
      </c>
      <c r="L177" s="739" t="str">
        <f>[1]K_Summary!L167</f>
        <v/>
      </c>
      <c r="M177" s="739" t="str">
        <f>[1]K_Summary!M167</f>
        <v/>
      </c>
      <c r="N177" s="15"/>
    </row>
    <row r="178" spans="2:14" ht="12.75" customHeight="1" x14ac:dyDescent="0.25">
      <c r="B178" s="15"/>
      <c r="C178" s="15"/>
      <c r="D178" s="15"/>
      <c r="E178" s="2110" t="str">
        <f>Translations!$B$259</f>
        <v>Från rökgasrening</v>
      </c>
      <c r="F178" s="2110"/>
      <c r="G178" s="2110"/>
      <c r="H178" s="957" t="str">
        <f>EUconst_tCO2pa</f>
        <v>t CO2 / år</v>
      </c>
      <c r="I178" s="740" t="str">
        <f>[1]K_Summary!I168</f>
        <v/>
      </c>
      <c r="J178" s="740" t="str">
        <f>[1]K_Summary!J168</f>
        <v/>
      </c>
      <c r="K178" s="740" t="str">
        <f>[1]K_Summary!K168</f>
        <v/>
      </c>
      <c r="L178" s="740" t="str">
        <f>[1]K_Summary!L168</f>
        <v/>
      </c>
      <c r="M178" s="740" t="str">
        <f>[1]K_Summary!M168</f>
        <v/>
      </c>
      <c r="N178" s="15"/>
    </row>
    <row r="179" spans="2:14" ht="12.75" customHeight="1" x14ac:dyDescent="0.25">
      <c r="B179" s="15"/>
      <c r="C179" s="15"/>
      <c r="D179" s="15"/>
      <c r="E179" s="2119" t="str">
        <f>Translations!$B$260</f>
        <v>Totala utsläpp</v>
      </c>
      <c r="F179" s="2119"/>
      <c r="G179" s="2119"/>
      <c r="H179" s="129" t="str">
        <f>EUconst_tCO2pa</f>
        <v>t CO2 / år</v>
      </c>
      <c r="I179" s="742" t="str">
        <f>[1]K_Summary!I169</f>
        <v/>
      </c>
      <c r="J179" s="742" t="str">
        <f>[1]K_Summary!J169</f>
        <v/>
      </c>
      <c r="K179" s="742" t="str">
        <f>[1]K_Summary!K169</f>
        <v/>
      </c>
      <c r="L179" s="742" t="str">
        <f>[1]K_Summary!L169</f>
        <v/>
      </c>
      <c r="M179" s="742" t="str">
        <f>[1]K_Summary!M169</f>
        <v/>
      </c>
      <c r="N179" s="15"/>
    </row>
    <row r="180" spans="2:14" ht="5.15" customHeight="1" x14ac:dyDescent="0.25">
      <c r="B180" s="15"/>
      <c r="C180" s="15"/>
      <c r="D180" s="15"/>
      <c r="E180" s="534"/>
      <c r="F180" s="534"/>
      <c r="G180" s="534"/>
      <c r="H180" s="534"/>
      <c r="I180" s="534"/>
      <c r="J180" s="534"/>
      <c r="K180" s="534"/>
      <c r="L180" s="534"/>
      <c r="M180" s="534"/>
      <c r="N180" s="15"/>
    </row>
    <row r="181" spans="2:14" ht="12.75" customHeight="1" x14ac:dyDescent="0.25">
      <c r="B181" s="15"/>
      <c r="C181" s="15"/>
      <c r="D181" s="15"/>
      <c r="E181" s="2139" t="str">
        <f>Translations!$B$1008</f>
        <v>Effektiviteter</v>
      </c>
      <c r="F181" s="2000"/>
      <c r="G181" s="2000"/>
      <c r="H181" s="31" t="str">
        <f>Translations!$B$1014</f>
        <v>Enhet</v>
      </c>
      <c r="I181" s="320">
        <v>2014</v>
      </c>
      <c r="J181" s="320">
        <v>2015</v>
      </c>
      <c r="K181" s="320">
        <v>2016</v>
      </c>
      <c r="L181" s="320">
        <v>2017</v>
      </c>
      <c r="M181" s="320">
        <v>2018</v>
      </c>
      <c r="N181" s="15"/>
    </row>
    <row r="182" spans="2:14" ht="12.75" customHeight="1" x14ac:dyDescent="0.25">
      <c r="B182" s="15"/>
      <c r="C182" s="15"/>
      <c r="D182" s="15"/>
      <c r="E182" s="2041" t="str">
        <f>Translations!$B$267</f>
        <v>Värmeproduktion</v>
      </c>
      <c r="F182" s="2041"/>
      <c r="G182" s="2041"/>
      <c r="H182" s="627" t="s">
        <v>1112</v>
      </c>
      <c r="I182" s="1574" t="str">
        <f>[1]K_Summary!I172</f>
        <v/>
      </c>
      <c r="J182" s="1574" t="str">
        <f>[1]K_Summary!J172</f>
        <v/>
      </c>
      <c r="K182" s="1574" t="str">
        <f>[1]K_Summary!K172</f>
        <v/>
      </c>
      <c r="L182" s="1574" t="str">
        <f>[1]K_Summary!L172</f>
        <v/>
      </c>
      <c r="M182" s="1574" t="str">
        <f>[1]K_Summary!M172</f>
        <v/>
      </c>
      <c r="N182" s="15"/>
    </row>
    <row r="183" spans="2:14" ht="12.75" customHeight="1" x14ac:dyDescent="0.25">
      <c r="B183" s="15"/>
      <c r="C183" s="15"/>
      <c r="D183" s="15"/>
      <c r="E183" s="2110" t="str">
        <f>Translations!$B$268</f>
        <v>Elproduktion</v>
      </c>
      <c r="F183" s="2110"/>
      <c r="G183" s="2110"/>
      <c r="H183" s="629" t="s">
        <v>1112</v>
      </c>
      <c r="I183" s="1575" t="str">
        <f>[1]K_Summary!I173</f>
        <v/>
      </c>
      <c r="J183" s="1575" t="str">
        <f>[1]K_Summary!J173</f>
        <v/>
      </c>
      <c r="K183" s="1575" t="str">
        <f>[1]K_Summary!K173</f>
        <v/>
      </c>
      <c r="L183" s="1575" t="str">
        <f>[1]K_Summary!L173</f>
        <v/>
      </c>
      <c r="M183" s="1575" t="str">
        <f>[1]K_Summary!M173</f>
        <v/>
      </c>
      <c r="N183" s="15"/>
    </row>
    <row r="184" spans="2:14" ht="12.75" customHeight="1" x14ac:dyDescent="0.25">
      <c r="B184" s="15"/>
      <c r="C184" s="15"/>
      <c r="D184" s="15"/>
      <c r="E184" s="2041" t="str">
        <f>Translations!$B$1009</f>
        <v>Värmeproduktion (referens)</v>
      </c>
      <c r="F184" s="2041"/>
      <c r="G184" s="2041"/>
      <c r="H184" s="627" t="s">
        <v>1112</v>
      </c>
      <c r="I184" s="1576" t="str">
        <f>[1]K_Summary!I174</f>
        <v/>
      </c>
      <c r="J184" s="1576" t="str">
        <f>[1]K_Summary!J174</f>
        <v/>
      </c>
      <c r="K184" s="1576" t="str">
        <f>[1]K_Summary!K174</f>
        <v/>
      </c>
      <c r="L184" s="1576" t="str">
        <f>[1]K_Summary!L174</f>
        <v/>
      </c>
      <c r="M184" s="1576" t="str">
        <f>[1]K_Summary!M174</f>
        <v/>
      </c>
      <c r="N184" s="15"/>
    </row>
    <row r="185" spans="2:14" ht="12.75" customHeight="1" x14ac:dyDescent="0.25">
      <c r="B185" s="15"/>
      <c r="C185" s="15"/>
      <c r="D185" s="15"/>
      <c r="E185" s="2110" t="str">
        <f>Translations!$B$1010</f>
        <v>Elproduktion (referens)</v>
      </c>
      <c r="F185" s="2110"/>
      <c r="G185" s="2110"/>
      <c r="H185" s="629" t="s">
        <v>1112</v>
      </c>
      <c r="I185" s="1577" t="str">
        <f>[1]K_Summary!I175</f>
        <v/>
      </c>
      <c r="J185" s="1577" t="str">
        <f>[1]K_Summary!J175</f>
        <v/>
      </c>
      <c r="K185" s="1577" t="str">
        <f>[1]K_Summary!K175</f>
        <v/>
      </c>
      <c r="L185" s="1577" t="str">
        <f>[1]K_Summary!L175</f>
        <v/>
      </c>
      <c r="M185" s="1577" t="str">
        <f>[1]K_Summary!M175</f>
        <v/>
      </c>
      <c r="N185" s="15"/>
    </row>
    <row r="186" spans="2:14" ht="5.15" customHeight="1" x14ac:dyDescent="0.25">
      <c r="B186" s="15"/>
      <c r="C186" s="15"/>
      <c r="D186" s="15"/>
      <c r="E186" s="15"/>
      <c r="F186" s="15"/>
      <c r="G186" s="15"/>
      <c r="H186" s="15"/>
      <c r="I186" s="15"/>
      <c r="J186" s="15"/>
      <c r="K186" s="15"/>
      <c r="L186" s="15"/>
      <c r="M186" s="15"/>
      <c r="N186" s="15"/>
    </row>
    <row r="187" spans="2:14" ht="12.75" customHeight="1" x14ac:dyDescent="0.25">
      <c r="B187" s="15"/>
      <c r="C187" s="15"/>
      <c r="D187" s="15"/>
      <c r="E187" s="2139" t="str">
        <f>Translations!$B$1011</f>
        <v>Resultat</v>
      </c>
      <c r="F187" s="2000"/>
      <c r="G187" s="2000"/>
      <c r="H187" s="31" t="str">
        <f>Translations!$B$1014</f>
        <v>Enhet</v>
      </c>
      <c r="I187" s="320">
        <v>2014</v>
      </c>
      <c r="J187" s="320">
        <v>2015</v>
      </c>
      <c r="K187" s="320">
        <v>2016</v>
      </c>
      <c r="L187" s="320">
        <v>2017</v>
      </c>
      <c r="M187" s="320">
        <v>2018</v>
      </c>
      <c r="N187" s="15"/>
    </row>
    <row r="188" spans="2:14" ht="12.75" customHeight="1" x14ac:dyDescent="0.25">
      <c r="B188" s="15"/>
      <c r="C188" s="15"/>
      <c r="D188" s="15"/>
      <c r="E188" s="2127" t="str">
        <f>Translations!$B$278</f>
        <v>Utsläpp som kan tillskrivas värmeproduktion</v>
      </c>
      <c r="F188" s="2127"/>
      <c r="G188" s="2127"/>
      <c r="H188" s="472" t="str">
        <f>EUconst_tCO2pa</f>
        <v>t CO2 / år</v>
      </c>
      <c r="I188" s="757" t="str">
        <f>[1]K_Summary!I178</f>
        <v/>
      </c>
      <c r="J188" s="757" t="str">
        <f>[1]K_Summary!J178</f>
        <v/>
      </c>
      <c r="K188" s="757" t="str">
        <f>[1]K_Summary!K178</f>
        <v/>
      </c>
      <c r="L188" s="757" t="str">
        <f>[1]K_Summary!L178</f>
        <v/>
      </c>
      <c r="M188" s="757" t="str">
        <f>[1]K_Summary!M178</f>
        <v/>
      </c>
      <c r="N188" s="15"/>
    </row>
    <row r="189" spans="2:14" ht="12.75" customHeight="1" x14ac:dyDescent="0.25">
      <c r="B189" s="15"/>
      <c r="C189" s="15"/>
      <c r="D189" s="15"/>
      <c r="E189" s="2119" t="str">
        <f>Translations!$B$279</f>
        <v>Emissionsfaktor, värme</v>
      </c>
      <c r="F189" s="2119"/>
      <c r="G189" s="2119"/>
      <c r="H189" s="129" t="str">
        <f>EUconst_tCO2pTJ</f>
        <v>t CO2 / TJ</v>
      </c>
      <c r="I189" s="742" t="str">
        <f>[1]K_Summary!I179</f>
        <v/>
      </c>
      <c r="J189" s="742" t="str">
        <f>[1]K_Summary!J179</f>
        <v/>
      </c>
      <c r="K189" s="742" t="str">
        <f>[1]K_Summary!K179</f>
        <v/>
      </c>
      <c r="L189" s="742" t="str">
        <f>[1]K_Summary!L179</f>
        <v/>
      </c>
      <c r="M189" s="742" t="str">
        <f>[1]K_Summary!M179</f>
        <v/>
      </c>
      <c r="N189" s="15"/>
    </row>
    <row r="190" spans="2:14" ht="5.15" customHeight="1" x14ac:dyDescent="0.25">
      <c r="B190" s="15"/>
      <c r="C190" s="15"/>
      <c r="D190" s="15"/>
      <c r="E190" s="15"/>
      <c r="F190" s="15"/>
      <c r="G190" s="15"/>
      <c r="H190" s="15"/>
      <c r="I190" s="15"/>
      <c r="J190" s="15"/>
      <c r="K190" s="15"/>
      <c r="L190" s="15"/>
      <c r="M190" s="15"/>
      <c r="N190" s="15"/>
    </row>
    <row r="191" spans="2:14" ht="12.75" customHeight="1" x14ac:dyDescent="0.25">
      <c r="B191" s="15"/>
      <c r="C191" s="15"/>
      <c r="D191" s="15"/>
      <c r="E191" s="2041" t="str">
        <f>Translations!$B$282</f>
        <v>Insatsbränsle för värme</v>
      </c>
      <c r="F191" s="2041"/>
      <c r="G191" s="2041"/>
      <c r="H191" s="954" t="str">
        <f>EUconst_TJpa</f>
        <v>TJ / år</v>
      </c>
      <c r="I191" s="739" t="str">
        <f>[1]K_Summary!I181</f>
        <v/>
      </c>
      <c r="J191" s="739" t="str">
        <f>[1]K_Summary!J181</f>
        <v/>
      </c>
      <c r="K191" s="739" t="str">
        <f>[1]K_Summary!K181</f>
        <v/>
      </c>
      <c r="L191" s="739" t="str">
        <f>[1]K_Summary!L181</f>
        <v/>
      </c>
      <c r="M191" s="739" t="str">
        <f>[1]K_Summary!M181</f>
        <v/>
      </c>
      <c r="N191" s="15"/>
    </row>
    <row r="192" spans="2:14" ht="12.75" customHeight="1" x14ac:dyDescent="0.25">
      <c r="B192" s="15"/>
      <c r="C192" s="15"/>
      <c r="D192" s="15"/>
      <c r="E192" s="2110" t="str">
        <f>Translations!$B$283</f>
        <v>Insatsbränsle för el</v>
      </c>
      <c r="F192" s="2110"/>
      <c r="G192" s="2110"/>
      <c r="H192" s="957" t="str">
        <f>EUconst_TJpa</f>
        <v>TJ / år</v>
      </c>
      <c r="I192" s="740" t="str">
        <f>[1]K_Summary!I182</f>
        <v/>
      </c>
      <c r="J192" s="740" t="str">
        <f>[1]K_Summary!J182</f>
        <v/>
      </c>
      <c r="K192" s="740" t="str">
        <f>[1]K_Summary!K182</f>
        <v/>
      </c>
      <c r="L192" s="740" t="str">
        <f>[1]K_Summary!L182</f>
        <v/>
      </c>
      <c r="M192" s="740" t="str">
        <f>[1]K_Summary!M182</f>
        <v/>
      </c>
      <c r="N192" s="15"/>
    </row>
    <row r="193" spans="2:14" ht="12.75" customHeight="1" x14ac:dyDescent="0.25">
      <c r="B193" s="15"/>
      <c r="C193" s="15"/>
      <c r="D193" s="15"/>
      <c r="E193" s="15"/>
      <c r="F193" s="15"/>
      <c r="G193" s="15"/>
      <c r="H193" s="15"/>
      <c r="I193" s="15"/>
      <c r="J193" s="15"/>
      <c r="K193" s="15"/>
      <c r="L193" s="15"/>
      <c r="M193" s="15"/>
      <c r="N193" s="15"/>
    </row>
    <row r="194" spans="2:14" ht="12.75" customHeight="1" x14ac:dyDescent="0.3">
      <c r="B194" s="15"/>
      <c r="C194" s="17">
        <v>4</v>
      </c>
      <c r="D194" s="2053" t="str">
        <f>Translations!$B$1013</f>
        <v>Restgasverktyget (restgaser som inte omfattas av produktriktmärken) – avsnitt D.IV</v>
      </c>
      <c r="E194" s="1963"/>
      <c r="F194" s="1963"/>
      <c r="G194" s="1963"/>
      <c r="H194" s="1963"/>
      <c r="I194" s="1963"/>
      <c r="J194" s="1963"/>
      <c r="K194" s="1963"/>
      <c r="L194" s="1963"/>
      <c r="M194" s="1963"/>
      <c r="N194" s="1963"/>
    </row>
    <row r="195" spans="2:14" ht="5.15" customHeight="1" x14ac:dyDescent="0.25">
      <c r="B195" s="3"/>
      <c r="C195" s="3"/>
      <c r="D195" s="3"/>
      <c r="E195" s="3"/>
      <c r="F195" s="3"/>
      <c r="G195" s="3"/>
      <c r="H195" s="3"/>
      <c r="I195" s="3"/>
      <c r="J195" s="3"/>
      <c r="K195" s="3"/>
      <c r="L195" s="3"/>
      <c r="M195" s="6"/>
      <c r="N195" s="6"/>
    </row>
    <row r="196" spans="2:14" ht="12.75" customHeight="1" x14ac:dyDescent="0.3">
      <c r="B196" s="15"/>
      <c r="C196" s="3"/>
      <c r="D196" s="13" t="s">
        <v>442</v>
      </c>
      <c r="E196" s="1943" t="str">
        <f>Translations!$B$297</f>
        <v>Detta avsnitt handlar om följande typer av delanläggningar med processutsläpp:</v>
      </c>
      <c r="F196" s="1943"/>
      <c r="G196" s="1943"/>
      <c r="H196" s="1943"/>
      <c r="I196" s="1943"/>
      <c r="J196" s="1943"/>
      <c r="K196" s="2067"/>
      <c r="L196" s="2136" t="str">
        <f>[1]K_Summary!L186</f>
        <v/>
      </c>
      <c r="M196" s="2137"/>
      <c r="N196" s="2138"/>
    </row>
    <row r="197" spans="2:14" ht="12.75" customHeight="1" x14ac:dyDescent="0.25">
      <c r="B197" s="15"/>
      <c r="C197" s="3"/>
      <c r="D197" s="13"/>
      <c r="E197" s="1943" t="str">
        <f>Translations!$B$301</f>
        <v>Restgastyp:</v>
      </c>
      <c r="F197" s="1963"/>
      <c r="G197" s="2060"/>
      <c r="H197" s="2057" t="str">
        <f>[1]K_Summary!H187</f>
        <v/>
      </c>
      <c r="I197" s="2058"/>
      <c r="J197" s="2058"/>
      <c r="K197" s="2058"/>
      <c r="L197" s="2058"/>
      <c r="M197" s="2058"/>
      <c r="N197" s="2059"/>
    </row>
    <row r="198" spans="2:14" ht="12.75" customHeight="1" x14ac:dyDescent="0.25">
      <c r="B198" s="15"/>
      <c r="C198" s="15"/>
      <c r="D198" s="15"/>
      <c r="E198" s="24"/>
      <c r="F198" s="188"/>
      <c r="G198" s="188"/>
      <c r="H198" s="31" t="str">
        <f>Translations!$B$1014</f>
        <v>Enhet</v>
      </c>
      <c r="I198" s="320">
        <v>2014</v>
      </c>
      <c r="J198" s="320">
        <v>2015</v>
      </c>
      <c r="K198" s="320">
        <v>2016</v>
      </c>
      <c r="L198" s="320">
        <v>2017</v>
      </c>
      <c r="M198" s="320">
        <v>2018</v>
      </c>
      <c r="N198" s="6"/>
    </row>
    <row r="199" spans="2:14" ht="12.75" customHeight="1" x14ac:dyDescent="0.25">
      <c r="B199" s="15"/>
      <c r="C199" s="15"/>
      <c r="D199" s="15"/>
      <c r="E199" s="2119" t="str">
        <f>Translations!$B$306</f>
        <v>Okorrigerade processutsläpp</v>
      </c>
      <c r="F199" s="2119"/>
      <c r="G199" s="2119"/>
      <c r="H199" s="129" t="str">
        <f>EUconst_tCO2epa</f>
        <v>t CO2e/år</v>
      </c>
      <c r="I199" s="912" t="str">
        <f>[1]K_Summary!I189</f>
        <v/>
      </c>
      <c r="J199" s="912" t="str">
        <f>[1]K_Summary!J189</f>
        <v/>
      </c>
      <c r="K199" s="912" t="str">
        <f>[1]K_Summary!K189</f>
        <v/>
      </c>
      <c r="L199" s="912" t="str">
        <f>[1]K_Summary!L189</f>
        <v/>
      </c>
      <c r="M199" s="912" t="str">
        <f>[1]K_Summary!M189</f>
        <v/>
      </c>
      <c r="N199" s="6"/>
    </row>
    <row r="200" spans="2:14" ht="12.75" customHeight="1" x14ac:dyDescent="0.25">
      <c r="B200" s="15"/>
      <c r="C200" s="15"/>
      <c r="D200" s="15"/>
      <c r="E200" s="2119" t="str">
        <f>Translations!$B$310</f>
        <v>Restgasutsläpp</v>
      </c>
      <c r="F200" s="2119"/>
      <c r="G200" s="2119"/>
      <c r="H200" s="129" t="str">
        <f>EUconst_tCO2epa</f>
        <v>t CO2e/år</v>
      </c>
      <c r="I200" s="912" t="str">
        <f>[1]K_Summary!I190</f>
        <v/>
      </c>
      <c r="J200" s="912" t="str">
        <f>[1]K_Summary!J190</f>
        <v/>
      </c>
      <c r="K200" s="912" t="str">
        <f>[1]K_Summary!K190</f>
        <v/>
      </c>
      <c r="L200" s="912" t="str">
        <f>[1]K_Summary!L190</f>
        <v/>
      </c>
      <c r="M200" s="912" t="str">
        <f>[1]K_Summary!M190</f>
        <v/>
      </c>
      <c r="N200" s="6"/>
    </row>
    <row r="201" spans="2:14" ht="12.75" customHeight="1" x14ac:dyDescent="0.25">
      <c r="B201" s="15"/>
      <c r="C201" s="15"/>
      <c r="D201" s="15"/>
      <c r="E201" s="2119" t="str">
        <f>Translations!$B$315</f>
        <v>Mängden restgaser per år</v>
      </c>
      <c r="F201" s="2119"/>
      <c r="G201" s="2119"/>
      <c r="H201" s="1578"/>
      <c r="I201" s="912" t="str">
        <f>[1]K_Summary!I191</f>
        <v/>
      </c>
      <c r="J201" s="912" t="str">
        <f>[1]K_Summary!J191</f>
        <v/>
      </c>
      <c r="K201" s="912" t="str">
        <f>[1]K_Summary!K191</f>
        <v/>
      </c>
      <c r="L201" s="912" t="str">
        <f>[1]K_Summary!L191</f>
        <v/>
      </c>
      <c r="M201" s="912" t="str">
        <f>[1]K_Summary!M191</f>
        <v/>
      </c>
      <c r="N201" s="15"/>
    </row>
    <row r="202" spans="2:14" ht="12.75" customHeight="1" x14ac:dyDescent="0.25">
      <c r="B202" s="15"/>
      <c r="C202" s="15"/>
      <c r="D202" s="15"/>
      <c r="E202" s="2119" t="str">
        <f>Translations!$B$318</f>
        <v>Effektivt värmevärde</v>
      </c>
      <c r="F202" s="2119"/>
      <c r="G202" s="2119"/>
      <c r="H202" s="1578" t="str">
        <f>EUconst_GJperUnit</f>
        <v>GJ / Enhet</v>
      </c>
      <c r="I202" s="912" t="str">
        <f>[1]K_Summary!I192</f>
        <v/>
      </c>
      <c r="J202" s="912" t="str">
        <f>[1]K_Summary!J192</f>
        <v/>
      </c>
      <c r="K202" s="912" t="str">
        <f>[1]K_Summary!K192</f>
        <v/>
      </c>
      <c r="L202" s="912" t="str">
        <f>[1]K_Summary!L192</f>
        <v/>
      </c>
      <c r="M202" s="912" t="str">
        <f>[1]K_Summary!M192</f>
        <v/>
      </c>
      <c r="N202" s="15"/>
    </row>
    <row r="203" spans="2:14" ht="12.75" customHeight="1" x14ac:dyDescent="0.25">
      <c r="B203" s="15"/>
      <c r="C203" s="15"/>
      <c r="D203" s="15"/>
      <c r="E203" s="2127" t="str">
        <f>Translations!$B$326</f>
        <v>Avdrag för restgaser</v>
      </c>
      <c r="F203" s="2127"/>
      <c r="G203" s="2127"/>
      <c r="H203" s="472" t="str">
        <f>EUconst_tCO2pa</f>
        <v>t CO2 / år</v>
      </c>
      <c r="I203" s="254" t="str">
        <f>[1]K_Summary!I193</f>
        <v/>
      </c>
      <c r="J203" s="254" t="str">
        <f>[1]K_Summary!J193</f>
        <v/>
      </c>
      <c r="K203" s="254" t="str">
        <f>[1]K_Summary!K193</f>
        <v/>
      </c>
      <c r="L203" s="254" t="str">
        <f>[1]K_Summary!L193</f>
        <v/>
      </c>
      <c r="M203" s="254" t="str">
        <f>[1]K_Summary!M193</f>
        <v/>
      </c>
      <c r="N203" s="15"/>
    </row>
    <row r="204" spans="2:14" ht="12.75" customHeight="1" x14ac:dyDescent="0.25">
      <c r="B204" s="15"/>
      <c r="C204" s="15"/>
      <c r="D204" s="15"/>
      <c r="E204" s="2127" t="str">
        <f>Translations!$B$330</f>
        <v>Resultatet av verktyget för restgaser:</v>
      </c>
      <c r="F204" s="2127"/>
      <c r="G204" s="2127"/>
      <c r="H204" s="48" t="str">
        <f>EUconst_tCO2pa</f>
        <v>t CO2 / år</v>
      </c>
      <c r="I204" s="254" t="str">
        <f>[1]K_Summary!I194</f>
        <v/>
      </c>
      <c r="J204" s="254" t="str">
        <f>[1]K_Summary!J194</f>
        <v/>
      </c>
      <c r="K204" s="254" t="str">
        <f>[1]K_Summary!K194</f>
        <v/>
      </c>
      <c r="L204" s="254" t="str">
        <f>[1]K_Summary!L194</f>
        <v/>
      </c>
      <c r="M204" s="254" t="str">
        <f>[1]K_Summary!M194</f>
        <v/>
      </c>
      <c r="N204" s="15"/>
    </row>
    <row r="205" spans="2:14" ht="5.15" customHeight="1" x14ac:dyDescent="0.25">
      <c r="B205" s="15"/>
      <c r="C205" s="15"/>
      <c r="D205" s="15"/>
      <c r="E205" s="15"/>
      <c r="F205" s="15"/>
      <c r="G205" s="15"/>
      <c r="H205" s="15"/>
      <c r="I205" s="15"/>
      <c r="J205" s="15"/>
      <c r="K205" s="15"/>
      <c r="L205" s="15"/>
      <c r="M205" s="15"/>
      <c r="N205" s="15"/>
    </row>
    <row r="206" spans="2:14" ht="12.75" customHeight="1" x14ac:dyDescent="0.25">
      <c r="B206" s="15"/>
      <c r="C206" s="15"/>
      <c r="D206" s="15"/>
      <c r="E206" s="2128" t="str">
        <f>Translations!$B$320</f>
        <v>Referenseffektivitet för produktion av el:</v>
      </c>
      <c r="F206" s="2128"/>
      <c r="G206" s="2128"/>
      <c r="H206" s="2128"/>
      <c r="I206" s="1579"/>
      <c r="J206" s="1579" t="str">
        <f>Translations!$B$321</f>
        <v>med naturgas:</v>
      </c>
      <c r="K206" s="1580">
        <f>[1]K_Summary!K196</f>
        <v>0.52500000000000002</v>
      </c>
      <c r="L206" s="1376"/>
      <c r="M206" s="1579" t="str">
        <f>Translations!$B$322</f>
        <v>med restgaser:</v>
      </c>
      <c r="N206" s="1580">
        <f>[1]K_Summary!N196</f>
        <v>0.35</v>
      </c>
    </row>
    <row r="207" spans="2:14" ht="12.75" customHeight="1" x14ac:dyDescent="0.25">
      <c r="B207" s="15"/>
      <c r="C207" s="3"/>
      <c r="D207" s="3"/>
      <c r="E207" s="3"/>
      <c r="F207" s="3"/>
      <c r="G207" s="3"/>
      <c r="H207" s="3"/>
      <c r="I207" s="3"/>
      <c r="J207" s="3"/>
      <c r="K207" s="3"/>
      <c r="L207" s="3"/>
      <c r="M207" s="6"/>
      <c r="N207" s="6"/>
    </row>
    <row r="208" spans="2:14" ht="12.75" customHeight="1" x14ac:dyDescent="0.3">
      <c r="B208" s="15"/>
      <c r="C208" s="3"/>
      <c r="D208" s="13" t="s">
        <v>955</v>
      </c>
      <c r="E208" s="1943" t="str">
        <f>Translations!$B$297</f>
        <v>Detta avsnitt handlar om följande typer av delanläggningar med processutsläpp:</v>
      </c>
      <c r="F208" s="1943"/>
      <c r="G208" s="1943"/>
      <c r="H208" s="1943"/>
      <c r="I208" s="1943"/>
      <c r="J208" s="1943"/>
      <c r="K208" s="2067"/>
      <c r="L208" s="2136" t="str">
        <f>[1]K_Summary!L198</f>
        <v/>
      </c>
      <c r="M208" s="2137"/>
      <c r="N208" s="2138"/>
    </row>
    <row r="209" spans="2:14" ht="12.75" customHeight="1" x14ac:dyDescent="0.25">
      <c r="B209" s="15"/>
      <c r="C209" s="3"/>
      <c r="D209" s="13"/>
      <c r="E209" s="1943" t="str">
        <f>Translations!$B$301</f>
        <v>Restgastyp:</v>
      </c>
      <c r="F209" s="1963"/>
      <c r="G209" s="2060"/>
      <c r="H209" s="2057" t="str">
        <f>[1]K_Summary!H199</f>
        <v/>
      </c>
      <c r="I209" s="2058"/>
      <c r="J209" s="2058"/>
      <c r="K209" s="2058"/>
      <c r="L209" s="2058"/>
      <c r="M209" s="2058"/>
      <c r="N209" s="2059"/>
    </row>
    <row r="210" spans="2:14" ht="12.75" customHeight="1" x14ac:dyDescent="0.25">
      <c r="B210" s="15"/>
      <c r="C210" s="15"/>
      <c r="D210" s="13"/>
      <c r="E210" s="24"/>
      <c r="F210" s="188"/>
      <c r="G210" s="188"/>
      <c r="H210" s="31" t="str">
        <f>Translations!$B$1014</f>
        <v>Enhet</v>
      </c>
      <c r="I210" s="320">
        <v>2014</v>
      </c>
      <c r="J210" s="320">
        <v>2015</v>
      </c>
      <c r="K210" s="320">
        <v>2016</v>
      </c>
      <c r="L210" s="320">
        <v>2017</v>
      </c>
      <c r="M210" s="320">
        <v>2018</v>
      </c>
      <c r="N210" s="6"/>
    </row>
    <row r="211" spans="2:14" ht="12.75" customHeight="1" x14ac:dyDescent="0.25">
      <c r="B211" s="15"/>
      <c r="C211" s="15"/>
      <c r="D211" s="15"/>
      <c r="E211" s="2119" t="str">
        <f>Translations!$B$306</f>
        <v>Okorrigerade processutsläpp</v>
      </c>
      <c r="F211" s="2119"/>
      <c r="G211" s="2119"/>
      <c r="H211" s="129" t="str">
        <f>EUconst_tCO2epa</f>
        <v>t CO2e/år</v>
      </c>
      <c r="I211" s="912" t="str">
        <f>[1]K_Summary!I201</f>
        <v/>
      </c>
      <c r="J211" s="912" t="str">
        <f>[1]K_Summary!J201</f>
        <v/>
      </c>
      <c r="K211" s="912" t="str">
        <f>[1]K_Summary!K201</f>
        <v/>
      </c>
      <c r="L211" s="912" t="str">
        <f>[1]K_Summary!L201</f>
        <v/>
      </c>
      <c r="M211" s="912" t="str">
        <f>[1]K_Summary!M201</f>
        <v/>
      </c>
      <c r="N211" s="6"/>
    </row>
    <row r="212" spans="2:14" ht="12.75" customHeight="1" x14ac:dyDescent="0.25">
      <c r="B212" s="15"/>
      <c r="C212" s="15"/>
      <c r="D212" s="15"/>
      <c r="E212" s="2119" t="str">
        <f>Translations!$B$310</f>
        <v>Restgasutsläpp</v>
      </c>
      <c r="F212" s="2119"/>
      <c r="G212" s="2119"/>
      <c r="H212" s="129" t="str">
        <f>EUconst_tCO2epa</f>
        <v>t CO2e/år</v>
      </c>
      <c r="I212" s="912" t="str">
        <f>[1]K_Summary!I202</f>
        <v/>
      </c>
      <c r="J212" s="912" t="str">
        <f>[1]K_Summary!J202</f>
        <v/>
      </c>
      <c r="K212" s="912" t="str">
        <f>[1]K_Summary!K202</f>
        <v/>
      </c>
      <c r="L212" s="912" t="str">
        <f>[1]K_Summary!L202</f>
        <v/>
      </c>
      <c r="M212" s="912" t="str">
        <f>[1]K_Summary!M202</f>
        <v/>
      </c>
      <c r="N212" s="6"/>
    </row>
    <row r="213" spans="2:14" ht="12.75" customHeight="1" x14ac:dyDescent="0.25">
      <c r="B213" s="15"/>
      <c r="C213" s="15"/>
      <c r="D213" s="15"/>
      <c r="E213" s="2119" t="str">
        <f>Translations!$B$315</f>
        <v>Mängden restgaser per år</v>
      </c>
      <c r="F213" s="2119"/>
      <c r="G213" s="2119"/>
      <c r="H213" s="1578"/>
      <c r="I213" s="912" t="str">
        <f>[1]K_Summary!I203</f>
        <v/>
      </c>
      <c r="J213" s="912" t="str">
        <f>[1]K_Summary!J203</f>
        <v/>
      </c>
      <c r="K213" s="912" t="str">
        <f>[1]K_Summary!K203</f>
        <v/>
      </c>
      <c r="L213" s="912" t="str">
        <f>[1]K_Summary!L203</f>
        <v/>
      </c>
      <c r="M213" s="912" t="str">
        <f>[1]K_Summary!M203</f>
        <v/>
      </c>
      <c r="N213" s="6"/>
    </row>
    <row r="214" spans="2:14" ht="12.75" customHeight="1" x14ac:dyDescent="0.25">
      <c r="B214" s="15"/>
      <c r="C214" s="15"/>
      <c r="D214" s="15"/>
      <c r="E214" s="2119" t="str">
        <f>Translations!$B$318</f>
        <v>Effektivt värmevärde</v>
      </c>
      <c r="F214" s="2119"/>
      <c r="G214" s="2119"/>
      <c r="H214" s="1578" t="str">
        <f>EUconst_GJperUnit</f>
        <v>GJ / Enhet</v>
      </c>
      <c r="I214" s="912" t="str">
        <f>[1]K_Summary!I204</f>
        <v/>
      </c>
      <c r="J214" s="912" t="str">
        <f>[1]K_Summary!J204</f>
        <v/>
      </c>
      <c r="K214" s="912" t="str">
        <f>[1]K_Summary!K204</f>
        <v/>
      </c>
      <c r="L214" s="912" t="str">
        <f>[1]K_Summary!L204</f>
        <v/>
      </c>
      <c r="M214" s="912" t="str">
        <f>[1]K_Summary!M204</f>
        <v/>
      </c>
      <c r="N214" s="6"/>
    </row>
    <row r="215" spans="2:14" ht="12.75" customHeight="1" x14ac:dyDescent="0.25">
      <c r="B215" s="15"/>
      <c r="C215" s="15"/>
      <c r="D215" s="15"/>
      <c r="E215" s="2127" t="str">
        <f>Translations!$B$326</f>
        <v>Avdrag för restgaser</v>
      </c>
      <c r="F215" s="2127"/>
      <c r="G215" s="2127"/>
      <c r="H215" s="472" t="str">
        <f>EUconst_tCO2pa</f>
        <v>t CO2 / år</v>
      </c>
      <c r="I215" s="254" t="str">
        <f>[1]K_Summary!I205</f>
        <v/>
      </c>
      <c r="J215" s="254" t="str">
        <f>[1]K_Summary!J205</f>
        <v/>
      </c>
      <c r="K215" s="254" t="str">
        <f>[1]K_Summary!K205</f>
        <v/>
      </c>
      <c r="L215" s="254" t="str">
        <f>[1]K_Summary!L205</f>
        <v/>
      </c>
      <c r="M215" s="254" t="str">
        <f>[1]K_Summary!M205</f>
        <v/>
      </c>
      <c r="N215" s="6"/>
    </row>
    <row r="216" spans="2:14" ht="12.75" customHeight="1" x14ac:dyDescent="0.25">
      <c r="B216" s="15"/>
      <c r="C216" s="15"/>
      <c r="D216" s="15"/>
      <c r="E216" s="2127" t="str">
        <f>Translations!$B$330</f>
        <v>Resultatet av verktyget för restgaser:</v>
      </c>
      <c r="F216" s="2127"/>
      <c r="G216" s="2127"/>
      <c r="H216" s="48" t="str">
        <f>EUconst_tCO2pa</f>
        <v>t CO2 / år</v>
      </c>
      <c r="I216" s="254" t="str">
        <f>[1]K_Summary!I206</f>
        <v/>
      </c>
      <c r="J216" s="254" t="str">
        <f>[1]K_Summary!J206</f>
        <v/>
      </c>
      <c r="K216" s="254" t="str">
        <f>[1]K_Summary!K206</f>
        <v/>
      </c>
      <c r="L216" s="254" t="str">
        <f>[1]K_Summary!L206</f>
        <v/>
      </c>
      <c r="M216" s="254" t="str">
        <f>[1]K_Summary!M206</f>
        <v/>
      </c>
      <c r="N216" s="6"/>
    </row>
    <row r="217" spans="2:14" ht="5.15" customHeight="1" x14ac:dyDescent="0.25">
      <c r="B217" s="15"/>
      <c r="C217" s="3"/>
      <c r="D217" s="3"/>
      <c r="E217" s="3"/>
      <c r="F217" s="3"/>
      <c r="G217" s="3"/>
      <c r="H217" s="3"/>
      <c r="I217" s="3"/>
      <c r="J217" s="3"/>
      <c r="K217" s="3"/>
      <c r="L217" s="3"/>
      <c r="M217" s="6"/>
      <c r="N217" s="6"/>
    </row>
    <row r="218" spans="2:14" ht="12.75" customHeight="1" x14ac:dyDescent="0.25">
      <c r="B218" s="15"/>
      <c r="C218" s="15"/>
      <c r="D218" s="15"/>
      <c r="E218" s="2128" t="str">
        <f>Translations!$B$320</f>
        <v>Referenseffektivitet för produktion av el:</v>
      </c>
      <c r="F218" s="2128"/>
      <c r="G218" s="2128"/>
      <c r="H218" s="2128"/>
      <c r="I218" s="1579"/>
      <c r="J218" s="1579" t="str">
        <f>Translations!$B$321</f>
        <v>med naturgas:</v>
      </c>
      <c r="K218" s="1580">
        <f>[1]K_Summary!K208</f>
        <v>0.52500000000000002</v>
      </c>
      <c r="L218" s="1376"/>
      <c r="M218" s="1579" t="str">
        <f>Translations!$B$322</f>
        <v>med restgaser:</v>
      </c>
      <c r="N218" s="1580">
        <f>[1]K_Summary!N208</f>
        <v>0.35</v>
      </c>
    </row>
    <row r="219" spans="2:14" ht="12.75" customHeight="1" x14ac:dyDescent="0.25">
      <c r="B219" s="15"/>
      <c r="C219" s="15"/>
      <c r="D219" s="15"/>
      <c r="E219" s="15"/>
      <c r="F219" s="15"/>
      <c r="G219" s="15"/>
      <c r="H219" s="15"/>
      <c r="I219" s="15"/>
      <c r="J219" s="15"/>
      <c r="K219" s="15"/>
      <c r="L219" s="15"/>
      <c r="M219" s="15"/>
      <c r="N219" s="15"/>
    </row>
    <row r="220" spans="2:14" ht="12.75" customHeight="1" x14ac:dyDescent="0.3">
      <c r="B220" s="15"/>
      <c r="C220" s="17">
        <v>5</v>
      </c>
      <c r="D220" s="2053" t="str">
        <f>Translations!$B$1015</f>
        <v>Insatsenergi från bränslen – uppdelat i användningskategorier (avsnitt E.I)</v>
      </c>
      <c r="E220" s="1963"/>
      <c r="F220" s="1963"/>
      <c r="G220" s="1963"/>
      <c r="H220" s="1963"/>
      <c r="I220" s="1963"/>
      <c r="J220" s="1963"/>
      <c r="K220" s="1963"/>
      <c r="L220" s="1963"/>
      <c r="M220" s="1963"/>
      <c r="N220" s="1963"/>
    </row>
    <row r="221" spans="2:14" ht="5.15" customHeight="1" x14ac:dyDescent="0.25">
      <c r="B221" s="3"/>
      <c r="C221" s="3"/>
      <c r="D221" s="3"/>
      <c r="E221" s="3"/>
      <c r="F221" s="3"/>
      <c r="G221" s="3"/>
      <c r="H221" s="3"/>
      <c r="I221" s="3"/>
      <c r="J221" s="3"/>
      <c r="K221" s="3"/>
      <c r="L221" s="3"/>
      <c r="M221" s="6"/>
      <c r="N221" s="6"/>
    </row>
    <row r="222" spans="2:14" ht="12.75" customHeight="1" x14ac:dyDescent="0.25">
      <c r="B222" s="15"/>
      <c r="C222" s="15"/>
      <c r="D222" s="15"/>
      <c r="E222" s="2101" t="str">
        <f>Translations!$B$353</f>
        <v>Användningstyper för insatsbränsle</v>
      </c>
      <c r="F222" s="2102"/>
      <c r="G222" s="2102"/>
      <c r="H222" s="13" t="str">
        <f>Translations!$B$1014</f>
        <v>Enhet</v>
      </c>
      <c r="I222" s="320">
        <v>2014</v>
      </c>
      <c r="J222" s="320">
        <v>2015</v>
      </c>
      <c r="K222" s="320">
        <v>2016</v>
      </c>
      <c r="L222" s="320">
        <v>2017</v>
      </c>
      <c r="M222" s="320">
        <v>2018</v>
      </c>
      <c r="N222" s="15"/>
    </row>
    <row r="223" spans="2:14" ht="12.75" customHeight="1" x14ac:dyDescent="0.25">
      <c r="B223" s="15"/>
      <c r="C223" s="15"/>
      <c r="D223" s="289"/>
      <c r="E223" s="2129" t="str">
        <f>Translations!$B$355</f>
        <v>Insatsbränsle för produktion av mätbar värme</v>
      </c>
      <c r="F223" s="2129"/>
      <c r="G223" s="2129"/>
      <c r="H223" s="129" t="str">
        <f t="shared" ref="H223:H228" si="1">EUconst_TJpa</f>
        <v>TJ / år</v>
      </c>
      <c r="I223" s="381" t="str">
        <f>[1]K_Summary!I213</f>
        <v/>
      </c>
      <c r="J223" s="381" t="str">
        <f>[1]K_Summary!J213</f>
        <v/>
      </c>
      <c r="K223" s="381" t="str">
        <f>[1]K_Summary!K213</f>
        <v/>
      </c>
      <c r="L223" s="381" t="str">
        <f>[1]K_Summary!L213</f>
        <v/>
      </c>
      <c r="M223" s="381" t="str">
        <f>[1]K_Summary!M213</f>
        <v/>
      </c>
      <c r="N223" s="15"/>
    </row>
    <row r="224" spans="2:14" ht="12.75" customHeight="1" x14ac:dyDescent="0.25">
      <c r="B224" s="15"/>
      <c r="C224" s="15"/>
      <c r="D224" s="289"/>
      <c r="E224" s="2130" t="str">
        <f>Translations!$B$348</f>
        <v>Insatsbränsle för elproduktion</v>
      </c>
      <c r="F224" s="2130"/>
      <c r="G224" s="2130"/>
      <c r="H224" s="129" t="str">
        <f t="shared" si="1"/>
        <v>TJ / år</v>
      </c>
      <c r="I224" s="575" t="str">
        <f>[1]K_Summary!I214</f>
        <v/>
      </c>
      <c r="J224" s="575" t="str">
        <f>[1]K_Summary!J214</f>
        <v/>
      </c>
      <c r="K224" s="575" t="str">
        <f>[1]K_Summary!K214</f>
        <v/>
      </c>
      <c r="L224" s="575" t="str">
        <f>[1]K_Summary!L214</f>
        <v/>
      </c>
      <c r="M224" s="575" t="str">
        <f>[1]K_Summary!M214</f>
        <v/>
      </c>
      <c r="N224" s="15"/>
    </row>
    <row r="225" spans="2:14" ht="13.5" customHeight="1" thickBot="1" x14ac:dyDescent="0.3">
      <c r="B225" s="15"/>
      <c r="C225" s="15"/>
      <c r="D225" s="289"/>
      <c r="E225" s="2131" t="str">
        <f>Translations!$B$354</f>
        <v>Insatsbränsle för delanläggningar med produktriktmärke</v>
      </c>
      <c r="F225" s="2131"/>
      <c r="G225" s="2131"/>
      <c r="H225" s="1581" t="str">
        <f t="shared" si="1"/>
        <v>TJ / år</v>
      </c>
      <c r="I225" s="644" t="str">
        <f>[1]K_Summary!I215</f>
        <v/>
      </c>
      <c r="J225" s="644" t="str">
        <f>[1]K_Summary!J215</f>
        <v/>
      </c>
      <c r="K225" s="644" t="str">
        <f>[1]K_Summary!K215</f>
        <v/>
      </c>
      <c r="L225" s="644" t="str">
        <f>[1]K_Summary!L215</f>
        <v/>
      </c>
      <c r="M225" s="644" t="str">
        <f>[1]K_Summary!M215</f>
        <v/>
      </c>
      <c r="N225" s="15"/>
    </row>
    <row r="226" spans="2:14" ht="12.75" customHeight="1" x14ac:dyDescent="0.25">
      <c r="B226" s="15"/>
      <c r="C226" s="15"/>
      <c r="D226" s="289"/>
      <c r="E226" s="2132" t="str">
        <f>Translations!$B$1318</f>
        <v>Delanläggning med bränsleriktmärke, KL</v>
      </c>
      <c r="F226" s="2133"/>
      <c r="G226" s="2133"/>
      <c r="H226" s="1582" t="str">
        <f t="shared" si="1"/>
        <v>TJ / år</v>
      </c>
      <c r="I226" s="576" t="str">
        <f>[1]K_Summary!I216</f>
        <v/>
      </c>
      <c r="J226" s="576" t="str">
        <f>[1]K_Summary!J216</f>
        <v/>
      </c>
      <c r="K226" s="576" t="str">
        <f>[1]K_Summary!K216</f>
        <v/>
      </c>
      <c r="L226" s="576" t="str">
        <f>[1]K_Summary!L216</f>
        <v/>
      </c>
      <c r="M226" s="577" t="str">
        <f>[1]K_Summary!M216</f>
        <v/>
      </c>
      <c r="N226" s="15"/>
    </row>
    <row r="227" spans="2:14" ht="13.5" customHeight="1" thickBot="1" x14ac:dyDescent="0.3">
      <c r="B227" s="15"/>
      <c r="C227" s="15"/>
      <c r="D227" s="289"/>
      <c r="E227" s="2134" t="str">
        <f>Translations!$B$1319</f>
        <v>Delanläggning med bränsleriktmärke, ej KL</v>
      </c>
      <c r="F227" s="2135"/>
      <c r="G227" s="2135"/>
      <c r="H227" s="1583" t="str">
        <f t="shared" si="1"/>
        <v>TJ / år</v>
      </c>
      <c r="I227" s="261" t="str">
        <f>[1]K_Summary!I217</f>
        <v/>
      </c>
      <c r="J227" s="261" t="str">
        <f>[1]K_Summary!J217</f>
        <v/>
      </c>
      <c r="K227" s="261" t="str">
        <f>[1]K_Summary!K217</f>
        <v/>
      </c>
      <c r="L227" s="261" t="str">
        <f>[1]K_Summary!L217</f>
        <v/>
      </c>
      <c r="M227" s="578" t="str">
        <f>[1]K_Summary!M217</f>
        <v/>
      </c>
      <c r="N227" s="15"/>
    </row>
    <row r="228" spans="2:14" x14ac:dyDescent="0.25">
      <c r="B228" s="15"/>
      <c r="C228" s="15"/>
      <c r="D228" s="289"/>
      <c r="E228" s="2099" t="str">
        <f>Translations!$B$356</f>
        <v>Övrigt</v>
      </c>
      <c r="F228" s="2099"/>
      <c r="G228" s="2099"/>
      <c r="H228" s="1375" t="str">
        <f t="shared" si="1"/>
        <v>TJ / år</v>
      </c>
      <c r="I228" s="575" t="str">
        <f>[1]K_Summary!I218</f>
        <v/>
      </c>
      <c r="J228" s="575" t="str">
        <f>[1]K_Summary!J218</f>
        <v/>
      </c>
      <c r="K228" s="575" t="str">
        <f>[1]K_Summary!K218</f>
        <v/>
      </c>
      <c r="L228" s="575" t="str">
        <f>[1]K_Summary!L218</f>
        <v/>
      </c>
      <c r="M228" s="575" t="str">
        <f>[1]K_Summary!M218</f>
        <v/>
      </c>
      <c r="N228" s="15"/>
    </row>
    <row r="229" spans="2:14" ht="5.15" customHeight="1" x14ac:dyDescent="0.25">
      <c r="B229" s="15"/>
      <c r="C229" s="15"/>
      <c r="D229" s="289"/>
      <c r="E229" s="289"/>
      <c r="F229" s="289"/>
      <c r="G229" s="289"/>
      <c r="H229" s="289"/>
      <c r="I229" s="289"/>
      <c r="J229" s="289"/>
      <c r="K229" s="289"/>
      <c r="L229" s="289"/>
      <c r="M229" s="289"/>
      <c r="N229" s="15"/>
    </row>
    <row r="230" spans="2:14" ht="12.75" customHeight="1" x14ac:dyDescent="0.25">
      <c r="B230" s="15"/>
      <c r="C230" s="15"/>
      <c r="D230" s="15"/>
      <c r="E230" s="39" t="str">
        <f>Translations!$B$1016</f>
        <v>Insatsbränsle till respektive delanläggning i bladen F och G:</v>
      </c>
      <c r="F230" s="15"/>
      <c r="G230" s="15"/>
      <c r="H230" s="15"/>
      <c r="I230" s="15"/>
      <c r="J230" s="15"/>
      <c r="K230" s="15"/>
      <c r="L230" s="15"/>
      <c r="M230" s="15"/>
      <c r="N230" s="15"/>
    </row>
    <row r="231" spans="2:14" ht="12.75" customHeight="1" x14ac:dyDescent="0.25">
      <c r="B231" s="15"/>
      <c r="C231" s="15"/>
      <c r="D231" s="15"/>
      <c r="E231" s="2112" t="str">
        <f>[1]K_Summary!E221</f>
        <v/>
      </c>
      <c r="F231" s="2112"/>
      <c r="G231" s="2112"/>
      <c r="H231" s="954" t="str">
        <f t="shared" ref="H231:H245" si="2">EUconst_TJpa</f>
        <v>TJ / år</v>
      </c>
      <c r="I231" s="739" t="str">
        <f>[1]K_Summary!I221</f>
        <v/>
      </c>
      <c r="J231" s="739" t="str">
        <f>[1]K_Summary!J221</f>
        <v/>
      </c>
      <c r="K231" s="739" t="str">
        <f>[1]K_Summary!K221</f>
        <v/>
      </c>
      <c r="L231" s="739" t="str">
        <f>[1]K_Summary!L221</f>
        <v/>
      </c>
      <c r="M231" s="739" t="str">
        <f>[1]K_Summary!M221</f>
        <v/>
      </c>
      <c r="N231" s="15"/>
    </row>
    <row r="232" spans="2:14" ht="12.75" customHeight="1" x14ac:dyDescent="0.25">
      <c r="B232" s="15"/>
      <c r="C232" s="15"/>
      <c r="D232" s="15"/>
      <c r="E232" s="2113" t="str">
        <f>[1]K_Summary!E222</f>
        <v/>
      </c>
      <c r="F232" s="2113"/>
      <c r="G232" s="2113"/>
      <c r="H232" s="955" t="str">
        <f t="shared" si="2"/>
        <v>TJ / år</v>
      </c>
      <c r="I232" s="460" t="str">
        <f>[1]K_Summary!I222</f>
        <v/>
      </c>
      <c r="J232" s="460" t="str">
        <f>[1]K_Summary!J222</f>
        <v/>
      </c>
      <c r="K232" s="460" t="str">
        <f>[1]K_Summary!K222</f>
        <v/>
      </c>
      <c r="L232" s="460" t="str">
        <f>[1]K_Summary!L222</f>
        <v/>
      </c>
      <c r="M232" s="460" t="str">
        <f>[1]K_Summary!M222</f>
        <v/>
      </c>
      <c r="N232" s="15"/>
    </row>
    <row r="233" spans="2:14" ht="12.75" customHeight="1" x14ac:dyDescent="0.25">
      <c r="B233" s="15"/>
      <c r="C233" s="15"/>
      <c r="D233" s="15"/>
      <c r="E233" s="2113" t="str">
        <f>[1]K_Summary!E223</f>
        <v/>
      </c>
      <c r="F233" s="2113"/>
      <c r="G233" s="2113"/>
      <c r="H233" s="955" t="str">
        <f t="shared" si="2"/>
        <v>TJ / år</v>
      </c>
      <c r="I233" s="460" t="str">
        <f>[1]K_Summary!I223</f>
        <v/>
      </c>
      <c r="J233" s="460" t="str">
        <f>[1]K_Summary!J223</f>
        <v/>
      </c>
      <c r="K233" s="460" t="str">
        <f>[1]K_Summary!K223</f>
        <v/>
      </c>
      <c r="L233" s="460" t="str">
        <f>[1]K_Summary!L223</f>
        <v/>
      </c>
      <c r="M233" s="460" t="str">
        <f>[1]K_Summary!M223</f>
        <v/>
      </c>
      <c r="N233" s="15"/>
    </row>
    <row r="234" spans="2:14" ht="12.75" customHeight="1" x14ac:dyDescent="0.25">
      <c r="B234" s="15"/>
      <c r="C234" s="15"/>
      <c r="D234" s="15"/>
      <c r="E234" s="2113" t="str">
        <f>[1]K_Summary!E224</f>
        <v/>
      </c>
      <c r="F234" s="2113"/>
      <c r="G234" s="2113"/>
      <c r="H234" s="955" t="str">
        <f t="shared" si="2"/>
        <v>TJ / år</v>
      </c>
      <c r="I234" s="460" t="str">
        <f>[1]K_Summary!I224</f>
        <v/>
      </c>
      <c r="J234" s="460" t="str">
        <f>[1]K_Summary!J224</f>
        <v/>
      </c>
      <c r="K234" s="460" t="str">
        <f>[1]K_Summary!K224</f>
        <v/>
      </c>
      <c r="L234" s="460" t="str">
        <f>[1]K_Summary!L224</f>
        <v/>
      </c>
      <c r="M234" s="460" t="str">
        <f>[1]K_Summary!M224</f>
        <v/>
      </c>
      <c r="N234" s="15"/>
    </row>
    <row r="235" spans="2:14" ht="12.75" customHeight="1" x14ac:dyDescent="0.25">
      <c r="B235" s="15"/>
      <c r="C235" s="15"/>
      <c r="D235" s="15"/>
      <c r="E235" s="2113" t="str">
        <f>[1]K_Summary!E225</f>
        <v/>
      </c>
      <c r="F235" s="2113"/>
      <c r="G235" s="2113"/>
      <c r="H235" s="955" t="str">
        <f t="shared" si="2"/>
        <v>TJ / år</v>
      </c>
      <c r="I235" s="460" t="str">
        <f>[1]K_Summary!I225</f>
        <v/>
      </c>
      <c r="J235" s="460" t="str">
        <f>[1]K_Summary!J225</f>
        <v/>
      </c>
      <c r="K235" s="460" t="str">
        <f>[1]K_Summary!K225</f>
        <v/>
      </c>
      <c r="L235" s="460" t="str">
        <f>[1]K_Summary!L225</f>
        <v/>
      </c>
      <c r="M235" s="460" t="str">
        <f>[1]K_Summary!M225</f>
        <v/>
      </c>
      <c r="N235" s="15"/>
    </row>
    <row r="236" spans="2:14" ht="12.75" customHeight="1" x14ac:dyDescent="0.25">
      <c r="B236" s="15"/>
      <c r="C236" s="15"/>
      <c r="D236" s="15"/>
      <c r="E236" s="2113" t="str">
        <f>[1]K_Summary!E226</f>
        <v/>
      </c>
      <c r="F236" s="2113"/>
      <c r="G236" s="2113"/>
      <c r="H236" s="955" t="str">
        <f t="shared" si="2"/>
        <v>TJ / år</v>
      </c>
      <c r="I236" s="460" t="str">
        <f>[1]K_Summary!I226</f>
        <v/>
      </c>
      <c r="J236" s="460" t="str">
        <f>[1]K_Summary!J226</f>
        <v/>
      </c>
      <c r="K236" s="460" t="str">
        <f>[1]K_Summary!K226</f>
        <v/>
      </c>
      <c r="L236" s="460" t="str">
        <f>[1]K_Summary!L226</f>
        <v/>
      </c>
      <c r="M236" s="460" t="str">
        <f>[1]K_Summary!M226</f>
        <v/>
      </c>
      <c r="N236" s="15"/>
    </row>
    <row r="237" spans="2:14" ht="12.75" customHeight="1" x14ac:dyDescent="0.25">
      <c r="B237" s="15"/>
      <c r="C237" s="15"/>
      <c r="D237" s="15"/>
      <c r="E237" s="2113" t="str">
        <f>[1]K_Summary!E227</f>
        <v/>
      </c>
      <c r="F237" s="2113"/>
      <c r="G237" s="2113"/>
      <c r="H237" s="955" t="str">
        <f t="shared" si="2"/>
        <v>TJ / år</v>
      </c>
      <c r="I237" s="460" t="str">
        <f>[1]K_Summary!I227</f>
        <v/>
      </c>
      <c r="J237" s="460" t="str">
        <f>[1]K_Summary!J227</f>
        <v/>
      </c>
      <c r="K237" s="460" t="str">
        <f>[1]K_Summary!K227</f>
        <v/>
      </c>
      <c r="L237" s="460" t="str">
        <f>[1]K_Summary!L227</f>
        <v/>
      </c>
      <c r="M237" s="460" t="str">
        <f>[1]K_Summary!M227</f>
        <v/>
      </c>
      <c r="N237" s="15"/>
    </row>
    <row r="238" spans="2:14" ht="12.75" customHeight="1" x14ac:dyDescent="0.25">
      <c r="B238" s="15"/>
      <c r="C238" s="15"/>
      <c r="D238" s="15"/>
      <c r="E238" s="2113" t="str">
        <f>[1]K_Summary!E228</f>
        <v/>
      </c>
      <c r="F238" s="2113"/>
      <c r="G238" s="2113"/>
      <c r="H238" s="955" t="str">
        <f t="shared" si="2"/>
        <v>TJ / år</v>
      </c>
      <c r="I238" s="460" t="str">
        <f>[1]K_Summary!I228</f>
        <v/>
      </c>
      <c r="J238" s="460" t="str">
        <f>[1]K_Summary!J228</f>
        <v/>
      </c>
      <c r="K238" s="460" t="str">
        <f>[1]K_Summary!K228</f>
        <v/>
      </c>
      <c r="L238" s="460" t="str">
        <f>[1]K_Summary!L228</f>
        <v/>
      </c>
      <c r="M238" s="460" t="str">
        <f>[1]K_Summary!M228</f>
        <v/>
      </c>
      <c r="N238" s="15"/>
    </row>
    <row r="239" spans="2:14" ht="12.75" customHeight="1" x14ac:dyDescent="0.25">
      <c r="B239" s="15"/>
      <c r="C239" s="15"/>
      <c r="D239" s="15"/>
      <c r="E239" s="2113" t="str">
        <f>[1]K_Summary!E229</f>
        <v/>
      </c>
      <c r="F239" s="2113"/>
      <c r="G239" s="2113"/>
      <c r="H239" s="955" t="str">
        <f t="shared" si="2"/>
        <v>TJ / år</v>
      </c>
      <c r="I239" s="460" t="str">
        <f>[1]K_Summary!I229</f>
        <v/>
      </c>
      <c r="J239" s="460" t="str">
        <f>[1]K_Summary!J229</f>
        <v/>
      </c>
      <c r="K239" s="460" t="str">
        <f>[1]K_Summary!K229</f>
        <v/>
      </c>
      <c r="L239" s="460" t="str">
        <f>[1]K_Summary!L229</f>
        <v/>
      </c>
      <c r="M239" s="460" t="str">
        <f>[1]K_Summary!M229</f>
        <v/>
      </c>
      <c r="N239" s="15"/>
    </row>
    <row r="240" spans="2:14" ht="12.75" customHeight="1" x14ac:dyDescent="0.25">
      <c r="B240" s="15"/>
      <c r="C240" s="15"/>
      <c r="D240" s="15"/>
      <c r="E240" s="2098" t="str">
        <f>[1]K_Summary!E230</f>
        <v/>
      </c>
      <c r="F240" s="2098"/>
      <c r="G240" s="2098"/>
      <c r="H240" s="957" t="str">
        <f t="shared" si="2"/>
        <v>TJ / år</v>
      </c>
      <c r="I240" s="740" t="str">
        <f>[1]K_Summary!I230</f>
        <v/>
      </c>
      <c r="J240" s="740" t="str">
        <f>[1]K_Summary!J230</f>
        <v/>
      </c>
      <c r="K240" s="740" t="str">
        <f>[1]K_Summary!K230</f>
        <v/>
      </c>
      <c r="L240" s="740" t="str">
        <f>[1]K_Summary!L230</f>
        <v/>
      </c>
      <c r="M240" s="740" t="str">
        <f>[1]K_Summary!M230</f>
        <v/>
      </c>
      <c r="N240" s="15"/>
    </row>
    <row r="241" spans="2:14" ht="12.75" customHeight="1" x14ac:dyDescent="0.25">
      <c r="B241" s="15"/>
      <c r="C241" s="15"/>
      <c r="D241" s="15"/>
      <c r="E241" s="2041" t="str">
        <f>Translations!$B$1315</f>
        <v>Delanläggning med värmeriktmärke, KL</v>
      </c>
      <c r="F241" s="2041"/>
      <c r="G241" s="2041"/>
      <c r="H241" s="562" t="str">
        <f t="shared" si="2"/>
        <v>TJ / år</v>
      </c>
      <c r="I241" s="739" t="str">
        <f>[1]K_Summary!I231</f>
        <v/>
      </c>
      <c r="J241" s="739" t="str">
        <f>[1]K_Summary!J231</f>
        <v/>
      </c>
      <c r="K241" s="739" t="str">
        <f>[1]K_Summary!K231</f>
        <v/>
      </c>
      <c r="L241" s="739" t="str">
        <f>[1]K_Summary!L231</f>
        <v/>
      </c>
      <c r="M241" s="739" t="str">
        <f>[1]K_Summary!M231</f>
        <v/>
      </c>
      <c r="N241" s="15"/>
    </row>
    <row r="242" spans="2:14" ht="12.75" customHeight="1" x14ac:dyDescent="0.25">
      <c r="B242" s="15"/>
      <c r="C242" s="15"/>
      <c r="D242" s="15"/>
      <c r="E242" s="2044" t="str">
        <f>Translations!$B$1316</f>
        <v>Delanläggning med värmeriktmärke, ej KL</v>
      </c>
      <c r="F242" s="2044"/>
      <c r="G242" s="2044"/>
      <c r="H242" s="1569" t="str">
        <f t="shared" si="2"/>
        <v>TJ / år</v>
      </c>
      <c r="I242" s="460" t="str">
        <f>[1]K_Summary!I232</f>
        <v/>
      </c>
      <c r="J242" s="460" t="str">
        <f>[1]K_Summary!J232</f>
        <v/>
      </c>
      <c r="K242" s="460" t="str">
        <f>[1]K_Summary!K232</f>
        <v/>
      </c>
      <c r="L242" s="460" t="str">
        <f>[1]K_Summary!L232</f>
        <v/>
      </c>
      <c r="M242" s="460" t="str">
        <f>[1]K_Summary!M232</f>
        <v/>
      </c>
      <c r="N242" s="15"/>
    </row>
    <row r="243" spans="2:14" ht="12.75" customHeight="1" x14ac:dyDescent="0.25">
      <c r="B243" s="15"/>
      <c r="C243" s="15"/>
      <c r="D243" s="15"/>
      <c r="E243" s="2044" t="str">
        <f>Translations!$B$1317</f>
        <v>Fjärrvärmedelanläggning</v>
      </c>
      <c r="F243" s="2044"/>
      <c r="G243" s="2044"/>
      <c r="H243" s="1569" t="str">
        <f t="shared" si="2"/>
        <v>TJ / år</v>
      </c>
      <c r="I243" s="460" t="str">
        <f>[1]K_Summary!I233</f>
        <v/>
      </c>
      <c r="J243" s="460" t="str">
        <f>[1]K_Summary!J233</f>
        <v/>
      </c>
      <c r="K243" s="460" t="str">
        <f>[1]K_Summary!K233</f>
        <v/>
      </c>
      <c r="L243" s="460" t="str">
        <f>[1]K_Summary!L233</f>
        <v/>
      </c>
      <c r="M243" s="460" t="str">
        <f>[1]K_Summary!M233</f>
        <v/>
      </c>
      <c r="N243" s="15"/>
    </row>
    <row r="244" spans="2:14" ht="12.75" customHeight="1" x14ac:dyDescent="0.25">
      <c r="B244" s="15"/>
      <c r="C244" s="15"/>
      <c r="D244" s="15"/>
      <c r="E244" s="2044" t="str">
        <f>Translations!$B$1318</f>
        <v>Delanläggning med bränsleriktmärke, KL</v>
      </c>
      <c r="F244" s="2044"/>
      <c r="G244" s="2044"/>
      <c r="H244" s="1569" t="str">
        <f t="shared" si="2"/>
        <v>TJ / år</v>
      </c>
      <c r="I244" s="460" t="str">
        <f>[1]K_Summary!I234</f>
        <v/>
      </c>
      <c r="J244" s="460" t="str">
        <f>[1]K_Summary!J234</f>
        <v/>
      </c>
      <c r="K244" s="460" t="str">
        <f>[1]K_Summary!K234</f>
        <v/>
      </c>
      <c r="L244" s="460" t="str">
        <f>[1]K_Summary!L234</f>
        <v/>
      </c>
      <c r="M244" s="460" t="str">
        <f>[1]K_Summary!M234</f>
        <v/>
      </c>
      <c r="N244" s="15"/>
    </row>
    <row r="245" spans="2:14" ht="12.75" customHeight="1" x14ac:dyDescent="0.25">
      <c r="B245" s="15"/>
      <c r="C245" s="15"/>
      <c r="D245" s="15"/>
      <c r="E245" s="2110" t="str">
        <f>Translations!$B$1319</f>
        <v>Delanläggning med bränsleriktmärke, ej KL</v>
      </c>
      <c r="F245" s="2110"/>
      <c r="G245" s="2110"/>
      <c r="H245" s="1573" t="str">
        <f t="shared" si="2"/>
        <v>TJ / år</v>
      </c>
      <c r="I245" s="740" t="str">
        <f>[1]K_Summary!I235</f>
        <v/>
      </c>
      <c r="J245" s="740" t="str">
        <f>[1]K_Summary!J235</f>
        <v/>
      </c>
      <c r="K245" s="740" t="str">
        <f>[1]K_Summary!K235</f>
        <v/>
      </c>
      <c r="L245" s="740" t="str">
        <f>[1]K_Summary!L235</f>
        <v/>
      </c>
      <c r="M245" s="740" t="str">
        <f>[1]K_Summary!M235</f>
        <v/>
      </c>
      <c r="N245" s="15"/>
    </row>
    <row r="246" spans="2:14" ht="12.75" customHeight="1" x14ac:dyDescent="0.25">
      <c r="B246" s="15"/>
      <c r="C246" s="15"/>
      <c r="D246" s="15"/>
      <c r="E246" s="15"/>
      <c r="F246" s="15"/>
      <c r="G246" s="15"/>
      <c r="H246" s="15"/>
      <c r="I246" s="15"/>
      <c r="J246" s="15"/>
      <c r="K246" s="15"/>
      <c r="L246" s="15"/>
      <c r="M246" s="15"/>
      <c r="N246" s="15"/>
    </row>
    <row r="247" spans="2:14" ht="12.75" customHeight="1" x14ac:dyDescent="0.3">
      <c r="B247" s="15"/>
      <c r="C247" s="17">
        <v>6</v>
      </c>
      <c r="D247" s="2053" t="str">
        <f>Translations!$B$1017</f>
        <v>Beräkning av mätbar värme (avsnitt E.II)</v>
      </c>
      <c r="E247" s="1963"/>
      <c r="F247" s="1963"/>
      <c r="G247" s="1963"/>
      <c r="H247" s="1963"/>
      <c r="I247" s="1963"/>
      <c r="J247" s="1963"/>
      <c r="K247" s="1963"/>
      <c r="L247" s="1963"/>
      <c r="M247" s="1963"/>
      <c r="N247" s="1963"/>
    </row>
    <row r="248" spans="2:14" ht="5.15" customHeight="1" x14ac:dyDescent="0.25">
      <c r="B248" s="3"/>
      <c r="C248" s="3"/>
      <c r="D248" s="3"/>
      <c r="E248" s="3"/>
      <c r="F248" s="3"/>
      <c r="G248" s="3"/>
      <c r="H248" s="3"/>
      <c r="I248" s="3"/>
      <c r="J248" s="3"/>
      <c r="K248" s="3"/>
      <c r="L248" s="3"/>
      <c r="M248" s="6"/>
      <c r="N248" s="6"/>
    </row>
    <row r="249" spans="2:14" ht="12.75" customHeight="1" x14ac:dyDescent="0.25">
      <c r="B249" s="3"/>
      <c r="C249" s="13"/>
      <c r="D249" s="13" t="s">
        <v>442</v>
      </c>
      <c r="E249" s="2101" t="str">
        <f>Translations!$B$378</f>
        <v>Total nettomängd mätbar värme som produceras vid anläggningen:</v>
      </c>
      <c r="F249" s="2102"/>
      <c r="G249" s="2102"/>
      <c r="H249" s="2102"/>
      <c r="I249" s="2102"/>
      <c r="J249" s="2102"/>
      <c r="K249" s="2102"/>
      <c r="L249" s="2102"/>
      <c r="M249" s="2102"/>
      <c r="N249" s="2102"/>
    </row>
    <row r="250" spans="2:14" ht="13" x14ac:dyDescent="0.25">
      <c r="B250" s="15"/>
      <c r="C250" s="15"/>
      <c r="D250" s="15"/>
      <c r="E250" s="24"/>
      <c r="F250" s="188"/>
      <c r="G250" s="188"/>
      <c r="H250" s="30" t="str">
        <f>Translations!$B$1014</f>
        <v>Enhet</v>
      </c>
      <c r="I250" s="320">
        <v>2014</v>
      </c>
      <c r="J250" s="320">
        <v>2015</v>
      </c>
      <c r="K250" s="320">
        <v>2016</v>
      </c>
      <c r="L250" s="320">
        <v>2017</v>
      </c>
      <c r="M250" s="320">
        <v>2018</v>
      </c>
      <c r="N250" s="6"/>
    </row>
    <row r="251" spans="2:14" ht="12.75" customHeight="1" x14ac:dyDescent="0.25">
      <c r="B251" s="15"/>
      <c r="C251" s="15"/>
      <c r="D251" s="15"/>
      <c r="E251" s="2103" t="str">
        <f>Translations!$B$380</f>
        <v>Producerad mätbar värme</v>
      </c>
      <c r="F251" s="2103"/>
      <c r="G251" s="2103"/>
      <c r="H251" s="129" t="str">
        <f>EUconst_TJpa</f>
        <v>TJ / år</v>
      </c>
      <c r="I251" s="742" t="str">
        <f>[1]K_Summary!I241</f>
        <v/>
      </c>
      <c r="J251" s="381" t="str">
        <f>[1]K_Summary!J241</f>
        <v/>
      </c>
      <c r="K251" s="381" t="str">
        <f>[1]K_Summary!K241</f>
        <v/>
      </c>
      <c r="L251" s="381" t="str">
        <f>[1]K_Summary!L241</f>
        <v/>
      </c>
      <c r="M251" s="381" t="str">
        <f>[1]K_Summary!M241</f>
        <v/>
      </c>
      <c r="N251" s="6"/>
    </row>
    <row r="252" spans="2:14" ht="5.15" customHeight="1" x14ac:dyDescent="0.25">
      <c r="B252" s="3"/>
      <c r="C252" s="3"/>
      <c r="D252" s="3"/>
      <c r="E252" s="3"/>
      <c r="F252" s="3"/>
      <c r="G252" s="3"/>
      <c r="H252" s="3"/>
      <c r="I252" s="3"/>
      <c r="J252" s="3"/>
      <c r="K252" s="3"/>
      <c r="L252" s="3"/>
      <c r="M252" s="3"/>
      <c r="N252" s="3"/>
    </row>
    <row r="253" spans="2:14" ht="12.75" customHeight="1" x14ac:dyDescent="0.25">
      <c r="B253" s="3"/>
      <c r="C253" s="13"/>
      <c r="D253" s="13" t="s">
        <v>955</v>
      </c>
      <c r="E253" s="2101" t="str">
        <f>Translations!$B$381</f>
        <v>Mätbar värme som importeras från anläggningar inom ETS:</v>
      </c>
      <c r="F253" s="2102"/>
      <c r="G253" s="2102"/>
      <c r="H253" s="2102"/>
      <c r="I253" s="2102"/>
      <c r="J253" s="2102"/>
      <c r="K253" s="2102"/>
      <c r="L253" s="2102"/>
      <c r="M253" s="2102"/>
      <c r="N253" s="2102"/>
    </row>
    <row r="254" spans="2:14" ht="12.75" customHeight="1" x14ac:dyDescent="0.25">
      <c r="B254" s="15"/>
      <c r="C254" s="15"/>
      <c r="D254" s="15"/>
      <c r="E254" s="2111" t="str">
        <f>Translations!$B$383</f>
        <v>Anläggningens namn</v>
      </c>
      <c r="F254" s="2100"/>
      <c r="G254" s="2100"/>
      <c r="H254" s="30" t="str">
        <f>Translations!$B$1014</f>
        <v>Enhet</v>
      </c>
      <c r="I254" s="320">
        <v>2014</v>
      </c>
      <c r="J254" s="320">
        <v>2015</v>
      </c>
      <c r="K254" s="320">
        <v>2016</v>
      </c>
      <c r="L254" s="320">
        <v>2017</v>
      </c>
      <c r="M254" s="320">
        <v>2018</v>
      </c>
      <c r="N254" s="6"/>
    </row>
    <row r="255" spans="2:14" x14ac:dyDescent="0.25">
      <c r="B255" s="15"/>
      <c r="C255" s="289"/>
      <c r="D255" s="289"/>
      <c r="E255" s="2029" t="str">
        <f>[1]K_Summary!E245</f>
        <v/>
      </c>
      <c r="F255" s="2029"/>
      <c r="G255" s="2029"/>
      <c r="H255" s="456" t="str">
        <f>EUconst_TJpa</f>
        <v>TJ / år</v>
      </c>
      <c r="I255" s="739" t="str">
        <f>[1]K_Summary!I245</f>
        <v/>
      </c>
      <c r="J255" s="1584" t="str">
        <f>[1]K_Summary!J245</f>
        <v/>
      </c>
      <c r="K255" s="1584" t="str">
        <f>[1]K_Summary!K245</f>
        <v/>
      </c>
      <c r="L255" s="1584" t="str">
        <f>[1]K_Summary!L245</f>
        <v/>
      </c>
      <c r="M255" s="1584" t="str">
        <f>[1]K_Summary!M245</f>
        <v/>
      </c>
      <c r="N255" s="6"/>
    </row>
    <row r="256" spans="2:14" x14ac:dyDescent="0.25">
      <c r="B256" s="15"/>
      <c r="C256" s="289"/>
      <c r="D256" s="289"/>
      <c r="E256" s="2015" t="str">
        <f>[1]K_Summary!E246</f>
        <v/>
      </c>
      <c r="F256" s="2015"/>
      <c r="G256" s="2015"/>
      <c r="H256" s="459" t="str">
        <f>EUconst_TJpa</f>
        <v>TJ / år</v>
      </c>
      <c r="I256" s="460" t="str">
        <f>[1]K_Summary!I246</f>
        <v/>
      </c>
      <c r="J256" s="1585" t="str">
        <f>[1]K_Summary!J246</f>
        <v/>
      </c>
      <c r="K256" s="1585" t="str">
        <f>[1]K_Summary!K246</f>
        <v/>
      </c>
      <c r="L256" s="1585" t="str">
        <f>[1]K_Summary!L246</f>
        <v/>
      </c>
      <c r="M256" s="1585" t="str">
        <f>[1]K_Summary!M246</f>
        <v/>
      </c>
      <c r="N256" s="6"/>
    </row>
    <row r="257" spans="2:14" x14ac:dyDescent="0.25">
      <c r="B257" s="15"/>
      <c r="C257" s="289"/>
      <c r="D257" s="289"/>
      <c r="E257" s="2022" t="str">
        <f>[1]K_Summary!E247</f>
        <v/>
      </c>
      <c r="F257" s="2022"/>
      <c r="G257" s="2022"/>
      <c r="H257" s="461" t="str">
        <f>EUconst_TJpa</f>
        <v>TJ / år</v>
      </c>
      <c r="I257" s="740" t="str">
        <f>[1]K_Summary!I247</f>
        <v/>
      </c>
      <c r="J257" s="1586" t="str">
        <f>[1]K_Summary!J247</f>
        <v/>
      </c>
      <c r="K257" s="1586" t="str">
        <f>[1]K_Summary!K247</f>
        <v/>
      </c>
      <c r="L257" s="1586" t="str">
        <f>[1]K_Summary!L247</f>
        <v/>
      </c>
      <c r="M257" s="1586" t="str">
        <f>[1]K_Summary!M247</f>
        <v/>
      </c>
      <c r="N257" s="6"/>
    </row>
    <row r="258" spans="2:14" x14ac:dyDescent="0.25">
      <c r="B258" s="15"/>
      <c r="C258" s="289"/>
      <c r="D258" s="289"/>
      <c r="E258" s="2103" t="str">
        <f>Translations!$B$384</f>
        <v>Delsumma</v>
      </c>
      <c r="F258" s="2103"/>
      <c r="G258" s="2103"/>
      <c r="H258" s="450" t="str">
        <f>EUconst_TJpa</f>
        <v>TJ / år</v>
      </c>
      <c r="I258" s="742" t="str">
        <f>[1]K_Summary!I248</f>
        <v/>
      </c>
      <c r="J258" s="381" t="str">
        <f>[1]K_Summary!J248</f>
        <v/>
      </c>
      <c r="K258" s="381" t="str">
        <f>[1]K_Summary!K248</f>
        <v/>
      </c>
      <c r="L258" s="381" t="str">
        <f>[1]K_Summary!L248</f>
        <v/>
      </c>
      <c r="M258" s="381" t="str">
        <f>[1]K_Summary!M248</f>
        <v/>
      </c>
      <c r="N258" s="6"/>
    </row>
    <row r="259" spans="2:14" ht="5.15" customHeight="1" x14ac:dyDescent="0.25">
      <c r="B259" s="3"/>
      <c r="C259" s="3"/>
      <c r="D259" s="3"/>
      <c r="E259" s="3"/>
      <c r="F259" s="3"/>
      <c r="G259" s="3"/>
      <c r="H259" s="3"/>
      <c r="I259" s="3"/>
      <c r="J259" s="3"/>
      <c r="K259" s="3"/>
      <c r="L259" s="3"/>
      <c r="M259" s="3"/>
      <c r="N259" s="3"/>
    </row>
    <row r="260" spans="2:14" ht="12.75" customHeight="1" x14ac:dyDescent="0.25">
      <c r="B260" s="3"/>
      <c r="C260" s="13"/>
      <c r="D260" s="13" t="s">
        <v>55</v>
      </c>
      <c r="E260" s="2101" t="str">
        <f>Translations!$B$385</f>
        <v>Mätbar värme som importeras från anläggningar och enheter utanför ETS (icke-berättigande för värmeriktmärke):</v>
      </c>
      <c r="F260" s="2102"/>
      <c r="G260" s="2102"/>
      <c r="H260" s="2102"/>
      <c r="I260" s="2102"/>
      <c r="J260" s="2102"/>
      <c r="K260" s="2102"/>
      <c r="L260" s="2102"/>
      <c r="M260" s="2102"/>
      <c r="N260" s="2102"/>
    </row>
    <row r="261" spans="2:14" ht="12.75" customHeight="1" x14ac:dyDescent="0.25">
      <c r="B261" s="15"/>
      <c r="C261" s="15"/>
      <c r="D261" s="15"/>
      <c r="E261" s="2111" t="str">
        <f>Translations!$B$202</f>
        <v>Anläggningens eller enhetens namn</v>
      </c>
      <c r="F261" s="2100"/>
      <c r="G261" s="2100"/>
      <c r="H261" s="30" t="str">
        <f>Translations!$B$1014</f>
        <v>Enhet</v>
      </c>
      <c r="I261" s="320">
        <v>2014</v>
      </c>
      <c r="J261" s="320">
        <v>2015</v>
      </c>
      <c r="K261" s="320">
        <v>2016</v>
      </c>
      <c r="L261" s="320">
        <v>2017</v>
      </c>
      <c r="M261" s="320">
        <v>2018</v>
      </c>
      <c r="N261" s="6"/>
    </row>
    <row r="262" spans="2:14" x14ac:dyDescent="0.25">
      <c r="B262" s="15"/>
      <c r="C262" s="289"/>
      <c r="D262" s="289"/>
      <c r="E262" s="2029" t="str">
        <f>[1]K_Summary!E252</f>
        <v/>
      </c>
      <c r="F262" s="2029"/>
      <c r="G262" s="2029"/>
      <c r="H262" s="456" t="str">
        <f>EUconst_TJpa</f>
        <v>TJ / år</v>
      </c>
      <c r="I262" s="739" t="str">
        <f>[1]K_Summary!I252</f>
        <v/>
      </c>
      <c r="J262" s="1584" t="str">
        <f>[1]K_Summary!J252</f>
        <v/>
      </c>
      <c r="K262" s="1584" t="str">
        <f>[1]K_Summary!K252</f>
        <v/>
      </c>
      <c r="L262" s="1584" t="str">
        <f>[1]K_Summary!L252</f>
        <v/>
      </c>
      <c r="M262" s="1587" t="str">
        <f>[1]K_Summary!M252</f>
        <v/>
      </c>
      <c r="N262" s="6"/>
    </row>
    <row r="263" spans="2:14" x14ac:dyDescent="0.25">
      <c r="B263" s="15"/>
      <c r="C263" s="289"/>
      <c r="D263" s="289"/>
      <c r="E263" s="2015" t="str">
        <f>[1]K_Summary!E253</f>
        <v/>
      </c>
      <c r="F263" s="2015"/>
      <c r="G263" s="2015"/>
      <c r="H263" s="459" t="str">
        <f>EUconst_TJpa</f>
        <v>TJ / år</v>
      </c>
      <c r="I263" s="460" t="str">
        <f>[1]K_Summary!I253</f>
        <v/>
      </c>
      <c r="J263" s="1585" t="str">
        <f>[1]K_Summary!J253</f>
        <v/>
      </c>
      <c r="K263" s="1585" t="str">
        <f>[1]K_Summary!K253</f>
        <v/>
      </c>
      <c r="L263" s="1585" t="str">
        <f>[1]K_Summary!L253</f>
        <v/>
      </c>
      <c r="M263" s="1588" t="str">
        <f>[1]K_Summary!M253</f>
        <v/>
      </c>
      <c r="N263" s="6"/>
    </row>
    <row r="264" spans="2:14" x14ac:dyDescent="0.25">
      <c r="B264" s="15"/>
      <c r="C264" s="289"/>
      <c r="D264" s="289"/>
      <c r="E264" s="2022" t="str">
        <f>[1]K_Summary!E254</f>
        <v/>
      </c>
      <c r="F264" s="2022"/>
      <c r="G264" s="2022"/>
      <c r="H264" s="461" t="str">
        <f>EUconst_TJpa</f>
        <v>TJ / år</v>
      </c>
      <c r="I264" s="740" t="str">
        <f>[1]K_Summary!I254</f>
        <v/>
      </c>
      <c r="J264" s="1586" t="str">
        <f>[1]K_Summary!J254</f>
        <v/>
      </c>
      <c r="K264" s="1586" t="str">
        <f>[1]K_Summary!K254</f>
        <v/>
      </c>
      <c r="L264" s="1586" t="str">
        <f>[1]K_Summary!L254</f>
        <v/>
      </c>
      <c r="M264" s="1589" t="str">
        <f>[1]K_Summary!M254</f>
        <v/>
      </c>
      <c r="N264" s="6"/>
    </row>
    <row r="265" spans="2:14" x14ac:dyDescent="0.25">
      <c r="B265" s="15"/>
      <c r="C265" s="289"/>
      <c r="D265" s="289"/>
      <c r="E265" s="2103" t="str">
        <f>Translations!$B$384</f>
        <v>Delsumma</v>
      </c>
      <c r="F265" s="2103"/>
      <c r="G265" s="2103"/>
      <c r="H265" s="450" t="str">
        <f>EUconst_TJpa</f>
        <v>TJ / år</v>
      </c>
      <c r="I265" s="742" t="str">
        <f>[1]K_Summary!I255</f>
        <v/>
      </c>
      <c r="J265" s="381" t="str">
        <f>[1]K_Summary!J255</f>
        <v/>
      </c>
      <c r="K265" s="381" t="str">
        <f>[1]K_Summary!K255</f>
        <v/>
      </c>
      <c r="L265" s="381" t="str">
        <f>[1]K_Summary!L255</f>
        <v/>
      </c>
      <c r="M265" s="1590" t="str">
        <f>[1]K_Summary!M255</f>
        <v/>
      </c>
      <c r="N265" s="6"/>
    </row>
    <row r="266" spans="2:14" ht="5.15" customHeight="1" x14ac:dyDescent="0.25">
      <c r="B266" s="3"/>
      <c r="C266" s="3"/>
      <c r="D266" s="3"/>
      <c r="E266" s="3"/>
      <c r="F266" s="3"/>
      <c r="G266" s="3"/>
      <c r="H266" s="3"/>
      <c r="I266" s="3"/>
      <c r="J266" s="3"/>
      <c r="K266" s="3"/>
      <c r="L266" s="3"/>
      <c r="M266" s="3"/>
      <c r="N266" s="3"/>
    </row>
    <row r="267" spans="2:14" ht="12.75" customHeight="1" x14ac:dyDescent="0.25">
      <c r="B267" s="3"/>
      <c r="C267" s="13"/>
      <c r="D267" s="13" t="s">
        <v>960</v>
      </c>
      <c r="E267" s="2101" t="str">
        <f>Translations!$B$388</f>
        <v>Mätbar värme som produceras från el</v>
      </c>
      <c r="F267" s="2102"/>
      <c r="G267" s="2102"/>
      <c r="H267" s="2102"/>
      <c r="I267" s="2102"/>
      <c r="J267" s="2102"/>
      <c r="K267" s="2102"/>
      <c r="L267" s="2102"/>
      <c r="M267" s="2102"/>
      <c r="N267" s="2102"/>
    </row>
    <row r="268" spans="2:14" ht="12.75" customHeight="1" x14ac:dyDescent="0.25">
      <c r="B268" s="15"/>
      <c r="C268" s="15"/>
      <c r="D268" s="15"/>
      <c r="E268" s="2103" t="str">
        <f>Translations!$B$390</f>
        <v>Värme från el</v>
      </c>
      <c r="F268" s="2103"/>
      <c r="G268" s="2103"/>
      <c r="H268" s="129" t="str">
        <f>EUconst_TJpa</f>
        <v>TJ / år</v>
      </c>
      <c r="I268" s="742" t="str">
        <f>[1]K_Summary!I258</f>
        <v/>
      </c>
      <c r="J268" s="381" t="str">
        <f>[1]K_Summary!J258</f>
        <v/>
      </c>
      <c r="K268" s="381" t="str">
        <f>[1]K_Summary!K258</f>
        <v/>
      </c>
      <c r="L268" s="381" t="str">
        <f>[1]K_Summary!L258</f>
        <v/>
      </c>
      <c r="M268" s="381" t="str">
        <f>[1]K_Summary!M258</f>
        <v/>
      </c>
      <c r="N268" s="6"/>
    </row>
    <row r="269" spans="2:14" ht="5.15" customHeight="1" x14ac:dyDescent="0.25">
      <c r="B269" s="3"/>
      <c r="C269" s="3"/>
      <c r="D269" s="3"/>
      <c r="E269" s="3"/>
      <c r="F269" s="3"/>
      <c r="G269" s="3"/>
      <c r="H269" s="3"/>
      <c r="I269" s="3"/>
      <c r="J269" s="3"/>
      <c r="K269" s="3"/>
      <c r="L269" s="3"/>
      <c r="M269" s="3"/>
      <c r="N269" s="3"/>
    </row>
    <row r="270" spans="2:14" ht="12.75" customHeight="1" x14ac:dyDescent="0.25">
      <c r="B270" s="3"/>
      <c r="C270" s="13"/>
      <c r="D270" s="13" t="s">
        <v>65</v>
      </c>
      <c r="E270" s="2101" t="str">
        <f>Translations!$B$391</f>
        <v>Summa av mätbar värme vid anläggningen (= a+b+c)</v>
      </c>
      <c r="F270" s="2102"/>
      <c r="G270" s="2102"/>
      <c r="H270" s="2102"/>
      <c r="I270" s="2102"/>
      <c r="J270" s="2102"/>
      <c r="K270" s="2102"/>
      <c r="L270" s="2102"/>
      <c r="M270" s="2102"/>
      <c r="N270" s="2102"/>
    </row>
    <row r="271" spans="2:14" ht="12.75" customHeight="1" x14ac:dyDescent="0.25">
      <c r="B271" s="15"/>
      <c r="C271" s="15"/>
      <c r="D271" s="15"/>
      <c r="E271" s="2103" t="str">
        <f>Translations!$B$392</f>
        <v>Total mätbar värme</v>
      </c>
      <c r="F271" s="2103"/>
      <c r="G271" s="2103"/>
      <c r="H271" s="450" t="str">
        <f>EUconst_TJpa</f>
        <v>TJ / år</v>
      </c>
      <c r="I271" s="742" t="str">
        <f>[1]K_Summary!I261</f>
        <v/>
      </c>
      <c r="J271" s="381" t="str">
        <f>[1]K_Summary!J261</f>
        <v/>
      </c>
      <c r="K271" s="381" t="str">
        <f>[1]K_Summary!K261</f>
        <v/>
      </c>
      <c r="L271" s="381" t="str">
        <f>[1]K_Summary!L261</f>
        <v/>
      </c>
      <c r="M271" s="381" t="str">
        <f>[1]K_Summary!M261</f>
        <v/>
      </c>
      <c r="N271" s="6"/>
    </row>
    <row r="272" spans="2:14" ht="5.15" customHeight="1" x14ac:dyDescent="0.25">
      <c r="B272" s="3"/>
      <c r="C272" s="3"/>
      <c r="D272" s="3"/>
      <c r="E272" s="3"/>
      <c r="F272" s="3"/>
      <c r="G272" s="3"/>
      <c r="H272" s="3"/>
      <c r="I272" s="3"/>
      <c r="J272" s="3"/>
      <c r="K272" s="3"/>
      <c r="L272" s="3"/>
      <c r="M272" s="3"/>
      <c r="N272" s="3"/>
    </row>
    <row r="273" spans="2:14" ht="12.75" customHeight="1" x14ac:dyDescent="0.25">
      <c r="B273" s="3"/>
      <c r="C273" s="13"/>
      <c r="D273" s="13" t="s">
        <v>66</v>
      </c>
      <c r="E273" s="2101" t="str">
        <f>Translations!$B$393</f>
        <v>Kvoten mellan ”ETS-värme” och ”total värme”</v>
      </c>
      <c r="F273" s="2102"/>
      <c r="G273" s="2102"/>
      <c r="H273" s="2102"/>
      <c r="I273" s="2102"/>
      <c r="J273" s="2102"/>
      <c r="K273" s="2102"/>
      <c r="L273" s="2102"/>
      <c r="M273" s="2102"/>
      <c r="N273" s="2102"/>
    </row>
    <row r="274" spans="2:14" ht="12.75" customHeight="1" x14ac:dyDescent="0.25">
      <c r="B274" s="15"/>
      <c r="C274" s="15"/>
      <c r="D274" s="15"/>
      <c r="E274" s="2103" t="str">
        <f>Translations!$B$396</f>
        <v>Värmetillförselkvot (a+b)/(a+b+c):</v>
      </c>
      <c r="F274" s="2103"/>
      <c r="G274" s="2103"/>
      <c r="H274" s="450" t="s">
        <v>1113</v>
      </c>
      <c r="I274" s="1591" t="str">
        <f>[1]K_Summary!I264</f>
        <v/>
      </c>
      <c r="J274" s="1592" t="str">
        <f>[1]K_Summary!J264</f>
        <v/>
      </c>
      <c r="K274" s="1592" t="str">
        <f>[1]K_Summary!K264</f>
        <v/>
      </c>
      <c r="L274" s="1592" t="str">
        <f>[1]K_Summary!L264</f>
        <v/>
      </c>
      <c r="M274" s="1592" t="str">
        <f>[1]K_Summary!M264</f>
        <v/>
      </c>
      <c r="N274" s="3"/>
    </row>
    <row r="275" spans="2:14" ht="5.15" customHeight="1" x14ac:dyDescent="0.25">
      <c r="B275" s="3"/>
      <c r="C275" s="3"/>
      <c r="D275" s="3"/>
      <c r="E275" s="3"/>
      <c r="F275" s="3"/>
      <c r="G275" s="3"/>
      <c r="H275" s="3"/>
      <c r="I275" s="3"/>
      <c r="J275" s="3"/>
      <c r="K275" s="3"/>
      <c r="L275" s="3"/>
      <c r="M275" s="3"/>
      <c r="N275" s="3"/>
    </row>
    <row r="276" spans="2:14" ht="12.75" customHeight="1" x14ac:dyDescent="0.25">
      <c r="B276" s="3"/>
      <c r="C276" s="13"/>
      <c r="D276" s="13" t="s">
        <v>299</v>
      </c>
      <c r="E276" s="2101" t="str">
        <f>Translations!$B$401</f>
        <v>Mätbar värme som används för elproduktion vid anläggningen (icke-berättigande för värmeriktmärke):</v>
      </c>
      <c r="F276" s="2102"/>
      <c r="G276" s="2102"/>
      <c r="H276" s="2102"/>
      <c r="I276" s="2102"/>
      <c r="J276" s="2102"/>
      <c r="K276" s="2102"/>
      <c r="L276" s="2102"/>
      <c r="M276" s="2102"/>
      <c r="N276" s="2102"/>
    </row>
    <row r="277" spans="2:14" ht="13" x14ac:dyDescent="0.25">
      <c r="B277" s="15"/>
      <c r="C277" s="15"/>
      <c r="D277" s="15"/>
      <c r="E277" s="24"/>
      <c r="F277" s="188"/>
      <c r="G277" s="188"/>
      <c r="H277" s="30"/>
      <c r="I277" s="320">
        <v>2014</v>
      </c>
      <c r="J277" s="320">
        <v>2015</v>
      </c>
      <c r="K277" s="320">
        <v>2016</v>
      </c>
      <c r="L277" s="320">
        <v>2017</v>
      </c>
      <c r="M277" s="320">
        <v>2018</v>
      </c>
      <c r="N277" s="6"/>
    </row>
    <row r="278" spans="2:14" ht="12.75" customHeight="1" x14ac:dyDescent="0.25">
      <c r="B278" s="15"/>
      <c r="C278" s="289"/>
      <c r="D278" s="289"/>
      <c r="E278" s="2103" t="str">
        <f>Translations!$B$404</f>
        <v>Värme som används för elproduktion</v>
      </c>
      <c r="F278" s="2103"/>
      <c r="G278" s="2103"/>
      <c r="H278" s="450" t="str">
        <f>EUconst_TJpa</f>
        <v>TJ / år</v>
      </c>
      <c r="I278" s="742" t="str">
        <f>[1]K_Summary!I268</f>
        <v/>
      </c>
      <c r="J278" s="381" t="str">
        <f>[1]K_Summary!J268</f>
        <v/>
      </c>
      <c r="K278" s="381" t="str">
        <f>[1]K_Summary!K268</f>
        <v/>
      </c>
      <c r="L278" s="381" t="str">
        <f>[1]K_Summary!L268</f>
        <v/>
      </c>
      <c r="M278" s="381" t="str">
        <f>[1]K_Summary!M268</f>
        <v/>
      </c>
      <c r="N278" s="6"/>
    </row>
    <row r="279" spans="2:14" ht="12.75" customHeight="1" x14ac:dyDescent="0.25">
      <c r="B279" s="15"/>
      <c r="C279" s="289"/>
      <c r="D279" s="289"/>
      <c r="E279" s="2103" t="str">
        <f>Translations!$B$405</f>
        <v>Mängd värme från källor utanför ETS</v>
      </c>
      <c r="F279" s="2103"/>
      <c r="G279" s="2103"/>
      <c r="H279" s="930" t="str">
        <f>EUconst_TJpa</f>
        <v>TJ / år</v>
      </c>
      <c r="I279" s="1591" t="str">
        <f>[1]K_Summary!I269</f>
        <v/>
      </c>
      <c r="J279" s="1592" t="str">
        <f>[1]K_Summary!J269</f>
        <v/>
      </c>
      <c r="K279" s="1592" t="str">
        <f>[1]K_Summary!K269</f>
        <v/>
      </c>
      <c r="L279" s="1592" t="str">
        <f>[1]K_Summary!L269</f>
        <v/>
      </c>
      <c r="M279" s="1592" t="str">
        <f>[1]K_Summary!M269</f>
        <v/>
      </c>
      <c r="N279" s="6"/>
    </row>
    <row r="280" spans="2:14" ht="12.75" customHeight="1" x14ac:dyDescent="0.25">
      <c r="B280" s="15"/>
      <c r="C280" s="289"/>
      <c r="D280" s="289"/>
      <c r="E280" s="2103" t="str">
        <f>Translations!$B$406</f>
        <v>Manuell överskrivning av (ii)</v>
      </c>
      <c r="F280" s="2103"/>
      <c r="G280" s="2103"/>
      <c r="H280" s="930" t="str">
        <f>EUconst_TJpa</f>
        <v>TJ / år</v>
      </c>
      <c r="I280" s="742" t="str">
        <f>[1]K_Summary!I270</f>
        <v/>
      </c>
      <c r="J280" s="381" t="str">
        <f>[1]K_Summary!J270</f>
        <v/>
      </c>
      <c r="K280" s="381" t="str">
        <f>[1]K_Summary!K270</f>
        <v/>
      </c>
      <c r="L280" s="381" t="str">
        <f>[1]K_Summary!L270</f>
        <v/>
      </c>
      <c r="M280" s="381" t="str">
        <f>[1]K_Summary!M270</f>
        <v/>
      </c>
      <c r="N280" s="6"/>
    </row>
    <row r="281" spans="2:14" ht="5.15" customHeight="1" x14ac:dyDescent="0.25">
      <c r="B281" s="3"/>
      <c r="C281" s="3"/>
      <c r="D281" s="3"/>
      <c r="E281" s="3"/>
      <c r="F281" s="3"/>
      <c r="G281" s="3"/>
      <c r="H281" s="3"/>
      <c r="I281" s="3"/>
      <c r="J281" s="3"/>
      <c r="K281" s="3"/>
      <c r="L281" s="3"/>
      <c r="M281" s="3"/>
      <c r="N281" s="3"/>
    </row>
    <row r="282" spans="2:14" ht="12.75" customHeight="1" x14ac:dyDescent="0.25">
      <c r="B282" s="3"/>
      <c r="C282" s="13"/>
      <c r="D282" s="13" t="s">
        <v>303</v>
      </c>
      <c r="E282" s="2101" t="str">
        <f>Translations!$B$407</f>
        <v>Mätbar värme som används för delanläggningar med produktriktmärke inom anläggningen (icke-berättigande för värmeriktmärke):</v>
      </c>
      <c r="F282" s="2102"/>
      <c r="G282" s="2102"/>
      <c r="H282" s="2102"/>
      <c r="I282" s="2102"/>
      <c r="J282" s="2102"/>
      <c r="K282" s="2102"/>
      <c r="L282" s="2102"/>
      <c r="M282" s="2102"/>
      <c r="N282" s="2102"/>
    </row>
    <row r="283" spans="2:14" ht="13" x14ac:dyDescent="0.25">
      <c r="B283" s="15"/>
      <c r="C283" s="15"/>
      <c r="D283" s="15"/>
      <c r="E283" s="24"/>
      <c r="F283" s="188"/>
      <c r="G283" s="188"/>
      <c r="H283" s="30" t="str">
        <f>Translations!$B$1014</f>
        <v>Enhet</v>
      </c>
      <c r="I283" s="320">
        <v>2014</v>
      </c>
      <c r="J283" s="320">
        <v>2015</v>
      </c>
      <c r="K283" s="320">
        <v>2016</v>
      </c>
      <c r="L283" s="320">
        <v>2017</v>
      </c>
      <c r="M283" s="320">
        <v>2018</v>
      </c>
      <c r="N283" s="6"/>
    </row>
    <row r="284" spans="2:14" ht="12.75" customHeight="1" x14ac:dyDescent="0.25">
      <c r="B284" s="15"/>
      <c r="C284" s="15"/>
      <c r="D284" s="289"/>
      <c r="E284" s="2113" t="str">
        <f>[1]K_Summary!E274</f>
        <v/>
      </c>
      <c r="F284" s="2113"/>
      <c r="G284" s="2113"/>
      <c r="H284" s="562" t="str">
        <f t="shared" ref="H284:H294" si="3">EUconst_TJpa</f>
        <v>TJ / år</v>
      </c>
      <c r="I284" s="739" t="str">
        <f>[1]K_Summary!I274</f>
        <v/>
      </c>
      <c r="J284" s="1584" t="str">
        <f>[1]K_Summary!J274</f>
        <v/>
      </c>
      <c r="K284" s="1584" t="str">
        <f>[1]K_Summary!K274</f>
        <v/>
      </c>
      <c r="L284" s="1584" t="str">
        <f>[1]K_Summary!L274</f>
        <v/>
      </c>
      <c r="M284" s="1584" t="str">
        <f>[1]K_Summary!M274</f>
        <v/>
      </c>
      <c r="N284" s="6"/>
    </row>
    <row r="285" spans="2:14" x14ac:dyDescent="0.25">
      <c r="B285" s="15"/>
      <c r="C285" s="15"/>
      <c r="D285" s="289"/>
      <c r="E285" s="2113" t="str">
        <f>[1]K_Summary!E275</f>
        <v/>
      </c>
      <c r="F285" s="2113"/>
      <c r="G285" s="2113"/>
      <c r="H285" s="1569" t="str">
        <f t="shared" si="3"/>
        <v>TJ / år</v>
      </c>
      <c r="I285" s="460" t="str">
        <f>[1]K_Summary!I275</f>
        <v/>
      </c>
      <c r="J285" s="1585" t="str">
        <f>[1]K_Summary!J275</f>
        <v/>
      </c>
      <c r="K285" s="1585" t="str">
        <f>[1]K_Summary!K275</f>
        <v/>
      </c>
      <c r="L285" s="1585" t="str">
        <f>[1]K_Summary!L275</f>
        <v/>
      </c>
      <c r="M285" s="1585" t="str">
        <f>[1]K_Summary!M275</f>
        <v/>
      </c>
      <c r="N285" s="6"/>
    </row>
    <row r="286" spans="2:14" ht="12.75" customHeight="1" x14ac:dyDescent="0.25">
      <c r="B286" s="15"/>
      <c r="C286" s="15"/>
      <c r="D286" s="289"/>
      <c r="E286" s="2113" t="str">
        <f>[1]K_Summary!E276</f>
        <v/>
      </c>
      <c r="F286" s="2113"/>
      <c r="G286" s="2113"/>
      <c r="H286" s="1569" t="str">
        <f t="shared" si="3"/>
        <v>TJ / år</v>
      </c>
      <c r="I286" s="460" t="str">
        <f>[1]K_Summary!I276</f>
        <v/>
      </c>
      <c r="J286" s="1585" t="str">
        <f>[1]K_Summary!J276</f>
        <v/>
      </c>
      <c r="K286" s="1585" t="str">
        <f>[1]K_Summary!K276</f>
        <v/>
      </c>
      <c r="L286" s="1585" t="str">
        <f>[1]K_Summary!L276</f>
        <v/>
      </c>
      <c r="M286" s="1585" t="str">
        <f>[1]K_Summary!M276</f>
        <v/>
      </c>
      <c r="N286" s="6"/>
    </row>
    <row r="287" spans="2:14" x14ac:dyDescent="0.25">
      <c r="B287" s="15"/>
      <c r="C287" s="15"/>
      <c r="D287" s="289"/>
      <c r="E287" s="2113" t="str">
        <f>[1]K_Summary!E277</f>
        <v/>
      </c>
      <c r="F287" s="2113"/>
      <c r="G287" s="2113"/>
      <c r="H287" s="1569" t="str">
        <f t="shared" si="3"/>
        <v>TJ / år</v>
      </c>
      <c r="I287" s="460" t="str">
        <f>[1]K_Summary!I277</f>
        <v/>
      </c>
      <c r="J287" s="1585" t="str">
        <f>[1]K_Summary!J277</f>
        <v/>
      </c>
      <c r="K287" s="1585" t="str">
        <f>[1]K_Summary!K277</f>
        <v/>
      </c>
      <c r="L287" s="1585" t="str">
        <f>[1]K_Summary!L277</f>
        <v/>
      </c>
      <c r="M287" s="1585" t="str">
        <f>[1]K_Summary!M277</f>
        <v/>
      </c>
      <c r="N287" s="6"/>
    </row>
    <row r="288" spans="2:14" x14ac:dyDescent="0.25">
      <c r="B288" s="15"/>
      <c r="C288" s="15"/>
      <c r="D288" s="289"/>
      <c r="E288" s="2113" t="str">
        <f>[1]K_Summary!E278</f>
        <v/>
      </c>
      <c r="F288" s="2113"/>
      <c r="G288" s="2113"/>
      <c r="H288" s="1569" t="str">
        <f t="shared" si="3"/>
        <v>TJ / år</v>
      </c>
      <c r="I288" s="460" t="str">
        <f>[1]K_Summary!I278</f>
        <v/>
      </c>
      <c r="J288" s="1585" t="str">
        <f>[1]K_Summary!J278</f>
        <v/>
      </c>
      <c r="K288" s="1585" t="str">
        <f>[1]K_Summary!K278</f>
        <v/>
      </c>
      <c r="L288" s="1585" t="str">
        <f>[1]K_Summary!L278</f>
        <v/>
      </c>
      <c r="M288" s="1585" t="str">
        <f>[1]K_Summary!M278</f>
        <v/>
      </c>
      <c r="N288" s="6"/>
    </row>
    <row r="289" spans="2:14" x14ac:dyDescent="0.25">
      <c r="B289" s="15"/>
      <c r="C289" s="15"/>
      <c r="D289" s="289"/>
      <c r="E289" s="2113" t="str">
        <f>[1]K_Summary!E279</f>
        <v/>
      </c>
      <c r="F289" s="2113"/>
      <c r="G289" s="2113"/>
      <c r="H289" s="1569" t="str">
        <f t="shared" si="3"/>
        <v>TJ / år</v>
      </c>
      <c r="I289" s="460" t="str">
        <f>[1]K_Summary!I279</f>
        <v/>
      </c>
      <c r="J289" s="1585" t="str">
        <f>[1]K_Summary!J279</f>
        <v/>
      </c>
      <c r="K289" s="1585" t="str">
        <f>[1]K_Summary!K279</f>
        <v/>
      </c>
      <c r="L289" s="1585" t="str">
        <f>[1]K_Summary!L279</f>
        <v/>
      </c>
      <c r="M289" s="1585" t="str">
        <f>[1]K_Summary!M279</f>
        <v/>
      </c>
      <c r="N289" s="6"/>
    </row>
    <row r="290" spans="2:14" x14ac:dyDescent="0.25">
      <c r="B290" s="15"/>
      <c r="C290" s="15"/>
      <c r="D290" s="289"/>
      <c r="E290" s="2113" t="str">
        <f>[1]K_Summary!E280</f>
        <v/>
      </c>
      <c r="F290" s="2113"/>
      <c r="G290" s="2113"/>
      <c r="H290" s="1569" t="str">
        <f t="shared" si="3"/>
        <v>TJ / år</v>
      </c>
      <c r="I290" s="460" t="str">
        <f>[1]K_Summary!I280</f>
        <v/>
      </c>
      <c r="J290" s="1585" t="str">
        <f>[1]K_Summary!J280</f>
        <v/>
      </c>
      <c r="K290" s="1585" t="str">
        <f>[1]K_Summary!K280</f>
        <v/>
      </c>
      <c r="L290" s="1585" t="str">
        <f>[1]K_Summary!L280</f>
        <v/>
      </c>
      <c r="M290" s="1585" t="str">
        <f>[1]K_Summary!M280</f>
        <v/>
      </c>
      <c r="N290" s="6"/>
    </row>
    <row r="291" spans="2:14" x14ac:dyDescent="0.25">
      <c r="B291" s="15"/>
      <c r="C291" s="15"/>
      <c r="D291" s="289"/>
      <c r="E291" s="2113" t="str">
        <f>[1]K_Summary!E281</f>
        <v/>
      </c>
      <c r="F291" s="2113"/>
      <c r="G291" s="2113"/>
      <c r="H291" s="1569" t="str">
        <f t="shared" si="3"/>
        <v>TJ / år</v>
      </c>
      <c r="I291" s="460" t="str">
        <f>[1]K_Summary!I281</f>
        <v/>
      </c>
      <c r="J291" s="1585" t="str">
        <f>[1]K_Summary!J281</f>
        <v/>
      </c>
      <c r="K291" s="1585" t="str">
        <f>[1]K_Summary!K281</f>
        <v/>
      </c>
      <c r="L291" s="1585" t="str">
        <f>[1]K_Summary!L281</f>
        <v/>
      </c>
      <c r="M291" s="1585" t="str">
        <f>[1]K_Summary!M281</f>
        <v/>
      </c>
      <c r="N291" s="6"/>
    </row>
    <row r="292" spans="2:14" x14ac:dyDescent="0.25">
      <c r="B292" s="15"/>
      <c r="C292" s="15"/>
      <c r="D292" s="289"/>
      <c r="E292" s="2113" t="str">
        <f>[1]K_Summary!E282</f>
        <v/>
      </c>
      <c r="F292" s="2113"/>
      <c r="G292" s="2113"/>
      <c r="H292" s="1569" t="str">
        <f t="shared" si="3"/>
        <v>TJ / år</v>
      </c>
      <c r="I292" s="460" t="str">
        <f>[1]K_Summary!I282</f>
        <v/>
      </c>
      <c r="J292" s="1585" t="str">
        <f>[1]K_Summary!J282</f>
        <v/>
      </c>
      <c r="K292" s="1585" t="str">
        <f>[1]K_Summary!K282</f>
        <v/>
      </c>
      <c r="L292" s="1585" t="str">
        <f>[1]K_Summary!L282</f>
        <v/>
      </c>
      <c r="M292" s="1585" t="str">
        <f>[1]K_Summary!M282</f>
        <v/>
      </c>
      <c r="N292" s="6"/>
    </row>
    <row r="293" spans="2:14" x14ac:dyDescent="0.25">
      <c r="B293" s="15"/>
      <c r="C293" s="15"/>
      <c r="D293" s="289"/>
      <c r="E293" s="2098" t="str">
        <f>[1]K_Summary!E283</f>
        <v/>
      </c>
      <c r="F293" s="2098"/>
      <c r="G293" s="2098"/>
      <c r="H293" s="1573" t="str">
        <f t="shared" si="3"/>
        <v>TJ / år</v>
      </c>
      <c r="I293" s="740" t="str">
        <f>[1]K_Summary!I283</f>
        <v/>
      </c>
      <c r="J293" s="1586" t="str">
        <f>[1]K_Summary!J283</f>
        <v/>
      </c>
      <c r="K293" s="1586" t="str">
        <f>[1]K_Summary!K283</f>
        <v/>
      </c>
      <c r="L293" s="1586" t="str">
        <f>[1]K_Summary!L283</f>
        <v/>
      </c>
      <c r="M293" s="1586" t="str">
        <f>[1]K_Summary!M283</f>
        <v/>
      </c>
      <c r="N293" s="6"/>
    </row>
    <row r="294" spans="2:14" ht="12.75" customHeight="1" x14ac:dyDescent="0.25">
      <c r="B294" s="15"/>
      <c r="C294" s="289"/>
      <c r="D294" s="289"/>
      <c r="E294" s="2103" t="str">
        <f>Translations!$B$384</f>
        <v>Delsumma</v>
      </c>
      <c r="F294" s="2103"/>
      <c r="G294" s="2103"/>
      <c r="H294" s="461" t="str">
        <f t="shared" si="3"/>
        <v>TJ / år</v>
      </c>
      <c r="I294" s="742" t="str">
        <f>[1]K_Summary!I284</f>
        <v/>
      </c>
      <c r="J294" s="381" t="str">
        <f>[1]K_Summary!J284</f>
        <v/>
      </c>
      <c r="K294" s="381" t="str">
        <f>[1]K_Summary!K284</f>
        <v/>
      </c>
      <c r="L294" s="381" t="str">
        <f>[1]K_Summary!L284</f>
        <v/>
      </c>
      <c r="M294" s="381" t="str">
        <f>[1]K_Summary!M284</f>
        <v/>
      </c>
      <c r="N294" s="6"/>
    </row>
    <row r="295" spans="2:14" ht="5.15" customHeight="1" x14ac:dyDescent="0.25">
      <c r="B295" s="3"/>
      <c r="C295" s="3"/>
      <c r="D295" s="3"/>
      <c r="E295" s="3"/>
      <c r="F295" s="3"/>
      <c r="G295" s="3"/>
      <c r="H295" s="3"/>
      <c r="I295" s="3"/>
      <c r="J295" s="3"/>
      <c r="K295" s="3"/>
      <c r="L295" s="3"/>
      <c r="M295" s="3"/>
      <c r="N295" s="3"/>
    </row>
    <row r="296" spans="2:14" ht="12.75" customHeight="1" x14ac:dyDescent="0.25">
      <c r="B296" s="15"/>
      <c r="C296" s="15"/>
      <c r="D296" s="15"/>
      <c r="E296" s="2111" t="str">
        <f>Translations!$B$410</f>
        <v>Värden som angetts i blad ”F_ProductBM”:</v>
      </c>
      <c r="F296" s="2100"/>
      <c r="G296" s="2100"/>
      <c r="H296" s="2100"/>
      <c r="I296" s="2100"/>
      <c r="J296" s="2100"/>
      <c r="K296" s="2100"/>
      <c r="L296" s="2100"/>
      <c r="M296" s="2100"/>
      <c r="N296" s="2102"/>
    </row>
    <row r="297" spans="2:14" ht="12.75" customHeight="1" x14ac:dyDescent="0.25">
      <c r="B297" s="15"/>
      <c r="C297" s="289"/>
      <c r="D297" s="289"/>
      <c r="E297" s="2103" t="str">
        <f>Translations!$B$405</f>
        <v>Mängd värme från källor utanför ETS</v>
      </c>
      <c r="F297" s="2103"/>
      <c r="G297" s="2103"/>
      <c r="H297" s="930" t="str">
        <f>EUconst_TJpa</f>
        <v>TJ / år</v>
      </c>
      <c r="I297" s="1591" t="str">
        <f>[1]K_Summary!I287</f>
        <v/>
      </c>
      <c r="J297" s="1592" t="str">
        <f>[1]K_Summary!J287</f>
        <v/>
      </c>
      <c r="K297" s="1592" t="str">
        <f>[1]K_Summary!K287</f>
        <v/>
      </c>
      <c r="L297" s="1592" t="str">
        <f>[1]K_Summary!L287</f>
        <v/>
      </c>
      <c r="M297" s="1592" t="str">
        <f>[1]K_Summary!M287</f>
        <v/>
      </c>
      <c r="N297" s="6"/>
    </row>
    <row r="298" spans="2:14" ht="5.15" customHeight="1" x14ac:dyDescent="0.25">
      <c r="B298" s="3"/>
      <c r="C298" s="3"/>
      <c r="D298" s="3"/>
      <c r="E298" s="3"/>
      <c r="F298" s="3"/>
      <c r="G298" s="3"/>
      <c r="H298" s="3"/>
      <c r="I298" s="3"/>
      <c r="J298" s="3"/>
      <c r="K298" s="3"/>
      <c r="L298" s="3"/>
      <c r="M298" s="3"/>
      <c r="N298" s="6"/>
    </row>
    <row r="299" spans="2:14" ht="12.75" customHeight="1" x14ac:dyDescent="0.25">
      <c r="B299" s="15"/>
      <c r="C299" s="15"/>
      <c r="D299" s="15"/>
      <c r="E299" s="2111" t="str">
        <f>Translations!$B$414</f>
        <v>Värme utanför ETS som angetts i blad ”F_ProductBM” jämfört med totalmängden värme för alla produktriktmärken:</v>
      </c>
      <c r="F299" s="2100"/>
      <c r="G299" s="2100"/>
      <c r="H299" s="2100"/>
      <c r="I299" s="2100"/>
      <c r="J299" s="2100"/>
      <c r="K299" s="2100"/>
      <c r="L299" s="2100"/>
      <c r="M299" s="2100"/>
      <c r="N299" s="2102"/>
    </row>
    <row r="300" spans="2:14" ht="12.75" customHeight="1" x14ac:dyDescent="0.25">
      <c r="B300" s="15"/>
      <c r="C300" s="289"/>
      <c r="D300" s="289"/>
      <c r="E300" s="2103" t="str">
        <f>Translations!$B$415</f>
        <v>Punkt xii i förhållande till punkt xi:</v>
      </c>
      <c r="F300" s="2103"/>
      <c r="G300" s="2103"/>
      <c r="H300" s="450" t="s">
        <v>1113</v>
      </c>
      <c r="I300" s="1591" t="str">
        <f>[1]K_Summary!I290</f>
        <v/>
      </c>
      <c r="J300" s="1592" t="str">
        <f>[1]K_Summary!J290</f>
        <v/>
      </c>
      <c r="K300" s="1592" t="str">
        <f>[1]K_Summary!K290</f>
        <v/>
      </c>
      <c r="L300" s="1592" t="str">
        <f>[1]K_Summary!L290</f>
        <v/>
      </c>
      <c r="M300" s="1592" t="str">
        <f>[1]K_Summary!M290</f>
        <v/>
      </c>
      <c r="N300" s="6"/>
    </row>
    <row r="301" spans="2:14" ht="5.15" customHeight="1" x14ac:dyDescent="0.25">
      <c r="B301" s="3"/>
      <c r="C301" s="292"/>
      <c r="D301" s="292"/>
      <c r="E301" s="3"/>
      <c r="F301" s="3"/>
      <c r="G301" s="3"/>
      <c r="H301" s="3"/>
      <c r="I301" s="3"/>
      <c r="J301" s="3"/>
      <c r="K301" s="3"/>
      <c r="L301" s="3"/>
      <c r="M301" s="3"/>
      <c r="N301" s="3"/>
    </row>
    <row r="302" spans="2:14" ht="12.75" customHeight="1" x14ac:dyDescent="0.25">
      <c r="B302" s="15"/>
      <c r="C302" s="289"/>
      <c r="D302" s="289"/>
      <c r="E302" s="2111" t="str">
        <f>Translations!$B$416</f>
        <v>Värme utanför ETS som angetts i blad ”F_ProductBM” jämfört med totalmängden värmeimport utanför ETS som angetts i punkt c:</v>
      </c>
      <c r="F302" s="2100"/>
      <c r="G302" s="2100"/>
      <c r="H302" s="2100"/>
      <c r="I302" s="2100"/>
      <c r="J302" s="2100"/>
      <c r="K302" s="2100"/>
      <c r="L302" s="2100"/>
      <c r="M302" s="2100"/>
      <c r="N302" s="2102"/>
    </row>
    <row r="303" spans="2:14" ht="12.75" customHeight="1" x14ac:dyDescent="0.25">
      <c r="B303" s="15"/>
      <c r="C303" s="289"/>
      <c r="D303" s="289"/>
      <c r="E303" s="2103" t="str">
        <f>Translations!$B$417</f>
        <v>Punkt xii i förhållande till punkt c ovan:</v>
      </c>
      <c r="F303" s="2103"/>
      <c r="G303" s="2103"/>
      <c r="H303" s="450" t="s">
        <v>1113</v>
      </c>
      <c r="I303" s="1591" t="str">
        <f>[1]K_Summary!I293</f>
        <v/>
      </c>
      <c r="J303" s="1592" t="str">
        <f>[1]K_Summary!J293</f>
        <v/>
      </c>
      <c r="K303" s="1592" t="str">
        <f>[1]K_Summary!K293</f>
        <v/>
      </c>
      <c r="L303" s="1592" t="str">
        <f>[1]K_Summary!L293</f>
        <v/>
      </c>
      <c r="M303" s="1592" t="str">
        <f>[1]K_Summary!M293</f>
        <v/>
      </c>
      <c r="N303" s="6"/>
    </row>
    <row r="304" spans="2:14" ht="5.15" customHeight="1" x14ac:dyDescent="0.25">
      <c r="B304" s="15"/>
      <c r="C304" s="15"/>
      <c r="D304" s="15"/>
      <c r="E304" s="15"/>
      <c r="F304" s="15"/>
      <c r="G304" s="15"/>
      <c r="H304" s="15"/>
      <c r="I304" s="15"/>
      <c r="J304" s="15"/>
      <c r="K304" s="15"/>
      <c r="L304" s="15"/>
      <c r="M304" s="15"/>
      <c r="N304" s="15"/>
    </row>
    <row r="305" spans="2:14" ht="12.75" customHeight="1" x14ac:dyDescent="0.25">
      <c r="B305" s="15"/>
      <c r="C305" s="13"/>
      <c r="D305" s="13" t="s">
        <v>305</v>
      </c>
      <c r="E305" s="2101" t="str">
        <f>Translations!$B$418</f>
        <v>Värme som exporteras till ETS-anläggningar (icke-berättigande för värmeriktmärke):</v>
      </c>
      <c r="F305" s="2102"/>
      <c r="G305" s="2102"/>
      <c r="H305" s="2102"/>
      <c r="I305" s="2102"/>
      <c r="J305" s="2102"/>
      <c r="K305" s="2102"/>
      <c r="L305" s="2102"/>
      <c r="M305" s="2102"/>
      <c r="N305" s="2102"/>
    </row>
    <row r="306" spans="2:14" ht="12.75" customHeight="1" x14ac:dyDescent="0.25">
      <c r="B306" s="15"/>
      <c r="C306" s="15"/>
      <c r="D306" s="15"/>
      <c r="E306" s="2111" t="str">
        <f>Translations!$B$383</f>
        <v>Anläggningens namn</v>
      </c>
      <c r="F306" s="2100"/>
      <c r="G306" s="2100"/>
      <c r="H306" s="30" t="str">
        <f>Translations!$B$1014</f>
        <v>Enhet</v>
      </c>
      <c r="I306" s="350">
        <v>2014</v>
      </c>
      <c r="J306" s="350">
        <v>2015</v>
      </c>
      <c r="K306" s="350">
        <v>2016</v>
      </c>
      <c r="L306" s="350">
        <v>2017</v>
      </c>
      <c r="M306" s="350">
        <v>2018</v>
      </c>
      <c r="N306" s="6"/>
    </row>
    <row r="307" spans="2:14" x14ac:dyDescent="0.25">
      <c r="B307" s="15"/>
      <c r="C307" s="289"/>
      <c r="D307" s="289"/>
      <c r="E307" s="2121" t="str">
        <f>[1]K_Summary!E297</f>
        <v/>
      </c>
      <c r="F307" s="2121"/>
      <c r="G307" s="2121"/>
      <c r="H307" s="1563" t="str">
        <f t="shared" ref="H307:H312" si="4">EUconst_TJpa</f>
        <v>TJ / år</v>
      </c>
      <c r="I307" s="1593" t="str">
        <f>[1]K_Summary!I297</f>
        <v/>
      </c>
      <c r="J307" s="1594" t="str">
        <f>[1]K_Summary!J297</f>
        <v/>
      </c>
      <c r="K307" s="1594" t="str">
        <f>[1]K_Summary!K297</f>
        <v/>
      </c>
      <c r="L307" s="1594" t="str">
        <f>[1]K_Summary!L297</f>
        <v/>
      </c>
      <c r="M307" s="1594" t="str">
        <f>[1]K_Summary!M297</f>
        <v/>
      </c>
      <c r="N307" s="6"/>
    </row>
    <row r="308" spans="2:14" x14ac:dyDescent="0.25">
      <c r="B308" s="15"/>
      <c r="C308" s="289"/>
      <c r="D308" s="289"/>
      <c r="E308" s="2015" t="str">
        <f>[1]K_Summary!E298</f>
        <v/>
      </c>
      <c r="F308" s="2015"/>
      <c r="G308" s="2015"/>
      <c r="H308" s="459" t="str">
        <f t="shared" si="4"/>
        <v>TJ / år</v>
      </c>
      <c r="I308" s="460" t="str">
        <f>[1]K_Summary!I298</f>
        <v/>
      </c>
      <c r="J308" s="1585" t="str">
        <f>[1]K_Summary!J298</f>
        <v/>
      </c>
      <c r="K308" s="1585" t="str">
        <f>[1]K_Summary!K298</f>
        <v/>
      </c>
      <c r="L308" s="1585" t="str">
        <f>[1]K_Summary!L298</f>
        <v/>
      </c>
      <c r="M308" s="1585" t="str">
        <f>[1]K_Summary!M298</f>
        <v/>
      </c>
      <c r="N308" s="6"/>
    </row>
    <row r="309" spans="2:14" x14ac:dyDescent="0.25">
      <c r="B309" s="15"/>
      <c r="C309" s="289"/>
      <c r="D309" s="289"/>
      <c r="E309" s="2015" t="str">
        <f>[1]K_Summary!E299</f>
        <v/>
      </c>
      <c r="F309" s="2015"/>
      <c r="G309" s="2015"/>
      <c r="H309" s="459" t="str">
        <f t="shared" si="4"/>
        <v>TJ / år</v>
      </c>
      <c r="I309" s="460" t="str">
        <f>[1]K_Summary!I299</f>
        <v/>
      </c>
      <c r="J309" s="1585" t="str">
        <f>[1]K_Summary!J299</f>
        <v/>
      </c>
      <c r="K309" s="1585" t="str">
        <f>[1]K_Summary!K299</f>
        <v/>
      </c>
      <c r="L309" s="1585" t="str">
        <f>[1]K_Summary!L299</f>
        <v/>
      </c>
      <c r="M309" s="1585" t="str">
        <f>[1]K_Summary!M299</f>
        <v/>
      </c>
      <c r="N309" s="6"/>
    </row>
    <row r="310" spans="2:14" x14ac:dyDescent="0.25">
      <c r="B310" s="15"/>
      <c r="C310" s="289"/>
      <c r="D310" s="289"/>
      <c r="E310" s="2015" t="str">
        <f>[1]K_Summary!E300</f>
        <v/>
      </c>
      <c r="F310" s="2015"/>
      <c r="G310" s="2015"/>
      <c r="H310" s="459" t="str">
        <f t="shared" si="4"/>
        <v>TJ / år</v>
      </c>
      <c r="I310" s="460" t="str">
        <f>[1]K_Summary!I300</f>
        <v/>
      </c>
      <c r="J310" s="1585" t="str">
        <f>[1]K_Summary!J300</f>
        <v/>
      </c>
      <c r="K310" s="1585" t="str">
        <f>[1]K_Summary!K300</f>
        <v/>
      </c>
      <c r="L310" s="1585" t="str">
        <f>[1]K_Summary!L300</f>
        <v/>
      </c>
      <c r="M310" s="1585" t="str">
        <f>[1]K_Summary!M300</f>
        <v/>
      </c>
      <c r="N310" s="6"/>
    </row>
    <row r="311" spans="2:14" x14ac:dyDescent="0.25">
      <c r="B311" s="15"/>
      <c r="C311" s="289"/>
      <c r="D311" s="289"/>
      <c r="E311" s="2022" t="str">
        <f>[1]K_Summary!E301</f>
        <v/>
      </c>
      <c r="F311" s="2022"/>
      <c r="G311" s="2022"/>
      <c r="H311" s="461" t="str">
        <f t="shared" si="4"/>
        <v>TJ / år</v>
      </c>
      <c r="I311" s="740" t="str">
        <f>[1]K_Summary!I301</f>
        <v/>
      </c>
      <c r="J311" s="1586" t="str">
        <f>[1]K_Summary!J301</f>
        <v/>
      </c>
      <c r="K311" s="1586" t="str">
        <f>[1]K_Summary!K301</f>
        <v/>
      </c>
      <c r="L311" s="1586" t="str">
        <f>[1]K_Summary!L301</f>
        <v/>
      </c>
      <c r="M311" s="1586" t="str">
        <f>[1]K_Summary!M301</f>
        <v/>
      </c>
      <c r="N311" s="6"/>
    </row>
    <row r="312" spans="2:14" ht="12.75" customHeight="1" x14ac:dyDescent="0.25">
      <c r="B312" s="15"/>
      <c r="C312" s="289"/>
      <c r="D312" s="289"/>
      <c r="E312" s="2103" t="str">
        <f>Translations!$B$420</f>
        <v>Total värme som exporteras till ETS-anläggningar</v>
      </c>
      <c r="F312" s="2103"/>
      <c r="G312" s="2103"/>
      <c r="H312" s="122" t="str">
        <f t="shared" si="4"/>
        <v>TJ / år</v>
      </c>
      <c r="I312" s="1595" t="str">
        <f>[1]K_Summary!I302</f>
        <v/>
      </c>
      <c r="J312" s="575" t="str">
        <f>[1]K_Summary!J302</f>
        <v/>
      </c>
      <c r="K312" s="575" t="str">
        <f>[1]K_Summary!K302</f>
        <v/>
      </c>
      <c r="L312" s="575" t="str">
        <f>[1]K_Summary!L302</f>
        <v/>
      </c>
      <c r="M312" s="575" t="str">
        <f>[1]K_Summary!M302</f>
        <v/>
      </c>
      <c r="N312" s="6"/>
    </row>
    <row r="313" spans="2:14" ht="5.15" customHeight="1" x14ac:dyDescent="0.25">
      <c r="B313" s="3"/>
      <c r="C313" s="3"/>
      <c r="D313" s="3"/>
      <c r="E313" s="3"/>
      <c r="F313" s="3"/>
      <c r="G313" s="3"/>
      <c r="H313" s="3"/>
      <c r="I313" s="3"/>
      <c r="J313" s="3"/>
      <c r="K313" s="3"/>
      <c r="L313" s="3"/>
      <c r="M313" s="3"/>
      <c r="N313" s="3"/>
    </row>
    <row r="314" spans="2:14" ht="12.75" customHeight="1" x14ac:dyDescent="0.25">
      <c r="B314" s="3"/>
      <c r="C314" s="13"/>
      <c r="D314" s="13" t="s">
        <v>523</v>
      </c>
      <c r="E314" s="2101" t="str">
        <f>Translations!$B$422</f>
        <v>Delsumma: återstående total mätbar värme, potentiellt tillhörande delanläggningar med värmeriktmärke (= e–g–h–i):</v>
      </c>
      <c r="F314" s="2102"/>
      <c r="G314" s="2102"/>
      <c r="H314" s="2102"/>
      <c r="I314" s="2102"/>
      <c r="J314" s="2102"/>
      <c r="K314" s="2102"/>
      <c r="L314" s="2102"/>
      <c r="M314" s="2102"/>
      <c r="N314" s="2102"/>
    </row>
    <row r="315" spans="2:14" ht="5.15" customHeight="1" x14ac:dyDescent="0.25">
      <c r="B315" s="3"/>
      <c r="C315" s="3"/>
      <c r="D315" s="3"/>
      <c r="E315" s="3"/>
      <c r="F315" s="3"/>
      <c r="G315" s="3"/>
      <c r="H315" s="3"/>
      <c r="I315" s="3"/>
      <c r="J315" s="3"/>
      <c r="K315" s="3"/>
      <c r="L315" s="3"/>
      <c r="M315" s="3"/>
      <c r="N315" s="3"/>
    </row>
    <row r="316" spans="2:14" ht="13" x14ac:dyDescent="0.25">
      <c r="B316" s="15"/>
      <c r="C316" s="15"/>
      <c r="D316" s="15"/>
      <c r="E316" s="24"/>
      <c r="F316" s="188"/>
      <c r="G316" s="188"/>
      <c r="H316" s="30" t="str">
        <f>Translations!$B$1014</f>
        <v>Enhet</v>
      </c>
      <c r="I316" s="320">
        <v>2014</v>
      </c>
      <c r="J316" s="320">
        <v>2015</v>
      </c>
      <c r="K316" s="320">
        <v>2016</v>
      </c>
      <c r="L316" s="320">
        <v>2017</v>
      </c>
      <c r="M316" s="320">
        <v>2018</v>
      </c>
      <c r="N316" s="6"/>
    </row>
    <row r="317" spans="2:14" x14ac:dyDescent="0.25">
      <c r="B317" s="15"/>
      <c r="C317" s="289"/>
      <c r="D317" s="289"/>
      <c r="E317" s="2103" t="str">
        <f>Translations!$B$423</f>
        <v>Delsumma:</v>
      </c>
      <c r="F317" s="2104"/>
      <c r="G317" s="2104"/>
      <c r="H317" s="450" t="str">
        <f>EUconst_TJpa</f>
        <v>TJ / år</v>
      </c>
      <c r="I317" s="742" t="str">
        <f>[1]K_Summary!I307</f>
        <v/>
      </c>
      <c r="J317" s="381" t="str">
        <f>[1]K_Summary!J307</f>
        <v/>
      </c>
      <c r="K317" s="381" t="str">
        <f>[1]K_Summary!K307</f>
        <v/>
      </c>
      <c r="L317" s="381" t="str">
        <f>[1]K_Summary!L307</f>
        <v/>
      </c>
      <c r="M317" s="381" t="str">
        <f>[1]K_Summary!M307</f>
        <v/>
      </c>
      <c r="N317" s="6"/>
    </row>
    <row r="318" spans="2:14" ht="5.15" customHeight="1" x14ac:dyDescent="0.25">
      <c r="B318" s="3"/>
      <c r="C318" s="3"/>
      <c r="D318" s="3"/>
      <c r="E318" s="3"/>
      <c r="F318" s="3"/>
      <c r="G318" s="3"/>
      <c r="H318" s="3"/>
      <c r="I318" s="3"/>
      <c r="J318" s="3"/>
      <c r="K318" s="3"/>
      <c r="L318" s="3"/>
      <c r="M318" s="3"/>
      <c r="N318" s="3"/>
    </row>
    <row r="319" spans="2:14" ht="12.75" customHeight="1" x14ac:dyDescent="0.25">
      <c r="B319" s="15"/>
      <c r="C319" s="289"/>
      <c r="D319" s="289"/>
      <c r="E319" s="2122" t="str">
        <f>Translations!$B$426</f>
        <v>berättigande p.g.a. ursprung:</v>
      </c>
      <c r="F319" s="2123"/>
      <c r="G319" s="2123"/>
      <c r="H319" s="456" t="str">
        <f>EUconst_TJpa</f>
        <v>TJ / år</v>
      </c>
      <c r="I319" s="739" t="str">
        <f>[1]K_Summary!I309</f>
        <v/>
      </c>
      <c r="J319" s="1562" t="str">
        <f>[1]K_Summary!J309</f>
        <v/>
      </c>
      <c r="K319" s="1562" t="str">
        <f>[1]K_Summary!K309</f>
        <v/>
      </c>
      <c r="L319" s="1562" t="str">
        <f>[1]K_Summary!L309</f>
        <v/>
      </c>
      <c r="M319" s="1562" t="str">
        <f>[1]K_Summary!M309</f>
        <v/>
      </c>
      <c r="N319" s="6"/>
    </row>
    <row r="320" spans="2:14" ht="12.75" customHeight="1" x14ac:dyDescent="0.25">
      <c r="B320" s="15"/>
      <c r="C320" s="289"/>
      <c r="D320" s="289"/>
      <c r="E320" s="2124" t="str">
        <f>Translations!$B$427</f>
        <v>icke-berättigande p.g.a. ursprung:</v>
      </c>
      <c r="F320" s="2125"/>
      <c r="G320" s="2125"/>
      <c r="H320" s="461" t="str">
        <f>EUconst_TJpa</f>
        <v>TJ / år</v>
      </c>
      <c r="I320" s="740" t="str">
        <f>[1]K_Summary!I310</f>
        <v/>
      </c>
      <c r="J320" s="1566" t="str">
        <f>[1]K_Summary!J310</f>
        <v/>
      </c>
      <c r="K320" s="1566" t="str">
        <f>[1]K_Summary!K310</f>
        <v/>
      </c>
      <c r="L320" s="1566" t="str">
        <f>[1]K_Summary!L310</f>
        <v/>
      </c>
      <c r="M320" s="1566" t="str">
        <f>[1]K_Summary!M310</f>
        <v/>
      </c>
      <c r="N320" s="6"/>
    </row>
    <row r="321" spans="2:14" ht="5.15" customHeight="1" x14ac:dyDescent="0.25">
      <c r="B321" s="15"/>
      <c r="C321" s="15"/>
      <c r="D321" s="15"/>
      <c r="E321" s="15"/>
      <c r="F321" s="15"/>
      <c r="G321" s="15"/>
      <c r="H321" s="15"/>
      <c r="I321" s="15"/>
      <c r="J321" s="15"/>
      <c r="K321" s="15"/>
      <c r="L321" s="15"/>
      <c r="M321" s="15"/>
      <c r="N321" s="15"/>
    </row>
    <row r="322" spans="2:14" ht="12.75" customHeight="1" x14ac:dyDescent="0.25">
      <c r="B322" s="3"/>
      <c r="C322" s="13"/>
      <c r="D322" s="13" t="s">
        <v>524</v>
      </c>
      <c r="E322" s="2101" t="str">
        <f>Translations!$B$428</f>
        <v>Berättigandekvot för återstående värme som beräknas i punkt j:</v>
      </c>
      <c r="F322" s="2102"/>
      <c r="G322" s="2102"/>
      <c r="H322" s="2102"/>
      <c r="I322" s="2102"/>
      <c r="J322" s="2102"/>
      <c r="K322" s="2102"/>
      <c r="L322" s="2102"/>
      <c r="M322" s="2102"/>
      <c r="N322" s="2102"/>
    </row>
    <row r="323" spans="2:14" ht="12.75" customHeight="1" x14ac:dyDescent="0.25">
      <c r="B323" s="15"/>
      <c r="C323" s="289"/>
      <c r="D323" s="289"/>
      <c r="E323" s="2126" t="str">
        <f>Translations!$B$429</f>
        <v>korrigerad berättigandekvot (= j.ii/j.i):</v>
      </c>
      <c r="F323" s="2126"/>
      <c r="G323" s="2126"/>
      <c r="H323" s="472" t="s">
        <v>1113</v>
      </c>
      <c r="I323" s="757" t="str">
        <f>[1]K_Summary!I313</f>
        <v/>
      </c>
      <c r="J323" s="254" t="str">
        <f>[1]K_Summary!J313</f>
        <v/>
      </c>
      <c r="K323" s="254" t="str">
        <f>[1]K_Summary!K313</f>
        <v/>
      </c>
      <c r="L323" s="254" t="str">
        <f>[1]K_Summary!L313</f>
        <v/>
      </c>
      <c r="M323" s="254" t="str">
        <f>[1]K_Summary!M313</f>
        <v/>
      </c>
      <c r="N323" s="6"/>
    </row>
    <row r="324" spans="2:14" ht="5.15" customHeight="1" x14ac:dyDescent="0.25">
      <c r="B324" s="3"/>
      <c r="C324" s="3"/>
      <c r="D324" s="3"/>
      <c r="E324" s="3"/>
      <c r="F324" s="3"/>
      <c r="G324" s="3"/>
      <c r="H324" s="3"/>
      <c r="I324" s="3"/>
      <c r="J324" s="3"/>
      <c r="K324" s="3"/>
      <c r="L324" s="3"/>
      <c r="M324" s="3"/>
      <c r="N324" s="3"/>
    </row>
    <row r="325" spans="2:14" ht="12.75" customHeight="1" x14ac:dyDescent="0.25">
      <c r="B325" s="3"/>
      <c r="C325" s="13"/>
      <c r="D325" s="13" t="s">
        <v>526</v>
      </c>
      <c r="E325" s="2101" t="str">
        <f>Translations!$B$430</f>
        <v>Nettomängd mätbar värme som förbrukas vid anläggningen och som kan ingå i värmeriktmärke:</v>
      </c>
      <c r="F325" s="2102"/>
      <c r="G325" s="2102"/>
      <c r="H325" s="2102"/>
      <c r="I325" s="2102"/>
      <c r="J325" s="2102"/>
      <c r="K325" s="2102"/>
      <c r="L325" s="2102"/>
      <c r="M325" s="2102"/>
      <c r="N325" s="2102"/>
    </row>
    <row r="326" spans="2:14" ht="12.75" customHeight="1" x14ac:dyDescent="0.25">
      <c r="B326" s="15"/>
      <c r="C326" s="15"/>
      <c r="D326" s="15"/>
      <c r="E326" s="2103" t="str">
        <f>Translations!$B$432</f>
        <v>Värme som förbrukas inom anläggningen</v>
      </c>
      <c r="F326" s="2104"/>
      <c r="G326" s="2104"/>
      <c r="H326" s="450" t="str">
        <f>EUconst_TJpa</f>
        <v>TJ / år</v>
      </c>
      <c r="I326" s="742" t="str">
        <f>[1]K_Summary!I316</f>
        <v/>
      </c>
      <c r="J326" s="381" t="str">
        <f>[1]K_Summary!J316</f>
        <v/>
      </c>
      <c r="K326" s="381" t="str">
        <f>[1]K_Summary!K316</f>
        <v/>
      </c>
      <c r="L326" s="381" t="str">
        <f>[1]K_Summary!L316</f>
        <v/>
      </c>
      <c r="M326" s="381" t="str">
        <f>[1]K_Summary!M316</f>
        <v/>
      </c>
      <c r="N326" s="6"/>
    </row>
    <row r="327" spans="2:14" ht="5.15" customHeight="1" x14ac:dyDescent="0.25">
      <c r="B327" s="3"/>
      <c r="C327" s="3"/>
      <c r="D327" s="3"/>
      <c r="E327" s="3"/>
      <c r="F327" s="3"/>
      <c r="G327" s="3"/>
      <c r="H327" s="3"/>
      <c r="I327" s="3"/>
      <c r="J327" s="3"/>
      <c r="K327" s="3"/>
      <c r="L327" s="3"/>
      <c r="M327" s="3"/>
      <c r="N327" s="3"/>
    </row>
    <row r="328" spans="2:14" ht="12.75" customHeight="1" x14ac:dyDescent="0.25">
      <c r="B328" s="15"/>
      <c r="C328" s="13"/>
      <c r="D328" s="13" t="s">
        <v>527</v>
      </c>
      <c r="E328" s="2101" t="str">
        <f>Translations!$B$433</f>
        <v>Värme som exporteras till anläggningar eller enheter utanför ETS (t.ex. fjärrvärmenät):</v>
      </c>
      <c r="F328" s="2102"/>
      <c r="G328" s="2102"/>
      <c r="H328" s="2102"/>
      <c r="I328" s="2102"/>
      <c r="J328" s="2102"/>
      <c r="K328" s="2102"/>
      <c r="L328" s="2102"/>
      <c r="M328" s="2102"/>
      <c r="N328" s="2102"/>
    </row>
    <row r="329" spans="2:14" ht="12.75" customHeight="1" x14ac:dyDescent="0.25">
      <c r="B329" s="15"/>
      <c r="C329" s="15"/>
      <c r="D329" s="15"/>
      <c r="E329" s="2111" t="str">
        <f>Translations!$B$434</f>
        <v>Namn på mottagande enhet eller anläggning</v>
      </c>
      <c r="F329" s="2100"/>
      <c r="G329" s="2100"/>
      <c r="H329" s="30" t="str">
        <f>Translations!$B$1014</f>
        <v>Enhet</v>
      </c>
      <c r="I329" s="350">
        <v>2014</v>
      </c>
      <c r="J329" s="350">
        <v>2015</v>
      </c>
      <c r="K329" s="350">
        <v>2016</v>
      </c>
      <c r="L329" s="350">
        <v>2017</v>
      </c>
      <c r="M329" s="350">
        <v>2018</v>
      </c>
      <c r="N329" s="3"/>
    </row>
    <row r="330" spans="2:14" x14ac:dyDescent="0.25">
      <c r="B330" s="15"/>
      <c r="C330" s="289"/>
      <c r="D330" s="289"/>
      <c r="E330" s="2029" t="str">
        <f>[1]K_Summary!E320</f>
        <v/>
      </c>
      <c r="F330" s="2029"/>
      <c r="G330" s="2029"/>
      <c r="H330" s="459" t="str">
        <f t="shared" ref="H330:H335" si="5">EUconst_TJpa</f>
        <v>TJ / år</v>
      </c>
      <c r="I330" s="1593" t="str">
        <f>[1]K_Summary!I320</f>
        <v/>
      </c>
      <c r="J330" s="1594" t="str">
        <f>[1]K_Summary!J320</f>
        <v/>
      </c>
      <c r="K330" s="1594" t="str">
        <f>[1]K_Summary!K320</f>
        <v/>
      </c>
      <c r="L330" s="1594" t="str">
        <f>[1]K_Summary!L320</f>
        <v/>
      </c>
      <c r="M330" s="1594" t="str">
        <f>[1]K_Summary!M320</f>
        <v/>
      </c>
      <c r="N330" s="6"/>
    </row>
    <row r="331" spans="2:14" x14ac:dyDescent="0.25">
      <c r="B331" s="15"/>
      <c r="C331" s="289"/>
      <c r="D331" s="289"/>
      <c r="E331" s="2015" t="str">
        <f>[1]K_Summary!E321</f>
        <v/>
      </c>
      <c r="F331" s="2015"/>
      <c r="G331" s="2015"/>
      <c r="H331" s="459" t="str">
        <f t="shared" si="5"/>
        <v>TJ / år</v>
      </c>
      <c r="I331" s="460" t="str">
        <f>[1]K_Summary!I321</f>
        <v/>
      </c>
      <c r="J331" s="1585" t="str">
        <f>[1]K_Summary!J321</f>
        <v/>
      </c>
      <c r="K331" s="1585" t="str">
        <f>[1]K_Summary!K321</f>
        <v/>
      </c>
      <c r="L331" s="1585" t="str">
        <f>[1]K_Summary!L321</f>
        <v/>
      </c>
      <c r="M331" s="1585" t="str">
        <f>[1]K_Summary!M321</f>
        <v/>
      </c>
      <c r="N331" s="6"/>
    </row>
    <row r="332" spans="2:14" x14ac:dyDescent="0.25">
      <c r="B332" s="15"/>
      <c r="C332" s="289"/>
      <c r="D332" s="289"/>
      <c r="E332" s="2015" t="str">
        <f>[1]K_Summary!E322</f>
        <v/>
      </c>
      <c r="F332" s="2015"/>
      <c r="G332" s="2015"/>
      <c r="H332" s="459" t="str">
        <f t="shared" si="5"/>
        <v>TJ / år</v>
      </c>
      <c r="I332" s="460" t="str">
        <f>[1]K_Summary!I322</f>
        <v/>
      </c>
      <c r="J332" s="1585" t="str">
        <f>[1]K_Summary!J322</f>
        <v/>
      </c>
      <c r="K332" s="1585" t="str">
        <f>[1]K_Summary!K322</f>
        <v/>
      </c>
      <c r="L332" s="1585" t="str">
        <f>[1]K_Summary!L322</f>
        <v/>
      </c>
      <c r="M332" s="1585" t="str">
        <f>[1]K_Summary!M322</f>
        <v/>
      </c>
      <c r="N332" s="6"/>
    </row>
    <row r="333" spans="2:14" x14ac:dyDescent="0.25">
      <c r="B333" s="15"/>
      <c r="C333" s="289"/>
      <c r="D333" s="289"/>
      <c r="E333" s="2015" t="str">
        <f>[1]K_Summary!E323</f>
        <v/>
      </c>
      <c r="F333" s="2015"/>
      <c r="G333" s="2015"/>
      <c r="H333" s="459" t="str">
        <f t="shared" si="5"/>
        <v>TJ / år</v>
      </c>
      <c r="I333" s="460" t="str">
        <f>[1]K_Summary!I323</f>
        <v/>
      </c>
      <c r="J333" s="1585" t="str">
        <f>[1]K_Summary!J323</f>
        <v/>
      </c>
      <c r="K333" s="1585" t="str">
        <f>[1]K_Summary!K323</f>
        <v/>
      </c>
      <c r="L333" s="1585" t="str">
        <f>[1]K_Summary!L323</f>
        <v/>
      </c>
      <c r="M333" s="1585" t="str">
        <f>[1]K_Summary!M323</f>
        <v/>
      </c>
      <c r="N333" s="6"/>
    </row>
    <row r="334" spans="2:14" x14ac:dyDescent="0.25">
      <c r="B334" s="15"/>
      <c r="C334" s="289"/>
      <c r="D334" s="289"/>
      <c r="E334" s="2022" t="str">
        <f>[1]K_Summary!E324</f>
        <v/>
      </c>
      <c r="F334" s="2022"/>
      <c r="G334" s="2022"/>
      <c r="H334" s="461" t="str">
        <f t="shared" si="5"/>
        <v>TJ / år</v>
      </c>
      <c r="I334" s="740" t="str">
        <f>[1]K_Summary!I324</f>
        <v/>
      </c>
      <c r="J334" s="1586" t="str">
        <f>[1]K_Summary!J324</f>
        <v/>
      </c>
      <c r="K334" s="1586" t="str">
        <f>[1]K_Summary!K324</f>
        <v/>
      </c>
      <c r="L334" s="1586" t="str">
        <f>[1]K_Summary!L324</f>
        <v/>
      </c>
      <c r="M334" s="1586" t="str">
        <f>[1]K_Summary!M324</f>
        <v/>
      </c>
      <c r="N334" s="6"/>
    </row>
    <row r="335" spans="2:14" ht="12.75" customHeight="1" x14ac:dyDescent="0.25">
      <c r="B335" s="15"/>
      <c r="C335" s="289"/>
      <c r="D335" s="289"/>
      <c r="E335" s="2103" t="str">
        <f>Translations!$B$435</f>
        <v>Total värme som exporteras utanför ETS:</v>
      </c>
      <c r="F335" s="2103"/>
      <c r="G335" s="2103"/>
      <c r="H335" s="122" t="str">
        <f t="shared" si="5"/>
        <v>TJ / år</v>
      </c>
      <c r="I335" s="575" t="str">
        <f>[1]K_Summary!I325</f>
        <v/>
      </c>
      <c r="J335" s="575" t="str">
        <f>[1]K_Summary!J325</f>
        <v/>
      </c>
      <c r="K335" s="575" t="str">
        <f>[1]K_Summary!K325</f>
        <v/>
      </c>
      <c r="L335" s="575" t="str">
        <f>[1]K_Summary!L325</f>
        <v/>
      </c>
      <c r="M335" s="575" t="str">
        <f>[1]K_Summary!M325</f>
        <v/>
      </c>
      <c r="N335" s="6"/>
    </row>
    <row r="336" spans="2:14" ht="5.15" customHeight="1" x14ac:dyDescent="0.25">
      <c r="B336" s="3"/>
      <c r="C336" s="3"/>
      <c r="D336" s="3"/>
      <c r="E336" s="3"/>
      <c r="F336" s="3"/>
      <c r="G336" s="3"/>
      <c r="H336" s="3"/>
      <c r="I336" s="3"/>
      <c r="J336" s="3"/>
      <c r="K336" s="3"/>
      <c r="L336" s="3"/>
      <c r="M336" s="3"/>
      <c r="N336" s="3"/>
    </row>
    <row r="337" spans="2:14" ht="12.75" customHeight="1" x14ac:dyDescent="0.25">
      <c r="B337" s="15"/>
      <c r="C337" s="13"/>
      <c r="D337" s="13" t="s">
        <v>271</v>
      </c>
      <c r="E337" s="2101" t="str">
        <f>Translations!$B$436</f>
        <v>Värmeförluster (= j–l–m)</v>
      </c>
      <c r="F337" s="2102"/>
      <c r="G337" s="2102"/>
      <c r="H337" s="2102"/>
      <c r="I337" s="2102"/>
      <c r="J337" s="2102"/>
      <c r="K337" s="2102"/>
      <c r="L337" s="2102"/>
      <c r="M337" s="2102"/>
      <c r="N337" s="2102"/>
    </row>
    <row r="338" spans="2:14" ht="13" x14ac:dyDescent="0.25">
      <c r="B338" s="15"/>
      <c r="C338" s="15"/>
      <c r="D338" s="15"/>
      <c r="E338" s="24"/>
      <c r="F338" s="188"/>
      <c r="G338" s="188"/>
      <c r="H338" s="30" t="str">
        <f>Translations!$B$1014</f>
        <v>Enhet</v>
      </c>
      <c r="I338" s="320">
        <v>2014</v>
      </c>
      <c r="J338" s="320">
        <v>2015</v>
      </c>
      <c r="K338" s="320">
        <v>2016</v>
      </c>
      <c r="L338" s="320">
        <v>2017</v>
      </c>
      <c r="M338" s="320">
        <v>2018</v>
      </c>
      <c r="N338" s="6"/>
    </row>
    <row r="339" spans="2:14" ht="12.75" customHeight="1" x14ac:dyDescent="0.25">
      <c r="B339" s="15"/>
      <c r="C339" s="15"/>
      <c r="D339" s="289"/>
      <c r="E339" s="2103" t="str">
        <f>Translations!$B$439</f>
        <v>Värmeförluster (beräknade)</v>
      </c>
      <c r="F339" s="2104"/>
      <c r="G339" s="2104"/>
      <c r="H339" s="450" t="str">
        <f>EUconst_TJpa</f>
        <v>TJ / år</v>
      </c>
      <c r="I339" s="742" t="str">
        <f>[1]K_Summary!I329</f>
        <v/>
      </c>
      <c r="J339" s="381" t="str">
        <f>[1]K_Summary!J329</f>
        <v/>
      </c>
      <c r="K339" s="381" t="str">
        <f>[1]K_Summary!K329</f>
        <v/>
      </c>
      <c r="L339" s="381" t="str">
        <f>[1]K_Summary!L329</f>
        <v/>
      </c>
      <c r="M339" s="381" t="str">
        <f>[1]K_Summary!M329</f>
        <v/>
      </c>
      <c r="N339" s="6"/>
    </row>
    <row r="340" spans="2:14" ht="12.75" customHeight="1" x14ac:dyDescent="0.25">
      <c r="B340" s="15"/>
      <c r="C340" s="15"/>
      <c r="D340" s="289"/>
      <c r="E340" s="2103" t="str">
        <f>Translations!$B$440</f>
        <v>Värmeförluster (andel tillgänglig värme = e)</v>
      </c>
      <c r="F340" s="2104"/>
      <c r="G340" s="2104"/>
      <c r="H340" s="450" t="s">
        <v>1113</v>
      </c>
      <c r="I340" s="742" t="str">
        <f>[1]K_Summary!I330</f>
        <v/>
      </c>
      <c r="J340" s="381" t="str">
        <f>[1]K_Summary!J330</f>
        <v/>
      </c>
      <c r="K340" s="381" t="str">
        <f>[1]K_Summary!K330</f>
        <v/>
      </c>
      <c r="L340" s="381" t="str">
        <f>[1]K_Summary!L330</f>
        <v/>
      </c>
      <c r="M340" s="381" t="str">
        <f>[1]K_Summary!M330</f>
        <v/>
      </c>
      <c r="N340" s="6"/>
    </row>
    <row r="341" spans="2:14" ht="5.15" customHeight="1" x14ac:dyDescent="0.25">
      <c r="B341" s="15"/>
      <c r="C341" s="15"/>
      <c r="D341" s="15"/>
      <c r="E341" s="15"/>
      <c r="F341" s="15"/>
      <c r="G341" s="15"/>
      <c r="H341" s="15"/>
      <c r="I341" s="15"/>
      <c r="J341" s="15"/>
      <c r="K341" s="15"/>
      <c r="L341" s="15"/>
      <c r="M341" s="15"/>
      <c r="N341" s="15"/>
    </row>
    <row r="342" spans="2:14" ht="12.75" customHeight="1" x14ac:dyDescent="0.25">
      <c r="B342" s="3"/>
      <c r="C342" s="13"/>
      <c r="D342" s="13" t="s">
        <v>906</v>
      </c>
      <c r="E342" s="2111" t="str">
        <f>Translations!$B$441</f>
        <v>Total mängd värme som eventuellt ingår i delanläggningar med värmeriktmärke eller fjärrvärmedelanläggningen (= l+m):</v>
      </c>
      <c r="F342" s="2100"/>
      <c r="G342" s="2100"/>
      <c r="H342" s="2100"/>
      <c r="I342" s="2100"/>
      <c r="J342" s="2100"/>
      <c r="K342" s="2100"/>
      <c r="L342" s="2100"/>
      <c r="M342" s="2100"/>
      <c r="N342" s="2102"/>
    </row>
    <row r="343" spans="2:14" ht="12.75" customHeight="1" x14ac:dyDescent="0.25">
      <c r="B343" s="15"/>
      <c r="C343" s="15"/>
      <c r="D343" s="15"/>
      <c r="E343" s="2103" t="str">
        <f>Translations!$B$442</f>
        <v>Total värme för delanläggningar med värmeriktmärke:</v>
      </c>
      <c r="F343" s="2104"/>
      <c r="G343" s="2104"/>
      <c r="H343" s="450" t="str">
        <f>EUconst_TJpa</f>
        <v>TJ / år</v>
      </c>
      <c r="I343" s="742" t="str">
        <f>[1]K_Summary!I333</f>
        <v/>
      </c>
      <c r="J343" s="381" t="str">
        <f>[1]K_Summary!J333</f>
        <v/>
      </c>
      <c r="K343" s="381" t="str">
        <f>[1]K_Summary!K333</f>
        <v/>
      </c>
      <c r="L343" s="381" t="str">
        <f>[1]K_Summary!L333</f>
        <v/>
      </c>
      <c r="M343" s="381" t="str">
        <f>[1]K_Summary!M333</f>
        <v/>
      </c>
      <c r="N343" s="6"/>
    </row>
    <row r="344" spans="2:14" ht="5.15" customHeight="1" x14ac:dyDescent="0.25">
      <c r="B344" s="3"/>
      <c r="C344" s="3"/>
      <c r="D344" s="3"/>
      <c r="E344" s="3"/>
      <c r="F344" s="3"/>
      <c r="G344" s="3"/>
      <c r="H344" s="3"/>
      <c r="I344" s="3"/>
      <c r="J344" s="3"/>
      <c r="K344" s="3"/>
      <c r="L344" s="3"/>
      <c r="M344" s="3"/>
      <c r="N344" s="3"/>
    </row>
    <row r="345" spans="2:14" ht="12.75" customHeight="1" x14ac:dyDescent="0.25">
      <c r="B345" s="3"/>
      <c r="C345" s="13"/>
      <c r="D345" s="13" t="s">
        <v>907</v>
      </c>
      <c r="E345" s="2101" t="str">
        <f>Translations!$B$443</f>
        <v>Slutresultat: Mängd värme som kan tillskrivas delanläggningar med värmeriktmärke eller fjärrvärmedelanläggningen:</v>
      </c>
      <c r="F345" s="2102"/>
      <c r="G345" s="2102"/>
      <c r="H345" s="2102"/>
      <c r="I345" s="2102"/>
      <c r="J345" s="2102"/>
      <c r="K345" s="2102"/>
      <c r="L345" s="2102"/>
      <c r="M345" s="2102"/>
      <c r="N345" s="2102"/>
    </row>
    <row r="346" spans="2:14" ht="13" x14ac:dyDescent="0.25">
      <c r="B346" s="15"/>
      <c r="C346" s="15"/>
      <c r="D346" s="15"/>
      <c r="E346" s="24"/>
      <c r="F346" s="188"/>
      <c r="G346" s="188"/>
      <c r="H346" s="30" t="str">
        <f>Translations!$B$1014</f>
        <v>Enhet</v>
      </c>
      <c r="I346" s="320">
        <v>2014</v>
      </c>
      <c r="J346" s="320">
        <v>2015</v>
      </c>
      <c r="K346" s="320">
        <v>2016</v>
      </c>
      <c r="L346" s="320">
        <v>2017</v>
      </c>
      <c r="M346" s="320">
        <v>2018</v>
      </c>
      <c r="N346" s="6"/>
    </row>
    <row r="347" spans="2:14" ht="25.5" customHeight="1" x14ac:dyDescent="0.25">
      <c r="B347" s="15"/>
      <c r="C347" s="15"/>
      <c r="D347" s="15"/>
      <c r="E347" s="2119" t="str">
        <f>Translations!$B$446</f>
        <v>Värme som kan ingå i delanläggningar med värmeriktmärke</v>
      </c>
      <c r="F347" s="2120"/>
      <c r="G347" s="2120"/>
      <c r="H347" s="48" t="str">
        <f>EUconst_TJpa</f>
        <v>TJ / år</v>
      </c>
      <c r="I347" s="254" t="str">
        <f>[1]K_Summary!I337</f>
        <v/>
      </c>
      <c r="J347" s="254" t="str">
        <f>[1]K_Summary!J337</f>
        <v/>
      </c>
      <c r="K347" s="254" t="str">
        <f>[1]K_Summary!K337</f>
        <v/>
      </c>
      <c r="L347" s="254" t="str">
        <f>[1]K_Summary!L337</f>
        <v/>
      </c>
      <c r="M347" s="254" t="str">
        <f>[1]K_Summary!M337</f>
        <v/>
      </c>
      <c r="N347" s="6"/>
    </row>
    <row r="348" spans="2:14" ht="5.15" customHeight="1" x14ac:dyDescent="0.25">
      <c r="B348" s="15"/>
      <c r="C348" s="15"/>
      <c r="D348" s="15"/>
      <c r="E348" s="15"/>
      <c r="F348" s="15"/>
      <c r="G348" s="15"/>
      <c r="H348" s="15"/>
      <c r="I348" s="15"/>
      <c r="J348" s="15"/>
      <c r="K348" s="15"/>
      <c r="L348" s="15"/>
      <c r="M348" s="15"/>
      <c r="N348" s="15"/>
    </row>
    <row r="349" spans="2:14" ht="12.75" customHeight="1" x14ac:dyDescent="0.3">
      <c r="B349" s="3"/>
      <c r="C349" s="17"/>
      <c r="D349" s="2105" t="str">
        <f>Translations!$B$1018</f>
        <v>Sammanfattning av värme- och fjärrvärmedelanläggningar</v>
      </c>
      <c r="E349" s="2102"/>
      <c r="F349" s="2102"/>
      <c r="G349" s="2102"/>
      <c r="H349" s="2102"/>
      <c r="I349" s="2102"/>
      <c r="J349" s="2102"/>
      <c r="K349" s="2102"/>
      <c r="L349" s="2102"/>
      <c r="M349" s="2102"/>
      <c r="N349" s="2102"/>
    </row>
    <row r="350" spans="2:14" ht="13.5" thickBot="1" x14ac:dyDescent="0.3">
      <c r="B350" s="15"/>
      <c r="C350" s="15"/>
      <c r="D350" s="15"/>
      <c r="E350" s="14"/>
      <c r="F350" s="15"/>
      <c r="G350" s="15"/>
      <c r="H350" s="31" t="str">
        <f>Translations!$B$1014</f>
        <v>Enhet</v>
      </c>
      <c r="I350" s="320">
        <v>2014</v>
      </c>
      <c r="J350" s="320">
        <v>2015</v>
      </c>
      <c r="K350" s="320">
        <v>2016</v>
      </c>
      <c r="L350" s="320">
        <v>2017</v>
      </c>
      <c r="M350" s="320">
        <v>2018</v>
      </c>
      <c r="N350" s="15"/>
    </row>
    <row r="351" spans="2:14" ht="12.75" customHeight="1" x14ac:dyDescent="0.25">
      <c r="B351" s="15"/>
      <c r="C351" s="15"/>
      <c r="D351" s="289"/>
      <c r="E351" s="654" t="str">
        <f>Translations!$B$1315</f>
        <v>Delanläggning med värmeriktmärke, KL</v>
      </c>
      <c r="F351" s="655"/>
      <c r="G351" s="655"/>
      <c r="H351" s="656" t="str">
        <f>EUconst_TJpa</f>
        <v>TJ / år</v>
      </c>
      <c r="I351" s="758" t="str">
        <f>[1]K_Summary!I341</f>
        <v/>
      </c>
      <c r="J351" s="758" t="str">
        <f>[1]K_Summary!J341</f>
        <v/>
      </c>
      <c r="K351" s="758" t="str">
        <f>[1]K_Summary!K341</f>
        <v/>
      </c>
      <c r="L351" s="758" t="str">
        <f>[1]K_Summary!L341</f>
        <v/>
      </c>
      <c r="M351" s="759" t="str">
        <f>[1]K_Summary!M341</f>
        <v/>
      </c>
      <c r="N351" s="15"/>
    </row>
    <row r="352" spans="2:14" ht="13.5" customHeight="1" x14ac:dyDescent="0.25">
      <c r="B352" s="15"/>
      <c r="C352" s="15"/>
      <c r="D352" s="289"/>
      <c r="E352" s="651" t="str">
        <f>Translations!$B$1316</f>
        <v>Delanläggning med värmeriktmärke, ej KL</v>
      </c>
      <c r="F352" s="652"/>
      <c r="G352" s="652"/>
      <c r="H352" s="653" t="str">
        <f>EUconst_TJpa</f>
        <v>TJ / år</v>
      </c>
      <c r="I352" s="742" t="str">
        <f>[1]K_Summary!I342</f>
        <v/>
      </c>
      <c r="J352" s="742" t="str">
        <f>[1]K_Summary!J342</f>
        <v/>
      </c>
      <c r="K352" s="742" t="str">
        <f>[1]K_Summary!K342</f>
        <v/>
      </c>
      <c r="L352" s="742" t="str">
        <f>[1]K_Summary!L342</f>
        <v/>
      </c>
      <c r="M352" s="760" t="str">
        <f>[1]K_Summary!M342</f>
        <v/>
      </c>
      <c r="N352" s="15"/>
    </row>
    <row r="353" spans="2:14" ht="12.75" customHeight="1" thickBot="1" x14ac:dyDescent="0.3">
      <c r="B353" s="15"/>
      <c r="C353" s="15"/>
      <c r="D353" s="15"/>
      <c r="E353" s="657" t="str">
        <f>Translations!$B$1317</f>
        <v>Fjärrvärmedelanläggning</v>
      </c>
      <c r="F353" s="658"/>
      <c r="G353" s="658"/>
      <c r="H353" s="659" t="str">
        <f>EUconst_TJpa</f>
        <v>TJ / år</v>
      </c>
      <c r="I353" s="761" t="str">
        <f>[1]K_Summary!I343</f>
        <v/>
      </c>
      <c r="J353" s="761" t="str">
        <f>[1]K_Summary!J343</f>
        <v/>
      </c>
      <c r="K353" s="761" t="str">
        <f>[1]K_Summary!K343</f>
        <v/>
      </c>
      <c r="L353" s="761" t="str">
        <f>[1]K_Summary!L343</f>
        <v/>
      </c>
      <c r="M353" s="762" t="str">
        <f>[1]K_Summary!M343</f>
        <v/>
      </c>
      <c r="N353" s="15"/>
    </row>
    <row r="354" spans="2:14" ht="12.75" customHeight="1" x14ac:dyDescent="0.25">
      <c r="B354" s="15"/>
      <c r="C354" s="15"/>
      <c r="D354" s="15"/>
      <c r="E354" s="15"/>
      <c r="F354" s="15"/>
      <c r="G354" s="15"/>
      <c r="H354" s="15"/>
      <c r="I354" s="15"/>
      <c r="J354" s="15"/>
      <c r="K354" s="15"/>
      <c r="L354" s="15"/>
      <c r="M354" s="15"/>
      <c r="N354" s="15"/>
    </row>
    <row r="355" spans="2:14" ht="15" customHeight="1" x14ac:dyDescent="0.3">
      <c r="B355" s="3"/>
      <c r="C355" s="17">
        <v>7</v>
      </c>
      <c r="D355" s="2053" t="str">
        <f>Translations!$B$455</f>
        <v>Komplett restgasbalans vid anläggningen</v>
      </c>
      <c r="E355" s="1963"/>
      <c r="F355" s="1963"/>
      <c r="G355" s="1963"/>
      <c r="H355" s="1963"/>
      <c r="I355" s="1963"/>
      <c r="J355" s="1963"/>
      <c r="K355" s="1963"/>
      <c r="L355" s="1963"/>
      <c r="M355" s="1963"/>
      <c r="N355" s="1963"/>
    </row>
    <row r="356" spans="2:14" ht="5.15" customHeight="1" x14ac:dyDescent="0.25">
      <c r="B356" s="3"/>
      <c r="C356" s="3"/>
      <c r="D356" s="3"/>
      <c r="E356" s="3"/>
      <c r="F356" s="3"/>
      <c r="G356" s="3"/>
      <c r="H356" s="3"/>
      <c r="I356" s="3"/>
      <c r="J356" s="3"/>
      <c r="K356" s="3"/>
      <c r="L356" s="3"/>
      <c r="M356" s="3"/>
      <c r="N356" s="3"/>
    </row>
    <row r="357" spans="2:14" ht="12.75" customHeight="1" x14ac:dyDescent="0.25">
      <c r="B357" s="3"/>
      <c r="C357" s="13"/>
      <c r="D357" s="13" t="s">
        <v>442</v>
      </c>
      <c r="E357" s="2101" t="str">
        <f>Translations!$B$460</f>
        <v>Restgaser som produceras inom systemgränserna för en delanläggning med produktriktmärke</v>
      </c>
      <c r="F357" s="2102"/>
      <c r="G357" s="2102"/>
      <c r="H357" s="2102"/>
      <c r="I357" s="2102"/>
      <c r="J357" s="2102"/>
      <c r="K357" s="2102"/>
      <c r="L357" s="2102"/>
      <c r="M357" s="2102"/>
      <c r="N357" s="2102"/>
    </row>
    <row r="358" spans="2:14" ht="12.75" customHeight="1" x14ac:dyDescent="0.25">
      <c r="B358" s="15"/>
      <c r="C358" s="15"/>
      <c r="D358" s="15"/>
      <c r="E358" s="2111" t="str">
        <f>Translations!$B$462</f>
        <v>Delanläggning</v>
      </c>
      <c r="F358" s="2100"/>
      <c r="G358" s="2100"/>
      <c r="H358" s="30" t="str">
        <f>Translations!$B$1014</f>
        <v>Enhet</v>
      </c>
      <c r="I358" s="320">
        <v>2014</v>
      </c>
      <c r="J358" s="320">
        <v>2015</v>
      </c>
      <c r="K358" s="320">
        <v>2016</v>
      </c>
      <c r="L358" s="320">
        <v>2017</v>
      </c>
      <c r="M358" s="342">
        <v>2018</v>
      </c>
      <c r="N358" s="1596"/>
    </row>
    <row r="359" spans="2:14" x14ac:dyDescent="0.25">
      <c r="B359" s="15"/>
      <c r="C359" s="15"/>
      <c r="D359" s="289"/>
      <c r="E359" s="2114" t="str">
        <f>[1]K_Summary!E349</f>
        <v/>
      </c>
      <c r="F359" s="2114"/>
      <c r="G359" s="2114"/>
      <c r="H359" s="954" t="str">
        <f t="shared" ref="H359:H369" si="6">EUconst_TJpa</f>
        <v>TJ / år</v>
      </c>
      <c r="I359" s="1584" t="str">
        <f>[1]K_Summary!I349</f>
        <v/>
      </c>
      <c r="J359" s="1584" t="str">
        <f>[1]K_Summary!J349</f>
        <v/>
      </c>
      <c r="K359" s="1584" t="str">
        <f>[1]K_Summary!K349</f>
        <v/>
      </c>
      <c r="L359" s="1584" t="str">
        <f>[1]K_Summary!L349</f>
        <v/>
      </c>
      <c r="M359" s="1584" t="str">
        <f>[1]K_Summary!M349</f>
        <v/>
      </c>
      <c r="N359" s="6"/>
    </row>
    <row r="360" spans="2:14" x14ac:dyDescent="0.25">
      <c r="B360" s="15"/>
      <c r="C360" s="15"/>
      <c r="D360" s="289"/>
      <c r="E360" s="2115" t="str">
        <f>[1]K_Summary!E350</f>
        <v/>
      </c>
      <c r="F360" s="2115"/>
      <c r="G360" s="2115"/>
      <c r="H360" s="955" t="str">
        <f t="shared" si="6"/>
        <v>TJ / år</v>
      </c>
      <c r="I360" s="1585" t="str">
        <f>[1]K_Summary!I350</f>
        <v/>
      </c>
      <c r="J360" s="1585" t="str">
        <f>[1]K_Summary!J350</f>
        <v/>
      </c>
      <c r="K360" s="1585" t="str">
        <f>[1]K_Summary!K350</f>
        <v/>
      </c>
      <c r="L360" s="1585" t="str">
        <f>[1]K_Summary!L350</f>
        <v/>
      </c>
      <c r="M360" s="1585" t="str">
        <f>[1]K_Summary!M350</f>
        <v/>
      </c>
      <c r="N360" s="6"/>
    </row>
    <row r="361" spans="2:14" x14ac:dyDescent="0.25">
      <c r="B361" s="15"/>
      <c r="C361" s="15"/>
      <c r="D361" s="289"/>
      <c r="E361" s="2115" t="str">
        <f>[1]K_Summary!E351</f>
        <v/>
      </c>
      <c r="F361" s="2115"/>
      <c r="G361" s="2115"/>
      <c r="H361" s="955" t="str">
        <f t="shared" si="6"/>
        <v>TJ / år</v>
      </c>
      <c r="I361" s="1585" t="str">
        <f>[1]K_Summary!I351</f>
        <v/>
      </c>
      <c r="J361" s="1585" t="str">
        <f>[1]K_Summary!J351</f>
        <v/>
      </c>
      <c r="K361" s="1585" t="str">
        <f>[1]K_Summary!K351</f>
        <v/>
      </c>
      <c r="L361" s="1585" t="str">
        <f>[1]K_Summary!L351</f>
        <v/>
      </c>
      <c r="M361" s="1585" t="str">
        <f>[1]K_Summary!M351</f>
        <v/>
      </c>
      <c r="N361" s="6"/>
    </row>
    <row r="362" spans="2:14" x14ac:dyDescent="0.25">
      <c r="B362" s="15"/>
      <c r="C362" s="15"/>
      <c r="D362" s="289"/>
      <c r="E362" s="2115" t="str">
        <f>[1]K_Summary!E352</f>
        <v/>
      </c>
      <c r="F362" s="2115"/>
      <c r="G362" s="2115"/>
      <c r="H362" s="955" t="str">
        <f t="shared" si="6"/>
        <v>TJ / år</v>
      </c>
      <c r="I362" s="1585" t="str">
        <f>[1]K_Summary!I352</f>
        <v/>
      </c>
      <c r="J362" s="1585" t="str">
        <f>[1]K_Summary!J352</f>
        <v/>
      </c>
      <c r="K362" s="1585" t="str">
        <f>[1]K_Summary!K352</f>
        <v/>
      </c>
      <c r="L362" s="1585" t="str">
        <f>[1]K_Summary!L352</f>
        <v/>
      </c>
      <c r="M362" s="1585" t="str">
        <f>[1]K_Summary!M352</f>
        <v/>
      </c>
      <c r="N362" s="6"/>
    </row>
    <row r="363" spans="2:14" x14ac:dyDescent="0.25">
      <c r="B363" s="15"/>
      <c r="C363" s="15"/>
      <c r="D363" s="289"/>
      <c r="E363" s="2115" t="str">
        <f>[1]K_Summary!E353</f>
        <v/>
      </c>
      <c r="F363" s="2115"/>
      <c r="G363" s="2115"/>
      <c r="H363" s="955" t="str">
        <f t="shared" si="6"/>
        <v>TJ / år</v>
      </c>
      <c r="I363" s="1585" t="str">
        <f>[1]K_Summary!I353</f>
        <v/>
      </c>
      <c r="J363" s="1585" t="str">
        <f>[1]K_Summary!J353</f>
        <v/>
      </c>
      <c r="K363" s="1585" t="str">
        <f>[1]K_Summary!K353</f>
        <v/>
      </c>
      <c r="L363" s="1585" t="str">
        <f>[1]K_Summary!L353</f>
        <v/>
      </c>
      <c r="M363" s="1585" t="str">
        <f>[1]K_Summary!M353</f>
        <v/>
      </c>
      <c r="N363" s="6"/>
    </row>
    <row r="364" spans="2:14" x14ac:dyDescent="0.25">
      <c r="B364" s="15"/>
      <c r="C364" s="15"/>
      <c r="D364" s="289"/>
      <c r="E364" s="2115" t="str">
        <f>[1]K_Summary!E354</f>
        <v/>
      </c>
      <c r="F364" s="2115"/>
      <c r="G364" s="2115"/>
      <c r="H364" s="955" t="str">
        <f t="shared" si="6"/>
        <v>TJ / år</v>
      </c>
      <c r="I364" s="1585" t="str">
        <f>[1]K_Summary!I354</f>
        <v/>
      </c>
      <c r="J364" s="1585" t="str">
        <f>[1]K_Summary!J354</f>
        <v/>
      </c>
      <c r="K364" s="1585" t="str">
        <f>[1]K_Summary!K354</f>
        <v/>
      </c>
      <c r="L364" s="1585" t="str">
        <f>[1]K_Summary!L354</f>
        <v/>
      </c>
      <c r="M364" s="1585" t="str">
        <f>[1]K_Summary!M354</f>
        <v/>
      </c>
      <c r="N364" s="6"/>
    </row>
    <row r="365" spans="2:14" x14ac:dyDescent="0.25">
      <c r="B365" s="15"/>
      <c r="C365" s="15"/>
      <c r="D365" s="289"/>
      <c r="E365" s="2115" t="str">
        <f>[1]K_Summary!E355</f>
        <v/>
      </c>
      <c r="F365" s="2115"/>
      <c r="G365" s="2115"/>
      <c r="H365" s="955" t="str">
        <f t="shared" si="6"/>
        <v>TJ / år</v>
      </c>
      <c r="I365" s="1585" t="str">
        <f>[1]K_Summary!I355</f>
        <v/>
      </c>
      <c r="J365" s="1585" t="str">
        <f>[1]K_Summary!J355</f>
        <v/>
      </c>
      <c r="K365" s="1585" t="str">
        <f>[1]K_Summary!K355</f>
        <v/>
      </c>
      <c r="L365" s="1585" t="str">
        <f>[1]K_Summary!L355</f>
        <v/>
      </c>
      <c r="M365" s="1585" t="str">
        <f>[1]K_Summary!M355</f>
        <v/>
      </c>
      <c r="N365" s="6"/>
    </row>
    <row r="366" spans="2:14" x14ac:dyDescent="0.25">
      <c r="B366" s="15"/>
      <c r="C366" s="15"/>
      <c r="D366" s="289"/>
      <c r="E366" s="2115" t="str">
        <f>[1]K_Summary!E356</f>
        <v/>
      </c>
      <c r="F366" s="2115"/>
      <c r="G366" s="2115"/>
      <c r="H366" s="955" t="str">
        <f t="shared" si="6"/>
        <v>TJ / år</v>
      </c>
      <c r="I366" s="1585" t="str">
        <f>[1]K_Summary!I356</f>
        <v/>
      </c>
      <c r="J366" s="1585" t="str">
        <f>[1]K_Summary!J356</f>
        <v/>
      </c>
      <c r="K366" s="1585" t="str">
        <f>[1]K_Summary!K356</f>
        <v/>
      </c>
      <c r="L366" s="1585" t="str">
        <f>[1]K_Summary!L356</f>
        <v/>
      </c>
      <c r="M366" s="1585" t="str">
        <f>[1]K_Summary!M356</f>
        <v/>
      </c>
      <c r="N366" s="6"/>
    </row>
    <row r="367" spans="2:14" x14ac:dyDescent="0.25">
      <c r="B367" s="15"/>
      <c r="C367" s="15"/>
      <c r="D367" s="289"/>
      <c r="E367" s="2115" t="str">
        <f>[1]K_Summary!E357</f>
        <v/>
      </c>
      <c r="F367" s="2115"/>
      <c r="G367" s="2115"/>
      <c r="H367" s="955" t="str">
        <f t="shared" si="6"/>
        <v>TJ / år</v>
      </c>
      <c r="I367" s="1585" t="str">
        <f>[1]K_Summary!I357</f>
        <v/>
      </c>
      <c r="J367" s="1585" t="str">
        <f>[1]K_Summary!J357</f>
        <v/>
      </c>
      <c r="K367" s="1585" t="str">
        <f>[1]K_Summary!K357</f>
        <v/>
      </c>
      <c r="L367" s="1585" t="str">
        <f>[1]K_Summary!L357</f>
        <v/>
      </c>
      <c r="M367" s="1585" t="str">
        <f>[1]K_Summary!M357</f>
        <v/>
      </c>
      <c r="N367" s="6"/>
    </row>
    <row r="368" spans="2:14" x14ac:dyDescent="0.25">
      <c r="B368" s="15"/>
      <c r="C368" s="15"/>
      <c r="D368" s="289"/>
      <c r="E368" s="2116" t="str">
        <f>[1]K_Summary!E358</f>
        <v/>
      </c>
      <c r="F368" s="2116"/>
      <c r="G368" s="2116"/>
      <c r="H368" s="957" t="str">
        <f t="shared" si="6"/>
        <v>TJ / år</v>
      </c>
      <c r="I368" s="1586" t="str">
        <f>[1]K_Summary!I358</f>
        <v/>
      </c>
      <c r="J368" s="1586" t="str">
        <f>[1]K_Summary!J358</f>
        <v/>
      </c>
      <c r="K368" s="1586" t="str">
        <f>[1]K_Summary!K358</f>
        <v/>
      </c>
      <c r="L368" s="1586" t="str">
        <f>[1]K_Summary!L358</f>
        <v/>
      </c>
      <c r="M368" s="1586" t="str">
        <f>[1]K_Summary!M358</f>
        <v/>
      </c>
      <c r="N368" s="6"/>
    </row>
    <row r="369" spans="2:14" ht="12.75" customHeight="1" x14ac:dyDescent="0.25">
      <c r="B369" s="15"/>
      <c r="C369" s="15"/>
      <c r="D369" s="289"/>
      <c r="E369" s="2103" t="str">
        <f>Translations!$B$384</f>
        <v>Delsumma</v>
      </c>
      <c r="F369" s="2103"/>
      <c r="G369" s="2103"/>
      <c r="H369" s="129" t="str">
        <f t="shared" si="6"/>
        <v>TJ / år</v>
      </c>
      <c r="I369" s="381" t="str">
        <f>[1]K_Summary!I359</f>
        <v/>
      </c>
      <c r="J369" s="381" t="str">
        <f>[1]K_Summary!J359</f>
        <v/>
      </c>
      <c r="K369" s="381" t="str">
        <f>[1]K_Summary!K359</f>
        <v/>
      </c>
      <c r="L369" s="381" t="str">
        <f>[1]K_Summary!L359</f>
        <v/>
      </c>
      <c r="M369" s="381" t="str">
        <f>[1]K_Summary!M359</f>
        <v/>
      </c>
      <c r="N369" s="6"/>
    </row>
    <row r="370" spans="2:14" ht="5.15" customHeight="1" x14ac:dyDescent="0.25">
      <c r="B370" s="3"/>
      <c r="C370" s="3"/>
      <c r="D370" s="3"/>
      <c r="E370" s="3"/>
      <c r="F370" s="3"/>
      <c r="G370" s="3"/>
      <c r="H370" s="3"/>
      <c r="I370" s="3"/>
      <c r="J370" s="3"/>
      <c r="K370" s="3"/>
      <c r="L370" s="3"/>
      <c r="M370" s="3"/>
      <c r="N370" s="3"/>
    </row>
    <row r="371" spans="2:14" ht="12.75" customHeight="1" x14ac:dyDescent="0.25">
      <c r="B371" s="3"/>
      <c r="C371" s="13"/>
      <c r="D371" s="13" t="s">
        <v>955</v>
      </c>
      <c r="E371" s="2101" t="str">
        <f>Translations!$B$463</f>
        <v>Restgaser som produceras utanför systemgränserna för en delanläggning med produktriktmärke</v>
      </c>
      <c r="F371" s="2102"/>
      <c r="G371" s="2102"/>
      <c r="H371" s="2102"/>
      <c r="I371" s="2102"/>
      <c r="J371" s="2102"/>
      <c r="K371" s="2102"/>
      <c r="L371" s="2102"/>
      <c r="M371" s="2102"/>
      <c r="N371" s="2102"/>
    </row>
    <row r="372" spans="2:14" ht="12.75" customHeight="1" x14ac:dyDescent="0.25">
      <c r="B372" s="15"/>
      <c r="C372" s="15"/>
      <c r="D372" s="15"/>
      <c r="E372" s="2111" t="str">
        <f>Translations!$B$466</f>
        <v>från avsnitt D.IV.</v>
      </c>
      <c r="F372" s="2100"/>
      <c r="G372" s="2100"/>
      <c r="H372" s="30" t="str">
        <f>Translations!$B$1014</f>
        <v>Enhet</v>
      </c>
      <c r="I372" s="320">
        <v>2014</v>
      </c>
      <c r="J372" s="320">
        <v>2015</v>
      </c>
      <c r="K372" s="320">
        <v>2016</v>
      </c>
      <c r="L372" s="320">
        <v>2017</v>
      </c>
      <c r="M372" s="342">
        <v>2018</v>
      </c>
      <c r="N372" s="1596"/>
    </row>
    <row r="373" spans="2:14" x14ac:dyDescent="0.25">
      <c r="B373" s="15"/>
      <c r="C373" s="15"/>
      <c r="D373" s="289"/>
      <c r="E373" s="2117" t="str">
        <f>Translations!$B$467</f>
        <v>Restgas 1</v>
      </c>
      <c r="F373" s="2117"/>
      <c r="G373" s="2117"/>
      <c r="H373" s="954" t="str">
        <f>EUconst_TJpa</f>
        <v>TJ / år</v>
      </c>
      <c r="I373" s="1584" t="str">
        <f>[1]K_Summary!I363</f>
        <v/>
      </c>
      <c r="J373" s="1584" t="str">
        <f>[1]K_Summary!J363</f>
        <v/>
      </c>
      <c r="K373" s="1584" t="str">
        <f>[1]K_Summary!K363</f>
        <v/>
      </c>
      <c r="L373" s="1584" t="str">
        <f>[1]K_Summary!L363</f>
        <v/>
      </c>
      <c r="M373" s="1584" t="str">
        <f>[1]K_Summary!M363</f>
        <v/>
      </c>
      <c r="N373" s="6"/>
    </row>
    <row r="374" spans="2:14" x14ac:dyDescent="0.25">
      <c r="B374" s="15"/>
      <c r="C374" s="15"/>
      <c r="D374" s="289"/>
      <c r="E374" s="2118" t="str">
        <f>Translations!$B$468</f>
        <v>Restgas 2</v>
      </c>
      <c r="F374" s="2118"/>
      <c r="G374" s="2118"/>
      <c r="H374" s="955" t="str">
        <f>EUconst_TJpa</f>
        <v>TJ / år</v>
      </c>
      <c r="I374" s="1586" t="str">
        <f>[1]K_Summary!I364</f>
        <v/>
      </c>
      <c r="J374" s="1586" t="str">
        <f>[1]K_Summary!J364</f>
        <v/>
      </c>
      <c r="K374" s="1586" t="str">
        <f>[1]K_Summary!K364</f>
        <v/>
      </c>
      <c r="L374" s="1586" t="str">
        <f>[1]K_Summary!L364</f>
        <v/>
      </c>
      <c r="M374" s="1586" t="str">
        <f>[1]K_Summary!M364</f>
        <v/>
      </c>
      <c r="N374" s="6"/>
    </row>
    <row r="375" spans="2:14" ht="12.75" customHeight="1" x14ac:dyDescent="0.25">
      <c r="B375" s="15"/>
      <c r="C375" s="15"/>
      <c r="D375" s="289"/>
      <c r="E375" s="2103" t="str">
        <f>Translations!$B$384</f>
        <v>Delsumma</v>
      </c>
      <c r="F375" s="2103"/>
      <c r="G375" s="2103"/>
      <c r="H375" s="129" t="str">
        <f>EUconst_TJpa</f>
        <v>TJ / år</v>
      </c>
      <c r="I375" s="381" t="str">
        <f>[1]K_Summary!I365</f>
        <v/>
      </c>
      <c r="J375" s="381" t="str">
        <f>[1]K_Summary!J365</f>
        <v/>
      </c>
      <c r="K375" s="381" t="str">
        <f>[1]K_Summary!K365</f>
        <v/>
      </c>
      <c r="L375" s="381" t="str">
        <f>[1]K_Summary!L365</f>
        <v/>
      </c>
      <c r="M375" s="381" t="str">
        <f>[1]K_Summary!M365</f>
        <v/>
      </c>
      <c r="N375" s="6"/>
    </row>
    <row r="376" spans="2:14" ht="5.15" customHeight="1" x14ac:dyDescent="0.25">
      <c r="B376" s="3"/>
      <c r="C376" s="3"/>
      <c r="D376" s="3"/>
      <c r="E376" s="3"/>
      <c r="F376" s="3"/>
      <c r="G376" s="3"/>
      <c r="H376" s="3"/>
      <c r="I376" s="3"/>
      <c r="J376" s="3"/>
      <c r="K376" s="3"/>
      <c r="L376" s="3"/>
      <c r="M376" s="3"/>
      <c r="N376" s="3"/>
    </row>
    <row r="377" spans="2:14" ht="12.75" customHeight="1" x14ac:dyDescent="0.25">
      <c r="B377" s="3"/>
      <c r="C377" s="13"/>
      <c r="D377" s="13" t="s">
        <v>55</v>
      </c>
      <c r="E377" s="2101" t="str">
        <f>Translations!$B$469</f>
        <v>Summa av restgaser (= a+b)</v>
      </c>
      <c r="F377" s="2102"/>
      <c r="G377" s="2102"/>
      <c r="H377" s="2102"/>
      <c r="I377" s="2102"/>
      <c r="J377" s="2102"/>
      <c r="K377" s="2102"/>
      <c r="L377" s="2102"/>
      <c r="M377" s="2102"/>
      <c r="N377" s="2102"/>
    </row>
    <row r="378" spans="2:14" ht="12.75" customHeight="1" x14ac:dyDescent="0.25">
      <c r="B378" s="15"/>
      <c r="C378" s="15"/>
      <c r="D378" s="15"/>
      <c r="E378" s="2103" t="str">
        <f>Translations!$B$470</f>
        <v>Producerade restgaser</v>
      </c>
      <c r="F378" s="2103"/>
      <c r="G378" s="2103"/>
      <c r="H378" s="450" t="str">
        <f>EUconst_TJpa</f>
        <v>TJ / år</v>
      </c>
      <c r="I378" s="381" t="str">
        <f>[1]K_Summary!I368</f>
        <v/>
      </c>
      <c r="J378" s="381" t="str">
        <f>[1]K_Summary!J368</f>
        <v/>
      </c>
      <c r="K378" s="381" t="str">
        <f>[1]K_Summary!K368</f>
        <v/>
      </c>
      <c r="L378" s="381" t="str">
        <f>[1]K_Summary!L368</f>
        <v/>
      </c>
      <c r="M378" s="381" t="str">
        <f>[1]K_Summary!M368</f>
        <v/>
      </c>
      <c r="N378" s="6"/>
    </row>
    <row r="379" spans="2:14" ht="5.15" customHeight="1" x14ac:dyDescent="0.25">
      <c r="B379" s="15"/>
      <c r="C379" s="15"/>
      <c r="D379" s="15"/>
      <c r="E379" s="15"/>
      <c r="F379" s="15"/>
      <c r="G379" s="15"/>
      <c r="H379" s="15"/>
      <c r="I379" s="15"/>
      <c r="J379" s="15"/>
      <c r="K379" s="15"/>
      <c r="L379" s="15"/>
      <c r="M379" s="15"/>
      <c r="N379" s="15"/>
    </row>
    <row r="380" spans="2:14" ht="12.75" customHeight="1" x14ac:dyDescent="0.25">
      <c r="B380" s="3"/>
      <c r="C380" s="13"/>
      <c r="D380" s="13" t="s">
        <v>960</v>
      </c>
      <c r="E380" s="2101" t="str">
        <f>Translations!$B$471</f>
        <v>Restgaser som importeras från andra anläggningar eller enheter</v>
      </c>
      <c r="F380" s="2102"/>
      <c r="G380" s="2102"/>
      <c r="H380" s="2102"/>
      <c r="I380" s="2102"/>
      <c r="J380" s="2102"/>
      <c r="K380" s="2102"/>
      <c r="L380" s="2102"/>
      <c r="M380" s="2102"/>
      <c r="N380" s="2102"/>
    </row>
    <row r="381" spans="2:14" ht="12.75" customHeight="1" x14ac:dyDescent="0.25">
      <c r="B381" s="15"/>
      <c r="C381" s="15"/>
      <c r="D381" s="15"/>
      <c r="E381" s="2111" t="str">
        <f>Translations!$B$202</f>
        <v>Anläggningens eller enhetens namn</v>
      </c>
      <c r="F381" s="2111"/>
      <c r="G381" s="2111"/>
      <c r="H381" s="30" t="str">
        <f>Translations!$B$1014</f>
        <v>Enhet</v>
      </c>
      <c r="I381" s="320">
        <v>2014</v>
      </c>
      <c r="J381" s="320">
        <v>2015</v>
      </c>
      <c r="K381" s="320">
        <v>2016</v>
      </c>
      <c r="L381" s="320">
        <v>2017</v>
      </c>
      <c r="M381" s="342">
        <v>2018</v>
      </c>
      <c r="N381" s="1596"/>
    </row>
    <row r="382" spans="2:14" x14ac:dyDescent="0.25">
      <c r="B382" s="15"/>
      <c r="C382" s="289"/>
      <c r="D382" s="289"/>
      <c r="E382" s="2029" t="str">
        <f>[1]K_Summary!E372</f>
        <v/>
      </c>
      <c r="F382" s="2029"/>
      <c r="G382" s="2029"/>
      <c r="H382" s="456" t="str">
        <f>EUconst_TJpa</f>
        <v>TJ / år</v>
      </c>
      <c r="I382" s="1584" t="str">
        <f>[1]K_Summary!I372</f>
        <v/>
      </c>
      <c r="J382" s="1584" t="str">
        <f>[1]K_Summary!J372</f>
        <v/>
      </c>
      <c r="K382" s="1584" t="str">
        <f>[1]K_Summary!K372</f>
        <v/>
      </c>
      <c r="L382" s="1584" t="str">
        <f>[1]K_Summary!L372</f>
        <v/>
      </c>
      <c r="M382" s="1584" t="str">
        <f>[1]K_Summary!M372</f>
        <v/>
      </c>
      <c r="N382" s="6"/>
    </row>
    <row r="383" spans="2:14" x14ac:dyDescent="0.25">
      <c r="B383" s="15"/>
      <c r="C383" s="289"/>
      <c r="D383" s="289"/>
      <c r="E383" s="2015" t="str">
        <f>[1]K_Summary!E373</f>
        <v/>
      </c>
      <c r="F383" s="2015"/>
      <c r="G383" s="2015"/>
      <c r="H383" s="459" t="str">
        <f>EUconst_TJpa</f>
        <v>TJ / år</v>
      </c>
      <c r="I383" s="1585" t="str">
        <f>[1]K_Summary!I373</f>
        <v/>
      </c>
      <c r="J383" s="1585" t="str">
        <f>[1]K_Summary!J373</f>
        <v/>
      </c>
      <c r="K383" s="1585" t="str">
        <f>[1]K_Summary!K373</f>
        <v/>
      </c>
      <c r="L383" s="1585" t="str">
        <f>[1]K_Summary!L373</f>
        <v/>
      </c>
      <c r="M383" s="1585" t="str">
        <f>[1]K_Summary!M373</f>
        <v/>
      </c>
      <c r="N383" s="6"/>
    </row>
    <row r="384" spans="2:14" x14ac:dyDescent="0.25">
      <c r="B384" s="15"/>
      <c r="C384" s="289"/>
      <c r="D384" s="289"/>
      <c r="E384" s="2022" t="str">
        <f>[1]K_Summary!E374</f>
        <v/>
      </c>
      <c r="F384" s="2022"/>
      <c r="G384" s="2022"/>
      <c r="H384" s="461" t="str">
        <f>EUconst_TJpa</f>
        <v>TJ / år</v>
      </c>
      <c r="I384" s="1586" t="str">
        <f>[1]K_Summary!I374</f>
        <v/>
      </c>
      <c r="J384" s="1586" t="str">
        <f>[1]K_Summary!J374</f>
        <v/>
      </c>
      <c r="K384" s="1586" t="str">
        <f>[1]K_Summary!K374</f>
        <v/>
      </c>
      <c r="L384" s="1586" t="str">
        <f>[1]K_Summary!L374</f>
        <v/>
      </c>
      <c r="M384" s="1586" t="str">
        <f>[1]K_Summary!M374</f>
        <v/>
      </c>
      <c r="N384" s="6"/>
    </row>
    <row r="385" spans="2:14" x14ac:dyDescent="0.25">
      <c r="B385" s="15"/>
      <c r="C385" s="289"/>
      <c r="D385" s="289"/>
      <c r="E385" s="2103" t="str">
        <f>Translations!$B$384</f>
        <v>Delsumma</v>
      </c>
      <c r="F385" s="2103"/>
      <c r="G385" s="2103"/>
      <c r="H385" s="450" t="str">
        <f>EUconst_TJpa</f>
        <v>TJ / år</v>
      </c>
      <c r="I385" s="381" t="str">
        <f>[1]K_Summary!I375</f>
        <v/>
      </c>
      <c r="J385" s="381" t="str">
        <f>[1]K_Summary!J375</f>
        <v/>
      </c>
      <c r="K385" s="381" t="str">
        <f>[1]K_Summary!K375</f>
        <v/>
      </c>
      <c r="L385" s="381" t="str">
        <f>[1]K_Summary!L375</f>
        <v/>
      </c>
      <c r="M385" s="381" t="str">
        <f>[1]K_Summary!M375</f>
        <v/>
      </c>
      <c r="N385" s="6"/>
    </row>
    <row r="386" spans="2:14" ht="5.15" customHeight="1" x14ac:dyDescent="0.25">
      <c r="B386" s="3"/>
      <c r="C386" s="3"/>
      <c r="D386" s="3"/>
      <c r="E386" s="3"/>
      <c r="F386" s="3"/>
      <c r="G386" s="3"/>
      <c r="H386" s="3"/>
      <c r="I386" s="3"/>
      <c r="J386" s="3"/>
      <c r="K386" s="3"/>
      <c r="L386" s="3"/>
      <c r="M386" s="3"/>
      <c r="N386" s="3"/>
    </row>
    <row r="387" spans="2:14" ht="12.75" customHeight="1" x14ac:dyDescent="0.25">
      <c r="B387" s="3"/>
      <c r="C387" s="13"/>
      <c r="D387" s="13" t="s">
        <v>65</v>
      </c>
      <c r="E387" s="2101" t="str">
        <f>Translations!$B$473</f>
        <v>Restgaser som exporteras från andra anläggningar eller enheter</v>
      </c>
      <c r="F387" s="2102"/>
      <c r="G387" s="2102"/>
      <c r="H387" s="2102"/>
      <c r="I387" s="2102"/>
      <c r="J387" s="2102"/>
      <c r="K387" s="2102"/>
      <c r="L387" s="2102"/>
      <c r="M387" s="2102"/>
      <c r="N387" s="2102"/>
    </row>
    <row r="388" spans="2:14" ht="12.75" customHeight="1" x14ac:dyDescent="0.25">
      <c r="B388" s="15"/>
      <c r="C388" s="15"/>
      <c r="D388" s="15"/>
      <c r="E388" s="2111" t="str">
        <f>Translations!$B$202</f>
        <v>Anläggningens eller enhetens namn</v>
      </c>
      <c r="F388" s="2100"/>
      <c r="G388" s="2100"/>
      <c r="H388" s="30" t="str">
        <f>Translations!$B$1014</f>
        <v>Enhet</v>
      </c>
      <c r="I388" s="320">
        <v>2014</v>
      </c>
      <c r="J388" s="320">
        <v>2015</v>
      </c>
      <c r="K388" s="320">
        <v>2016</v>
      </c>
      <c r="L388" s="320">
        <v>2017</v>
      </c>
      <c r="M388" s="342">
        <v>2018</v>
      </c>
      <c r="N388" s="1596"/>
    </row>
    <row r="389" spans="2:14" x14ac:dyDescent="0.25">
      <c r="B389" s="15"/>
      <c r="C389" s="289"/>
      <c r="D389" s="289"/>
      <c r="E389" s="2029" t="str">
        <f>[1]K_Summary!E379</f>
        <v/>
      </c>
      <c r="F389" s="2029"/>
      <c r="G389" s="2029"/>
      <c r="H389" s="456" t="str">
        <f>EUconst_TJpa</f>
        <v>TJ / år</v>
      </c>
      <c r="I389" s="1584" t="str">
        <f>[1]K_Summary!I379</f>
        <v/>
      </c>
      <c r="J389" s="1584" t="str">
        <f>[1]K_Summary!J379</f>
        <v/>
      </c>
      <c r="K389" s="1584" t="str">
        <f>[1]K_Summary!K379</f>
        <v/>
      </c>
      <c r="L389" s="1584" t="str">
        <f>[1]K_Summary!L379</f>
        <v/>
      </c>
      <c r="M389" s="1587" t="str">
        <f>[1]K_Summary!M379</f>
        <v/>
      </c>
      <c r="N389" s="6"/>
    </row>
    <row r="390" spans="2:14" x14ac:dyDescent="0.25">
      <c r="B390" s="15"/>
      <c r="C390" s="289"/>
      <c r="D390" s="289"/>
      <c r="E390" s="2015" t="str">
        <f>[1]K_Summary!E380</f>
        <v/>
      </c>
      <c r="F390" s="2015"/>
      <c r="G390" s="2015"/>
      <c r="H390" s="459" t="str">
        <f>EUconst_TJpa</f>
        <v>TJ / år</v>
      </c>
      <c r="I390" s="1585" t="str">
        <f>[1]K_Summary!I380</f>
        <v/>
      </c>
      <c r="J390" s="1585" t="str">
        <f>[1]K_Summary!J380</f>
        <v/>
      </c>
      <c r="K390" s="1585" t="str">
        <f>[1]K_Summary!K380</f>
        <v/>
      </c>
      <c r="L390" s="1585" t="str">
        <f>[1]K_Summary!L380</f>
        <v/>
      </c>
      <c r="M390" s="1588" t="str">
        <f>[1]K_Summary!M380</f>
        <v/>
      </c>
      <c r="N390" s="6"/>
    </row>
    <row r="391" spans="2:14" x14ac:dyDescent="0.25">
      <c r="B391" s="15"/>
      <c r="C391" s="289"/>
      <c r="D391" s="289"/>
      <c r="E391" s="2022" t="str">
        <f>[1]K_Summary!E381</f>
        <v/>
      </c>
      <c r="F391" s="2022"/>
      <c r="G391" s="2022"/>
      <c r="H391" s="461" t="str">
        <f>EUconst_TJpa</f>
        <v>TJ / år</v>
      </c>
      <c r="I391" s="1586" t="str">
        <f>[1]K_Summary!I381</f>
        <v/>
      </c>
      <c r="J391" s="1586" t="str">
        <f>[1]K_Summary!J381</f>
        <v/>
      </c>
      <c r="K391" s="1586" t="str">
        <f>[1]K_Summary!K381</f>
        <v/>
      </c>
      <c r="L391" s="1586" t="str">
        <f>[1]K_Summary!L381</f>
        <v/>
      </c>
      <c r="M391" s="1589" t="str">
        <f>[1]K_Summary!M381</f>
        <v/>
      </c>
      <c r="N391" s="6"/>
    </row>
    <row r="392" spans="2:14" x14ac:dyDescent="0.25">
      <c r="B392" s="15"/>
      <c r="C392" s="289"/>
      <c r="D392" s="289"/>
      <c r="E392" s="2103" t="str">
        <f>Translations!$B$384</f>
        <v>Delsumma</v>
      </c>
      <c r="F392" s="2103"/>
      <c r="G392" s="2103"/>
      <c r="H392" s="450" t="str">
        <f>EUconst_TJpa</f>
        <v>TJ / år</v>
      </c>
      <c r="I392" s="381" t="str">
        <f>[1]K_Summary!I382</f>
        <v/>
      </c>
      <c r="J392" s="381" t="str">
        <f>[1]K_Summary!J382</f>
        <v/>
      </c>
      <c r="K392" s="381" t="str">
        <f>[1]K_Summary!K382</f>
        <v/>
      </c>
      <c r="L392" s="381" t="str">
        <f>[1]K_Summary!L382</f>
        <v/>
      </c>
      <c r="M392" s="1590" t="str">
        <f>[1]K_Summary!M382</f>
        <v/>
      </c>
      <c r="N392" s="6"/>
    </row>
    <row r="393" spans="2:14" ht="5.15" customHeight="1" x14ac:dyDescent="0.25">
      <c r="B393" s="3"/>
      <c r="C393" s="3"/>
      <c r="D393" s="3"/>
      <c r="E393" s="3"/>
      <c r="F393" s="3"/>
      <c r="G393" s="3"/>
      <c r="H393" s="3"/>
      <c r="I393" s="3"/>
      <c r="J393" s="3"/>
      <c r="K393" s="3"/>
      <c r="L393" s="3"/>
      <c r="M393" s="3"/>
      <c r="N393" s="3"/>
    </row>
    <row r="394" spans="2:14" ht="12.75" customHeight="1" x14ac:dyDescent="0.25">
      <c r="B394" s="3"/>
      <c r="C394" s="13"/>
      <c r="D394" s="13" t="s">
        <v>66</v>
      </c>
      <c r="E394" s="2101" t="str">
        <f>Translations!$B$474</f>
        <v>Summa av restgaser som finns vid anläggningen (= c+d+e)</v>
      </c>
      <c r="F394" s="2102"/>
      <c r="G394" s="2102"/>
      <c r="H394" s="2102"/>
      <c r="I394" s="2102"/>
      <c r="J394" s="2102"/>
      <c r="K394" s="2102"/>
      <c r="L394" s="2102"/>
      <c r="M394" s="2102"/>
      <c r="N394" s="2102"/>
    </row>
    <row r="395" spans="2:14" ht="12.75" customHeight="1" x14ac:dyDescent="0.25">
      <c r="B395" s="15"/>
      <c r="C395" s="15"/>
      <c r="D395" s="15"/>
      <c r="E395" s="2103" t="str">
        <f>Translations!$B$475</f>
        <v>Tillgängliga restgaser</v>
      </c>
      <c r="F395" s="2103"/>
      <c r="G395" s="2103"/>
      <c r="H395" s="450" t="str">
        <f>EUconst_TJpa</f>
        <v>TJ / år</v>
      </c>
      <c r="I395" s="381" t="str">
        <f>[1]K_Summary!I385</f>
        <v/>
      </c>
      <c r="J395" s="381" t="str">
        <f>[1]K_Summary!J385</f>
        <v/>
      </c>
      <c r="K395" s="381" t="str">
        <f>[1]K_Summary!K385</f>
        <v/>
      </c>
      <c r="L395" s="381" t="str">
        <f>[1]K_Summary!L385</f>
        <v/>
      </c>
      <c r="M395" s="381" t="str">
        <f>[1]K_Summary!M385</f>
        <v/>
      </c>
      <c r="N395" s="6"/>
    </row>
    <row r="396" spans="2:14" ht="5.15" customHeight="1" x14ac:dyDescent="0.25">
      <c r="B396" s="15"/>
      <c r="C396" s="15"/>
      <c r="D396" s="15"/>
      <c r="E396" s="15"/>
      <c r="F396" s="15"/>
      <c r="G396" s="15"/>
      <c r="H396" s="15"/>
      <c r="I396" s="15"/>
      <c r="J396" s="15"/>
      <c r="K396" s="15"/>
      <c r="L396" s="15"/>
      <c r="M396" s="15"/>
      <c r="N396" s="15"/>
    </row>
    <row r="397" spans="2:14" ht="12.75" customHeight="1" x14ac:dyDescent="0.25">
      <c r="B397" s="3"/>
      <c r="C397" s="13"/>
      <c r="D397" s="13" t="s">
        <v>299</v>
      </c>
      <c r="E397" s="2101" t="str">
        <f>Translations!$B$476</f>
        <v>Restgaser som förbrukas vid delanläggningar med produktriktmärke</v>
      </c>
      <c r="F397" s="2102"/>
      <c r="G397" s="2102"/>
      <c r="H397" s="2102"/>
      <c r="I397" s="2102"/>
      <c r="J397" s="2102"/>
      <c r="K397" s="2102"/>
      <c r="L397" s="2102"/>
      <c r="M397" s="2102"/>
      <c r="N397" s="2102"/>
    </row>
    <row r="398" spans="2:14" ht="12.75" customHeight="1" x14ac:dyDescent="0.25">
      <c r="B398" s="15"/>
      <c r="C398" s="15"/>
      <c r="D398" s="15"/>
      <c r="E398" s="2111" t="str">
        <f>Translations!$B$478</f>
        <v>Typ av delanläggning med produktriktmärke</v>
      </c>
      <c r="F398" s="2100"/>
      <c r="G398" s="2100"/>
      <c r="H398" s="30" t="str">
        <f>Translations!$B$1014</f>
        <v>Enhet</v>
      </c>
      <c r="I398" s="320">
        <v>2014</v>
      </c>
      <c r="J398" s="320">
        <v>2015</v>
      </c>
      <c r="K398" s="320">
        <v>2016</v>
      </c>
      <c r="L398" s="320">
        <v>2017</v>
      </c>
      <c r="M398" s="320">
        <v>2018</v>
      </c>
      <c r="N398" s="6"/>
    </row>
    <row r="399" spans="2:14" ht="12.75" customHeight="1" x14ac:dyDescent="0.25">
      <c r="B399" s="15"/>
      <c r="C399" s="15"/>
      <c r="D399" s="289"/>
      <c r="E399" s="2113" t="str">
        <f>[1]K_Summary!E389</f>
        <v/>
      </c>
      <c r="F399" s="2113"/>
      <c r="G399" s="2113"/>
      <c r="H399" s="562" t="str">
        <f t="shared" ref="H399:H409" si="7">EUconst_TJpa</f>
        <v>TJ / år</v>
      </c>
      <c r="I399" s="1584" t="str">
        <f>[1]K_Summary!I389</f>
        <v/>
      </c>
      <c r="J399" s="1584" t="str">
        <f>[1]K_Summary!J389</f>
        <v/>
      </c>
      <c r="K399" s="1584" t="str">
        <f>[1]K_Summary!K389</f>
        <v/>
      </c>
      <c r="L399" s="1584" t="str">
        <f>[1]K_Summary!L389</f>
        <v/>
      </c>
      <c r="M399" s="1584" t="str">
        <f>[1]K_Summary!M389</f>
        <v/>
      </c>
      <c r="N399" s="6"/>
    </row>
    <row r="400" spans="2:14" x14ac:dyDescent="0.25">
      <c r="B400" s="15"/>
      <c r="C400" s="15"/>
      <c r="D400" s="289"/>
      <c r="E400" s="2113" t="str">
        <f>[1]K_Summary!E390</f>
        <v/>
      </c>
      <c r="F400" s="2113"/>
      <c r="G400" s="2113"/>
      <c r="H400" s="1569" t="str">
        <f t="shared" si="7"/>
        <v>TJ / år</v>
      </c>
      <c r="I400" s="1585" t="str">
        <f>[1]K_Summary!I390</f>
        <v/>
      </c>
      <c r="J400" s="1585" t="str">
        <f>[1]K_Summary!J390</f>
        <v/>
      </c>
      <c r="K400" s="1585" t="str">
        <f>[1]K_Summary!K390</f>
        <v/>
      </c>
      <c r="L400" s="1585" t="str">
        <f>[1]K_Summary!L390</f>
        <v/>
      </c>
      <c r="M400" s="1585" t="str">
        <f>[1]K_Summary!M390</f>
        <v/>
      </c>
      <c r="N400" s="6"/>
    </row>
    <row r="401" spans="2:14" ht="12.75" customHeight="1" x14ac:dyDescent="0.25">
      <c r="B401" s="15"/>
      <c r="C401" s="15"/>
      <c r="D401" s="289"/>
      <c r="E401" s="2113" t="str">
        <f>[1]K_Summary!E391</f>
        <v/>
      </c>
      <c r="F401" s="2113"/>
      <c r="G401" s="2113"/>
      <c r="H401" s="1569" t="str">
        <f t="shared" si="7"/>
        <v>TJ / år</v>
      </c>
      <c r="I401" s="1585" t="str">
        <f>[1]K_Summary!I391</f>
        <v/>
      </c>
      <c r="J401" s="1585" t="str">
        <f>[1]K_Summary!J391</f>
        <v/>
      </c>
      <c r="K401" s="1585" t="str">
        <f>[1]K_Summary!K391</f>
        <v/>
      </c>
      <c r="L401" s="1585" t="str">
        <f>[1]K_Summary!L391</f>
        <v/>
      </c>
      <c r="M401" s="1585" t="str">
        <f>[1]K_Summary!M391</f>
        <v/>
      </c>
      <c r="N401" s="6"/>
    </row>
    <row r="402" spans="2:14" x14ac:dyDescent="0.25">
      <c r="B402" s="15"/>
      <c r="C402" s="15"/>
      <c r="D402" s="289"/>
      <c r="E402" s="2113" t="str">
        <f>[1]K_Summary!E392</f>
        <v/>
      </c>
      <c r="F402" s="2113"/>
      <c r="G402" s="2113"/>
      <c r="H402" s="1569" t="str">
        <f t="shared" si="7"/>
        <v>TJ / år</v>
      </c>
      <c r="I402" s="1585" t="str">
        <f>[1]K_Summary!I392</f>
        <v/>
      </c>
      <c r="J402" s="1585" t="str">
        <f>[1]K_Summary!J392</f>
        <v/>
      </c>
      <c r="K402" s="1585" t="str">
        <f>[1]K_Summary!K392</f>
        <v/>
      </c>
      <c r="L402" s="1585" t="str">
        <f>[1]K_Summary!L392</f>
        <v/>
      </c>
      <c r="M402" s="1585" t="str">
        <f>[1]K_Summary!M392</f>
        <v/>
      </c>
      <c r="N402" s="6"/>
    </row>
    <row r="403" spans="2:14" x14ac:dyDescent="0.25">
      <c r="B403" s="15"/>
      <c r="C403" s="15"/>
      <c r="D403" s="289"/>
      <c r="E403" s="2113" t="str">
        <f>[1]K_Summary!E393</f>
        <v/>
      </c>
      <c r="F403" s="2113"/>
      <c r="G403" s="2113"/>
      <c r="H403" s="1569" t="str">
        <f t="shared" si="7"/>
        <v>TJ / år</v>
      </c>
      <c r="I403" s="1585" t="str">
        <f>[1]K_Summary!I393</f>
        <v/>
      </c>
      <c r="J403" s="1585" t="str">
        <f>[1]K_Summary!J393</f>
        <v/>
      </c>
      <c r="K403" s="1585" t="str">
        <f>[1]K_Summary!K393</f>
        <v/>
      </c>
      <c r="L403" s="1585" t="str">
        <f>[1]K_Summary!L393</f>
        <v/>
      </c>
      <c r="M403" s="1585" t="str">
        <f>[1]K_Summary!M393</f>
        <v/>
      </c>
      <c r="N403" s="6"/>
    </row>
    <row r="404" spans="2:14" x14ac:dyDescent="0.25">
      <c r="B404" s="15"/>
      <c r="C404" s="15"/>
      <c r="D404" s="289"/>
      <c r="E404" s="2113" t="str">
        <f>[1]K_Summary!E394</f>
        <v/>
      </c>
      <c r="F404" s="2113"/>
      <c r="G404" s="2113"/>
      <c r="H404" s="1569" t="str">
        <f t="shared" si="7"/>
        <v>TJ / år</v>
      </c>
      <c r="I404" s="1585" t="str">
        <f>[1]K_Summary!I394</f>
        <v/>
      </c>
      <c r="J404" s="1585" t="str">
        <f>[1]K_Summary!J394</f>
        <v/>
      </c>
      <c r="K404" s="1585" t="str">
        <f>[1]K_Summary!K394</f>
        <v/>
      </c>
      <c r="L404" s="1585" t="str">
        <f>[1]K_Summary!L394</f>
        <v/>
      </c>
      <c r="M404" s="1585" t="str">
        <f>[1]K_Summary!M394</f>
        <v/>
      </c>
      <c r="N404" s="6"/>
    </row>
    <row r="405" spans="2:14" x14ac:dyDescent="0.25">
      <c r="B405" s="15"/>
      <c r="C405" s="15"/>
      <c r="D405" s="289"/>
      <c r="E405" s="2113" t="str">
        <f>[1]K_Summary!E395</f>
        <v/>
      </c>
      <c r="F405" s="2113"/>
      <c r="G405" s="2113"/>
      <c r="H405" s="1569" t="str">
        <f t="shared" si="7"/>
        <v>TJ / år</v>
      </c>
      <c r="I405" s="1585" t="str">
        <f>[1]K_Summary!I395</f>
        <v/>
      </c>
      <c r="J405" s="1585" t="str">
        <f>[1]K_Summary!J395</f>
        <v/>
      </c>
      <c r="K405" s="1585" t="str">
        <f>[1]K_Summary!K395</f>
        <v/>
      </c>
      <c r="L405" s="1585" t="str">
        <f>[1]K_Summary!L395</f>
        <v/>
      </c>
      <c r="M405" s="1585" t="str">
        <f>[1]K_Summary!M395</f>
        <v/>
      </c>
      <c r="N405" s="6"/>
    </row>
    <row r="406" spans="2:14" x14ac:dyDescent="0.25">
      <c r="B406" s="15"/>
      <c r="C406" s="15"/>
      <c r="D406" s="289"/>
      <c r="E406" s="2113" t="str">
        <f>[1]K_Summary!E396</f>
        <v/>
      </c>
      <c r="F406" s="2113"/>
      <c r="G406" s="2113"/>
      <c r="H406" s="1569" t="str">
        <f t="shared" si="7"/>
        <v>TJ / år</v>
      </c>
      <c r="I406" s="1585" t="str">
        <f>[1]K_Summary!I396</f>
        <v/>
      </c>
      <c r="J406" s="1585" t="str">
        <f>[1]K_Summary!J396</f>
        <v/>
      </c>
      <c r="K406" s="1585" t="str">
        <f>[1]K_Summary!K396</f>
        <v/>
      </c>
      <c r="L406" s="1585" t="str">
        <f>[1]K_Summary!L396</f>
        <v/>
      </c>
      <c r="M406" s="1585" t="str">
        <f>[1]K_Summary!M396</f>
        <v/>
      </c>
      <c r="N406" s="6"/>
    </row>
    <row r="407" spans="2:14" x14ac:dyDescent="0.25">
      <c r="B407" s="15"/>
      <c r="C407" s="15"/>
      <c r="D407" s="289"/>
      <c r="E407" s="2113" t="str">
        <f>[1]K_Summary!E397</f>
        <v/>
      </c>
      <c r="F407" s="2113"/>
      <c r="G407" s="2113"/>
      <c r="H407" s="1569" t="str">
        <f t="shared" si="7"/>
        <v>TJ / år</v>
      </c>
      <c r="I407" s="1585" t="str">
        <f>[1]K_Summary!I397</f>
        <v/>
      </c>
      <c r="J407" s="1585" t="str">
        <f>[1]K_Summary!J397</f>
        <v/>
      </c>
      <c r="K407" s="1585" t="str">
        <f>[1]K_Summary!K397</f>
        <v/>
      </c>
      <c r="L407" s="1585" t="str">
        <f>[1]K_Summary!L397</f>
        <v/>
      </c>
      <c r="M407" s="1585" t="str">
        <f>[1]K_Summary!M397</f>
        <v/>
      </c>
      <c r="N407" s="6"/>
    </row>
    <row r="408" spans="2:14" x14ac:dyDescent="0.25">
      <c r="B408" s="15"/>
      <c r="C408" s="15"/>
      <c r="D408" s="289"/>
      <c r="E408" s="2098" t="str">
        <f>[1]K_Summary!E398</f>
        <v/>
      </c>
      <c r="F408" s="2098"/>
      <c r="G408" s="2098"/>
      <c r="H408" s="1573" t="str">
        <f t="shared" si="7"/>
        <v>TJ / år</v>
      </c>
      <c r="I408" s="1586" t="str">
        <f>[1]K_Summary!I398</f>
        <v/>
      </c>
      <c r="J408" s="1586" t="str">
        <f>[1]K_Summary!J398</f>
        <v/>
      </c>
      <c r="K408" s="1586" t="str">
        <f>[1]K_Summary!K398</f>
        <v/>
      </c>
      <c r="L408" s="1586" t="str">
        <f>[1]K_Summary!L398</f>
        <v/>
      </c>
      <c r="M408" s="1586" t="str">
        <f>[1]K_Summary!M398</f>
        <v/>
      </c>
      <c r="N408" s="6"/>
    </row>
    <row r="409" spans="2:14" ht="12.75" customHeight="1" x14ac:dyDescent="0.25">
      <c r="B409" s="15"/>
      <c r="C409" s="289"/>
      <c r="D409" s="289"/>
      <c r="E409" s="2099" t="str">
        <f>Translations!$B$384</f>
        <v>Delsumma</v>
      </c>
      <c r="F409" s="2099"/>
      <c r="G409" s="2099"/>
      <c r="H409" s="461" t="str">
        <f t="shared" si="7"/>
        <v>TJ / år</v>
      </c>
      <c r="I409" s="381" t="str">
        <f>[1]K_Summary!I399</f>
        <v/>
      </c>
      <c r="J409" s="381" t="str">
        <f>[1]K_Summary!J399</f>
        <v/>
      </c>
      <c r="K409" s="381" t="str">
        <f>[1]K_Summary!K399</f>
        <v/>
      </c>
      <c r="L409" s="381" t="str">
        <f>[1]K_Summary!L399</f>
        <v/>
      </c>
      <c r="M409" s="381" t="str">
        <f>[1]K_Summary!M399</f>
        <v/>
      </c>
      <c r="N409" s="6"/>
    </row>
    <row r="410" spans="2:14" ht="5.15" customHeight="1" x14ac:dyDescent="0.25">
      <c r="B410" s="3"/>
      <c r="C410" s="3"/>
      <c r="D410" s="3"/>
      <c r="E410" s="3"/>
      <c r="F410" s="3"/>
      <c r="G410" s="3"/>
      <c r="H410" s="3"/>
      <c r="I410" s="3"/>
      <c r="J410" s="3"/>
      <c r="K410" s="3"/>
      <c r="L410" s="3"/>
      <c r="M410" s="3"/>
      <c r="N410" s="3"/>
    </row>
    <row r="411" spans="2:14" ht="12.75" customHeight="1" x14ac:dyDescent="0.25">
      <c r="B411" s="3"/>
      <c r="C411" s="13"/>
      <c r="D411" s="13" t="s">
        <v>303</v>
      </c>
      <c r="E411" s="2101" t="str">
        <f>Translations!$B$479</f>
        <v>Restgaser som förbrukas vid ”fall-back”-delanläggningar</v>
      </c>
      <c r="F411" s="2102"/>
      <c r="G411" s="2102"/>
      <c r="H411" s="2102"/>
      <c r="I411" s="2102"/>
      <c r="J411" s="2102"/>
      <c r="K411" s="2102"/>
      <c r="L411" s="2102"/>
      <c r="M411" s="2102"/>
      <c r="N411" s="2102"/>
    </row>
    <row r="412" spans="2:14" ht="12.75" customHeight="1" x14ac:dyDescent="0.25">
      <c r="B412" s="15"/>
      <c r="C412" s="15"/>
      <c r="D412" s="15"/>
      <c r="E412" s="2101" t="str">
        <f>Translations!$B$481</f>
        <v>Typ av ”fall-back”-delanläggning</v>
      </c>
      <c r="F412" s="2102"/>
      <c r="G412" s="2102"/>
      <c r="H412" s="13" t="str">
        <f>Translations!$B$1014</f>
        <v>Enhet</v>
      </c>
      <c r="I412" s="320">
        <v>2014</v>
      </c>
      <c r="J412" s="320">
        <v>2015</v>
      </c>
      <c r="K412" s="320">
        <v>2016</v>
      </c>
      <c r="L412" s="320">
        <v>2017</v>
      </c>
      <c r="M412" s="342">
        <v>2018</v>
      </c>
      <c r="N412" s="1332"/>
    </row>
    <row r="413" spans="2:14" ht="12.75" customHeight="1" x14ac:dyDescent="0.25">
      <c r="B413" s="15"/>
      <c r="C413" s="15"/>
      <c r="D413" s="289"/>
      <c r="E413" s="2041" t="str">
        <f>Translations!$B$1315</f>
        <v>Delanläggning med värmeriktmärke, KL</v>
      </c>
      <c r="F413" s="2041"/>
      <c r="G413" s="2041"/>
      <c r="H413" s="562" t="str">
        <f t="shared" ref="H413:H418" si="8">EUconst_TJpa</f>
        <v>TJ / år</v>
      </c>
      <c r="I413" s="1584" t="str">
        <f>[1]K_Summary!I403</f>
        <v/>
      </c>
      <c r="J413" s="1584" t="str">
        <f>[1]K_Summary!J403</f>
        <v/>
      </c>
      <c r="K413" s="1584" t="str">
        <f>[1]K_Summary!K403</f>
        <v/>
      </c>
      <c r="L413" s="1584" t="str">
        <f>[1]K_Summary!L403</f>
        <v/>
      </c>
      <c r="M413" s="1584" t="str">
        <f>[1]K_Summary!M403</f>
        <v/>
      </c>
      <c r="N413" s="6"/>
    </row>
    <row r="414" spans="2:14" ht="12.75" customHeight="1" x14ac:dyDescent="0.25">
      <c r="B414" s="15"/>
      <c r="C414" s="15"/>
      <c r="D414" s="289"/>
      <c r="E414" s="2044" t="str">
        <f>Translations!$B$1316</f>
        <v>Delanläggning med värmeriktmärke, ej KL</v>
      </c>
      <c r="F414" s="2044"/>
      <c r="G414" s="2044"/>
      <c r="H414" s="1569" t="str">
        <f t="shared" si="8"/>
        <v>TJ / år</v>
      </c>
      <c r="I414" s="1585" t="str">
        <f>[1]K_Summary!I404</f>
        <v/>
      </c>
      <c r="J414" s="1585" t="str">
        <f>[1]K_Summary!J404</f>
        <v/>
      </c>
      <c r="K414" s="1585" t="str">
        <f>[1]K_Summary!K404</f>
        <v/>
      </c>
      <c r="L414" s="1585" t="str">
        <f>[1]K_Summary!L404</f>
        <v/>
      </c>
      <c r="M414" s="1585" t="str">
        <f>[1]K_Summary!M404</f>
        <v/>
      </c>
      <c r="N414" s="6"/>
    </row>
    <row r="415" spans="2:14" ht="12.75" customHeight="1" x14ac:dyDescent="0.25">
      <c r="B415" s="15"/>
      <c r="C415" s="15"/>
      <c r="D415" s="289"/>
      <c r="E415" s="2044" t="str">
        <f>Translations!$B$1317</f>
        <v>Fjärrvärmedelanläggning</v>
      </c>
      <c r="F415" s="2044"/>
      <c r="G415" s="2044"/>
      <c r="H415" s="1569" t="str">
        <f t="shared" si="8"/>
        <v>TJ / år</v>
      </c>
      <c r="I415" s="1585" t="str">
        <f>[1]K_Summary!I405</f>
        <v/>
      </c>
      <c r="J415" s="1585" t="str">
        <f>[1]K_Summary!J405</f>
        <v/>
      </c>
      <c r="K415" s="1585" t="str">
        <f>[1]K_Summary!K405</f>
        <v/>
      </c>
      <c r="L415" s="1585" t="str">
        <f>[1]K_Summary!L405</f>
        <v/>
      </c>
      <c r="M415" s="1585" t="str">
        <f>[1]K_Summary!M405</f>
        <v/>
      </c>
      <c r="N415" s="6"/>
    </row>
    <row r="416" spans="2:14" ht="12.75" customHeight="1" x14ac:dyDescent="0.25">
      <c r="B416" s="15"/>
      <c r="C416" s="15"/>
      <c r="D416" s="289"/>
      <c r="E416" s="2044" t="str">
        <f>Translations!$B$1318</f>
        <v>Delanläggning med bränsleriktmärke, KL</v>
      </c>
      <c r="F416" s="2044"/>
      <c r="G416" s="2044"/>
      <c r="H416" s="1569" t="str">
        <f t="shared" si="8"/>
        <v>TJ / år</v>
      </c>
      <c r="I416" s="1585" t="str">
        <f>[1]K_Summary!I406</f>
        <v/>
      </c>
      <c r="J416" s="1585" t="str">
        <f>[1]K_Summary!J406</f>
        <v/>
      </c>
      <c r="K416" s="1585" t="str">
        <f>[1]K_Summary!K406</f>
        <v/>
      </c>
      <c r="L416" s="1585" t="str">
        <f>[1]K_Summary!L406</f>
        <v/>
      </c>
      <c r="M416" s="1585" t="str">
        <f>[1]K_Summary!M406</f>
        <v/>
      </c>
      <c r="N416" s="6"/>
    </row>
    <row r="417" spans="2:14" ht="12.75" customHeight="1" x14ac:dyDescent="0.25">
      <c r="B417" s="15"/>
      <c r="C417" s="15"/>
      <c r="D417" s="289"/>
      <c r="E417" s="2110" t="str">
        <f>Translations!$B$1319</f>
        <v>Delanläggning med bränsleriktmärke, ej KL</v>
      </c>
      <c r="F417" s="2110"/>
      <c r="G417" s="2110"/>
      <c r="H417" s="1573" t="str">
        <f t="shared" si="8"/>
        <v>TJ / år</v>
      </c>
      <c r="I417" s="1586" t="str">
        <f>[1]K_Summary!I407</f>
        <v/>
      </c>
      <c r="J417" s="1586" t="str">
        <f>[1]K_Summary!J407</f>
        <v/>
      </c>
      <c r="K417" s="1586" t="str">
        <f>[1]K_Summary!K407</f>
        <v/>
      </c>
      <c r="L417" s="1586" t="str">
        <f>[1]K_Summary!L407</f>
        <v/>
      </c>
      <c r="M417" s="1586" t="str">
        <f>[1]K_Summary!M407</f>
        <v/>
      </c>
      <c r="N417" s="6"/>
    </row>
    <row r="418" spans="2:14" ht="12.75" customHeight="1" x14ac:dyDescent="0.25">
      <c r="B418" s="15"/>
      <c r="C418" s="15"/>
      <c r="D418" s="289"/>
      <c r="E418" s="2099" t="str">
        <f>Translations!$B$384</f>
        <v>Delsumma</v>
      </c>
      <c r="F418" s="2099"/>
      <c r="G418" s="2099"/>
      <c r="H418" s="1375" t="str">
        <f t="shared" si="8"/>
        <v>TJ / år</v>
      </c>
      <c r="I418" s="575" t="str">
        <f>[1]K_Summary!I408</f>
        <v/>
      </c>
      <c r="J418" s="575" t="str">
        <f>[1]K_Summary!J408</f>
        <v/>
      </c>
      <c r="K418" s="575" t="str">
        <f>[1]K_Summary!K408</f>
        <v/>
      </c>
      <c r="L418" s="575" t="str">
        <f>[1]K_Summary!L408</f>
        <v/>
      </c>
      <c r="M418" s="575" t="str">
        <f>[1]K_Summary!M408</f>
        <v/>
      </c>
      <c r="N418" s="6"/>
    </row>
    <row r="419" spans="2:14" ht="5.15" customHeight="1" x14ac:dyDescent="0.25">
      <c r="B419" s="15"/>
      <c r="C419" s="15"/>
      <c r="D419" s="15"/>
      <c r="E419" s="15"/>
      <c r="F419" s="15"/>
      <c r="G419" s="15"/>
      <c r="H419" s="15"/>
      <c r="I419" s="15"/>
      <c r="J419" s="15"/>
      <c r="K419" s="15"/>
      <c r="L419" s="15"/>
      <c r="M419" s="15"/>
      <c r="N419" s="15"/>
    </row>
    <row r="420" spans="2:14" ht="12.75" customHeight="1" x14ac:dyDescent="0.25">
      <c r="B420" s="3"/>
      <c r="C420" s="13"/>
      <c r="D420" s="13" t="s">
        <v>305</v>
      </c>
      <c r="E420" s="2101" t="str">
        <f>Translations!$B$482</f>
        <v>Mängden restgaser som förbrukas för elproduktion</v>
      </c>
      <c r="F420" s="2102"/>
      <c r="G420" s="2102"/>
      <c r="H420" s="2102"/>
      <c r="I420" s="2102"/>
      <c r="J420" s="2102"/>
      <c r="K420" s="2102"/>
      <c r="L420" s="2102"/>
      <c r="M420" s="2102"/>
      <c r="N420" s="2102"/>
    </row>
    <row r="421" spans="2:14" ht="12.75" customHeight="1" x14ac:dyDescent="0.25">
      <c r="B421" s="15"/>
      <c r="C421" s="15"/>
      <c r="D421" s="15"/>
      <c r="E421" s="2103" t="str">
        <f>Translations!$B$483</f>
        <v>Restgaser för elproduktion</v>
      </c>
      <c r="F421" s="2104"/>
      <c r="G421" s="2104"/>
      <c r="H421" s="450" t="str">
        <f>EUconst_TJpa</f>
        <v>TJ / år</v>
      </c>
      <c r="I421" s="381" t="str">
        <f>[1]K_Summary!I411</f>
        <v/>
      </c>
      <c r="J421" s="381" t="str">
        <f>[1]K_Summary!J411</f>
        <v/>
      </c>
      <c r="K421" s="381" t="str">
        <f>[1]K_Summary!K411</f>
        <v/>
      </c>
      <c r="L421" s="381" t="str">
        <f>[1]K_Summary!L411</f>
        <v/>
      </c>
      <c r="M421" s="381" t="str">
        <f>[1]K_Summary!M411</f>
        <v/>
      </c>
      <c r="N421" s="6"/>
    </row>
    <row r="422" spans="2:14" ht="5.15" customHeight="1" x14ac:dyDescent="0.25">
      <c r="B422" s="3"/>
      <c r="C422" s="3"/>
      <c r="D422" s="3"/>
      <c r="E422" s="3"/>
      <c r="F422" s="3"/>
      <c r="G422" s="3"/>
      <c r="H422" s="3"/>
      <c r="I422" s="3"/>
      <c r="J422" s="3"/>
      <c r="K422" s="3"/>
      <c r="L422" s="3"/>
      <c r="M422" s="3"/>
      <c r="N422" s="3"/>
    </row>
    <row r="423" spans="2:14" ht="12.75" customHeight="1" x14ac:dyDescent="0.25">
      <c r="B423" s="3"/>
      <c r="C423" s="13"/>
      <c r="D423" s="13" t="s">
        <v>523</v>
      </c>
      <c r="E423" s="2101" t="str">
        <f>Translations!$B$484</f>
        <v>Mängden restgaser för fackling förutom säkerhetsfackling</v>
      </c>
      <c r="F423" s="2102"/>
      <c r="G423" s="2102"/>
      <c r="H423" s="2102"/>
      <c r="I423" s="2102"/>
      <c r="J423" s="2102"/>
      <c r="K423" s="2102"/>
      <c r="L423" s="2102"/>
      <c r="M423" s="2102"/>
      <c r="N423" s="2102"/>
    </row>
    <row r="424" spans="2:14" ht="12.75" customHeight="1" x14ac:dyDescent="0.25">
      <c r="B424" s="15"/>
      <c r="C424" s="15"/>
      <c r="D424" s="15"/>
      <c r="E424" s="2111" t="str">
        <f>Translations!$B$462</f>
        <v>Delanläggning</v>
      </c>
      <c r="F424" s="2100"/>
      <c r="G424" s="2100"/>
      <c r="H424" s="30" t="str">
        <f>Translations!$B$1014</f>
        <v>Enhet</v>
      </c>
      <c r="I424" s="350">
        <v>2014</v>
      </c>
      <c r="J424" s="350">
        <v>2015</v>
      </c>
      <c r="K424" s="350">
        <v>2016</v>
      </c>
      <c r="L424" s="350">
        <v>2017</v>
      </c>
      <c r="M424" s="350">
        <v>2018</v>
      </c>
      <c r="N424" s="1332"/>
    </row>
    <row r="425" spans="2:14" ht="12.75" customHeight="1" x14ac:dyDescent="0.25">
      <c r="B425" s="15"/>
      <c r="C425" s="15"/>
      <c r="D425" s="289"/>
      <c r="E425" s="2112" t="str">
        <f>[1]K_Summary!E415</f>
        <v/>
      </c>
      <c r="F425" s="2112"/>
      <c r="G425" s="2112"/>
      <c r="H425" s="562" t="str">
        <f t="shared" ref="H425:H436" si="9">EUconst_TJpa</f>
        <v>TJ / år</v>
      </c>
      <c r="I425" s="1584" t="str">
        <f>[1]K_Summary!I415</f>
        <v/>
      </c>
      <c r="J425" s="1584" t="str">
        <f>[1]K_Summary!J415</f>
        <v/>
      </c>
      <c r="K425" s="1584" t="str">
        <f>[1]K_Summary!K415</f>
        <v/>
      </c>
      <c r="L425" s="1584" t="str">
        <f>[1]K_Summary!L415</f>
        <v/>
      </c>
      <c r="M425" s="1584" t="str">
        <f>[1]K_Summary!M415</f>
        <v/>
      </c>
      <c r="N425" s="6"/>
    </row>
    <row r="426" spans="2:14" ht="12.75" customHeight="1" x14ac:dyDescent="0.25">
      <c r="B426" s="15"/>
      <c r="C426" s="15"/>
      <c r="D426" s="289"/>
      <c r="E426" s="2113" t="str">
        <f>[1]K_Summary!E416</f>
        <v/>
      </c>
      <c r="F426" s="2113"/>
      <c r="G426" s="2113"/>
      <c r="H426" s="1569" t="str">
        <f t="shared" si="9"/>
        <v>TJ / år</v>
      </c>
      <c r="I426" s="1585" t="str">
        <f>[1]K_Summary!I416</f>
        <v/>
      </c>
      <c r="J426" s="1585" t="str">
        <f>[1]K_Summary!J416</f>
        <v/>
      </c>
      <c r="K426" s="1585" t="str">
        <f>[1]K_Summary!K416</f>
        <v/>
      </c>
      <c r="L426" s="1585" t="str">
        <f>[1]K_Summary!L416</f>
        <v/>
      </c>
      <c r="M426" s="1585" t="str">
        <f>[1]K_Summary!M416</f>
        <v/>
      </c>
      <c r="N426" s="6"/>
    </row>
    <row r="427" spans="2:14" ht="12.75" customHeight="1" x14ac:dyDescent="0.25">
      <c r="B427" s="15"/>
      <c r="C427" s="15"/>
      <c r="D427" s="289"/>
      <c r="E427" s="2113" t="str">
        <f>[1]K_Summary!E417</f>
        <v/>
      </c>
      <c r="F427" s="2113"/>
      <c r="G427" s="2113"/>
      <c r="H427" s="1569" t="str">
        <f t="shared" si="9"/>
        <v>TJ / år</v>
      </c>
      <c r="I427" s="1585" t="str">
        <f>[1]K_Summary!I417</f>
        <v/>
      </c>
      <c r="J427" s="1585" t="str">
        <f>[1]K_Summary!J417</f>
        <v/>
      </c>
      <c r="K427" s="1585" t="str">
        <f>[1]K_Summary!K417</f>
        <v/>
      </c>
      <c r="L427" s="1585" t="str">
        <f>[1]K_Summary!L417</f>
        <v/>
      </c>
      <c r="M427" s="1585" t="str">
        <f>[1]K_Summary!M417</f>
        <v/>
      </c>
      <c r="N427" s="6"/>
    </row>
    <row r="428" spans="2:14" ht="12.75" customHeight="1" x14ac:dyDescent="0.25">
      <c r="B428" s="15"/>
      <c r="C428" s="15"/>
      <c r="D428" s="289"/>
      <c r="E428" s="2113" t="str">
        <f>[1]K_Summary!E418</f>
        <v/>
      </c>
      <c r="F428" s="2113"/>
      <c r="G428" s="2113"/>
      <c r="H428" s="1569" t="str">
        <f t="shared" si="9"/>
        <v>TJ / år</v>
      </c>
      <c r="I428" s="1585" t="str">
        <f>[1]K_Summary!I418</f>
        <v/>
      </c>
      <c r="J428" s="1585" t="str">
        <f>[1]K_Summary!J418</f>
        <v/>
      </c>
      <c r="K428" s="1585" t="str">
        <f>[1]K_Summary!K418</f>
        <v/>
      </c>
      <c r="L428" s="1585" t="str">
        <f>[1]K_Summary!L418</f>
        <v/>
      </c>
      <c r="M428" s="1585" t="str">
        <f>[1]K_Summary!M418</f>
        <v/>
      </c>
      <c r="N428" s="6"/>
    </row>
    <row r="429" spans="2:14" ht="12.75" customHeight="1" x14ac:dyDescent="0.25">
      <c r="B429" s="15"/>
      <c r="C429" s="15"/>
      <c r="D429" s="289"/>
      <c r="E429" s="2113" t="str">
        <f>[1]K_Summary!E419</f>
        <v/>
      </c>
      <c r="F429" s="2113"/>
      <c r="G429" s="2113"/>
      <c r="H429" s="1569" t="str">
        <f t="shared" si="9"/>
        <v>TJ / år</v>
      </c>
      <c r="I429" s="1585" t="str">
        <f>[1]K_Summary!I419</f>
        <v/>
      </c>
      <c r="J429" s="1585" t="str">
        <f>[1]K_Summary!J419</f>
        <v/>
      </c>
      <c r="K429" s="1585" t="str">
        <f>[1]K_Summary!K419</f>
        <v/>
      </c>
      <c r="L429" s="1585" t="str">
        <f>[1]K_Summary!L419</f>
        <v/>
      </c>
      <c r="M429" s="1585" t="str">
        <f>[1]K_Summary!M419</f>
        <v/>
      </c>
      <c r="N429" s="6"/>
    </row>
    <row r="430" spans="2:14" ht="12.75" customHeight="1" x14ac:dyDescent="0.25">
      <c r="B430" s="15"/>
      <c r="C430" s="15"/>
      <c r="D430" s="289"/>
      <c r="E430" s="2113" t="str">
        <f>[1]K_Summary!E420</f>
        <v/>
      </c>
      <c r="F430" s="2113"/>
      <c r="G430" s="2113"/>
      <c r="H430" s="1569" t="str">
        <f t="shared" si="9"/>
        <v>TJ / år</v>
      </c>
      <c r="I430" s="1585" t="str">
        <f>[1]K_Summary!I420</f>
        <v/>
      </c>
      <c r="J430" s="1585" t="str">
        <f>[1]K_Summary!J420</f>
        <v/>
      </c>
      <c r="K430" s="1585" t="str">
        <f>[1]K_Summary!K420</f>
        <v/>
      </c>
      <c r="L430" s="1585" t="str">
        <f>[1]K_Summary!L420</f>
        <v/>
      </c>
      <c r="M430" s="1585" t="str">
        <f>[1]K_Summary!M420</f>
        <v/>
      </c>
      <c r="N430" s="6"/>
    </row>
    <row r="431" spans="2:14" ht="12.75" customHeight="1" x14ac:dyDescent="0.25">
      <c r="B431" s="15"/>
      <c r="C431" s="15"/>
      <c r="D431" s="289"/>
      <c r="E431" s="2113" t="str">
        <f>[1]K_Summary!E421</f>
        <v/>
      </c>
      <c r="F431" s="2113"/>
      <c r="G431" s="2113"/>
      <c r="H431" s="1569" t="str">
        <f t="shared" si="9"/>
        <v>TJ / år</v>
      </c>
      <c r="I431" s="1585" t="str">
        <f>[1]K_Summary!I421</f>
        <v/>
      </c>
      <c r="J431" s="1585" t="str">
        <f>[1]K_Summary!J421</f>
        <v/>
      </c>
      <c r="K431" s="1585" t="str">
        <f>[1]K_Summary!K421</f>
        <v/>
      </c>
      <c r="L431" s="1585" t="str">
        <f>[1]K_Summary!L421</f>
        <v/>
      </c>
      <c r="M431" s="1585" t="str">
        <f>[1]K_Summary!M421</f>
        <v/>
      </c>
      <c r="N431" s="6"/>
    </row>
    <row r="432" spans="2:14" ht="12.75" customHeight="1" x14ac:dyDescent="0.25">
      <c r="B432" s="15"/>
      <c r="C432" s="15"/>
      <c r="D432" s="289"/>
      <c r="E432" s="2113" t="str">
        <f>[1]K_Summary!E422</f>
        <v/>
      </c>
      <c r="F432" s="2113"/>
      <c r="G432" s="2113"/>
      <c r="H432" s="1569" t="str">
        <f t="shared" si="9"/>
        <v>TJ / år</v>
      </c>
      <c r="I432" s="1585" t="str">
        <f>[1]K_Summary!I422</f>
        <v/>
      </c>
      <c r="J432" s="1585" t="str">
        <f>[1]K_Summary!J422</f>
        <v/>
      </c>
      <c r="K432" s="1585" t="str">
        <f>[1]K_Summary!K422</f>
        <v/>
      </c>
      <c r="L432" s="1585" t="str">
        <f>[1]K_Summary!L422</f>
        <v/>
      </c>
      <c r="M432" s="1585" t="str">
        <f>[1]K_Summary!M422</f>
        <v/>
      </c>
      <c r="N432" s="6"/>
    </row>
    <row r="433" spans="2:14" ht="12.75" customHeight="1" x14ac:dyDescent="0.25">
      <c r="B433" s="15"/>
      <c r="C433" s="15"/>
      <c r="D433" s="289"/>
      <c r="E433" s="2113" t="str">
        <f>[1]K_Summary!E423</f>
        <v/>
      </c>
      <c r="F433" s="2113"/>
      <c r="G433" s="2113"/>
      <c r="H433" s="1569" t="str">
        <f t="shared" si="9"/>
        <v>TJ / år</v>
      </c>
      <c r="I433" s="1585" t="str">
        <f>[1]K_Summary!I423</f>
        <v/>
      </c>
      <c r="J433" s="1585" t="str">
        <f>[1]K_Summary!J423</f>
        <v/>
      </c>
      <c r="K433" s="1585" t="str">
        <f>[1]K_Summary!K423</f>
        <v/>
      </c>
      <c r="L433" s="1585" t="str">
        <f>[1]K_Summary!L423</f>
        <v/>
      </c>
      <c r="M433" s="1585" t="str">
        <f>[1]K_Summary!M423</f>
        <v/>
      </c>
      <c r="N433" s="6"/>
    </row>
    <row r="434" spans="2:14" ht="12.75" customHeight="1" x14ac:dyDescent="0.25">
      <c r="B434" s="15"/>
      <c r="C434" s="15"/>
      <c r="D434" s="289"/>
      <c r="E434" s="2098" t="str">
        <f>[1]K_Summary!E424</f>
        <v/>
      </c>
      <c r="F434" s="2098"/>
      <c r="G434" s="2098"/>
      <c r="H434" s="1573" t="str">
        <f t="shared" si="9"/>
        <v>TJ / år</v>
      </c>
      <c r="I434" s="1586" t="str">
        <f>[1]K_Summary!I424</f>
        <v/>
      </c>
      <c r="J434" s="1586" t="str">
        <f>[1]K_Summary!J424</f>
        <v/>
      </c>
      <c r="K434" s="1586" t="str">
        <f>[1]K_Summary!K424</f>
        <v/>
      </c>
      <c r="L434" s="1586" t="str">
        <f>[1]K_Summary!L424</f>
        <v/>
      </c>
      <c r="M434" s="1586" t="str">
        <f>[1]K_Summary!M424</f>
        <v/>
      </c>
      <c r="N434" s="6"/>
    </row>
    <row r="435" spans="2:14" ht="25.5" customHeight="1" x14ac:dyDescent="0.25">
      <c r="B435" s="15"/>
      <c r="C435" s="15"/>
      <c r="D435" s="289"/>
      <c r="E435" s="2099" t="str">
        <f>Translations!$B$487</f>
        <v>produceras utanför delanläggningar med produktriktmärke</v>
      </c>
      <c r="F435" s="2100"/>
      <c r="G435" s="2100"/>
      <c r="H435" s="122" t="str">
        <f t="shared" si="9"/>
        <v>TJ / år</v>
      </c>
      <c r="I435" s="1597" t="str">
        <f>[1]K_Summary!I425</f>
        <v/>
      </c>
      <c r="J435" s="1597" t="str">
        <f>[1]K_Summary!J425</f>
        <v/>
      </c>
      <c r="K435" s="1597" t="str">
        <f>[1]K_Summary!K425</f>
        <v/>
      </c>
      <c r="L435" s="1597" t="str">
        <f>[1]K_Summary!L425</f>
        <v/>
      </c>
      <c r="M435" s="1597" t="str">
        <f>[1]K_Summary!M425</f>
        <v/>
      </c>
      <c r="N435" s="6"/>
    </row>
    <row r="436" spans="2:14" ht="12.75" customHeight="1" x14ac:dyDescent="0.25">
      <c r="B436" s="15"/>
      <c r="C436" s="15"/>
      <c r="D436" s="289"/>
      <c r="E436" s="2099" t="str">
        <f>Translations!$B$384</f>
        <v>Delsumma</v>
      </c>
      <c r="F436" s="2099"/>
      <c r="G436" s="2099"/>
      <c r="H436" s="450" t="str">
        <f t="shared" si="9"/>
        <v>TJ / år</v>
      </c>
      <c r="I436" s="381" t="str">
        <f>[1]K_Summary!I426</f>
        <v/>
      </c>
      <c r="J436" s="381" t="str">
        <f>[1]K_Summary!J426</f>
        <v/>
      </c>
      <c r="K436" s="381" t="str">
        <f>[1]K_Summary!K426</f>
        <v/>
      </c>
      <c r="L436" s="381" t="str">
        <f>[1]K_Summary!L426</f>
        <v/>
      </c>
      <c r="M436" s="381" t="str">
        <f>[1]K_Summary!M426</f>
        <v/>
      </c>
      <c r="N436" s="6"/>
    </row>
    <row r="437" spans="2:14" ht="5.15" customHeight="1" x14ac:dyDescent="0.25">
      <c r="B437" s="3"/>
      <c r="C437" s="3"/>
      <c r="D437" s="3"/>
      <c r="E437" s="3"/>
      <c r="F437" s="3"/>
      <c r="G437" s="3"/>
      <c r="H437" s="3"/>
      <c r="I437" s="3"/>
      <c r="J437" s="3"/>
      <c r="K437" s="3"/>
      <c r="L437" s="3"/>
      <c r="M437" s="3"/>
      <c r="N437" s="3"/>
    </row>
    <row r="438" spans="2:14" ht="12.75" customHeight="1" x14ac:dyDescent="0.25">
      <c r="B438" s="3"/>
      <c r="C438" s="13"/>
      <c r="D438" s="13" t="s">
        <v>524</v>
      </c>
      <c r="E438" s="2101" t="str">
        <f>Translations!$B$488</f>
        <v>Rimlighetskontroll</v>
      </c>
      <c r="F438" s="2102"/>
      <c r="G438" s="2102"/>
      <c r="H438" s="2102"/>
      <c r="I438" s="2102"/>
      <c r="J438" s="2102"/>
      <c r="K438" s="2102"/>
      <c r="L438" s="2102"/>
      <c r="M438" s="2102"/>
      <c r="N438" s="2102"/>
    </row>
    <row r="439" spans="2:14" ht="12.75" customHeight="1" x14ac:dyDescent="0.25">
      <c r="B439" s="15"/>
      <c r="C439" s="15"/>
      <c r="D439" s="289"/>
      <c r="E439" s="2103" t="str">
        <f>Translations!$B$490</f>
        <v>Differens (beräknad)</v>
      </c>
      <c r="F439" s="2104"/>
      <c r="G439" s="2104"/>
      <c r="H439" s="450" t="str">
        <f>EUconst_TJpa</f>
        <v>TJ / år</v>
      </c>
      <c r="I439" s="381" t="str">
        <f>[1]K_Summary!I429</f>
        <v/>
      </c>
      <c r="J439" s="381" t="str">
        <f>[1]K_Summary!J429</f>
        <v/>
      </c>
      <c r="K439" s="381" t="str">
        <f>[1]K_Summary!K429</f>
        <v/>
      </c>
      <c r="L439" s="381" t="str">
        <f>[1]K_Summary!L429</f>
        <v/>
      </c>
      <c r="M439" s="381" t="str">
        <f>[1]K_Summary!M429</f>
        <v/>
      </c>
      <c r="N439" s="6"/>
    </row>
    <row r="440" spans="2:14" ht="12.75" customHeight="1" x14ac:dyDescent="0.25">
      <c r="B440" s="15"/>
      <c r="C440" s="15"/>
      <c r="D440" s="289"/>
      <c r="E440" s="2103" t="str">
        <f>Translations!$B$491</f>
        <v>Differens (som fraktion av punkt f)</v>
      </c>
      <c r="F440" s="2104"/>
      <c r="G440" s="2104"/>
      <c r="H440" s="450" t="s">
        <v>1113</v>
      </c>
      <c r="I440" s="575" t="str">
        <f>[1]K_Summary!I430</f>
        <v/>
      </c>
      <c r="J440" s="575" t="str">
        <f>[1]K_Summary!J430</f>
        <v/>
      </c>
      <c r="K440" s="575" t="str">
        <f>[1]K_Summary!K430</f>
        <v/>
      </c>
      <c r="L440" s="575" t="str">
        <f>[1]K_Summary!L430</f>
        <v/>
      </c>
      <c r="M440" s="575" t="str">
        <f>[1]K_Summary!M430</f>
        <v/>
      </c>
      <c r="N440" s="6"/>
    </row>
    <row r="441" spans="2:14" ht="12.75" customHeight="1" x14ac:dyDescent="0.25">
      <c r="B441" s="15"/>
      <c r="C441" s="15"/>
      <c r="D441" s="15"/>
      <c r="E441" s="15"/>
      <c r="F441" s="15"/>
      <c r="G441" s="15"/>
      <c r="H441" s="15"/>
      <c r="I441" s="15"/>
      <c r="J441" s="15"/>
      <c r="K441" s="15"/>
      <c r="L441" s="15"/>
      <c r="M441" s="15"/>
      <c r="N441" s="15"/>
    </row>
    <row r="442" spans="2:14" ht="12.75" customHeight="1" x14ac:dyDescent="0.3">
      <c r="B442" s="3"/>
      <c r="C442" s="17">
        <v>8</v>
      </c>
      <c r="D442" s="2105" t="str">
        <f>Translations!$B$492</f>
        <v>Komplett elbalans vid anläggningen</v>
      </c>
      <c r="E442" s="2102"/>
      <c r="F442" s="2102"/>
      <c r="G442" s="2102"/>
      <c r="H442" s="2102"/>
      <c r="I442" s="2102"/>
      <c r="J442" s="2102"/>
      <c r="K442" s="2102"/>
      <c r="L442" s="2102"/>
      <c r="M442" s="2102"/>
      <c r="N442" s="2102"/>
    </row>
    <row r="443" spans="2:14" ht="5.15" customHeight="1" x14ac:dyDescent="0.25">
      <c r="B443" s="3"/>
      <c r="C443" s="3"/>
      <c r="D443" s="3"/>
      <c r="E443" s="3"/>
      <c r="F443" s="3"/>
      <c r="G443" s="3"/>
      <c r="H443" s="3"/>
      <c r="I443" s="3"/>
      <c r="J443" s="3"/>
      <c r="K443" s="3"/>
      <c r="L443" s="3"/>
      <c r="M443" s="3"/>
      <c r="N443" s="3"/>
    </row>
    <row r="444" spans="2:14" ht="13.5" customHeight="1" x14ac:dyDescent="0.25">
      <c r="B444" s="15"/>
      <c r="C444" s="15"/>
      <c r="D444" s="13"/>
      <c r="E444" s="2106" t="str">
        <f>Translations!$B$493</f>
        <v>Produceras el vid anläggningen?</v>
      </c>
      <c r="F444" s="2106"/>
      <c r="G444" s="2106"/>
      <c r="H444" s="2106"/>
      <c r="I444" s="2106"/>
      <c r="J444" s="2106"/>
      <c r="K444" s="2107"/>
      <c r="L444" s="2108" t="str">
        <f>[1]K_Summary!L434</f>
        <v/>
      </c>
      <c r="M444" s="2109"/>
      <c r="N444" s="534"/>
    </row>
    <row r="445" spans="2:14" ht="5.15" customHeight="1" x14ac:dyDescent="0.25">
      <c r="B445" s="3"/>
      <c r="C445" s="3"/>
      <c r="D445" s="13"/>
      <c r="E445" s="2101"/>
      <c r="F445" s="2102"/>
      <c r="G445" s="2102"/>
      <c r="H445" s="2102"/>
      <c r="I445" s="2102"/>
      <c r="J445" s="2102"/>
      <c r="K445" s="2102"/>
      <c r="L445" s="2102"/>
      <c r="M445" s="2102"/>
      <c r="N445" s="2102"/>
    </row>
    <row r="446" spans="2:14" ht="13" x14ac:dyDescent="0.25">
      <c r="B446" s="15"/>
      <c r="C446" s="15"/>
      <c r="D446" s="15"/>
      <c r="E446" s="24"/>
      <c r="F446" s="188"/>
      <c r="G446" s="188"/>
      <c r="H446" s="30" t="str">
        <f>Translations!$B$1014</f>
        <v>Enhet</v>
      </c>
      <c r="I446" s="320">
        <v>2014</v>
      </c>
      <c r="J446" s="320">
        <v>2015</v>
      </c>
      <c r="K446" s="320">
        <v>2016</v>
      </c>
      <c r="L446" s="320">
        <v>2017</v>
      </c>
      <c r="M446" s="320">
        <v>2018</v>
      </c>
      <c r="N446" s="15"/>
    </row>
    <row r="447" spans="2:14" ht="12.75" customHeight="1" x14ac:dyDescent="0.25">
      <c r="B447" s="15"/>
      <c r="C447" s="15"/>
      <c r="D447" s="289"/>
      <c r="E447" s="2103" t="str">
        <f>Translations!$B$497</f>
        <v>Nettomängd el som produceras från bränslen</v>
      </c>
      <c r="F447" s="2103"/>
      <c r="G447" s="2103"/>
      <c r="H447" s="129" t="str">
        <f t="shared" ref="H447:H452" si="10">EUconst_MWhpa</f>
        <v>MWh / år</v>
      </c>
      <c r="I447" s="381" t="str">
        <f>[1]K_Summary!I437</f>
        <v/>
      </c>
      <c r="J447" s="381" t="str">
        <f>[1]K_Summary!J437</f>
        <v/>
      </c>
      <c r="K447" s="381" t="str">
        <f>[1]K_Summary!K437</f>
        <v/>
      </c>
      <c r="L447" s="381" t="str">
        <f>[1]K_Summary!L437</f>
        <v/>
      </c>
      <c r="M447" s="381" t="str">
        <f>[1]K_Summary!M437</f>
        <v/>
      </c>
      <c r="N447" s="15"/>
    </row>
    <row r="448" spans="2:14" ht="12.75" customHeight="1" x14ac:dyDescent="0.25">
      <c r="B448" s="15"/>
      <c r="C448" s="15"/>
      <c r="D448" s="289"/>
      <c r="E448" s="2103" t="str">
        <f>Translations!$B$498</f>
        <v>Övrig elproduktion</v>
      </c>
      <c r="F448" s="2103"/>
      <c r="G448" s="2103"/>
      <c r="H448" s="129" t="str">
        <f t="shared" si="10"/>
        <v>MWh / år</v>
      </c>
      <c r="I448" s="381" t="str">
        <f>[1]K_Summary!I438</f>
        <v/>
      </c>
      <c r="J448" s="381" t="str">
        <f>[1]K_Summary!J438</f>
        <v/>
      </c>
      <c r="K448" s="381" t="str">
        <f>[1]K_Summary!K438</f>
        <v/>
      </c>
      <c r="L448" s="381" t="str">
        <f>[1]K_Summary!L438</f>
        <v/>
      </c>
      <c r="M448" s="381" t="str">
        <f>[1]K_Summary!M438</f>
        <v/>
      </c>
      <c r="N448" s="15"/>
    </row>
    <row r="449" spans="2:14" ht="12.75" customHeight="1" x14ac:dyDescent="0.25">
      <c r="B449" s="15"/>
      <c r="C449" s="15"/>
      <c r="D449" s="15"/>
      <c r="E449" s="2103" t="str">
        <f>Translations!$B$500</f>
        <v>Importerad el</v>
      </c>
      <c r="F449" s="2103"/>
      <c r="G449" s="2103"/>
      <c r="H449" s="129" t="str">
        <f t="shared" si="10"/>
        <v>MWh / år</v>
      </c>
      <c r="I449" s="381" t="str">
        <f>[1]K_Summary!I439</f>
        <v/>
      </c>
      <c r="J449" s="381" t="str">
        <f>[1]K_Summary!J439</f>
        <v/>
      </c>
      <c r="K449" s="381" t="str">
        <f>[1]K_Summary!K439</f>
        <v/>
      </c>
      <c r="L449" s="381" t="str">
        <f>[1]K_Summary!L439</f>
        <v/>
      </c>
      <c r="M449" s="381" t="str">
        <f>[1]K_Summary!M439</f>
        <v/>
      </c>
      <c r="N449" s="15"/>
    </row>
    <row r="450" spans="2:14" ht="12.75" customHeight="1" x14ac:dyDescent="0.25">
      <c r="B450" s="15"/>
      <c r="C450" s="15"/>
      <c r="D450" s="15"/>
      <c r="E450" s="2103" t="str">
        <f>Translations!$B$502</f>
        <v>Exporterad el</v>
      </c>
      <c r="F450" s="2103"/>
      <c r="G450" s="2103"/>
      <c r="H450" s="129" t="str">
        <f t="shared" si="10"/>
        <v>MWh / år</v>
      </c>
      <c r="I450" s="381" t="str">
        <f>[1]K_Summary!I440</f>
        <v/>
      </c>
      <c r="J450" s="381" t="str">
        <f>[1]K_Summary!J440</f>
        <v/>
      </c>
      <c r="K450" s="381" t="str">
        <f>[1]K_Summary!K440</f>
        <v/>
      </c>
      <c r="L450" s="381" t="str">
        <f>[1]K_Summary!L440</f>
        <v/>
      </c>
      <c r="M450" s="381" t="str">
        <f>[1]K_Summary!M440</f>
        <v/>
      </c>
      <c r="N450" s="15"/>
    </row>
    <row r="451" spans="2:14" ht="12.75" customHeight="1" x14ac:dyDescent="0.25">
      <c r="B451" s="15"/>
      <c r="C451" s="15"/>
      <c r="D451" s="15"/>
      <c r="E451" s="2103" t="str">
        <f>Translations!$B$504</f>
        <v>El som kan användas</v>
      </c>
      <c r="F451" s="2103"/>
      <c r="G451" s="2103"/>
      <c r="H451" s="129" t="str">
        <f t="shared" si="10"/>
        <v>MWh / år</v>
      </c>
      <c r="I451" s="381" t="str">
        <f>[1]K_Summary!I441</f>
        <v/>
      </c>
      <c r="J451" s="381" t="str">
        <f>[1]K_Summary!J441</f>
        <v/>
      </c>
      <c r="K451" s="381" t="str">
        <f>[1]K_Summary!K441</f>
        <v/>
      </c>
      <c r="L451" s="381" t="str">
        <f>[1]K_Summary!L441</f>
        <v/>
      </c>
      <c r="M451" s="381" t="str">
        <f>[1]K_Summary!M441</f>
        <v/>
      </c>
      <c r="N451" s="15"/>
    </row>
    <row r="452" spans="2:14" ht="12.75" customHeight="1" x14ac:dyDescent="0.25">
      <c r="B452" s="15"/>
      <c r="C452" s="15"/>
      <c r="D452" s="15"/>
      <c r="E452" s="2103" t="str">
        <f>Translations!$B$506</f>
        <v>El som förbrukas vid anläggningen</v>
      </c>
      <c r="F452" s="2103"/>
      <c r="G452" s="2103"/>
      <c r="H452" s="129" t="str">
        <f t="shared" si="10"/>
        <v>MWh / år</v>
      </c>
      <c r="I452" s="381" t="str">
        <f>[1]K_Summary!I442</f>
        <v/>
      </c>
      <c r="J452" s="381" t="str">
        <f>[1]K_Summary!J442</f>
        <v/>
      </c>
      <c r="K452" s="381" t="str">
        <f>[1]K_Summary!K442</f>
        <v/>
      </c>
      <c r="L452" s="381" t="str">
        <f>[1]K_Summary!L442</f>
        <v/>
      </c>
      <c r="M452" s="381" t="str">
        <f>[1]K_Summary!M442</f>
        <v/>
      </c>
      <c r="N452" s="15"/>
    </row>
    <row r="453" spans="2:14" ht="12.75" customHeight="1" x14ac:dyDescent="0.25">
      <c r="B453" s="15"/>
      <c r="C453" s="15"/>
      <c r="D453" s="15"/>
      <c r="E453" s="15"/>
      <c r="F453" s="15"/>
      <c r="G453" s="15"/>
      <c r="H453" s="15"/>
      <c r="I453" s="15"/>
      <c r="J453" s="15"/>
      <c r="K453" s="15"/>
      <c r="L453" s="15"/>
      <c r="M453" s="15"/>
      <c r="N453" s="15"/>
    </row>
    <row r="454" spans="2:14" ht="16" thickBot="1" x14ac:dyDescent="0.4">
      <c r="B454" s="3"/>
      <c r="C454" s="11" t="s">
        <v>12</v>
      </c>
      <c r="D454" s="12" t="str">
        <f>Translations!$B$1019</f>
        <v>Uppgifter om delanläggningar av relevans för tilldelning och riktmärkesuppdatering</v>
      </c>
      <c r="E454" s="12"/>
      <c r="F454" s="12"/>
      <c r="G454" s="12"/>
      <c r="H454" s="12"/>
      <c r="I454" s="12"/>
      <c r="J454" s="12"/>
      <c r="K454" s="12"/>
      <c r="L454" s="12"/>
      <c r="M454" s="12"/>
      <c r="N454" s="12"/>
    </row>
    <row r="455" spans="2:14" ht="5.15" customHeight="1" x14ac:dyDescent="0.25">
      <c r="B455" s="15"/>
      <c r="C455" s="230"/>
      <c r="D455" s="230"/>
      <c r="E455" s="230"/>
      <c r="F455" s="230"/>
      <c r="G455" s="230"/>
      <c r="H455" s="230"/>
      <c r="I455" s="230"/>
      <c r="J455" s="230"/>
      <c r="K455" s="230"/>
      <c r="L455" s="230"/>
      <c r="M455" s="230"/>
      <c r="N455" s="230"/>
    </row>
    <row r="456" spans="2:14" ht="15" customHeight="1" x14ac:dyDescent="0.25">
      <c r="B456" s="15"/>
      <c r="C456" s="15"/>
      <c r="D456" s="2053" t="str">
        <f>Translations!$B$1020</f>
        <v>Indikativ beräkning av antalet utsläppsrätter</v>
      </c>
      <c r="E456" s="2053"/>
      <c r="F456" s="2053"/>
      <c r="G456" s="2053"/>
      <c r="H456" s="2053"/>
      <c r="I456" s="2053"/>
      <c r="J456" s="2053"/>
      <c r="K456" s="2053"/>
      <c r="L456" s="2053"/>
      <c r="M456" s="2053"/>
      <c r="N456" s="2053"/>
    </row>
    <row r="457" spans="2:14" ht="5.15" customHeight="1" x14ac:dyDescent="0.25">
      <c r="B457" s="15"/>
      <c r="C457" s="3"/>
      <c r="D457" s="3"/>
      <c r="E457" s="3"/>
      <c r="F457" s="3"/>
      <c r="G457" s="3"/>
      <c r="H457" s="3"/>
      <c r="I457" s="3"/>
      <c r="J457" s="3"/>
      <c r="K457" s="3"/>
      <c r="L457" s="3"/>
      <c r="M457" s="3"/>
      <c r="N457" s="3"/>
    </row>
    <row r="458" spans="2:14" ht="12.75" customHeight="1" x14ac:dyDescent="0.25">
      <c r="B458" s="3"/>
      <c r="C458" s="3"/>
      <c r="D458" s="2096" t="str">
        <f>Translations!$B$1021</f>
        <v>Följande förkortningar används i tabellerna nedan:</v>
      </c>
      <c r="E458" s="2096"/>
      <c r="F458" s="2096"/>
      <c r="G458" s="2096"/>
      <c r="H458" s="2096"/>
      <c r="I458" s="2096"/>
      <c r="J458" s="2096"/>
      <c r="K458" s="2096"/>
      <c r="L458" s="2096"/>
      <c r="M458" s="2096"/>
      <c r="N458" s="2096"/>
    </row>
    <row r="459" spans="2:14" ht="12.75" customHeight="1" x14ac:dyDescent="0.25">
      <c r="B459" s="3"/>
      <c r="C459" s="3"/>
      <c r="D459" s="2093" t="str">
        <f>Translations!$B$1022</f>
        <v>KL-risk</v>
      </c>
      <c r="E459" s="2093"/>
      <c r="F459" s="2094" t="str">
        <f>Translations!$B$1023</f>
        <v>Risk för koldioxidläckage. ”SANT” om delanläggningen betjänar en sektor som bedöms vara utsatt för en betydande risk för koldioxidläckage.</v>
      </c>
      <c r="G459" s="2094"/>
      <c r="H459" s="2094"/>
      <c r="I459" s="2094"/>
      <c r="J459" s="2094"/>
      <c r="K459" s="2094"/>
      <c r="L459" s="2094"/>
      <c r="M459" s="2094"/>
      <c r="N459" s="2094"/>
    </row>
    <row r="460" spans="2:14" ht="12.75" customHeight="1" x14ac:dyDescent="0.25">
      <c r="B460" s="3"/>
      <c r="C460" s="3"/>
      <c r="D460" s="2093" t="str">
        <f>Translations!$B$1024</f>
        <v>RM-nummer</v>
      </c>
      <c r="E460" s="2093"/>
      <c r="F460" s="2094" t="str">
        <f>Translations!$B$1025</f>
        <v>Riktmärkets nummer</v>
      </c>
      <c r="G460" s="2094"/>
      <c r="H460" s="2094"/>
      <c r="I460" s="2094"/>
      <c r="J460" s="2094"/>
      <c r="K460" s="2094"/>
      <c r="L460" s="2094"/>
      <c r="M460" s="2094"/>
      <c r="N460" s="2094"/>
    </row>
    <row r="461" spans="2:14" ht="12.75" customHeight="1" x14ac:dyDescent="0.25">
      <c r="B461" s="3"/>
      <c r="C461" s="3"/>
      <c r="D461" s="2093" t="str">
        <f>Translations!$B$1026</f>
        <v>I drift</v>
      </c>
      <c r="E461" s="2093"/>
      <c r="F461" s="2094" t="str">
        <f>Translations!$B$1027</f>
        <v>Start av drift vid anläggningen</v>
      </c>
      <c r="G461" s="2094"/>
      <c r="H461" s="2094"/>
      <c r="I461" s="2094"/>
      <c r="J461" s="2094"/>
      <c r="K461" s="2094"/>
      <c r="L461" s="2094"/>
      <c r="M461" s="2094"/>
      <c r="N461" s="2094"/>
    </row>
    <row r="462" spans="2:14" ht="25.5" customHeight="1" x14ac:dyDescent="0.25">
      <c r="B462" s="3"/>
      <c r="C462" s="3"/>
      <c r="D462" s="2093" t="str">
        <f>Translations!$B$1028</f>
        <v>RM-värde</v>
      </c>
      <c r="E462" s="2097"/>
      <c r="F462" s="2094" t="str">
        <f>Translations!$B$1029</f>
        <v>Riktmärkesvärde enligt bilaga I till FAR. För förslaget till preliminär tilldelning används de vägledande minimivärden eller de högsta värden som angetts i översiktstabellen för respektive delanläggning nedan.</v>
      </c>
      <c r="G462" s="2094"/>
      <c r="H462" s="2094"/>
      <c r="I462" s="2094"/>
      <c r="J462" s="2094"/>
      <c r="K462" s="2094"/>
      <c r="L462" s="2094"/>
      <c r="M462" s="2094"/>
      <c r="N462" s="2094"/>
    </row>
    <row r="463" spans="2:14" ht="12.75" customHeight="1" x14ac:dyDescent="0.25">
      <c r="B463" s="3"/>
      <c r="C463" s="3"/>
      <c r="D463" s="2093" t="str">
        <f>Translations!$B$1030</f>
        <v>15(7).3?</v>
      </c>
      <c r="E463" s="2093"/>
      <c r="F463" s="2094" t="str">
        <f>Translations!$B$1031</f>
        <v>Är artikel 15.7 tredje stycket i FAR relevant (dvs. har delanläggningen varit i drift i mindre än ett år under referensperioden)?</v>
      </c>
      <c r="G463" s="2094"/>
      <c r="H463" s="2094"/>
      <c r="I463" s="2094"/>
      <c r="J463" s="2094"/>
      <c r="K463" s="2094"/>
      <c r="L463" s="2094"/>
      <c r="M463" s="2094"/>
      <c r="N463" s="2094"/>
    </row>
    <row r="464" spans="2:14" ht="12.75" customHeight="1" x14ac:dyDescent="0.25">
      <c r="B464" s="3"/>
      <c r="C464" s="3"/>
      <c r="D464" s="2093" t="str">
        <f>Translations!$B$1032</f>
        <v>15(7).3 HAL</v>
      </c>
      <c r="E464" s="2093"/>
      <c r="F464" s="2094" t="str">
        <f>Translations!$B$1033</f>
        <v>Den historiska verksamhetsnivån (HAL), om artikel 15.7 tredje stycket är tillämpligt. Notera att detta värde endast kommer att vara känt efter att den första rapporten om verksamhetsnivå lämnas in.</v>
      </c>
      <c r="G464" s="2094"/>
      <c r="H464" s="2094"/>
      <c r="I464" s="2094"/>
      <c r="J464" s="2094"/>
      <c r="K464" s="2094"/>
      <c r="L464" s="2094"/>
      <c r="M464" s="2094"/>
      <c r="N464" s="2094"/>
    </row>
    <row r="465" spans="1:16" ht="12.75" customHeight="1" x14ac:dyDescent="0.25">
      <c r="B465" s="3"/>
      <c r="C465" s="3"/>
      <c r="D465" s="2093" t="s">
        <v>1380</v>
      </c>
      <c r="E465" s="2093"/>
      <c r="F465" s="2094" t="str">
        <f>Translations!$B$1034</f>
        <v>Är utbytbarheten mellan el och bränsle relevant för delanläggningen?</v>
      </c>
      <c r="G465" s="2094"/>
      <c r="H465" s="2094"/>
      <c r="I465" s="2094"/>
      <c r="J465" s="2094"/>
      <c r="K465" s="2094"/>
      <c r="L465" s="2094"/>
      <c r="M465" s="2094"/>
      <c r="N465" s="2094"/>
    </row>
    <row r="466" spans="1:16" ht="12.75" customHeight="1" x14ac:dyDescent="0.25">
      <c r="B466" s="3"/>
      <c r="C466" s="3"/>
      <c r="D466" s="2093" t="s">
        <v>1526</v>
      </c>
      <c r="E466" s="2093"/>
      <c r="F466" s="2094" t="str">
        <f>Translations!$B$1035</f>
        <v>Beräkningsfaktor för att beakta utbytbarheten mellan el och bränsle i enlighet med artikel 22 i FAR</v>
      </c>
      <c r="G466" s="2094"/>
      <c r="H466" s="2094"/>
      <c r="I466" s="2094"/>
      <c r="J466" s="2094"/>
      <c r="K466" s="2094"/>
      <c r="L466" s="2094"/>
      <c r="M466" s="2094"/>
      <c r="N466" s="2094"/>
    </row>
    <row r="467" spans="1:16" ht="12.75" customHeight="1" x14ac:dyDescent="0.25">
      <c r="B467" s="3"/>
      <c r="C467" s="3"/>
      <c r="D467" s="2093" t="str">
        <f>Translations!$B$1036</f>
        <v>Värme utanför ETS</v>
      </c>
      <c r="E467" s="2093"/>
      <c r="F467" s="2094" t="str">
        <f>Translations!$B$1037</f>
        <v>Mängd som ska dras av från den preliminära årliga mängden utsläppsrätter i enlighet med artikel 21 i FAR</v>
      </c>
      <c r="G467" s="2094"/>
      <c r="H467" s="2094"/>
      <c r="I467" s="2094"/>
      <c r="J467" s="2094"/>
      <c r="K467" s="2094"/>
      <c r="L467" s="2094"/>
      <c r="M467" s="2094"/>
      <c r="N467" s="2094"/>
    </row>
    <row r="468" spans="1:16" ht="25.5" customHeight="1" x14ac:dyDescent="0.25">
      <c r="B468" s="3"/>
      <c r="C468" s="3"/>
      <c r="D468" s="2093" t="str">
        <f>Translations!$B$1038</f>
        <v>Wgfacklad</v>
      </c>
      <c r="E468" s="2093"/>
      <c r="F468" s="2094" t="str">
        <f>Translations!$B$1039</f>
        <v>Mängd som ska dras av från den preliminära årliga mängden utsläppsrätter för facklade restgaser från 2026 och framåt i enlighet med artikel 16.5 andra stycket i FAR</v>
      </c>
      <c r="G468" s="2094"/>
      <c r="H468" s="2094"/>
      <c r="I468" s="2094"/>
      <c r="J468" s="2094"/>
      <c r="K468" s="2094"/>
      <c r="L468" s="2094"/>
      <c r="M468" s="2094"/>
      <c r="N468" s="2094"/>
    </row>
    <row r="469" spans="1:16" ht="12.75" customHeight="1" x14ac:dyDescent="0.25">
      <c r="B469" s="3"/>
      <c r="C469" s="3"/>
      <c r="D469" s="2093" t="s">
        <v>1527</v>
      </c>
      <c r="E469" s="2093"/>
      <c r="F469" s="2094" t="str">
        <f>Translations!$B$1040</f>
        <v>Mängd som ska läggas till den preliminära årliga mängden utsläppsrätter för ångkrackningsdelanläggningar i enlighet med artikel 19 i FAR</v>
      </c>
      <c r="G469" s="2094"/>
      <c r="H469" s="2094"/>
      <c r="I469" s="2094"/>
      <c r="J469" s="2094"/>
      <c r="K469" s="2094"/>
      <c r="L469" s="2094"/>
      <c r="M469" s="2094"/>
      <c r="N469" s="2094"/>
    </row>
    <row r="470" spans="1:16" ht="12.75" customHeight="1" x14ac:dyDescent="0.25">
      <c r="B470" s="3"/>
      <c r="C470" s="3"/>
      <c r="D470" s="2093" t="s">
        <v>1528</v>
      </c>
      <c r="E470" s="2093"/>
      <c r="F470" s="2094" t="str">
        <f>Translations!$B$1041</f>
        <v>Beräkningsfaktor för att beakta vätgasrelaterade utsläpp i delanläggningar för vinylkloridmonomer i enlighet med artikel 20 i FAR</v>
      </c>
      <c r="G470" s="2094"/>
      <c r="H470" s="2094"/>
      <c r="I470" s="2094"/>
      <c r="J470" s="2094"/>
      <c r="K470" s="2094"/>
      <c r="L470" s="2094"/>
      <c r="M470" s="2094"/>
      <c r="N470" s="2094"/>
    </row>
    <row r="471" spans="1:16" ht="12.75" customHeight="1" x14ac:dyDescent="0.25">
      <c r="B471" s="3"/>
      <c r="C471" s="3"/>
      <c r="D471" s="2093" t="str">
        <f>Translations!$B$1042</f>
        <v>Genomsnitt</v>
      </c>
      <c r="E471" s="2093"/>
      <c r="F471" s="2094" t="str">
        <f>Translations!$B$1043</f>
        <v>Genomsnittliga historiska verksamhetsnivåer under referensperioden</v>
      </c>
      <c r="G471" s="2094"/>
      <c r="H471" s="2094"/>
      <c r="I471" s="2094"/>
      <c r="J471" s="2094"/>
      <c r="K471" s="2094"/>
      <c r="L471" s="2094"/>
      <c r="M471" s="2094"/>
      <c r="N471" s="2094"/>
    </row>
    <row r="472" spans="1:16" ht="25.5" customHeight="1" x14ac:dyDescent="0.25">
      <c r="B472" s="3"/>
      <c r="C472" s="3"/>
      <c r="D472" s="2095" t="str">
        <f>Translations!$B$1044</f>
        <v>Prel. tilldelning år 1 (min.)</v>
      </c>
      <c r="E472" s="2095"/>
      <c r="F472" s="2095" t="str">
        <f>Translations!$B$1045</f>
        <v>(Förslag till) preliminärt årsantal utsläppsrätter som tilldelas gratis för periodens första år i enlighet med artikel 16.6 i FAR, dvs. efter tillämpningen av KL-exponeringsfaktorn men före tillämpningen av den linjära faktorn eller den sektorsövergripande korrigeringsfaktorn.</v>
      </c>
      <c r="G472" s="2095"/>
      <c r="H472" s="2095"/>
      <c r="I472" s="2095"/>
      <c r="J472" s="2095"/>
      <c r="K472" s="2095"/>
      <c r="L472" s="2095"/>
      <c r="M472" s="2095"/>
      <c r="N472" s="2095"/>
    </row>
    <row r="473" spans="1:16" ht="38.25" customHeight="1" x14ac:dyDescent="0.25">
      <c r="B473" s="3"/>
      <c r="C473" s="3"/>
      <c r="D473" s="661"/>
      <c r="E473" s="534"/>
      <c r="F473" s="2096" t="str">
        <f>Translations!$B$1046</f>
        <v>Denna siffra ger endast en ungefärlig uppskattning av den ”lägsta” preliminära tilldelningen med hänsyn tagen till lägsta möjliga riktmärkesvärde för delanläggningen. Siffran är därför endast vägledande och bör INTE ses som någon förhandsbedömning av det faktiska antalet utsläppsrätter som tilldelas gratis på beslut av den behöriga myndigheten så snart uppdaterade riktmärken finns.</v>
      </c>
      <c r="G473" s="2096"/>
      <c r="H473" s="2096"/>
      <c r="I473" s="2096"/>
      <c r="J473" s="2096"/>
      <c r="K473" s="2096"/>
      <c r="L473" s="2096"/>
      <c r="M473" s="2096"/>
      <c r="N473" s="2096"/>
    </row>
    <row r="474" spans="1:16" s="1609" customFormat="1" ht="25.5" customHeight="1" x14ac:dyDescent="0.25">
      <c r="A474" s="1623"/>
      <c r="B474" s="713"/>
      <c r="C474" s="713"/>
      <c r="D474" s="2094" t="str">
        <f>Translations!$B$1047</f>
        <v>Prel. tilldelning år 1 (max.)</v>
      </c>
      <c r="E474" s="2094"/>
      <c r="F474" s="2094" t="str">
        <f>Translations!$B$1048</f>
        <v>(Förslag till) preliminärt årsantal utsläppsrätter med hänsyn tagen till högsta möjliga riktmärkesvärde för delanläggningen. Samma ansvarsfriskrivning som för (min)-värdet gäller.</v>
      </c>
      <c r="G474" s="2094"/>
      <c r="H474" s="2094"/>
      <c r="I474" s="2094"/>
      <c r="J474" s="2094"/>
      <c r="K474" s="2094"/>
      <c r="L474" s="2094"/>
      <c r="M474" s="2094"/>
      <c r="N474" s="2094"/>
      <c r="O474" s="1607"/>
      <c r="P474" s="1623"/>
    </row>
    <row r="475" spans="1:16" ht="25.5" customHeight="1" x14ac:dyDescent="0.25">
      <c r="B475" s="3"/>
      <c r="C475" s="3"/>
      <c r="D475" s="2094" t="str">
        <f>Translations!$B$1049</f>
        <v>Prel. tilldelning år 1 (faktisk)</v>
      </c>
      <c r="E475" s="2094"/>
      <c r="F475" s="2094" t="str">
        <f>Translations!$B$1050</f>
        <v>Det faktiska preliminära årsantalet utsläppsrätter med hänsyn till det faktiska riktmärkesvärdet för delanläggningen. Detta värde kan inte fastställas för de ursprungliga nationella genomförandeåtgärderna utan först senare, så snart riktmärkesvärdena för respektive tilldelningsperiod har offentliggjorts.</v>
      </c>
      <c r="G475" s="2094"/>
      <c r="H475" s="2094"/>
      <c r="I475" s="2094"/>
      <c r="J475" s="2094"/>
      <c r="K475" s="2094"/>
      <c r="L475" s="2094"/>
      <c r="M475" s="2094"/>
      <c r="N475" s="2094"/>
    </row>
    <row r="476" spans="1:16" ht="12.75" customHeight="1" thickBot="1" x14ac:dyDescent="0.3">
      <c r="B476" s="3"/>
      <c r="C476" s="3"/>
      <c r="D476" s="15"/>
      <c r="E476" s="15"/>
      <c r="F476" s="15"/>
      <c r="G476" s="15"/>
      <c r="H476" s="15"/>
      <c r="I476" s="15"/>
      <c r="J476" s="15"/>
      <c r="K476" s="15"/>
      <c r="L476" s="15"/>
      <c r="M476" s="15"/>
      <c r="N476" s="15"/>
    </row>
    <row r="477" spans="1:16" ht="75" customHeight="1" thickBot="1" x14ac:dyDescent="0.3">
      <c r="B477" s="3"/>
      <c r="C477" s="3"/>
      <c r="D477" s="2076" t="str">
        <f>Translations!$B$1051</f>
        <v>Ansvarsfriskrivning: Var god notera att värdena för den preliminära tilldelningen endast är indikativa</v>
      </c>
      <c r="E477" s="2077"/>
      <c r="F477" s="2077"/>
      <c r="G477" s="2077"/>
      <c r="H477" s="2077"/>
      <c r="I477" s="2077"/>
      <c r="J477" s="2077"/>
      <c r="K477" s="2077"/>
      <c r="L477" s="2077"/>
      <c r="M477" s="2077"/>
      <c r="N477" s="2078"/>
    </row>
    <row r="478" spans="1:16" x14ac:dyDescent="0.25">
      <c r="B478" s="15"/>
      <c r="C478" s="15"/>
      <c r="D478" s="15"/>
      <c r="E478" s="15"/>
      <c r="F478" s="15"/>
      <c r="G478" s="15"/>
      <c r="H478" s="15"/>
      <c r="I478" s="15"/>
      <c r="J478" s="15"/>
      <c r="K478" s="15"/>
      <c r="L478" s="15"/>
      <c r="M478" s="15"/>
      <c r="N478" s="15"/>
    </row>
    <row r="479" spans="1:16" ht="15" customHeight="1" x14ac:dyDescent="0.3">
      <c r="B479" s="15"/>
      <c r="C479" s="17">
        <v>1</v>
      </c>
      <c r="D479" s="2053" t="str">
        <f>Euconst_ProdBMSub &amp; " " &amp; C479 &amp; ":"</f>
        <v>Delanläggning med produktriktmärke 1:</v>
      </c>
      <c r="E479" s="2053"/>
      <c r="F479" s="2053"/>
      <c r="G479" s="2053"/>
      <c r="H479" s="2081"/>
      <c r="I479" s="2090" t="str">
        <f>[1]K_Summary!I469</f>
        <v/>
      </c>
      <c r="J479" s="2091"/>
      <c r="K479" s="2091"/>
      <c r="L479" s="2091"/>
      <c r="M479" s="2091"/>
      <c r="N479" s="2092"/>
    </row>
    <row r="480" spans="1:16" ht="5.15" customHeight="1" thickBot="1" x14ac:dyDescent="0.3">
      <c r="B480" s="15"/>
      <c r="C480" s="15"/>
      <c r="D480" s="15"/>
      <c r="E480" s="15"/>
      <c r="F480" s="15"/>
      <c r="G480" s="15"/>
      <c r="H480" s="15"/>
      <c r="I480" s="15"/>
      <c r="J480" s="15"/>
      <c r="K480" s="15"/>
      <c r="L480" s="15"/>
      <c r="M480" s="15"/>
      <c r="N480" s="15"/>
    </row>
    <row r="481" spans="2:16" x14ac:dyDescent="0.25">
      <c r="B481" s="15"/>
      <c r="C481" s="15"/>
      <c r="D481" s="15"/>
      <c r="E481" s="15"/>
      <c r="F481" s="15"/>
      <c r="G481" s="15"/>
      <c r="H481" s="506" t="str">
        <f>Translations!$B$1022</f>
        <v>KL-risk</v>
      </c>
      <c r="I481" s="507" t="s">
        <v>1380</v>
      </c>
      <c r="J481" s="507" t="str">
        <f>Translations!$B$1026</f>
        <v>I drift</v>
      </c>
      <c r="K481" s="507" t="str">
        <f>Translations!$B$1024</f>
        <v>RM-nummer</v>
      </c>
      <c r="L481" s="612" t="str">
        <f>Translations!$B$1030</f>
        <v>15(7).3?</v>
      </c>
      <c r="M481" s="786" t="str">
        <f>Translations!$B$1052</f>
        <v>RM-värde (min./max./faktiskt)</v>
      </c>
      <c r="N481" s="787"/>
    </row>
    <row r="482" spans="2:16" x14ac:dyDescent="0.25">
      <c r="B482" s="15"/>
      <c r="C482" s="15"/>
      <c r="D482" s="15"/>
      <c r="E482" s="508" t="str">
        <f>[1]K_Summary!E472</f>
        <v/>
      </c>
      <c r="F482" s="509">
        <f>[1]K_Summary!F472</f>
        <v>0</v>
      </c>
      <c r="G482" s="464">
        <f>[1]K_Summary!G472</f>
        <v>0</v>
      </c>
      <c r="H482" s="510" t="str">
        <f>[1]K_Summary!H472</f>
        <v>N.A.</v>
      </c>
      <c r="I482" s="511" t="str">
        <f>[1]K_Summary!I472</f>
        <v/>
      </c>
      <c r="J482" s="642" t="str">
        <f>[1]K_Summary!J472</f>
        <v>N.A.</v>
      </c>
      <c r="K482" s="421" t="str">
        <f>[1]K_Summary!K472</f>
        <v>N.A.</v>
      </c>
      <c r="L482" s="1598" t="str">
        <f>[1]K_Summary!L472</f>
        <v/>
      </c>
      <c r="M482" s="1599" t="str">
        <f>[1]K_Summary!M472</f>
        <v>N.A.</v>
      </c>
      <c r="N482" s="788" t="str">
        <f>EUconst_EUA &amp; "/" &amp; H487</f>
        <v>EUA/tonnes</v>
      </c>
    </row>
    <row r="483" spans="2:16" x14ac:dyDescent="0.25">
      <c r="B483" s="15"/>
      <c r="C483" s="15"/>
      <c r="D483" s="15"/>
      <c r="E483" s="534"/>
      <c r="F483" s="534"/>
      <c r="G483" s="507" t="str">
        <f>Translations!$B$1036</f>
        <v>Värme utanför ETS</v>
      </c>
      <c r="H483" s="612" t="str">
        <f>Translations!$B$1038</f>
        <v>Wgfacklad</v>
      </c>
      <c r="I483" s="507" t="s">
        <v>1526</v>
      </c>
      <c r="J483" s="507" t="s">
        <v>1527</v>
      </c>
      <c r="K483" s="507" t="s">
        <v>1528</v>
      </c>
      <c r="L483" s="612" t="str">
        <f>Translations!$B$1032</f>
        <v>15(7).3 HAL</v>
      </c>
      <c r="M483" s="1599" t="str">
        <f>[1]K_Summary!M473</f>
        <v>N.A.</v>
      </c>
      <c r="N483" s="788" t="str">
        <f>EUconst_EUA &amp; "/" &amp; H487</f>
        <v>EUA/tonnes</v>
      </c>
    </row>
    <row r="484" spans="2:16" ht="13" thickBot="1" x14ac:dyDescent="0.3">
      <c r="B484" s="15"/>
      <c r="C484" s="15"/>
      <c r="D484" s="15"/>
      <c r="E484" s="1293" t="str">
        <f>Translations!$B$1053</f>
        <v>Särskilda faktorer:</v>
      </c>
      <c r="F484" s="1600"/>
      <c r="G484" s="421" t="str">
        <f>[1]K_Summary!G474</f>
        <v/>
      </c>
      <c r="H484" s="641" t="str">
        <f>[1]K_Summary!H474</f>
        <v/>
      </c>
      <c r="I484" s="1601">
        <f>[1]K_Summary!I474</f>
        <v>1</v>
      </c>
      <c r="J484" s="421" t="str">
        <f>[1]K_Summary!J474</f>
        <v/>
      </c>
      <c r="K484" s="662" t="str">
        <f>[1]K_Summary!K474</f>
        <v/>
      </c>
      <c r="L484" s="641" t="str">
        <f>[1]K_Summary!L474</f>
        <v/>
      </c>
      <c r="M484" s="1602" t="str">
        <f>[1]K_Summary!M474</f>
        <v>N.A.</v>
      </c>
      <c r="N484" s="789" t="str">
        <f>EUconst_EUA &amp; "/" &amp; H487</f>
        <v>EUA/tonnes</v>
      </c>
      <c r="P484" s="1903" t="b">
        <f>IF(ISNUMBER(K482),INDEX(EUconst_BMlistBMvalues,K482)&lt;&gt;M484,FALSE)</f>
        <v>0</v>
      </c>
    </row>
    <row r="485" spans="2:16" ht="5.15" customHeight="1" x14ac:dyDescent="0.25">
      <c r="B485" s="15"/>
      <c r="C485" s="15"/>
      <c r="D485" s="15"/>
      <c r="E485" s="15"/>
      <c r="F485" s="15"/>
      <c r="G485" s="15"/>
      <c r="H485" s="15"/>
      <c r="I485" s="15"/>
      <c r="J485" s="15"/>
      <c r="K485" s="15"/>
      <c r="L485" s="15"/>
      <c r="M485" s="15"/>
      <c r="N485" s="15"/>
    </row>
    <row r="486" spans="2:16" ht="13" x14ac:dyDescent="0.25">
      <c r="B486" s="15"/>
      <c r="C486" s="15"/>
      <c r="D486" s="15"/>
      <c r="E486" s="188"/>
      <c r="F486" s="188"/>
      <c r="G486" s="512"/>
      <c r="H486" s="1603" t="str">
        <f>Translations!$B$1014</f>
        <v>Enhet</v>
      </c>
      <c r="I486" s="350">
        <v>2014</v>
      </c>
      <c r="J486" s="350">
        <v>2015</v>
      </c>
      <c r="K486" s="350">
        <v>2016</v>
      </c>
      <c r="L486" s="350">
        <v>2017</v>
      </c>
      <c r="M486" s="350">
        <v>2018</v>
      </c>
      <c r="N486" s="15"/>
    </row>
    <row r="487" spans="2:16" x14ac:dyDescent="0.25">
      <c r="B487" s="15"/>
      <c r="C487" s="15"/>
      <c r="D487" s="15"/>
      <c r="E487" s="513" t="str">
        <f>Translations!$B$1054</f>
        <v>Rapporterad HAL (historisk verksamhetsnivå)</v>
      </c>
      <c r="F487" s="514"/>
      <c r="G487" s="515"/>
      <c r="H487" s="510" t="str">
        <f>[1]K_Summary!H477</f>
        <v>tonnes</v>
      </c>
      <c r="I487" s="421" t="str">
        <f>[1]K_Summary!I477</f>
        <v/>
      </c>
      <c r="J487" s="421" t="str">
        <f>[1]K_Summary!J477</f>
        <v/>
      </c>
      <c r="K487" s="421" t="str">
        <f>[1]K_Summary!K477</f>
        <v/>
      </c>
      <c r="L487" s="421" t="str">
        <f>[1]K_Summary!L477</f>
        <v/>
      </c>
      <c r="M487" s="421" t="str">
        <f>[1]K_Summary!M477</f>
        <v/>
      </c>
      <c r="N487" s="507" t="str">
        <f>Translations!$B$1042</f>
        <v>Genomsnitt</v>
      </c>
    </row>
    <row r="488" spans="2:16" x14ac:dyDescent="0.25">
      <c r="B488" s="15"/>
      <c r="C488" s="15"/>
      <c r="D488" s="15"/>
      <c r="E488" s="513" t="str">
        <f>Translations!$B$1055</f>
        <v>Värden som används för HAL-beräkning:</v>
      </c>
      <c r="F488" s="514"/>
      <c r="G488" s="515"/>
      <c r="H488" s="510" t="str">
        <f>[1]K_Summary!H478</f>
        <v>tonnes</v>
      </c>
      <c r="I488" s="421" t="str">
        <f>[1]K_Summary!I478</f>
        <v/>
      </c>
      <c r="J488" s="421" t="str">
        <f>[1]K_Summary!J478</f>
        <v/>
      </c>
      <c r="K488" s="421" t="str">
        <f>[1]K_Summary!K478</f>
        <v/>
      </c>
      <c r="L488" s="421" t="str">
        <f>[1]K_Summary!L478</f>
        <v/>
      </c>
      <c r="M488" s="421" t="str">
        <f>[1]K_Summary!M478</f>
        <v/>
      </c>
      <c r="N488" s="421" t="str">
        <f>[1]K_Summary!N478</f>
        <v/>
      </c>
    </row>
    <row r="489" spans="2:16" ht="5.15" customHeight="1" x14ac:dyDescent="0.25">
      <c r="B489" s="15"/>
      <c r="C489" s="15"/>
      <c r="D489" s="15"/>
      <c r="E489" s="1604"/>
      <c r="F489" s="1604"/>
      <c r="G489" s="1604"/>
      <c r="H489" s="1604"/>
      <c r="I489" s="1604"/>
      <c r="J489" s="1604"/>
      <c r="K489" s="1604"/>
      <c r="L489" s="1604"/>
      <c r="M489" s="534"/>
      <c r="N489" s="534"/>
    </row>
    <row r="490" spans="2:16" ht="13" thickBot="1" x14ac:dyDescent="0.3">
      <c r="B490" s="15"/>
      <c r="C490" s="534"/>
      <c r="D490" s="15"/>
      <c r="E490" s="1604"/>
      <c r="F490" s="617" t="s">
        <v>1385</v>
      </c>
      <c r="G490" s="618"/>
      <c r="H490" s="534"/>
      <c r="I490" s="617" t="str">
        <f>Translations!$B$1044</f>
        <v>Prel. tilldelning år 1 (min.)</v>
      </c>
      <c r="J490" s="618"/>
      <c r="K490" s="617" t="str">
        <f>Translations!$B$1047</f>
        <v>Prel. tilldelning år 1 (max.)</v>
      </c>
      <c r="L490" s="618"/>
      <c r="M490" s="617" t="str">
        <f>Translations!$B$1049</f>
        <v>Prel. tilldelning år 1 (faktisk)</v>
      </c>
      <c r="N490" s="618"/>
    </row>
    <row r="491" spans="2:16" ht="13.5" thickBot="1" x14ac:dyDescent="0.3">
      <c r="B491" s="15"/>
      <c r="C491" s="534"/>
      <c r="D491" s="534"/>
      <c r="E491" s="1604"/>
      <c r="F491" s="517" t="str">
        <f>[1]K_Summary!F481</f>
        <v/>
      </c>
      <c r="G491" s="1605" t="str">
        <f>[1]K_Summary!G481</f>
        <v>tonnes / year</v>
      </c>
      <c r="H491" s="534"/>
      <c r="I491" s="616" t="str">
        <f>[1]K_Summary!I481</f>
        <v/>
      </c>
      <c r="J491" s="709" t="str">
        <f>EUconst_EUApa</f>
        <v>EUA / år</v>
      </c>
      <c r="K491" s="616" t="str">
        <f>[1]K_Summary!K481</f>
        <v/>
      </c>
      <c r="L491" s="709" t="str">
        <f>EUconst_EUApa</f>
        <v>EUA / år</v>
      </c>
      <c r="M491" s="616" t="str">
        <f>[1]K_Summary!M481</f>
        <v/>
      </c>
      <c r="N491" s="709" t="str">
        <f>EUconst_EUApa</f>
        <v>EUA / år</v>
      </c>
    </row>
    <row r="492" spans="2:16" ht="5.15" customHeight="1" x14ac:dyDescent="0.25">
      <c r="B492" s="15"/>
      <c r="C492" s="15"/>
      <c r="D492" s="534"/>
      <c r="E492" s="289"/>
      <c r="F492" s="15"/>
      <c r="G492" s="15"/>
      <c r="H492" s="15"/>
      <c r="I492" s="15"/>
      <c r="J492" s="15"/>
      <c r="K492" s="15"/>
      <c r="L492" s="15"/>
      <c r="M492" s="15"/>
      <c r="N492" s="15"/>
    </row>
    <row r="493" spans="2:16" ht="12.75" customHeight="1" x14ac:dyDescent="0.25">
      <c r="B493" s="15"/>
      <c r="C493" s="15"/>
      <c r="D493" s="15"/>
      <c r="E493" s="416"/>
      <c r="F493" s="623"/>
      <c r="G493" s="623"/>
      <c r="H493" s="623"/>
      <c r="I493" s="623"/>
      <c r="J493" s="623"/>
      <c r="K493" s="623"/>
      <c r="L493" s="623"/>
      <c r="M493" s="623"/>
      <c r="N493" s="623"/>
    </row>
    <row r="494" spans="2:16" ht="13.5" thickBot="1" x14ac:dyDescent="0.3">
      <c r="B494" s="15"/>
      <c r="C494" s="15"/>
      <c r="D494" s="15"/>
      <c r="E494" s="416"/>
      <c r="F494" s="623"/>
      <c r="G494" s="623"/>
      <c r="H494" s="415" t="str">
        <f>Translations!$B$1014</f>
        <v>Enhet</v>
      </c>
      <c r="I494" s="744">
        <v>2014</v>
      </c>
      <c r="J494" s="362">
        <v>2015</v>
      </c>
      <c r="K494" s="362">
        <v>2016</v>
      </c>
      <c r="L494" s="362">
        <v>2017</v>
      </c>
      <c r="M494" s="362">
        <v>2018</v>
      </c>
      <c r="N494" s="623"/>
    </row>
    <row r="495" spans="2:16" ht="13.5" customHeight="1" thickBot="1" x14ac:dyDescent="0.3">
      <c r="B495" s="15"/>
      <c r="C495" s="15"/>
      <c r="D495" s="15"/>
      <c r="E495" s="2074" t="str">
        <f>Translations!$B$1056</f>
        <v>Totala tillskrivna utsläpp</v>
      </c>
      <c r="F495" s="2074"/>
      <c r="G495" s="2074"/>
      <c r="H495" s="710" t="str">
        <f>EUconst_tCO2epa</f>
        <v>t CO2e/år</v>
      </c>
      <c r="I495" s="735" t="str">
        <f>[1]K_Summary!I485</f>
        <v/>
      </c>
      <c r="J495" s="736" t="str">
        <f>[1]K_Summary!J485</f>
        <v/>
      </c>
      <c r="K495" s="736" t="str">
        <f>[1]K_Summary!K485</f>
        <v/>
      </c>
      <c r="L495" s="736" t="str">
        <f>[1]K_Summary!L485</f>
        <v/>
      </c>
      <c r="M495" s="737" t="str">
        <f>[1]K_Summary!M485</f>
        <v/>
      </c>
      <c r="N495" s="623"/>
    </row>
    <row r="496" spans="2:16" ht="5.15" customHeight="1" x14ac:dyDescent="0.25">
      <c r="B496" s="15"/>
      <c r="C496" s="15"/>
      <c r="D496" s="15"/>
      <c r="E496" s="416"/>
      <c r="F496" s="416"/>
      <c r="G496" s="416"/>
      <c r="H496" s="416"/>
      <c r="I496" s="738"/>
      <c r="J496" s="738"/>
      <c r="K496" s="738"/>
      <c r="L496" s="738"/>
      <c r="M496" s="738"/>
      <c r="N496" s="416"/>
    </row>
    <row r="497" spans="2:14" x14ac:dyDescent="0.25">
      <c r="B497" s="15"/>
      <c r="C497" s="15"/>
      <c r="D497" s="15"/>
      <c r="E497" s="2087" t="str">
        <f>Translations!$B$571</f>
        <v>Insatsbränsle</v>
      </c>
      <c r="F497" s="2087"/>
      <c r="G497" s="2087"/>
      <c r="H497" s="1606" t="str">
        <f>EUconst_TJpa</f>
        <v>TJ / år</v>
      </c>
      <c r="I497" s="739" t="str">
        <f>[1]K_Summary!I487</f>
        <v/>
      </c>
      <c r="J497" s="739" t="str">
        <f>[1]K_Summary!J487</f>
        <v/>
      </c>
      <c r="K497" s="739" t="str">
        <f>[1]K_Summary!K487</f>
        <v/>
      </c>
      <c r="L497" s="739" t="str">
        <f>[1]K_Summary!L487</f>
        <v/>
      </c>
      <c r="M497" s="739" t="str">
        <f>[1]K_Summary!M487</f>
        <v/>
      </c>
      <c r="N497" s="623"/>
    </row>
    <row r="498" spans="2:14" ht="12.75" customHeight="1" x14ac:dyDescent="0.25">
      <c r="B498" s="15"/>
      <c r="C498" s="15"/>
      <c r="D498" s="15"/>
      <c r="E498" s="2088" t="str">
        <f>Translations!$B$572</f>
        <v>Viktad emissionsfaktor</v>
      </c>
      <c r="F498" s="2088"/>
      <c r="G498" s="2088"/>
      <c r="H498" s="624" t="str">
        <f>EUconst_tCO2pTJ</f>
        <v>t CO2 / TJ</v>
      </c>
      <c r="I498" s="740" t="str">
        <f>[1]K_Summary!I488</f>
        <v/>
      </c>
      <c r="J498" s="740" t="str">
        <f>[1]K_Summary!J488</f>
        <v/>
      </c>
      <c r="K498" s="740" t="str">
        <f>[1]K_Summary!K488</f>
        <v/>
      </c>
      <c r="L498" s="740" t="str">
        <f>[1]K_Summary!L488</f>
        <v/>
      </c>
      <c r="M498" s="740" t="str">
        <f>[1]K_Summary!M488</f>
        <v/>
      </c>
      <c r="N498" s="623"/>
    </row>
    <row r="499" spans="2:14" ht="5.15" customHeight="1" x14ac:dyDescent="0.25">
      <c r="B499" s="15"/>
      <c r="C499" s="15"/>
      <c r="D499" s="534"/>
      <c r="E499" s="416"/>
      <c r="F499" s="623"/>
      <c r="G499" s="623"/>
      <c r="H499" s="623"/>
      <c r="I499" s="741"/>
      <c r="J499" s="741"/>
      <c r="K499" s="741"/>
      <c r="L499" s="741"/>
      <c r="M499" s="741"/>
      <c r="N499" s="623"/>
    </row>
    <row r="500" spans="2:14" ht="12.75" customHeight="1" x14ac:dyDescent="0.25">
      <c r="B500" s="15"/>
      <c r="C500" s="15"/>
      <c r="D500" s="534"/>
      <c r="E500" s="2080" t="str">
        <f>Translations!$B$528</f>
        <v>Direkta utsläpp</v>
      </c>
      <c r="F500" s="2080"/>
      <c r="G500" s="2080"/>
      <c r="H500" s="363" t="str">
        <f>EUconst_tCO2pa</f>
        <v>t CO2 / år</v>
      </c>
      <c r="I500" s="742" t="str">
        <f>[1]K_Summary!I490</f>
        <v/>
      </c>
      <c r="J500" s="742" t="str">
        <f>[1]K_Summary!J490</f>
        <v/>
      </c>
      <c r="K500" s="742" t="str">
        <f>[1]K_Summary!K490</f>
        <v/>
      </c>
      <c r="L500" s="742" t="str">
        <f>[1]K_Summary!L490</f>
        <v/>
      </c>
      <c r="M500" s="742" t="str">
        <f>[1]K_Summary!M490</f>
        <v/>
      </c>
      <c r="N500" s="623"/>
    </row>
    <row r="501" spans="2:14" ht="12.75" customHeight="1" x14ac:dyDescent="0.25">
      <c r="B501" s="15"/>
      <c r="C501" s="15"/>
      <c r="D501" s="534"/>
      <c r="E501" s="2080" t="str">
        <f>Translations!$B$582</f>
        <v>Andra bränsle-/materialmängder – 1</v>
      </c>
      <c r="F501" s="2080"/>
      <c r="G501" s="2080"/>
      <c r="H501" s="363" t="str">
        <f>EUconst_tCO2pa</f>
        <v>t CO2 / år</v>
      </c>
      <c r="I501" s="742" t="str">
        <f>[1]K_Summary!I491</f>
        <v/>
      </c>
      <c r="J501" s="742" t="str">
        <f>[1]K_Summary!J491</f>
        <v/>
      </c>
      <c r="K501" s="742" t="str">
        <f>[1]K_Summary!K491</f>
        <v/>
      </c>
      <c r="L501" s="742" t="str">
        <f>[1]K_Summary!L491</f>
        <v/>
      </c>
      <c r="M501" s="742" t="str">
        <f>[1]K_Summary!M491</f>
        <v/>
      </c>
      <c r="N501" s="623"/>
    </row>
    <row r="502" spans="2:14" ht="12.75" customHeight="1" x14ac:dyDescent="0.25">
      <c r="B502" s="15"/>
      <c r="C502" s="15"/>
      <c r="D502" s="534"/>
      <c r="E502" s="2080" t="str">
        <f>Translations!$B$592</f>
        <v>Andra bränsle-/materialmängder – 2</v>
      </c>
      <c r="F502" s="2080"/>
      <c r="G502" s="2080"/>
      <c r="H502" s="363" t="str">
        <f>EUconst_tCO2pa</f>
        <v>t CO2 / år</v>
      </c>
      <c r="I502" s="742" t="str">
        <f>[1]K_Summary!I492</f>
        <v/>
      </c>
      <c r="J502" s="742" t="str">
        <f>[1]K_Summary!J492</f>
        <v/>
      </c>
      <c r="K502" s="742" t="str">
        <f>[1]K_Summary!K492</f>
        <v/>
      </c>
      <c r="L502" s="742" t="str">
        <f>[1]K_Summary!L492</f>
        <v/>
      </c>
      <c r="M502" s="742" t="str">
        <f>[1]K_Summary!M492</f>
        <v/>
      </c>
      <c r="N502" s="623"/>
    </row>
    <row r="503" spans="2:14" ht="12.75" customHeight="1" x14ac:dyDescent="0.25">
      <c r="B503" s="15"/>
      <c r="C503" s="15"/>
      <c r="D503" s="15"/>
      <c r="E503" s="2080" t="str">
        <f>Translations!$B$596</f>
        <v>Importerade eller exporterade växthusgaser</v>
      </c>
      <c r="F503" s="2080"/>
      <c r="G503" s="2080"/>
      <c r="H503" s="363" t="str">
        <f>EUconst_tCO2epa</f>
        <v>t CO2e/år</v>
      </c>
      <c r="I503" s="742" t="str">
        <f>[1]K_Summary!I493</f>
        <v/>
      </c>
      <c r="J503" s="742" t="str">
        <f>[1]K_Summary!J493</f>
        <v/>
      </c>
      <c r="K503" s="742" t="str">
        <f>[1]K_Summary!K493</f>
        <v/>
      </c>
      <c r="L503" s="742" t="str">
        <f>[1]K_Summary!L493</f>
        <v/>
      </c>
      <c r="M503" s="742" t="str">
        <f>[1]K_Summary!M493</f>
        <v/>
      </c>
      <c r="N503" s="623"/>
    </row>
    <row r="504" spans="2:14" ht="5.15" customHeight="1" x14ac:dyDescent="0.25">
      <c r="B504" s="15"/>
      <c r="C504" s="15"/>
      <c r="D504" s="15"/>
      <c r="E504" s="623"/>
      <c r="F504" s="623"/>
      <c r="G504" s="623"/>
      <c r="H504" s="623"/>
      <c r="I504" s="741"/>
      <c r="J504" s="741"/>
      <c r="K504" s="741"/>
      <c r="L504" s="741"/>
      <c r="M504" s="741"/>
      <c r="N504" s="623"/>
    </row>
    <row r="505" spans="2:14" ht="12.75" customHeight="1" x14ac:dyDescent="0.25">
      <c r="B505" s="15"/>
      <c r="C505" s="15"/>
      <c r="D505" s="15"/>
      <c r="E505" s="2087" t="str">
        <f>Translations!$B$604</f>
        <v>Nettomängd importerad värme</v>
      </c>
      <c r="F505" s="2087"/>
      <c r="G505" s="2087"/>
      <c r="H505" s="1606" t="str">
        <f>EUconst_TJpa</f>
        <v>TJ / år</v>
      </c>
      <c r="I505" s="739" t="str">
        <f>[1]K_Summary!I495</f>
        <v/>
      </c>
      <c r="J505" s="739" t="str">
        <f>[1]K_Summary!J495</f>
        <v/>
      </c>
      <c r="K505" s="739" t="str">
        <f>[1]K_Summary!K495</f>
        <v/>
      </c>
      <c r="L505" s="739" t="str">
        <f>[1]K_Summary!L495</f>
        <v/>
      </c>
      <c r="M505" s="739" t="str">
        <f>[1]K_Summary!M495</f>
        <v/>
      </c>
      <c r="N505" s="623"/>
    </row>
    <row r="506" spans="2:14" ht="12.75" customHeight="1" x14ac:dyDescent="0.25">
      <c r="B506" s="15"/>
      <c r="C506" s="15"/>
      <c r="D506" s="15"/>
      <c r="E506" s="2088" t="str">
        <f>Translations!$B$605</f>
        <v>Särskild emissionsfaktor (importerad värme)</v>
      </c>
      <c r="F506" s="2088"/>
      <c r="G506" s="2088"/>
      <c r="H506" s="624" t="str">
        <f>EUconst_tCO2pTJ</f>
        <v>t CO2 / TJ</v>
      </c>
      <c r="I506" s="740" t="str">
        <f>[1]K_Summary!I496</f>
        <v/>
      </c>
      <c r="J506" s="740" t="str">
        <f>[1]K_Summary!J496</f>
        <v/>
      </c>
      <c r="K506" s="740" t="str">
        <f>[1]K_Summary!K496</f>
        <v/>
      </c>
      <c r="L506" s="740" t="str">
        <f>[1]K_Summary!L496</f>
        <v/>
      </c>
      <c r="M506" s="740" t="str">
        <f>[1]K_Summary!M496</f>
        <v/>
      </c>
      <c r="N506" s="623"/>
    </row>
    <row r="507" spans="2:14" ht="5.15" customHeight="1" x14ac:dyDescent="0.25">
      <c r="B507" s="15"/>
      <c r="C507" s="15"/>
      <c r="D507" s="15"/>
      <c r="E507" s="416"/>
      <c r="F507" s="623"/>
      <c r="G507" s="623"/>
      <c r="H507" s="623"/>
      <c r="I507" s="741"/>
      <c r="J507" s="741"/>
      <c r="K507" s="741"/>
      <c r="L507" s="741"/>
      <c r="M507" s="741"/>
      <c r="N507" s="623"/>
    </row>
    <row r="508" spans="2:14" ht="12.75" customHeight="1" x14ac:dyDescent="0.25">
      <c r="B508" s="15"/>
      <c r="C508" s="15"/>
      <c r="D508" s="15"/>
      <c r="E508" s="2080" t="str">
        <f>Translations!$B$659</f>
        <v>Importerad nettovärme från massa</v>
      </c>
      <c r="F508" s="2080"/>
      <c r="G508" s="2080"/>
      <c r="H508" s="363" t="str">
        <f>EUconst_TJpa</f>
        <v>TJ / år</v>
      </c>
      <c r="I508" s="742" t="str">
        <f>[1]K_Summary!I498</f>
        <v/>
      </c>
      <c r="J508" s="742" t="str">
        <f>[1]K_Summary!J498</f>
        <v/>
      </c>
      <c r="K508" s="742" t="str">
        <f>[1]K_Summary!K498</f>
        <v/>
      </c>
      <c r="L508" s="742" t="str">
        <f>[1]K_Summary!L498</f>
        <v/>
      </c>
      <c r="M508" s="742" t="str">
        <f>[1]K_Summary!M498</f>
        <v/>
      </c>
      <c r="N508" s="623"/>
    </row>
    <row r="509" spans="2:14" ht="12.75" customHeight="1" x14ac:dyDescent="0.25">
      <c r="B509" s="15"/>
      <c r="C509" s="15"/>
      <c r="D509" s="15"/>
      <c r="E509" s="2080" t="str">
        <f>Translations!$B$608</f>
        <v>Nettomängd importerad värme från delanläggningar för salpetersyra</v>
      </c>
      <c r="F509" s="2080"/>
      <c r="G509" s="2080"/>
      <c r="H509" s="363" t="str">
        <f>EUconst_TJpa</f>
        <v>TJ / år</v>
      </c>
      <c r="I509" s="742" t="str">
        <f>[1]K_Summary!I499</f>
        <v/>
      </c>
      <c r="J509" s="742" t="str">
        <f>[1]K_Summary!J499</f>
        <v/>
      </c>
      <c r="K509" s="742" t="str">
        <f>[1]K_Summary!K499</f>
        <v/>
      </c>
      <c r="L509" s="742" t="str">
        <f>[1]K_Summary!L499</f>
        <v/>
      </c>
      <c r="M509" s="742" t="str">
        <f>[1]K_Summary!M499</f>
        <v/>
      </c>
      <c r="N509" s="623"/>
    </row>
    <row r="510" spans="2:14" ht="5.15" customHeight="1" x14ac:dyDescent="0.25">
      <c r="B510" s="15"/>
      <c r="C510" s="15"/>
      <c r="D510" s="15"/>
      <c r="E510" s="416"/>
      <c r="F510" s="416"/>
      <c r="G510" s="416"/>
      <c r="H510" s="416"/>
      <c r="I510" s="741"/>
      <c r="J510" s="741"/>
      <c r="K510" s="741"/>
      <c r="L510" s="741"/>
      <c r="M510" s="741"/>
      <c r="N510" s="623"/>
    </row>
    <row r="511" spans="2:14" ht="12.75" customHeight="1" x14ac:dyDescent="0.25">
      <c r="B511" s="15"/>
      <c r="C511" s="15"/>
      <c r="D511" s="15"/>
      <c r="E511" s="2087" t="str">
        <f>Translations!$B$610</f>
        <v>Nettomängd exporterad värme</v>
      </c>
      <c r="F511" s="2087"/>
      <c r="G511" s="2087"/>
      <c r="H511" s="1606" t="str">
        <f>EUconst_TJpa</f>
        <v>TJ / år</v>
      </c>
      <c r="I511" s="739" t="str">
        <f>[1]K_Summary!I501</f>
        <v/>
      </c>
      <c r="J511" s="739" t="str">
        <f>[1]K_Summary!J501</f>
        <v/>
      </c>
      <c r="K511" s="739" t="str">
        <f>[1]K_Summary!K501</f>
        <v/>
      </c>
      <c r="L511" s="739" t="str">
        <f>[1]K_Summary!L501</f>
        <v/>
      </c>
      <c r="M511" s="739" t="str">
        <f>[1]K_Summary!M501</f>
        <v/>
      </c>
      <c r="N511" s="623"/>
    </row>
    <row r="512" spans="2:14" ht="12.75" customHeight="1" x14ac:dyDescent="0.25">
      <c r="B512" s="15"/>
      <c r="C512" s="15"/>
      <c r="D512" s="15"/>
      <c r="E512" s="2088" t="str">
        <f>Translations!$B$611</f>
        <v>Särskild emissionsfaktor (exporterad värme)</v>
      </c>
      <c r="F512" s="2088"/>
      <c r="G512" s="2088"/>
      <c r="H512" s="624" t="str">
        <f>EUconst_tCO2pTJ</f>
        <v>t CO2 / TJ</v>
      </c>
      <c r="I512" s="740" t="str">
        <f>[1]K_Summary!I502</f>
        <v/>
      </c>
      <c r="J512" s="740" t="str">
        <f>[1]K_Summary!J502</f>
        <v/>
      </c>
      <c r="K512" s="740" t="str">
        <f>[1]K_Summary!K502</f>
        <v/>
      </c>
      <c r="L512" s="740" t="str">
        <f>[1]K_Summary!L502</f>
        <v/>
      </c>
      <c r="M512" s="740" t="str">
        <f>[1]K_Summary!M502</f>
        <v/>
      </c>
      <c r="N512" s="623"/>
    </row>
    <row r="513" spans="2:14" ht="5.15" customHeight="1" x14ac:dyDescent="0.25">
      <c r="B513" s="15"/>
      <c r="C513" s="15"/>
      <c r="D513" s="15"/>
      <c r="E513" s="416"/>
      <c r="F513" s="416"/>
      <c r="G513" s="416"/>
      <c r="H513" s="416"/>
      <c r="I513" s="741"/>
      <c r="J513" s="741"/>
      <c r="K513" s="741"/>
      <c r="L513" s="741"/>
      <c r="M513" s="741"/>
      <c r="N513" s="623"/>
    </row>
    <row r="514" spans="2:14" ht="12.75" customHeight="1" x14ac:dyDescent="0.25">
      <c r="B514" s="15"/>
      <c r="C514" s="15"/>
      <c r="D514" s="15"/>
      <c r="E514" s="2087" t="str">
        <f>Translations!$B$618</f>
        <v>Producerad restgas</v>
      </c>
      <c r="F514" s="2087"/>
      <c r="G514" s="2087"/>
      <c r="H514" s="1606" t="str">
        <f>EUconst_TJpa</f>
        <v>TJ / år</v>
      </c>
      <c r="I514" s="739" t="str">
        <f>[1]K_Summary!I504</f>
        <v/>
      </c>
      <c r="J514" s="739" t="str">
        <f>[1]K_Summary!J504</f>
        <v/>
      </c>
      <c r="K514" s="739" t="str">
        <f>[1]K_Summary!K504</f>
        <v/>
      </c>
      <c r="L514" s="739" t="str">
        <f>[1]K_Summary!L504</f>
        <v/>
      </c>
      <c r="M514" s="739" t="str">
        <f>[1]K_Summary!M504</f>
        <v/>
      </c>
      <c r="N514" s="623"/>
    </row>
    <row r="515" spans="2:14" ht="12.75" customHeight="1" x14ac:dyDescent="0.25">
      <c r="B515" s="15"/>
      <c r="C515" s="15"/>
      <c r="D515" s="15"/>
      <c r="E515" s="2088" t="str">
        <f>Translations!$B$619</f>
        <v>Särskild emissionsfaktor (producerad restgas)</v>
      </c>
      <c r="F515" s="2088"/>
      <c r="G515" s="2088"/>
      <c r="H515" s="624" t="str">
        <f>EUconst_tCO2pTJ</f>
        <v>t CO2 / TJ</v>
      </c>
      <c r="I515" s="740" t="str">
        <f>[1]K_Summary!I505</f>
        <v/>
      </c>
      <c r="J515" s="740" t="str">
        <f>[1]K_Summary!J505</f>
        <v/>
      </c>
      <c r="K515" s="740" t="str">
        <f>[1]K_Summary!K505</f>
        <v/>
      </c>
      <c r="L515" s="740" t="str">
        <f>[1]K_Summary!L505</f>
        <v/>
      </c>
      <c r="M515" s="740" t="str">
        <f>[1]K_Summary!M505</f>
        <v/>
      </c>
      <c r="N515" s="623"/>
    </row>
    <row r="516" spans="2:14" ht="12.75" customHeight="1" x14ac:dyDescent="0.25">
      <c r="B516" s="15"/>
      <c r="C516" s="15"/>
      <c r="D516" s="15"/>
      <c r="E516" s="2087" t="str">
        <f>Translations!$B$623</f>
        <v>Förbrukad restgas</v>
      </c>
      <c r="F516" s="2087"/>
      <c r="G516" s="2087"/>
      <c r="H516" s="1606" t="str">
        <f>EUconst_TJpa</f>
        <v>TJ / år</v>
      </c>
      <c r="I516" s="739" t="str">
        <f>[1]K_Summary!I506</f>
        <v/>
      </c>
      <c r="J516" s="739" t="str">
        <f>[1]K_Summary!J506</f>
        <v/>
      </c>
      <c r="K516" s="739" t="str">
        <f>[1]K_Summary!K506</f>
        <v/>
      </c>
      <c r="L516" s="739" t="str">
        <f>[1]K_Summary!L506</f>
        <v/>
      </c>
      <c r="M516" s="739" t="str">
        <f>[1]K_Summary!M506</f>
        <v/>
      </c>
      <c r="N516" s="623"/>
    </row>
    <row r="517" spans="2:14" ht="12.75" customHeight="1" x14ac:dyDescent="0.25">
      <c r="B517" s="15"/>
      <c r="C517" s="15"/>
      <c r="D517" s="15"/>
      <c r="E517" s="2088" t="str">
        <f>Translations!$B$624</f>
        <v>Särskild emissionsfaktor (förbrukad restgas)</v>
      </c>
      <c r="F517" s="2088"/>
      <c r="G517" s="2088"/>
      <c r="H517" s="624" t="str">
        <f>EUconst_tCO2pTJ</f>
        <v>t CO2 / TJ</v>
      </c>
      <c r="I517" s="740" t="str">
        <f>[1]K_Summary!I507</f>
        <v/>
      </c>
      <c r="J517" s="740" t="str">
        <f>[1]K_Summary!J507</f>
        <v/>
      </c>
      <c r="K517" s="740" t="str">
        <f>[1]K_Summary!K507</f>
        <v/>
      </c>
      <c r="L517" s="740" t="str">
        <f>[1]K_Summary!L507</f>
        <v/>
      </c>
      <c r="M517" s="740" t="str">
        <f>[1]K_Summary!M507</f>
        <v/>
      </c>
      <c r="N517" s="623"/>
    </row>
    <row r="518" spans="2:14" ht="12.75" customHeight="1" x14ac:dyDescent="0.25">
      <c r="B518" s="15"/>
      <c r="C518" s="15"/>
      <c r="D518" s="15"/>
      <c r="E518" s="2087" t="str">
        <f>Translations!$B$630</f>
        <v>Facklad restgas</v>
      </c>
      <c r="F518" s="2087"/>
      <c r="G518" s="2087"/>
      <c r="H518" s="1606" t="str">
        <f>EUconst_TJpa</f>
        <v>TJ / år</v>
      </c>
      <c r="I518" s="739" t="str">
        <f>[1]K_Summary!I508</f>
        <v/>
      </c>
      <c r="J518" s="739" t="str">
        <f>[1]K_Summary!J508</f>
        <v/>
      </c>
      <c r="K518" s="739" t="str">
        <f>[1]K_Summary!K508</f>
        <v/>
      </c>
      <c r="L518" s="739" t="str">
        <f>[1]K_Summary!L508</f>
        <v/>
      </c>
      <c r="M518" s="739" t="str">
        <f>[1]K_Summary!M508</f>
        <v/>
      </c>
      <c r="N518" s="623"/>
    </row>
    <row r="519" spans="2:14" ht="12.75" customHeight="1" x14ac:dyDescent="0.25">
      <c r="B519" s="15"/>
      <c r="C519" s="15"/>
      <c r="D519" s="15"/>
      <c r="E519" s="2088" t="str">
        <f>Translations!$B$631</f>
        <v>Särskild emissionsfaktor (facklad restgas)</v>
      </c>
      <c r="F519" s="2088"/>
      <c r="G519" s="2088"/>
      <c r="H519" s="624" t="str">
        <f>EUconst_tCO2pTJ</f>
        <v>t CO2 / TJ</v>
      </c>
      <c r="I519" s="740" t="str">
        <f>[1]K_Summary!I509</f>
        <v/>
      </c>
      <c r="J519" s="740" t="str">
        <f>[1]K_Summary!J509</f>
        <v/>
      </c>
      <c r="K519" s="740" t="str">
        <f>[1]K_Summary!K509</f>
        <v/>
      </c>
      <c r="L519" s="740" t="str">
        <f>[1]K_Summary!L509</f>
        <v/>
      </c>
      <c r="M519" s="740" t="str">
        <f>[1]K_Summary!M509</f>
        <v/>
      </c>
      <c r="N519" s="623"/>
    </row>
    <row r="520" spans="2:14" ht="12.75" customHeight="1" x14ac:dyDescent="0.25">
      <c r="B520" s="15"/>
      <c r="C520" s="15"/>
      <c r="D520" s="15"/>
      <c r="E520" s="2087" t="str">
        <f>Translations!$B$636</f>
        <v>Importerad restgas</v>
      </c>
      <c r="F520" s="2087"/>
      <c r="G520" s="2087"/>
      <c r="H520" s="1606" t="str">
        <f>EUconst_TJpa</f>
        <v>TJ / år</v>
      </c>
      <c r="I520" s="739" t="str">
        <f>[1]K_Summary!I510</f>
        <v/>
      </c>
      <c r="J520" s="739" t="str">
        <f>[1]K_Summary!J510</f>
        <v/>
      </c>
      <c r="K520" s="739" t="str">
        <f>[1]K_Summary!K510</f>
        <v/>
      </c>
      <c r="L520" s="739" t="str">
        <f>[1]K_Summary!L510</f>
        <v/>
      </c>
      <c r="M520" s="739" t="str">
        <f>[1]K_Summary!M510</f>
        <v/>
      </c>
      <c r="N520" s="623"/>
    </row>
    <row r="521" spans="2:14" ht="12.75" customHeight="1" x14ac:dyDescent="0.25">
      <c r="B521" s="15"/>
      <c r="C521" s="15"/>
      <c r="D521" s="15"/>
      <c r="E521" s="2088" t="str">
        <f>Translations!$B$637</f>
        <v>Särskild emissionsfaktor (importerad restgas)</v>
      </c>
      <c r="F521" s="2088"/>
      <c r="G521" s="2088"/>
      <c r="H521" s="624" t="str">
        <f>EUconst_tCO2pTJ</f>
        <v>t CO2 / TJ</v>
      </c>
      <c r="I521" s="740" t="str">
        <f>[1]K_Summary!I511</f>
        <v/>
      </c>
      <c r="J521" s="740" t="str">
        <f>[1]K_Summary!J511</f>
        <v/>
      </c>
      <c r="K521" s="740" t="str">
        <f>[1]K_Summary!K511</f>
        <v/>
      </c>
      <c r="L521" s="740" t="str">
        <f>[1]K_Summary!L511</f>
        <v/>
      </c>
      <c r="M521" s="740" t="str">
        <f>[1]K_Summary!M511</f>
        <v/>
      </c>
      <c r="N521" s="623"/>
    </row>
    <row r="522" spans="2:14" ht="12.75" customHeight="1" x14ac:dyDescent="0.25">
      <c r="B522" s="15"/>
      <c r="C522" s="15"/>
      <c r="D522" s="15"/>
      <c r="E522" s="2087" t="str">
        <f>Translations!$B$641</f>
        <v>Exporterad restgas</v>
      </c>
      <c r="F522" s="2087"/>
      <c r="G522" s="2087"/>
      <c r="H522" s="1606" t="str">
        <f>EUconst_TJpa</f>
        <v>TJ / år</v>
      </c>
      <c r="I522" s="739" t="str">
        <f>[1]K_Summary!I512</f>
        <v/>
      </c>
      <c r="J522" s="739" t="str">
        <f>[1]K_Summary!J512</f>
        <v/>
      </c>
      <c r="K522" s="739" t="str">
        <f>[1]K_Summary!K512</f>
        <v/>
      </c>
      <c r="L522" s="739" t="str">
        <f>[1]K_Summary!L512</f>
        <v/>
      </c>
      <c r="M522" s="739" t="str">
        <f>[1]K_Summary!M512</f>
        <v/>
      </c>
      <c r="N522" s="623"/>
    </row>
    <row r="523" spans="2:14" ht="12.75" customHeight="1" x14ac:dyDescent="0.25">
      <c r="B523" s="15"/>
      <c r="C523" s="15"/>
      <c r="D523" s="15"/>
      <c r="E523" s="2088" t="str">
        <f>Translations!$B$642</f>
        <v>Särskild emissionsfaktor (exporterad restgas)</v>
      </c>
      <c r="F523" s="2088"/>
      <c r="G523" s="2088"/>
      <c r="H523" s="624" t="str">
        <f>EUconst_tCO2pTJ</f>
        <v>t CO2 / TJ</v>
      </c>
      <c r="I523" s="740" t="str">
        <f>[1]K_Summary!I513</f>
        <v/>
      </c>
      <c r="J523" s="740" t="str">
        <f>[1]K_Summary!J513</f>
        <v/>
      </c>
      <c r="K523" s="740" t="str">
        <f>[1]K_Summary!K513</f>
        <v/>
      </c>
      <c r="L523" s="740" t="str">
        <f>[1]K_Summary!L513</f>
        <v/>
      </c>
      <c r="M523" s="740" t="str">
        <f>[1]K_Summary!M513</f>
        <v/>
      </c>
      <c r="N523" s="623"/>
    </row>
    <row r="524" spans="2:14" ht="5.15" customHeight="1" x14ac:dyDescent="0.25">
      <c r="B524" s="15"/>
      <c r="C524" s="15"/>
      <c r="D524" s="15"/>
      <c r="E524" s="416"/>
      <c r="F524" s="416"/>
      <c r="G524" s="416"/>
      <c r="H524" s="416"/>
      <c r="I524" s="741"/>
      <c r="J524" s="741"/>
      <c r="K524" s="741"/>
      <c r="L524" s="741"/>
      <c r="M524" s="741"/>
      <c r="N524" s="623"/>
    </row>
    <row r="525" spans="2:14" ht="12.75" customHeight="1" x14ac:dyDescent="0.25">
      <c r="B525" s="15"/>
      <c r="C525" s="15"/>
      <c r="D525" s="15"/>
      <c r="E525" s="2080" t="str">
        <f>Translations!$B$530</f>
        <v>Relevant elförbrukning</v>
      </c>
      <c r="F525" s="2080"/>
      <c r="G525" s="2080"/>
      <c r="H525" s="363" t="str">
        <f>EUconst_MWhpa</f>
        <v>MWh / år</v>
      </c>
      <c r="I525" s="742" t="str">
        <f>[1]K_Summary!I515</f>
        <v/>
      </c>
      <c r="J525" s="742" t="str">
        <f>[1]K_Summary!J515</f>
        <v/>
      </c>
      <c r="K525" s="742" t="str">
        <f>[1]K_Summary!K515</f>
        <v/>
      </c>
      <c r="L525" s="742" t="str">
        <f>[1]K_Summary!L515</f>
        <v/>
      </c>
      <c r="M525" s="742" t="str">
        <f>[1]K_Summary!M515</f>
        <v/>
      </c>
      <c r="N525" s="623"/>
    </row>
    <row r="526" spans="2:14" ht="12.75" customHeight="1" x14ac:dyDescent="0.25">
      <c r="B526" s="15"/>
      <c r="C526" s="15"/>
      <c r="D526" s="15"/>
      <c r="E526" s="2080" t="str">
        <f>Translations!$B$645</f>
        <v>Producerad el</v>
      </c>
      <c r="F526" s="2080"/>
      <c r="G526" s="2080"/>
      <c r="H526" s="363" t="str">
        <f>EUconst_MWhpa</f>
        <v>MWh / år</v>
      </c>
      <c r="I526" s="742" t="str">
        <f>[1]K_Summary!I516</f>
        <v/>
      </c>
      <c r="J526" s="742" t="str">
        <f>[1]K_Summary!J516</f>
        <v/>
      </c>
      <c r="K526" s="742" t="str">
        <f>[1]K_Summary!K516</f>
        <v/>
      </c>
      <c r="L526" s="742" t="str">
        <f>[1]K_Summary!L516</f>
        <v/>
      </c>
      <c r="M526" s="742" t="str">
        <f>[1]K_Summary!M516</f>
        <v/>
      </c>
      <c r="N526" s="623"/>
    </row>
    <row r="527" spans="2:14" ht="5.15" customHeight="1" x14ac:dyDescent="0.25">
      <c r="B527" s="15"/>
      <c r="C527" s="15"/>
      <c r="D527" s="15"/>
      <c r="E527" s="416"/>
      <c r="F527" s="416"/>
      <c r="G527" s="416"/>
      <c r="H527" s="416"/>
      <c r="I527" s="741"/>
      <c r="J527" s="741"/>
      <c r="K527" s="741"/>
      <c r="L527" s="741"/>
      <c r="M527" s="741"/>
      <c r="N527" s="623"/>
    </row>
    <row r="528" spans="2:14" ht="12.75" customHeight="1" x14ac:dyDescent="0.25">
      <c r="B528" s="15"/>
      <c r="C528" s="15"/>
      <c r="D528" s="15"/>
      <c r="E528" s="2080" t="str">
        <f>Translations!$B$646</f>
        <v>Total producerad massamängd</v>
      </c>
      <c r="F528" s="2080"/>
      <c r="G528" s="2080"/>
      <c r="H528" s="363" t="str">
        <f>Translations!$B$1117</f>
        <v>ton</v>
      </c>
      <c r="I528" s="742" t="str">
        <f>[1]K_Summary!I518</f>
        <v/>
      </c>
      <c r="J528" s="742" t="str">
        <f>[1]K_Summary!J518</f>
        <v/>
      </c>
      <c r="K528" s="742" t="str">
        <f>[1]K_Summary!K518</f>
        <v/>
      </c>
      <c r="L528" s="742" t="str">
        <f>[1]K_Summary!L518</f>
        <v/>
      </c>
      <c r="M528" s="742" t="str">
        <f>[1]K_Summary!M518</f>
        <v/>
      </c>
      <c r="N528" s="623"/>
    </row>
    <row r="529" spans="2:16" ht="5.15" customHeight="1" x14ac:dyDescent="0.25">
      <c r="B529" s="15"/>
      <c r="C529" s="15"/>
      <c r="D529" s="15"/>
      <c r="E529" s="416"/>
      <c r="F529" s="416"/>
      <c r="G529" s="416"/>
      <c r="H529" s="416"/>
      <c r="I529" s="741"/>
      <c r="J529" s="741"/>
      <c r="K529" s="741"/>
      <c r="L529" s="741"/>
      <c r="M529" s="741"/>
      <c r="N529" s="623"/>
    </row>
    <row r="530" spans="2:16" x14ac:dyDescent="0.25">
      <c r="B530" s="15"/>
      <c r="C530" s="15"/>
      <c r="D530" s="15"/>
      <c r="E530" s="899" t="str">
        <f>Translations!$B$1057</f>
        <v>Mellanimport:</v>
      </c>
      <c r="F530" s="416"/>
      <c r="G530" s="416"/>
      <c r="H530" s="416"/>
      <c r="I530" s="741"/>
      <c r="J530" s="741"/>
      <c r="K530" s="741"/>
      <c r="L530" s="741"/>
      <c r="M530" s="741"/>
      <c r="N530" s="623"/>
    </row>
    <row r="531" spans="2:16" x14ac:dyDescent="0.25">
      <c r="B531" s="15"/>
      <c r="C531" s="15"/>
      <c r="D531" s="15"/>
      <c r="E531" s="2089" t="str">
        <f>[1]K_Summary!E521</f>
        <v/>
      </c>
      <c r="F531" s="2089"/>
      <c r="G531" s="2089"/>
      <c r="H531" s="363" t="str">
        <f>Translations!$B$1117</f>
        <v>ton</v>
      </c>
      <c r="I531" s="742" t="str">
        <f>[1]K_Summary!I521</f>
        <v/>
      </c>
      <c r="J531" s="742" t="str">
        <f>[1]K_Summary!J521</f>
        <v/>
      </c>
      <c r="K531" s="742" t="str">
        <f>[1]K_Summary!K521</f>
        <v/>
      </c>
      <c r="L531" s="742" t="str">
        <f>[1]K_Summary!L521</f>
        <v/>
      </c>
      <c r="M531" s="742" t="str">
        <f>[1]K_Summary!M521</f>
        <v/>
      </c>
      <c r="N531" s="623"/>
    </row>
    <row r="532" spans="2:16" x14ac:dyDescent="0.25">
      <c r="B532" s="15"/>
      <c r="C532" s="15"/>
      <c r="D532" s="15"/>
      <c r="E532" s="2089" t="str">
        <f>[1]K_Summary!E522</f>
        <v/>
      </c>
      <c r="F532" s="2089"/>
      <c r="G532" s="2089"/>
      <c r="H532" s="363" t="str">
        <f>Translations!$B$1117</f>
        <v>ton</v>
      </c>
      <c r="I532" s="742" t="str">
        <f>[1]K_Summary!I522</f>
        <v/>
      </c>
      <c r="J532" s="742" t="str">
        <f>[1]K_Summary!J522</f>
        <v/>
      </c>
      <c r="K532" s="742" t="str">
        <f>[1]K_Summary!K522</f>
        <v/>
      </c>
      <c r="L532" s="742" t="str">
        <f>[1]K_Summary!L522</f>
        <v/>
      </c>
      <c r="M532" s="742" t="str">
        <f>[1]K_Summary!M522</f>
        <v/>
      </c>
      <c r="N532" s="623"/>
    </row>
    <row r="533" spans="2:16" x14ac:dyDescent="0.25">
      <c r="B533" s="15"/>
      <c r="C533" s="15"/>
      <c r="D533" s="15"/>
      <c r="E533" s="899" t="str">
        <f>Translations!$B$1058</f>
        <v>Mellanexport:</v>
      </c>
      <c r="F533" s="416"/>
      <c r="G533" s="416"/>
      <c r="H533" s="416"/>
      <c r="I533" s="741"/>
      <c r="J533" s="741"/>
      <c r="K533" s="741"/>
      <c r="L533" s="741"/>
      <c r="M533" s="741"/>
      <c r="N533" s="623"/>
    </row>
    <row r="534" spans="2:16" x14ac:dyDescent="0.25">
      <c r="B534" s="15"/>
      <c r="C534" s="15"/>
      <c r="D534" s="15"/>
      <c r="E534" s="2089" t="str">
        <f>[1]K_Summary!E524</f>
        <v/>
      </c>
      <c r="F534" s="2089"/>
      <c r="G534" s="2089"/>
      <c r="H534" s="363" t="str">
        <f>Translations!$B$1117</f>
        <v>ton</v>
      </c>
      <c r="I534" s="742" t="str">
        <f>[1]K_Summary!I524</f>
        <v/>
      </c>
      <c r="J534" s="742" t="str">
        <f>[1]K_Summary!J524</f>
        <v/>
      </c>
      <c r="K534" s="742" t="str">
        <f>[1]K_Summary!K524</f>
        <v/>
      </c>
      <c r="L534" s="742" t="str">
        <f>[1]K_Summary!L524</f>
        <v/>
      </c>
      <c r="M534" s="742" t="str">
        <f>[1]K_Summary!M524</f>
        <v/>
      </c>
      <c r="N534" s="623"/>
    </row>
    <row r="535" spans="2:16" x14ac:dyDescent="0.25">
      <c r="B535" s="15"/>
      <c r="C535" s="15"/>
      <c r="D535" s="15"/>
      <c r="E535" s="2089" t="str">
        <f>[1]K_Summary!E525</f>
        <v/>
      </c>
      <c r="F535" s="2089"/>
      <c r="G535" s="2089"/>
      <c r="H535" s="363" t="str">
        <f>Translations!$B$1117</f>
        <v>ton</v>
      </c>
      <c r="I535" s="742" t="str">
        <f>[1]K_Summary!I525</f>
        <v/>
      </c>
      <c r="J535" s="742" t="str">
        <f>[1]K_Summary!J525</f>
        <v/>
      </c>
      <c r="K535" s="742" t="str">
        <f>[1]K_Summary!K525</f>
        <v/>
      </c>
      <c r="L535" s="742" t="str">
        <f>[1]K_Summary!L525</f>
        <v/>
      </c>
      <c r="M535" s="742" t="str">
        <f>[1]K_Summary!M525</f>
        <v/>
      </c>
      <c r="N535" s="623"/>
    </row>
    <row r="536" spans="2:16" ht="12.75" customHeight="1" x14ac:dyDescent="0.25">
      <c r="B536" s="15"/>
      <c r="C536" s="15"/>
      <c r="D536" s="15"/>
      <c r="E536" s="416"/>
      <c r="F536" s="416"/>
      <c r="G536" s="416"/>
      <c r="H536" s="416"/>
      <c r="I536" s="623"/>
      <c r="J536" s="623"/>
      <c r="K536" s="623"/>
      <c r="L536" s="623"/>
      <c r="M536" s="623"/>
      <c r="N536" s="623"/>
    </row>
    <row r="537" spans="2:16" ht="5.15" customHeight="1" thickBot="1" x14ac:dyDescent="0.3">
      <c r="B537" s="15"/>
      <c r="C537" s="15"/>
      <c r="D537" s="15"/>
      <c r="E537" s="748"/>
      <c r="F537" s="534"/>
      <c r="G537" s="534"/>
      <c r="H537" s="534"/>
      <c r="I537" s="534"/>
      <c r="J537" s="534"/>
      <c r="K537" s="534"/>
      <c r="L537" s="534"/>
      <c r="M537" s="534"/>
      <c r="N537" s="534"/>
    </row>
    <row r="538" spans="2:16" ht="5.15" customHeight="1" x14ac:dyDescent="0.25">
      <c r="B538" s="3"/>
      <c r="C538" s="230"/>
      <c r="D538" s="230"/>
      <c r="E538" s="230"/>
      <c r="F538" s="230"/>
      <c r="G538" s="230"/>
      <c r="H538" s="230"/>
      <c r="I538" s="230"/>
      <c r="J538" s="230"/>
      <c r="K538" s="230"/>
      <c r="L538" s="230"/>
      <c r="M538" s="230"/>
      <c r="N538" s="230"/>
    </row>
    <row r="539" spans="2:16" ht="15" customHeight="1" x14ac:dyDescent="0.3">
      <c r="B539" s="15"/>
      <c r="C539" s="17">
        <v>2</v>
      </c>
      <c r="D539" s="2053" t="str">
        <f>Euconst_ProdBMSub &amp; " " &amp; C539 &amp; ":"</f>
        <v>Delanläggning med produktriktmärke 2:</v>
      </c>
      <c r="E539" s="2053"/>
      <c r="F539" s="2053"/>
      <c r="G539" s="2053"/>
      <c r="H539" s="2081"/>
      <c r="I539" s="2090" t="str">
        <f>[1]K_Summary!I529</f>
        <v/>
      </c>
      <c r="J539" s="2091"/>
      <c r="K539" s="2091"/>
      <c r="L539" s="2091"/>
      <c r="M539" s="2091"/>
      <c r="N539" s="2092"/>
    </row>
    <row r="540" spans="2:16" ht="5.15" customHeight="1" thickBot="1" x14ac:dyDescent="0.3">
      <c r="B540" s="15"/>
      <c r="C540" s="15"/>
      <c r="D540" s="15"/>
      <c r="E540" s="15"/>
      <c r="F540" s="15"/>
      <c r="G540" s="15"/>
      <c r="H540" s="15"/>
      <c r="I540" s="15"/>
      <c r="J540" s="15"/>
      <c r="K540" s="15"/>
      <c r="L540" s="15"/>
      <c r="M540" s="15"/>
      <c r="N540" s="15"/>
    </row>
    <row r="541" spans="2:16" x14ac:dyDescent="0.25">
      <c r="B541" s="15"/>
      <c r="C541" s="15"/>
      <c r="D541" s="15"/>
      <c r="E541" s="15"/>
      <c r="F541" s="15"/>
      <c r="G541" s="15"/>
      <c r="H541" s="506" t="str">
        <f>Translations!$B$1022</f>
        <v>KL-risk</v>
      </c>
      <c r="I541" s="507" t="s">
        <v>1380</v>
      </c>
      <c r="J541" s="507" t="str">
        <f>Translations!$B$1026</f>
        <v>I drift</v>
      </c>
      <c r="K541" s="507" t="str">
        <f>Translations!$B$1024</f>
        <v>RM-nummer</v>
      </c>
      <c r="L541" s="612" t="str">
        <f>Translations!$B$1030</f>
        <v>15(7).3?</v>
      </c>
      <c r="M541" s="786" t="str">
        <f>Translations!$B$1052</f>
        <v>RM-värde (min./max./faktiskt)</v>
      </c>
      <c r="N541" s="787"/>
    </row>
    <row r="542" spans="2:16" x14ac:dyDescent="0.25">
      <c r="B542" s="15"/>
      <c r="C542" s="15"/>
      <c r="D542" s="15"/>
      <c r="E542" s="508" t="str">
        <f>[1]K_Summary!E532</f>
        <v/>
      </c>
      <c r="F542" s="509"/>
      <c r="G542" s="464"/>
      <c r="H542" s="510" t="str">
        <f>[1]K_Summary!H532</f>
        <v>N.A.</v>
      </c>
      <c r="I542" s="511" t="str">
        <f>[1]K_Summary!I532</f>
        <v/>
      </c>
      <c r="J542" s="642" t="str">
        <f>[1]K_Summary!J532</f>
        <v>N.A.</v>
      </c>
      <c r="K542" s="421" t="str">
        <f>[1]K_Summary!K532</f>
        <v>N.A.</v>
      </c>
      <c r="L542" s="1598" t="str">
        <f>[1]K_Summary!L532</f>
        <v/>
      </c>
      <c r="M542" s="1599" t="str">
        <f>[1]K_Summary!M532</f>
        <v>N.A.</v>
      </c>
      <c r="N542" s="788" t="str">
        <f>EUconst_EUA &amp; "/" &amp; H547</f>
        <v>EUA/tonnes</v>
      </c>
    </row>
    <row r="543" spans="2:16" x14ac:dyDescent="0.25">
      <c r="B543" s="15"/>
      <c r="C543" s="15"/>
      <c r="D543" s="15"/>
      <c r="E543" s="534"/>
      <c r="F543" s="534"/>
      <c r="G543" s="507" t="str">
        <f>Translations!$B$1036</f>
        <v>Värme utanför ETS</v>
      </c>
      <c r="H543" s="612" t="str">
        <f>Translations!$B$1038</f>
        <v>Wgfacklad</v>
      </c>
      <c r="I543" s="507" t="s">
        <v>1526</v>
      </c>
      <c r="J543" s="507" t="s">
        <v>1527</v>
      </c>
      <c r="K543" s="507" t="s">
        <v>1528</v>
      </c>
      <c r="L543" s="612" t="str">
        <f>Translations!$B$1032</f>
        <v>15(7).3 HAL</v>
      </c>
      <c r="M543" s="1599" t="str">
        <f>[1]K_Summary!M533</f>
        <v>N.A.</v>
      </c>
      <c r="N543" s="788" t="str">
        <f>EUconst_EUA &amp; "/" &amp; H547</f>
        <v>EUA/tonnes</v>
      </c>
    </row>
    <row r="544" spans="2:16" ht="13" thickBot="1" x14ac:dyDescent="0.3">
      <c r="B544" s="15"/>
      <c r="C544" s="15"/>
      <c r="D544" s="15"/>
      <c r="E544" s="1293" t="str">
        <f>Translations!$B$1053</f>
        <v>Särskilda faktorer:</v>
      </c>
      <c r="F544" s="1600"/>
      <c r="G544" s="421" t="str">
        <f>[1]K_Summary!G534</f>
        <v/>
      </c>
      <c r="H544" s="641" t="str">
        <f>[1]K_Summary!H534</f>
        <v/>
      </c>
      <c r="I544" s="1601">
        <f>[1]K_Summary!I534</f>
        <v>1</v>
      </c>
      <c r="J544" s="421" t="str">
        <f>[1]K_Summary!J534</f>
        <v/>
      </c>
      <c r="K544" s="662" t="str">
        <f>[1]K_Summary!K534</f>
        <v/>
      </c>
      <c r="L544" s="641" t="str">
        <f>[1]K_Summary!L534</f>
        <v/>
      </c>
      <c r="M544" s="1602" t="str">
        <f>[1]K_Summary!M534</f>
        <v>N.A.</v>
      </c>
      <c r="N544" s="789" t="str">
        <f>EUconst_EUA &amp; "/" &amp; H547</f>
        <v>EUA/tonnes</v>
      </c>
      <c r="P544" s="1903" t="b">
        <f>IF(ISNUMBER(K542),INDEX(EUconst_BMlistBMvalues,K542)&lt;&gt;M544,FALSE)</f>
        <v>0</v>
      </c>
    </row>
    <row r="545" spans="2:14" ht="5.15" customHeight="1" x14ac:dyDescent="0.25">
      <c r="B545" s="15"/>
      <c r="C545" s="15"/>
      <c r="D545" s="15"/>
      <c r="E545" s="15"/>
      <c r="F545" s="15"/>
      <c r="G545" s="15"/>
      <c r="H545" s="15"/>
      <c r="I545" s="15"/>
      <c r="J545" s="15"/>
      <c r="K545" s="15"/>
      <c r="L545" s="15"/>
      <c r="M545" s="15"/>
      <c r="N545" s="15"/>
    </row>
    <row r="546" spans="2:14" ht="13" x14ac:dyDescent="0.25">
      <c r="B546" s="15"/>
      <c r="C546" s="15"/>
      <c r="D546" s="15"/>
      <c r="E546" s="188"/>
      <c r="F546" s="188"/>
      <c r="G546" s="512"/>
      <c r="H546" s="1603" t="str">
        <f>Translations!$B$1014</f>
        <v>Enhet</v>
      </c>
      <c r="I546" s="350">
        <v>2014</v>
      </c>
      <c r="J546" s="350">
        <v>2015</v>
      </c>
      <c r="K546" s="350">
        <v>2016</v>
      </c>
      <c r="L546" s="350">
        <v>2017</v>
      </c>
      <c r="M546" s="350">
        <v>2018</v>
      </c>
      <c r="N546" s="15"/>
    </row>
    <row r="547" spans="2:14" x14ac:dyDescent="0.25">
      <c r="B547" s="15"/>
      <c r="C547" s="15"/>
      <c r="D547" s="15"/>
      <c r="E547" s="513" t="str">
        <f>Translations!$B$1054</f>
        <v>Rapporterad HAL (historisk verksamhetsnivå)</v>
      </c>
      <c r="F547" s="514"/>
      <c r="G547" s="515"/>
      <c r="H547" s="510" t="str">
        <f>[1]K_Summary!H537</f>
        <v>tonnes</v>
      </c>
      <c r="I547" s="421" t="str">
        <f>[1]K_Summary!I537</f>
        <v/>
      </c>
      <c r="J547" s="421" t="str">
        <f>[1]K_Summary!J537</f>
        <v/>
      </c>
      <c r="K547" s="421" t="str">
        <f>[1]K_Summary!K537</f>
        <v/>
      </c>
      <c r="L547" s="421" t="str">
        <f>[1]K_Summary!L537</f>
        <v/>
      </c>
      <c r="M547" s="421" t="str">
        <f>[1]K_Summary!M537</f>
        <v/>
      </c>
      <c r="N547" s="507" t="str">
        <f>Translations!$B$1042</f>
        <v>Genomsnitt</v>
      </c>
    </row>
    <row r="548" spans="2:14" x14ac:dyDescent="0.25">
      <c r="B548" s="15"/>
      <c r="C548" s="15"/>
      <c r="D548" s="15"/>
      <c r="E548" s="513" t="str">
        <f>Translations!$B$1055</f>
        <v>Värden som används för HAL-beräkning:</v>
      </c>
      <c r="F548" s="514"/>
      <c r="G548" s="515"/>
      <c r="H548" s="510" t="str">
        <f>[1]K_Summary!H538</f>
        <v>tonnes</v>
      </c>
      <c r="I548" s="421" t="str">
        <f>[1]K_Summary!I538</f>
        <v/>
      </c>
      <c r="J548" s="421" t="str">
        <f>[1]K_Summary!J538</f>
        <v/>
      </c>
      <c r="K548" s="421" t="str">
        <f>[1]K_Summary!K538</f>
        <v/>
      </c>
      <c r="L548" s="421" t="str">
        <f>[1]K_Summary!L538</f>
        <v/>
      </c>
      <c r="M548" s="421" t="str">
        <f>[1]K_Summary!M538</f>
        <v/>
      </c>
      <c r="N548" s="421" t="str">
        <f>[1]K_Summary!N538</f>
        <v/>
      </c>
    </row>
    <row r="549" spans="2:14" ht="5.15" customHeight="1" x14ac:dyDescent="0.25">
      <c r="B549" s="15"/>
      <c r="C549" s="15"/>
      <c r="D549" s="15"/>
      <c r="E549" s="1604"/>
      <c r="F549" s="1604"/>
      <c r="G549" s="1604"/>
      <c r="H549" s="1604"/>
      <c r="I549" s="1604"/>
      <c r="J549" s="1604"/>
      <c r="K549" s="1604"/>
      <c r="L549" s="1604"/>
      <c r="M549" s="534"/>
      <c r="N549" s="534"/>
    </row>
    <row r="550" spans="2:14" ht="13" thickBot="1" x14ac:dyDescent="0.3">
      <c r="B550" s="15"/>
      <c r="C550" s="534"/>
      <c r="D550" s="15"/>
      <c r="E550" s="1604"/>
      <c r="F550" s="617" t="s">
        <v>1385</v>
      </c>
      <c r="G550" s="618"/>
      <c r="H550" s="534"/>
      <c r="I550" s="617" t="str">
        <f>Translations!$B$1044</f>
        <v>Prel. tilldelning år 1 (min.)</v>
      </c>
      <c r="J550" s="618"/>
      <c r="K550" s="617" t="str">
        <f>Translations!$B$1047</f>
        <v>Prel. tilldelning år 1 (max.)</v>
      </c>
      <c r="L550" s="618"/>
      <c r="M550" s="617" t="str">
        <f>Translations!$B$1049</f>
        <v>Prel. tilldelning år 1 (faktisk)</v>
      </c>
      <c r="N550" s="618"/>
    </row>
    <row r="551" spans="2:14" ht="13.5" thickBot="1" x14ac:dyDescent="0.3">
      <c r="B551" s="15"/>
      <c r="C551" s="534"/>
      <c r="D551" s="534"/>
      <c r="E551" s="1604"/>
      <c r="F551" s="517" t="str">
        <f>[1]K_Summary!F541</f>
        <v/>
      </c>
      <c r="G551" s="1605" t="str">
        <f>[1]K_Summary!G541</f>
        <v>tonnes / year</v>
      </c>
      <c r="H551" s="534"/>
      <c r="I551" s="616" t="str">
        <f>[1]K_Summary!I541</f>
        <v/>
      </c>
      <c r="J551" s="709" t="str">
        <f>EUconst_EUApa</f>
        <v>EUA / år</v>
      </c>
      <c r="K551" s="616" t="str">
        <f>[1]K_Summary!K541</f>
        <v/>
      </c>
      <c r="L551" s="709" t="str">
        <f>EUconst_EUApa</f>
        <v>EUA / år</v>
      </c>
      <c r="M551" s="616" t="str">
        <f>[1]K_Summary!M541</f>
        <v/>
      </c>
      <c r="N551" s="709" t="str">
        <f>EUconst_EUApa</f>
        <v>EUA / år</v>
      </c>
    </row>
    <row r="552" spans="2:14" ht="5.15" customHeight="1" x14ac:dyDescent="0.25">
      <c r="B552" s="15"/>
      <c r="C552" s="15"/>
      <c r="D552" s="534"/>
      <c r="E552" s="289"/>
      <c r="F552" s="15"/>
      <c r="G552" s="15"/>
      <c r="H552" s="15"/>
      <c r="I552" s="15"/>
      <c r="J552" s="15"/>
      <c r="K552" s="15"/>
      <c r="L552" s="15"/>
      <c r="M552" s="15"/>
      <c r="N552" s="15"/>
    </row>
    <row r="553" spans="2:14" ht="12.75" customHeight="1" x14ac:dyDescent="0.25">
      <c r="B553" s="15"/>
      <c r="C553" s="15"/>
      <c r="D553" s="15"/>
      <c r="E553" s="416"/>
      <c r="F553" s="623"/>
      <c r="G553" s="623"/>
      <c r="H553" s="623"/>
      <c r="I553" s="623"/>
      <c r="J553" s="623"/>
      <c r="K553" s="623"/>
      <c r="L553" s="623"/>
      <c r="M553" s="623"/>
      <c r="N553" s="623"/>
    </row>
    <row r="554" spans="2:14" ht="13.5" thickBot="1" x14ac:dyDescent="0.3">
      <c r="B554" s="15"/>
      <c r="C554" s="15"/>
      <c r="D554" s="15"/>
      <c r="E554" s="416"/>
      <c r="F554" s="623"/>
      <c r="G554" s="623"/>
      <c r="H554" s="415" t="str">
        <f>Translations!$B$1014</f>
        <v>Enhet</v>
      </c>
      <c r="I554" s="744">
        <v>2014</v>
      </c>
      <c r="J554" s="362">
        <v>2015</v>
      </c>
      <c r="K554" s="362">
        <v>2016</v>
      </c>
      <c r="L554" s="362">
        <v>2017</v>
      </c>
      <c r="M554" s="362">
        <v>2018</v>
      </c>
      <c r="N554" s="623"/>
    </row>
    <row r="555" spans="2:14" ht="13.5" customHeight="1" thickBot="1" x14ac:dyDescent="0.3">
      <c r="B555" s="15"/>
      <c r="C555" s="15"/>
      <c r="D555" s="15"/>
      <c r="E555" s="2074" t="str">
        <f>Translations!$B$1056</f>
        <v>Totala tillskrivna utsläpp</v>
      </c>
      <c r="F555" s="2074"/>
      <c r="G555" s="2074"/>
      <c r="H555" s="710" t="str">
        <f>EUconst_tCO2epa</f>
        <v>t CO2e/år</v>
      </c>
      <c r="I555" s="735" t="str">
        <f>[1]K_Summary!I545</f>
        <v/>
      </c>
      <c r="J555" s="736" t="str">
        <f>[1]K_Summary!J545</f>
        <v/>
      </c>
      <c r="K555" s="736" t="str">
        <f>[1]K_Summary!K545</f>
        <v/>
      </c>
      <c r="L555" s="736" t="str">
        <f>[1]K_Summary!L545</f>
        <v/>
      </c>
      <c r="M555" s="737" t="str">
        <f>[1]K_Summary!M545</f>
        <v/>
      </c>
      <c r="N555" s="623"/>
    </row>
    <row r="556" spans="2:14" ht="5.15" customHeight="1" x14ac:dyDescent="0.25">
      <c r="B556" s="15"/>
      <c r="C556" s="15"/>
      <c r="D556" s="15"/>
      <c r="E556" s="416"/>
      <c r="F556" s="416"/>
      <c r="G556" s="416"/>
      <c r="H556" s="416"/>
      <c r="I556" s="738"/>
      <c r="J556" s="738"/>
      <c r="K556" s="738"/>
      <c r="L556" s="738"/>
      <c r="M556" s="738"/>
      <c r="N556" s="416"/>
    </row>
    <row r="557" spans="2:14" x14ac:dyDescent="0.25">
      <c r="B557" s="15"/>
      <c r="C557" s="15"/>
      <c r="D557" s="15"/>
      <c r="E557" s="2087" t="str">
        <f>Translations!$B$571</f>
        <v>Insatsbränsle</v>
      </c>
      <c r="F557" s="2087"/>
      <c r="G557" s="2087"/>
      <c r="H557" s="1606" t="str">
        <f>EUconst_TJpa</f>
        <v>TJ / år</v>
      </c>
      <c r="I557" s="739" t="str">
        <f>[1]K_Summary!I547</f>
        <v/>
      </c>
      <c r="J557" s="739" t="str">
        <f>[1]K_Summary!J547</f>
        <v/>
      </c>
      <c r="K557" s="739" t="str">
        <f>[1]K_Summary!K547</f>
        <v/>
      </c>
      <c r="L557" s="739" t="str">
        <f>[1]K_Summary!L547</f>
        <v/>
      </c>
      <c r="M557" s="739" t="str">
        <f>[1]K_Summary!M547</f>
        <v/>
      </c>
      <c r="N557" s="623"/>
    </row>
    <row r="558" spans="2:14" ht="12.75" customHeight="1" x14ac:dyDescent="0.25">
      <c r="B558" s="15"/>
      <c r="C558" s="15"/>
      <c r="D558" s="15"/>
      <c r="E558" s="2088" t="str">
        <f>Translations!$B$572</f>
        <v>Viktad emissionsfaktor</v>
      </c>
      <c r="F558" s="2088"/>
      <c r="G558" s="2088"/>
      <c r="H558" s="624" t="str">
        <f>EUconst_tCO2pTJ</f>
        <v>t CO2 / TJ</v>
      </c>
      <c r="I558" s="740" t="str">
        <f>[1]K_Summary!I548</f>
        <v/>
      </c>
      <c r="J558" s="740" t="str">
        <f>[1]K_Summary!J548</f>
        <v/>
      </c>
      <c r="K558" s="740" t="str">
        <f>[1]K_Summary!K548</f>
        <v/>
      </c>
      <c r="L558" s="740" t="str">
        <f>[1]K_Summary!L548</f>
        <v/>
      </c>
      <c r="M558" s="740" t="str">
        <f>[1]K_Summary!M548</f>
        <v/>
      </c>
      <c r="N558" s="623"/>
    </row>
    <row r="559" spans="2:14" ht="5.15" customHeight="1" x14ac:dyDescent="0.25">
      <c r="B559" s="15"/>
      <c r="C559" s="15"/>
      <c r="D559" s="534"/>
      <c r="E559" s="416"/>
      <c r="F559" s="623"/>
      <c r="G559" s="623"/>
      <c r="H559" s="623"/>
      <c r="I559" s="741"/>
      <c r="J559" s="741"/>
      <c r="K559" s="741"/>
      <c r="L559" s="741"/>
      <c r="M559" s="741"/>
      <c r="N559" s="623"/>
    </row>
    <row r="560" spans="2:14" ht="12.75" customHeight="1" x14ac:dyDescent="0.25">
      <c r="B560" s="15"/>
      <c r="C560" s="15"/>
      <c r="D560" s="534"/>
      <c r="E560" s="2080" t="str">
        <f>Translations!$B$528</f>
        <v>Direkta utsläpp</v>
      </c>
      <c r="F560" s="2080"/>
      <c r="G560" s="2080"/>
      <c r="H560" s="363" t="str">
        <f>EUconst_tCO2pa</f>
        <v>t CO2 / år</v>
      </c>
      <c r="I560" s="742" t="str">
        <f>[1]K_Summary!I550</f>
        <v/>
      </c>
      <c r="J560" s="742" t="str">
        <f>[1]K_Summary!J550</f>
        <v/>
      </c>
      <c r="K560" s="742" t="str">
        <f>[1]K_Summary!K550</f>
        <v/>
      </c>
      <c r="L560" s="742" t="str">
        <f>[1]K_Summary!L550</f>
        <v/>
      </c>
      <c r="M560" s="742" t="str">
        <f>[1]K_Summary!M550</f>
        <v/>
      </c>
      <c r="N560" s="623"/>
    </row>
    <row r="561" spans="2:14" ht="12.75" customHeight="1" x14ac:dyDescent="0.25">
      <c r="B561" s="15"/>
      <c r="C561" s="15"/>
      <c r="D561" s="534"/>
      <c r="E561" s="2080" t="str">
        <f>Translations!$B$582</f>
        <v>Andra bränsle-/materialmängder – 1</v>
      </c>
      <c r="F561" s="2080"/>
      <c r="G561" s="2080"/>
      <c r="H561" s="363" t="str">
        <f>EUconst_tCO2pa</f>
        <v>t CO2 / år</v>
      </c>
      <c r="I561" s="742" t="str">
        <f>[1]K_Summary!I551</f>
        <v/>
      </c>
      <c r="J561" s="742" t="str">
        <f>[1]K_Summary!J551</f>
        <v/>
      </c>
      <c r="K561" s="742" t="str">
        <f>[1]K_Summary!K551</f>
        <v/>
      </c>
      <c r="L561" s="742" t="str">
        <f>[1]K_Summary!L551</f>
        <v/>
      </c>
      <c r="M561" s="742" t="str">
        <f>[1]K_Summary!M551</f>
        <v/>
      </c>
      <c r="N561" s="623"/>
    </row>
    <row r="562" spans="2:14" ht="12.75" customHeight="1" x14ac:dyDescent="0.25">
      <c r="B562" s="15"/>
      <c r="C562" s="15"/>
      <c r="D562" s="534"/>
      <c r="E562" s="2080" t="str">
        <f>Translations!$B$592</f>
        <v>Andra bränsle-/materialmängder – 2</v>
      </c>
      <c r="F562" s="2080"/>
      <c r="G562" s="2080"/>
      <c r="H562" s="363" t="str">
        <f>EUconst_tCO2pa</f>
        <v>t CO2 / år</v>
      </c>
      <c r="I562" s="742" t="str">
        <f>[1]K_Summary!I552</f>
        <v/>
      </c>
      <c r="J562" s="742" t="str">
        <f>[1]K_Summary!J552</f>
        <v/>
      </c>
      <c r="K562" s="742" t="str">
        <f>[1]K_Summary!K552</f>
        <v/>
      </c>
      <c r="L562" s="742" t="str">
        <f>[1]K_Summary!L552</f>
        <v/>
      </c>
      <c r="M562" s="742" t="str">
        <f>[1]K_Summary!M552</f>
        <v/>
      </c>
      <c r="N562" s="623"/>
    </row>
    <row r="563" spans="2:14" ht="12.75" customHeight="1" x14ac:dyDescent="0.25">
      <c r="B563" s="15"/>
      <c r="C563" s="15"/>
      <c r="D563" s="15"/>
      <c r="E563" s="2080" t="str">
        <f>Translations!$B$596</f>
        <v>Importerade eller exporterade växthusgaser</v>
      </c>
      <c r="F563" s="2080"/>
      <c r="G563" s="2080"/>
      <c r="H563" s="363" t="str">
        <f>EUconst_tCO2epa</f>
        <v>t CO2e/år</v>
      </c>
      <c r="I563" s="742" t="str">
        <f>[1]K_Summary!I553</f>
        <v/>
      </c>
      <c r="J563" s="742" t="str">
        <f>[1]K_Summary!J553</f>
        <v/>
      </c>
      <c r="K563" s="742" t="str">
        <f>[1]K_Summary!K553</f>
        <v/>
      </c>
      <c r="L563" s="742" t="str">
        <f>[1]K_Summary!L553</f>
        <v/>
      </c>
      <c r="M563" s="742" t="str">
        <f>[1]K_Summary!M553</f>
        <v/>
      </c>
      <c r="N563" s="623"/>
    </row>
    <row r="564" spans="2:14" ht="5.15" customHeight="1" x14ac:dyDescent="0.25">
      <c r="B564" s="15"/>
      <c r="C564" s="15"/>
      <c r="D564" s="15"/>
      <c r="E564" s="623"/>
      <c r="F564" s="623"/>
      <c r="G564" s="623"/>
      <c r="H564" s="623"/>
      <c r="I564" s="741"/>
      <c r="J564" s="741"/>
      <c r="K564" s="741"/>
      <c r="L564" s="741"/>
      <c r="M564" s="741"/>
      <c r="N564" s="623"/>
    </row>
    <row r="565" spans="2:14" ht="12.75" customHeight="1" x14ac:dyDescent="0.25">
      <c r="B565" s="15"/>
      <c r="C565" s="15"/>
      <c r="D565" s="15"/>
      <c r="E565" s="2087" t="str">
        <f>Translations!$B$604</f>
        <v>Nettomängd importerad värme</v>
      </c>
      <c r="F565" s="2087"/>
      <c r="G565" s="2087"/>
      <c r="H565" s="1606" t="str">
        <f>EUconst_TJpa</f>
        <v>TJ / år</v>
      </c>
      <c r="I565" s="739" t="str">
        <f>[1]K_Summary!I555</f>
        <v/>
      </c>
      <c r="J565" s="739" t="str">
        <f>[1]K_Summary!J555</f>
        <v/>
      </c>
      <c r="K565" s="739" t="str">
        <f>[1]K_Summary!K555</f>
        <v/>
      </c>
      <c r="L565" s="739" t="str">
        <f>[1]K_Summary!L555</f>
        <v/>
      </c>
      <c r="M565" s="739" t="str">
        <f>[1]K_Summary!M555</f>
        <v/>
      </c>
      <c r="N565" s="623"/>
    </row>
    <row r="566" spans="2:14" ht="12.75" customHeight="1" x14ac:dyDescent="0.25">
      <c r="B566" s="15"/>
      <c r="C566" s="15"/>
      <c r="D566" s="15"/>
      <c r="E566" s="2088" t="str">
        <f>Translations!$B$605</f>
        <v>Särskild emissionsfaktor (importerad värme)</v>
      </c>
      <c r="F566" s="2088"/>
      <c r="G566" s="2088"/>
      <c r="H566" s="624" t="str">
        <f>EUconst_tCO2pTJ</f>
        <v>t CO2 / TJ</v>
      </c>
      <c r="I566" s="740" t="str">
        <f>[1]K_Summary!I556</f>
        <v/>
      </c>
      <c r="J566" s="740" t="str">
        <f>[1]K_Summary!J556</f>
        <v/>
      </c>
      <c r="K566" s="740" t="str">
        <f>[1]K_Summary!K556</f>
        <v/>
      </c>
      <c r="L566" s="740" t="str">
        <f>[1]K_Summary!L556</f>
        <v/>
      </c>
      <c r="M566" s="740" t="str">
        <f>[1]K_Summary!M556</f>
        <v/>
      </c>
      <c r="N566" s="623"/>
    </row>
    <row r="567" spans="2:14" ht="5.15" customHeight="1" x14ac:dyDescent="0.25">
      <c r="B567" s="15"/>
      <c r="C567" s="15"/>
      <c r="D567" s="15"/>
      <c r="E567" s="416"/>
      <c r="F567" s="623"/>
      <c r="G567" s="623"/>
      <c r="H567" s="623"/>
      <c r="I567" s="741"/>
      <c r="J567" s="741"/>
      <c r="K567" s="741"/>
      <c r="L567" s="741"/>
      <c r="M567" s="741"/>
      <c r="N567" s="623"/>
    </row>
    <row r="568" spans="2:14" ht="12.75" customHeight="1" x14ac:dyDescent="0.25">
      <c r="B568" s="15"/>
      <c r="C568" s="15"/>
      <c r="D568" s="15"/>
      <c r="E568" s="2080" t="str">
        <f>Translations!$B$659</f>
        <v>Importerad nettovärme från massa</v>
      </c>
      <c r="F568" s="2080"/>
      <c r="G568" s="2080"/>
      <c r="H568" s="363" t="str">
        <f>EUconst_TJpa</f>
        <v>TJ / år</v>
      </c>
      <c r="I568" s="742" t="str">
        <f>[1]K_Summary!I558</f>
        <v/>
      </c>
      <c r="J568" s="742" t="str">
        <f>[1]K_Summary!J558</f>
        <v/>
      </c>
      <c r="K568" s="742" t="str">
        <f>[1]K_Summary!K558</f>
        <v/>
      </c>
      <c r="L568" s="742" t="str">
        <f>[1]K_Summary!L558</f>
        <v/>
      </c>
      <c r="M568" s="742" t="str">
        <f>[1]K_Summary!M558</f>
        <v/>
      </c>
      <c r="N568" s="623"/>
    </row>
    <row r="569" spans="2:14" ht="12.75" customHeight="1" x14ac:dyDescent="0.25">
      <c r="B569" s="15"/>
      <c r="C569" s="15"/>
      <c r="D569" s="15"/>
      <c r="E569" s="2080" t="str">
        <f>Translations!$B$608</f>
        <v>Nettomängd importerad värme från delanläggningar för salpetersyra</v>
      </c>
      <c r="F569" s="2080"/>
      <c r="G569" s="2080"/>
      <c r="H569" s="363" t="str">
        <f>EUconst_TJpa</f>
        <v>TJ / år</v>
      </c>
      <c r="I569" s="742" t="str">
        <f>[1]K_Summary!I559</f>
        <v/>
      </c>
      <c r="J569" s="742" t="str">
        <f>[1]K_Summary!J559</f>
        <v/>
      </c>
      <c r="K569" s="742" t="str">
        <f>[1]K_Summary!K559</f>
        <v/>
      </c>
      <c r="L569" s="742" t="str">
        <f>[1]K_Summary!L559</f>
        <v/>
      </c>
      <c r="M569" s="742" t="str">
        <f>[1]K_Summary!M559</f>
        <v/>
      </c>
      <c r="N569" s="623"/>
    </row>
    <row r="570" spans="2:14" ht="5.15" customHeight="1" x14ac:dyDescent="0.25">
      <c r="B570" s="15"/>
      <c r="C570" s="15"/>
      <c r="D570" s="15"/>
      <c r="E570" s="416"/>
      <c r="F570" s="416"/>
      <c r="G570" s="416"/>
      <c r="H570" s="416"/>
      <c r="I570" s="741"/>
      <c r="J570" s="741"/>
      <c r="K570" s="741"/>
      <c r="L570" s="741"/>
      <c r="M570" s="741"/>
      <c r="N570" s="623"/>
    </row>
    <row r="571" spans="2:14" ht="12.75" customHeight="1" x14ac:dyDescent="0.25">
      <c r="B571" s="15"/>
      <c r="C571" s="15"/>
      <c r="D571" s="15"/>
      <c r="E571" s="2087" t="str">
        <f>Translations!$B$610</f>
        <v>Nettomängd exporterad värme</v>
      </c>
      <c r="F571" s="2087"/>
      <c r="G571" s="2087"/>
      <c r="H571" s="1606" t="str">
        <f>EUconst_TJpa</f>
        <v>TJ / år</v>
      </c>
      <c r="I571" s="739" t="str">
        <f>[1]K_Summary!I561</f>
        <v/>
      </c>
      <c r="J571" s="739" t="str">
        <f>[1]K_Summary!J561</f>
        <v/>
      </c>
      <c r="K571" s="739" t="str">
        <f>[1]K_Summary!K561</f>
        <v/>
      </c>
      <c r="L571" s="739" t="str">
        <f>[1]K_Summary!L561</f>
        <v/>
      </c>
      <c r="M571" s="739" t="str">
        <f>[1]K_Summary!M561</f>
        <v/>
      </c>
      <c r="N571" s="623"/>
    </row>
    <row r="572" spans="2:14" ht="12.75" customHeight="1" x14ac:dyDescent="0.25">
      <c r="B572" s="15"/>
      <c r="C572" s="15"/>
      <c r="D572" s="15"/>
      <c r="E572" s="2088" t="str">
        <f>Translations!$B$611</f>
        <v>Särskild emissionsfaktor (exporterad värme)</v>
      </c>
      <c r="F572" s="2088"/>
      <c r="G572" s="2088"/>
      <c r="H572" s="624" t="str">
        <f>EUconst_tCO2pTJ</f>
        <v>t CO2 / TJ</v>
      </c>
      <c r="I572" s="740" t="str">
        <f>[1]K_Summary!I562</f>
        <v/>
      </c>
      <c r="J572" s="740" t="str">
        <f>[1]K_Summary!J562</f>
        <v/>
      </c>
      <c r="K572" s="740" t="str">
        <f>[1]K_Summary!K562</f>
        <v/>
      </c>
      <c r="L572" s="740" t="str">
        <f>[1]K_Summary!L562</f>
        <v/>
      </c>
      <c r="M572" s="740" t="str">
        <f>[1]K_Summary!M562</f>
        <v/>
      </c>
      <c r="N572" s="623"/>
    </row>
    <row r="573" spans="2:14" ht="5.15" customHeight="1" x14ac:dyDescent="0.25">
      <c r="B573" s="15"/>
      <c r="C573" s="15"/>
      <c r="D573" s="15"/>
      <c r="E573" s="416"/>
      <c r="F573" s="416"/>
      <c r="G573" s="416"/>
      <c r="H573" s="416"/>
      <c r="I573" s="741"/>
      <c r="J573" s="741"/>
      <c r="K573" s="741"/>
      <c r="L573" s="741"/>
      <c r="M573" s="741"/>
      <c r="N573" s="623"/>
    </row>
    <row r="574" spans="2:14" ht="12.75" customHeight="1" x14ac:dyDescent="0.25">
      <c r="B574" s="15"/>
      <c r="C574" s="15"/>
      <c r="D574" s="15"/>
      <c r="E574" s="2087" t="str">
        <f>Translations!$B$618</f>
        <v>Producerad restgas</v>
      </c>
      <c r="F574" s="2087"/>
      <c r="G574" s="2087"/>
      <c r="H574" s="1606" t="str">
        <f>EUconst_TJpa</f>
        <v>TJ / år</v>
      </c>
      <c r="I574" s="739" t="str">
        <f>[1]K_Summary!I564</f>
        <v/>
      </c>
      <c r="J574" s="739" t="str">
        <f>[1]K_Summary!J564</f>
        <v/>
      </c>
      <c r="K574" s="739" t="str">
        <f>[1]K_Summary!K564</f>
        <v/>
      </c>
      <c r="L574" s="739" t="str">
        <f>[1]K_Summary!L564</f>
        <v/>
      </c>
      <c r="M574" s="739" t="str">
        <f>[1]K_Summary!M564</f>
        <v/>
      </c>
      <c r="N574" s="623"/>
    </row>
    <row r="575" spans="2:14" ht="12.75" customHeight="1" x14ac:dyDescent="0.25">
      <c r="B575" s="15"/>
      <c r="C575" s="15"/>
      <c r="D575" s="15"/>
      <c r="E575" s="2088" t="str">
        <f>Translations!$B$619</f>
        <v>Särskild emissionsfaktor (producerad restgas)</v>
      </c>
      <c r="F575" s="2088"/>
      <c r="G575" s="2088"/>
      <c r="H575" s="624" t="str">
        <f>EUconst_tCO2pTJ</f>
        <v>t CO2 / TJ</v>
      </c>
      <c r="I575" s="740" t="str">
        <f>[1]K_Summary!I565</f>
        <v/>
      </c>
      <c r="J575" s="740" t="str">
        <f>[1]K_Summary!J565</f>
        <v/>
      </c>
      <c r="K575" s="740" t="str">
        <f>[1]K_Summary!K565</f>
        <v/>
      </c>
      <c r="L575" s="740" t="str">
        <f>[1]K_Summary!L565</f>
        <v/>
      </c>
      <c r="M575" s="740" t="str">
        <f>[1]K_Summary!M565</f>
        <v/>
      </c>
      <c r="N575" s="623"/>
    </row>
    <row r="576" spans="2:14" ht="12.75" customHeight="1" x14ac:dyDescent="0.25">
      <c r="B576" s="15"/>
      <c r="C576" s="15"/>
      <c r="D576" s="15"/>
      <c r="E576" s="2087" t="str">
        <f>Translations!$B$623</f>
        <v>Förbrukad restgas</v>
      </c>
      <c r="F576" s="2087"/>
      <c r="G576" s="2087"/>
      <c r="H576" s="1606" t="str">
        <f>EUconst_TJpa</f>
        <v>TJ / år</v>
      </c>
      <c r="I576" s="739" t="str">
        <f>[1]K_Summary!I566</f>
        <v/>
      </c>
      <c r="J576" s="739" t="str">
        <f>[1]K_Summary!J566</f>
        <v/>
      </c>
      <c r="K576" s="739" t="str">
        <f>[1]K_Summary!K566</f>
        <v/>
      </c>
      <c r="L576" s="739" t="str">
        <f>[1]K_Summary!L566</f>
        <v/>
      </c>
      <c r="M576" s="739" t="str">
        <f>[1]K_Summary!M566</f>
        <v/>
      </c>
      <c r="N576" s="623"/>
    </row>
    <row r="577" spans="2:14" ht="12.75" customHeight="1" x14ac:dyDescent="0.25">
      <c r="B577" s="15"/>
      <c r="C577" s="15"/>
      <c r="D577" s="15"/>
      <c r="E577" s="2088" t="str">
        <f>Translations!$B$624</f>
        <v>Särskild emissionsfaktor (förbrukad restgas)</v>
      </c>
      <c r="F577" s="2088"/>
      <c r="G577" s="2088"/>
      <c r="H577" s="624" t="str">
        <f>EUconst_tCO2pTJ</f>
        <v>t CO2 / TJ</v>
      </c>
      <c r="I577" s="740" t="str">
        <f>[1]K_Summary!I567</f>
        <v/>
      </c>
      <c r="J577" s="740" t="str">
        <f>[1]K_Summary!J567</f>
        <v/>
      </c>
      <c r="K577" s="740" t="str">
        <f>[1]K_Summary!K567</f>
        <v/>
      </c>
      <c r="L577" s="740" t="str">
        <f>[1]K_Summary!L567</f>
        <v/>
      </c>
      <c r="M577" s="740" t="str">
        <f>[1]K_Summary!M567</f>
        <v/>
      </c>
      <c r="N577" s="623"/>
    </row>
    <row r="578" spans="2:14" ht="12.75" customHeight="1" x14ac:dyDescent="0.25">
      <c r="B578" s="15"/>
      <c r="C578" s="15"/>
      <c r="D578" s="15"/>
      <c r="E578" s="2087" t="str">
        <f>Translations!$B$630</f>
        <v>Facklad restgas</v>
      </c>
      <c r="F578" s="2087"/>
      <c r="G578" s="2087"/>
      <c r="H578" s="1606" t="str">
        <f>EUconst_TJpa</f>
        <v>TJ / år</v>
      </c>
      <c r="I578" s="739" t="str">
        <f>[1]K_Summary!I568</f>
        <v/>
      </c>
      <c r="J578" s="739" t="str">
        <f>[1]K_Summary!J568</f>
        <v/>
      </c>
      <c r="K578" s="739" t="str">
        <f>[1]K_Summary!K568</f>
        <v/>
      </c>
      <c r="L578" s="739" t="str">
        <f>[1]K_Summary!L568</f>
        <v/>
      </c>
      <c r="M578" s="739" t="str">
        <f>[1]K_Summary!M568</f>
        <v/>
      </c>
      <c r="N578" s="623"/>
    </row>
    <row r="579" spans="2:14" ht="12.75" customHeight="1" x14ac:dyDescent="0.25">
      <c r="B579" s="15"/>
      <c r="C579" s="15"/>
      <c r="D579" s="15"/>
      <c r="E579" s="2088" t="str">
        <f>Translations!$B$631</f>
        <v>Särskild emissionsfaktor (facklad restgas)</v>
      </c>
      <c r="F579" s="2088"/>
      <c r="G579" s="2088"/>
      <c r="H579" s="624" t="str">
        <f>EUconst_tCO2pTJ</f>
        <v>t CO2 / TJ</v>
      </c>
      <c r="I579" s="740" t="str">
        <f>[1]K_Summary!I569</f>
        <v/>
      </c>
      <c r="J579" s="740" t="str">
        <f>[1]K_Summary!J569</f>
        <v/>
      </c>
      <c r="K579" s="740" t="str">
        <f>[1]K_Summary!K569</f>
        <v/>
      </c>
      <c r="L579" s="740" t="str">
        <f>[1]K_Summary!L569</f>
        <v/>
      </c>
      <c r="M579" s="740" t="str">
        <f>[1]K_Summary!M569</f>
        <v/>
      </c>
      <c r="N579" s="623"/>
    </row>
    <row r="580" spans="2:14" ht="12.75" customHeight="1" x14ac:dyDescent="0.25">
      <c r="B580" s="15"/>
      <c r="C580" s="15"/>
      <c r="D580" s="15"/>
      <c r="E580" s="2087" t="str">
        <f>Translations!$B$636</f>
        <v>Importerad restgas</v>
      </c>
      <c r="F580" s="2087"/>
      <c r="G580" s="2087"/>
      <c r="H580" s="1606" t="str">
        <f>EUconst_TJpa</f>
        <v>TJ / år</v>
      </c>
      <c r="I580" s="739" t="str">
        <f>[1]K_Summary!I570</f>
        <v/>
      </c>
      <c r="J580" s="739" t="str">
        <f>[1]K_Summary!J570</f>
        <v/>
      </c>
      <c r="K580" s="739" t="str">
        <f>[1]K_Summary!K570</f>
        <v/>
      </c>
      <c r="L580" s="739" t="str">
        <f>[1]K_Summary!L570</f>
        <v/>
      </c>
      <c r="M580" s="739" t="str">
        <f>[1]K_Summary!M570</f>
        <v/>
      </c>
      <c r="N580" s="623"/>
    </row>
    <row r="581" spans="2:14" ht="12.75" customHeight="1" x14ac:dyDescent="0.25">
      <c r="B581" s="15"/>
      <c r="C581" s="15"/>
      <c r="D581" s="15"/>
      <c r="E581" s="2088" t="str">
        <f>Translations!$B$637</f>
        <v>Särskild emissionsfaktor (importerad restgas)</v>
      </c>
      <c r="F581" s="2088"/>
      <c r="G581" s="2088"/>
      <c r="H581" s="624" t="str">
        <f>EUconst_tCO2pTJ</f>
        <v>t CO2 / TJ</v>
      </c>
      <c r="I581" s="740" t="str">
        <f>[1]K_Summary!I571</f>
        <v/>
      </c>
      <c r="J581" s="740" t="str">
        <f>[1]K_Summary!J571</f>
        <v/>
      </c>
      <c r="K581" s="740" t="str">
        <f>[1]K_Summary!K571</f>
        <v/>
      </c>
      <c r="L581" s="740" t="str">
        <f>[1]K_Summary!L571</f>
        <v/>
      </c>
      <c r="M581" s="740" t="str">
        <f>[1]K_Summary!M571</f>
        <v/>
      </c>
      <c r="N581" s="623"/>
    </row>
    <row r="582" spans="2:14" ht="12.75" customHeight="1" x14ac:dyDescent="0.25">
      <c r="B582" s="15"/>
      <c r="C582" s="15"/>
      <c r="D582" s="15"/>
      <c r="E582" s="2087" t="str">
        <f>Translations!$B$641</f>
        <v>Exporterad restgas</v>
      </c>
      <c r="F582" s="2087"/>
      <c r="G582" s="2087"/>
      <c r="H582" s="1606" t="str">
        <f>EUconst_TJpa</f>
        <v>TJ / år</v>
      </c>
      <c r="I582" s="739" t="str">
        <f>[1]K_Summary!I572</f>
        <v/>
      </c>
      <c r="J582" s="739" t="str">
        <f>[1]K_Summary!J572</f>
        <v/>
      </c>
      <c r="K582" s="739" t="str">
        <f>[1]K_Summary!K572</f>
        <v/>
      </c>
      <c r="L582" s="739" t="str">
        <f>[1]K_Summary!L572</f>
        <v/>
      </c>
      <c r="M582" s="739" t="str">
        <f>[1]K_Summary!M572</f>
        <v/>
      </c>
      <c r="N582" s="623"/>
    </row>
    <row r="583" spans="2:14" ht="12.75" customHeight="1" x14ac:dyDescent="0.25">
      <c r="B583" s="15"/>
      <c r="C583" s="15"/>
      <c r="D583" s="15"/>
      <c r="E583" s="2088" t="str">
        <f>Translations!$B$642</f>
        <v>Särskild emissionsfaktor (exporterad restgas)</v>
      </c>
      <c r="F583" s="2088"/>
      <c r="G583" s="2088"/>
      <c r="H583" s="624" t="str">
        <f>EUconst_tCO2pTJ</f>
        <v>t CO2 / TJ</v>
      </c>
      <c r="I583" s="740" t="str">
        <f>[1]K_Summary!I573</f>
        <v/>
      </c>
      <c r="J583" s="740" t="str">
        <f>[1]K_Summary!J573</f>
        <v/>
      </c>
      <c r="K583" s="740" t="str">
        <f>[1]K_Summary!K573</f>
        <v/>
      </c>
      <c r="L583" s="740" t="str">
        <f>[1]K_Summary!L573</f>
        <v/>
      </c>
      <c r="M583" s="740" t="str">
        <f>[1]K_Summary!M573</f>
        <v/>
      </c>
      <c r="N583" s="623"/>
    </row>
    <row r="584" spans="2:14" ht="5.15" customHeight="1" x14ac:dyDescent="0.25">
      <c r="B584" s="15"/>
      <c r="C584" s="15"/>
      <c r="D584" s="15"/>
      <c r="E584" s="416"/>
      <c r="F584" s="416"/>
      <c r="G584" s="416"/>
      <c r="H584" s="416"/>
      <c r="I584" s="741"/>
      <c r="J584" s="741"/>
      <c r="K584" s="741"/>
      <c r="L584" s="741"/>
      <c r="M584" s="741"/>
      <c r="N584" s="623"/>
    </row>
    <row r="585" spans="2:14" ht="12.75" customHeight="1" x14ac:dyDescent="0.25">
      <c r="B585" s="15"/>
      <c r="C585" s="15"/>
      <c r="D585" s="15"/>
      <c r="E585" s="2080" t="str">
        <f>Translations!$B$530</f>
        <v>Relevant elförbrukning</v>
      </c>
      <c r="F585" s="2080"/>
      <c r="G585" s="2080"/>
      <c r="H585" s="363" t="str">
        <f>EUconst_MWhpa</f>
        <v>MWh / år</v>
      </c>
      <c r="I585" s="742" t="str">
        <f>[1]K_Summary!I575</f>
        <v/>
      </c>
      <c r="J585" s="742" t="str">
        <f>[1]K_Summary!J575</f>
        <v/>
      </c>
      <c r="K585" s="742" t="str">
        <f>[1]K_Summary!K575</f>
        <v/>
      </c>
      <c r="L585" s="742" t="str">
        <f>[1]K_Summary!L575</f>
        <v/>
      </c>
      <c r="M585" s="742" t="str">
        <f>[1]K_Summary!M575</f>
        <v/>
      </c>
      <c r="N585" s="623"/>
    </row>
    <row r="586" spans="2:14" ht="12.75" customHeight="1" x14ac:dyDescent="0.25">
      <c r="B586" s="15"/>
      <c r="C586" s="15"/>
      <c r="D586" s="15"/>
      <c r="E586" s="2080" t="str">
        <f>Translations!$B$645</f>
        <v>Producerad el</v>
      </c>
      <c r="F586" s="2080"/>
      <c r="G586" s="2080"/>
      <c r="H586" s="363" t="str">
        <f>EUconst_MWhpa</f>
        <v>MWh / år</v>
      </c>
      <c r="I586" s="742" t="str">
        <f>[1]K_Summary!I576</f>
        <v/>
      </c>
      <c r="J586" s="742" t="str">
        <f>[1]K_Summary!J576</f>
        <v/>
      </c>
      <c r="K586" s="742" t="str">
        <f>[1]K_Summary!K576</f>
        <v/>
      </c>
      <c r="L586" s="742" t="str">
        <f>[1]K_Summary!L576</f>
        <v/>
      </c>
      <c r="M586" s="742" t="str">
        <f>[1]K_Summary!M576</f>
        <v/>
      </c>
      <c r="N586" s="623"/>
    </row>
    <row r="587" spans="2:14" ht="5.15" customHeight="1" x14ac:dyDescent="0.25">
      <c r="B587" s="15"/>
      <c r="C587" s="15"/>
      <c r="D587" s="15"/>
      <c r="E587" s="416"/>
      <c r="F587" s="416"/>
      <c r="G587" s="416"/>
      <c r="H587" s="416"/>
      <c r="I587" s="741"/>
      <c r="J587" s="741"/>
      <c r="K587" s="741"/>
      <c r="L587" s="741"/>
      <c r="M587" s="741"/>
      <c r="N587" s="623"/>
    </row>
    <row r="588" spans="2:14" ht="12.75" customHeight="1" x14ac:dyDescent="0.25">
      <c r="B588" s="15"/>
      <c r="C588" s="15"/>
      <c r="D588" s="15"/>
      <c r="E588" s="2080" t="str">
        <f>Translations!$B$646</f>
        <v>Total producerad massamängd</v>
      </c>
      <c r="F588" s="2080"/>
      <c r="G588" s="2080"/>
      <c r="H588" s="363" t="str">
        <f>Translations!$B$1117</f>
        <v>ton</v>
      </c>
      <c r="I588" s="742" t="str">
        <f>[1]K_Summary!I578</f>
        <v/>
      </c>
      <c r="J588" s="742" t="str">
        <f>[1]K_Summary!J578</f>
        <v/>
      </c>
      <c r="K588" s="742" t="str">
        <f>[1]K_Summary!K578</f>
        <v/>
      </c>
      <c r="L588" s="742" t="str">
        <f>[1]K_Summary!L578</f>
        <v/>
      </c>
      <c r="M588" s="742" t="str">
        <f>[1]K_Summary!M578</f>
        <v/>
      </c>
      <c r="N588" s="623"/>
    </row>
    <row r="589" spans="2:14" ht="5.15" customHeight="1" x14ac:dyDescent="0.25">
      <c r="B589" s="15"/>
      <c r="C589" s="15"/>
      <c r="D589" s="15"/>
      <c r="E589" s="416"/>
      <c r="F589" s="416"/>
      <c r="G589" s="416"/>
      <c r="H589" s="416"/>
      <c r="I589" s="741"/>
      <c r="J589" s="741"/>
      <c r="K589" s="741"/>
      <c r="L589" s="741"/>
      <c r="M589" s="741"/>
      <c r="N589" s="623"/>
    </row>
    <row r="590" spans="2:14" x14ac:dyDescent="0.25">
      <c r="B590" s="15"/>
      <c r="C590" s="15"/>
      <c r="D590" s="15"/>
      <c r="E590" s="899" t="str">
        <f>Translations!$B$1057</f>
        <v>Mellanimport:</v>
      </c>
      <c r="F590" s="416"/>
      <c r="G590" s="416"/>
      <c r="H590" s="416"/>
      <c r="I590" s="741"/>
      <c r="J590" s="741"/>
      <c r="K590" s="741"/>
      <c r="L590" s="741"/>
      <c r="M590" s="741"/>
      <c r="N590" s="623"/>
    </row>
    <row r="591" spans="2:14" x14ac:dyDescent="0.25">
      <c r="B591" s="15"/>
      <c r="C591" s="15"/>
      <c r="D591" s="15"/>
      <c r="E591" s="2089" t="str">
        <f>[1]K_Summary!E581</f>
        <v/>
      </c>
      <c r="F591" s="2089"/>
      <c r="G591" s="2089"/>
      <c r="H591" s="363" t="str">
        <f>Translations!$B$1117</f>
        <v>ton</v>
      </c>
      <c r="I591" s="742" t="str">
        <f>[1]K_Summary!I581</f>
        <v/>
      </c>
      <c r="J591" s="742" t="str">
        <f>[1]K_Summary!J581</f>
        <v/>
      </c>
      <c r="K591" s="742" t="str">
        <f>[1]K_Summary!K581</f>
        <v/>
      </c>
      <c r="L591" s="742" t="str">
        <f>[1]K_Summary!L581</f>
        <v/>
      </c>
      <c r="M591" s="742" t="str">
        <f>[1]K_Summary!M581</f>
        <v/>
      </c>
      <c r="N591" s="623"/>
    </row>
    <row r="592" spans="2:14" x14ac:dyDescent="0.25">
      <c r="B592" s="15"/>
      <c r="C592" s="15"/>
      <c r="D592" s="15"/>
      <c r="E592" s="2089" t="str">
        <f>[1]K_Summary!E582</f>
        <v/>
      </c>
      <c r="F592" s="2089"/>
      <c r="G592" s="2089"/>
      <c r="H592" s="363" t="str">
        <f>Translations!$B$1117</f>
        <v>ton</v>
      </c>
      <c r="I592" s="742" t="str">
        <f>[1]K_Summary!I582</f>
        <v/>
      </c>
      <c r="J592" s="742" t="str">
        <f>[1]K_Summary!J582</f>
        <v/>
      </c>
      <c r="K592" s="742" t="str">
        <f>[1]K_Summary!K582</f>
        <v/>
      </c>
      <c r="L592" s="742" t="str">
        <f>[1]K_Summary!L582</f>
        <v/>
      </c>
      <c r="M592" s="742" t="str">
        <f>[1]K_Summary!M582</f>
        <v/>
      </c>
      <c r="N592" s="623"/>
    </row>
    <row r="593" spans="2:16" x14ac:dyDescent="0.25">
      <c r="B593" s="15"/>
      <c r="C593" s="15"/>
      <c r="D593" s="15"/>
      <c r="E593" s="899" t="str">
        <f>Translations!$B$1058</f>
        <v>Mellanexport:</v>
      </c>
      <c r="F593" s="416"/>
      <c r="G593" s="416"/>
      <c r="H593" s="416"/>
      <c r="I593" s="741"/>
      <c r="J593" s="741"/>
      <c r="K593" s="741"/>
      <c r="L593" s="741"/>
      <c r="M593" s="741"/>
      <c r="N593" s="623"/>
    </row>
    <row r="594" spans="2:16" x14ac:dyDescent="0.25">
      <c r="B594" s="15"/>
      <c r="C594" s="15"/>
      <c r="D594" s="15"/>
      <c r="E594" s="2089" t="str">
        <f>[1]K_Summary!E584</f>
        <v/>
      </c>
      <c r="F594" s="2089"/>
      <c r="G594" s="2089"/>
      <c r="H594" s="363" t="str">
        <f>Translations!$B$1117</f>
        <v>ton</v>
      </c>
      <c r="I594" s="742" t="str">
        <f>[1]K_Summary!I584</f>
        <v/>
      </c>
      <c r="J594" s="742" t="str">
        <f>[1]K_Summary!J584</f>
        <v/>
      </c>
      <c r="K594" s="742" t="str">
        <f>[1]K_Summary!K584</f>
        <v/>
      </c>
      <c r="L594" s="742" t="str">
        <f>[1]K_Summary!L584</f>
        <v/>
      </c>
      <c r="M594" s="742" t="str">
        <f>[1]K_Summary!M584</f>
        <v/>
      </c>
      <c r="N594" s="623"/>
    </row>
    <row r="595" spans="2:16" x14ac:dyDescent="0.25">
      <c r="B595" s="15"/>
      <c r="C595" s="15"/>
      <c r="D595" s="15"/>
      <c r="E595" s="2089" t="str">
        <f>[1]K_Summary!E585</f>
        <v/>
      </c>
      <c r="F595" s="2089"/>
      <c r="G595" s="2089"/>
      <c r="H595" s="363" t="str">
        <f>Translations!$B$1117</f>
        <v>ton</v>
      </c>
      <c r="I595" s="742" t="str">
        <f>[1]K_Summary!I585</f>
        <v/>
      </c>
      <c r="J595" s="742" t="str">
        <f>[1]K_Summary!J585</f>
        <v/>
      </c>
      <c r="K595" s="742" t="str">
        <f>[1]K_Summary!K585</f>
        <v/>
      </c>
      <c r="L595" s="742" t="str">
        <f>[1]K_Summary!L585</f>
        <v/>
      </c>
      <c r="M595" s="742" t="str">
        <f>[1]K_Summary!M585</f>
        <v/>
      </c>
      <c r="N595" s="623"/>
    </row>
    <row r="596" spans="2:16" ht="12.75" customHeight="1" x14ac:dyDescent="0.25">
      <c r="B596" s="15"/>
      <c r="C596" s="15"/>
      <c r="D596" s="15"/>
      <c r="E596" s="416"/>
      <c r="F596" s="416"/>
      <c r="G596" s="416"/>
      <c r="H596" s="416"/>
      <c r="I596" s="623"/>
      <c r="J596" s="623"/>
      <c r="K596" s="623"/>
      <c r="L596" s="623"/>
      <c r="M596" s="623"/>
      <c r="N596" s="623"/>
    </row>
    <row r="597" spans="2:16" ht="5.15" customHeight="1" thickBot="1" x14ac:dyDescent="0.3">
      <c r="B597" s="15"/>
      <c r="C597" s="15"/>
      <c r="D597" s="15"/>
      <c r="E597" s="748"/>
      <c r="F597" s="534"/>
      <c r="G597" s="534"/>
      <c r="H597" s="534"/>
      <c r="I597" s="534"/>
      <c r="J597" s="534"/>
      <c r="K597" s="534"/>
      <c r="L597" s="534"/>
      <c r="M597" s="534"/>
      <c r="N597" s="534"/>
    </row>
    <row r="598" spans="2:16" ht="5.15" customHeight="1" x14ac:dyDescent="0.25">
      <c r="B598" s="3"/>
      <c r="C598" s="230"/>
      <c r="D598" s="230"/>
      <c r="E598" s="230"/>
      <c r="F598" s="230"/>
      <c r="G598" s="230"/>
      <c r="H598" s="230"/>
      <c r="I598" s="230"/>
      <c r="J598" s="230"/>
      <c r="K598" s="230"/>
      <c r="L598" s="230"/>
      <c r="M598" s="230"/>
      <c r="N598" s="230"/>
    </row>
    <row r="599" spans="2:16" ht="15" customHeight="1" x14ac:dyDescent="0.3">
      <c r="B599" s="15"/>
      <c r="C599" s="17">
        <v>3</v>
      </c>
      <c r="D599" s="2053" t="str">
        <f>Euconst_ProdBMSub &amp; " " &amp; C599 &amp; ":"</f>
        <v>Delanläggning med produktriktmärke 3:</v>
      </c>
      <c r="E599" s="2053"/>
      <c r="F599" s="2053"/>
      <c r="G599" s="2053"/>
      <c r="H599" s="2081"/>
      <c r="I599" s="2090" t="str">
        <f>[1]K_Summary!I589</f>
        <v/>
      </c>
      <c r="J599" s="2091"/>
      <c r="K599" s="2091"/>
      <c r="L599" s="2091"/>
      <c r="M599" s="2091"/>
      <c r="N599" s="2092"/>
    </row>
    <row r="600" spans="2:16" ht="5.15" customHeight="1" thickBot="1" x14ac:dyDescent="0.3">
      <c r="B600" s="15"/>
      <c r="C600" s="15"/>
      <c r="D600" s="15"/>
      <c r="E600" s="15"/>
      <c r="F600" s="15"/>
      <c r="G600" s="15"/>
      <c r="H600" s="15"/>
      <c r="I600" s="15"/>
      <c r="J600" s="15"/>
      <c r="K600" s="15"/>
      <c r="L600" s="15"/>
      <c r="M600" s="15"/>
      <c r="N600" s="15"/>
    </row>
    <row r="601" spans="2:16" x14ac:dyDescent="0.25">
      <c r="B601" s="15"/>
      <c r="C601" s="15"/>
      <c r="D601" s="15"/>
      <c r="E601" s="15"/>
      <c r="F601" s="15"/>
      <c r="G601" s="15"/>
      <c r="H601" s="506" t="str">
        <f>Translations!$B$1022</f>
        <v>KL-risk</v>
      </c>
      <c r="I601" s="507" t="s">
        <v>1380</v>
      </c>
      <c r="J601" s="507" t="str">
        <f>Translations!$B$1026</f>
        <v>I drift</v>
      </c>
      <c r="K601" s="507" t="str">
        <f>Translations!$B$1024</f>
        <v>RM-nummer</v>
      </c>
      <c r="L601" s="612" t="str">
        <f>Translations!$B$1030</f>
        <v>15(7).3?</v>
      </c>
      <c r="M601" s="786" t="str">
        <f>Translations!$B$1052</f>
        <v>RM-värde (min./max./faktiskt)</v>
      </c>
      <c r="N601" s="787"/>
    </row>
    <row r="602" spans="2:16" x14ac:dyDescent="0.25">
      <c r="B602" s="15"/>
      <c r="C602" s="15"/>
      <c r="D602" s="15"/>
      <c r="E602" s="508" t="str">
        <f>[1]K_Summary!E592</f>
        <v/>
      </c>
      <c r="F602" s="509"/>
      <c r="G602" s="464"/>
      <c r="H602" s="510" t="str">
        <f>[1]K_Summary!H592</f>
        <v>N.A.</v>
      </c>
      <c r="I602" s="511" t="str">
        <f>[1]K_Summary!I592</f>
        <v/>
      </c>
      <c r="J602" s="642" t="str">
        <f>[1]K_Summary!J592</f>
        <v>N.A.</v>
      </c>
      <c r="K602" s="421" t="str">
        <f>[1]K_Summary!K592</f>
        <v>N.A.</v>
      </c>
      <c r="L602" s="1598" t="str">
        <f>[1]K_Summary!L592</f>
        <v/>
      </c>
      <c r="M602" s="1599" t="str">
        <f>[1]K_Summary!M592</f>
        <v>N.A.</v>
      </c>
      <c r="N602" s="788" t="str">
        <f>EUconst_EUA &amp; "/" &amp; H607</f>
        <v>EUA/tonnes</v>
      </c>
    </row>
    <row r="603" spans="2:16" x14ac:dyDescent="0.25">
      <c r="B603" s="15"/>
      <c r="C603" s="15"/>
      <c r="D603" s="15"/>
      <c r="E603" s="534"/>
      <c r="F603" s="534"/>
      <c r="G603" s="507" t="str">
        <f>Translations!$B$1036</f>
        <v>Värme utanför ETS</v>
      </c>
      <c r="H603" s="612" t="str">
        <f>Translations!$B$1038</f>
        <v>Wgfacklad</v>
      </c>
      <c r="I603" s="507" t="s">
        <v>1526</v>
      </c>
      <c r="J603" s="507" t="s">
        <v>1527</v>
      </c>
      <c r="K603" s="507" t="s">
        <v>1528</v>
      </c>
      <c r="L603" s="612" t="str">
        <f>Translations!$B$1032</f>
        <v>15(7).3 HAL</v>
      </c>
      <c r="M603" s="1599" t="str">
        <f>[1]K_Summary!M593</f>
        <v>N.A.</v>
      </c>
      <c r="N603" s="788" t="str">
        <f>EUconst_EUA &amp; "/" &amp; H607</f>
        <v>EUA/tonnes</v>
      </c>
    </row>
    <row r="604" spans="2:16" ht="13" thickBot="1" x14ac:dyDescent="0.3">
      <c r="B604" s="15"/>
      <c r="C604" s="15"/>
      <c r="D604" s="15"/>
      <c r="E604" s="1293" t="str">
        <f>Translations!$B$1053</f>
        <v>Särskilda faktorer:</v>
      </c>
      <c r="F604" s="1600"/>
      <c r="G604" s="421" t="str">
        <f>[1]K_Summary!G594</f>
        <v/>
      </c>
      <c r="H604" s="641" t="str">
        <f>[1]K_Summary!H594</f>
        <v/>
      </c>
      <c r="I604" s="1601">
        <f>[1]K_Summary!I594</f>
        <v>1</v>
      </c>
      <c r="J604" s="421" t="str">
        <f>[1]K_Summary!J594</f>
        <v/>
      </c>
      <c r="K604" s="662" t="str">
        <f>[1]K_Summary!K594</f>
        <v/>
      </c>
      <c r="L604" s="641" t="str">
        <f>[1]K_Summary!L594</f>
        <v/>
      </c>
      <c r="M604" s="1602" t="str">
        <f>[1]K_Summary!M594</f>
        <v>N.A.</v>
      </c>
      <c r="N604" s="789" t="str">
        <f>EUconst_EUA &amp; "/" &amp; H607</f>
        <v>EUA/tonnes</v>
      </c>
      <c r="P604" s="1903" t="b">
        <f>IF(ISNUMBER(K602),INDEX(EUconst_BMlistBMvalues,K602)&lt;&gt;M604,FALSE)</f>
        <v>0</v>
      </c>
    </row>
    <row r="605" spans="2:16" ht="5.15" customHeight="1" x14ac:dyDescent="0.25">
      <c r="B605" s="15"/>
      <c r="C605" s="15"/>
      <c r="D605" s="15"/>
      <c r="E605" s="15"/>
      <c r="F605" s="15"/>
      <c r="G605" s="15"/>
      <c r="H605" s="15"/>
      <c r="I605" s="15"/>
      <c r="J605" s="15"/>
      <c r="K605" s="15"/>
      <c r="L605" s="15"/>
      <c r="M605" s="15"/>
      <c r="N605" s="15"/>
    </row>
    <row r="606" spans="2:16" ht="13" x14ac:dyDescent="0.25">
      <c r="B606" s="15"/>
      <c r="C606" s="15"/>
      <c r="D606" s="15"/>
      <c r="E606" s="188"/>
      <c r="F606" s="188"/>
      <c r="G606" s="512"/>
      <c r="H606" s="1603" t="str">
        <f>Translations!$B$1014</f>
        <v>Enhet</v>
      </c>
      <c r="I606" s="350">
        <v>2014</v>
      </c>
      <c r="J606" s="350">
        <v>2015</v>
      </c>
      <c r="K606" s="350">
        <v>2016</v>
      </c>
      <c r="L606" s="350">
        <v>2017</v>
      </c>
      <c r="M606" s="350">
        <v>2018</v>
      </c>
      <c r="N606" s="15"/>
    </row>
    <row r="607" spans="2:16" x14ac:dyDescent="0.25">
      <c r="B607" s="15"/>
      <c r="C607" s="15"/>
      <c r="D607" s="15"/>
      <c r="E607" s="513" t="str">
        <f>Translations!$B$1054</f>
        <v>Rapporterad HAL (historisk verksamhetsnivå)</v>
      </c>
      <c r="F607" s="514"/>
      <c r="G607" s="515"/>
      <c r="H607" s="510" t="str">
        <f>[1]K_Summary!H597</f>
        <v>tonnes</v>
      </c>
      <c r="I607" s="421" t="str">
        <f>[1]K_Summary!I597</f>
        <v/>
      </c>
      <c r="J607" s="421" t="str">
        <f>[1]K_Summary!J597</f>
        <v/>
      </c>
      <c r="K607" s="421" t="str">
        <f>[1]K_Summary!K597</f>
        <v/>
      </c>
      <c r="L607" s="421" t="str">
        <f>[1]K_Summary!L597</f>
        <v/>
      </c>
      <c r="M607" s="421" t="str">
        <f>[1]K_Summary!M597</f>
        <v/>
      </c>
      <c r="N607" s="507" t="str">
        <f>Translations!$B$1042</f>
        <v>Genomsnitt</v>
      </c>
    </row>
    <row r="608" spans="2:16" x14ac:dyDescent="0.25">
      <c r="B608" s="15"/>
      <c r="C608" s="15"/>
      <c r="D608" s="15"/>
      <c r="E608" s="513" t="str">
        <f>Translations!$B$1055</f>
        <v>Värden som används för HAL-beräkning:</v>
      </c>
      <c r="F608" s="514"/>
      <c r="G608" s="515"/>
      <c r="H608" s="510" t="str">
        <f>[1]K_Summary!H598</f>
        <v>tonnes</v>
      </c>
      <c r="I608" s="421" t="str">
        <f>[1]K_Summary!I598</f>
        <v/>
      </c>
      <c r="J608" s="421" t="str">
        <f>[1]K_Summary!J598</f>
        <v/>
      </c>
      <c r="K608" s="421" t="str">
        <f>[1]K_Summary!K598</f>
        <v/>
      </c>
      <c r="L608" s="421" t="str">
        <f>[1]K_Summary!L598</f>
        <v/>
      </c>
      <c r="M608" s="421" t="str">
        <f>[1]K_Summary!M598</f>
        <v/>
      </c>
      <c r="N608" s="421" t="str">
        <f>[1]K_Summary!N598</f>
        <v/>
      </c>
    </row>
    <row r="609" spans="2:14" ht="5.15" customHeight="1" x14ac:dyDescent="0.25">
      <c r="B609" s="15"/>
      <c r="C609" s="15"/>
      <c r="D609" s="15"/>
      <c r="E609" s="1604"/>
      <c r="F609" s="1604"/>
      <c r="G609" s="1604"/>
      <c r="H609" s="1604"/>
      <c r="I609" s="1604"/>
      <c r="J609" s="1604"/>
      <c r="K609" s="1604"/>
      <c r="L609" s="1604"/>
      <c r="M609" s="534"/>
      <c r="N609" s="534"/>
    </row>
    <row r="610" spans="2:14" ht="13" thickBot="1" x14ac:dyDescent="0.3">
      <c r="B610" s="15"/>
      <c r="C610" s="534"/>
      <c r="D610" s="15"/>
      <c r="E610" s="1604"/>
      <c r="F610" s="617" t="s">
        <v>1385</v>
      </c>
      <c r="G610" s="618"/>
      <c r="H610" s="534"/>
      <c r="I610" s="617" t="str">
        <f>Translations!$B$1044</f>
        <v>Prel. tilldelning år 1 (min.)</v>
      </c>
      <c r="J610" s="618"/>
      <c r="K610" s="617" t="str">
        <f>Translations!$B$1047</f>
        <v>Prel. tilldelning år 1 (max.)</v>
      </c>
      <c r="L610" s="618"/>
      <c r="M610" s="617" t="str">
        <f>Translations!$B$1049</f>
        <v>Prel. tilldelning år 1 (faktisk)</v>
      </c>
      <c r="N610" s="618"/>
    </row>
    <row r="611" spans="2:14" ht="13.5" thickBot="1" x14ac:dyDescent="0.3">
      <c r="B611" s="15"/>
      <c r="C611" s="534"/>
      <c r="D611" s="534"/>
      <c r="E611" s="1604"/>
      <c r="F611" s="517" t="str">
        <f>[1]K_Summary!F601</f>
        <v/>
      </c>
      <c r="G611" s="1605" t="str">
        <f>[1]K_Summary!G601</f>
        <v>tonnes / year</v>
      </c>
      <c r="H611" s="534"/>
      <c r="I611" s="616" t="str">
        <f>[1]K_Summary!I601</f>
        <v/>
      </c>
      <c r="J611" s="709" t="str">
        <f>EUconst_EUApa</f>
        <v>EUA / år</v>
      </c>
      <c r="K611" s="616" t="str">
        <f>[1]K_Summary!K601</f>
        <v/>
      </c>
      <c r="L611" s="709" t="str">
        <f>EUconst_EUApa</f>
        <v>EUA / år</v>
      </c>
      <c r="M611" s="616" t="str">
        <f>[1]K_Summary!M601</f>
        <v/>
      </c>
      <c r="N611" s="709" t="str">
        <f>EUconst_EUApa</f>
        <v>EUA / år</v>
      </c>
    </row>
    <row r="612" spans="2:14" ht="5.15" customHeight="1" x14ac:dyDescent="0.25">
      <c r="B612" s="15"/>
      <c r="C612" s="15"/>
      <c r="D612" s="534"/>
      <c r="E612" s="289"/>
      <c r="F612" s="15"/>
      <c r="G612" s="15"/>
      <c r="H612" s="15"/>
      <c r="I612" s="15"/>
      <c r="J612" s="15"/>
      <c r="K612" s="15"/>
      <c r="L612" s="15"/>
      <c r="M612" s="15"/>
      <c r="N612" s="15"/>
    </row>
    <row r="613" spans="2:14" ht="12.75" customHeight="1" x14ac:dyDescent="0.25">
      <c r="B613" s="15"/>
      <c r="C613" s="15"/>
      <c r="D613" s="15"/>
      <c r="E613" s="416"/>
      <c r="F613" s="623"/>
      <c r="G613" s="623"/>
      <c r="H613" s="623"/>
      <c r="I613" s="623"/>
      <c r="J613" s="623"/>
      <c r="K613" s="623"/>
      <c r="L613" s="623"/>
      <c r="M613" s="623"/>
      <c r="N613" s="623"/>
    </row>
    <row r="614" spans="2:14" ht="13.5" thickBot="1" x14ac:dyDescent="0.3">
      <c r="B614" s="15"/>
      <c r="C614" s="15"/>
      <c r="D614" s="15"/>
      <c r="E614" s="416"/>
      <c r="F614" s="623"/>
      <c r="G614" s="623"/>
      <c r="H614" s="415" t="str">
        <f>Translations!$B$1014</f>
        <v>Enhet</v>
      </c>
      <c r="I614" s="744">
        <v>2014</v>
      </c>
      <c r="J614" s="362">
        <v>2015</v>
      </c>
      <c r="K614" s="362">
        <v>2016</v>
      </c>
      <c r="L614" s="362">
        <v>2017</v>
      </c>
      <c r="M614" s="362">
        <v>2018</v>
      </c>
      <c r="N614" s="623"/>
    </row>
    <row r="615" spans="2:14" ht="13.5" customHeight="1" thickBot="1" x14ac:dyDescent="0.3">
      <c r="B615" s="15"/>
      <c r="C615" s="15"/>
      <c r="D615" s="15"/>
      <c r="E615" s="2074" t="str">
        <f>Translations!$B$1056</f>
        <v>Totala tillskrivna utsläpp</v>
      </c>
      <c r="F615" s="2074"/>
      <c r="G615" s="2074"/>
      <c r="H615" s="710" t="str">
        <f>EUconst_tCO2epa</f>
        <v>t CO2e/år</v>
      </c>
      <c r="I615" s="735" t="str">
        <f>[1]K_Summary!I605</f>
        <v/>
      </c>
      <c r="J615" s="736" t="str">
        <f>[1]K_Summary!J605</f>
        <v/>
      </c>
      <c r="K615" s="736" t="str">
        <f>[1]K_Summary!K605</f>
        <v/>
      </c>
      <c r="L615" s="736" t="str">
        <f>[1]K_Summary!L605</f>
        <v/>
      </c>
      <c r="M615" s="737" t="str">
        <f>[1]K_Summary!M605</f>
        <v/>
      </c>
      <c r="N615" s="623"/>
    </row>
    <row r="616" spans="2:14" ht="5.15" customHeight="1" x14ac:dyDescent="0.25">
      <c r="B616" s="15"/>
      <c r="C616" s="15"/>
      <c r="D616" s="15"/>
      <c r="E616" s="416"/>
      <c r="F616" s="416"/>
      <c r="G616" s="416"/>
      <c r="H616" s="416"/>
      <c r="I616" s="738"/>
      <c r="J616" s="738"/>
      <c r="K616" s="738"/>
      <c r="L616" s="738"/>
      <c r="M616" s="738"/>
      <c r="N616" s="416"/>
    </row>
    <row r="617" spans="2:14" x14ac:dyDescent="0.25">
      <c r="B617" s="15"/>
      <c r="C617" s="15"/>
      <c r="D617" s="15"/>
      <c r="E617" s="2087" t="str">
        <f>Translations!$B$571</f>
        <v>Insatsbränsle</v>
      </c>
      <c r="F617" s="2087"/>
      <c r="G617" s="2087"/>
      <c r="H617" s="1606" t="str">
        <f>EUconst_TJpa</f>
        <v>TJ / år</v>
      </c>
      <c r="I617" s="739" t="str">
        <f>[1]K_Summary!I607</f>
        <v/>
      </c>
      <c r="J617" s="739" t="str">
        <f>[1]K_Summary!J607</f>
        <v/>
      </c>
      <c r="K617" s="739" t="str">
        <f>[1]K_Summary!K607</f>
        <v/>
      </c>
      <c r="L617" s="739" t="str">
        <f>[1]K_Summary!L607</f>
        <v/>
      </c>
      <c r="M617" s="739" t="str">
        <f>[1]K_Summary!M607</f>
        <v/>
      </c>
      <c r="N617" s="623"/>
    </row>
    <row r="618" spans="2:14" ht="12.75" customHeight="1" x14ac:dyDescent="0.25">
      <c r="B618" s="15"/>
      <c r="C618" s="15"/>
      <c r="D618" s="15"/>
      <c r="E618" s="2088" t="str">
        <f>Translations!$B$572</f>
        <v>Viktad emissionsfaktor</v>
      </c>
      <c r="F618" s="2088"/>
      <c r="G618" s="2088"/>
      <c r="H618" s="624" t="str">
        <f>EUconst_tCO2pTJ</f>
        <v>t CO2 / TJ</v>
      </c>
      <c r="I618" s="740" t="str">
        <f>[1]K_Summary!I608</f>
        <v/>
      </c>
      <c r="J618" s="740" t="str">
        <f>[1]K_Summary!J608</f>
        <v/>
      </c>
      <c r="K618" s="740" t="str">
        <f>[1]K_Summary!K608</f>
        <v/>
      </c>
      <c r="L618" s="740" t="str">
        <f>[1]K_Summary!L608</f>
        <v/>
      </c>
      <c r="M618" s="740" t="str">
        <f>[1]K_Summary!M608</f>
        <v/>
      </c>
      <c r="N618" s="623"/>
    </row>
    <row r="619" spans="2:14" ht="5.15" customHeight="1" x14ac:dyDescent="0.25">
      <c r="B619" s="15"/>
      <c r="C619" s="15"/>
      <c r="D619" s="534"/>
      <c r="E619" s="416"/>
      <c r="F619" s="623"/>
      <c r="G619" s="623"/>
      <c r="H619" s="623"/>
      <c r="I619" s="741"/>
      <c r="J619" s="741"/>
      <c r="K619" s="741"/>
      <c r="L619" s="741"/>
      <c r="M619" s="741"/>
      <c r="N619" s="623"/>
    </row>
    <row r="620" spans="2:14" ht="12.75" customHeight="1" x14ac:dyDescent="0.25">
      <c r="B620" s="15"/>
      <c r="C620" s="15"/>
      <c r="D620" s="534"/>
      <c r="E620" s="2080" t="str">
        <f>Translations!$B$528</f>
        <v>Direkta utsläpp</v>
      </c>
      <c r="F620" s="2080"/>
      <c r="G620" s="2080"/>
      <c r="H620" s="363" t="str">
        <f>EUconst_tCO2pa</f>
        <v>t CO2 / år</v>
      </c>
      <c r="I620" s="742" t="str">
        <f>[1]K_Summary!I610</f>
        <v/>
      </c>
      <c r="J620" s="742" t="str">
        <f>[1]K_Summary!J610</f>
        <v/>
      </c>
      <c r="K620" s="742" t="str">
        <f>[1]K_Summary!K610</f>
        <v/>
      </c>
      <c r="L620" s="742" t="str">
        <f>[1]K_Summary!L610</f>
        <v/>
      </c>
      <c r="M620" s="742" t="str">
        <f>[1]K_Summary!M610</f>
        <v/>
      </c>
      <c r="N620" s="623"/>
    </row>
    <row r="621" spans="2:14" ht="12.75" customHeight="1" x14ac:dyDescent="0.25">
      <c r="B621" s="15"/>
      <c r="C621" s="15"/>
      <c r="D621" s="534"/>
      <c r="E621" s="2080" t="str">
        <f>Translations!$B$582</f>
        <v>Andra bränsle-/materialmängder – 1</v>
      </c>
      <c r="F621" s="2080"/>
      <c r="G621" s="2080"/>
      <c r="H621" s="363" t="str">
        <f>EUconst_tCO2pa</f>
        <v>t CO2 / år</v>
      </c>
      <c r="I621" s="742" t="str">
        <f>[1]K_Summary!I611</f>
        <v/>
      </c>
      <c r="J621" s="742" t="str">
        <f>[1]K_Summary!J611</f>
        <v/>
      </c>
      <c r="K621" s="742" t="str">
        <f>[1]K_Summary!K611</f>
        <v/>
      </c>
      <c r="L621" s="742" t="str">
        <f>[1]K_Summary!L611</f>
        <v/>
      </c>
      <c r="M621" s="742" t="str">
        <f>[1]K_Summary!M611</f>
        <v/>
      </c>
      <c r="N621" s="623"/>
    </row>
    <row r="622" spans="2:14" ht="12.75" customHeight="1" x14ac:dyDescent="0.25">
      <c r="B622" s="15"/>
      <c r="C622" s="15"/>
      <c r="D622" s="534"/>
      <c r="E622" s="2080" t="str">
        <f>Translations!$B$592</f>
        <v>Andra bränsle-/materialmängder – 2</v>
      </c>
      <c r="F622" s="2080"/>
      <c r="G622" s="2080"/>
      <c r="H622" s="363" t="str">
        <f>EUconst_tCO2pa</f>
        <v>t CO2 / år</v>
      </c>
      <c r="I622" s="742" t="str">
        <f>[1]K_Summary!I612</f>
        <v/>
      </c>
      <c r="J622" s="742" t="str">
        <f>[1]K_Summary!J612</f>
        <v/>
      </c>
      <c r="K622" s="742" t="str">
        <f>[1]K_Summary!K612</f>
        <v/>
      </c>
      <c r="L622" s="742" t="str">
        <f>[1]K_Summary!L612</f>
        <v/>
      </c>
      <c r="M622" s="742" t="str">
        <f>[1]K_Summary!M612</f>
        <v/>
      </c>
      <c r="N622" s="623"/>
    </row>
    <row r="623" spans="2:14" ht="12.75" customHeight="1" x14ac:dyDescent="0.25">
      <c r="B623" s="15"/>
      <c r="C623" s="15"/>
      <c r="D623" s="15"/>
      <c r="E623" s="2080" t="str">
        <f>Translations!$B$596</f>
        <v>Importerade eller exporterade växthusgaser</v>
      </c>
      <c r="F623" s="2080"/>
      <c r="G623" s="2080"/>
      <c r="H623" s="363" t="str">
        <f>EUconst_tCO2epa</f>
        <v>t CO2e/år</v>
      </c>
      <c r="I623" s="742" t="str">
        <f>[1]K_Summary!I613</f>
        <v/>
      </c>
      <c r="J623" s="742" t="str">
        <f>[1]K_Summary!J613</f>
        <v/>
      </c>
      <c r="K623" s="742" t="str">
        <f>[1]K_Summary!K613</f>
        <v/>
      </c>
      <c r="L623" s="742" t="str">
        <f>[1]K_Summary!L613</f>
        <v/>
      </c>
      <c r="M623" s="742" t="str">
        <f>[1]K_Summary!M613</f>
        <v/>
      </c>
      <c r="N623" s="623"/>
    </row>
    <row r="624" spans="2:14" ht="5.15" customHeight="1" x14ac:dyDescent="0.25">
      <c r="B624" s="15"/>
      <c r="C624" s="15"/>
      <c r="D624" s="15"/>
      <c r="E624" s="623"/>
      <c r="F624" s="623"/>
      <c r="G624" s="623"/>
      <c r="H624" s="623"/>
      <c r="I624" s="741"/>
      <c r="J624" s="741"/>
      <c r="K624" s="741"/>
      <c r="L624" s="741"/>
      <c r="M624" s="741"/>
      <c r="N624" s="623"/>
    </row>
    <row r="625" spans="2:14" ht="12.75" customHeight="1" x14ac:dyDescent="0.25">
      <c r="B625" s="15"/>
      <c r="C625" s="15"/>
      <c r="D625" s="15"/>
      <c r="E625" s="2087" t="str">
        <f>Translations!$B$604</f>
        <v>Nettomängd importerad värme</v>
      </c>
      <c r="F625" s="2087"/>
      <c r="G625" s="2087"/>
      <c r="H625" s="1606" t="str">
        <f>EUconst_TJpa</f>
        <v>TJ / år</v>
      </c>
      <c r="I625" s="739" t="str">
        <f>[1]K_Summary!I615</f>
        <v/>
      </c>
      <c r="J625" s="739" t="str">
        <f>[1]K_Summary!J615</f>
        <v/>
      </c>
      <c r="K625" s="739" t="str">
        <f>[1]K_Summary!K615</f>
        <v/>
      </c>
      <c r="L625" s="739" t="str">
        <f>[1]K_Summary!L615</f>
        <v/>
      </c>
      <c r="M625" s="739" t="str">
        <f>[1]K_Summary!M615</f>
        <v/>
      </c>
      <c r="N625" s="623"/>
    </row>
    <row r="626" spans="2:14" ht="12.75" customHeight="1" x14ac:dyDescent="0.25">
      <c r="B626" s="15"/>
      <c r="C626" s="15"/>
      <c r="D626" s="15"/>
      <c r="E626" s="2088" t="str">
        <f>Translations!$B$605</f>
        <v>Särskild emissionsfaktor (importerad värme)</v>
      </c>
      <c r="F626" s="2088"/>
      <c r="G626" s="2088"/>
      <c r="H626" s="624" t="str">
        <f>EUconst_tCO2pTJ</f>
        <v>t CO2 / TJ</v>
      </c>
      <c r="I626" s="740" t="str">
        <f>[1]K_Summary!I616</f>
        <v/>
      </c>
      <c r="J626" s="740" t="str">
        <f>[1]K_Summary!J616</f>
        <v/>
      </c>
      <c r="K626" s="740" t="str">
        <f>[1]K_Summary!K616</f>
        <v/>
      </c>
      <c r="L626" s="740" t="str">
        <f>[1]K_Summary!L616</f>
        <v/>
      </c>
      <c r="M626" s="740" t="str">
        <f>[1]K_Summary!M616</f>
        <v/>
      </c>
      <c r="N626" s="623"/>
    </row>
    <row r="627" spans="2:14" ht="5.15" customHeight="1" x14ac:dyDescent="0.25">
      <c r="B627" s="15"/>
      <c r="C627" s="15"/>
      <c r="D627" s="15"/>
      <c r="E627" s="416"/>
      <c r="F627" s="623"/>
      <c r="G627" s="623"/>
      <c r="H627" s="623"/>
      <c r="I627" s="741"/>
      <c r="J627" s="741"/>
      <c r="K627" s="741"/>
      <c r="L627" s="741"/>
      <c r="M627" s="741"/>
      <c r="N627" s="623"/>
    </row>
    <row r="628" spans="2:14" ht="12.75" customHeight="1" x14ac:dyDescent="0.25">
      <c r="B628" s="15"/>
      <c r="C628" s="15"/>
      <c r="D628" s="15"/>
      <c r="E628" s="2080" t="str">
        <f>Translations!$B$659</f>
        <v>Importerad nettovärme från massa</v>
      </c>
      <c r="F628" s="2080"/>
      <c r="G628" s="2080"/>
      <c r="H628" s="363" t="str">
        <f>EUconst_TJpa</f>
        <v>TJ / år</v>
      </c>
      <c r="I628" s="742" t="str">
        <f>[1]K_Summary!I618</f>
        <v/>
      </c>
      <c r="J628" s="742" t="str">
        <f>[1]K_Summary!J618</f>
        <v/>
      </c>
      <c r="K628" s="742" t="str">
        <f>[1]K_Summary!K618</f>
        <v/>
      </c>
      <c r="L628" s="742" t="str">
        <f>[1]K_Summary!L618</f>
        <v/>
      </c>
      <c r="M628" s="742" t="str">
        <f>[1]K_Summary!M618</f>
        <v/>
      </c>
      <c r="N628" s="623"/>
    </row>
    <row r="629" spans="2:14" ht="12.75" customHeight="1" x14ac:dyDescent="0.25">
      <c r="B629" s="15"/>
      <c r="C629" s="15"/>
      <c r="D629" s="15"/>
      <c r="E629" s="2080" t="str">
        <f>Translations!$B$608</f>
        <v>Nettomängd importerad värme från delanläggningar för salpetersyra</v>
      </c>
      <c r="F629" s="2080"/>
      <c r="G629" s="2080"/>
      <c r="H629" s="363" t="str">
        <f>EUconst_TJpa</f>
        <v>TJ / år</v>
      </c>
      <c r="I629" s="742" t="str">
        <f>[1]K_Summary!I619</f>
        <v/>
      </c>
      <c r="J629" s="742" t="str">
        <f>[1]K_Summary!J619</f>
        <v/>
      </c>
      <c r="K629" s="742" t="str">
        <f>[1]K_Summary!K619</f>
        <v/>
      </c>
      <c r="L629" s="742" t="str">
        <f>[1]K_Summary!L619</f>
        <v/>
      </c>
      <c r="M629" s="742" t="str">
        <f>[1]K_Summary!M619</f>
        <v/>
      </c>
      <c r="N629" s="623"/>
    </row>
    <row r="630" spans="2:14" ht="5.15" customHeight="1" x14ac:dyDescent="0.25">
      <c r="B630" s="15"/>
      <c r="C630" s="15"/>
      <c r="D630" s="15"/>
      <c r="E630" s="416"/>
      <c r="F630" s="416"/>
      <c r="G630" s="416"/>
      <c r="H630" s="416"/>
      <c r="I630" s="741"/>
      <c r="J630" s="741"/>
      <c r="K630" s="741"/>
      <c r="L630" s="741"/>
      <c r="M630" s="741"/>
      <c r="N630" s="623"/>
    </row>
    <row r="631" spans="2:14" ht="12.75" customHeight="1" x14ac:dyDescent="0.25">
      <c r="B631" s="15"/>
      <c r="C631" s="15"/>
      <c r="D631" s="15"/>
      <c r="E631" s="2087" t="str">
        <f>Translations!$B$610</f>
        <v>Nettomängd exporterad värme</v>
      </c>
      <c r="F631" s="2087"/>
      <c r="G631" s="2087"/>
      <c r="H631" s="1606" t="str">
        <f>EUconst_TJpa</f>
        <v>TJ / år</v>
      </c>
      <c r="I631" s="739" t="str">
        <f>[1]K_Summary!I621</f>
        <v/>
      </c>
      <c r="J631" s="739" t="str">
        <f>[1]K_Summary!J621</f>
        <v/>
      </c>
      <c r="K631" s="739" t="str">
        <f>[1]K_Summary!K621</f>
        <v/>
      </c>
      <c r="L631" s="739" t="str">
        <f>[1]K_Summary!L621</f>
        <v/>
      </c>
      <c r="M631" s="739" t="str">
        <f>[1]K_Summary!M621</f>
        <v/>
      </c>
      <c r="N631" s="623"/>
    </row>
    <row r="632" spans="2:14" ht="12.75" customHeight="1" x14ac:dyDescent="0.25">
      <c r="B632" s="15"/>
      <c r="C632" s="15"/>
      <c r="D632" s="15"/>
      <c r="E632" s="2088" t="str">
        <f>Translations!$B$611</f>
        <v>Särskild emissionsfaktor (exporterad värme)</v>
      </c>
      <c r="F632" s="2088"/>
      <c r="G632" s="2088"/>
      <c r="H632" s="624" t="str">
        <f>EUconst_tCO2pTJ</f>
        <v>t CO2 / TJ</v>
      </c>
      <c r="I632" s="740" t="str">
        <f>[1]K_Summary!I622</f>
        <v/>
      </c>
      <c r="J632" s="740" t="str">
        <f>[1]K_Summary!J622</f>
        <v/>
      </c>
      <c r="K632" s="740" t="str">
        <f>[1]K_Summary!K622</f>
        <v/>
      </c>
      <c r="L632" s="740" t="str">
        <f>[1]K_Summary!L622</f>
        <v/>
      </c>
      <c r="M632" s="740" t="str">
        <f>[1]K_Summary!M622</f>
        <v/>
      </c>
      <c r="N632" s="623"/>
    </row>
    <row r="633" spans="2:14" ht="5.15" customHeight="1" x14ac:dyDescent="0.25">
      <c r="B633" s="15"/>
      <c r="C633" s="15"/>
      <c r="D633" s="15"/>
      <c r="E633" s="416"/>
      <c r="F633" s="416"/>
      <c r="G633" s="416"/>
      <c r="H633" s="416"/>
      <c r="I633" s="741"/>
      <c r="J633" s="741"/>
      <c r="K633" s="741"/>
      <c r="L633" s="741"/>
      <c r="M633" s="741"/>
      <c r="N633" s="623"/>
    </row>
    <row r="634" spans="2:14" ht="12.75" customHeight="1" x14ac:dyDescent="0.25">
      <c r="B634" s="15"/>
      <c r="C634" s="15"/>
      <c r="D634" s="15"/>
      <c r="E634" s="2087" t="str">
        <f>Translations!$B$618</f>
        <v>Producerad restgas</v>
      </c>
      <c r="F634" s="2087"/>
      <c r="G634" s="2087"/>
      <c r="H634" s="1606" t="str">
        <f>EUconst_TJpa</f>
        <v>TJ / år</v>
      </c>
      <c r="I634" s="739" t="str">
        <f>[1]K_Summary!I624</f>
        <v/>
      </c>
      <c r="J634" s="739" t="str">
        <f>[1]K_Summary!J624</f>
        <v/>
      </c>
      <c r="K634" s="739" t="str">
        <f>[1]K_Summary!K624</f>
        <v/>
      </c>
      <c r="L634" s="739" t="str">
        <f>[1]K_Summary!L624</f>
        <v/>
      </c>
      <c r="M634" s="739" t="str">
        <f>[1]K_Summary!M624</f>
        <v/>
      </c>
      <c r="N634" s="623"/>
    </row>
    <row r="635" spans="2:14" ht="12.75" customHeight="1" x14ac:dyDescent="0.25">
      <c r="B635" s="15"/>
      <c r="C635" s="15"/>
      <c r="D635" s="15"/>
      <c r="E635" s="2088" t="str">
        <f>Translations!$B$619</f>
        <v>Särskild emissionsfaktor (producerad restgas)</v>
      </c>
      <c r="F635" s="2088"/>
      <c r="G635" s="2088"/>
      <c r="H635" s="624" t="str">
        <f>EUconst_tCO2pTJ</f>
        <v>t CO2 / TJ</v>
      </c>
      <c r="I635" s="740" t="str">
        <f>[1]K_Summary!I625</f>
        <v/>
      </c>
      <c r="J635" s="740" t="str">
        <f>[1]K_Summary!J625</f>
        <v/>
      </c>
      <c r="K635" s="740" t="str">
        <f>[1]K_Summary!K625</f>
        <v/>
      </c>
      <c r="L635" s="740" t="str">
        <f>[1]K_Summary!L625</f>
        <v/>
      </c>
      <c r="M635" s="740" t="str">
        <f>[1]K_Summary!M625</f>
        <v/>
      </c>
      <c r="N635" s="623"/>
    </row>
    <row r="636" spans="2:14" ht="12.75" customHeight="1" x14ac:dyDescent="0.25">
      <c r="B636" s="15"/>
      <c r="C636" s="15"/>
      <c r="D636" s="15"/>
      <c r="E636" s="2087" t="str">
        <f>Translations!$B$623</f>
        <v>Förbrukad restgas</v>
      </c>
      <c r="F636" s="2087"/>
      <c r="G636" s="2087"/>
      <c r="H636" s="1606" t="str">
        <f>EUconst_TJpa</f>
        <v>TJ / år</v>
      </c>
      <c r="I636" s="739" t="str">
        <f>[1]K_Summary!I626</f>
        <v/>
      </c>
      <c r="J636" s="739" t="str">
        <f>[1]K_Summary!J626</f>
        <v/>
      </c>
      <c r="K636" s="739" t="str">
        <f>[1]K_Summary!K626</f>
        <v/>
      </c>
      <c r="L636" s="739" t="str">
        <f>[1]K_Summary!L626</f>
        <v/>
      </c>
      <c r="M636" s="739" t="str">
        <f>[1]K_Summary!M626</f>
        <v/>
      </c>
      <c r="N636" s="623"/>
    </row>
    <row r="637" spans="2:14" ht="12.75" customHeight="1" x14ac:dyDescent="0.25">
      <c r="B637" s="15"/>
      <c r="C637" s="15"/>
      <c r="D637" s="15"/>
      <c r="E637" s="2088" t="str">
        <f>Translations!$B$624</f>
        <v>Särskild emissionsfaktor (förbrukad restgas)</v>
      </c>
      <c r="F637" s="2088"/>
      <c r="G637" s="2088"/>
      <c r="H637" s="624" t="str">
        <f>EUconst_tCO2pTJ</f>
        <v>t CO2 / TJ</v>
      </c>
      <c r="I637" s="740" t="str">
        <f>[1]K_Summary!I627</f>
        <v/>
      </c>
      <c r="J637" s="740" t="str">
        <f>[1]K_Summary!J627</f>
        <v/>
      </c>
      <c r="K637" s="740" t="str">
        <f>[1]K_Summary!K627</f>
        <v/>
      </c>
      <c r="L637" s="740" t="str">
        <f>[1]K_Summary!L627</f>
        <v/>
      </c>
      <c r="M637" s="740" t="str">
        <f>[1]K_Summary!M627</f>
        <v/>
      </c>
      <c r="N637" s="623"/>
    </row>
    <row r="638" spans="2:14" ht="12.75" customHeight="1" x14ac:dyDescent="0.25">
      <c r="B638" s="15"/>
      <c r="C638" s="15"/>
      <c r="D638" s="15"/>
      <c r="E638" s="2087" t="str">
        <f>Translations!$B$630</f>
        <v>Facklad restgas</v>
      </c>
      <c r="F638" s="2087"/>
      <c r="G638" s="2087"/>
      <c r="H638" s="1606" t="str">
        <f>EUconst_TJpa</f>
        <v>TJ / år</v>
      </c>
      <c r="I638" s="739" t="str">
        <f>[1]K_Summary!I628</f>
        <v/>
      </c>
      <c r="J638" s="739" t="str">
        <f>[1]K_Summary!J628</f>
        <v/>
      </c>
      <c r="K638" s="739" t="str">
        <f>[1]K_Summary!K628</f>
        <v/>
      </c>
      <c r="L638" s="739" t="str">
        <f>[1]K_Summary!L628</f>
        <v/>
      </c>
      <c r="M638" s="739" t="str">
        <f>[1]K_Summary!M628</f>
        <v/>
      </c>
      <c r="N638" s="623"/>
    </row>
    <row r="639" spans="2:14" ht="12.75" customHeight="1" x14ac:dyDescent="0.25">
      <c r="B639" s="15"/>
      <c r="C639" s="15"/>
      <c r="D639" s="15"/>
      <c r="E639" s="2088" t="str">
        <f>Translations!$B$631</f>
        <v>Särskild emissionsfaktor (facklad restgas)</v>
      </c>
      <c r="F639" s="2088"/>
      <c r="G639" s="2088"/>
      <c r="H639" s="624" t="str">
        <f>EUconst_tCO2pTJ</f>
        <v>t CO2 / TJ</v>
      </c>
      <c r="I639" s="740" t="str">
        <f>[1]K_Summary!I629</f>
        <v/>
      </c>
      <c r="J639" s="740" t="str">
        <f>[1]K_Summary!J629</f>
        <v/>
      </c>
      <c r="K639" s="740" t="str">
        <f>[1]K_Summary!K629</f>
        <v/>
      </c>
      <c r="L639" s="740" t="str">
        <f>[1]K_Summary!L629</f>
        <v/>
      </c>
      <c r="M639" s="740" t="str">
        <f>[1]K_Summary!M629</f>
        <v/>
      </c>
      <c r="N639" s="623"/>
    </row>
    <row r="640" spans="2:14" ht="12.75" customHeight="1" x14ac:dyDescent="0.25">
      <c r="B640" s="15"/>
      <c r="C640" s="15"/>
      <c r="D640" s="15"/>
      <c r="E640" s="2087" t="str">
        <f>Translations!$B$636</f>
        <v>Importerad restgas</v>
      </c>
      <c r="F640" s="2087"/>
      <c r="G640" s="2087"/>
      <c r="H640" s="1606" t="str">
        <f>EUconst_TJpa</f>
        <v>TJ / år</v>
      </c>
      <c r="I640" s="739" t="str">
        <f>[1]K_Summary!I630</f>
        <v/>
      </c>
      <c r="J640" s="739" t="str">
        <f>[1]K_Summary!J630</f>
        <v/>
      </c>
      <c r="K640" s="739" t="str">
        <f>[1]K_Summary!K630</f>
        <v/>
      </c>
      <c r="L640" s="739" t="str">
        <f>[1]K_Summary!L630</f>
        <v/>
      </c>
      <c r="M640" s="739" t="str">
        <f>[1]K_Summary!M630</f>
        <v/>
      </c>
      <c r="N640" s="623"/>
    </row>
    <row r="641" spans="2:14" ht="12.75" customHeight="1" x14ac:dyDescent="0.25">
      <c r="B641" s="15"/>
      <c r="C641" s="15"/>
      <c r="D641" s="15"/>
      <c r="E641" s="2088" t="str">
        <f>Translations!$B$637</f>
        <v>Särskild emissionsfaktor (importerad restgas)</v>
      </c>
      <c r="F641" s="2088"/>
      <c r="G641" s="2088"/>
      <c r="H641" s="624" t="str">
        <f>EUconst_tCO2pTJ</f>
        <v>t CO2 / TJ</v>
      </c>
      <c r="I641" s="740" t="str">
        <f>[1]K_Summary!I631</f>
        <v/>
      </c>
      <c r="J641" s="740" t="str">
        <f>[1]K_Summary!J631</f>
        <v/>
      </c>
      <c r="K641" s="740" t="str">
        <f>[1]K_Summary!K631</f>
        <v/>
      </c>
      <c r="L641" s="740" t="str">
        <f>[1]K_Summary!L631</f>
        <v/>
      </c>
      <c r="M641" s="740" t="str">
        <f>[1]K_Summary!M631</f>
        <v/>
      </c>
      <c r="N641" s="623"/>
    </row>
    <row r="642" spans="2:14" ht="12.75" customHeight="1" x14ac:dyDescent="0.25">
      <c r="B642" s="15"/>
      <c r="C642" s="15"/>
      <c r="D642" s="15"/>
      <c r="E642" s="2087" t="str">
        <f>Translations!$B$641</f>
        <v>Exporterad restgas</v>
      </c>
      <c r="F642" s="2087"/>
      <c r="G642" s="2087"/>
      <c r="H642" s="1606" t="str">
        <f>EUconst_TJpa</f>
        <v>TJ / år</v>
      </c>
      <c r="I642" s="739" t="str">
        <f>[1]K_Summary!I632</f>
        <v/>
      </c>
      <c r="J642" s="739" t="str">
        <f>[1]K_Summary!J632</f>
        <v/>
      </c>
      <c r="K642" s="739" t="str">
        <f>[1]K_Summary!K632</f>
        <v/>
      </c>
      <c r="L642" s="739" t="str">
        <f>[1]K_Summary!L632</f>
        <v/>
      </c>
      <c r="M642" s="739" t="str">
        <f>[1]K_Summary!M632</f>
        <v/>
      </c>
      <c r="N642" s="623"/>
    </row>
    <row r="643" spans="2:14" ht="12.75" customHeight="1" x14ac:dyDescent="0.25">
      <c r="B643" s="15"/>
      <c r="C643" s="15"/>
      <c r="D643" s="15"/>
      <c r="E643" s="2088" t="str">
        <f>Translations!$B$642</f>
        <v>Särskild emissionsfaktor (exporterad restgas)</v>
      </c>
      <c r="F643" s="2088"/>
      <c r="G643" s="2088"/>
      <c r="H643" s="624" t="str">
        <f>EUconst_tCO2pTJ</f>
        <v>t CO2 / TJ</v>
      </c>
      <c r="I643" s="740" t="str">
        <f>[1]K_Summary!I633</f>
        <v/>
      </c>
      <c r="J643" s="740" t="str">
        <f>[1]K_Summary!J633</f>
        <v/>
      </c>
      <c r="K643" s="740" t="str">
        <f>[1]K_Summary!K633</f>
        <v/>
      </c>
      <c r="L643" s="740" t="str">
        <f>[1]K_Summary!L633</f>
        <v/>
      </c>
      <c r="M643" s="740" t="str">
        <f>[1]K_Summary!M633</f>
        <v/>
      </c>
      <c r="N643" s="623"/>
    </row>
    <row r="644" spans="2:14" ht="5.15" customHeight="1" x14ac:dyDescent="0.25">
      <c r="B644" s="15"/>
      <c r="C644" s="15"/>
      <c r="D644" s="15"/>
      <c r="E644" s="416"/>
      <c r="F644" s="416"/>
      <c r="G644" s="416"/>
      <c r="H644" s="416"/>
      <c r="I644" s="741"/>
      <c r="J644" s="741"/>
      <c r="K644" s="741"/>
      <c r="L644" s="741"/>
      <c r="M644" s="741"/>
      <c r="N644" s="623"/>
    </row>
    <row r="645" spans="2:14" ht="12.75" customHeight="1" x14ac:dyDescent="0.25">
      <c r="B645" s="15"/>
      <c r="C645" s="15"/>
      <c r="D645" s="15"/>
      <c r="E645" s="2080" t="str">
        <f>Translations!$B$530</f>
        <v>Relevant elförbrukning</v>
      </c>
      <c r="F645" s="2080"/>
      <c r="G645" s="2080"/>
      <c r="H645" s="363" t="str">
        <f>EUconst_MWhpa</f>
        <v>MWh / år</v>
      </c>
      <c r="I645" s="742" t="str">
        <f>[1]K_Summary!I635</f>
        <v/>
      </c>
      <c r="J645" s="742" t="str">
        <f>[1]K_Summary!J635</f>
        <v/>
      </c>
      <c r="K645" s="742" t="str">
        <f>[1]K_Summary!K635</f>
        <v/>
      </c>
      <c r="L645" s="742" t="str">
        <f>[1]K_Summary!L635</f>
        <v/>
      </c>
      <c r="M645" s="742" t="str">
        <f>[1]K_Summary!M635</f>
        <v/>
      </c>
      <c r="N645" s="623"/>
    </row>
    <row r="646" spans="2:14" ht="12.75" customHeight="1" x14ac:dyDescent="0.25">
      <c r="B646" s="15"/>
      <c r="C646" s="15"/>
      <c r="D646" s="15"/>
      <c r="E646" s="2080" t="str">
        <f>Translations!$B$645</f>
        <v>Producerad el</v>
      </c>
      <c r="F646" s="2080"/>
      <c r="G646" s="2080"/>
      <c r="H646" s="363" t="str">
        <f>EUconst_MWhpa</f>
        <v>MWh / år</v>
      </c>
      <c r="I646" s="742" t="str">
        <f>[1]K_Summary!I636</f>
        <v/>
      </c>
      <c r="J646" s="742" t="str">
        <f>[1]K_Summary!J636</f>
        <v/>
      </c>
      <c r="K646" s="742" t="str">
        <f>[1]K_Summary!K636</f>
        <v/>
      </c>
      <c r="L646" s="742" t="str">
        <f>[1]K_Summary!L636</f>
        <v/>
      </c>
      <c r="M646" s="742" t="str">
        <f>[1]K_Summary!M636</f>
        <v/>
      </c>
      <c r="N646" s="623"/>
    </row>
    <row r="647" spans="2:14" ht="5.15" customHeight="1" x14ac:dyDescent="0.25">
      <c r="B647" s="15"/>
      <c r="C647" s="15"/>
      <c r="D647" s="15"/>
      <c r="E647" s="416"/>
      <c r="F647" s="416"/>
      <c r="G647" s="416"/>
      <c r="H647" s="416"/>
      <c r="I647" s="741"/>
      <c r="J647" s="741"/>
      <c r="K647" s="741"/>
      <c r="L647" s="741"/>
      <c r="M647" s="741"/>
      <c r="N647" s="623"/>
    </row>
    <row r="648" spans="2:14" ht="12.75" customHeight="1" x14ac:dyDescent="0.25">
      <c r="B648" s="15"/>
      <c r="C648" s="15"/>
      <c r="D648" s="15"/>
      <c r="E648" s="2080" t="str">
        <f>Translations!$B$646</f>
        <v>Total producerad massamängd</v>
      </c>
      <c r="F648" s="2080"/>
      <c r="G648" s="2080"/>
      <c r="H648" s="363" t="str">
        <f>Translations!$B$1117</f>
        <v>ton</v>
      </c>
      <c r="I648" s="742" t="str">
        <f>[1]K_Summary!I638</f>
        <v/>
      </c>
      <c r="J648" s="742" t="str">
        <f>[1]K_Summary!J638</f>
        <v/>
      </c>
      <c r="K648" s="742" t="str">
        <f>[1]K_Summary!K638</f>
        <v/>
      </c>
      <c r="L648" s="742" t="str">
        <f>[1]K_Summary!L638</f>
        <v/>
      </c>
      <c r="M648" s="742" t="str">
        <f>[1]K_Summary!M638</f>
        <v/>
      </c>
      <c r="N648" s="623"/>
    </row>
    <row r="649" spans="2:14" ht="5.15" customHeight="1" x14ac:dyDescent="0.25">
      <c r="B649" s="15"/>
      <c r="C649" s="15"/>
      <c r="D649" s="15"/>
      <c r="E649" s="416"/>
      <c r="F649" s="416"/>
      <c r="G649" s="416"/>
      <c r="H649" s="416"/>
      <c r="I649" s="741"/>
      <c r="J649" s="741"/>
      <c r="K649" s="741"/>
      <c r="L649" s="741"/>
      <c r="M649" s="741"/>
      <c r="N649" s="623"/>
    </row>
    <row r="650" spans="2:14" x14ac:dyDescent="0.25">
      <c r="B650" s="15"/>
      <c r="C650" s="15"/>
      <c r="D650" s="15"/>
      <c r="E650" s="899" t="str">
        <f>Translations!$B$1057</f>
        <v>Mellanimport:</v>
      </c>
      <c r="F650" s="416"/>
      <c r="G650" s="416"/>
      <c r="H650" s="416"/>
      <c r="I650" s="741"/>
      <c r="J650" s="741"/>
      <c r="K650" s="741"/>
      <c r="L650" s="741"/>
      <c r="M650" s="741"/>
      <c r="N650" s="623"/>
    </row>
    <row r="651" spans="2:14" x14ac:dyDescent="0.25">
      <c r="B651" s="15"/>
      <c r="C651" s="15"/>
      <c r="D651" s="15"/>
      <c r="E651" s="2089" t="str">
        <f>[1]K_Summary!E641</f>
        <v/>
      </c>
      <c r="F651" s="2089"/>
      <c r="G651" s="2089"/>
      <c r="H651" s="363" t="str">
        <f>Translations!$B$1117</f>
        <v>ton</v>
      </c>
      <c r="I651" s="742" t="str">
        <f>[1]K_Summary!I641</f>
        <v/>
      </c>
      <c r="J651" s="742" t="str">
        <f>[1]K_Summary!J641</f>
        <v/>
      </c>
      <c r="K651" s="742" t="str">
        <f>[1]K_Summary!K641</f>
        <v/>
      </c>
      <c r="L651" s="742" t="str">
        <f>[1]K_Summary!L641</f>
        <v/>
      </c>
      <c r="M651" s="742" t="str">
        <f>[1]K_Summary!M641</f>
        <v/>
      </c>
      <c r="N651" s="623"/>
    </row>
    <row r="652" spans="2:14" x14ac:dyDescent="0.25">
      <c r="B652" s="15"/>
      <c r="C652" s="15"/>
      <c r="D652" s="15"/>
      <c r="E652" s="2089" t="str">
        <f>[1]K_Summary!E642</f>
        <v/>
      </c>
      <c r="F652" s="2089"/>
      <c r="G652" s="2089"/>
      <c r="H652" s="363" t="str">
        <f>Translations!$B$1117</f>
        <v>ton</v>
      </c>
      <c r="I652" s="742" t="str">
        <f>[1]K_Summary!I642</f>
        <v/>
      </c>
      <c r="J652" s="742" t="str">
        <f>[1]K_Summary!J642</f>
        <v/>
      </c>
      <c r="K652" s="742" t="str">
        <f>[1]K_Summary!K642</f>
        <v/>
      </c>
      <c r="L652" s="742" t="str">
        <f>[1]K_Summary!L642</f>
        <v/>
      </c>
      <c r="M652" s="742" t="str">
        <f>[1]K_Summary!M642</f>
        <v/>
      </c>
      <c r="N652" s="623"/>
    </row>
    <row r="653" spans="2:14" x14ac:dyDescent="0.25">
      <c r="B653" s="15"/>
      <c r="C653" s="15"/>
      <c r="D653" s="15"/>
      <c r="E653" s="899" t="str">
        <f>Translations!$B$1058</f>
        <v>Mellanexport:</v>
      </c>
      <c r="F653" s="416"/>
      <c r="G653" s="416"/>
      <c r="H653" s="416"/>
      <c r="I653" s="741"/>
      <c r="J653" s="741"/>
      <c r="K653" s="741"/>
      <c r="L653" s="741"/>
      <c r="M653" s="741"/>
      <c r="N653" s="623"/>
    </row>
    <row r="654" spans="2:14" x14ac:dyDescent="0.25">
      <c r="B654" s="15"/>
      <c r="C654" s="15"/>
      <c r="D654" s="15"/>
      <c r="E654" s="2089" t="str">
        <f>[1]K_Summary!E644</f>
        <v/>
      </c>
      <c r="F654" s="2089"/>
      <c r="G654" s="2089"/>
      <c r="H654" s="363" t="str">
        <f>Translations!$B$1117</f>
        <v>ton</v>
      </c>
      <c r="I654" s="742" t="str">
        <f>[1]K_Summary!I644</f>
        <v/>
      </c>
      <c r="J654" s="742" t="str">
        <f>[1]K_Summary!J644</f>
        <v/>
      </c>
      <c r="K654" s="742" t="str">
        <f>[1]K_Summary!K644</f>
        <v/>
      </c>
      <c r="L654" s="742" t="str">
        <f>[1]K_Summary!L644</f>
        <v/>
      </c>
      <c r="M654" s="742" t="str">
        <f>[1]K_Summary!M644</f>
        <v/>
      </c>
      <c r="N654" s="623"/>
    </row>
    <row r="655" spans="2:14" x14ac:dyDescent="0.25">
      <c r="B655" s="15"/>
      <c r="C655" s="15"/>
      <c r="D655" s="15"/>
      <c r="E655" s="2089" t="str">
        <f>[1]K_Summary!E645</f>
        <v/>
      </c>
      <c r="F655" s="2089"/>
      <c r="G655" s="2089"/>
      <c r="H655" s="363" t="str">
        <f>Translations!$B$1117</f>
        <v>ton</v>
      </c>
      <c r="I655" s="742" t="str">
        <f>[1]K_Summary!I645</f>
        <v/>
      </c>
      <c r="J655" s="742" t="str">
        <f>[1]K_Summary!J645</f>
        <v/>
      </c>
      <c r="K655" s="742" t="str">
        <f>[1]K_Summary!K645</f>
        <v/>
      </c>
      <c r="L655" s="742" t="str">
        <f>[1]K_Summary!L645</f>
        <v/>
      </c>
      <c r="M655" s="742" t="str">
        <f>[1]K_Summary!M645</f>
        <v/>
      </c>
      <c r="N655" s="623"/>
    </row>
    <row r="656" spans="2:14" ht="12.75" customHeight="1" x14ac:dyDescent="0.25">
      <c r="B656" s="15"/>
      <c r="C656" s="15"/>
      <c r="D656" s="15"/>
      <c r="E656" s="416"/>
      <c r="F656" s="416"/>
      <c r="G656" s="416"/>
      <c r="H656" s="416"/>
      <c r="I656" s="623"/>
      <c r="J656" s="623"/>
      <c r="K656" s="623"/>
      <c r="L656" s="623"/>
      <c r="M656" s="623"/>
      <c r="N656" s="623"/>
    </row>
    <row r="657" spans="2:16" ht="5.15" customHeight="1" thickBot="1" x14ac:dyDescent="0.3">
      <c r="B657" s="15"/>
      <c r="C657" s="15"/>
      <c r="D657" s="15"/>
      <c r="E657" s="748"/>
      <c r="F657" s="534"/>
      <c r="G657" s="534"/>
      <c r="H657" s="534"/>
      <c r="I657" s="534"/>
      <c r="J657" s="534"/>
      <c r="K657" s="534"/>
      <c r="L657" s="534"/>
      <c r="M657" s="534"/>
      <c r="N657" s="534"/>
    </row>
    <row r="658" spans="2:16" ht="5.15" customHeight="1" x14ac:dyDescent="0.25">
      <c r="B658" s="3"/>
      <c r="C658" s="230"/>
      <c r="D658" s="230"/>
      <c r="E658" s="230"/>
      <c r="F658" s="230"/>
      <c r="G658" s="230"/>
      <c r="H658" s="230"/>
      <c r="I658" s="230"/>
      <c r="J658" s="230"/>
      <c r="K658" s="230"/>
      <c r="L658" s="230"/>
      <c r="M658" s="230"/>
      <c r="N658" s="230"/>
    </row>
    <row r="659" spans="2:16" ht="15" customHeight="1" x14ac:dyDescent="0.3">
      <c r="B659" s="15"/>
      <c r="C659" s="17">
        <v>4</v>
      </c>
      <c r="D659" s="2053" t="str">
        <f>Euconst_ProdBMSub &amp; " " &amp; C659 &amp; ":"</f>
        <v>Delanläggning med produktriktmärke 4:</v>
      </c>
      <c r="E659" s="2053"/>
      <c r="F659" s="2053"/>
      <c r="G659" s="2053"/>
      <c r="H659" s="2081"/>
      <c r="I659" s="2090" t="str">
        <f>[1]K_Summary!I649</f>
        <v/>
      </c>
      <c r="J659" s="2091"/>
      <c r="K659" s="2091"/>
      <c r="L659" s="2091"/>
      <c r="M659" s="2091"/>
      <c r="N659" s="2092"/>
    </row>
    <row r="660" spans="2:16" ht="5.15" customHeight="1" thickBot="1" x14ac:dyDescent="0.3">
      <c r="B660" s="15"/>
      <c r="C660" s="15"/>
      <c r="D660" s="15"/>
      <c r="E660" s="15"/>
      <c r="F660" s="15"/>
      <c r="G660" s="15"/>
      <c r="H660" s="15"/>
      <c r="I660" s="15"/>
      <c r="J660" s="15"/>
      <c r="K660" s="15"/>
      <c r="L660" s="15"/>
      <c r="M660" s="15"/>
      <c r="N660" s="15"/>
    </row>
    <row r="661" spans="2:16" x14ac:dyDescent="0.25">
      <c r="B661" s="15"/>
      <c r="C661" s="15"/>
      <c r="D661" s="15"/>
      <c r="E661" s="15"/>
      <c r="F661" s="15"/>
      <c r="G661" s="15"/>
      <c r="H661" s="506" t="str">
        <f>Translations!$B$1022</f>
        <v>KL-risk</v>
      </c>
      <c r="I661" s="507" t="s">
        <v>1380</v>
      </c>
      <c r="J661" s="507" t="str">
        <f>Translations!$B$1026</f>
        <v>I drift</v>
      </c>
      <c r="K661" s="507" t="str">
        <f>Translations!$B$1024</f>
        <v>RM-nummer</v>
      </c>
      <c r="L661" s="612" t="str">
        <f>Translations!$B$1030</f>
        <v>15(7).3?</v>
      </c>
      <c r="M661" s="786" t="str">
        <f>Translations!$B$1052</f>
        <v>RM-värde (min./max./faktiskt)</v>
      </c>
      <c r="N661" s="787"/>
    </row>
    <row r="662" spans="2:16" x14ac:dyDescent="0.25">
      <c r="B662" s="15"/>
      <c r="C662" s="15"/>
      <c r="D662" s="15"/>
      <c r="E662" s="508" t="str">
        <f>[1]K_Summary!E652</f>
        <v/>
      </c>
      <c r="F662" s="509"/>
      <c r="G662" s="464"/>
      <c r="H662" s="510" t="str">
        <f>[1]K_Summary!H652</f>
        <v>N.A.</v>
      </c>
      <c r="I662" s="511" t="str">
        <f>[1]K_Summary!I652</f>
        <v/>
      </c>
      <c r="J662" s="642" t="str">
        <f>[1]K_Summary!J652</f>
        <v>N.A.</v>
      </c>
      <c r="K662" s="421" t="str">
        <f>[1]K_Summary!K652</f>
        <v>N.A.</v>
      </c>
      <c r="L662" s="1598" t="str">
        <f>[1]K_Summary!L652</f>
        <v/>
      </c>
      <c r="M662" s="1599" t="str">
        <f>[1]K_Summary!M652</f>
        <v>N.A.</v>
      </c>
      <c r="N662" s="788" t="str">
        <f>EUconst_EUA &amp; "/" &amp; H667</f>
        <v>EUA/tonnes</v>
      </c>
    </row>
    <row r="663" spans="2:16" x14ac:dyDescent="0.25">
      <c r="B663" s="15"/>
      <c r="C663" s="15"/>
      <c r="D663" s="15"/>
      <c r="E663" s="534"/>
      <c r="F663" s="534"/>
      <c r="G663" s="507" t="str">
        <f>Translations!$B$1036</f>
        <v>Värme utanför ETS</v>
      </c>
      <c r="H663" s="612" t="str">
        <f>Translations!$B$1038</f>
        <v>Wgfacklad</v>
      </c>
      <c r="I663" s="507" t="s">
        <v>1526</v>
      </c>
      <c r="J663" s="507" t="s">
        <v>1527</v>
      </c>
      <c r="K663" s="507" t="s">
        <v>1528</v>
      </c>
      <c r="L663" s="612" t="str">
        <f>Translations!$B$1032</f>
        <v>15(7).3 HAL</v>
      </c>
      <c r="M663" s="1599" t="str">
        <f>[1]K_Summary!M653</f>
        <v>N.A.</v>
      </c>
      <c r="N663" s="788" t="str">
        <f>EUconst_EUA &amp; "/" &amp; H667</f>
        <v>EUA/tonnes</v>
      </c>
    </row>
    <row r="664" spans="2:16" ht="13" thickBot="1" x14ac:dyDescent="0.3">
      <c r="B664" s="15"/>
      <c r="C664" s="15"/>
      <c r="D664" s="15"/>
      <c r="E664" s="1293" t="str">
        <f>Translations!$B$1053</f>
        <v>Särskilda faktorer:</v>
      </c>
      <c r="F664" s="1600"/>
      <c r="G664" s="421" t="str">
        <f>[1]K_Summary!G654</f>
        <v/>
      </c>
      <c r="H664" s="641" t="str">
        <f>[1]K_Summary!H654</f>
        <v/>
      </c>
      <c r="I664" s="1601">
        <f>[1]K_Summary!I654</f>
        <v>1</v>
      </c>
      <c r="J664" s="421" t="str">
        <f>[1]K_Summary!J654</f>
        <v/>
      </c>
      <c r="K664" s="662" t="str">
        <f>[1]K_Summary!K654</f>
        <v/>
      </c>
      <c r="L664" s="641" t="str">
        <f>[1]K_Summary!L654</f>
        <v/>
      </c>
      <c r="M664" s="1602" t="str">
        <f>[1]K_Summary!M654</f>
        <v>N.A.</v>
      </c>
      <c r="N664" s="789" t="str">
        <f>EUconst_EUA &amp; "/" &amp; H667</f>
        <v>EUA/tonnes</v>
      </c>
      <c r="P664" s="1903" t="b">
        <f>IF(ISNUMBER(K662),INDEX(EUconst_BMlistBMvalues,K662)&lt;&gt;M664,FALSE)</f>
        <v>0</v>
      </c>
    </row>
    <row r="665" spans="2:16" ht="5.15" customHeight="1" x14ac:dyDescent="0.25">
      <c r="B665" s="15"/>
      <c r="C665" s="15"/>
      <c r="D665" s="15"/>
      <c r="E665" s="15"/>
      <c r="F665" s="15"/>
      <c r="G665" s="15"/>
      <c r="H665" s="15"/>
      <c r="I665" s="15"/>
      <c r="J665" s="15"/>
      <c r="K665" s="15"/>
      <c r="L665" s="15"/>
      <c r="M665" s="15"/>
      <c r="N665" s="15"/>
    </row>
    <row r="666" spans="2:16" ht="13" x14ac:dyDescent="0.25">
      <c r="B666" s="15"/>
      <c r="C666" s="15"/>
      <c r="D666" s="15"/>
      <c r="E666" s="188"/>
      <c r="F666" s="188"/>
      <c r="G666" s="512"/>
      <c r="H666" s="1603" t="str">
        <f>Translations!$B$1014</f>
        <v>Enhet</v>
      </c>
      <c r="I666" s="350">
        <v>2014</v>
      </c>
      <c r="J666" s="350">
        <v>2015</v>
      </c>
      <c r="K666" s="350">
        <v>2016</v>
      </c>
      <c r="L666" s="350">
        <v>2017</v>
      </c>
      <c r="M666" s="350">
        <v>2018</v>
      </c>
      <c r="N666" s="15"/>
    </row>
    <row r="667" spans="2:16" x14ac:dyDescent="0.25">
      <c r="B667" s="15"/>
      <c r="C667" s="15"/>
      <c r="D667" s="15"/>
      <c r="E667" s="513" t="str">
        <f>Translations!$B$1054</f>
        <v>Rapporterad HAL (historisk verksamhetsnivå)</v>
      </c>
      <c r="F667" s="514"/>
      <c r="G667" s="515"/>
      <c r="H667" s="510" t="str">
        <f>[1]K_Summary!H657</f>
        <v>tonnes</v>
      </c>
      <c r="I667" s="421" t="str">
        <f>[1]K_Summary!I657</f>
        <v/>
      </c>
      <c r="J667" s="421" t="str">
        <f>[1]K_Summary!J657</f>
        <v/>
      </c>
      <c r="K667" s="421" t="str">
        <f>[1]K_Summary!K657</f>
        <v/>
      </c>
      <c r="L667" s="421" t="str">
        <f>[1]K_Summary!L657</f>
        <v/>
      </c>
      <c r="M667" s="421" t="str">
        <f>[1]K_Summary!M657</f>
        <v/>
      </c>
      <c r="N667" s="507" t="str">
        <f>Translations!$B$1042</f>
        <v>Genomsnitt</v>
      </c>
    </row>
    <row r="668" spans="2:16" x14ac:dyDescent="0.25">
      <c r="B668" s="15"/>
      <c r="C668" s="15"/>
      <c r="D668" s="15"/>
      <c r="E668" s="513" t="str">
        <f>Translations!$B$1055</f>
        <v>Värden som används för HAL-beräkning:</v>
      </c>
      <c r="F668" s="514"/>
      <c r="G668" s="515"/>
      <c r="H668" s="510" t="str">
        <f>[1]K_Summary!H658</f>
        <v>tonnes</v>
      </c>
      <c r="I668" s="421" t="str">
        <f>[1]K_Summary!I658</f>
        <v/>
      </c>
      <c r="J668" s="421" t="str">
        <f>[1]K_Summary!J658</f>
        <v/>
      </c>
      <c r="K668" s="421" t="str">
        <f>[1]K_Summary!K658</f>
        <v/>
      </c>
      <c r="L668" s="421" t="str">
        <f>[1]K_Summary!L658</f>
        <v/>
      </c>
      <c r="M668" s="421" t="str">
        <f>[1]K_Summary!M658</f>
        <v/>
      </c>
      <c r="N668" s="421" t="str">
        <f>[1]K_Summary!N658</f>
        <v/>
      </c>
    </row>
    <row r="669" spans="2:16" ht="5.15" customHeight="1" x14ac:dyDescent="0.25">
      <c r="B669" s="15"/>
      <c r="C669" s="15"/>
      <c r="D669" s="15"/>
      <c r="E669" s="1604"/>
      <c r="F669" s="1604"/>
      <c r="G669" s="1604"/>
      <c r="H669" s="1604"/>
      <c r="I669" s="1604"/>
      <c r="J669" s="1604"/>
      <c r="K669" s="1604"/>
      <c r="L669" s="1604"/>
      <c r="M669" s="534"/>
      <c r="N669" s="534"/>
    </row>
    <row r="670" spans="2:16" ht="13" thickBot="1" x14ac:dyDescent="0.3">
      <c r="B670" s="15"/>
      <c r="C670" s="534"/>
      <c r="D670" s="15"/>
      <c r="E670" s="1604"/>
      <c r="F670" s="617" t="s">
        <v>1385</v>
      </c>
      <c r="G670" s="618"/>
      <c r="H670" s="534"/>
      <c r="I670" s="617" t="str">
        <f>Translations!$B$1044</f>
        <v>Prel. tilldelning år 1 (min.)</v>
      </c>
      <c r="J670" s="618"/>
      <c r="K670" s="617" t="str">
        <f>Translations!$B$1047</f>
        <v>Prel. tilldelning år 1 (max.)</v>
      </c>
      <c r="L670" s="618"/>
      <c r="M670" s="617" t="str">
        <f>Translations!$B$1049</f>
        <v>Prel. tilldelning år 1 (faktisk)</v>
      </c>
      <c r="N670" s="618"/>
    </row>
    <row r="671" spans="2:16" ht="13.5" thickBot="1" x14ac:dyDescent="0.3">
      <c r="B671" s="15"/>
      <c r="C671" s="534"/>
      <c r="D671" s="534"/>
      <c r="E671" s="1604"/>
      <c r="F671" s="517" t="str">
        <f>[1]K_Summary!F661</f>
        <v/>
      </c>
      <c r="G671" s="1605" t="str">
        <f>[1]K_Summary!G661</f>
        <v>tonnes / year</v>
      </c>
      <c r="H671" s="534"/>
      <c r="I671" s="616" t="str">
        <f>[1]K_Summary!I661</f>
        <v/>
      </c>
      <c r="J671" s="709" t="str">
        <f>EUconst_EUApa</f>
        <v>EUA / år</v>
      </c>
      <c r="K671" s="616" t="str">
        <f>[1]K_Summary!K661</f>
        <v/>
      </c>
      <c r="L671" s="709" t="str">
        <f>EUconst_EUApa</f>
        <v>EUA / år</v>
      </c>
      <c r="M671" s="616" t="str">
        <f>[1]K_Summary!M661</f>
        <v/>
      </c>
      <c r="N671" s="709" t="str">
        <f>EUconst_EUApa</f>
        <v>EUA / år</v>
      </c>
    </row>
    <row r="672" spans="2:16" ht="5.15" customHeight="1" x14ac:dyDescent="0.25">
      <c r="B672" s="15"/>
      <c r="C672" s="15"/>
      <c r="D672" s="534"/>
      <c r="E672" s="289"/>
      <c r="F672" s="15"/>
      <c r="G672" s="15"/>
      <c r="H672" s="15"/>
      <c r="I672" s="15"/>
      <c r="J672" s="15"/>
      <c r="K672" s="15"/>
      <c r="L672" s="15"/>
      <c r="M672" s="15"/>
      <c r="N672" s="15"/>
    </row>
    <row r="673" spans="2:14" ht="12.75" customHeight="1" x14ac:dyDescent="0.25">
      <c r="B673" s="15"/>
      <c r="C673" s="15"/>
      <c r="D673" s="15"/>
      <c r="E673" s="416"/>
      <c r="F673" s="623"/>
      <c r="G673" s="623"/>
      <c r="H673" s="623"/>
      <c r="I673" s="623"/>
      <c r="J673" s="623"/>
      <c r="K673" s="623"/>
      <c r="L673" s="623"/>
      <c r="M673" s="623"/>
      <c r="N673" s="623"/>
    </row>
    <row r="674" spans="2:14" ht="13.5" thickBot="1" x14ac:dyDescent="0.3">
      <c r="B674" s="15"/>
      <c r="C674" s="15"/>
      <c r="D674" s="15"/>
      <c r="E674" s="416"/>
      <c r="F674" s="623"/>
      <c r="G674" s="623"/>
      <c r="H674" s="415" t="str">
        <f>Translations!$B$1014</f>
        <v>Enhet</v>
      </c>
      <c r="I674" s="744">
        <v>2014</v>
      </c>
      <c r="J674" s="362">
        <v>2015</v>
      </c>
      <c r="K674" s="362">
        <v>2016</v>
      </c>
      <c r="L674" s="362">
        <v>2017</v>
      </c>
      <c r="M674" s="362">
        <v>2018</v>
      </c>
      <c r="N674" s="623"/>
    </row>
    <row r="675" spans="2:14" ht="13.5" customHeight="1" thickBot="1" x14ac:dyDescent="0.3">
      <c r="B675" s="15"/>
      <c r="C675" s="15"/>
      <c r="D675" s="15"/>
      <c r="E675" s="2074" t="str">
        <f>Translations!$B$1056</f>
        <v>Totala tillskrivna utsläpp</v>
      </c>
      <c r="F675" s="2074"/>
      <c r="G675" s="2074"/>
      <c r="H675" s="710" t="str">
        <f>EUconst_tCO2epa</f>
        <v>t CO2e/år</v>
      </c>
      <c r="I675" s="735" t="str">
        <f>[1]K_Summary!I665</f>
        <v/>
      </c>
      <c r="J675" s="736" t="str">
        <f>[1]K_Summary!J665</f>
        <v/>
      </c>
      <c r="K675" s="736" t="str">
        <f>[1]K_Summary!K665</f>
        <v/>
      </c>
      <c r="L675" s="736" t="str">
        <f>[1]K_Summary!L665</f>
        <v/>
      </c>
      <c r="M675" s="737" t="str">
        <f>[1]K_Summary!M665</f>
        <v/>
      </c>
      <c r="N675" s="623"/>
    </row>
    <row r="676" spans="2:14" ht="5.15" customHeight="1" x14ac:dyDescent="0.25">
      <c r="B676" s="15"/>
      <c r="C676" s="15"/>
      <c r="D676" s="15"/>
      <c r="E676" s="416"/>
      <c r="F676" s="416"/>
      <c r="G676" s="416"/>
      <c r="H676" s="416"/>
      <c r="I676" s="738"/>
      <c r="J676" s="738"/>
      <c r="K676" s="738"/>
      <c r="L676" s="738"/>
      <c r="M676" s="738"/>
      <c r="N676" s="416"/>
    </row>
    <row r="677" spans="2:14" x14ac:dyDescent="0.25">
      <c r="B677" s="15"/>
      <c r="C677" s="15"/>
      <c r="D677" s="15"/>
      <c r="E677" s="2087" t="str">
        <f>Translations!$B$571</f>
        <v>Insatsbränsle</v>
      </c>
      <c r="F677" s="2087"/>
      <c r="G677" s="2087"/>
      <c r="H677" s="1606" t="str">
        <f>EUconst_TJpa</f>
        <v>TJ / år</v>
      </c>
      <c r="I677" s="739" t="str">
        <f>[1]K_Summary!I667</f>
        <v/>
      </c>
      <c r="J677" s="739" t="str">
        <f>[1]K_Summary!J667</f>
        <v/>
      </c>
      <c r="K677" s="739" t="str">
        <f>[1]K_Summary!K667</f>
        <v/>
      </c>
      <c r="L677" s="739" t="str">
        <f>[1]K_Summary!L667</f>
        <v/>
      </c>
      <c r="M677" s="739" t="str">
        <f>[1]K_Summary!M667</f>
        <v/>
      </c>
      <c r="N677" s="623"/>
    </row>
    <row r="678" spans="2:14" ht="12.75" customHeight="1" x14ac:dyDescent="0.25">
      <c r="B678" s="15"/>
      <c r="C678" s="15"/>
      <c r="D678" s="15"/>
      <c r="E678" s="2088" t="str">
        <f>Translations!$B$572</f>
        <v>Viktad emissionsfaktor</v>
      </c>
      <c r="F678" s="2088"/>
      <c r="G678" s="2088"/>
      <c r="H678" s="624" t="str">
        <f>EUconst_tCO2pTJ</f>
        <v>t CO2 / TJ</v>
      </c>
      <c r="I678" s="740" t="str">
        <f>[1]K_Summary!I668</f>
        <v/>
      </c>
      <c r="J678" s="740" t="str">
        <f>[1]K_Summary!J668</f>
        <v/>
      </c>
      <c r="K678" s="740" t="str">
        <f>[1]K_Summary!K668</f>
        <v/>
      </c>
      <c r="L678" s="740" t="str">
        <f>[1]K_Summary!L668</f>
        <v/>
      </c>
      <c r="M678" s="740" t="str">
        <f>[1]K_Summary!M668</f>
        <v/>
      </c>
      <c r="N678" s="623"/>
    </row>
    <row r="679" spans="2:14" ht="5.15" customHeight="1" x14ac:dyDescent="0.25">
      <c r="B679" s="15"/>
      <c r="C679" s="15"/>
      <c r="D679" s="534"/>
      <c r="E679" s="416"/>
      <c r="F679" s="623"/>
      <c r="G679" s="623"/>
      <c r="H679" s="623"/>
      <c r="I679" s="741"/>
      <c r="J679" s="741"/>
      <c r="K679" s="741"/>
      <c r="L679" s="741"/>
      <c r="M679" s="741"/>
      <c r="N679" s="623"/>
    </row>
    <row r="680" spans="2:14" ht="12.75" customHeight="1" x14ac:dyDescent="0.25">
      <c r="B680" s="15"/>
      <c r="C680" s="15"/>
      <c r="D680" s="534"/>
      <c r="E680" s="2080" t="str">
        <f>Translations!$B$528</f>
        <v>Direkta utsläpp</v>
      </c>
      <c r="F680" s="2080"/>
      <c r="G680" s="2080"/>
      <c r="H680" s="363" t="str">
        <f>EUconst_tCO2pa</f>
        <v>t CO2 / år</v>
      </c>
      <c r="I680" s="742" t="str">
        <f>[1]K_Summary!I670</f>
        <v/>
      </c>
      <c r="J680" s="742" t="str">
        <f>[1]K_Summary!J670</f>
        <v/>
      </c>
      <c r="K680" s="742" t="str">
        <f>[1]K_Summary!K670</f>
        <v/>
      </c>
      <c r="L680" s="742" t="str">
        <f>[1]K_Summary!L670</f>
        <v/>
      </c>
      <c r="M680" s="742" t="str">
        <f>[1]K_Summary!M670</f>
        <v/>
      </c>
      <c r="N680" s="623"/>
    </row>
    <row r="681" spans="2:14" ht="12.75" customHeight="1" x14ac:dyDescent="0.25">
      <c r="B681" s="15"/>
      <c r="C681" s="15"/>
      <c r="D681" s="534"/>
      <c r="E681" s="2080" t="str">
        <f>Translations!$B$582</f>
        <v>Andra bränsle-/materialmängder – 1</v>
      </c>
      <c r="F681" s="2080"/>
      <c r="G681" s="2080"/>
      <c r="H681" s="363" t="str">
        <f>EUconst_tCO2pa</f>
        <v>t CO2 / år</v>
      </c>
      <c r="I681" s="742" t="str">
        <f>[1]K_Summary!I671</f>
        <v/>
      </c>
      <c r="J681" s="742" t="str">
        <f>[1]K_Summary!J671</f>
        <v/>
      </c>
      <c r="K681" s="742" t="str">
        <f>[1]K_Summary!K671</f>
        <v/>
      </c>
      <c r="L681" s="742" t="str">
        <f>[1]K_Summary!L671</f>
        <v/>
      </c>
      <c r="M681" s="742" t="str">
        <f>[1]K_Summary!M671</f>
        <v/>
      </c>
      <c r="N681" s="623"/>
    </row>
    <row r="682" spans="2:14" ht="12.75" customHeight="1" x14ac:dyDescent="0.25">
      <c r="B682" s="15"/>
      <c r="C682" s="15"/>
      <c r="D682" s="534"/>
      <c r="E682" s="2080" t="str">
        <f>Translations!$B$592</f>
        <v>Andra bränsle-/materialmängder – 2</v>
      </c>
      <c r="F682" s="2080"/>
      <c r="G682" s="2080"/>
      <c r="H682" s="363" t="str">
        <f>EUconst_tCO2pa</f>
        <v>t CO2 / år</v>
      </c>
      <c r="I682" s="742" t="str">
        <f>[1]K_Summary!I672</f>
        <v/>
      </c>
      <c r="J682" s="742" t="str">
        <f>[1]K_Summary!J672</f>
        <v/>
      </c>
      <c r="K682" s="742" t="str">
        <f>[1]K_Summary!K672</f>
        <v/>
      </c>
      <c r="L682" s="742" t="str">
        <f>[1]K_Summary!L672</f>
        <v/>
      </c>
      <c r="M682" s="742" t="str">
        <f>[1]K_Summary!M672</f>
        <v/>
      </c>
      <c r="N682" s="623"/>
    </row>
    <row r="683" spans="2:14" ht="12.75" customHeight="1" x14ac:dyDescent="0.25">
      <c r="B683" s="15"/>
      <c r="C683" s="15"/>
      <c r="D683" s="15"/>
      <c r="E683" s="2080" t="str">
        <f>Translations!$B$596</f>
        <v>Importerade eller exporterade växthusgaser</v>
      </c>
      <c r="F683" s="2080"/>
      <c r="G683" s="2080"/>
      <c r="H683" s="363" t="str">
        <f>EUconst_tCO2epa</f>
        <v>t CO2e/år</v>
      </c>
      <c r="I683" s="742" t="str">
        <f>[1]K_Summary!I673</f>
        <v/>
      </c>
      <c r="J683" s="742" t="str">
        <f>[1]K_Summary!J673</f>
        <v/>
      </c>
      <c r="K683" s="742" t="str">
        <f>[1]K_Summary!K673</f>
        <v/>
      </c>
      <c r="L683" s="742" t="str">
        <f>[1]K_Summary!L673</f>
        <v/>
      </c>
      <c r="M683" s="742" t="str">
        <f>[1]K_Summary!M673</f>
        <v/>
      </c>
      <c r="N683" s="623"/>
    </row>
    <row r="684" spans="2:14" ht="5.15" customHeight="1" x14ac:dyDescent="0.25">
      <c r="B684" s="15"/>
      <c r="C684" s="15"/>
      <c r="D684" s="15"/>
      <c r="E684" s="623"/>
      <c r="F684" s="623"/>
      <c r="G684" s="623"/>
      <c r="H684" s="623"/>
      <c r="I684" s="741"/>
      <c r="J684" s="741"/>
      <c r="K684" s="741"/>
      <c r="L684" s="741"/>
      <c r="M684" s="741"/>
      <c r="N684" s="623"/>
    </row>
    <row r="685" spans="2:14" ht="12.75" customHeight="1" x14ac:dyDescent="0.25">
      <c r="B685" s="15"/>
      <c r="C685" s="15"/>
      <c r="D685" s="15"/>
      <c r="E685" s="2087" t="str">
        <f>Translations!$B$604</f>
        <v>Nettomängd importerad värme</v>
      </c>
      <c r="F685" s="2087"/>
      <c r="G685" s="2087"/>
      <c r="H685" s="1606" t="str">
        <f>EUconst_TJpa</f>
        <v>TJ / år</v>
      </c>
      <c r="I685" s="739" t="str">
        <f>[1]K_Summary!I675</f>
        <v/>
      </c>
      <c r="J685" s="739" t="str">
        <f>[1]K_Summary!J675</f>
        <v/>
      </c>
      <c r="K685" s="739" t="str">
        <f>[1]K_Summary!K675</f>
        <v/>
      </c>
      <c r="L685" s="739" t="str">
        <f>[1]K_Summary!L675</f>
        <v/>
      </c>
      <c r="M685" s="739" t="str">
        <f>[1]K_Summary!M675</f>
        <v/>
      </c>
      <c r="N685" s="623"/>
    </row>
    <row r="686" spans="2:14" ht="12.75" customHeight="1" x14ac:dyDescent="0.25">
      <c r="B686" s="15"/>
      <c r="C686" s="15"/>
      <c r="D686" s="15"/>
      <c r="E686" s="2088" t="str">
        <f>Translations!$B$605</f>
        <v>Särskild emissionsfaktor (importerad värme)</v>
      </c>
      <c r="F686" s="2088"/>
      <c r="G686" s="2088"/>
      <c r="H686" s="624" t="str">
        <f>EUconst_tCO2pTJ</f>
        <v>t CO2 / TJ</v>
      </c>
      <c r="I686" s="740" t="str">
        <f>[1]K_Summary!I676</f>
        <v/>
      </c>
      <c r="J686" s="740" t="str">
        <f>[1]K_Summary!J676</f>
        <v/>
      </c>
      <c r="K686" s="740" t="str">
        <f>[1]K_Summary!K676</f>
        <v/>
      </c>
      <c r="L686" s="740" t="str">
        <f>[1]K_Summary!L676</f>
        <v/>
      </c>
      <c r="M686" s="740" t="str">
        <f>[1]K_Summary!M676</f>
        <v/>
      </c>
      <c r="N686" s="623"/>
    </row>
    <row r="687" spans="2:14" ht="5.15" customHeight="1" x14ac:dyDescent="0.25">
      <c r="B687" s="15"/>
      <c r="C687" s="15"/>
      <c r="D687" s="15"/>
      <c r="E687" s="416"/>
      <c r="F687" s="623"/>
      <c r="G687" s="623"/>
      <c r="H687" s="623"/>
      <c r="I687" s="741"/>
      <c r="J687" s="741"/>
      <c r="K687" s="741"/>
      <c r="L687" s="741"/>
      <c r="M687" s="741"/>
      <c r="N687" s="623"/>
    </row>
    <row r="688" spans="2:14" ht="12.75" customHeight="1" x14ac:dyDescent="0.25">
      <c r="B688" s="15"/>
      <c r="C688" s="15"/>
      <c r="D688" s="15"/>
      <c r="E688" s="2080" t="str">
        <f>Translations!$B$659</f>
        <v>Importerad nettovärme från massa</v>
      </c>
      <c r="F688" s="2080"/>
      <c r="G688" s="2080"/>
      <c r="H688" s="363" t="str">
        <f>EUconst_TJpa</f>
        <v>TJ / år</v>
      </c>
      <c r="I688" s="742" t="str">
        <f>[1]K_Summary!I678</f>
        <v/>
      </c>
      <c r="J688" s="742" t="str">
        <f>[1]K_Summary!J678</f>
        <v/>
      </c>
      <c r="K688" s="742" t="str">
        <f>[1]K_Summary!K678</f>
        <v/>
      </c>
      <c r="L688" s="742" t="str">
        <f>[1]K_Summary!L678</f>
        <v/>
      </c>
      <c r="M688" s="742" t="str">
        <f>[1]K_Summary!M678</f>
        <v/>
      </c>
      <c r="N688" s="623"/>
    </row>
    <row r="689" spans="2:14" ht="12.75" customHeight="1" x14ac:dyDescent="0.25">
      <c r="B689" s="15"/>
      <c r="C689" s="15"/>
      <c r="D689" s="15"/>
      <c r="E689" s="2080" t="str">
        <f>Translations!$B$608</f>
        <v>Nettomängd importerad värme från delanläggningar för salpetersyra</v>
      </c>
      <c r="F689" s="2080"/>
      <c r="G689" s="2080"/>
      <c r="H689" s="363" t="str">
        <f>EUconst_TJpa</f>
        <v>TJ / år</v>
      </c>
      <c r="I689" s="742" t="str">
        <f>[1]K_Summary!I679</f>
        <v/>
      </c>
      <c r="J689" s="742" t="str">
        <f>[1]K_Summary!J679</f>
        <v/>
      </c>
      <c r="K689" s="742" t="str">
        <f>[1]K_Summary!K679</f>
        <v/>
      </c>
      <c r="L689" s="742" t="str">
        <f>[1]K_Summary!L679</f>
        <v/>
      </c>
      <c r="M689" s="742" t="str">
        <f>[1]K_Summary!M679</f>
        <v/>
      </c>
      <c r="N689" s="623"/>
    </row>
    <row r="690" spans="2:14" ht="5.15" customHeight="1" x14ac:dyDescent="0.25">
      <c r="B690" s="15"/>
      <c r="C690" s="15"/>
      <c r="D690" s="15"/>
      <c r="E690" s="416"/>
      <c r="F690" s="416"/>
      <c r="G690" s="416"/>
      <c r="H690" s="416"/>
      <c r="I690" s="741"/>
      <c r="J690" s="741"/>
      <c r="K690" s="741"/>
      <c r="L690" s="741"/>
      <c r="M690" s="741"/>
      <c r="N690" s="623"/>
    </row>
    <row r="691" spans="2:14" ht="12.75" customHeight="1" x14ac:dyDescent="0.25">
      <c r="B691" s="15"/>
      <c r="C691" s="15"/>
      <c r="D691" s="15"/>
      <c r="E691" s="2087" t="str">
        <f>Translations!$B$610</f>
        <v>Nettomängd exporterad värme</v>
      </c>
      <c r="F691" s="2087"/>
      <c r="G691" s="2087"/>
      <c r="H691" s="1606" t="str">
        <f>EUconst_TJpa</f>
        <v>TJ / år</v>
      </c>
      <c r="I691" s="739" t="str">
        <f>[1]K_Summary!I681</f>
        <v/>
      </c>
      <c r="J691" s="739" t="str">
        <f>[1]K_Summary!J681</f>
        <v/>
      </c>
      <c r="K691" s="739" t="str">
        <f>[1]K_Summary!K681</f>
        <v/>
      </c>
      <c r="L691" s="739" t="str">
        <f>[1]K_Summary!L681</f>
        <v/>
      </c>
      <c r="M691" s="739" t="str">
        <f>[1]K_Summary!M681</f>
        <v/>
      </c>
      <c r="N691" s="623"/>
    </row>
    <row r="692" spans="2:14" ht="12.75" customHeight="1" x14ac:dyDescent="0.25">
      <c r="B692" s="15"/>
      <c r="C692" s="15"/>
      <c r="D692" s="15"/>
      <c r="E692" s="2088" t="str">
        <f>Translations!$B$611</f>
        <v>Särskild emissionsfaktor (exporterad värme)</v>
      </c>
      <c r="F692" s="2088"/>
      <c r="G692" s="2088"/>
      <c r="H692" s="624" t="str">
        <f>EUconst_tCO2pTJ</f>
        <v>t CO2 / TJ</v>
      </c>
      <c r="I692" s="740" t="str">
        <f>[1]K_Summary!I682</f>
        <v/>
      </c>
      <c r="J692" s="740" t="str">
        <f>[1]K_Summary!J682</f>
        <v/>
      </c>
      <c r="K692" s="740" t="str">
        <f>[1]K_Summary!K682</f>
        <v/>
      </c>
      <c r="L692" s="740" t="str">
        <f>[1]K_Summary!L682</f>
        <v/>
      </c>
      <c r="M692" s="740" t="str">
        <f>[1]K_Summary!M682</f>
        <v/>
      </c>
      <c r="N692" s="623"/>
    </row>
    <row r="693" spans="2:14" ht="5.15" customHeight="1" x14ac:dyDescent="0.25">
      <c r="B693" s="15"/>
      <c r="C693" s="15"/>
      <c r="D693" s="15"/>
      <c r="E693" s="416"/>
      <c r="F693" s="416"/>
      <c r="G693" s="416"/>
      <c r="H693" s="416"/>
      <c r="I693" s="741"/>
      <c r="J693" s="741"/>
      <c r="K693" s="741"/>
      <c r="L693" s="741"/>
      <c r="M693" s="741"/>
      <c r="N693" s="623"/>
    </row>
    <row r="694" spans="2:14" ht="12.75" customHeight="1" x14ac:dyDescent="0.25">
      <c r="B694" s="15"/>
      <c r="C694" s="15"/>
      <c r="D694" s="15"/>
      <c r="E694" s="2087" t="str">
        <f>Translations!$B$618</f>
        <v>Producerad restgas</v>
      </c>
      <c r="F694" s="2087"/>
      <c r="G694" s="2087"/>
      <c r="H694" s="1606" t="str">
        <f>EUconst_TJpa</f>
        <v>TJ / år</v>
      </c>
      <c r="I694" s="739" t="str">
        <f>[1]K_Summary!I684</f>
        <v/>
      </c>
      <c r="J694" s="739" t="str">
        <f>[1]K_Summary!J684</f>
        <v/>
      </c>
      <c r="K694" s="739" t="str">
        <f>[1]K_Summary!K684</f>
        <v/>
      </c>
      <c r="L694" s="739" t="str">
        <f>[1]K_Summary!L684</f>
        <v/>
      </c>
      <c r="M694" s="739" t="str">
        <f>[1]K_Summary!M684</f>
        <v/>
      </c>
      <c r="N694" s="623"/>
    </row>
    <row r="695" spans="2:14" ht="12.75" customHeight="1" x14ac:dyDescent="0.25">
      <c r="B695" s="15"/>
      <c r="C695" s="15"/>
      <c r="D695" s="15"/>
      <c r="E695" s="2088" t="str">
        <f>Translations!$B$619</f>
        <v>Särskild emissionsfaktor (producerad restgas)</v>
      </c>
      <c r="F695" s="2088"/>
      <c r="G695" s="2088"/>
      <c r="H695" s="624" t="str">
        <f>EUconst_tCO2pTJ</f>
        <v>t CO2 / TJ</v>
      </c>
      <c r="I695" s="740" t="str">
        <f>[1]K_Summary!I685</f>
        <v/>
      </c>
      <c r="J695" s="740" t="str">
        <f>[1]K_Summary!J685</f>
        <v/>
      </c>
      <c r="K695" s="740" t="str">
        <f>[1]K_Summary!K685</f>
        <v/>
      </c>
      <c r="L695" s="740" t="str">
        <f>[1]K_Summary!L685</f>
        <v/>
      </c>
      <c r="M695" s="740" t="str">
        <f>[1]K_Summary!M685</f>
        <v/>
      </c>
      <c r="N695" s="623"/>
    </row>
    <row r="696" spans="2:14" ht="12.75" customHeight="1" x14ac:dyDescent="0.25">
      <c r="B696" s="15"/>
      <c r="C696" s="15"/>
      <c r="D696" s="15"/>
      <c r="E696" s="2087" t="str">
        <f>Translations!$B$623</f>
        <v>Förbrukad restgas</v>
      </c>
      <c r="F696" s="2087"/>
      <c r="G696" s="2087"/>
      <c r="H696" s="1606" t="str">
        <f>EUconst_TJpa</f>
        <v>TJ / år</v>
      </c>
      <c r="I696" s="739" t="str">
        <f>[1]K_Summary!I686</f>
        <v/>
      </c>
      <c r="J696" s="739" t="str">
        <f>[1]K_Summary!J686</f>
        <v/>
      </c>
      <c r="K696" s="739" t="str">
        <f>[1]K_Summary!K686</f>
        <v/>
      </c>
      <c r="L696" s="739" t="str">
        <f>[1]K_Summary!L686</f>
        <v/>
      </c>
      <c r="M696" s="739" t="str">
        <f>[1]K_Summary!M686</f>
        <v/>
      </c>
      <c r="N696" s="623"/>
    </row>
    <row r="697" spans="2:14" ht="12.75" customHeight="1" x14ac:dyDescent="0.25">
      <c r="B697" s="15"/>
      <c r="C697" s="15"/>
      <c r="D697" s="15"/>
      <c r="E697" s="2088" t="str">
        <f>Translations!$B$624</f>
        <v>Särskild emissionsfaktor (förbrukad restgas)</v>
      </c>
      <c r="F697" s="2088"/>
      <c r="G697" s="2088"/>
      <c r="H697" s="624" t="str">
        <f>EUconst_tCO2pTJ</f>
        <v>t CO2 / TJ</v>
      </c>
      <c r="I697" s="740" t="str">
        <f>[1]K_Summary!I687</f>
        <v/>
      </c>
      <c r="J697" s="740" t="str">
        <f>[1]K_Summary!J687</f>
        <v/>
      </c>
      <c r="K697" s="740" t="str">
        <f>[1]K_Summary!K687</f>
        <v/>
      </c>
      <c r="L697" s="740" t="str">
        <f>[1]K_Summary!L687</f>
        <v/>
      </c>
      <c r="M697" s="740" t="str">
        <f>[1]K_Summary!M687</f>
        <v/>
      </c>
      <c r="N697" s="623"/>
    </row>
    <row r="698" spans="2:14" ht="12.75" customHeight="1" x14ac:dyDescent="0.25">
      <c r="B698" s="15"/>
      <c r="C698" s="15"/>
      <c r="D698" s="15"/>
      <c r="E698" s="2087" t="str">
        <f>Translations!$B$630</f>
        <v>Facklad restgas</v>
      </c>
      <c r="F698" s="2087"/>
      <c r="G698" s="2087"/>
      <c r="H698" s="1606" t="str">
        <f>EUconst_TJpa</f>
        <v>TJ / år</v>
      </c>
      <c r="I698" s="739" t="str">
        <f>[1]K_Summary!I688</f>
        <v/>
      </c>
      <c r="J698" s="739" t="str">
        <f>[1]K_Summary!J688</f>
        <v/>
      </c>
      <c r="K698" s="739" t="str">
        <f>[1]K_Summary!K688</f>
        <v/>
      </c>
      <c r="L698" s="739" t="str">
        <f>[1]K_Summary!L688</f>
        <v/>
      </c>
      <c r="M698" s="739" t="str">
        <f>[1]K_Summary!M688</f>
        <v/>
      </c>
      <c r="N698" s="623"/>
    </row>
    <row r="699" spans="2:14" ht="12.75" customHeight="1" x14ac:dyDescent="0.25">
      <c r="B699" s="15"/>
      <c r="C699" s="15"/>
      <c r="D699" s="15"/>
      <c r="E699" s="2088" t="str">
        <f>Translations!$B$631</f>
        <v>Särskild emissionsfaktor (facklad restgas)</v>
      </c>
      <c r="F699" s="2088"/>
      <c r="G699" s="2088"/>
      <c r="H699" s="624" t="str">
        <f>EUconst_tCO2pTJ</f>
        <v>t CO2 / TJ</v>
      </c>
      <c r="I699" s="740" t="str">
        <f>[1]K_Summary!I689</f>
        <v/>
      </c>
      <c r="J699" s="740" t="str">
        <f>[1]K_Summary!J689</f>
        <v/>
      </c>
      <c r="K699" s="740" t="str">
        <f>[1]K_Summary!K689</f>
        <v/>
      </c>
      <c r="L699" s="740" t="str">
        <f>[1]K_Summary!L689</f>
        <v/>
      </c>
      <c r="M699" s="740" t="str">
        <f>[1]K_Summary!M689</f>
        <v/>
      </c>
      <c r="N699" s="623"/>
    </row>
    <row r="700" spans="2:14" ht="12.75" customHeight="1" x14ac:dyDescent="0.25">
      <c r="B700" s="15"/>
      <c r="C700" s="15"/>
      <c r="D700" s="15"/>
      <c r="E700" s="2087" t="str">
        <f>Translations!$B$636</f>
        <v>Importerad restgas</v>
      </c>
      <c r="F700" s="2087"/>
      <c r="G700" s="2087"/>
      <c r="H700" s="1606" t="str">
        <f>EUconst_TJpa</f>
        <v>TJ / år</v>
      </c>
      <c r="I700" s="739" t="str">
        <f>[1]K_Summary!I690</f>
        <v/>
      </c>
      <c r="J700" s="739" t="str">
        <f>[1]K_Summary!J690</f>
        <v/>
      </c>
      <c r="K700" s="739" t="str">
        <f>[1]K_Summary!K690</f>
        <v/>
      </c>
      <c r="L700" s="739" t="str">
        <f>[1]K_Summary!L690</f>
        <v/>
      </c>
      <c r="M700" s="739" t="str">
        <f>[1]K_Summary!M690</f>
        <v/>
      </c>
      <c r="N700" s="623"/>
    </row>
    <row r="701" spans="2:14" ht="12.75" customHeight="1" x14ac:dyDescent="0.25">
      <c r="B701" s="15"/>
      <c r="C701" s="15"/>
      <c r="D701" s="15"/>
      <c r="E701" s="2088" t="str">
        <f>Translations!$B$637</f>
        <v>Särskild emissionsfaktor (importerad restgas)</v>
      </c>
      <c r="F701" s="2088"/>
      <c r="G701" s="2088"/>
      <c r="H701" s="624" t="str">
        <f>EUconst_tCO2pTJ</f>
        <v>t CO2 / TJ</v>
      </c>
      <c r="I701" s="740" t="str">
        <f>[1]K_Summary!I691</f>
        <v/>
      </c>
      <c r="J701" s="740" t="str">
        <f>[1]K_Summary!J691</f>
        <v/>
      </c>
      <c r="K701" s="740" t="str">
        <f>[1]K_Summary!K691</f>
        <v/>
      </c>
      <c r="L701" s="740" t="str">
        <f>[1]K_Summary!L691</f>
        <v/>
      </c>
      <c r="M701" s="740" t="str">
        <f>[1]K_Summary!M691</f>
        <v/>
      </c>
      <c r="N701" s="623"/>
    </row>
    <row r="702" spans="2:14" ht="12.75" customHeight="1" x14ac:dyDescent="0.25">
      <c r="B702" s="15"/>
      <c r="C702" s="15"/>
      <c r="D702" s="15"/>
      <c r="E702" s="2087" t="str">
        <f>Translations!$B$641</f>
        <v>Exporterad restgas</v>
      </c>
      <c r="F702" s="2087"/>
      <c r="G702" s="2087"/>
      <c r="H702" s="1606" t="str">
        <f>EUconst_TJpa</f>
        <v>TJ / år</v>
      </c>
      <c r="I702" s="739" t="str">
        <f>[1]K_Summary!I692</f>
        <v/>
      </c>
      <c r="J702" s="739" t="str">
        <f>[1]K_Summary!J692</f>
        <v/>
      </c>
      <c r="K702" s="739" t="str">
        <f>[1]K_Summary!K692</f>
        <v/>
      </c>
      <c r="L702" s="739" t="str">
        <f>[1]K_Summary!L692</f>
        <v/>
      </c>
      <c r="M702" s="739" t="str">
        <f>[1]K_Summary!M692</f>
        <v/>
      </c>
      <c r="N702" s="623"/>
    </row>
    <row r="703" spans="2:14" ht="12.75" customHeight="1" x14ac:dyDescent="0.25">
      <c r="B703" s="15"/>
      <c r="C703" s="15"/>
      <c r="D703" s="15"/>
      <c r="E703" s="2088" t="str">
        <f>Translations!$B$642</f>
        <v>Särskild emissionsfaktor (exporterad restgas)</v>
      </c>
      <c r="F703" s="2088"/>
      <c r="G703" s="2088"/>
      <c r="H703" s="624" t="str">
        <f>EUconst_tCO2pTJ</f>
        <v>t CO2 / TJ</v>
      </c>
      <c r="I703" s="740" t="str">
        <f>[1]K_Summary!I693</f>
        <v/>
      </c>
      <c r="J703" s="740" t="str">
        <f>[1]K_Summary!J693</f>
        <v/>
      </c>
      <c r="K703" s="740" t="str">
        <f>[1]K_Summary!K693</f>
        <v/>
      </c>
      <c r="L703" s="740" t="str">
        <f>[1]K_Summary!L693</f>
        <v/>
      </c>
      <c r="M703" s="740" t="str">
        <f>[1]K_Summary!M693</f>
        <v/>
      </c>
      <c r="N703" s="623"/>
    </row>
    <row r="704" spans="2:14" ht="5.15" customHeight="1" x14ac:dyDescent="0.25">
      <c r="B704" s="15"/>
      <c r="C704" s="15"/>
      <c r="D704" s="15"/>
      <c r="E704" s="416"/>
      <c r="F704" s="416"/>
      <c r="G704" s="416"/>
      <c r="H704" s="416"/>
      <c r="I704" s="741"/>
      <c r="J704" s="741"/>
      <c r="K704" s="741"/>
      <c r="L704" s="741"/>
      <c r="M704" s="741"/>
      <c r="N704" s="623"/>
    </row>
    <row r="705" spans="2:14" ht="12.75" customHeight="1" x14ac:dyDescent="0.25">
      <c r="B705" s="15"/>
      <c r="C705" s="15"/>
      <c r="D705" s="15"/>
      <c r="E705" s="2080" t="str">
        <f>Translations!$B$530</f>
        <v>Relevant elförbrukning</v>
      </c>
      <c r="F705" s="2080"/>
      <c r="G705" s="2080"/>
      <c r="H705" s="363" t="str">
        <f>EUconst_MWhpa</f>
        <v>MWh / år</v>
      </c>
      <c r="I705" s="742" t="str">
        <f>[1]K_Summary!I695</f>
        <v/>
      </c>
      <c r="J705" s="742" t="str">
        <f>[1]K_Summary!J695</f>
        <v/>
      </c>
      <c r="K705" s="742" t="str">
        <f>[1]K_Summary!K695</f>
        <v/>
      </c>
      <c r="L705" s="742" t="str">
        <f>[1]K_Summary!L695</f>
        <v/>
      </c>
      <c r="M705" s="742" t="str">
        <f>[1]K_Summary!M695</f>
        <v/>
      </c>
      <c r="N705" s="623"/>
    </row>
    <row r="706" spans="2:14" ht="12.75" customHeight="1" x14ac:dyDescent="0.25">
      <c r="B706" s="15"/>
      <c r="C706" s="15"/>
      <c r="D706" s="15"/>
      <c r="E706" s="2080" t="str">
        <f>Translations!$B$645</f>
        <v>Producerad el</v>
      </c>
      <c r="F706" s="2080"/>
      <c r="G706" s="2080"/>
      <c r="H706" s="363" t="str">
        <f>EUconst_MWhpa</f>
        <v>MWh / år</v>
      </c>
      <c r="I706" s="742" t="str">
        <f>[1]K_Summary!I696</f>
        <v/>
      </c>
      <c r="J706" s="742" t="str">
        <f>[1]K_Summary!J696</f>
        <v/>
      </c>
      <c r="K706" s="742" t="str">
        <f>[1]K_Summary!K696</f>
        <v/>
      </c>
      <c r="L706" s="742" t="str">
        <f>[1]K_Summary!L696</f>
        <v/>
      </c>
      <c r="M706" s="742" t="str">
        <f>[1]K_Summary!M696</f>
        <v/>
      </c>
      <c r="N706" s="623"/>
    </row>
    <row r="707" spans="2:14" ht="5.15" customHeight="1" x14ac:dyDescent="0.25">
      <c r="B707" s="15"/>
      <c r="C707" s="15"/>
      <c r="D707" s="15"/>
      <c r="E707" s="416"/>
      <c r="F707" s="416"/>
      <c r="G707" s="416"/>
      <c r="H707" s="416"/>
      <c r="I707" s="741"/>
      <c r="J707" s="741"/>
      <c r="K707" s="741"/>
      <c r="L707" s="741"/>
      <c r="M707" s="741"/>
      <c r="N707" s="623"/>
    </row>
    <row r="708" spans="2:14" ht="12.75" customHeight="1" x14ac:dyDescent="0.25">
      <c r="B708" s="15"/>
      <c r="C708" s="15"/>
      <c r="D708" s="15"/>
      <c r="E708" s="2080" t="str">
        <f>Translations!$B$646</f>
        <v>Total producerad massamängd</v>
      </c>
      <c r="F708" s="2080"/>
      <c r="G708" s="2080"/>
      <c r="H708" s="363" t="str">
        <f>Translations!$B$1117</f>
        <v>ton</v>
      </c>
      <c r="I708" s="742" t="str">
        <f>[1]K_Summary!I698</f>
        <v/>
      </c>
      <c r="J708" s="742" t="str">
        <f>[1]K_Summary!J698</f>
        <v/>
      </c>
      <c r="K708" s="742" t="str">
        <f>[1]K_Summary!K698</f>
        <v/>
      </c>
      <c r="L708" s="742" t="str">
        <f>[1]K_Summary!L698</f>
        <v/>
      </c>
      <c r="M708" s="742" t="str">
        <f>[1]K_Summary!M698</f>
        <v/>
      </c>
      <c r="N708" s="623"/>
    </row>
    <row r="709" spans="2:14" ht="5.15" customHeight="1" x14ac:dyDescent="0.25">
      <c r="B709" s="15"/>
      <c r="C709" s="15"/>
      <c r="D709" s="15"/>
      <c r="E709" s="416"/>
      <c r="F709" s="416"/>
      <c r="G709" s="416"/>
      <c r="H709" s="416"/>
      <c r="I709" s="741"/>
      <c r="J709" s="741"/>
      <c r="K709" s="741"/>
      <c r="L709" s="741"/>
      <c r="M709" s="741"/>
      <c r="N709" s="623"/>
    </row>
    <row r="710" spans="2:14" x14ac:dyDescent="0.25">
      <c r="B710" s="15"/>
      <c r="C710" s="15"/>
      <c r="D710" s="15"/>
      <c r="E710" s="899" t="str">
        <f>Translations!$B$1057</f>
        <v>Mellanimport:</v>
      </c>
      <c r="F710" s="416"/>
      <c r="G710" s="416"/>
      <c r="H710" s="416"/>
      <c r="I710" s="741"/>
      <c r="J710" s="741"/>
      <c r="K710" s="741"/>
      <c r="L710" s="741"/>
      <c r="M710" s="741"/>
      <c r="N710" s="623"/>
    </row>
    <row r="711" spans="2:14" x14ac:dyDescent="0.25">
      <c r="B711" s="15"/>
      <c r="C711" s="15"/>
      <c r="D711" s="15"/>
      <c r="E711" s="2089" t="str">
        <f>[1]K_Summary!E701</f>
        <v/>
      </c>
      <c r="F711" s="2089"/>
      <c r="G711" s="2089"/>
      <c r="H711" s="363" t="str">
        <f>Translations!$B$1117</f>
        <v>ton</v>
      </c>
      <c r="I711" s="742" t="str">
        <f>[1]K_Summary!I701</f>
        <v/>
      </c>
      <c r="J711" s="742" t="str">
        <f>[1]K_Summary!J701</f>
        <v/>
      </c>
      <c r="K711" s="742" t="str">
        <f>[1]K_Summary!K701</f>
        <v/>
      </c>
      <c r="L711" s="742" t="str">
        <f>[1]K_Summary!L701</f>
        <v/>
      </c>
      <c r="M711" s="742" t="str">
        <f>[1]K_Summary!M701</f>
        <v/>
      </c>
      <c r="N711" s="623"/>
    </row>
    <row r="712" spans="2:14" x14ac:dyDescent="0.25">
      <c r="B712" s="15"/>
      <c r="C712" s="15"/>
      <c r="D712" s="15"/>
      <c r="E712" s="2089" t="str">
        <f>[1]K_Summary!E702</f>
        <v/>
      </c>
      <c r="F712" s="2089"/>
      <c r="G712" s="2089"/>
      <c r="H712" s="363" t="str">
        <f>Translations!$B$1117</f>
        <v>ton</v>
      </c>
      <c r="I712" s="742" t="str">
        <f>[1]K_Summary!I702</f>
        <v/>
      </c>
      <c r="J712" s="742" t="str">
        <f>[1]K_Summary!J702</f>
        <v/>
      </c>
      <c r="K712" s="742" t="str">
        <f>[1]K_Summary!K702</f>
        <v/>
      </c>
      <c r="L712" s="742" t="str">
        <f>[1]K_Summary!L702</f>
        <v/>
      </c>
      <c r="M712" s="742" t="str">
        <f>[1]K_Summary!M702</f>
        <v/>
      </c>
      <c r="N712" s="623"/>
    </row>
    <row r="713" spans="2:14" x14ac:dyDescent="0.25">
      <c r="B713" s="15"/>
      <c r="C713" s="15"/>
      <c r="D713" s="15"/>
      <c r="E713" s="899" t="str">
        <f>Translations!$B$1058</f>
        <v>Mellanexport:</v>
      </c>
      <c r="F713" s="416"/>
      <c r="G713" s="416"/>
      <c r="H713" s="416"/>
      <c r="I713" s="741"/>
      <c r="J713" s="741"/>
      <c r="K713" s="741"/>
      <c r="L713" s="741"/>
      <c r="M713" s="741"/>
      <c r="N713" s="623"/>
    </row>
    <row r="714" spans="2:14" x14ac:dyDescent="0.25">
      <c r="B714" s="15"/>
      <c r="C714" s="15"/>
      <c r="D714" s="15"/>
      <c r="E714" s="2089" t="str">
        <f>[1]K_Summary!E704</f>
        <v/>
      </c>
      <c r="F714" s="2089"/>
      <c r="G714" s="2089"/>
      <c r="H714" s="363" t="str">
        <f>Translations!$B$1117</f>
        <v>ton</v>
      </c>
      <c r="I714" s="742" t="str">
        <f>[1]K_Summary!I704</f>
        <v/>
      </c>
      <c r="J714" s="742" t="str">
        <f>[1]K_Summary!J704</f>
        <v/>
      </c>
      <c r="K714" s="742" t="str">
        <f>[1]K_Summary!K704</f>
        <v/>
      </c>
      <c r="L714" s="742" t="str">
        <f>[1]K_Summary!L704</f>
        <v/>
      </c>
      <c r="M714" s="742" t="str">
        <f>[1]K_Summary!M704</f>
        <v/>
      </c>
      <c r="N714" s="623"/>
    </row>
    <row r="715" spans="2:14" x14ac:dyDescent="0.25">
      <c r="B715" s="15"/>
      <c r="C715" s="15"/>
      <c r="D715" s="15"/>
      <c r="E715" s="2089" t="str">
        <f>[1]K_Summary!E705</f>
        <v/>
      </c>
      <c r="F715" s="2089"/>
      <c r="G715" s="2089"/>
      <c r="H715" s="363" t="str">
        <f>Translations!$B$1117</f>
        <v>ton</v>
      </c>
      <c r="I715" s="742" t="str">
        <f>[1]K_Summary!I705</f>
        <v/>
      </c>
      <c r="J715" s="742" t="str">
        <f>[1]K_Summary!J705</f>
        <v/>
      </c>
      <c r="K715" s="742" t="str">
        <f>[1]K_Summary!K705</f>
        <v/>
      </c>
      <c r="L715" s="742" t="str">
        <f>[1]K_Summary!L705</f>
        <v/>
      </c>
      <c r="M715" s="742" t="str">
        <f>[1]K_Summary!M705</f>
        <v/>
      </c>
      <c r="N715" s="623"/>
    </row>
    <row r="716" spans="2:14" ht="12.75" customHeight="1" x14ac:dyDescent="0.25">
      <c r="B716" s="15"/>
      <c r="C716" s="15"/>
      <c r="D716" s="15"/>
      <c r="E716" s="416"/>
      <c r="F716" s="416"/>
      <c r="G716" s="416"/>
      <c r="H716" s="416"/>
      <c r="I716" s="623"/>
      <c r="J716" s="623"/>
      <c r="K716" s="623"/>
      <c r="L716" s="623"/>
      <c r="M716" s="623"/>
      <c r="N716" s="623"/>
    </row>
    <row r="717" spans="2:14" ht="5.15" customHeight="1" thickBot="1" x14ac:dyDescent="0.3">
      <c r="B717" s="15"/>
      <c r="C717" s="15"/>
      <c r="D717" s="15"/>
      <c r="E717" s="748"/>
      <c r="F717" s="534"/>
      <c r="G717" s="534"/>
      <c r="H717" s="534"/>
      <c r="I717" s="534"/>
      <c r="J717" s="534"/>
      <c r="K717" s="534"/>
      <c r="L717" s="534"/>
      <c r="M717" s="534"/>
      <c r="N717" s="534"/>
    </row>
    <row r="718" spans="2:14" ht="5.15" customHeight="1" x14ac:dyDescent="0.25">
      <c r="B718" s="3"/>
      <c r="C718" s="230"/>
      <c r="D718" s="230"/>
      <c r="E718" s="230"/>
      <c r="F718" s="230"/>
      <c r="G718" s="230"/>
      <c r="H718" s="230"/>
      <c r="I718" s="230"/>
      <c r="J718" s="230"/>
      <c r="K718" s="230"/>
      <c r="L718" s="230"/>
      <c r="M718" s="230"/>
      <c r="N718" s="230"/>
    </row>
    <row r="719" spans="2:14" ht="15" customHeight="1" x14ac:dyDescent="0.3">
      <c r="B719" s="15"/>
      <c r="C719" s="17">
        <v>5</v>
      </c>
      <c r="D719" s="2053" t="str">
        <f>Euconst_ProdBMSub &amp; " " &amp; C719 &amp; ":"</f>
        <v>Delanläggning med produktriktmärke 5:</v>
      </c>
      <c r="E719" s="2053"/>
      <c r="F719" s="2053"/>
      <c r="G719" s="2053"/>
      <c r="H719" s="2081"/>
      <c r="I719" s="2090" t="str">
        <f>[1]K_Summary!I709</f>
        <v/>
      </c>
      <c r="J719" s="2091"/>
      <c r="K719" s="2091"/>
      <c r="L719" s="2091"/>
      <c r="M719" s="2091"/>
      <c r="N719" s="2092"/>
    </row>
    <row r="720" spans="2:14" ht="5.15" customHeight="1" thickBot="1" x14ac:dyDescent="0.3">
      <c r="B720" s="15"/>
      <c r="C720" s="15"/>
      <c r="D720" s="15"/>
      <c r="E720" s="15"/>
      <c r="F720" s="15"/>
      <c r="G720" s="15"/>
      <c r="H720" s="15"/>
      <c r="I720" s="15"/>
      <c r="J720" s="15"/>
      <c r="K720" s="15"/>
      <c r="L720" s="15"/>
      <c r="M720" s="15"/>
      <c r="N720" s="15"/>
    </row>
    <row r="721" spans="2:16" x14ac:dyDescent="0.25">
      <c r="B721" s="15"/>
      <c r="C721" s="15"/>
      <c r="D721" s="15"/>
      <c r="E721" s="15"/>
      <c r="F721" s="15"/>
      <c r="G721" s="15"/>
      <c r="H721" s="506" t="str">
        <f>Translations!$B$1022</f>
        <v>KL-risk</v>
      </c>
      <c r="I721" s="507" t="s">
        <v>1380</v>
      </c>
      <c r="J721" s="507" t="str">
        <f>Translations!$B$1026</f>
        <v>I drift</v>
      </c>
      <c r="K721" s="507" t="str">
        <f>Translations!$B$1024</f>
        <v>RM-nummer</v>
      </c>
      <c r="L721" s="612" t="str">
        <f>Translations!$B$1030</f>
        <v>15(7).3?</v>
      </c>
      <c r="M721" s="786" t="str">
        <f>Translations!$B$1052</f>
        <v>RM-värde (min./max./faktiskt)</v>
      </c>
      <c r="N721" s="787"/>
    </row>
    <row r="722" spans="2:16" x14ac:dyDescent="0.25">
      <c r="B722" s="15"/>
      <c r="C722" s="15"/>
      <c r="D722" s="15"/>
      <c r="E722" s="508" t="str">
        <f>[1]K_Summary!E712</f>
        <v/>
      </c>
      <c r="F722" s="509"/>
      <c r="G722" s="464"/>
      <c r="H722" s="510" t="str">
        <f>[1]K_Summary!H712</f>
        <v>N.A.</v>
      </c>
      <c r="I722" s="511" t="str">
        <f>[1]K_Summary!I712</f>
        <v/>
      </c>
      <c r="J722" s="642" t="str">
        <f>[1]K_Summary!J712</f>
        <v>N.A.</v>
      </c>
      <c r="K722" s="421" t="str">
        <f>[1]K_Summary!K712</f>
        <v>N.A.</v>
      </c>
      <c r="L722" s="1598" t="str">
        <f>[1]K_Summary!L712</f>
        <v/>
      </c>
      <c r="M722" s="1599" t="str">
        <f>[1]K_Summary!M712</f>
        <v>N.A.</v>
      </c>
      <c r="N722" s="788" t="str">
        <f>EUconst_EUA &amp; "/" &amp; H727</f>
        <v>EUA/tonnes</v>
      </c>
    </row>
    <row r="723" spans="2:16" x14ac:dyDescent="0.25">
      <c r="B723" s="15"/>
      <c r="C723" s="15"/>
      <c r="D723" s="15"/>
      <c r="E723" s="534"/>
      <c r="F723" s="534"/>
      <c r="G723" s="507" t="str">
        <f>Translations!$B$1036</f>
        <v>Värme utanför ETS</v>
      </c>
      <c r="H723" s="612" t="str">
        <f>Translations!$B$1038</f>
        <v>Wgfacklad</v>
      </c>
      <c r="I723" s="507" t="s">
        <v>1526</v>
      </c>
      <c r="J723" s="507" t="s">
        <v>1527</v>
      </c>
      <c r="K723" s="507" t="s">
        <v>1528</v>
      </c>
      <c r="L723" s="612" t="str">
        <f>Translations!$B$1032</f>
        <v>15(7).3 HAL</v>
      </c>
      <c r="M723" s="1599" t="str">
        <f>[1]K_Summary!M713</f>
        <v>N.A.</v>
      </c>
      <c r="N723" s="788" t="str">
        <f>EUconst_EUA &amp; "/" &amp; H727</f>
        <v>EUA/tonnes</v>
      </c>
    </row>
    <row r="724" spans="2:16" ht="13" thickBot="1" x14ac:dyDescent="0.3">
      <c r="B724" s="15"/>
      <c r="C724" s="15"/>
      <c r="D724" s="15"/>
      <c r="E724" s="1293" t="str">
        <f>Translations!$B$1053</f>
        <v>Särskilda faktorer:</v>
      </c>
      <c r="F724" s="1600"/>
      <c r="G724" s="421" t="str">
        <f>[1]K_Summary!G714</f>
        <v/>
      </c>
      <c r="H724" s="641" t="str">
        <f>[1]K_Summary!H714</f>
        <v/>
      </c>
      <c r="I724" s="1601">
        <f>[1]K_Summary!I714</f>
        <v>1</v>
      </c>
      <c r="J724" s="421" t="str">
        <f>[1]K_Summary!J714</f>
        <v/>
      </c>
      <c r="K724" s="662" t="str">
        <f>[1]K_Summary!K714</f>
        <v/>
      </c>
      <c r="L724" s="641" t="str">
        <f>[1]K_Summary!L714</f>
        <v/>
      </c>
      <c r="M724" s="1602" t="str">
        <f>[1]K_Summary!M714</f>
        <v>N.A.</v>
      </c>
      <c r="N724" s="789" t="str">
        <f>EUconst_EUA &amp; "/" &amp; H727</f>
        <v>EUA/tonnes</v>
      </c>
      <c r="P724" s="1903" t="b">
        <f>IF(ISNUMBER(K722),INDEX(EUconst_BMlistBMvalues,K722)&lt;&gt;M724,FALSE)</f>
        <v>0</v>
      </c>
    </row>
    <row r="725" spans="2:16" ht="5.15" customHeight="1" x14ac:dyDescent="0.25">
      <c r="B725" s="15"/>
      <c r="C725" s="15"/>
      <c r="D725" s="15"/>
      <c r="E725" s="15"/>
      <c r="F725" s="15"/>
      <c r="G725" s="15"/>
      <c r="H725" s="15"/>
      <c r="I725" s="15"/>
      <c r="J725" s="15"/>
      <c r="K725" s="15"/>
      <c r="L725" s="15"/>
      <c r="M725" s="15"/>
      <c r="N725" s="15"/>
    </row>
    <row r="726" spans="2:16" ht="13" x14ac:dyDescent="0.25">
      <c r="B726" s="15"/>
      <c r="C726" s="15"/>
      <c r="D726" s="15"/>
      <c r="E726" s="188"/>
      <c r="F726" s="188"/>
      <c r="G726" s="512"/>
      <c r="H726" s="1603" t="str">
        <f>Translations!$B$1014</f>
        <v>Enhet</v>
      </c>
      <c r="I726" s="350">
        <v>2014</v>
      </c>
      <c r="J726" s="350">
        <v>2015</v>
      </c>
      <c r="K726" s="350">
        <v>2016</v>
      </c>
      <c r="L726" s="350">
        <v>2017</v>
      </c>
      <c r="M726" s="350">
        <v>2018</v>
      </c>
      <c r="N726" s="15"/>
    </row>
    <row r="727" spans="2:16" x14ac:dyDescent="0.25">
      <c r="B727" s="15"/>
      <c r="C727" s="15"/>
      <c r="D727" s="15"/>
      <c r="E727" s="513" t="str">
        <f>Translations!$B$1054</f>
        <v>Rapporterad HAL (historisk verksamhetsnivå)</v>
      </c>
      <c r="F727" s="514"/>
      <c r="G727" s="515"/>
      <c r="H727" s="510" t="str">
        <f>[1]K_Summary!H717</f>
        <v>tonnes</v>
      </c>
      <c r="I727" s="421" t="str">
        <f>[1]K_Summary!I717</f>
        <v/>
      </c>
      <c r="J727" s="421" t="str">
        <f>[1]K_Summary!J717</f>
        <v/>
      </c>
      <c r="K727" s="421" t="str">
        <f>[1]K_Summary!K717</f>
        <v/>
      </c>
      <c r="L727" s="421" t="str">
        <f>[1]K_Summary!L717</f>
        <v/>
      </c>
      <c r="M727" s="421" t="str">
        <f>[1]K_Summary!M717</f>
        <v/>
      </c>
      <c r="N727" s="507" t="str">
        <f>Translations!$B$1042</f>
        <v>Genomsnitt</v>
      </c>
    </row>
    <row r="728" spans="2:16" x14ac:dyDescent="0.25">
      <c r="B728" s="15"/>
      <c r="C728" s="15"/>
      <c r="D728" s="15"/>
      <c r="E728" s="513" t="str">
        <f>Translations!$B$1055</f>
        <v>Värden som används för HAL-beräkning:</v>
      </c>
      <c r="F728" s="514"/>
      <c r="G728" s="515"/>
      <c r="H728" s="510" t="str">
        <f>[1]K_Summary!H718</f>
        <v>tonnes</v>
      </c>
      <c r="I728" s="421" t="str">
        <f>[1]K_Summary!I718</f>
        <v/>
      </c>
      <c r="J728" s="421" t="str">
        <f>[1]K_Summary!J718</f>
        <v/>
      </c>
      <c r="K728" s="421" t="str">
        <f>[1]K_Summary!K718</f>
        <v/>
      </c>
      <c r="L728" s="421" t="str">
        <f>[1]K_Summary!L718</f>
        <v/>
      </c>
      <c r="M728" s="421" t="str">
        <f>[1]K_Summary!M718</f>
        <v/>
      </c>
      <c r="N728" s="421" t="str">
        <f>[1]K_Summary!N718</f>
        <v/>
      </c>
    </row>
    <row r="729" spans="2:16" ht="5.15" customHeight="1" x14ac:dyDescent="0.25">
      <c r="B729" s="15"/>
      <c r="C729" s="15"/>
      <c r="D729" s="15"/>
      <c r="E729" s="1604"/>
      <c r="F729" s="1604"/>
      <c r="G729" s="1604"/>
      <c r="H729" s="1604"/>
      <c r="I729" s="1604"/>
      <c r="J729" s="1604"/>
      <c r="K729" s="1604"/>
      <c r="L729" s="1604"/>
      <c r="M729" s="534"/>
      <c r="N729" s="534"/>
    </row>
    <row r="730" spans="2:16" ht="13" thickBot="1" x14ac:dyDescent="0.3">
      <c r="B730" s="15"/>
      <c r="C730" s="534"/>
      <c r="D730" s="15"/>
      <c r="E730" s="1604"/>
      <c r="F730" s="617" t="s">
        <v>1385</v>
      </c>
      <c r="G730" s="618"/>
      <c r="H730" s="534"/>
      <c r="I730" s="617" t="str">
        <f>Translations!$B$1044</f>
        <v>Prel. tilldelning år 1 (min.)</v>
      </c>
      <c r="J730" s="618"/>
      <c r="K730" s="617" t="str">
        <f>Translations!$B$1047</f>
        <v>Prel. tilldelning år 1 (max.)</v>
      </c>
      <c r="L730" s="618"/>
      <c r="M730" s="617" t="str">
        <f>Translations!$B$1049</f>
        <v>Prel. tilldelning år 1 (faktisk)</v>
      </c>
      <c r="N730" s="618"/>
    </row>
    <row r="731" spans="2:16" ht="13.5" thickBot="1" x14ac:dyDescent="0.3">
      <c r="B731" s="15"/>
      <c r="C731" s="534"/>
      <c r="D731" s="534"/>
      <c r="E731" s="1604"/>
      <c r="F731" s="517" t="str">
        <f>[1]K_Summary!F721</f>
        <v/>
      </c>
      <c r="G731" s="1605" t="str">
        <f>[1]K_Summary!G721</f>
        <v>tonnes / year</v>
      </c>
      <c r="H731" s="534"/>
      <c r="I731" s="616" t="str">
        <f>[1]K_Summary!I721</f>
        <v/>
      </c>
      <c r="J731" s="709" t="str">
        <f>EUconst_EUApa</f>
        <v>EUA / år</v>
      </c>
      <c r="K731" s="616" t="str">
        <f>[1]K_Summary!K721</f>
        <v/>
      </c>
      <c r="L731" s="709" t="str">
        <f>EUconst_EUApa</f>
        <v>EUA / år</v>
      </c>
      <c r="M731" s="616" t="str">
        <f>[1]K_Summary!M721</f>
        <v/>
      </c>
      <c r="N731" s="709" t="str">
        <f>EUconst_EUApa</f>
        <v>EUA / år</v>
      </c>
    </row>
    <row r="732" spans="2:16" ht="5.15" customHeight="1" x14ac:dyDescent="0.25">
      <c r="B732" s="15"/>
      <c r="C732" s="15"/>
      <c r="D732" s="534"/>
      <c r="E732" s="289"/>
      <c r="F732" s="15"/>
      <c r="G732" s="15"/>
      <c r="H732" s="15"/>
      <c r="I732" s="15"/>
      <c r="J732" s="15"/>
      <c r="K732" s="15"/>
      <c r="L732" s="15"/>
      <c r="M732" s="15"/>
      <c r="N732" s="15"/>
    </row>
    <row r="733" spans="2:16" ht="12.75" customHeight="1" x14ac:dyDescent="0.25">
      <c r="B733" s="15"/>
      <c r="C733" s="15"/>
      <c r="D733" s="15"/>
      <c r="E733" s="416"/>
      <c r="F733" s="623"/>
      <c r="G733" s="623"/>
      <c r="H733" s="623"/>
      <c r="I733" s="623"/>
      <c r="J733" s="623"/>
      <c r="K733" s="623"/>
      <c r="L733" s="623"/>
      <c r="M733" s="623"/>
      <c r="N733" s="623"/>
    </row>
    <row r="734" spans="2:16" ht="13.5" thickBot="1" x14ac:dyDescent="0.3">
      <c r="B734" s="15"/>
      <c r="C734" s="15"/>
      <c r="D734" s="15"/>
      <c r="E734" s="416"/>
      <c r="F734" s="623"/>
      <c r="G734" s="623"/>
      <c r="H734" s="415" t="str">
        <f>Translations!$B$1014</f>
        <v>Enhet</v>
      </c>
      <c r="I734" s="744">
        <v>2014</v>
      </c>
      <c r="J734" s="362">
        <v>2015</v>
      </c>
      <c r="K734" s="362">
        <v>2016</v>
      </c>
      <c r="L734" s="362">
        <v>2017</v>
      </c>
      <c r="M734" s="362">
        <v>2018</v>
      </c>
      <c r="N734" s="623"/>
    </row>
    <row r="735" spans="2:16" ht="13.5" customHeight="1" thickBot="1" x14ac:dyDescent="0.3">
      <c r="B735" s="15"/>
      <c r="C735" s="15"/>
      <c r="D735" s="15"/>
      <c r="E735" s="2074" t="str">
        <f>Translations!$B$1056</f>
        <v>Totala tillskrivna utsläpp</v>
      </c>
      <c r="F735" s="2074"/>
      <c r="G735" s="2074"/>
      <c r="H735" s="710" t="str">
        <f>EUconst_tCO2epa</f>
        <v>t CO2e/år</v>
      </c>
      <c r="I735" s="735" t="str">
        <f>[1]K_Summary!I725</f>
        <v/>
      </c>
      <c r="J735" s="736" t="str">
        <f>[1]K_Summary!J725</f>
        <v/>
      </c>
      <c r="K735" s="736" t="str">
        <f>[1]K_Summary!K725</f>
        <v/>
      </c>
      <c r="L735" s="736" t="str">
        <f>[1]K_Summary!L725</f>
        <v/>
      </c>
      <c r="M735" s="737" t="str">
        <f>[1]K_Summary!M725</f>
        <v/>
      </c>
      <c r="N735" s="623"/>
    </row>
    <row r="736" spans="2:16" ht="5.15" customHeight="1" x14ac:dyDescent="0.25">
      <c r="B736" s="15"/>
      <c r="C736" s="15"/>
      <c r="D736" s="15"/>
      <c r="E736" s="416"/>
      <c r="F736" s="416"/>
      <c r="G736" s="416"/>
      <c r="H736" s="416"/>
      <c r="I736" s="738"/>
      <c r="J736" s="738"/>
      <c r="K736" s="738"/>
      <c r="L736" s="738"/>
      <c r="M736" s="738"/>
      <c r="N736" s="416"/>
    </row>
    <row r="737" spans="2:14" x14ac:dyDescent="0.25">
      <c r="B737" s="15"/>
      <c r="C737" s="15"/>
      <c r="D737" s="15"/>
      <c r="E737" s="2087" t="str">
        <f>Translations!$B$571</f>
        <v>Insatsbränsle</v>
      </c>
      <c r="F737" s="2087"/>
      <c r="G737" s="2087"/>
      <c r="H737" s="1606" t="str">
        <f>EUconst_TJpa</f>
        <v>TJ / år</v>
      </c>
      <c r="I737" s="739" t="str">
        <f>[1]K_Summary!I727</f>
        <v/>
      </c>
      <c r="J737" s="739" t="str">
        <f>[1]K_Summary!J727</f>
        <v/>
      </c>
      <c r="K737" s="739" t="str">
        <f>[1]K_Summary!K727</f>
        <v/>
      </c>
      <c r="L737" s="739" t="str">
        <f>[1]K_Summary!L727</f>
        <v/>
      </c>
      <c r="M737" s="739" t="str">
        <f>[1]K_Summary!M727</f>
        <v/>
      </c>
      <c r="N737" s="623"/>
    </row>
    <row r="738" spans="2:14" ht="12.75" customHeight="1" x14ac:dyDescent="0.25">
      <c r="B738" s="15"/>
      <c r="C738" s="15"/>
      <c r="D738" s="15"/>
      <c r="E738" s="2088" t="str">
        <f>Translations!$B$572</f>
        <v>Viktad emissionsfaktor</v>
      </c>
      <c r="F738" s="2088"/>
      <c r="G738" s="2088"/>
      <c r="H738" s="624" t="str">
        <f>EUconst_tCO2pTJ</f>
        <v>t CO2 / TJ</v>
      </c>
      <c r="I738" s="740" t="str">
        <f>[1]K_Summary!I728</f>
        <v/>
      </c>
      <c r="J738" s="740" t="str">
        <f>[1]K_Summary!J728</f>
        <v/>
      </c>
      <c r="K738" s="740" t="str">
        <f>[1]K_Summary!K728</f>
        <v/>
      </c>
      <c r="L738" s="740" t="str">
        <f>[1]K_Summary!L728</f>
        <v/>
      </c>
      <c r="M738" s="740" t="str">
        <f>[1]K_Summary!M728</f>
        <v/>
      </c>
      <c r="N738" s="623"/>
    </row>
    <row r="739" spans="2:14" ht="5.15" customHeight="1" x14ac:dyDescent="0.25">
      <c r="B739" s="15"/>
      <c r="C739" s="15"/>
      <c r="D739" s="534"/>
      <c r="E739" s="416"/>
      <c r="F739" s="623"/>
      <c r="G739" s="623"/>
      <c r="H739" s="623"/>
      <c r="I739" s="741"/>
      <c r="J739" s="741"/>
      <c r="K739" s="741"/>
      <c r="L739" s="741"/>
      <c r="M739" s="741"/>
      <c r="N739" s="623"/>
    </row>
    <row r="740" spans="2:14" ht="12.75" customHeight="1" x14ac:dyDescent="0.25">
      <c r="B740" s="15"/>
      <c r="C740" s="15"/>
      <c r="D740" s="534"/>
      <c r="E740" s="2080" t="str">
        <f>Translations!$B$528</f>
        <v>Direkta utsläpp</v>
      </c>
      <c r="F740" s="2080"/>
      <c r="G740" s="2080"/>
      <c r="H740" s="363" t="str">
        <f>EUconst_tCO2pa</f>
        <v>t CO2 / år</v>
      </c>
      <c r="I740" s="742" t="str">
        <f>[1]K_Summary!I730</f>
        <v/>
      </c>
      <c r="J740" s="742" t="str">
        <f>[1]K_Summary!J730</f>
        <v/>
      </c>
      <c r="K740" s="742" t="str">
        <f>[1]K_Summary!K730</f>
        <v/>
      </c>
      <c r="L740" s="742" t="str">
        <f>[1]K_Summary!L730</f>
        <v/>
      </c>
      <c r="M740" s="742" t="str">
        <f>[1]K_Summary!M730</f>
        <v/>
      </c>
      <c r="N740" s="623"/>
    </row>
    <row r="741" spans="2:14" ht="12.75" customHeight="1" x14ac:dyDescent="0.25">
      <c r="B741" s="15"/>
      <c r="C741" s="15"/>
      <c r="D741" s="534"/>
      <c r="E741" s="2080" t="str">
        <f>Translations!$B$582</f>
        <v>Andra bränsle-/materialmängder – 1</v>
      </c>
      <c r="F741" s="2080"/>
      <c r="G741" s="2080"/>
      <c r="H741" s="363" t="str">
        <f>EUconst_tCO2pa</f>
        <v>t CO2 / år</v>
      </c>
      <c r="I741" s="742" t="str">
        <f>[1]K_Summary!I731</f>
        <v/>
      </c>
      <c r="J741" s="742" t="str">
        <f>[1]K_Summary!J731</f>
        <v/>
      </c>
      <c r="K741" s="742" t="str">
        <f>[1]K_Summary!K731</f>
        <v/>
      </c>
      <c r="L741" s="742" t="str">
        <f>[1]K_Summary!L731</f>
        <v/>
      </c>
      <c r="M741" s="742" t="str">
        <f>[1]K_Summary!M731</f>
        <v/>
      </c>
      <c r="N741" s="623"/>
    </row>
    <row r="742" spans="2:14" ht="12.75" customHeight="1" x14ac:dyDescent="0.25">
      <c r="B742" s="15"/>
      <c r="C742" s="15"/>
      <c r="D742" s="534"/>
      <c r="E742" s="2080" t="str">
        <f>Translations!$B$592</f>
        <v>Andra bränsle-/materialmängder – 2</v>
      </c>
      <c r="F742" s="2080"/>
      <c r="G742" s="2080"/>
      <c r="H742" s="363" t="str">
        <f>EUconst_tCO2pa</f>
        <v>t CO2 / år</v>
      </c>
      <c r="I742" s="742" t="str">
        <f>[1]K_Summary!I732</f>
        <v/>
      </c>
      <c r="J742" s="742" t="str">
        <f>[1]K_Summary!J732</f>
        <v/>
      </c>
      <c r="K742" s="742" t="str">
        <f>[1]K_Summary!K732</f>
        <v/>
      </c>
      <c r="L742" s="742" t="str">
        <f>[1]K_Summary!L732</f>
        <v/>
      </c>
      <c r="M742" s="742" t="str">
        <f>[1]K_Summary!M732</f>
        <v/>
      </c>
      <c r="N742" s="623"/>
    </row>
    <row r="743" spans="2:14" ht="12.75" customHeight="1" x14ac:dyDescent="0.25">
      <c r="B743" s="15"/>
      <c r="C743" s="15"/>
      <c r="D743" s="15"/>
      <c r="E743" s="2080" t="str">
        <f>Translations!$B$596</f>
        <v>Importerade eller exporterade växthusgaser</v>
      </c>
      <c r="F743" s="2080"/>
      <c r="G743" s="2080"/>
      <c r="H743" s="363" t="str">
        <f>EUconst_tCO2epa</f>
        <v>t CO2e/år</v>
      </c>
      <c r="I743" s="742" t="str">
        <f>[1]K_Summary!I733</f>
        <v/>
      </c>
      <c r="J743" s="742" t="str">
        <f>[1]K_Summary!J733</f>
        <v/>
      </c>
      <c r="K743" s="742" t="str">
        <f>[1]K_Summary!K733</f>
        <v/>
      </c>
      <c r="L743" s="742" t="str">
        <f>[1]K_Summary!L733</f>
        <v/>
      </c>
      <c r="M743" s="742" t="str">
        <f>[1]K_Summary!M733</f>
        <v/>
      </c>
      <c r="N743" s="623"/>
    </row>
    <row r="744" spans="2:14" ht="5.15" customHeight="1" x14ac:dyDescent="0.25">
      <c r="B744" s="15"/>
      <c r="C744" s="15"/>
      <c r="D744" s="15"/>
      <c r="E744" s="623"/>
      <c r="F744" s="623"/>
      <c r="G744" s="623"/>
      <c r="H744" s="623"/>
      <c r="I744" s="741"/>
      <c r="J744" s="741"/>
      <c r="K744" s="741"/>
      <c r="L744" s="741"/>
      <c r="M744" s="741"/>
      <c r="N744" s="623"/>
    </row>
    <row r="745" spans="2:14" ht="12.75" customHeight="1" x14ac:dyDescent="0.25">
      <c r="B745" s="15"/>
      <c r="C745" s="15"/>
      <c r="D745" s="15"/>
      <c r="E745" s="2087" t="str">
        <f>Translations!$B$604</f>
        <v>Nettomängd importerad värme</v>
      </c>
      <c r="F745" s="2087"/>
      <c r="G745" s="2087"/>
      <c r="H745" s="1606" t="str">
        <f>EUconst_TJpa</f>
        <v>TJ / år</v>
      </c>
      <c r="I745" s="739" t="str">
        <f>[1]K_Summary!I735</f>
        <v/>
      </c>
      <c r="J745" s="739" t="str">
        <f>[1]K_Summary!J735</f>
        <v/>
      </c>
      <c r="K745" s="739" t="str">
        <f>[1]K_Summary!K735</f>
        <v/>
      </c>
      <c r="L745" s="739" t="str">
        <f>[1]K_Summary!L735</f>
        <v/>
      </c>
      <c r="M745" s="739" t="str">
        <f>[1]K_Summary!M735</f>
        <v/>
      </c>
      <c r="N745" s="623"/>
    </row>
    <row r="746" spans="2:14" ht="12.75" customHeight="1" x14ac:dyDescent="0.25">
      <c r="B746" s="15"/>
      <c r="C746" s="15"/>
      <c r="D746" s="15"/>
      <c r="E746" s="2088" t="str">
        <f>Translations!$B$605</f>
        <v>Särskild emissionsfaktor (importerad värme)</v>
      </c>
      <c r="F746" s="2088"/>
      <c r="G746" s="2088"/>
      <c r="H746" s="624" t="str">
        <f>EUconst_tCO2pTJ</f>
        <v>t CO2 / TJ</v>
      </c>
      <c r="I746" s="740" t="str">
        <f>[1]K_Summary!I736</f>
        <v/>
      </c>
      <c r="J746" s="740" t="str">
        <f>[1]K_Summary!J736</f>
        <v/>
      </c>
      <c r="K746" s="740" t="str">
        <f>[1]K_Summary!K736</f>
        <v/>
      </c>
      <c r="L746" s="740" t="str">
        <f>[1]K_Summary!L736</f>
        <v/>
      </c>
      <c r="M746" s="740" t="str">
        <f>[1]K_Summary!M736</f>
        <v/>
      </c>
      <c r="N746" s="623"/>
    </row>
    <row r="747" spans="2:14" ht="5.15" customHeight="1" x14ac:dyDescent="0.25">
      <c r="B747" s="15"/>
      <c r="C747" s="15"/>
      <c r="D747" s="15"/>
      <c r="E747" s="416"/>
      <c r="F747" s="623"/>
      <c r="G747" s="623"/>
      <c r="H747" s="623"/>
      <c r="I747" s="741"/>
      <c r="J747" s="741"/>
      <c r="K747" s="741"/>
      <c r="L747" s="741"/>
      <c r="M747" s="741"/>
      <c r="N747" s="623"/>
    </row>
    <row r="748" spans="2:14" ht="12.75" customHeight="1" x14ac:dyDescent="0.25">
      <c r="B748" s="15"/>
      <c r="C748" s="15"/>
      <c r="D748" s="15"/>
      <c r="E748" s="2080" t="str">
        <f>Translations!$B$659</f>
        <v>Importerad nettovärme från massa</v>
      </c>
      <c r="F748" s="2080"/>
      <c r="G748" s="2080"/>
      <c r="H748" s="363" t="str">
        <f>EUconst_TJpa</f>
        <v>TJ / år</v>
      </c>
      <c r="I748" s="742" t="str">
        <f>[1]K_Summary!I738</f>
        <v/>
      </c>
      <c r="J748" s="742" t="str">
        <f>[1]K_Summary!J738</f>
        <v/>
      </c>
      <c r="K748" s="742" t="str">
        <f>[1]K_Summary!K738</f>
        <v/>
      </c>
      <c r="L748" s="742" t="str">
        <f>[1]K_Summary!L738</f>
        <v/>
      </c>
      <c r="M748" s="742" t="str">
        <f>[1]K_Summary!M738</f>
        <v/>
      </c>
      <c r="N748" s="623"/>
    </row>
    <row r="749" spans="2:14" ht="12.75" customHeight="1" x14ac:dyDescent="0.25">
      <c r="B749" s="15"/>
      <c r="C749" s="15"/>
      <c r="D749" s="15"/>
      <c r="E749" s="2080" t="str">
        <f>Translations!$B$608</f>
        <v>Nettomängd importerad värme från delanläggningar för salpetersyra</v>
      </c>
      <c r="F749" s="2080"/>
      <c r="G749" s="2080"/>
      <c r="H749" s="363" t="str">
        <f>EUconst_TJpa</f>
        <v>TJ / år</v>
      </c>
      <c r="I749" s="742" t="str">
        <f>[1]K_Summary!I739</f>
        <v/>
      </c>
      <c r="J749" s="742" t="str">
        <f>[1]K_Summary!J739</f>
        <v/>
      </c>
      <c r="K749" s="742" t="str">
        <f>[1]K_Summary!K739</f>
        <v/>
      </c>
      <c r="L749" s="742" t="str">
        <f>[1]K_Summary!L739</f>
        <v/>
      </c>
      <c r="M749" s="742" t="str">
        <f>[1]K_Summary!M739</f>
        <v/>
      </c>
      <c r="N749" s="623"/>
    </row>
    <row r="750" spans="2:14" ht="5.15" customHeight="1" x14ac:dyDescent="0.25">
      <c r="B750" s="15"/>
      <c r="C750" s="15"/>
      <c r="D750" s="15"/>
      <c r="E750" s="416"/>
      <c r="F750" s="416"/>
      <c r="G750" s="416"/>
      <c r="H750" s="416"/>
      <c r="I750" s="741"/>
      <c r="J750" s="741"/>
      <c r="K750" s="741"/>
      <c r="L750" s="741"/>
      <c r="M750" s="741"/>
      <c r="N750" s="623"/>
    </row>
    <row r="751" spans="2:14" ht="12.75" customHeight="1" x14ac:dyDescent="0.25">
      <c r="B751" s="15"/>
      <c r="C751" s="15"/>
      <c r="D751" s="15"/>
      <c r="E751" s="2087" t="str">
        <f>Translations!$B$610</f>
        <v>Nettomängd exporterad värme</v>
      </c>
      <c r="F751" s="2087"/>
      <c r="G751" s="2087"/>
      <c r="H751" s="1606" t="str">
        <f>EUconst_TJpa</f>
        <v>TJ / år</v>
      </c>
      <c r="I751" s="739" t="str">
        <f>[1]K_Summary!I741</f>
        <v/>
      </c>
      <c r="J751" s="739" t="str">
        <f>[1]K_Summary!J741</f>
        <v/>
      </c>
      <c r="K751" s="739" t="str">
        <f>[1]K_Summary!K741</f>
        <v/>
      </c>
      <c r="L751" s="739" t="str">
        <f>[1]K_Summary!L741</f>
        <v/>
      </c>
      <c r="M751" s="739" t="str">
        <f>[1]K_Summary!M741</f>
        <v/>
      </c>
      <c r="N751" s="623"/>
    </row>
    <row r="752" spans="2:14" ht="12.75" customHeight="1" x14ac:dyDescent="0.25">
      <c r="B752" s="15"/>
      <c r="C752" s="15"/>
      <c r="D752" s="15"/>
      <c r="E752" s="2088" t="str">
        <f>Translations!$B$611</f>
        <v>Särskild emissionsfaktor (exporterad värme)</v>
      </c>
      <c r="F752" s="2088"/>
      <c r="G752" s="2088"/>
      <c r="H752" s="624" t="str">
        <f>EUconst_tCO2pTJ</f>
        <v>t CO2 / TJ</v>
      </c>
      <c r="I752" s="740" t="str">
        <f>[1]K_Summary!I742</f>
        <v/>
      </c>
      <c r="J752" s="740" t="str">
        <f>[1]K_Summary!J742</f>
        <v/>
      </c>
      <c r="K752" s="740" t="str">
        <f>[1]K_Summary!K742</f>
        <v/>
      </c>
      <c r="L752" s="740" t="str">
        <f>[1]K_Summary!L742</f>
        <v/>
      </c>
      <c r="M752" s="740" t="str">
        <f>[1]K_Summary!M742</f>
        <v/>
      </c>
      <c r="N752" s="623"/>
    </row>
    <row r="753" spans="2:14" ht="5.15" customHeight="1" x14ac:dyDescent="0.25">
      <c r="B753" s="15"/>
      <c r="C753" s="15"/>
      <c r="D753" s="15"/>
      <c r="E753" s="416"/>
      <c r="F753" s="416"/>
      <c r="G753" s="416"/>
      <c r="H753" s="416"/>
      <c r="I753" s="741"/>
      <c r="J753" s="741"/>
      <c r="K753" s="741"/>
      <c r="L753" s="741"/>
      <c r="M753" s="741"/>
      <c r="N753" s="623"/>
    </row>
    <row r="754" spans="2:14" ht="12.75" customHeight="1" x14ac:dyDescent="0.25">
      <c r="B754" s="15"/>
      <c r="C754" s="15"/>
      <c r="D754" s="15"/>
      <c r="E754" s="2087" t="str">
        <f>Translations!$B$618</f>
        <v>Producerad restgas</v>
      </c>
      <c r="F754" s="2087"/>
      <c r="G754" s="2087"/>
      <c r="H754" s="1606" t="str">
        <f>EUconst_TJpa</f>
        <v>TJ / år</v>
      </c>
      <c r="I754" s="739" t="str">
        <f>[1]K_Summary!I744</f>
        <v/>
      </c>
      <c r="J754" s="739" t="str">
        <f>[1]K_Summary!J744</f>
        <v/>
      </c>
      <c r="K754" s="739" t="str">
        <f>[1]K_Summary!K744</f>
        <v/>
      </c>
      <c r="L754" s="739" t="str">
        <f>[1]K_Summary!L744</f>
        <v/>
      </c>
      <c r="M754" s="739" t="str">
        <f>[1]K_Summary!M744</f>
        <v/>
      </c>
      <c r="N754" s="623"/>
    </row>
    <row r="755" spans="2:14" ht="12.75" customHeight="1" x14ac:dyDescent="0.25">
      <c r="B755" s="15"/>
      <c r="C755" s="15"/>
      <c r="D755" s="15"/>
      <c r="E755" s="2088" t="str">
        <f>Translations!$B$619</f>
        <v>Särskild emissionsfaktor (producerad restgas)</v>
      </c>
      <c r="F755" s="2088"/>
      <c r="G755" s="2088"/>
      <c r="H755" s="624" t="str">
        <f>EUconst_tCO2pTJ</f>
        <v>t CO2 / TJ</v>
      </c>
      <c r="I755" s="740" t="str">
        <f>[1]K_Summary!I745</f>
        <v/>
      </c>
      <c r="J755" s="740" t="str">
        <f>[1]K_Summary!J745</f>
        <v/>
      </c>
      <c r="K755" s="740" t="str">
        <f>[1]K_Summary!K745</f>
        <v/>
      </c>
      <c r="L755" s="740" t="str">
        <f>[1]K_Summary!L745</f>
        <v/>
      </c>
      <c r="M755" s="740" t="str">
        <f>[1]K_Summary!M745</f>
        <v/>
      </c>
      <c r="N755" s="623"/>
    </row>
    <row r="756" spans="2:14" ht="12.75" customHeight="1" x14ac:dyDescent="0.25">
      <c r="B756" s="15"/>
      <c r="C756" s="15"/>
      <c r="D756" s="15"/>
      <c r="E756" s="2087" t="str">
        <f>Translations!$B$623</f>
        <v>Förbrukad restgas</v>
      </c>
      <c r="F756" s="2087"/>
      <c r="G756" s="2087"/>
      <c r="H756" s="1606" t="str">
        <f>EUconst_TJpa</f>
        <v>TJ / år</v>
      </c>
      <c r="I756" s="739" t="str">
        <f>[1]K_Summary!I746</f>
        <v/>
      </c>
      <c r="J756" s="739" t="str">
        <f>[1]K_Summary!J746</f>
        <v/>
      </c>
      <c r="K756" s="739" t="str">
        <f>[1]K_Summary!K746</f>
        <v/>
      </c>
      <c r="L756" s="739" t="str">
        <f>[1]K_Summary!L746</f>
        <v/>
      </c>
      <c r="M756" s="739" t="str">
        <f>[1]K_Summary!M746</f>
        <v/>
      </c>
      <c r="N756" s="623"/>
    </row>
    <row r="757" spans="2:14" ht="12.75" customHeight="1" x14ac:dyDescent="0.25">
      <c r="B757" s="15"/>
      <c r="C757" s="15"/>
      <c r="D757" s="15"/>
      <c r="E757" s="2088" t="str">
        <f>Translations!$B$624</f>
        <v>Särskild emissionsfaktor (förbrukad restgas)</v>
      </c>
      <c r="F757" s="2088"/>
      <c r="G757" s="2088"/>
      <c r="H757" s="624" t="str">
        <f>EUconst_tCO2pTJ</f>
        <v>t CO2 / TJ</v>
      </c>
      <c r="I757" s="740" t="str">
        <f>[1]K_Summary!I747</f>
        <v/>
      </c>
      <c r="J757" s="740" t="str">
        <f>[1]K_Summary!J747</f>
        <v/>
      </c>
      <c r="K757" s="740" t="str">
        <f>[1]K_Summary!K747</f>
        <v/>
      </c>
      <c r="L757" s="740" t="str">
        <f>[1]K_Summary!L747</f>
        <v/>
      </c>
      <c r="M757" s="740" t="str">
        <f>[1]K_Summary!M747</f>
        <v/>
      </c>
      <c r="N757" s="623"/>
    </row>
    <row r="758" spans="2:14" ht="12.75" customHeight="1" x14ac:dyDescent="0.25">
      <c r="B758" s="15"/>
      <c r="C758" s="15"/>
      <c r="D758" s="15"/>
      <c r="E758" s="2087" t="str">
        <f>Translations!$B$630</f>
        <v>Facklad restgas</v>
      </c>
      <c r="F758" s="2087"/>
      <c r="G758" s="2087"/>
      <c r="H758" s="1606" t="str">
        <f>EUconst_TJpa</f>
        <v>TJ / år</v>
      </c>
      <c r="I758" s="739" t="str">
        <f>[1]K_Summary!I748</f>
        <v/>
      </c>
      <c r="J758" s="739" t="str">
        <f>[1]K_Summary!J748</f>
        <v/>
      </c>
      <c r="K758" s="739" t="str">
        <f>[1]K_Summary!K748</f>
        <v/>
      </c>
      <c r="L758" s="739" t="str">
        <f>[1]K_Summary!L748</f>
        <v/>
      </c>
      <c r="M758" s="739" t="str">
        <f>[1]K_Summary!M748</f>
        <v/>
      </c>
      <c r="N758" s="623"/>
    </row>
    <row r="759" spans="2:14" ht="12.75" customHeight="1" x14ac:dyDescent="0.25">
      <c r="B759" s="15"/>
      <c r="C759" s="15"/>
      <c r="D759" s="15"/>
      <c r="E759" s="2088" t="str">
        <f>Translations!$B$631</f>
        <v>Särskild emissionsfaktor (facklad restgas)</v>
      </c>
      <c r="F759" s="2088"/>
      <c r="G759" s="2088"/>
      <c r="H759" s="624" t="str">
        <f>EUconst_tCO2pTJ</f>
        <v>t CO2 / TJ</v>
      </c>
      <c r="I759" s="740" t="str">
        <f>[1]K_Summary!I749</f>
        <v/>
      </c>
      <c r="J759" s="740" t="str">
        <f>[1]K_Summary!J749</f>
        <v/>
      </c>
      <c r="K759" s="740" t="str">
        <f>[1]K_Summary!K749</f>
        <v/>
      </c>
      <c r="L759" s="740" t="str">
        <f>[1]K_Summary!L749</f>
        <v/>
      </c>
      <c r="M759" s="740" t="str">
        <f>[1]K_Summary!M749</f>
        <v/>
      </c>
      <c r="N759" s="623"/>
    </row>
    <row r="760" spans="2:14" ht="12.75" customHeight="1" x14ac:dyDescent="0.25">
      <c r="B760" s="15"/>
      <c r="C760" s="15"/>
      <c r="D760" s="15"/>
      <c r="E760" s="2087" t="str">
        <f>Translations!$B$636</f>
        <v>Importerad restgas</v>
      </c>
      <c r="F760" s="2087"/>
      <c r="G760" s="2087"/>
      <c r="H760" s="1606" t="str">
        <f>EUconst_TJpa</f>
        <v>TJ / år</v>
      </c>
      <c r="I760" s="739" t="str">
        <f>[1]K_Summary!I750</f>
        <v/>
      </c>
      <c r="J760" s="739" t="str">
        <f>[1]K_Summary!J750</f>
        <v/>
      </c>
      <c r="K760" s="739" t="str">
        <f>[1]K_Summary!K750</f>
        <v/>
      </c>
      <c r="L760" s="739" t="str">
        <f>[1]K_Summary!L750</f>
        <v/>
      </c>
      <c r="M760" s="739" t="str">
        <f>[1]K_Summary!M750</f>
        <v/>
      </c>
      <c r="N760" s="623"/>
    </row>
    <row r="761" spans="2:14" ht="12.75" customHeight="1" x14ac:dyDescent="0.25">
      <c r="B761" s="15"/>
      <c r="C761" s="15"/>
      <c r="D761" s="15"/>
      <c r="E761" s="2088" t="str">
        <f>Translations!$B$637</f>
        <v>Särskild emissionsfaktor (importerad restgas)</v>
      </c>
      <c r="F761" s="2088"/>
      <c r="G761" s="2088"/>
      <c r="H761" s="624" t="str">
        <f>EUconst_tCO2pTJ</f>
        <v>t CO2 / TJ</v>
      </c>
      <c r="I761" s="740" t="str">
        <f>[1]K_Summary!I751</f>
        <v/>
      </c>
      <c r="J761" s="740" t="str">
        <f>[1]K_Summary!J751</f>
        <v/>
      </c>
      <c r="K761" s="740" t="str">
        <f>[1]K_Summary!K751</f>
        <v/>
      </c>
      <c r="L761" s="740" t="str">
        <f>[1]K_Summary!L751</f>
        <v/>
      </c>
      <c r="M761" s="740" t="str">
        <f>[1]K_Summary!M751</f>
        <v/>
      </c>
      <c r="N761" s="623"/>
    </row>
    <row r="762" spans="2:14" ht="12.75" customHeight="1" x14ac:dyDescent="0.25">
      <c r="B762" s="15"/>
      <c r="C762" s="15"/>
      <c r="D762" s="15"/>
      <c r="E762" s="2087" t="str">
        <f>Translations!$B$641</f>
        <v>Exporterad restgas</v>
      </c>
      <c r="F762" s="2087"/>
      <c r="G762" s="2087"/>
      <c r="H762" s="1606" t="str">
        <f>EUconst_TJpa</f>
        <v>TJ / år</v>
      </c>
      <c r="I762" s="739" t="str">
        <f>[1]K_Summary!I752</f>
        <v/>
      </c>
      <c r="J762" s="739" t="str">
        <f>[1]K_Summary!J752</f>
        <v/>
      </c>
      <c r="K762" s="739" t="str">
        <f>[1]K_Summary!K752</f>
        <v/>
      </c>
      <c r="L762" s="739" t="str">
        <f>[1]K_Summary!L752</f>
        <v/>
      </c>
      <c r="M762" s="739" t="str">
        <f>[1]K_Summary!M752</f>
        <v/>
      </c>
      <c r="N762" s="623"/>
    </row>
    <row r="763" spans="2:14" ht="12.75" customHeight="1" x14ac:dyDescent="0.25">
      <c r="B763" s="15"/>
      <c r="C763" s="15"/>
      <c r="D763" s="15"/>
      <c r="E763" s="2088" t="str">
        <f>Translations!$B$642</f>
        <v>Särskild emissionsfaktor (exporterad restgas)</v>
      </c>
      <c r="F763" s="2088"/>
      <c r="G763" s="2088"/>
      <c r="H763" s="624" t="str">
        <f>EUconst_tCO2pTJ</f>
        <v>t CO2 / TJ</v>
      </c>
      <c r="I763" s="740" t="str">
        <f>[1]K_Summary!I753</f>
        <v/>
      </c>
      <c r="J763" s="740" t="str">
        <f>[1]K_Summary!J753</f>
        <v/>
      </c>
      <c r="K763" s="740" t="str">
        <f>[1]K_Summary!K753</f>
        <v/>
      </c>
      <c r="L763" s="740" t="str">
        <f>[1]K_Summary!L753</f>
        <v/>
      </c>
      <c r="M763" s="740" t="str">
        <f>[1]K_Summary!M753</f>
        <v/>
      </c>
      <c r="N763" s="623"/>
    </row>
    <row r="764" spans="2:14" ht="5.15" customHeight="1" x14ac:dyDescent="0.25">
      <c r="B764" s="15"/>
      <c r="C764" s="15"/>
      <c r="D764" s="15"/>
      <c r="E764" s="416"/>
      <c r="F764" s="416"/>
      <c r="G764" s="416"/>
      <c r="H764" s="416"/>
      <c r="I764" s="741"/>
      <c r="J764" s="741"/>
      <c r="K764" s="741"/>
      <c r="L764" s="741"/>
      <c r="M764" s="741"/>
      <c r="N764" s="623"/>
    </row>
    <row r="765" spans="2:14" ht="12.75" customHeight="1" x14ac:dyDescent="0.25">
      <c r="B765" s="15"/>
      <c r="C765" s="15"/>
      <c r="D765" s="15"/>
      <c r="E765" s="2080" t="str">
        <f>Translations!$B$530</f>
        <v>Relevant elförbrukning</v>
      </c>
      <c r="F765" s="2080"/>
      <c r="G765" s="2080"/>
      <c r="H765" s="363" t="str">
        <f>EUconst_MWhpa</f>
        <v>MWh / år</v>
      </c>
      <c r="I765" s="742" t="str">
        <f>[1]K_Summary!I755</f>
        <v/>
      </c>
      <c r="J765" s="742" t="str">
        <f>[1]K_Summary!J755</f>
        <v/>
      </c>
      <c r="K765" s="742" t="str">
        <f>[1]K_Summary!K755</f>
        <v/>
      </c>
      <c r="L765" s="742" t="str">
        <f>[1]K_Summary!L755</f>
        <v/>
      </c>
      <c r="M765" s="742" t="str">
        <f>[1]K_Summary!M755</f>
        <v/>
      </c>
      <c r="N765" s="623"/>
    </row>
    <row r="766" spans="2:14" ht="12.75" customHeight="1" x14ac:dyDescent="0.25">
      <c r="B766" s="15"/>
      <c r="C766" s="15"/>
      <c r="D766" s="15"/>
      <c r="E766" s="2080" t="str">
        <f>Translations!$B$645</f>
        <v>Producerad el</v>
      </c>
      <c r="F766" s="2080"/>
      <c r="G766" s="2080"/>
      <c r="H766" s="363" t="str">
        <f>EUconst_MWhpa</f>
        <v>MWh / år</v>
      </c>
      <c r="I766" s="742" t="str">
        <f>[1]K_Summary!I756</f>
        <v/>
      </c>
      <c r="J766" s="742" t="str">
        <f>[1]K_Summary!J756</f>
        <v/>
      </c>
      <c r="K766" s="742" t="str">
        <f>[1]K_Summary!K756</f>
        <v/>
      </c>
      <c r="L766" s="742" t="str">
        <f>[1]K_Summary!L756</f>
        <v/>
      </c>
      <c r="M766" s="742" t="str">
        <f>[1]K_Summary!M756</f>
        <v/>
      </c>
      <c r="N766" s="623"/>
    </row>
    <row r="767" spans="2:14" ht="5.15" customHeight="1" x14ac:dyDescent="0.25">
      <c r="B767" s="15"/>
      <c r="C767" s="15"/>
      <c r="D767" s="15"/>
      <c r="E767" s="416"/>
      <c r="F767" s="416"/>
      <c r="G767" s="416"/>
      <c r="H767" s="416"/>
      <c r="I767" s="741"/>
      <c r="J767" s="741"/>
      <c r="K767" s="741"/>
      <c r="L767" s="741"/>
      <c r="M767" s="741"/>
      <c r="N767" s="623"/>
    </row>
    <row r="768" spans="2:14" ht="12.75" customHeight="1" x14ac:dyDescent="0.25">
      <c r="B768" s="15"/>
      <c r="C768" s="15"/>
      <c r="D768" s="15"/>
      <c r="E768" s="2080" t="str">
        <f>Translations!$B$646</f>
        <v>Total producerad massamängd</v>
      </c>
      <c r="F768" s="2080"/>
      <c r="G768" s="2080"/>
      <c r="H768" s="363" t="str">
        <f>Translations!$B$1117</f>
        <v>ton</v>
      </c>
      <c r="I768" s="742" t="str">
        <f>[1]K_Summary!I758</f>
        <v/>
      </c>
      <c r="J768" s="742" t="str">
        <f>[1]K_Summary!J758</f>
        <v/>
      </c>
      <c r="K768" s="742" t="str">
        <f>[1]K_Summary!K758</f>
        <v/>
      </c>
      <c r="L768" s="742" t="str">
        <f>[1]K_Summary!L758</f>
        <v/>
      </c>
      <c r="M768" s="742" t="str">
        <f>[1]K_Summary!M758</f>
        <v/>
      </c>
      <c r="N768" s="623"/>
    </row>
    <row r="769" spans="2:16" ht="5.15" customHeight="1" x14ac:dyDescent="0.25">
      <c r="B769" s="15"/>
      <c r="C769" s="15"/>
      <c r="D769" s="15"/>
      <c r="E769" s="416"/>
      <c r="F769" s="416"/>
      <c r="G769" s="416"/>
      <c r="H769" s="416"/>
      <c r="I769" s="741"/>
      <c r="J769" s="741"/>
      <c r="K769" s="741"/>
      <c r="L769" s="741"/>
      <c r="M769" s="741"/>
      <c r="N769" s="623"/>
    </row>
    <row r="770" spans="2:16" x14ac:dyDescent="0.25">
      <c r="B770" s="15"/>
      <c r="C770" s="15"/>
      <c r="D770" s="15"/>
      <c r="E770" s="899" t="str">
        <f>Translations!$B$1057</f>
        <v>Mellanimport:</v>
      </c>
      <c r="F770" s="416"/>
      <c r="G770" s="416"/>
      <c r="H770" s="416"/>
      <c r="I770" s="741"/>
      <c r="J770" s="741"/>
      <c r="K770" s="741"/>
      <c r="L770" s="741"/>
      <c r="M770" s="741"/>
      <c r="N770" s="623"/>
    </row>
    <row r="771" spans="2:16" x14ac:dyDescent="0.25">
      <c r="B771" s="15"/>
      <c r="C771" s="15"/>
      <c r="D771" s="15"/>
      <c r="E771" s="2089" t="str">
        <f>[1]K_Summary!E761</f>
        <v/>
      </c>
      <c r="F771" s="2089"/>
      <c r="G771" s="2089"/>
      <c r="H771" s="363" t="str">
        <f>Translations!$B$1117</f>
        <v>ton</v>
      </c>
      <c r="I771" s="742" t="str">
        <f>[1]K_Summary!I761</f>
        <v/>
      </c>
      <c r="J771" s="742" t="str">
        <f>[1]K_Summary!J761</f>
        <v/>
      </c>
      <c r="K771" s="742" t="str">
        <f>[1]K_Summary!K761</f>
        <v/>
      </c>
      <c r="L771" s="742" t="str">
        <f>[1]K_Summary!L761</f>
        <v/>
      </c>
      <c r="M771" s="742" t="str">
        <f>[1]K_Summary!M761</f>
        <v/>
      </c>
      <c r="N771" s="623"/>
    </row>
    <row r="772" spans="2:16" x14ac:dyDescent="0.25">
      <c r="B772" s="15"/>
      <c r="C772" s="15"/>
      <c r="D772" s="15"/>
      <c r="E772" s="2089" t="str">
        <f>[1]K_Summary!E762</f>
        <v/>
      </c>
      <c r="F772" s="2089"/>
      <c r="G772" s="2089"/>
      <c r="H772" s="363" t="str">
        <f>Translations!$B$1117</f>
        <v>ton</v>
      </c>
      <c r="I772" s="742" t="str">
        <f>[1]K_Summary!I762</f>
        <v/>
      </c>
      <c r="J772" s="742" t="str">
        <f>[1]K_Summary!J762</f>
        <v/>
      </c>
      <c r="K772" s="742" t="str">
        <f>[1]K_Summary!K762</f>
        <v/>
      </c>
      <c r="L772" s="742" t="str">
        <f>[1]K_Summary!L762</f>
        <v/>
      </c>
      <c r="M772" s="742" t="str">
        <f>[1]K_Summary!M762</f>
        <v/>
      </c>
      <c r="N772" s="623"/>
    </row>
    <row r="773" spans="2:16" x14ac:dyDescent="0.25">
      <c r="B773" s="15"/>
      <c r="C773" s="15"/>
      <c r="D773" s="15"/>
      <c r="E773" s="899" t="str">
        <f>Translations!$B$1058</f>
        <v>Mellanexport:</v>
      </c>
      <c r="F773" s="416"/>
      <c r="G773" s="416"/>
      <c r="H773" s="416"/>
      <c r="I773" s="741"/>
      <c r="J773" s="741"/>
      <c r="K773" s="741"/>
      <c r="L773" s="741"/>
      <c r="M773" s="741"/>
      <c r="N773" s="623"/>
    </row>
    <row r="774" spans="2:16" x14ac:dyDescent="0.25">
      <c r="B774" s="15"/>
      <c r="C774" s="15"/>
      <c r="D774" s="15"/>
      <c r="E774" s="2089" t="str">
        <f>[1]K_Summary!E764</f>
        <v/>
      </c>
      <c r="F774" s="2089"/>
      <c r="G774" s="2089"/>
      <c r="H774" s="363" t="str">
        <f>Translations!$B$1117</f>
        <v>ton</v>
      </c>
      <c r="I774" s="742" t="str">
        <f>[1]K_Summary!I764</f>
        <v/>
      </c>
      <c r="J774" s="742" t="str">
        <f>[1]K_Summary!J764</f>
        <v/>
      </c>
      <c r="K774" s="742" t="str">
        <f>[1]K_Summary!K764</f>
        <v/>
      </c>
      <c r="L774" s="742" t="str">
        <f>[1]K_Summary!L764</f>
        <v/>
      </c>
      <c r="M774" s="742" t="str">
        <f>[1]K_Summary!M764</f>
        <v/>
      </c>
      <c r="N774" s="623"/>
    </row>
    <row r="775" spans="2:16" x14ac:dyDescent="0.25">
      <c r="B775" s="15"/>
      <c r="C775" s="15"/>
      <c r="D775" s="15"/>
      <c r="E775" s="2089" t="str">
        <f>[1]K_Summary!E765</f>
        <v/>
      </c>
      <c r="F775" s="2089"/>
      <c r="G775" s="2089"/>
      <c r="H775" s="363" t="str">
        <f>Translations!$B$1117</f>
        <v>ton</v>
      </c>
      <c r="I775" s="742" t="str">
        <f>[1]K_Summary!I765</f>
        <v/>
      </c>
      <c r="J775" s="742" t="str">
        <f>[1]K_Summary!J765</f>
        <v/>
      </c>
      <c r="K775" s="742" t="str">
        <f>[1]K_Summary!K765</f>
        <v/>
      </c>
      <c r="L775" s="742" t="str">
        <f>[1]K_Summary!L765</f>
        <v/>
      </c>
      <c r="M775" s="742" t="str">
        <f>[1]K_Summary!M765</f>
        <v/>
      </c>
      <c r="N775" s="623"/>
    </row>
    <row r="776" spans="2:16" ht="12.75" customHeight="1" x14ac:dyDescent="0.25">
      <c r="B776" s="15"/>
      <c r="C776" s="15"/>
      <c r="D776" s="15"/>
      <c r="E776" s="416"/>
      <c r="F776" s="416"/>
      <c r="G776" s="416"/>
      <c r="H776" s="416"/>
      <c r="I776" s="623"/>
      <c r="J776" s="623"/>
      <c r="K776" s="623"/>
      <c r="L776" s="623"/>
      <c r="M776" s="623"/>
      <c r="N776" s="623"/>
    </row>
    <row r="777" spans="2:16" ht="5.15" customHeight="1" thickBot="1" x14ac:dyDescent="0.3">
      <c r="B777" s="15"/>
      <c r="C777" s="15"/>
      <c r="D777" s="15"/>
      <c r="E777" s="748"/>
      <c r="F777" s="534"/>
      <c r="G777" s="534"/>
      <c r="H777" s="534"/>
      <c r="I777" s="534"/>
      <c r="J777" s="534"/>
      <c r="K777" s="534"/>
      <c r="L777" s="534"/>
      <c r="M777" s="534"/>
      <c r="N777" s="534"/>
    </row>
    <row r="778" spans="2:16" ht="5.15" customHeight="1" x14ac:dyDescent="0.25">
      <c r="B778" s="3"/>
      <c r="C778" s="230"/>
      <c r="D778" s="230"/>
      <c r="E778" s="230"/>
      <c r="F778" s="230"/>
      <c r="G778" s="230"/>
      <c r="H778" s="230"/>
      <c r="I778" s="230"/>
      <c r="J778" s="230"/>
      <c r="K778" s="230"/>
      <c r="L778" s="230"/>
      <c r="M778" s="230"/>
      <c r="N778" s="230"/>
    </row>
    <row r="779" spans="2:16" ht="15" customHeight="1" x14ac:dyDescent="0.3">
      <c r="B779" s="15"/>
      <c r="C779" s="17">
        <v>6</v>
      </c>
      <c r="D779" s="2053" t="str">
        <f>Euconst_ProdBMSub &amp; " " &amp; C779 &amp; ":"</f>
        <v>Delanläggning med produktriktmärke 6:</v>
      </c>
      <c r="E779" s="2053"/>
      <c r="F779" s="2053"/>
      <c r="G779" s="2053"/>
      <c r="H779" s="2081"/>
      <c r="I779" s="2090" t="str">
        <f>[1]K_Summary!I769</f>
        <v/>
      </c>
      <c r="J779" s="2091"/>
      <c r="K779" s="2091"/>
      <c r="L779" s="2091"/>
      <c r="M779" s="2091"/>
      <c r="N779" s="2092"/>
    </row>
    <row r="780" spans="2:16" ht="5.15" customHeight="1" thickBot="1" x14ac:dyDescent="0.3">
      <c r="B780" s="15"/>
      <c r="C780" s="15"/>
      <c r="D780" s="15"/>
      <c r="E780" s="15"/>
      <c r="F780" s="15"/>
      <c r="G780" s="15"/>
      <c r="H780" s="15"/>
      <c r="I780" s="15"/>
      <c r="J780" s="15"/>
      <c r="K780" s="15"/>
      <c r="L780" s="15"/>
      <c r="M780" s="15"/>
      <c r="N780" s="15"/>
    </row>
    <row r="781" spans="2:16" x14ac:dyDescent="0.25">
      <c r="B781" s="15"/>
      <c r="C781" s="15"/>
      <c r="D781" s="15"/>
      <c r="E781" s="15"/>
      <c r="F781" s="15"/>
      <c r="G781" s="15"/>
      <c r="H781" s="506" t="str">
        <f>Translations!$B$1022</f>
        <v>KL-risk</v>
      </c>
      <c r="I781" s="507" t="s">
        <v>1380</v>
      </c>
      <c r="J781" s="507" t="str">
        <f>Translations!$B$1026</f>
        <v>I drift</v>
      </c>
      <c r="K781" s="507" t="str">
        <f>Translations!$B$1024</f>
        <v>RM-nummer</v>
      </c>
      <c r="L781" s="612" t="str">
        <f>Translations!$B$1030</f>
        <v>15(7).3?</v>
      </c>
      <c r="M781" s="786" t="str">
        <f>Translations!$B$1052</f>
        <v>RM-värde (min./max./faktiskt)</v>
      </c>
      <c r="N781" s="787"/>
    </row>
    <row r="782" spans="2:16" x14ac:dyDescent="0.25">
      <c r="B782" s="15"/>
      <c r="C782" s="15"/>
      <c r="D782" s="15"/>
      <c r="E782" s="508" t="str">
        <f>[1]K_Summary!E772</f>
        <v/>
      </c>
      <c r="F782" s="509"/>
      <c r="G782" s="464"/>
      <c r="H782" s="510" t="str">
        <f>[1]K_Summary!H772</f>
        <v>N.A.</v>
      </c>
      <c r="I782" s="511" t="str">
        <f>[1]K_Summary!I772</f>
        <v/>
      </c>
      <c r="J782" s="642" t="str">
        <f>[1]K_Summary!J772</f>
        <v>N.A.</v>
      </c>
      <c r="K782" s="421" t="str">
        <f>[1]K_Summary!K772</f>
        <v>N.A.</v>
      </c>
      <c r="L782" s="1598" t="str">
        <f>[1]K_Summary!L772</f>
        <v/>
      </c>
      <c r="M782" s="1599" t="str">
        <f>[1]K_Summary!M772</f>
        <v>N.A.</v>
      </c>
      <c r="N782" s="788" t="str">
        <f>EUconst_EUA &amp; "/" &amp; H787</f>
        <v>EUA/tonnes</v>
      </c>
    </row>
    <row r="783" spans="2:16" x14ac:dyDescent="0.25">
      <c r="B783" s="15"/>
      <c r="C783" s="15"/>
      <c r="D783" s="15"/>
      <c r="E783" s="534"/>
      <c r="F783" s="534"/>
      <c r="G783" s="507" t="str">
        <f>Translations!$B$1036</f>
        <v>Värme utanför ETS</v>
      </c>
      <c r="H783" s="612" t="str">
        <f>Translations!$B$1038</f>
        <v>Wgfacklad</v>
      </c>
      <c r="I783" s="507" t="s">
        <v>1526</v>
      </c>
      <c r="J783" s="507" t="s">
        <v>1527</v>
      </c>
      <c r="K783" s="507" t="s">
        <v>1528</v>
      </c>
      <c r="L783" s="612" t="str">
        <f>Translations!$B$1032</f>
        <v>15(7).3 HAL</v>
      </c>
      <c r="M783" s="1599" t="str">
        <f>[1]K_Summary!M773</f>
        <v>N.A.</v>
      </c>
      <c r="N783" s="788" t="str">
        <f>EUconst_EUA &amp; "/" &amp; H787</f>
        <v>EUA/tonnes</v>
      </c>
    </row>
    <row r="784" spans="2:16" ht="13" thickBot="1" x14ac:dyDescent="0.3">
      <c r="B784" s="15"/>
      <c r="C784" s="15"/>
      <c r="D784" s="15"/>
      <c r="E784" s="1293" t="str">
        <f>Translations!$B$1053</f>
        <v>Särskilda faktorer:</v>
      </c>
      <c r="F784" s="1600"/>
      <c r="G784" s="421" t="str">
        <f>[1]K_Summary!G774</f>
        <v/>
      </c>
      <c r="H784" s="641" t="str">
        <f>[1]K_Summary!H774</f>
        <v/>
      </c>
      <c r="I784" s="1601">
        <f>[1]K_Summary!I774</f>
        <v>1</v>
      </c>
      <c r="J784" s="421" t="str">
        <f>[1]K_Summary!J774</f>
        <v/>
      </c>
      <c r="K784" s="662" t="str">
        <f>[1]K_Summary!K774</f>
        <v/>
      </c>
      <c r="L784" s="641" t="str">
        <f>[1]K_Summary!L774</f>
        <v/>
      </c>
      <c r="M784" s="1602" t="str">
        <f>[1]K_Summary!M774</f>
        <v>N.A.</v>
      </c>
      <c r="N784" s="789" t="str">
        <f>EUconst_EUA &amp; "/" &amp; H787</f>
        <v>EUA/tonnes</v>
      </c>
      <c r="P784" s="1903" t="b">
        <f>IF(ISNUMBER(K782),INDEX(EUconst_BMlistBMvalues,K782)&lt;&gt;M784,FALSE)</f>
        <v>0</v>
      </c>
    </row>
    <row r="785" spans="2:14" ht="5.15" customHeight="1" x14ac:dyDescent="0.25">
      <c r="B785" s="15"/>
      <c r="C785" s="15"/>
      <c r="D785" s="15"/>
      <c r="E785" s="15"/>
      <c r="F785" s="15"/>
      <c r="G785" s="15"/>
      <c r="H785" s="15"/>
      <c r="I785" s="15"/>
      <c r="J785" s="15"/>
      <c r="K785" s="15"/>
      <c r="L785" s="15"/>
      <c r="M785" s="15"/>
      <c r="N785" s="15"/>
    </row>
    <row r="786" spans="2:14" ht="13" x14ac:dyDescent="0.25">
      <c r="B786" s="15"/>
      <c r="C786" s="15"/>
      <c r="D786" s="15"/>
      <c r="E786" s="188"/>
      <c r="F786" s="188"/>
      <c r="G786" s="512"/>
      <c r="H786" s="1603" t="str">
        <f>Translations!$B$1014</f>
        <v>Enhet</v>
      </c>
      <c r="I786" s="350">
        <v>2014</v>
      </c>
      <c r="J786" s="350">
        <v>2015</v>
      </c>
      <c r="K786" s="350">
        <v>2016</v>
      </c>
      <c r="L786" s="350">
        <v>2017</v>
      </c>
      <c r="M786" s="350">
        <v>2018</v>
      </c>
      <c r="N786" s="15"/>
    </row>
    <row r="787" spans="2:14" x14ac:dyDescent="0.25">
      <c r="B787" s="15"/>
      <c r="C787" s="15"/>
      <c r="D787" s="15"/>
      <c r="E787" s="513" t="str">
        <f>Translations!$B$1054</f>
        <v>Rapporterad HAL (historisk verksamhetsnivå)</v>
      </c>
      <c r="F787" s="514"/>
      <c r="G787" s="515"/>
      <c r="H787" s="510" t="str">
        <f>[1]K_Summary!H777</f>
        <v>tonnes</v>
      </c>
      <c r="I787" s="421" t="str">
        <f>[1]K_Summary!I777</f>
        <v/>
      </c>
      <c r="J787" s="421" t="str">
        <f>[1]K_Summary!J777</f>
        <v/>
      </c>
      <c r="K787" s="421" t="str">
        <f>[1]K_Summary!K777</f>
        <v/>
      </c>
      <c r="L787" s="421" t="str">
        <f>[1]K_Summary!L777</f>
        <v/>
      </c>
      <c r="M787" s="421" t="str">
        <f>[1]K_Summary!M777</f>
        <v/>
      </c>
      <c r="N787" s="507" t="str">
        <f>Translations!$B$1042</f>
        <v>Genomsnitt</v>
      </c>
    </row>
    <row r="788" spans="2:14" x14ac:dyDescent="0.25">
      <c r="B788" s="15"/>
      <c r="C788" s="15"/>
      <c r="D788" s="15"/>
      <c r="E788" s="513" t="str">
        <f>Translations!$B$1055</f>
        <v>Värden som används för HAL-beräkning:</v>
      </c>
      <c r="F788" s="514"/>
      <c r="G788" s="515"/>
      <c r="H788" s="510" t="str">
        <f>[1]K_Summary!H778</f>
        <v>tonnes</v>
      </c>
      <c r="I788" s="421" t="str">
        <f>[1]K_Summary!I778</f>
        <v/>
      </c>
      <c r="J788" s="421" t="str">
        <f>[1]K_Summary!J778</f>
        <v/>
      </c>
      <c r="K788" s="421" t="str">
        <f>[1]K_Summary!K778</f>
        <v/>
      </c>
      <c r="L788" s="421" t="str">
        <f>[1]K_Summary!L778</f>
        <v/>
      </c>
      <c r="M788" s="421" t="str">
        <f>[1]K_Summary!M778</f>
        <v/>
      </c>
      <c r="N788" s="421" t="str">
        <f>[1]K_Summary!N778</f>
        <v/>
      </c>
    </row>
    <row r="789" spans="2:14" ht="5.15" customHeight="1" x14ac:dyDescent="0.25">
      <c r="B789" s="15"/>
      <c r="C789" s="15"/>
      <c r="D789" s="15"/>
      <c r="E789" s="1604"/>
      <c r="F789" s="1604"/>
      <c r="G789" s="1604"/>
      <c r="H789" s="1604"/>
      <c r="I789" s="1604"/>
      <c r="J789" s="1604"/>
      <c r="K789" s="1604"/>
      <c r="L789" s="1604"/>
      <c r="M789" s="534"/>
      <c r="N789" s="534"/>
    </row>
    <row r="790" spans="2:14" ht="13" thickBot="1" x14ac:dyDescent="0.3">
      <c r="B790" s="15"/>
      <c r="C790" s="534"/>
      <c r="D790" s="15"/>
      <c r="E790" s="1604"/>
      <c r="F790" s="617" t="s">
        <v>1385</v>
      </c>
      <c r="G790" s="618"/>
      <c r="H790" s="534"/>
      <c r="I790" s="617" t="str">
        <f>Translations!$B$1044</f>
        <v>Prel. tilldelning år 1 (min.)</v>
      </c>
      <c r="J790" s="618"/>
      <c r="K790" s="617" t="str">
        <f>Translations!$B$1047</f>
        <v>Prel. tilldelning år 1 (max.)</v>
      </c>
      <c r="L790" s="618"/>
      <c r="M790" s="617" t="str">
        <f>Translations!$B$1049</f>
        <v>Prel. tilldelning år 1 (faktisk)</v>
      </c>
      <c r="N790" s="618"/>
    </row>
    <row r="791" spans="2:14" ht="13.5" thickBot="1" x14ac:dyDescent="0.3">
      <c r="B791" s="15"/>
      <c r="C791" s="534"/>
      <c r="D791" s="534"/>
      <c r="E791" s="1604"/>
      <c r="F791" s="517" t="str">
        <f>[1]K_Summary!F781</f>
        <v/>
      </c>
      <c r="G791" s="1605" t="str">
        <f>[1]K_Summary!G781</f>
        <v>tonnes / year</v>
      </c>
      <c r="H791" s="534"/>
      <c r="I791" s="616" t="str">
        <f>[1]K_Summary!I781</f>
        <v/>
      </c>
      <c r="J791" s="709" t="str">
        <f>EUconst_EUApa</f>
        <v>EUA / år</v>
      </c>
      <c r="K791" s="616" t="str">
        <f>[1]K_Summary!K781</f>
        <v/>
      </c>
      <c r="L791" s="709" t="str">
        <f>EUconst_EUApa</f>
        <v>EUA / år</v>
      </c>
      <c r="M791" s="616" t="str">
        <f>[1]K_Summary!M781</f>
        <v/>
      </c>
      <c r="N791" s="709" t="str">
        <f>EUconst_EUApa</f>
        <v>EUA / år</v>
      </c>
    </row>
    <row r="792" spans="2:14" ht="5.15" customHeight="1" x14ac:dyDescent="0.25">
      <c r="B792" s="15"/>
      <c r="C792" s="15"/>
      <c r="D792" s="534"/>
      <c r="E792" s="289"/>
      <c r="F792" s="15"/>
      <c r="G792" s="15"/>
      <c r="H792" s="15"/>
      <c r="I792" s="15"/>
      <c r="J792" s="15"/>
      <c r="K792" s="15"/>
      <c r="L792" s="15"/>
      <c r="M792" s="15"/>
      <c r="N792" s="15"/>
    </row>
    <row r="793" spans="2:14" ht="12.75" customHeight="1" x14ac:dyDescent="0.25">
      <c r="B793" s="15"/>
      <c r="C793" s="15"/>
      <c r="D793" s="15"/>
      <c r="E793" s="416"/>
      <c r="F793" s="623"/>
      <c r="G793" s="623"/>
      <c r="H793" s="623"/>
      <c r="I793" s="623"/>
      <c r="J793" s="623"/>
      <c r="K793" s="623"/>
      <c r="L793" s="623"/>
      <c r="M793" s="623"/>
      <c r="N793" s="623"/>
    </row>
    <row r="794" spans="2:14" ht="13.5" thickBot="1" x14ac:dyDescent="0.3">
      <c r="B794" s="15"/>
      <c r="C794" s="15"/>
      <c r="D794" s="15"/>
      <c r="E794" s="416"/>
      <c r="F794" s="623"/>
      <c r="G794" s="623"/>
      <c r="H794" s="415" t="str">
        <f>Translations!$B$1014</f>
        <v>Enhet</v>
      </c>
      <c r="I794" s="744">
        <v>2014</v>
      </c>
      <c r="J794" s="362">
        <v>2015</v>
      </c>
      <c r="K794" s="362">
        <v>2016</v>
      </c>
      <c r="L794" s="362">
        <v>2017</v>
      </c>
      <c r="M794" s="362">
        <v>2018</v>
      </c>
      <c r="N794" s="623"/>
    </row>
    <row r="795" spans="2:14" ht="13.5" customHeight="1" thickBot="1" x14ac:dyDescent="0.3">
      <c r="B795" s="15"/>
      <c r="C795" s="15"/>
      <c r="D795" s="15"/>
      <c r="E795" s="2074" t="str">
        <f>Translations!$B$1056</f>
        <v>Totala tillskrivna utsläpp</v>
      </c>
      <c r="F795" s="2074"/>
      <c r="G795" s="2074"/>
      <c r="H795" s="710" t="str">
        <f>EUconst_tCO2epa</f>
        <v>t CO2e/år</v>
      </c>
      <c r="I795" s="735" t="str">
        <f>[1]K_Summary!I785</f>
        <v/>
      </c>
      <c r="J795" s="736" t="str">
        <f>[1]K_Summary!J785</f>
        <v/>
      </c>
      <c r="K795" s="736" t="str">
        <f>[1]K_Summary!K785</f>
        <v/>
      </c>
      <c r="L795" s="736" t="str">
        <f>[1]K_Summary!L785</f>
        <v/>
      </c>
      <c r="M795" s="737" t="str">
        <f>[1]K_Summary!M785</f>
        <v/>
      </c>
      <c r="N795" s="623"/>
    </row>
    <row r="796" spans="2:14" ht="5.15" customHeight="1" x14ac:dyDescent="0.25">
      <c r="B796" s="15"/>
      <c r="C796" s="15"/>
      <c r="D796" s="15"/>
      <c r="E796" s="416"/>
      <c r="F796" s="416"/>
      <c r="G796" s="416"/>
      <c r="H796" s="416"/>
      <c r="I796" s="738"/>
      <c r="J796" s="738"/>
      <c r="K796" s="738"/>
      <c r="L796" s="738"/>
      <c r="M796" s="738"/>
      <c r="N796" s="416"/>
    </row>
    <row r="797" spans="2:14" x14ac:dyDescent="0.25">
      <c r="B797" s="15"/>
      <c r="C797" s="15"/>
      <c r="D797" s="15"/>
      <c r="E797" s="2087" t="str">
        <f>Translations!$B$571</f>
        <v>Insatsbränsle</v>
      </c>
      <c r="F797" s="2087"/>
      <c r="G797" s="2087"/>
      <c r="H797" s="1606" t="str">
        <f>EUconst_TJpa</f>
        <v>TJ / år</v>
      </c>
      <c r="I797" s="739" t="str">
        <f>[1]K_Summary!I787</f>
        <v/>
      </c>
      <c r="J797" s="739" t="str">
        <f>[1]K_Summary!J787</f>
        <v/>
      </c>
      <c r="K797" s="739" t="str">
        <f>[1]K_Summary!K787</f>
        <v/>
      </c>
      <c r="L797" s="739" t="str">
        <f>[1]K_Summary!L787</f>
        <v/>
      </c>
      <c r="M797" s="739" t="str">
        <f>[1]K_Summary!M787</f>
        <v/>
      </c>
      <c r="N797" s="623"/>
    </row>
    <row r="798" spans="2:14" ht="12.75" customHeight="1" x14ac:dyDescent="0.25">
      <c r="B798" s="15"/>
      <c r="C798" s="15"/>
      <c r="D798" s="15"/>
      <c r="E798" s="2088" t="str">
        <f>Translations!$B$572</f>
        <v>Viktad emissionsfaktor</v>
      </c>
      <c r="F798" s="2088"/>
      <c r="G798" s="2088"/>
      <c r="H798" s="624" t="str">
        <f>EUconst_tCO2pTJ</f>
        <v>t CO2 / TJ</v>
      </c>
      <c r="I798" s="740" t="str">
        <f>[1]K_Summary!I788</f>
        <v/>
      </c>
      <c r="J798" s="740" t="str">
        <f>[1]K_Summary!J788</f>
        <v/>
      </c>
      <c r="K798" s="740" t="str">
        <f>[1]K_Summary!K788</f>
        <v/>
      </c>
      <c r="L798" s="740" t="str">
        <f>[1]K_Summary!L788</f>
        <v/>
      </c>
      <c r="M798" s="740" t="str">
        <f>[1]K_Summary!M788</f>
        <v/>
      </c>
      <c r="N798" s="623"/>
    </row>
    <row r="799" spans="2:14" ht="5.15" customHeight="1" x14ac:dyDescent="0.25">
      <c r="B799" s="15"/>
      <c r="C799" s="15"/>
      <c r="D799" s="534"/>
      <c r="E799" s="416"/>
      <c r="F799" s="623"/>
      <c r="G799" s="623"/>
      <c r="H799" s="623"/>
      <c r="I799" s="741"/>
      <c r="J799" s="741"/>
      <c r="K799" s="741"/>
      <c r="L799" s="741"/>
      <c r="M799" s="741"/>
      <c r="N799" s="623"/>
    </row>
    <row r="800" spans="2:14" ht="12.75" customHeight="1" x14ac:dyDescent="0.25">
      <c r="B800" s="15"/>
      <c r="C800" s="15"/>
      <c r="D800" s="534"/>
      <c r="E800" s="2080" t="str">
        <f>Translations!$B$528</f>
        <v>Direkta utsläpp</v>
      </c>
      <c r="F800" s="2080"/>
      <c r="G800" s="2080"/>
      <c r="H800" s="363" t="str">
        <f>EUconst_tCO2pa</f>
        <v>t CO2 / år</v>
      </c>
      <c r="I800" s="742" t="str">
        <f>[1]K_Summary!I790</f>
        <v/>
      </c>
      <c r="J800" s="742" t="str">
        <f>[1]K_Summary!J790</f>
        <v/>
      </c>
      <c r="K800" s="742" t="str">
        <f>[1]K_Summary!K790</f>
        <v/>
      </c>
      <c r="L800" s="742" t="str">
        <f>[1]K_Summary!L790</f>
        <v/>
      </c>
      <c r="M800" s="742" t="str">
        <f>[1]K_Summary!M790</f>
        <v/>
      </c>
      <c r="N800" s="623"/>
    </row>
    <row r="801" spans="2:14" ht="12.75" customHeight="1" x14ac:dyDescent="0.25">
      <c r="B801" s="15"/>
      <c r="C801" s="15"/>
      <c r="D801" s="534"/>
      <c r="E801" s="2080" t="str">
        <f>Translations!$B$582</f>
        <v>Andra bränsle-/materialmängder – 1</v>
      </c>
      <c r="F801" s="2080"/>
      <c r="G801" s="2080"/>
      <c r="H801" s="363" t="str">
        <f>EUconst_tCO2pa</f>
        <v>t CO2 / år</v>
      </c>
      <c r="I801" s="742" t="str">
        <f>[1]K_Summary!I791</f>
        <v/>
      </c>
      <c r="J801" s="742" t="str">
        <f>[1]K_Summary!J791</f>
        <v/>
      </c>
      <c r="K801" s="742" t="str">
        <f>[1]K_Summary!K791</f>
        <v/>
      </c>
      <c r="L801" s="742" t="str">
        <f>[1]K_Summary!L791</f>
        <v/>
      </c>
      <c r="M801" s="742" t="str">
        <f>[1]K_Summary!M791</f>
        <v/>
      </c>
      <c r="N801" s="623"/>
    </row>
    <row r="802" spans="2:14" ht="12.75" customHeight="1" x14ac:dyDescent="0.25">
      <c r="B802" s="15"/>
      <c r="C802" s="15"/>
      <c r="D802" s="534"/>
      <c r="E802" s="2080" t="str">
        <f>Translations!$B$592</f>
        <v>Andra bränsle-/materialmängder – 2</v>
      </c>
      <c r="F802" s="2080"/>
      <c r="G802" s="2080"/>
      <c r="H802" s="363" t="str">
        <f>EUconst_tCO2pa</f>
        <v>t CO2 / år</v>
      </c>
      <c r="I802" s="742" t="str">
        <f>[1]K_Summary!I792</f>
        <v/>
      </c>
      <c r="J802" s="742" t="str">
        <f>[1]K_Summary!J792</f>
        <v/>
      </c>
      <c r="K802" s="742" t="str">
        <f>[1]K_Summary!K792</f>
        <v/>
      </c>
      <c r="L802" s="742" t="str">
        <f>[1]K_Summary!L792</f>
        <v/>
      </c>
      <c r="M802" s="742" t="str">
        <f>[1]K_Summary!M792</f>
        <v/>
      </c>
      <c r="N802" s="623"/>
    </row>
    <row r="803" spans="2:14" ht="12.75" customHeight="1" x14ac:dyDescent="0.25">
      <c r="B803" s="15"/>
      <c r="C803" s="15"/>
      <c r="D803" s="15"/>
      <c r="E803" s="2080" t="str">
        <f>Translations!$B$596</f>
        <v>Importerade eller exporterade växthusgaser</v>
      </c>
      <c r="F803" s="2080"/>
      <c r="G803" s="2080"/>
      <c r="H803" s="363" t="str">
        <f>EUconst_tCO2epa</f>
        <v>t CO2e/år</v>
      </c>
      <c r="I803" s="742" t="str">
        <f>[1]K_Summary!I793</f>
        <v/>
      </c>
      <c r="J803" s="742" t="str">
        <f>[1]K_Summary!J793</f>
        <v/>
      </c>
      <c r="K803" s="742" t="str">
        <f>[1]K_Summary!K793</f>
        <v/>
      </c>
      <c r="L803" s="742" t="str">
        <f>[1]K_Summary!L793</f>
        <v/>
      </c>
      <c r="M803" s="742" t="str">
        <f>[1]K_Summary!M793</f>
        <v/>
      </c>
      <c r="N803" s="623"/>
    </row>
    <row r="804" spans="2:14" ht="5.15" customHeight="1" x14ac:dyDescent="0.25">
      <c r="B804" s="15"/>
      <c r="C804" s="15"/>
      <c r="D804" s="15"/>
      <c r="E804" s="623"/>
      <c r="F804" s="623"/>
      <c r="G804" s="623"/>
      <c r="H804" s="623"/>
      <c r="I804" s="741"/>
      <c r="J804" s="741"/>
      <c r="K804" s="741"/>
      <c r="L804" s="741"/>
      <c r="M804" s="741"/>
      <c r="N804" s="623"/>
    </row>
    <row r="805" spans="2:14" ht="12.75" customHeight="1" x14ac:dyDescent="0.25">
      <c r="B805" s="15"/>
      <c r="C805" s="15"/>
      <c r="D805" s="15"/>
      <c r="E805" s="2087" t="str">
        <f>Translations!$B$604</f>
        <v>Nettomängd importerad värme</v>
      </c>
      <c r="F805" s="2087"/>
      <c r="G805" s="2087"/>
      <c r="H805" s="1606" t="str">
        <f>EUconst_TJpa</f>
        <v>TJ / år</v>
      </c>
      <c r="I805" s="739" t="str">
        <f>[1]K_Summary!I795</f>
        <v/>
      </c>
      <c r="J805" s="739" t="str">
        <f>[1]K_Summary!J795</f>
        <v/>
      </c>
      <c r="K805" s="739" t="str">
        <f>[1]K_Summary!K795</f>
        <v/>
      </c>
      <c r="L805" s="739" t="str">
        <f>[1]K_Summary!L795</f>
        <v/>
      </c>
      <c r="M805" s="739" t="str">
        <f>[1]K_Summary!M795</f>
        <v/>
      </c>
      <c r="N805" s="623"/>
    </row>
    <row r="806" spans="2:14" ht="12.75" customHeight="1" x14ac:dyDescent="0.25">
      <c r="B806" s="15"/>
      <c r="C806" s="15"/>
      <c r="D806" s="15"/>
      <c r="E806" s="2088" t="str">
        <f>Translations!$B$605</f>
        <v>Särskild emissionsfaktor (importerad värme)</v>
      </c>
      <c r="F806" s="2088"/>
      <c r="G806" s="2088"/>
      <c r="H806" s="624" t="str">
        <f>EUconst_tCO2pTJ</f>
        <v>t CO2 / TJ</v>
      </c>
      <c r="I806" s="740" t="str">
        <f>[1]K_Summary!I796</f>
        <v/>
      </c>
      <c r="J806" s="740" t="str">
        <f>[1]K_Summary!J796</f>
        <v/>
      </c>
      <c r="K806" s="740" t="str">
        <f>[1]K_Summary!K796</f>
        <v/>
      </c>
      <c r="L806" s="740" t="str">
        <f>[1]K_Summary!L796</f>
        <v/>
      </c>
      <c r="M806" s="740" t="str">
        <f>[1]K_Summary!M796</f>
        <v/>
      </c>
      <c r="N806" s="623"/>
    </row>
    <row r="807" spans="2:14" ht="5.15" customHeight="1" x14ac:dyDescent="0.25">
      <c r="B807" s="15"/>
      <c r="C807" s="15"/>
      <c r="D807" s="15"/>
      <c r="E807" s="416"/>
      <c r="F807" s="623"/>
      <c r="G807" s="623"/>
      <c r="H807" s="623"/>
      <c r="I807" s="741"/>
      <c r="J807" s="741"/>
      <c r="K807" s="741"/>
      <c r="L807" s="741"/>
      <c r="M807" s="741"/>
      <c r="N807" s="623"/>
    </row>
    <row r="808" spans="2:14" ht="12.75" customHeight="1" x14ac:dyDescent="0.25">
      <c r="B808" s="15"/>
      <c r="C808" s="15"/>
      <c r="D808" s="15"/>
      <c r="E808" s="2080" t="str">
        <f>Translations!$B$659</f>
        <v>Importerad nettovärme från massa</v>
      </c>
      <c r="F808" s="2080"/>
      <c r="G808" s="2080"/>
      <c r="H808" s="363" t="str">
        <f>EUconst_TJpa</f>
        <v>TJ / år</v>
      </c>
      <c r="I808" s="742" t="str">
        <f>[1]K_Summary!I798</f>
        <v/>
      </c>
      <c r="J808" s="742" t="str">
        <f>[1]K_Summary!J798</f>
        <v/>
      </c>
      <c r="K808" s="742" t="str">
        <f>[1]K_Summary!K798</f>
        <v/>
      </c>
      <c r="L808" s="742" t="str">
        <f>[1]K_Summary!L798</f>
        <v/>
      </c>
      <c r="M808" s="742" t="str">
        <f>[1]K_Summary!M798</f>
        <v/>
      </c>
      <c r="N808" s="623"/>
    </row>
    <row r="809" spans="2:14" ht="12.75" customHeight="1" x14ac:dyDescent="0.25">
      <c r="B809" s="15"/>
      <c r="C809" s="15"/>
      <c r="D809" s="15"/>
      <c r="E809" s="2080" t="str">
        <f>Translations!$B$608</f>
        <v>Nettomängd importerad värme från delanläggningar för salpetersyra</v>
      </c>
      <c r="F809" s="2080"/>
      <c r="G809" s="2080"/>
      <c r="H809" s="363" t="str">
        <f>EUconst_TJpa</f>
        <v>TJ / år</v>
      </c>
      <c r="I809" s="742" t="str">
        <f>[1]K_Summary!I799</f>
        <v/>
      </c>
      <c r="J809" s="742" t="str">
        <f>[1]K_Summary!J799</f>
        <v/>
      </c>
      <c r="K809" s="742" t="str">
        <f>[1]K_Summary!K799</f>
        <v/>
      </c>
      <c r="L809" s="742" t="str">
        <f>[1]K_Summary!L799</f>
        <v/>
      </c>
      <c r="M809" s="742" t="str">
        <f>[1]K_Summary!M799</f>
        <v/>
      </c>
      <c r="N809" s="623"/>
    </row>
    <row r="810" spans="2:14" ht="5.15" customHeight="1" x14ac:dyDescent="0.25">
      <c r="B810" s="15"/>
      <c r="C810" s="15"/>
      <c r="D810" s="15"/>
      <c r="E810" s="416"/>
      <c r="F810" s="416"/>
      <c r="G810" s="416"/>
      <c r="H810" s="416"/>
      <c r="I810" s="741"/>
      <c r="J810" s="741"/>
      <c r="K810" s="741"/>
      <c r="L810" s="741"/>
      <c r="M810" s="741"/>
      <c r="N810" s="623"/>
    </row>
    <row r="811" spans="2:14" ht="12.75" customHeight="1" x14ac:dyDescent="0.25">
      <c r="B811" s="15"/>
      <c r="C811" s="15"/>
      <c r="D811" s="15"/>
      <c r="E811" s="2087" t="str">
        <f>Translations!$B$610</f>
        <v>Nettomängd exporterad värme</v>
      </c>
      <c r="F811" s="2087"/>
      <c r="G811" s="2087"/>
      <c r="H811" s="1606" t="str">
        <f>EUconst_TJpa</f>
        <v>TJ / år</v>
      </c>
      <c r="I811" s="739" t="str">
        <f>[1]K_Summary!I801</f>
        <v/>
      </c>
      <c r="J811" s="739" t="str">
        <f>[1]K_Summary!J801</f>
        <v/>
      </c>
      <c r="K811" s="739" t="str">
        <f>[1]K_Summary!K801</f>
        <v/>
      </c>
      <c r="L811" s="739" t="str">
        <f>[1]K_Summary!L801</f>
        <v/>
      </c>
      <c r="M811" s="739" t="str">
        <f>[1]K_Summary!M801</f>
        <v/>
      </c>
      <c r="N811" s="623"/>
    </row>
    <row r="812" spans="2:14" ht="12.75" customHeight="1" x14ac:dyDescent="0.25">
      <c r="B812" s="15"/>
      <c r="C812" s="15"/>
      <c r="D812" s="15"/>
      <c r="E812" s="2088" t="str">
        <f>Translations!$B$611</f>
        <v>Särskild emissionsfaktor (exporterad värme)</v>
      </c>
      <c r="F812" s="2088"/>
      <c r="G812" s="2088"/>
      <c r="H812" s="624" t="str">
        <f>EUconst_tCO2pTJ</f>
        <v>t CO2 / TJ</v>
      </c>
      <c r="I812" s="740" t="str">
        <f>[1]K_Summary!I802</f>
        <v/>
      </c>
      <c r="J812" s="740" t="str">
        <f>[1]K_Summary!J802</f>
        <v/>
      </c>
      <c r="K812" s="740" t="str">
        <f>[1]K_Summary!K802</f>
        <v/>
      </c>
      <c r="L812" s="740" t="str">
        <f>[1]K_Summary!L802</f>
        <v/>
      </c>
      <c r="M812" s="740" t="str">
        <f>[1]K_Summary!M802</f>
        <v/>
      </c>
      <c r="N812" s="623"/>
    </row>
    <row r="813" spans="2:14" ht="5.15" customHeight="1" x14ac:dyDescent="0.25">
      <c r="B813" s="15"/>
      <c r="C813" s="15"/>
      <c r="D813" s="15"/>
      <c r="E813" s="416"/>
      <c r="F813" s="416"/>
      <c r="G813" s="416"/>
      <c r="H813" s="416"/>
      <c r="I813" s="741"/>
      <c r="J813" s="741"/>
      <c r="K813" s="741"/>
      <c r="L813" s="741"/>
      <c r="M813" s="741"/>
      <c r="N813" s="623"/>
    </row>
    <row r="814" spans="2:14" ht="12.75" customHeight="1" x14ac:dyDescent="0.25">
      <c r="B814" s="15"/>
      <c r="C814" s="15"/>
      <c r="D814" s="15"/>
      <c r="E814" s="2087" t="str">
        <f>Translations!$B$618</f>
        <v>Producerad restgas</v>
      </c>
      <c r="F814" s="2087"/>
      <c r="G814" s="2087"/>
      <c r="H814" s="1606" t="str">
        <f>EUconst_TJpa</f>
        <v>TJ / år</v>
      </c>
      <c r="I814" s="739" t="str">
        <f>[1]K_Summary!I804</f>
        <v/>
      </c>
      <c r="J814" s="739" t="str">
        <f>[1]K_Summary!J804</f>
        <v/>
      </c>
      <c r="K814" s="739" t="str">
        <f>[1]K_Summary!K804</f>
        <v/>
      </c>
      <c r="L814" s="739" t="str">
        <f>[1]K_Summary!L804</f>
        <v/>
      </c>
      <c r="M814" s="739" t="str">
        <f>[1]K_Summary!M804</f>
        <v/>
      </c>
      <c r="N814" s="623"/>
    </row>
    <row r="815" spans="2:14" ht="12.75" customHeight="1" x14ac:dyDescent="0.25">
      <c r="B815" s="15"/>
      <c r="C815" s="15"/>
      <c r="D815" s="15"/>
      <c r="E815" s="2088" t="str">
        <f>Translations!$B$619</f>
        <v>Särskild emissionsfaktor (producerad restgas)</v>
      </c>
      <c r="F815" s="2088"/>
      <c r="G815" s="2088"/>
      <c r="H815" s="624" t="str">
        <f>EUconst_tCO2pTJ</f>
        <v>t CO2 / TJ</v>
      </c>
      <c r="I815" s="740" t="str">
        <f>[1]K_Summary!I805</f>
        <v/>
      </c>
      <c r="J815" s="740" t="str">
        <f>[1]K_Summary!J805</f>
        <v/>
      </c>
      <c r="K815" s="740" t="str">
        <f>[1]K_Summary!K805</f>
        <v/>
      </c>
      <c r="L815" s="740" t="str">
        <f>[1]K_Summary!L805</f>
        <v/>
      </c>
      <c r="M815" s="740" t="str">
        <f>[1]K_Summary!M805</f>
        <v/>
      </c>
      <c r="N815" s="623"/>
    </row>
    <row r="816" spans="2:14" ht="12.75" customHeight="1" x14ac:dyDescent="0.25">
      <c r="B816" s="15"/>
      <c r="C816" s="15"/>
      <c r="D816" s="15"/>
      <c r="E816" s="2087" t="str">
        <f>Translations!$B$623</f>
        <v>Förbrukad restgas</v>
      </c>
      <c r="F816" s="2087"/>
      <c r="G816" s="2087"/>
      <c r="H816" s="1606" t="str">
        <f>EUconst_TJpa</f>
        <v>TJ / år</v>
      </c>
      <c r="I816" s="739" t="str">
        <f>[1]K_Summary!I806</f>
        <v/>
      </c>
      <c r="J816" s="739" t="str">
        <f>[1]K_Summary!J806</f>
        <v/>
      </c>
      <c r="K816" s="739" t="str">
        <f>[1]K_Summary!K806</f>
        <v/>
      </c>
      <c r="L816" s="739" t="str">
        <f>[1]K_Summary!L806</f>
        <v/>
      </c>
      <c r="M816" s="739" t="str">
        <f>[1]K_Summary!M806</f>
        <v/>
      </c>
      <c r="N816" s="623"/>
    </row>
    <row r="817" spans="2:14" ht="12.75" customHeight="1" x14ac:dyDescent="0.25">
      <c r="B817" s="15"/>
      <c r="C817" s="15"/>
      <c r="D817" s="15"/>
      <c r="E817" s="2088" t="str">
        <f>Translations!$B$624</f>
        <v>Särskild emissionsfaktor (förbrukad restgas)</v>
      </c>
      <c r="F817" s="2088"/>
      <c r="G817" s="2088"/>
      <c r="H817" s="624" t="str">
        <f>EUconst_tCO2pTJ</f>
        <v>t CO2 / TJ</v>
      </c>
      <c r="I817" s="740" t="str">
        <f>[1]K_Summary!I807</f>
        <v/>
      </c>
      <c r="J817" s="740" t="str">
        <f>[1]K_Summary!J807</f>
        <v/>
      </c>
      <c r="K817" s="740" t="str">
        <f>[1]K_Summary!K807</f>
        <v/>
      </c>
      <c r="L817" s="740" t="str">
        <f>[1]K_Summary!L807</f>
        <v/>
      </c>
      <c r="M817" s="740" t="str">
        <f>[1]K_Summary!M807</f>
        <v/>
      </c>
      <c r="N817" s="623"/>
    </row>
    <row r="818" spans="2:14" ht="12.75" customHeight="1" x14ac:dyDescent="0.25">
      <c r="B818" s="15"/>
      <c r="C818" s="15"/>
      <c r="D818" s="15"/>
      <c r="E818" s="2087" t="str">
        <f>Translations!$B$630</f>
        <v>Facklad restgas</v>
      </c>
      <c r="F818" s="2087"/>
      <c r="G818" s="2087"/>
      <c r="H818" s="1606" t="str">
        <f>EUconst_TJpa</f>
        <v>TJ / år</v>
      </c>
      <c r="I818" s="739" t="str">
        <f>[1]K_Summary!I808</f>
        <v/>
      </c>
      <c r="J818" s="739" t="str">
        <f>[1]K_Summary!J808</f>
        <v/>
      </c>
      <c r="K818" s="739" t="str">
        <f>[1]K_Summary!K808</f>
        <v/>
      </c>
      <c r="L818" s="739" t="str">
        <f>[1]K_Summary!L808</f>
        <v/>
      </c>
      <c r="M818" s="739" t="str">
        <f>[1]K_Summary!M808</f>
        <v/>
      </c>
      <c r="N818" s="623"/>
    </row>
    <row r="819" spans="2:14" ht="12.75" customHeight="1" x14ac:dyDescent="0.25">
      <c r="B819" s="15"/>
      <c r="C819" s="15"/>
      <c r="D819" s="15"/>
      <c r="E819" s="2088" t="str">
        <f>Translations!$B$631</f>
        <v>Särskild emissionsfaktor (facklad restgas)</v>
      </c>
      <c r="F819" s="2088"/>
      <c r="G819" s="2088"/>
      <c r="H819" s="624" t="str">
        <f>EUconst_tCO2pTJ</f>
        <v>t CO2 / TJ</v>
      </c>
      <c r="I819" s="740" t="str">
        <f>[1]K_Summary!I809</f>
        <v/>
      </c>
      <c r="J819" s="740" t="str">
        <f>[1]K_Summary!J809</f>
        <v/>
      </c>
      <c r="K819" s="740" t="str">
        <f>[1]K_Summary!K809</f>
        <v/>
      </c>
      <c r="L819" s="740" t="str">
        <f>[1]K_Summary!L809</f>
        <v/>
      </c>
      <c r="M819" s="740" t="str">
        <f>[1]K_Summary!M809</f>
        <v/>
      </c>
      <c r="N819" s="623"/>
    </row>
    <row r="820" spans="2:14" ht="12.75" customHeight="1" x14ac:dyDescent="0.25">
      <c r="B820" s="15"/>
      <c r="C820" s="15"/>
      <c r="D820" s="15"/>
      <c r="E820" s="2087" t="str">
        <f>Translations!$B$636</f>
        <v>Importerad restgas</v>
      </c>
      <c r="F820" s="2087"/>
      <c r="G820" s="2087"/>
      <c r="H820" s="1606" t="str">
        <f>EUconst_TJpa</f>
        <v>TJ / år</v>
      </c>
      <c r="I820" s="739" t="str">
        <f>[1]K_Summary!I810</f>
        <v/>
      </c>
      <c r="J820" s="739" t="str">
        <f>[1]K_Summary!J810</f>
        <v/>
      </c>
      <c r="K820" s="739" t="str">
        <f>[1]K_Summary!K810</f>
        <v/>
      </c>
      <c r="L820" s="739" t="str">
        <f>[1]K_Summary!L810</f>
        <v/>
      </c>
      <c r="M820" s="739" t="str">
        <f>[1]K_Summary!M810</f>
        <v/>
      </c>
      <c r="N820" s="623"/>
    </row>
    <row r="821" spans="2:14" ht="12.75" customHeight="1" x14ac:dyDescent="0.25">
      <c r="B821" s="15"/>
      <c r="C821" s="15"/>
      <c r="D821" s="15"/>
      <c r="E821" s="2088" t="str">
        <f>Translations!$B$637</f>
        <v>Särskild emissionsfaktor (importerad restgas)</v>
      </c>
      <c r="F821" s="2088"/>
      <c r="G821" s="2088"/>
      <c r="H821" s="624" t="str">
        <f>EUconst_tCO2pTJ</f>
        <v>t CO2 / TJ</v>
      </c>
      <c r="I821" s="740" t="str">
        <f>[1]K_Summary!I811</f>
        <v/>
      </c>
      <c r="J821" s="740" t="str">
        <f>[1]K_Summary!J811</f>
        <v/>
      </c>
      <c r="K821" s="740" t="str">
        <f>[1]K_Summary!K811</f>
        <v/>
      </c>
      <c r="L821" s="740" t="str">
        <f>[1]K_Summary!L811</f>
        <v/>
      </c>
      <c r="M821" s="740" t="str">
        <f>[1]K_Summary!M811</f>
        <v/>
      </c>
      <c r="N821" s="623"/>
    </row>
    <row r="822" spans="2:14" ht="12.75" customHeight="1" x14ac:dyDescent="0.25">
      <c r="B822" s="15"/>
      <c r="C822" s="15"/>
      <c r="D822" s="15"/>
      <c r="E822" s="2087" t="str">
        <f>Translations!$B$641</f>
        <v>Exporterad restgas</v>
      </c>
      <c r="F822" s="2087"/>
      <c r="G822" s="2087"/>
      <c r="H822" s="1606" t="str">
        <f>EUconst_TJpa</f>
        <v>TJ / år</v>
      </c>
      <c r="I822" s="739" t="str">
        <f>[1]K_Summary!I812</f>
        <v/>
      </c>
      <c r="J822" s="739" t="str">
        <f>[1]K_Summary!J812</f>
        <v/>
      </c>
      <c r="K822" s="739" t="str">
        <f>[1]K_Summary!K812</f>
        <v/>
      </c>
      <c r="L822" s="739" t="str">
        <f>[1]K_Summary!L812</f>
        <v/>
      </c>
      <c r="M822" s="739" t="str">
        <f>[1]K_Summary!M812</f>
        <v/>
      </c>
      <c r="N822" s="623"/>
    </row>
    <row r="823" spans="2:14" ht="12.75" customHeight="1" x14ac:dyDescent="0.25">
      <c r="B823" s="15"/>
      <c r="C823" s="15"/>
      <c r="D823" s="15"/>
      <c r="E823" s="2088" t="str">
        <f>Translations!$B$642</f>
        <v>Särskild emissionsfaktor (exporterad restgas)</v>
      </c>
      <c r="F823" s="2088"/>
      <c r="G823" s="2088"/>
      <c r="H823" s="624" t="str">
        <f>EUconst_tCO2pTJ</f>
        <v>t CO2 / TJ</v>
      </c>
      <c r="I823" s="740" t="str">
        <f>[1]K_Summary!I813</f>
        <v/>
      </c>
      <c r="J823" s="740" t="str">
        <f>[1]K_Summary!J813</f>
        <v/>
      </c>
      <c r="K823" s="740" t="str">
        <f>[1]K_Summary!K813</f>
        <v/>
      </c>
      <c r="L823" s="740" t="str">
        <f>[1]K_Summary!L813</f>
        <v/>
      </c>
      <c r="M823" s="740" t="str">
        <f>[1]K_Summary!M813</f>
        <v/>
      </c>
      <c r="N823" s="623"/>
    </row>
    <row r="824" spans="2:14" ht="5.15" customHeight="1" x14ac:dyDescent="0.25">
      <c r="B824" s="15"/>
      <c r="C824" s="15"/>
      <c r="D824" s="15"/>
      <c r="E824" s="416"/>
      <c r="F824" s="416"/>
      <c r="G824" s="416"/>
      <c r="H824" s="416"/>
      <c r="I824" s="741"/>
      <c r="J824" s="741"/>
      <c r="K824" s="741"/>
      <c r="L824" s="741"/>
      <c r="M824" s="741"/>
      <c r="N824" s="623"/>
    </row>
    <row r="825" spans="2:14" ht="12.75" customHeight="1" x14ac:dyDescent="0.25">
      <c r="B825" s="15"/>
      <c r="C825" s="15"/>
      <c r="D825" s="15"/>
      <c r="E825" s="2080" t="str">
        <f>Translations!$B$530</f>
        <v>Relevant elförbrukning</v>
      </c>
      <c r="F825" s="2080"/>
      <c r="G825" s="2080"/>
      <c r="H825" s="363" t="str">
        <f>EUconst_MWhpa</f>
        <v>MWh / år</v>
      </c>
      <c r="I825" s="742" t="str">
        <f>[1]K_Summary!I815</f>
        <v/>
      </c>
      <c r="J825" s="742" t="str">
        <f>[1]K_Summary!J815</f>
        <v/>
      </c>
      <c r="K825" s="742" t="str">
        <f>[1]K_Summary!K815</f>
        <v/>
      </c>
      <c r="L825" s="742" t="str">
        <f>[1]K_Summary!L815</f>
        <v/>
      </c>
      <c r="M825" s="742" t="str">
        <f>[1]K_Summary!M815</f>
        <v/>
      </c>
      <c r="N825" s="623"/>
    </row>
    <row r="826" spans="2:14" ht="12.75" customHeight="1" x14ac:dyDescent="0.25">
      <c r="B826" s="15"/>
      <c r="C826" s="15"/>
      <c r="D826" s="15"/>
      <c r="E826" s="2080" t="str">
        <f>Translations!$B$645</f>
        <v>Producerad el</v>
      </c>
      <c r="F826" s="2080"/>
      <c r="G826" s="2080"/>
      <c r="H826" s="363" t="str">
        <f>EUconst_MWhpa</f>
        <v>MWh / år</v>
      </c>
      <c r="I826" s="742" t="str">
        <f>[1]K_Summary!I816</f>
        <v/>
      </c>
      <c r="J826" s="742" t="str">
        <f>[1]K_Summary!J816</f>
        <v/>
      </c>
      <c r="K826" s="742" t="str">
        <f>[1]K_Summary!K816</f>
        <v/>
      </c>
      <c r="L826" s="742" t="str">
        <f>[1]K_Summary!L816</f>
        <v/>
      </c>
      <c r="M826" s="742" t="str">
        <f>[1]K_Summary!M816</f>
        <v/>
      </c>
      <c r="N826" s="623"/>
    </row>
    <row r="827" spans="2:14" ht="5.15" customHeight="1" x14ac:dyDescent="0.25">
      <c r="B827" s="15"/>
      <c r="C827" s="15"/>
      <c r="D827" s="15"/>
      <c r="E827" s="416"/>
      <c r="F827" s="416"/>
      <c r="G827" s="416"/>
      <c r="H827" s="416"/>
      <c r="I827" s="741"/>
      <c r="J827" s="741"/>
      <c r="K827" s="741"/>
      <c r="L827" s="741"/>
      <c r="M827" s="741"/>
      <c r="N827" s="623"/>
    </row>
    <row r="828" spans="2:14" ht="12.75" customHeight="1" x14ac:dyDescent="0.25">
      <c r="B828" s="15"/>
      <c r="C828" s="15"/>
      <c r="D828" s="15"/>
      <c r="E828" s="2080" t="str">
        <f>Translations!$B$646</f>
        <v>Total producerad massamängd</v>
      </c>
      <c r="F828" s="2080"/>
      <c r="G828" s="2080"/>
      <c r="H828" s="363" t="str">
        <f>Translations!$B$1117</f>
        <v>ton</v>
      </c>
      <c r="I828" s="742" t="str">
        <f>[1]K_Summary!I818</f>
        <v/>
      </c>
      <c r="J828" s="742" t="str">
        <f>[1]K_Summary!J818</f>
        <v/>
      </c>
      <c r="K828" s="742" t="str">
        <f>[1]K_Summary!K818</f>
        <v/>
      </c>
      <c r="L828" s="742" t="str">
        <f>[1]K_Summary!L818</f>
        <v/>
      </c>
      <c r="M828" s="742" t="str">
        <f>[1]K_Summary!M818</f>
        <v/>
      </c>
      <c r="N828" s="623"/>
    </row>
    <row r="829" spans="2:14" ht="5.15" customHeight="1" x14ac:dyDescent="0.25">
      <c r="B829" s="15"/>
      <c r="C829" s="15"/>
      <c r="D829" s="15"/>
      <c r="E829" s="416"/>
      <c r="F829" s="416"/>
      <c r="G829" s="416"/>
      <c r="H829" s="416"/>
      <c r="I829" s="741"/>
      <c r="J829" s="741"/>
      <c r="K829" s="741"/>
      <c r="L829" s="741"/>
      <c r="M829" s="741"/>
      <c r="N829" s="623"/>
    </row>
    <row r="830" spans="2:14" x14ac:dyDescent="0.25">
      <c r="B830" s="15"/>
      <c r="C830" s="15"/>
      <c r="D830" s="15"/>
      <c r="E830" s="899" t="str">
        <f>Translations!$B$1057</f>
        <v>Mellanimport:</v>
      </c>
      <c r="F830" s="416"/>
      <c r="G830" s="416"/>
      <c r="H830" s="416"/>
      <c r="I830" s="741"/>
      <c r="J830" s="741"/>
      <c r="K830" s="741"/>
      <c r="L830" s="741"/>
      <c r="M830" s="741"/>
      <c r="N830" s="623"/>
    </row>
    <row r="831" spans="2:14" x14ac:dyDescent="0.25">
      <c r="B831" s="15"/>
      <c r="C831" s="15"/>
      <c r="D831" s="15"/>
      <c r="E831" s="2089" t="str">
        <f>[1]K_Summary!E821</f>
        <v/>
      </c>
      <c r="F831" s="2089"/>
      <c r="G831" s="2089"/>
      <c r="H831" s="363" t="str">
        <f>Translations!$B$1117</f>
        <v>ton</v>
      </c>
      <c r="I831" s="742" t="str">
        <f>[1]K_Summary!I821</f>
        <v/>
      </c>
      <c r="J831" s="742" t="str">
        <f>[1]K_Summary!J821</f>
        <v/>
      </c>
      <c r="K831" s="742" t="str">
        <f>[1]K_Summary!K821</f>
        <v/>
      </c>
      <c r="L831" s="742" t="str">
        <f>[1]K_Summary!L821</f>
        <v/>
      </c>
      <c r="M831" s="742" t="str">
        <f>[1]K_Summary!M821</f>
        <v/>
      </c>
      <c r="N831" s="623"/>
    </row>
    <row r="832" spans="2:14" x14ac:dyDescent="0.25">
      <c r="B832" s="15"/>
      <c r="C832" s="15"/>
      <c r="D832" s="15"/>
      <c r="E832" s="2089" t="str">
        <f>[1]K_Summary!E822</f>
        <v/>
      </c>
      <c r="F832" s="2089"/>
      <c r="G832" s="2089"/>
      <c r="H832" s="363" t="str">
        <f>Translations!$B$1117</f>
        <v>ton</v>
      </c>
      <c r="I832" s="742" t="str">
        <f>[1]K_Summary!I822</f>
        <v/>
      </c>
      <c r="J832" s="742" t="str">
        <f>[1]K_Summary!J822</f>
        <v/>
      </c>
      <c r="K832" s="742" t="str">
        <f>[1]K_Summary!K822</f>
        <v/>
      </c>
      <c r="L832" s="742" t="str">
        <f>[1]K_Summary!L822</f>
        <v/>
      </c>
      <c r="M832" s="742" t="str">
        <f>[1]K_Summary!M822</f>
        <v/>
      </c>
      <c r="N832" s="623"/>
    </row>
    <row r="833" spans="2:16" x14ac:dyDescent="0.25">
      <c r="B833" s="15"/>
      <c r="C833" s="15"/>
      <c r="D833" s="15"/>
      <c r="E833" s="899" t="str">
        <f>Translations!$B$1058</f>
        <v>Mellanexport:</v>
      </c>
      <c r="F833" s="416"/>
      <c r="G833" s="416"/>
      <c r="H833" s="416"/>
      <c r="I833" s="741"/>
      <c r="J833" s="741"/>
      <c r="K833" s="741"/>
      <c r="L833" s="741"/>
      <c r="M833" s="741"/>
      <c r="N833" s="623"/>
    </row>
    <row r="834" spans="2:16" x14ac:dyDescent="0.25">
      <c r="B834" s="15"/>
      <c r="C834" s="15"/>
      <c r="D834" s="15"/>
      <c r="E834" s="2089" t="str">
        <f>[1]K_Summary!E824</f>
        <v/>
      </c>
      <c r="F834" s="2089"/>
      <c r="G834" s="2089"/>
      <c r="H834" s="363" t="str">
        <f>Translations!$B$1117</f>
        <v>ton</v>
      </c>
      <c r="I834" s="742" t="str">
        <f>[1]K_Summary!I824</f>
        <v/>
      </c>
      <c r="J834" s="742" t="str">
        <f>[1]K_Summary!J824</f>
        <v/>
      </c>
      <c r="K834" s="742" t="str">
        <f>[1]K_Summary!K824</f>
        <v/>
      </c>
      <c r="L834" s="742" t="str">
        <f>[1]K_Summary!L824</f>
        <v/>
      </c>
      <c r="M834" s="742" t="str">
        <f>[1]K_Summary!M824</f>
        <v/>
      </c>
      <c r="N834" s="623"/>
    </row>
    <row r="835" spans="2:16" x14ac:dyDescent="0.25">
      <c r="B835" s="15"/>
      <c r="C835" s="15"/>
      <c r="D835" s="15"/>
      <c r="E835" s="2089" t="str">
        <f>[1]K_Summary!E825</f>
        <v/>
      </c>
      <c r="F835" s="2089"/>
      <c r="G835" s="2089"/>
      <c r="H835" s="363" t="str">
        <f>Translations!$B$1117</f>
        <v>ton</v>
      </c>
      <c r="I835" s="742" t="str">
        <f>[1]K_Summary!I825</f>
        <v/>
      </c>
      <c r="J835" s="742" t="str">
        <f>[1]K_Summary!J825</f>
        <v/>
      </c>
      <c r="K835" s="742" t="str">
        <f>[1]K_Summary!K825</f>
        <v/>
      </c>
      <c r="L835" s="742" t="str">
        <f>[1]K_Summary!L825</f>
        <v/>
      </c>
      <c r="M835" s="742" t="str">
        <f>[1]K_Summary!M825</f>
        <v/>
      </c>
      <c r="N835" s="623"/>
    </row>
    <row r="836" spans="2:16" ht="12.75" customHeight="1" x14ac:dyDescent="0.25">
      <c r="B836" s="15"/>
      <c r="C836" s="15"/>
      <c r="D836" s="15"/>
      <c r="E836" s="416"/>
      <c r="F836" s="416"/>
      <c r="G836" s="416"/>
      <c r="H836" s="416"/>
      <c r="I836" s="623"/>
      <c r="J836" s="623"/>
      <c r="K836" s="623"/>
      <c r="L836" s="623"/>
      <c r="M836" s="623"/>
      <c r="N836" s="623"/>
    </row>
    <row r="837" spans="2:16" ht="5.15" customHeight="1" thickBot="1" x14ac:dyDescent="0.3">
      <c r="B837" s="15"/>
      <c r="C837" s="15"/>
      <c r="D837" s="15"/>
      <c r="E837" s="748"/>
      <c r="F837" s="534"/>
      <c r="G837" s="534"/>
      <c r="H837" s="534"/>
      <c r="I837" s="534"/>
      <c r="J837" s="534"/>
      <c r="K837" s="534"/>
      <c r="L837" s="534"/>
      <c r="M837" s="534"/>
      <c r="N837" s="534"/>
    </row>
    <row r="838" spans="2:16" ht="5.15" customHeight="1" x14ac:dyDescent="0.25">
      <c r="B838" s="3"/>
      <c r="C838" s="230"/>
      <c r="D838" s="230"/>
      <c r="E838" s="230"/>
      <c r="F838" s="230"/>
      <c r="G838" s="230"/>
      <c r="H838" s="230"/>
      <c r="I838" s="230"/>
      <c r="J838" s="230"/>
      <c r="K838" s="230"/>
      <c r="L838" s="230"/>
      <c r="M838" s="230"/>
      <c r="N838" s="230"/>
    </row>
    <row r="839" spans="2:16" ht="15" customHeight="1" x14ac:dyDescent="0.3">
      <c r="B839" s="15"/>
      <c r="C839" s="17">
        <v>7</v>
      </c>
      <c r="D839" s="2053" t="str">
        <f>Euconst_ProdBMSub &amp; " " &amp; C839 &amp; ":"</f>
        <v>Delanläggning med produktriktmärke 7:</v>
      </c>
      <c r="E839" s="2053"/>
      <c r="F839" s="2053"/>
      <c r="G839" s="2053"/>
      <c r="H839" s="2081"/>
      <c r="I839" s="2090" t="str">
        <f>[1]K_Summary!I829</f>
        <v/>
      </c>
      <c r="J839" s="2091"/>
      <c r="K839" s="2091"/>
      <c r="L839" s="2091"/>
      <c r="M839" s="2091"/>
      <c r="N839" s="2092"/>
    </row>
    <row r="840" spans="2:16" ht="5.15" customHeight="1" thickBot="1" x14ac:dyDescent="0.3">
      <c r="B840" s="15"/>
      <c r="C840" s="15"/>
      <c r="D840" s="15"/>
      <c r="E840" s="15"/>
      <c r="F840" s="15"/>
      <c r="G840" s="15"/>
      <c r="H840" s="15"/>
      <c r="I840" s="15"/>
      <c r="J840" s="15"/>
      <c r="K840" s="15"/>
      <c r="L840" s="15"/>
      <c r="M840" s="15"/>
      <c r="N840" s="15"/>
    </row>
    <row r="841" spans="2:16" x14ac:dyDescent="0.25">
      <c r="B841" s="15"/>
      <c r="C841" s="15"/>
      <c r="D841" s="15"/>
      <c r="E841" s="15"/>
      <c r="F841" s="15"/>
      <c r="G841" s="15"/>
      <c r="H841" s="506" t="str">
        <f>Translations!$B$1022</f>
        <v>KL-risk</v>
      </c>
      <c r="I841" s="507" t="s">
        <v>1380</v>
      </c>
      <c r="J841" s="507" t="str">
        <f>Translations!$B$1026</f>
        <v>I drift</v>
      </c>
      <c r="K841" s="507" t="str">
        <f>Translations!$B$1024</f>
        <v>RM-nummer</v>
      </c>
      <c r="L841" s="612" t="str">
        <f>Translations!$B$1030</f>
        <v>15(7).3?</v>
      </c>
      <c r="M841" s="786" t="str">
        <f>Translations!$B$1052</f>
        <v>RM-värde (min./max./faktiskt)</v>
      </c>
      <c r="N841" s="787"/>
    </row>
    <row r="842" spans="2:16" x14ac:dyDescent="0.25">
      <c r="B842" s="15"/>
      <c r="C842" s="15"/>
      <c r="D842" s="15"/>
      <c r="E842" s="508" t="str">
        <f>[1]K_Summary!E832</f>
        <v/>
      </c>
      <c r="F842" s="509"/>
      <c r="G842" s="464"/>
      <c r="H842" s="510" t="str">
        <f>[1]K_Summary!H832</f>
        <v>N.A.</v>
      </c>
      <c r="I842" s="511" t="str">
        <f>[1]K_Summary!I832</f>
        <v/>
      </c>
      <c r="J842" s="642" t="str">
        <f>[1]K_Summary!J832</f>
        <v>N.A.</v>
      </c>
      <c r="K842" s="421" t="str">
        <f>[1]K_Summary!K832</f>
        <v>N.A.</v>
      </c>
      <c r="L842" s="1598" t="str">
        <f>[1]K_Summary!L832</f>
        <v/>
      </c>
      <c r="M842" s="1599" t="str">
        <f>[1]K_Summary!M832</f>
        <v>N.A.</v>
      </c>
      <c r="N842" s="788" t="str">
        <f>EUconst_EUA &amp; "/" &amp; H847</f>
        <v>EUA/tonnes</v>
      </c>
    </row>
    <row r="843" spans="2:16" x14ac:dyDescent="0.25">
      <c r="B843" s="15"/>
      <c r="C843" s="15"/>
      <c r="D843" s="15"/>
      <c r="E843" s="534"/>
      <c r="F843" s="534"/>
      <c r="G843" s="507" t="str">
        <f>Translations!$B$1036</f>
        <v>Värme utanför ETS</v>
      </c>
      <c r="H843" s="612" t="str">
        <f>Translations!$B$1038</f>
        <v>Wgfacklad</v>
      </c>
      <c r="I843" s="507" t="s">
        <v>1526</v>
      </c>
      <c r="J843" s="507" t="s">
        <v>1527</v>
      </c>
      <c r="K843" s="507" t="s">
        <v>1528</v>
      </c>
      <c r="L843" s="612" t="str">
        <f>Translations!$B$1032</f>
        <v>15(7).3 HAL</v>
      </c>
      <c r="M843" s="1599" t="str">
        <f>[1]K_Summary!M833</f>
        <v>N.A.</v>
      </c>
      <c r="N843" s="788" t="str">
        <f>EUconst_EUA &amp; "/" &amp; H847</f>
        <v>EUA/tonnes</v>
      </c>
    </row>
    <row r="844" spans="2:16" ht="13" thickBot="1" x14ac:dyDescent="0.3">
      <c r="B844" s="15"/>
      <c r="C844" s="15"/>
      <c r="D844" s="15"/>
      <c r="E844" s="1293" t="str">
        <f>Translations!$B$1053</f>
        <v>Särskilda faktorer:</v>
      </c>
      <c r="F844" s="1600"/>
      <c r="G844" s="421" t="str">
        <f>[1]K_Summary!G834</f>
        <v/>
      </c>
      <c r="H844" s="641" t="str">
        <f>[1]K_Summary!H834</f>
        <v/>
      </c>
      <c r="I844" s="1601">
        <f>[1]K_Summary!I834</f>
        <v>1</v>
      </c>
      <c r="J844" s="421" t="str">
        <f>[1]K_Summary!J834</f>
        <v/>
      </c>
      <c r="K844" s="662" t="str">
        <f>[1]K_Summary!K834</f>
        <v/>
      </c>
      <c r="L844" s="641" t="str">
        <f>[1]K_Summary!L834</f>
        <v/>
      </c>
      <c r="M844" s="1602" t="str">
        <f>[1]K_Summary!M834</f>
        <v>N.A.</v>
      </c>
      <c r="N844" s="789" t="str">
        <f>EUconst_EUA &amp; "/" &amp; H847</f>
        <v>EUA/tonnes</v>
      </c>
      <c r="P844" s="1903" t="b">
        <f>IF(ISNUMBER(K842),INDEX(EUconst_BMlistBMvalues,K842)&lt;&gt;M844,FALSE)</f>
        <v>0</v>
      </c>
    </row>
    <row r="845" spans="2:16" ht="5.15" customHeight="1" x14ac:dyDescent="0.25">
      <c r="B845" s="15"/>
      <c r="C845" s="15"/>
      <c r="D845" s="15"/>
      <c r="E845" s="15"/>
      <c r="F845" s="15"/>
      <c r="G845" s="15"/>
      <c r="H845" s="15"/>
      <c r="I845" s="15"/>
      <c r="J845" s="15"/>
      <c r="K845" s="15"/>
      <c r="L845" s="15"/>
      <c r="M845" s="15"/>
      <c r="N845" s="15"/>
    </row>
    <row r="846" spans="2:16" ht="13" x14ac:dyDescent="0.25">
      <c r="B846" s="15"/>
      <c r="C846" s="15"/>
      <c r="D846" s="15"/>
      <c r="E846" s="188"/>
      <c r="F846" s="188"/>
      <c r="G846" s="512"/>
      <c r="H846" s="1603" t="str">
        <f>Translations!$B$1014</f>
        <v>Enhet</v>
      </c>
      <c r="I846" s="350">
        <v>2014</v>
      </c>
      <c r="J846" s="350">
        <v>2015</v>
      </c>
      <c r="K846" s="350">
        <v>2016</v>
      </c>
      <c r="L846" s="350">
        <v>2017</v>
      </c>
      <c r="M846" s="350">
        <v>2018</v>
      </c>
      <c r="N846" s="15"/>
    </row>
    <row r="847" spans="2:16" x14ac:dyDescent="0.25">
      <c r="B847" s="15"/>
      <c r="C847" s="15"/>
      <c r="D847" s="15"/>
      <c r="E847" s="513" t="str">
        <f>Translations!$B$1054</f>
        <v>Rapporterad HAL (historisk verksamhetsnivå)</v>
      </c>
      <c r="F847" s="514"/>
      <c r="G847" s="515"/>
      <c r="H847" s="510" t="str">
        <f>[1]K_Summary!H837</f>
        <v>tonnes</v>
      </c>
      <c r="I847" s="421" t="str">
        <f>[1]K_Summary!I837</f>
        <v/>
      </c>
      <c r="J847" s="421" t="str">
        <f>[1]K_Summary!J837</f>
        <v/>
      </c>
      <c r="K847" s="421" t="str">
        <f>[1]K_Summary!K837</f>
        <v/>
      </c>
      <c r="L847" s="421" t="str">
        <f>[1]K_Summary!L837</f>
        <v/>
      </c>
      <c r="M847" s="421" t="str">
        <f>[1]K_Summary!M837</f>
        <v/>
      </c>
      <c r="N847" s="507" t="str">
        <f>Translations!$B$1042</f>
        <v>Genomsnitt</v>
      </c>
    </row>
    <row r="848" spans="2:16" x14ac:dyDescent="0.25">
      <c r="B848" s="15"/>
      <c r="C848" s="15"/>
      <c r="D848" s="15"/>
      <c r="E848" s="513" t="str">
        <f>Translations!$B$1055</f>
        <v>Värden som används för HAL-beräkning:</v>
      </c>
      <c r="F848" s="514"/>
      <c r="G848" s="515"/>
      <c r="H848" s="510" t="str">
        <f>[1]K_Summary!H838</f>
        <v>tonnes</v>
      </c>
      <c r="I848" s="421" t="str">
        <f>[1]K_Summary!I838</f>
        <v/>
      </c>
      <c r="J848" s="421" t="str">
        <f>[1]K_Summary!J838</f>
        <v/>
      </c>
      <c r="K848" s="421" t="str">
        <f>[1]K_Summary!K838</f>
        <v/>
      </c>
      <c r="L848" s="421" t="str">
        <f>[1]K_Summary!L838</f>
        <v/>
      </c>
      <c r="M848" s="421" t="str">
        <f>[1]K_Summary!M838</f>
        <v/>
      </c>
      <c r="N848" s="421" t="str">
        <f>[1]K_Summary!N838</f>
        <v/>
      </c>
    </row>
    <row r="849" spans="2:14" ht="5.15" customHeight="1" x14ac:dyDescent="0.25">
      <c r="B849" s="15"/>
      <c r="C849" s="15"/>
      <c r="D849" s="15"/>
      <c r="E849" s="1604"/>
      <c r="F849" s="1604"/>
      <c r="G849" s="1604"/>
      <c r="H849" s="1604"/>
      <c r="I849" s="1604"/>
      <c r="J849" s="1604"/>
      <c r="K849" s="1604"/>
      <c r="L849" s="1604"/>
      <c r="M849" s="534"/>
      <c r="N849" s="534"/>
    </row>
    <row r="850" spans="2:14" ht="13" thickBot="1" x14ac:dyDescent="0.3">
      <c r="B850" s="15"/>
      <c r="C850" s="534"/>
      <c r="D850" s="15"/>
      <c r="E850" s="1604"/>
      <c r="F850" s="617" t="s">
        <v>1385</v>
      </c>
      <c r="G850" s="618"/>
      <c r="H850" s="534"/>
      <c r="I850" s="617" t="str">
        <f>Translations!$B$1044</f>
        <v>Prel. tilldelning år 1 (min.)</v>
      </c>
      <c r="J850" s="618"/>
      <c r="K850" s="617" t="str">
        <f>Translations!$B$1047</f>
        <v>Prel. tilldelning år 1 (max.)</v>
      </c>
      <c r="L850" s="618"/>
      <c r="M850" s="617" t="str">
        <f>Translations!$B$1049</f>
        <v>Prel. tilldelning år 1 (faktisk)</v>
      </c>
      <c r="N850" s="618"/>
    </row>
    <row r="851" spans="2:14" ht="13.5" thickBot="1" x14ac:dyDescent="0.3">
      <c r="B851" s="15"/>
      <c r="C851" s="534"/>
      <c r="D851" s="534"/>
      <c r="E851" s="1604"/>
      <c r="F851" s="517" t="str">
        <f>[1]K_Summary!F841</f>
        <v/>
      </c>
      <c r="G851" s="1605" t="str">
        <f>[1]K_Summary!G841</f>
        <v>tonnes / year</v>
      </c>
      <c r="H851" s="534"/>
      <c r="I851" s="616" t="str">
        <f>[1]K_Summary!I841</f>
        <v/>
      </c>
      <c r="J851" s="709" t="str">
        <f>EUconst_EUApa</f>
        <v>EUA / år</v>
      </c>
      <c r="K851" s="616" t="str">
        <f>[1]K_Summary!K841</f>
        <v/>
      </c>
      <c r="L851" s="709" t="str">
        <f>EUconst_EUApa</f>
        <v>EUA / år</v>
      </c>
      <c r="M851" s="616" t="str">
        <f>[1]K_Summary!M841</f>
        <v/>
      </c>
      <c r="N851" s="709" t="str">
        <f>EUconst_EUApa</f>
        <v>EUA / år</v>
      </c>
    </row>
    <row r="852" spans="2:14" ht="5.15" customHeight="1" x14ac:dyDescent="0.25">
      <c r="B852" s="15"/>
      <c r="C852" s="15"/>
      <c r="D852" s="534"/>
      <c r="E852" s="289"/>
      <c r="F852" s="15"/>
      <c r="G852" s="15"/>
      <c r="H852" s="15"/>
      <c r="I852" s="15"/>
      <c r="J852" s="15"/>
      <c r="K852" s="15"/>
      <c r="L852" s="15"/>
      <c r="M852" s="15"/>
      <c r="N852" s="15"/>
    </row>
    <row r="853" spans="2:14" ht="12.75" customHeight="1" x14ac:dyDescent="0.25">
      <c r="B853" s="15"/>
      <c r="C853" s="15"/>
      <c r="D853" s="15"/>
      <c r="E853" s="416"/>
      <c r="F853" s="623"/>
      <c r="G853" s="623"/>
      <c r="H853" s="623"/>
      <c r="I853" s="623"/>
      <c r="J853" s="623"/>
      <c r="K853" s="623"/>
      <c r="L853" s="623"/>
      <c r="M853" s="623"/>
      <c r="N853" s="623"/>
    </row>
    <row r="854" spans="2:14" ht="13.5" thickBot="1" x14ac:dyDescent="0.3">
      <c r="B854" s="15"/>
      <c r="C854" s="15"/>
      <c r="D854" s="15"/>
      <c r="E854" s="416"/>
      <c r="F854" s="623"/>
      <c r="G854" s="623"/>
      <c r="H854" s="415" t="str">
        <f>Translations!$B$1014</f>
        <v>Enhet</v>
      </c>
      <c r="I854" s="744">
        <v>2014</v>
      </c>
      <c r="J854" s="362">
        <v>2015</v>
      </c>
      <c r="K854" s="362">
        <v>2016</v>
      </c>
      <c r="L854" s="362">
        <v>2017</v>
      </c>
      <c r="M854" s="362">
        <v>2018</v>
      </c>
      <c r="N854" s="623"/>
    </row>
    <row r="855" spans="2:14" ht="13.5" customHeight="1" thickBot="1" x14ac:dyDescent="0.3">
      <c r="B855" s="15"/>
      <c r="C855" s="15"/>
      <c r="D855" s="15"/>
      <c r="E855" s="2074" t="str">
        <f>Translations!$B$1056</f>
        <v>Totala tillskrivna utsläpp</v>
      </c>
      <c r="F855" s="2074"/>
      <c r="G855" s="2074"/>
      <c r="H855" s="710" t="str">
        <f>EUconst_tCO2epa</f>
        <v>t CO2e/år</v>
      </c>
      <c r="I855" s="735" t="str">
        <f>[1]K_Summary!I845</f>
        <v/>
      </c>
      <c r="J855" s="736" t="str">
        <f>[1]K_Summary!J845</f>
        <v/>
      </c>
      <c r="K855" s="736" t="str">
        <f>[1]K_Summary!K845</f>
        <v/>
      </c>
      <c r="L855" s="736" t="str">
        <f>[1]K_Summary!L845</f>
        <v/>
      </c>
      <c r="M855" s="737" t="str">
        <f>[1]K_Summary!M845</f>
        <v/>
      </c>
      <c r="N855" s="623"/>
    </row>
    <row r="856" spans="2:14" ht="5.15" customHeight="1" x14ac:dyDescent="0.25">
      <c r="B856" s="15"/>
      <c r="C856" s="15"/>
      <c r="D856" s="15"/>
      <c r="E856" s="416"/>
      <c r="F856" s="416"/>
      <c r="G856" s="416"/>
      <c r="H856" s="416"/>
      <c r="I856" s="738"/>
      <c r="J856" s="738"/>
      <c r="K856" s="738"/>
      <c r="L856" s="738"/>
      <c r="M856" s="738"/>
      <c r="N856" s="416"/>
    </row>
    <row r="857" spans="2:14" x14ac:dyDescent="0.25">
      <c r="B857" s="15"/>
      <c r="C857" s="15"/>
      <c r="D857" s="15"/>
      <c r="E857" s="2087" t="str">
        <f>Translations!$B$571</f>
        <v>Insatsbränsle</v>
      </c>
      <c r="F857" s="2087"/>
      <c r="G857" s="2087"/>
      <c r="H857" s="1606" t="str">
        <f>EUconst_TJpa</f>
        <v>TJ / år</v>
      </c>
      <c r="I857" s="739" t="str">
        <f>[1]K_Summary!I847</f>
        <v/>
      </c>
      <c r="J857" s="739" t="str">
        <f>[1]K_Summary!J847</f>
        <v/>
      </c>
      <c r="K857" s="739" t="str">
        <f>[1]K_Summary!K847</f>
        <v/>
      </c>
      <c r="L857" s="739" t="str">
        <f>[1]K_Summary!L847</f>
        <v/>
      </c>
      <c r="M857" s="739" t="str">
        <f>[1]K_Summary!M847</f>
        <v/>
      </c>
      <c r="N857" s="623"/>
    </row>
    <row r="858" spans="2:14" ht="12.75" customHeight="1" x14ac:dyDescent="0.25">
      <c r="B858" s="15"/>
      <c r="C858" s="15"/>
      <c r="D858" s="15"/>
      <c r="E858" s="2088" t="str">
        <f>Translations!$B$572</f>
        <v>Viktad emissionsfaktor</v>
      </c>
      <c r="F858" s="2088"/>
      <c r="G858" s="2088"/>
      <c r="H858" s="624" t="str">
        <f>EUconst_tCO2pTJ</f>
        <v>t CO2 / TJ</v>
      </c>
      <c r="I858" s="740" t="str">
        <f>[1]K_Summary!I848</f>
        <v/>
      </c>
      <c r="J858" s="740" t="str">
        <f>[1]K_Summary!J848</f>
        <v/>
      </c>
      <c r="K858" s="740" t="str">
        <f>[1]K_Summary!K848</f>
        <v/>
      </c>
      <c r="L858" s="740" t="str">
        <f>[1]K_Summary!L848</f>
        <v/>
      </c>
      <c r="M858" s="740" t="str">
        <f>[1]K_Summary!M848</f>
        <v/>
      </c>
      <c r="N858" s="623"/>
    </row>
    <row r="859" spans="2:14" ht="5.15" customHeight="1" x14ac:dyDescent="0.25">
      <c r="B859" s="15"/>
      <c r="C859" s="15"/>
      <c r="D859" s="534"/>
      <c r="E859" s="416"/>
      <c r="F859" s="623"/>
      <c r="G859" s="623"/>
      <c r="H859" s="623"/>
      <c r="I859" s="741"/>
      <c r="J859" s="741"/>
      <c r="K859" s="741"/>
      <c r="L859" s="741"/>
      <c r="M859" s="741"/>
      <c r="N859" s="623"/>
    </row>
    <row r="860" spans="2:14" ht="12.75" customHeight="1" x14ac:dyDescent="0.25">
      <c r="B860" s="15"/>
      <c r="C860" s="15"/>
      <c r="D860" s="534"/>
      <c r="E860" s="2080" t="str">
        <f>Translations!$B$528</f>
        <v>Direkta utsläpp</v>
      </c>
      <c r="F860" s="2080"/>
      <c r="G860" s="2080"/>
      <c r="H860" s="363" t="str">
        <f>EUconst_tCO2pa</f>
        <v>t CO2 / år</v>
      </c>
      <c r="I860" s="742" t="str">
        <f>[1]K_Summary!I850</f>
        <v/>
      </c>
      <c r="J860" s="742" t="str">
        <f>[1]K_Summary!J850</f>
        <v/>
      </c>
      <c r="K860" s="742" t="str">
        <f>[1]K_Summary!K850</f>
        <v/>
      </c>
      <c r="L860" s="742" t="str">
        <f>[1]K_Summary!L850</f>
        <v/>
      </c>
      <c r="M860" s="742" t="str">
        <f>[1]K_Summary!M850</f>
        <v/>
      </c>
      <c r="N860" s="623"/>
    </row>
    <row r="861" spans="2:14" ht="12.75" customHeight="1" x14ac:dyDescent="0.25">
      <c r="B861" s="15"/>
      <c r="C861" s="15"/>
      <c r="D861" s="534"/>
      <c r="E861" s="2080" t="str">
        <f>Translations!$B$582</f>
        <v>Andra bränsle-/materialmängder – 1</v>
      </c>
      <c r="F861" s="2080"/>
      <c r="G861" s="2080"/>
      <c r="H861" s="363" t="str">
        <f>EUconst_tCO2pa</f>
        <v>t CO2 / år</v>
      </c>
      <c r="I861" s="742" t="str">
        <f>[1]K_Summary!I851</f>
        <v/>
      </c>
      <c r="J861" s="742" t="str">
        <f>[1]K_Summary!J851</f>
        <v/>
      </c>
      <c r="K861" s="742" t="str">
        <f>[1]K_Summary!K851</f>
        <v/>
      </c>
      <c r="L861" s="742" t="str">
        <f>[1]K_Summary!L851</f>
        <v/>
      </c>
      <c r="M861" s="742" t="str">
        <f>[1]K_Summary!M851</f>
        <v/>
      </c>
      <c r="N861" s="623"/>
    </row>
    <row r="862" spans="2:14" ht="12.75" customHeight="1" x14ac:dyDescent="0.25">
      <c r="B862" s="15"/>
      <c r="C862" s="15"/>
      <c r="D862" s="534"/>
      <c r="E862" s="2080" t="str">
        <f>Translations!$B$592</f>
        <v>Andra bränsle-/materialmängder – 2</v>
      </c>
      <c r="F862" s="2080"/>
      <c r="G862" s="2080"/>
      <c r="H862" s="363" t="str">
        <f>EUconst_tCO2pa</f>
        <v>t CO2 / år</v>
      </c>
      <c r="I862" s="742" t="str">
        <f>[1]K_Summary!I852</f>
        <v/>
      </c>
      <c r="J862" s="742" t="str">
        <f>[1]K_Summary!J852</f>
        <v/>
      </c>
      <c r="K862" s="742" t="str">
        <f>[1]K_Summary!K852</f>
        <v/>
      </c>
      <c r="L862" s="742" t="str">
        <f>[1]K_Summary!L852</f>
        <v/>
      </c>
      <c r="M862" s="742" t="str">
        <f>[1]K_Summary!M852</f>
        <v/>
      </c>
      <c r="N862" s="623"/>
    </row>
    <row r="863" spans="2:14" ht="12.75" customHeight="1" x14ac:dyDescent="0.25">
      <c r="B863" s="15"/>
      <c r="C863" s="15"/>
      <c r="D863" s="15"/>
      <c r="E863" s="2080" t="str">
        <f>Translations!$B$596</f>
        <v>Importerade eller exporterade växthusgaser</v>
      </c>
      <c r="F863" s="2080"/>
      <c r="G863" s="2080"/>
      <c r="H863" s="363" t="str">
        <f>EUconst_tCO2epa</f>
        <v>t CO2e/år</v>
      </c>
      <c r="I863" s="742" t="str">
        <f>[1]K_Summary!I853</f>
        <v/>
      </c>
      <c r="J863" s="742" t="str">
        <f>[1]K_Summary!J853</f>
        <v/>
      </c>
      <c r="K863" s="742" t="str">
        <f>[1]K_Summary!K853</f>
        <v/>
      </c>
      <c r="L863" s="742" t="str">
        <f>[1]K_Summary!L853</f>
        <v/>
      </c>
      <c r="M863" s="742" t="str">
        <f>[1]K_Summary!M853</f>
        <v/>
      </c>
      <c r="N863" s="623"/>
    </row>
    <row r="864" spans="2:14" ht="5.15" customHeight="1" x14ac:dyDescent="0.25">
      <c r="B864" s="15"/>
      <c r="C864" s="15"/>
      <c r="D864" s="15"/>
      <c r="E864" s="623"/>
      <c r="F864" s="623"/>
      <c r="G864" s="623"/>
      <c r="H864" s="623"/>
      <c r="I864" s="741"/>
      <c r="J864" s="741"/>
      <c r="K864" s="741"/>
      <c r="L864" s="741"/>
      <c r="M864" s="741"/>
      <c r="N864" s="623"/>
    </row>
    <row r="865" spans="2:14" ht="12.75" customHeight="1" x14ac:dyDescent="0.25">
      <c r="B865" s="15"/>
      <c r="C865" s="15"/>
      <c r="D865" s="15"/>
      <c r="E865" s="2087" t="str">
        <f>Translations!$B$604</f>
        <v>Nettomängd importerad värme</v>
      </c>
      <c r="F865" s="2087"/>
      <c r="G865" s="2087"/>
      <c r="H865" s="1606" t="str">
        <f>EUconst_TJpa</f>
        <v>TJ / år</v>
      </c>
      <c r="I865" s="739" t="str">
        <f>[1]K_Summary!I855</f>
        <v/>
      </c>
      <c r="J865" s="739" t="str">
        <f>[1]K_Summary!J855</f>
        <v/>
      </c>
      <c r="K865" s="739" t="str">
        <f>[1]K_Summary!K855</f>
        <v/>
      </c>
      <c r="L865" s="739" t="str">
        <f>[1]K_Summary!L855</f>
        <v/>
      </c>
      <c r="M865" s="739" t="str">
        <f>[1]K_Summary!M855</f>
        <v/>
      </c>
      <c r="N865" s="623"/>
    </row>
    <row r="866" spans="2:14" ht="12.75" customHeight="1" x14ac:dyDescent="0.25">
      <c r="B866" s="15"/>
      <c r="C866" s="15"/>
      <c r="D866" s="15"/>
      <c r="E866" s="2088" t="str">
        <f>Translations!$B$605</f>
        <v>Särskild emissionsfaktor (importerad värme)</v>
      </c>
      <c r="F866" s="2088"/>
      <c r="G866" s="2088"/>
      <c r="H866" s="624" t="str">
        <f>EUconst_tCO2pTJ</f>
        <v>t CO2 / TJ</v>
      </c>
      <c r="I866" s="740" t="str">
        <f>[1]K_Summary!I856</f>
        <v/>
      </c>
      <c r="J866" s="740" t="str">
        <f>[1]K_Summary!J856</f>
        <v/>
      </c>
      <c r="K866" s="740" t="str">
        <f>[1]K_Summary!K856</f>
        <v/>
      </c>
      <c r="L866" s="740" t="str">
        <f>[1]K_Summary!L856</f>
        <v/>
      </c>
      <c r="M866" s="740" t="str">
        <f>[1]K_Summary!M856</f>
        <v/>
      </c>
      <c r="N866" s="623"/>
    </row>
    <row r="867" spans="2:14" ht="5.15" customHeight="1" x14ac:dyDescent="0.25">
      <c r="B867" s="15"/>
      <c r="C867" s="15"/>
      <c r="D867" s="15"/>
      <c r="E867" s="416"/>
      <c r="F867" s="623"/>
      <c r="G867" s="623"/>
      <c r="H867" s="623"/>
      <c r="I867" s="741"/>
      <c r="J867" s="741"/>
      <c r="K867" s="741"/>
      <c r="L867" s="741"/>
      <c r="M867" s="741"/>
      <c r="N867" s="623"/>
    </row>
    <row r="868" spans="2:14" ht="12.75" customHeight="1" x14ac:dyDescent="0.25">
      <c r="B868" s="15"/>
      <c r="C868" s="15"/>
      <c r="D868" s="15"/>
      <c r="E868" s="2080" t="str">
        <f>Translations!$B$659</f>
        <v>Importerad nettovärme från massa</v>
      </c>
      <c r="F868" s="2080"/>
      <c r="G868" s="2080"/>
      <c r="H868" s="363" t="str">
        <f>EUconst_TJpa</f>
        <v>TJ / år</v>
      </c>
      <c r="I868" s="742" t="str">
        <f>[1]K_Summary!I858</f>
        <v/>
      </c>
      <c r="J868" s="742" t="str">
        <f>[1]K_Summary!J858</f>
        <v/>
      </c>
      <c r="K868" s="742" t="str">
        <f>[1]K_Summary!K858</f>
        <v/>
      </c>
      <c r="L868" s="742" t="str">
        <f>[1]K_Summary!L858</f>
        <v/>
      </c>
      <c r="M868" s="742" t="str">
        <f>[1]K_Summary!M858</f>
        <v/>
      </c>
      <c r="N868" s="623"/>
    </row>
    <row r="869" spans="2:14" ht="12.75" customHeight="1" x14ac:dyDescent="0.25">
      <c r="B869" s="15"/>
      <c r="C869" s="15"/>
      <c r="D869" s="15"/>
      <c r="E869" s="2080" t="str">
        <f>Translations!$B$608</f>
        <v>Nettomängd importerad värme från delanläggningar för salpetersyra</v>
      </c>
      <c r="F869" s="2080"/>
      <c r="G869" s="2080"/>
      <c r="H869" s="363" t="str">
        <f>EUconst_TJpa</f>
        <v>TJ / år</v>
      </c>
      <c r="I869" s="742" t="str">
        <f>[1]K_Summary!I859</f>
        <v/>
      </c>
      <c r="J869" s="742" t="str">
        <f>[1]K_Summary!J859</f>
        <v/>
      </c>
      <c r="K869" s="742" t="str">
        <f>[1]K_Summary!K859</f>
        <v/>
      </c>
      <c r="L869" s="742" t="str">
        <f>[1]K_Summary!L859</f>
        <v/>
      </c>
      <c r="M869" s="742" t="str">
        <f>[1]K_Summary!M859</f>
        <v/>
      </c>
      <c r="N869" s="623"/>
    </row>
    <row r="870" spans="2:14" ht="5.15" customHeight="1" x14ac:dyDescent="0.25">
      <c r="B870" s="15"/>
      <c r="C870" s="15"/>
      <c r="D870" s="15"/>
      <c r="E870" s="416"/>
      <c r="F870" s="416"/>
      <c r="G870" s="416"/>
      <c r="H870" s="416"/>
      <c r="I870" s="741"/>
      <c r="J870" s="741"/>
      <c r="K870" s="741"/>
      <c r="L870" s="741"/>
      <c r="M870" s="741"/>
      <c r="N870" s="623"/>
    </row>
    <row r="871" spans="2:14" ht="12.75" customHeight="1" x14ac:dyDescent="0.25">
      <c r="B871" s="15"/>
      <c r="C871" s="15"/>
      <c r="D871" s="15"/>
      <c r="E871" s="2087" t="str">
        <f>Translations!$B$610</f>
        <v>Nettomängd exporterad värme</v>
      </c>
      <c r="F871" s="2087"/>
      <c r="G871" s="2087"/>
      <c r="H871" s="1606" t="str">
        <f>EUconst_TJpa</f>
        <v>TJ / år</v>
      </c>
      <c r="I871" s="739" t="str">
        <f>[1]K_Summary!I861</f>
        <v/>
      </c>
      <c r="J871" s="739" t="str">
        <f>[1]K_Summary!J861</f>
        <v/>
      </c>
      <c r="K871" s="739" t="str">
        <f>[1]K_Summary!K861</f>
        <v/>
      </c>
      <c r="L871" s="739" t="str">
        <f>[1]K_Summary!L861</f>
        <v/>
      </c>
      <c r="M871" s="739" t="str">
        <f>[1]K_Summary!M861</f>
        <v/>
      </c>
      <c r="N871" s="623"/>
    </row>
    <row r="872" spans="2:14" ht="12.75" customHeight="1" x14ac:dyDescent="0.25">
      <c r="B872" s="15"/>
      <c r="C872" s="15"/>
      <c r="D872" s="15"/>
      <c r="E872" s="2088" t="str">
        <f>Translations!$B$611</f>
        <v>Särskild emissionsfaktor (exporterad värme)</v>
      </c>
      <c r="F872" s="2088"/>
      <c r="G872" s="2088"/>
      <c r="H872" s="624" t="str">
        <f>EUconst_tCO2pTJ</f>
        <v>t CO2 / TJ</v>
      </c>
      <c r="I872" s="740" t="str">
        <f>[1]K_Summary!I862</f>
        <v/>
      </c>
      <c r="J872" s="740" t="str">
        <f>[1]K_Summary!J862</f>
        <v/>
      </c>
      <c r="K872" s="740" t="str">
        <f>[1]K_Summary!K862</f>
        <v/>
      </c>
      <c r="L872" s="740" t="str">
        <f>[1]K_Summary!L862</f>
        <v/>
      </c>
      <c r="M872" s="740" t="str">
        <f>[1]K_Summary!M862</f>
        <v/>
      </c>
      <c r="N872" s="623"/>
    </row>
    <row r="873" spans="2:14" ht="5.15" customHeight="1" x14ac:dyDescent="0.25">
      <c r="B873" s="15"/>
      <c r="C873" s="15"/>
      <c r="D873" s="15"/>
      <c r="E873" s="416"/>
      <c r="F873" s="416"/>
      <c r="G873" s="416"/>
      <c r="H873" s="416"/>
      <c r="I873" s="741"/>
      <c r="J873" s="741"/>
      <c r="K873" s="741"/>
      <c r="L873" s="741"/>
      <c r="M873" s="741"/>
      <c r="N873" s="623"/>
    </row>
    <row r="874" spans="2:14" ht="12.75" customHeight="1" x14ac:dyDescent="0.25">
      <c r="B874" s="15"/>
      <c r="C874" s="15"/>
      <c r="D874" s="15"/>
      <c r="E874" s="2087" t="str">
        <f>Translations!$B$618</f>
        <v>Producerad restgas</v>
      </c>
      <c r="F874" s="2087"/>
      <c r="G874" s="2087"/>
      <c r="H874" s="1606" t="str">
        <f>EUconst_TJpa</f>
        <v>TJ / år</v>
      </c>
      <c r="I874" s="739" t="str">
        <f>[1]K_Summary!I864</f>
        <v/>
      </c>
      <c r="J874" s="739" t="str">
        <f>[1]K_Summary!J864</f>
        <v/>
      </c>
      <c r="K874" s="739" t="str">
        <f>[1]K_Summary!K864</f>
        <v/>
      </c>
      <c r="L874" s="739" t="str">
        <f>[1]K_Summary!L864</f>
        <v/>
      </c>
      <c r="M874" s="739" t="str">
        <f>[1]K_Summary!M864</f>
        <v/>
      </c>
      <c r="N874" s="623"/>
    </row>
    <row r="875" spans="2:14" ht="12.75" customHeight="1" x14ac:dyDescent="0.25">
      <c r="B875" s="15"/>
      <c r="C875" s="15"/>
      <c r="D875" s="15"/>
      <c r="E875" s="2088" t="str">
        <f>Translations!$B$619</f>
        <v>Särskild emissionsfaktor (producerad restgas)</v>
      </c>
      <c r="F875" s="2088"/>
      <c r="G875" s="2088"/>
      <c r="H875" s="624" t="str">
        <f>EUconst_tCO2pTJ</f>
        <v>t CO2 / TJ</v>
      </c>
      <c r="I875" s="740" t="str">
        <f>[1]K_Summary!I865</f>
        <v/>
      </c>
      <c r="J875" s="740" t="str">
        <f>[1]K_Summary!J865</f>
        <v/>
      </c>
      <c r="K875" s="740" t="str">
        <f>[1]K_Summary!K865</f>
        <v/>
      </c>
      <c r="L875" s="740" t="str">
        <f>[1]K_Summary!L865</f>
        <v/>
      </c>
      <c r="M875" s="740" t="str">
        <f>[1]K_Summary!M865</f>
        <v/>
      </c>
      <c r="N875" s="623"/>
    </row>
    <row r="876" spans="2:14" ht="12.75" customHeight="1" x14ac:dyDescent="0.25">
      <c r="B876" s="15"/>
      <c r="C876" s="15"/>
      <c r="D876" s="15"/>
      <c r="E876" s="2087" t="str">
        <f>Translations!$B$623</f>
        <v>Förbrukad restgas</v>
      </c>
      <c r="F876" s="2087"/>
      <c r="G876" s="2087"/>
      <c r="H876" s="1606" t="str">
        <f>EUconst_TJpa</f>
        <v>TJ / år</v>
      </c>
      <c r="I876" s="739" t="str">
        <f>[1]K_Summary!I866</f>
        <v/>
      </c>
      <c r="J876" s="739" t="str">
        <f>[1]K_Summary!J866</f>
        <v/>
      </c>
      <c r="K876" s="739" t="str">
        <f>[1]K_Summary!K866</f>
        <v/>
      </c>
      <c r="L876" s="739" t="str">
        <f>[1]K_Summary!L866</f>
        <v/>
      </c>
      <c r="M876" s="739" t="str">
        <f>[1]K_Summary!M866</f>
        <v/>
      </c>
      <c r="N876" s="623"/>
    </row>
    <row r="877" spans="2:14" ht="12.75" customHeight="1" x14ac:dyDescent="0.25">
      <c r="B877" s="15"/>
      <c r="C877" s="15"/>
      <c r="D877" s="15"/>
      <c r="E877" s="2088" t="str">
        <f>Translations!$B$624</f>
        <v>Särskild emissionsfaktor (förbrukad restgas)</v>
      </c>
      <c r="F877" s="2088"/>
      <c r="G877" s="2088"/>
      <c r="H877" s="624" t="str">
        <f>EUconst_tCO2pTJ</f>
        <v>t CO2 / TJ</v>
      </c>
      <c r="I877" s="740" t="str">
        <f>[1]K_Summary!I867</f>
        <v/>
      </c>
      <c r="J877" s="740" t="str">
        <f>[1]K_Summary!J867</f>
        <v/>
      </c>
      <c r="K877" s="740" t="str">
        <f>[1]K_Summary!K867</f>
        <v/>
      </c>
      <c r="L877" s="740" t="str">
        <f>[1]K_Summary!L867</f>
        <v/>
      </c>
      <c r="M877" s="740" t="str">
        <f>[1]K_Summary!M867</f>
        <v/>
      </c>
      <c r="N877" s="623"/>
    </row>
    <row r="878" spans="2:14" ht="12.75" customHeight="1" x14ac:dyDescent="0.25">
      <c r="B878" s="15"/>
      <c r="C878" s="15"/>
      <c r="D878" s="15"/>
      <c r="E878" s="2087" t="str">
        <f>Translations!$B$630</f>
        <v>Facklad restgas</v>
      </c>
      <c r="F878" s="2087"/>
      <c r="G878" s="2087"/>
      <c r="H878" s="1606" t="str">
        <f>EUconst_TJpa</f>
        <v>TJ / år</v>
      </c>
      <c r="I878" s="739" t="str">
        <f>[1]K_Summary!I868</f>
        <v/>
      </c>
      <c r="J878" s="739" t="str">
        <f>[1]K_Summary!J868</f>
        <v/>
      </c>
      <c r="K878" s="739" t="str">
        <f>[1]K_Summary!K868</f>
        <v/>
      </c>
      <c r="L878" s="739" t="str">
        <f>[1]K_Summary!L868</f>
        <v/>
      </c>
      <c r="M878" s="739" t="str">
        <f>[1]K_Summary!M868</f>
        <v/>
      </c>
      <c r="N878" s="623"/>
    </row>
    <row r="879" spans="2:14" ht="12.75" customHeight="1" x14ac:dyDescent="0.25">
      <c r="B879" s="15"/>
      <c r="C879" s="15"/>
      <c r="D879" s="15"/>
      <c r="E879" s="2088" t="str">
        <f>Translations!$B$631</f>
        <v>Särskild emissionsfaktor (facklad restgas)</v>
      </c>
      <c r="F879" s="2088"/>
      <c r="G879" s="2088"/>
      <c r="H879" s="624" t="str">
        <f>EUconst_tCO2pTJ</f>
        <v>t CO2 / TJ</v>
      </c>
      <c r="I879" s="740" t="str">
        <f>[1]K_Summary!I869</f>
        <v/>
      </c>
      <c r="J879" s="740" t="str">
        <f>[1]K_Summary!J869</f>
        <v/>
      </c>
      <c r="K879" s="740" t="str">
        <f>[1]K_Summary!K869</f>
        <v/>
      </c>
      <c r="L879" s="740" t="str">
        <f>[1]K_Summary!L869</f>
        <v/>
      </c>
      <c r="M879" s="740" t="str">
        <f>[1]K_Summary!M869</f>
        <v/>
      </c>
      <c r="N879" s="623"/>
    </row>
    <row r="880" spans="2:14" ht="12.75" customHeight="1" x14ac:dyDescent="0.25">
      <c r="B880" s="15"/>
      <c r="C880" s="15"/>
      <c r="D880" s="15"/>
      <c r="E880" s="2087" t="str">
        <f>Translations!$B$636</f>
        <v>Importerad restgas</v>
      </c>
      <c r="F880" s="2087"/>
      <c r="G880" s="2087"/>
      <c r="H880" s="1606" t="str">
        <f>EUconst_TJpa</f>
        <v>TJ / år</v>
      </c>
      <c r="I880" s="739" t="str">
        <f>[1]K_Summary!I870</f>
        <v/>
      </c>
      <c r="J880" s="739" t="str">
        <f>[1]K_Summary!J870</f>
        <v/>
      </c>
      <c r="K880" s="739" t="str">
        <f>[1]K_Summary!K870</f>
        <v/>
      </c>
      <c r="L880" s="739" t="str">
        <f>[1]K_Summary!L870</f>
        <v/>
      </c>
      <c r="M880" s="739" t="str">
        <f>[1]K_Summary!M870</f>
        <v/>
      </c>
      <c r="N880" s="623"/>
    </row>
    <row r="881" spans="2:14" ht="12.75" customHeight="1" x14ac:dyDescent="0.25">
      <c r="B881" s="15"/>
      <c r="C881" s="15"/>
      <c r="D881" s="15"/>
      <c r="E881" s="2088" t="str">
        <f>Translations!$B$637</f>
        <v>Särskild emissionsfaktor (importerad restgas)</v>
      </c>
      <c r="F881" s="2088"/>
      <c r="G881" s="2088"/>
      <c r="H881" s="624" t="str">
        <f>EUconst_tCO2pTJ</f>
        <v>t CO2 / TJ</v>
      </c>
      <c r="I881" s="740" t="str">
        <f>[1]K_Summary!I871</f>
        <v/>
      </c>
      <c r="J881" s="740" t="str">
        <f>[1]K_Summary!J871</f>
        <v/>
      </c>
      <c r="K881" s="740" t="str">
        <f>[1]K_Summary!K871</f>
        <v/>
      </c>
      <c r="L881" s="740" t="str">
        <f>[1]K_Summary!L871</f>
        <v/>
      </c>
      <c r="M881" s="740" t="str">
        <f>[1]K_Summary!M871</f>
        <v/>
      </c>
      <c r="N881" s="623"/>
    </row>
    <row r="882" spans="2:14" ht="12.75" customHeight="1" x14ac:dyDescent="0.25">
      <c r="B882" s="15"/>
      <c r="C882" s="15"/>
      <c r="D882" s="15"/>
      <c r="E882" s="2087" t="str">
        <f>Translations!$B$641</f>
        <v>Exporterad restgas</v>
      </c>
      <c r="F882" s="2087"/>
      <c r="G882" s="2087"/>
      <c r="H882" s="1606" t="str">
        <f>EUconst_TJpa</f>
        <v>TJ / år</v>
      </c>
      <c r="I882" s="739" t="str">
        <f>[1]K_Summary!I872</f>
        <v/>
      </c>
      <c r="J882" s="739" t="str">
        <f>[1]K_Summary!J872</f>
        <v/>
      </c>
      <c r="K882" s="739" t="str">
        <f>[1]K_Summary!K872</f>
        <v/>
      </c>
      <c r="L882" s="739" t="str">
        <f>[1]K_Summary!L872</f>
        <v/>
      </c>
      <c r="M882" s="739" t="str">
        <f>[1]K_Summary!M872</f>
        <v/>
      </c>
      <c r="N882" s="623"/>
    </row>
    <row r="883" spans="2:14" ht="12.75" customHeight="1" x14ac:dyDescent="0.25">
      <c r="B883" s="15"/>
      <c r="C883" s="15"/>
      <c r="D883" s="15"/>
      <c r="E883" s="2088" t="str">
        <f>Translations!$B$642</f>
        <v>Särskild emissionsfaktor (exporterad restgas)</v>
      </c>
      <c r="F883" s="2088"/>
      <c r="G883" s="2088"/>
      <c r="H883" s="624" t="str">
        <f>EUconst_tCO2pTJ</f>
        <v>t CO2 / TJ</v>
      </c>
      <c r="I883" s="740" t="str">
        <f>[1]K_Summary!I873</f>
        <v/>
      </c>
      <c r="J883" s="740" t="str">
        <f>[1]K_Summary!J873</f>
        <v/>
      </c>
      <c r="K883" s="740" t="str">
        <f>[1]K_Summary!K873</f>
        <v/>
      </c>
      <c r="L883" s="740" t="str">
        <f>[1]K_Summary!L873</f>
        <v/>
      </c>
      <c r="M883" s="740" t="str">
        <f>[1]K_Summary!M873</f>
        <v/>
      </c>
      <c r="N883" s="623"/>
    </row>
    <row r="884" spans="2:14" ht="5.15" customHeight="1" x14ac:dyDescent="0.25">
      <c r="B884" s="15"/>
      <c r="C884" s="15"/>
      <c r="D884" s="15"/>
      <c r="E884" s="416"/>
      <c r="F884" s="416"/>
      <c r="G884" s="416"/>
      <c r="H884" s="416"/>
      <c r="I884" s="741"/>
      <c r="J884" s="741"/>
      <c r="K884" s="741"/>
      <c r="L884" s="741"/>
      <c r="M884" s="741"/>
      <c r="N884" s="623"/>
    </row>
    <row r="885" spans="2:14" ht="12.75" customHeight="1" x14ac:dyDescent="0.25">
      <c r="B885" s="15"/>
      <c r="C885" s="15"/>
      <c r="D885" s="15"/>
      <c r="E885" s="2080" t="str">
        <f>Translations!$B$530</f>
        <v>Relevant elförbrukning</v>
      </c>
      <c r="F885" s="2080"/>
      <c r="G885" s="2080"/>
      <c r="H885" s="363" t="str">
        <f>EUconst_MWhpa</f>
        <v>MWh / år</v>
      </c>
      <c r="I885" s="742" t="str">
        <f>[1]K_Summary!I875</f>
        <v/>
      </c>
      <c r="J885" s="742" t="str">
        <f>[1]K_Summary!J875</f>
        <v/>
      </c>
      <c r="K885" s="742" t="str">
        <f>[1]K_Summary!K875</f>
        <v/>
      </c>
      <c r="L885" s="742" t="str">
        <f>[1]K_Summary!L875</f>
        <v/>
      </c>
      <c r="M885" s="742" t="str">
        <f>[1]K_Summary!M875</f>
        <v/>
      </c>
      <c r="N885" s="623"/>
    </row>
    <row r="886" spans="2:14" ht="12.75" customHeight="1" x14ac:dyDescent="0.25">
      <c r="B886" s="15"/>
      <c r="C886" s="15"/>
      <c r="D886" s="15"/>
      <c r="E886" s="2080" t="str">
        <f>Translations!$B$645</f>
        <v>Producerad el</v>
      </c>
      <c r="F886" s="2080"/>
      <c r="G886" s="2080"/>
      <c r="H886" s="363" t="str">
        <f>EUconst_MWhpa</f>
        <v>MWh / år</v>
      </c>
      <c r="I886" s="742" t="str">
        <f>[1]K_Summary!I876</f>
        <v/>
      </c>
      <c r="J886" s="742" t="str">
        <f>[1]K_Summary!J876</f>
        <v/>
      </c>
      <c r="K886" s="742" t="str">
        <f>[1]K_Summary!K876</f>
        <v/>
      </c>
      <c r="L886" s="742" t="str">
        <f>[1]K_Summary!L876</f>
        <v/>
      </c>
      <c r="M886" s="742" t="str">
        <f>[1]K_Summary!M876</f>
        <v/>
      </c>
      <c r="N886" s="623"/>
    </row>
    <row r="887" spans="2:14" ht="5.15" customHeight="1" x14ac:dyDescent="0.25">
      <c r="B887" s="15"/>
      <c r="C887" s="15"/>
      <c r="D887" s="15"/>
      <c r="E887" s="416"/>
      <c r="F887" s="416"/>
      <c r="G887" s="416"/>
      <c r="H887" s="416"/>
      <c r="I887" s="741"/>
      <c r="J887" s="741"/>
      <c r="K887" s="741"/>
      <c r="L887" s="741"/>
      <c r="M887" s="741"/>
      <c r="N887" s="623"/>
    </row>
    <row r="888" spans="2:14" ht="12.75" customHeight="1" x14ac:dyDescent="0.25">
      <c r="B888" s="15"/>
      <c r="C888" s="15"/>
      <c r="D888" s="15"/>
      <c r="E888" s="2080" t="str">
        <f>Translations!$B$646</f>
        <v>Total producerad massamängd</v>
      </c>
      <c r="F888" s="2080"/>
      <c r="G888" s="2080"/>
      <c r="H888" s="363" t="str">
        <f>Translations!$B$1117</f>
        <v>ton</v>
      </c>
      <c r="I888" s="742" t="str">
        <f>[1]K_Summary!I878</f>
        <v/>
      </c>
      <c r="J888" s="742" t="str">
        <f>[1]K_Summary!J878</f>
        <v/>
      </c>
      <c r="K888" s="742" t="str">
        <f>[1]K_Summary!K878</f>
        <v/>
      </c>
      <c r="L888" s="742" t="str">
        <f>[1]K_Summary!L878</f>
        <v/>
      </c>
      <c r="M888" s="742" t="str">
        <f>[1]K_Summary!M878</f>
        <v/>
      </c>
      <c r="N888" s="623"/>
    </row>
    <row r="889" spans="2:14" ht="5.15" customHeight="1" x14ac:dyDescent="0.25">
      <c r="B889" s="15"/>
      <c r="C889" s="15"/>
      <c r="D889" s="15"/>
      <c r="E889" s="416"/>
      <c r="F889" s="416"/>
      <c r="G889" s="416"/>
      <c r="H889" s="416"/>
      <c r="I889" s="741"/>
      <c r="J889" s="741"/>
      <c r="K889" s="741"/>
      <c r="L889" s="741"/>
      <c r="M889" s="741"/>
      <c r="N889" s="623"/>
    </row>
    <row r="890" spans="2:14" x14ac:dyDescent="0.25">
      <c r="B890" s="15"/>
      <c r="C890" s="15"/>
      <c r="D890" s="15"/>
      <c r="E890" s="899" t="str">
        <f>Translations!$B$1057</f>
        <v>Mellanimport:</v>
      </c>
      <c r="F890" s="416"/>
      <c r="G890" s="416"/>
      <c r="H890" s="416"/>
      <c r="I890" s="741"/>
      <c r="J890" s="741"/>
      <c r="K890" s="741"/>
      <c r="L890" s="741"/>
      <c r="M890" s="741"/>
      <c r="N890" s="623"/>
    </row>
    <row r="891" spans="2:14" x14ac:dyDescent="0.25">
      <c r="B891" s="15"/>
      <c r="C891" s="15"/>
      <c r="D891" s="15"/>
      <c r="E891" s="2089" t="str">
        <f>[1]K_Summary!E881</f>
        <v/>
      </c>
      <c r="F891" s="2089"/>
      <c r="G891" s="2089"/>
      <c r="H891" s="363" t="str">
        <f>Translations!$B$1117</f>
        <v>ton</v>
      </c>
      <c r="I891" s="742" t="str">
        <f>[1]K_Summary!I881</f>
        <v/>
      </c>
      <c r="J891" s="742" t="str">
        <f>[1]K_Summary!J881</f>
        <v/>
      </c>
      <c r="K891" s="742" t="str">
        <f>[1]K_Summary!K881</f>
        <v/>
      </c>
      <c r="L891" s="742" t="str">
        <f>[1]K_Summary!L881</f>
        <v/>
      </c>
      <c r="M891" s="742" t="str">
        <f>[1]K_Summary!M881</f>
        <v/>
      </c>
      <c r="N891" s="623"/>
    </row>
    <row r="892" spans="2:14" x14ac:dyDescent="0.25">
      <c r="B892" s="15"/>
      <c r="C892" s="15"/>
      <c r="D892" s="15"/>
      <c r="E892" s="2089" t="str">
        <f>[1]K_Summary!E882</f>
        <v/>
      </c>
      <c r="F892" s="2089"/>
      <c r="G892" s="2089"/>
      <c r="H892" s="363" t="str">
        <f>Translations!$B$1117</f>
        <v>ton</v>
      </c>
      <c r="I892" s="742" t="str">
        <f>[1]K_Summary!I882</f>
        <v/>
      </c>
      <c r="J892" s="742" t="str">
        <f>[1]K_Summary!J882</f>
        <v/>
      </c>
      <c r="K892" s="742" t="str">
        <f>[1]K_Summary!K882</f>
        <v/>
      </c>
      <c r="L892" s="742" t="str">
        <f>[1]K_Summary!L882</f>
        <v/>
      </c>
      <c r="M892" s="742" t="str">
        <f>[1]K_Summary!M882</f>
        <v/>
      </c>
      <c r="N892" s="623"/>
    </row>
    <row r="893" spans="2:14" x14ac:dyDescent="0.25">
      <c r="B893" s="15"/>
      <c r="C893" s="15"/>
      <c r="D893" s="15"/>
      <c r="E893" s="899" t="str">
        <f>Translations!$B$1058</f>
        <v>Mellanexport:</v>
      </c>
      <c r="F893" s="416"/>
      <c r="G893" s="416"/>
      <c r="H893" s="416"/>
      <c r="I893" s="741"/>
      <c r="J893" s="741"/>
      <c r="K893" s="741"/>
      <c r="L893" s="741"/>
      <c r="M893" s="741"/>
      <c r="N893" s="623"/>
    </row>
    <row r="894" spans="2:14" x14ac:dyDescent="0.25">
      <c r="B894" s="15"/>
      <c r="C894" s="15"/>
      <c r="D894" s="15"/>
      <c r="E894" s="2089" t="str">
        <f>[1]K_Summary!E884</f>
        <v/>
      </c>
      <c r="F894" s="2089"/>
      <c r="G894" s="2089"/>
      <c r="H894" s="363" t="str">
        <f>Translations!$B$1117</f>
        <v>ton</v>
      </c>
      <c r="I894" s="742" t="str">
        <f>[1]K_Summary!I884</f>
        <v/>
      </c>
      <c r="J894" s="742" t="str">
        <f>[1]K_Summary!J884</f>
        <v/>
      </c>
      <c r="K894" s="742" t="str">
        <f>[1]K_Summary!K884</f>
        <v/>
      </c>
      <c r="L894" s="742" t="str">
        <f>[1]K_Summary!L884</f>
        <v/>
      </c>
      <c r="M894" s="742" t="str">
        <f>[1]K_Summary!M884</f>
        <v/>
      </c>
      <c r="N894" s="623"/>
    </row>
    <row r="895" spans="2:14" x14ac:dyDescent="0.25">
      <c r="B895" s="15"/>
      <c r="C895" s="15"/>
      <c r="D895" s="15"/>
      <c r="E895" s="2089" t="str">
        <f>[1]K_Summary!E885</f>
        <v/>
      </c>
      <c r="F895" s="2089"/>
      <c r="G895" s="2089"/>
      <c r="H895" s="363" t="str">
        <f>Translations!$B$1117</f>
        <v>ton</v>
      </c>
      <c r="I895" s="742" t="str">
        <f>[1]K_Summary!I885</f>
        <v/>
      </c>
      <c r="J895" s="742" t="str">
        <f>[1]K_Summary!J885</f>
        <v/>
      </c>
      <c r="K895" s="742" t="str">
        <f>[1]K_Summary!K885</f>
        <v/>
      </c>
      <c r="L895" s="742" t="str">
        <f>[1]K_Summary!L885</f>
        <v/>
      </c>
      <c r="M895" s="742" t="str">
        <f>[1]K_Summary!M885</f>
        <v/>
      </c>
      <c r="N895" s="623"/>
    </row>
    <row r="896" spans="2:14" ht="12.75" customHeight="1" x14ac:dyDescent="0.25">
      <c r="B896" s="15"/>
      <c r="C896" s="15"/>
      <c r="D896" s="15"/>
      <c r="E896" s="416"/>
      <c r="F896" s="416"/>
      <c r="G896" s="416"/>
      <c r="H896" s="416"/>
      <c r="I896" s="623"/>
      <c r="J896" s="623"/>
      <c r="K896" s="623"/>
      <c r="L896" s="623"/>
      <c r="M896" s="623"/>
      <c r="N896" s="623"/>
    </row>
    <row r="897" spans="2:16" ht="5.15" customHeight="1" thickBot="1" x14ac:dyDescent="0.3">
      <c r="B897" s="15"/>
      <c r="C897" s="15"/>
      <c r="D897" s="15"/>
      <c r="E897" s="748"/>
      <c r="F897" s="534"/>
      <c r="G897" s="534"/>
      <c r="H897" s="534"/>
      <c r="I897" s="534"/>
      <c r="J897" s="534"/>
      <c r="K897" s="534"/>
      <c r="L897" s="534"/>
      <c r="M897" s="534"/>
      <c r="N897" s="534"/>
    </row>
    <row r="898" spans="2:16" ht="5.15" customHeight="1" x14ac:dyDescent="0.25">
      <c r="B898" s="3"/>
      <c r="C898" s="230"/>
      <c r="D898" s="230"/>
      <c r="E898" s="230"/>
      <c r="F898" s="230"/>
      <c r="G898" s="230"/>
      <c r="H898" s="230"/>
      <c r="I898" s="230"/>
      <c r="J898" s="230"/>
      <c r="K898" s="230"/>
      <c r="L898" s="230"/>
      <c r="M898" s="230"/>
      <c r="N898" s="230"/>
    </row>
    <row r="899" spans="2:16" ht="15" customHeight="1" x14ac:dyDescent="0.3">
      <c r="B899" s="15"/>
      <c r="C899" s="17">
        <v>8</v>
      </c>
      <c r="D899" s="2053" t="str">
        <f>Euconst_ProdBMSub &amp; " " &amp; C899 &amp; ":"</f>
        <v>Delanläggning med produktriktmärke 8:</v>
      </c>
      <c r="E899" s="2053"/>
      <c r="F899" s="2053"/>
      <c r="G899" s="2053"/>
      <c r="H899" s="2081"/>
      <c r="I899" s="2090" t="str">
        <f>[1]K_Summary!I889</f>
        <v/>
      </c>
      <c r="J899" s="2091"/>
      <c r="K899" s="2091"/>
      <c r="L899" s="2091"/>
      <c r="M899" s="2091"/>
      <c r="N899" s="2092"/>
    </row>
    <row r="900" spans="2:16" ht="5.15" customHeight="1" thickBot="1" x14ac:dyDescent="0.3">
      <c r="B900" s="15"/>
      <c r="C900" s="15"/>
      <c r="D900" s="15"/>
      <c r="E900" s="15"/>
      <c r="F900" s="15"/>
      <c r="G900" s="15"/>
      <c r="H900" s="15"/>
      <c r="I900" s="15"/>
      <c r="J900" s="15"/>
      <c r="K900" s="15"/>
      <c r="L900" s="15"/>
      <c r="M900" s="15"/>
      <c r="N900" s="15"/>
    </row>
    <row r="901" spans="2:16" x14ac:dyDescent="0.25">
      <c r="B901" s="15"/>
      <c r="C901" s="15"/>
      <c r="D901" s="15"/>
      <c r="E901" s="15"/>
      <c r="F901" s="15"/>
      <c r="G901" s="15"/>
      <c r="H901" s="506" t="str">
        <f>Translations!$B$1022</f>
        <v>KL-risk</v>
      </c>
      <c r="I901" s="507" t="s">
        <v>1380</v>
      </c>
      <c r="J901" s="507" t="str">
        <f>Translations!$B$1026</f>
        <v>I drift</v>
      </c>
      <c r="K901" s="507" t="str">
        <f>Translations!$B$1024</f>
        <v>RM-nummer</v>
      </c>
      <c r="L901" s="612" t="str">
        <f>Translations!$B$1030</f>
        <v>15(7).3?</v>
      </c>
      <c r="M901" s="786" t="str">
        <f>Translations!$B$1052</f>
        <v>RM-värde (min./max./faktiskt)</v>
      </c>
      <c r="N901" s="787"/>
    </row>
    <row r="902" spans="2:16" x14ac:dyDescent="0.25">
      <c r="B902" s="15"/>
      <c r="C902" s="15"/>
      <c r="D902" s="15"/>
      <c r="E902" s="508" t="str">
        <f>[1]K_Summary!E892</f>
        <v/>
      </c>
      <c r="F902" s="509"/>
      <c r="G902" s="464"/>
      <c r="H902" s="510" t="str">
        <f>[1]K_Summary!H892</f>
        <v>N.A.</v>
      </c>
      <c r="I902" s="511" t="str">
        <f>[1]K_Summary!I892</f>
        <v/>
      </c>
      <c r="J902" s="642" t="str">
        <f>[1]K_Summary!J892</f>
        <v>N.A.</v>
      </c>
      <c r="K902" s="421" t="str">
        <f>[1]K_Summary!K892</f>
        <v>N.A.</v>
      </c>
      <c r="L902" s="1598" t="str">
        <f>[1]K_Summary!L892</f>
        <v/>
      </c>
      <c r="M902" s="1599" t="str">
        <f>[1]K_Summary!M892</f>
        <v>N.A.</v>
      </c>
      <c r="N902" s="788" t="str">
        <f>EUconst_EUA &amp; "/" &amp; H907</f>
        <v>EUA/tonnes</v>
      </c>
    </row>
    <row r="903" spans="2:16" x14ac:dyDescent="0.25">
      <c r="B903" s="15"/>
      <c r="C903" s="15"/>
      <c r="D903" s="15"/>
      <c r="E903" s="534"/>
      <c r="F903" s="534"/>
      <c r="G903" s="507" t="str">
        <f>Translations!$B$1036</f>
        <v>Värme utanför ETS</v>
      </c>
      <c r="H903" s="612" t="str">
        <f>Translations!$B$1038</f>
        <v>Wgfacklad</v>
      </c>
      <c r="I903" s="507" t="s">
        <v>1526</v>
      </c>
      <c r="J903" s="507" t="s">
        <v>1527</v>
      </c>
      <c r="K903" s="507" t="s">
        <v>1528</v>
      </c>
      <c r="L903" s="612" t="str">
        <f>Translations!$B$1032</f>
        <v>15(7).3 HAL</v>
      </c>
      <c r="M903" s="1599" t="str">
        <f>[1]K_Summary!M893</f>
        <v>N.A.</v>
      </c>
      <c r="N903" s="788" t="str">
        <f>EUconst_EUA &amp; "/" &amp; H907</f>
        <v>EUA/tonnes</v>
      </c>
    </row>
    <row r="904" spans="2:16" ht="13" thickBot="1" x14ac:dyDescent="0.3">
      <c r="B904" s="15"/>
      <c r="C904" s="15"/>
      <c r="D904" s="15"/>
      <c r="E904" s="1293" t="str">
        <f>Translations!$B$1053</f>
        <v>Särskilda faktorer:</v>
      </c>
      <c r="F904" s="1600"/>
      <c r="G904" s="421" t="str">
        <f>[1]K_Summary!G894</f>
        <v/>
      </c>
      <c r="H904" s="641" t="str">
        <f>[1]K_Summary!H894</f>
        <v/>
      </c>
      <c r="I904" s="1601">
        <f>[1]K_Summary!I894</f>
        <v>1</v>
      </c>
      <c r="J904" s="421" t="str">
        <f>[1]K_Summary!J894</f>
        <v/>
      </c>
      <c r="K904" s="662" t="str">
        <f>[1]K_Summary!K894</f>
        <v/>
      </c>
      <c r="L904" s="641" t="str">
        <f>[1]K_Summary!L894</f>
        <v/>
      </c>
      <c r="M904" s="1602" t="str">
        <f>[1]K_Summary!M894</f>
        <v>N.A.</v>
      </c>
      <c r="N904" s="789" t="str">
        <f>EUconst_EUA &amp; "/" &amp; H907</f>
        <v>EUA/tonnes</v>
      </c>
      <c r="P904" s="1903" t="b">
        <f>IF(ISNUMBER(K902),INDEX(EUconst_BMlistBMvalues,K902)&lt;&gt;M904,FALSE)</f>
        <v>0</v>
      </c>
    </row>
    <row r="905" spans="2:16" ht="5.15" customHeight="1" x14ac:dyDescent="0.25">
      <c r="B905" s="15"/>
      <c r="C905" s="15"/>
      <c r="D905" s="15"/>
      <c r="E905" s="15"/>
      <c r="F905" s="15"/>
      <c r="G905" s="15"/>
      <c r="H905" s="15"/>
      <c r="I905" s="15"/>
      <c r="J905" s="15"/>
      <c r="K905" s="15"/>
      <c r="L905" s="15"/>
      <c r="M905" s="15"/>
      <c r="N905" s="15"/>
    </row>
    <row r="906" spans="2:16" ht="13" x14ac:dyDescent="0.25">
      <c r="B906" s="15"/>
      <c r="C906" s="15"/>
      <c r="D906" s="15"/>
      <c r="E906" s="188"/>
      <c r="F906" s="188"/>
      <c r="G906" s="512"/>
      <c r="H906" s="1603" t="str">
        <f>Translations!$B$1014</f>
        <v>Enhet</v>
      </c>
      <c r="I906" s="350">
        <v>2014</v>
      </c>
      <c r="J906" s="350">
        <v>2015</v>
      </c>
      <c r="K906" s="350">
        <v>2016</v>
      </c>
      <c r="L906" s="350">
        <v>2017</v>
      </c>
      <c r="M906" s="350">
        <v>2018</v>
      </c>
      <c r="N906" s="15"/>
    </row>
    <row r="907" spans="2:16" x14ac:dyDescent="0.25">
      <c r="B907" s="15"/>
      <c r="C907" s="15"/>
      <c r="D907" s="15"/>
      <c r="E907" s="513" t="str">
        <f>Translations!$B$1054</f>
        <v>Rapporterad HAL (historisk verksamhetsnivå)</v>
      </c>
      <c r="F907" s="514"/>
      <c r="G907" s="515"/>
      <c r="H907" s="510" t="str">
        <f>[1]K_Summary!H897</f>
        <v>tonnes</v>
      </c>
      <c r="I907" s="421" t="str">
        <f>[1]K_Summary!I897</f>
        <v/>
      </c>
      <c r="J907" s="421" t="str">
        <f>[1]K_Summary!J897</f>
        <v/>
      </c>
      <c r="K907" s="421" t="str">
        <f>[1]K_Summary!K897</f>
        <v/>
      </c>
      <c r="L907" s="421" t="str">
        <f>[1]K_Summary!L897</f>
        <v/>
      </c>
      <c r="M907" s="421" t="str">
        <f>[1]K_Summary!M897</f>
        <v/>
      </c>
      <c r="N907" s="507" t="str">
        <f>Translations!$B$1042</f>
        <v>Genomsnitt</v>
      </c>
    </row>
    <row r="908" spans="2:16" x14ac:dyDescent="0.25">
      <c r="B908" s="15"/>
      <c r="C908" s="15"/>
      <c r="D908" s="15"/>
      <c r="E908" s="513" t="str">
        <f>Translations!$B$1055</f>
        <v>Värden som används för HAL-beräkning:</v>
      </c>
      <c r="F908" s="514"/>
      <c r="G908" s="515"/>
      <c r="H908" s="510" t="str">
        <f>[1]K_Summary!H898</f>
        <v>tonnes</v>
      </c>
      <c r="I908" s="421" t="str">
        <f>[1]K_Summary!I898</f>
        <v/>
      </c>
      <c r="J908" s="421" t="str">
        <f>[1]K_Summary!J898</f>
        <v/>
      </c>
      <c r="K908" s="421" t="str">
        <f>[1]K_Summary!K898</f>
        <v/>
      </c>
      <c r="L908" s="421" t="str">
        <f>[1]K_Summary!L898</f>
        <v/>
      </c>
      <c r="M908" s="421" t="str">
        <f>[1]K_Summary!M898</f>
        <v/>
      </c>
      <c r="N908" s="421" t="str">
        <f>[1]K_Summary!N898</f>
        <v/>
      </c>
    </row>
    <row r="909" spans="2:16" ht="5.15" customHeight="1" x14ac:dyDescent="0.25">
      <c r="B909" s="15"/>
      <c r="C909" s="15"/>
      <c r="D909" s="15"/>
      <c r="E909" s="1604"/>
      <c r="F909" s="1604"/>
      <c r="G909" s="1604"/>
      <c r="H909" s="1604"/>
      <c r="I909" s="1604"/>
      <c r="J909" s="1604"/>
      <c r="K909" s="1604"/>
      <c r="L909" s="1604"/>
      <c r="M909" s="534"/>
      <c r="N909" s="534"/>
    </row>
    <row r="910" spans="2:16" ht="13" thickBot="1" x14ac:dyDescent="0.3">
      <c r="B910" s="15"/>
      <c r="C910" s="534"/>
      <c r="D910" s="15"/>
      <c r="E910" s="1604"/>
      <c r="F910" s="617" t="s">
        <v>1385</v>
      </c>
      <c r="G910" s="618"/>
      <c r="H910" s="534"/>
      <c r="I910" s="617" t="str">
        <f>Translations!$B$1044</f>
        <v>Prel. tilldelning år 1 (min.)</v>
      </c>
      <c r="J910" s="618"/>
      <c r="K910" s="617" t="str">
        <f>Translations!$B$1047</f>
        <v>Prel. tilldelning år 1 (max.)</v>
      </c>
      <c r="L910" s="618"/>
      <c r="M910" s="617" t="str">
        <f>Translations!$B$1049</f>
        <v>Prel. tilldelning år 1 (faktisk)</v>
      </c>
      <c r="N910" s="618"/>
    </row>
    <row r="911" spans="2:16" ht="13.5" thickBot="1" x14ac:dyDescent="0.3">
      <c r="B911" s="15"/>
      <c r="C911" s="534"/>
      <c r="D911" s="534"/>
      <c r="E911" s="1604"/>
      <c r="F911" s="517" t="str">
        <f>[1]K_Summary!F901</f>
        <v/>
      </c>
      <c r="G911" s="1605" t="str">
        <f>[1]K_Summary!G901</f>
        <v>tonnes / year</v>
      </c>
      <c r="H911" s="534"/>
      <c r="I911" s="616" t="str">
        <f>[1]K_Summary!I901</f>
        <v/>
      </c>
      <c r="J911" s="709" t="str">
        <f>EUconst_EUApa</f>
        <v>EUA / år</v>
      </c>
      <c r="K911" s="616" t="str">
        <f>[1]K_Summary!K901</f>
        <v/>
      </c>
      <c r="L911" s="709" t="str">
        <f>EUconst_EUApa</f>
        <v>EUA / år</v>
      </c>
      <c r="M911" s="616" t="str">
        <f>[1]K_Summary!M901</f>
        <v/>
      </c>
      <c r="N911" s="709" t="str">
        <f>EUconst_EUApa</f>
        <v>EUA / år</v>
      </c>
    </row>
    <row r="912" spans="2:16" ht="5.15" customHeight="1" x14ac:dyDescent="0.25">
      <c r="B912" s="15"/>
      <c r="C912" s="15"/>
      <c r="D912" s="534"/>
      <c r="E912" s="289"/>
      <c r="F912" s="15"/>
      <c r="G912" s="15"/>
      <c r="H912" s="15"/>
      <c r="I912" s="15"/>
      <c r="J912" s="15"/>
      <c r="K912" s="15"/>
      <c r="L912" s="15"/>
      <c r="M912" s="15"/>
      <c r="N912" s="15"/>
    </row>
    <row r="913" spans="2:14" ht="12.75" customHeight="1" x14ac:dyDescent="0.25">
      <c r="B913" s="15"/>
      <c r="C913" s="15"/>
      <c r="D913" s="15"/>
      <c r="E913" s="416"/>
      <c r="F913" s="623"/>
      <c r="G913" s="623"/>
      <c r="H913" s="623"/>
      <c r="I913" s="623"/>
      <c r="J913" s="623"/>
      <c r="K913" s="623"/>
      <c r="L913" s="623"/>
      <c r="M913" s="623"/>
      <c r="N913" s="623"/>
    </row>
    <row r="914" spans="2:14" ht="13.5" thickBot="1" x14ac:dyDescent="0.3">
      <c r="B914" s="15"/>
      <c r="C914" s="15"/>
      <c r="D914" s="15"/>
      <c r="E914" s="416"/>
      <c r="F914" s="623"/>
      <c r="G914" s="623"/>
      <c r="H914" s="415" t="str">
        <f>Translations!$B$1014</f>
        <v>Enhet</v>
      </c>
      <c r="I914" s="744">
        <v>2014</v>
      </c>
      <c r="J914" s="362">
        <v>2015</v>
      </c>
      <c r="K914" s="362">
        <v>2016</v>
      </c>
      <c r="L914" s="362">
        <v>2017</v>
      </c>
      <c r="M914" s="362">
        <v>2018</v>
      </c>
      <c r="N914" s="623"/>
    </row>
    <row r="915" spans="2:14" ht="13.5" customHeight="1" thickBot="1" x14ac:dyDescent="0.3">
      <c r="B915" s="15"/>
      <c r="C915" s="15"/>
      <c r="D915" s="15"/>
      <c r="E915" s="2074" t="str">
        <f>Translations!$B$1056</f>
        <v>Totala tillskrivna utsläpp</v>
      </c>
      <c r="F915" s="2074"/>
      <c r="G915" s="2074"/>
      <c r="H915" s="710" t="str">
        <f>EUconst_tCO2epa</f>
        <v>t CO2e/år</v>
      </c>
      <c r="I915" s="735" t="str">
        <f>[1]K_Summary!I905</f>
        <v/>
      </c>
      <c r="J915" s="736" t="str">
        <f>[1]K_Summary!J905</f>
        <v/>
      </c>
      <c r="K915" s="736" t="str">
        <f>[1]K_Summary!K905</f>
        <v/>
      </c>
      <c r="L915" s="736" t="str">
        <f>[1]K_Summary!L905</f>
        <v/>
      </c>
      <c r="M915" s="737" t="str">
        <f>[1]K_Summary!M905</f>
        <v/>
      </c>
      <c r="N915" s="623"/>
    </row>
    <row r="916" spans="2:14" ht="5.15" customHeight="1" x14ac:dyDescent="0.25">
      <c r="B916" s="15"/>
      <c r="C916" s="15"/>
      <c r="D916" s="15"/>
      <c r="E916" s="416"/>
      <c r="F916" s="416"/>
      <c r="G916" s="416"/>
      <c r="H916" s="416"/>
      <c r="I916" s="738"/>
      <c r="J916" s="738"/>
      <c r="K916" s="738"/>
      <c r="L916" s="738"/>
      <c r="M916" s="738"/>
      <c r="N916" s="416"/>
    </row>
    <row r="917" spans="2:14" x14ac:dyDescent="0.25">
      <c r="B917" s="15"/>
      <c r="C917" s="15"/>
      <c r="D917" s="15"/>
      <c r="E917" s="2087" t="str">
        <f>Translations!$B$571</f>
        <v>Insatsbränsle</v>
      </c>
      <c r="F917" s="2087"/>
      <c r="G917" s="2087"/>
      <c r="H917" s="1606" t="str">
        <f>EUconst_TJpa</f>
        <v>TJ / år</v>
      </c>
      <c r="I917" s="739" t="str">
        <f>[1]K_Summary!I907</f>
        <v/>
      </c>
      <c r="J917" s="739" t="str">
        <f>[1]K_Summary!J907</f>
        <v/>
      </c>
      <c r="K917" s="739" t="str">
        <f>[1]K_Summary!K907</f>
        <v/>
      </c>
      <c r="L917" s="739" t="str">
        <f>[1]K_Summary!L907</f>
        <v/>
      </c>
      <c r="M917" s="739" t="str">
        <f>[1]K_Summary!M907</f>
        <v/>
      </c>
      <c r="N917" s="623"/>
    </row>
    <row r="918" spans="2:14" ht="12.75" customHeight="1" x14ac:dyDescent="0.25">
      <c r="B918" s="15"/>
      <c r="C918" s="15"/>
      <c r="D918" s="15"/>
      <c r="E918" s="2088" t="str">
        <f>Translations!$B$572</f>
        <v>Viktad emissionsfaktor</v>
      </c>
      <c r="F918" s="2088"/>
      <c r="G918" s="2088"/>
      <c r="H918" s="624" t="str">
        <f>EUconst_tCO2pTJ</f>
        <v>t CO2 / TJ</v>
      </c>
      <c r="I918" s="740" t="str">
        <f>[1]K_Summary!I908</f>
        <v/>
      </c>
      <c r="J918" s="740" t="str">
        <f>[1]K_Summary!J908</f>
        <v/>
      </c>
      <c r="K918" s="740" t="str">
        <f>[1]K_Summary!K908</f>
        <v/>
      </c>
      <c r="L918" s="740" t="str">
        <f>[1]K_Summary!L908</f>
        <v/>
      </c>
      <c r="M918" s="740" t="str">
        <f>[1]K_Summary!M908</f>
        <v/>
      </c>
      <c r="N918" s="623"/>
    </row>
    <row r="919" spans="2:14" ht="5.15" customHeight="1" x14ac:dyDescent="0.25">
      <c r="B919" s="15"/>
      <c r="C919" s="15"/>
      <c r="D919" s="534"/>
      <c r="E919" s="416"/>
      <c r="F919" s="623"/>
      <c r="G919" s="623"/>
      <c r="H919" s="623"/>
      <c r="I919" s="741"/>
      <c r="J919" s="741"/>
      <c r="K919" s="741"/>
      <c r="L919" s="741"/>
      <c r="M919" s="741"/>
      <c r="N919" s="623"/>
    </row>
    <row r="920" spans="2:14" ht="12.75" customHeight="1" x14ac:dyDescent="0.25">
      <c r="B920" s="15"/>
      <c r="C920" s="15"/>
      <c r="D920" s="534"/>
      <c r="E920" s="2080" t="str">
        <f>Translations!$B$528</f>
        <v>Direkta utsläpp</v>
      </c>
      <c r="F920" s="2080"/>
      <c r="G920" s="2080"/>
      <c r="H920" s="363" t="str">
        <f>EUconst_tCO2pa</f>
        <v>t CO2 / år</v>
      </c>
      <c r="I920" s="742" t="str">
        <f>[1]K_Summary!I910</f>
        <v/>
      </c>
      <c r="J920" s="742" t="str">
        <f>[1]K_Summary!J910</f>
        <v/>
      </c>
      <c r="K920" s="742" t="str">
        <f>[1]K_Summary!K910</f>
        <v/>
      </c>
      <c r="L920" s="742" t="str">
        <f>[1]K_Summary!L910</f>
        <v/>
      </c>
      <c r="M920" s="742" t="str">
        <f>[1]K_Summary!M910</f>
        <v/>
      </c>
      <c r="N920" s="623"/>
    </row>
    <row r="921" spans="2:14" ht="12.75" customHeight="1" x14ac:dyDescent="0.25">
      <c r="B921" s="15"/>
      <c r="C921" s="15"/>
      <c r="D921" s="534"/>
      <c r="E921" s="2080" t="str">
        <f>Translations!$B$582</f>
        <v>Andra bränsle-/materialmängder – 1</v>
      </c>
      <c r="F921" s="2080"/>
      <c r="G921" s="2080"/>
      <c r="H921" s="363" t="str">
        <f>EUconst_tCO2pa</f>
        <v>t CO2 / år</v>
      </c>
      <c r="I921" s="742" t="str">
        <f>[1]K_Summary!I911</f>
        <v/>
      </c>
      <c r="J921" s="742" t="str">
        <f>[1]K_Summary!J911</f>
        <v/>
      </c>
      <c r="K921" s="742" t="str">
        <f>[1]K_Summary!K911</f>
        <v/>
      </c>
      <c r="L921" s="742" t="str">
        <f>[1]K_Summary!L911</f>
        <v/>
      </c>
      <c r="M921" s="742" t="str">
        <f>[1]K_Summary!M911</f>
        <v/>
      </c>
      <c r="N921" s="623"/>
    </row>
    <row r="922" spans="2:14" ht="12.75" customHeight="1" x14ac:dyDescent="0.25">
      <c r="B922" s="15"/>
      <c r="C922" s="15"/>
      <c r="D922" s="534"/>
      <c r="E922" s="2080" t="str">
        <f>Translations!$B$592</f>
        <v>Andra bränsle-/materialmängder – 2</v>
      </c>
      <c r="F922" s="2080"/>
      <c r="G922" s="2080"/>
      <c r="H922" s="363" t="str">
        <f>EUconst_tCO2pa</f>
        <v>t CO2 / år</v>
      </c>
      <c r="I922" s="742" t="str">
        <f>[1]K_Summary!I912</f>
        <v/>
      </c>
      <c r="J922" s="742" t="str">
        <f>[1]K_Summary!J912</f>
        <v/>
      </c>
      <c r="K922" s="742" t="str">
        <f>[1]K_Summary!K912</f>
        <v/>
      </c>
      <c r="L922" s="742" t="str">
        <f>[1]K_Summary!L912</f>
        <v/>
      </c>
      <c r="M922" s="742" t="str">
        <f>[1]K_Summary!M912</f>
        <v/>
      </c>
      <c r="N922" s="623"/>
    </row>
    <row r="923" spans="2:14" ht="12.75" customHeight="1" x14ac:dyDescent="0.25">
      <c r="B923" s="15"/>
      <c r="C923" s="15"/>
      <c r="D923" s="15"/>
      <c r="E923" s="2080" t="str">
        <f>Translations!$B$596</f>
        <v>Importerade eller exporterade växthusgaser</v>
      </c>
      <c r="F923" s="2080"/>
      <c r="G923" s="2080"/>
      <c r="H923" s="363" t="str">
        <f>EUconst_tCO2epa</f>
        <v>t CO2e/år</v>
      </c>
      <c r="I923" s="742" t="str">
        <f>[1]K_Summary!I913</f>
        <v/>
      </c>
      <c r="J923" s="742" t="str">
        <f>[1]K_Summary!J913</f>
        <v/>
      </c>
      <c r="K923" s="742" t="str">
        <f>[1]K_Summary!K913</f>
        <v/>
      </c>
      <c r="L923" s="742" t="str">
        <f>[1]K_Summary!L913</f>
        <v/>
      </c>
      <c r="M923" s="742" t="str">
        <f>[1]K_Summary!M913</f>
        <v/>
      </c>
      <c r="N923" s="623"/>
    </row>
    <row r="924" spans="2:14" ht="5.15" customHeight="1" x14ac:dyDescent="0.25">
      <c r="B924" s="15"/>
      <c r="C924" s="15"/>
      <c r="D924" s="15"/>
      <c r="E924" s="623"/>
      <c r="F924" s="623"/>
      <c r="G924" s="623"/>
      <c r="H924" s="623"/>
      <c r="I924" s="741"/>
      <c r="J924" s="741"/>
      <c r="K924" s="741"/>
      <c r="L924" s="741"/>
      <c r="M924" s="741"/>
      <c r="N924" s="623"/>
    </row>
    <row r="925" spans="2:14" ht="12.75" customHeight="1" x14ac:dyDescent="0.25">
      <c r="B925" s="15"/>
      <c r="C925" s="15"/>
      <c r="D925" s="15"/>
      <c r="E925" s="2087" t="str">
        <f>Translations!$B$604</f>
        <v>Nettomängd importerad värme</v>
      </c>
      <c r="F925" s="2087"/>
      <c r="G925" s="2087"/>
      <c r="H925" s="1606" t="str">
        <f>EUconst_TJpa</f>
        <v>TJ / år</v>
      </c>
      <c r="I925" s="739" t="str">
        <f>[1]K_Summary!I915</f>
        <v/>
      </c>
      <c r="J925" s="739" t="str">
        <f>[1]K_Summary!J915</f>
        <v/>
      </c>
      <c r="K925" s="739" t="str">
        <f>[1]K_Summary!K915</f>
        <v/>
      </c>
      <c r="L925" s="739" t="str">
        <f>[1]K_Summary!L915</f>
        <v/>
      </c>
      <c r="M925" s="739" t="str">
        <f>[1]K_Summary!M915</f>
        <v/>
      </c>
      <c r="N925" s="623"/>
    </row>
    <row r="926" spans="2:14" ht="12.75" customHeight="1" x14ac:dyDescent="0.25">
      <c r="B926" s="15"/>
      <c r="C926" s="15"/>
      <c r="D926" s="15"/>
      <c r="E926" s="2088" t="str">
        <f>Translations!$B$605</f>
        <v>Särskild emissionsfaktor (importerad värme)</v>
      </c>
      <c r="F926" s="2088"/>
      <c r="G926" s="2088"/>
      <c r="H926" s="624" t="str">
        <f>EUconst_tCO2pTJ</f>
        <v>t CO2 / TJ</v>
      </c>
      <c r="I926" s="740" t="str">
        <f>[1]K_Summary!I916</f>
        <v/>
      </c>
      <c r="J926" s="740" t="str">
        <f>[1]K_Summary!J916</f>
        <v/>
      </c>
      <c r="K926" s="740" t="str">
        <f>[1]K_Summary!K916</f>
        <v/>
      </c>
      <c r="L926" s="740" t="str">
        <f>[1]K_Summary!L916</f>
        <v/>
      </c>
      <c r="M926" s="740" t="str">
        <f>[1]K_Summary!M916</f>
        <v/>
      </c>
      <c r="N926" s="623"/>
    </row>
    <row r="927" spans="2:14" ht="5.15" customHeight="1" x14ac:dyDescent="0.25">
      <c r="B927" s="15"/>
      <c r="C927" s="15"/>
      <c r="D927" s="15"/>
      <c r="E927" s="416"/>
      <c r="F927" s="623"/>
      <c r="G927" s="623"/>
      <c r="H927" s="623"/>
      <c r="I927" s="741"/>
      <c r="J927" s="741"/>
      <c r="K927" s="741"/>
      <c r="L927" s="741"/>
      <c r="M927" s="741"/>
      <c r="N927" s="623"/>
    </row>
    <row r="928" spans="2:14" ht="12.75" customHeight="1" x14ac:dyDescent="0.25">
      <c r="B928" s="15"/>
      <c r="C928" s="15"/>
      <c r="D928" s="15"/>
      <c r="E928" s="2080" t="str">
        <f>Translations!$B$659</f>
        <v>Importerad nettovärme från massa</v>
      </c>
      <c r="F928" s="2080"/>
      <c r="G928" s="2080"/>
      <c r="H928" s="363" t="str">
        <f>EUconst_TJpa</f>
        <v>TJ / år</v>
      </c>
      <c r="I928" s="742" t="str">
        <f>[1]K_Summary!I918</f>
        <v/>
      </c>
      <c r="J928" s="742" t="str">
        <f>[1]K_Summary!J918</f>
        <v/>
      </c>
      <c r="K928" s="742" t="str">
        <f>[1]K_Summary!K918</f>
        <v/>
      </c>
      <c r="L928" s="742" t="str">
        <f>[1]K_Summary!L918</f>
        <v/>
      </c>
      <c r="M928" s="742" t="str">
        <f>[1]K_Summary!M918</f>
        <v/>
      </c>
      <c r="N928" s="623"/>
    </row>
    <row r="929" spans="2:14" ht="12.75" customHeight="1" x14ac:dyDescent="0.25">
      <c r="B929" s="15"/>
      <c r="C929" s="15"/>
      <c r="D929" s="15"/>
      <c r="E929" s="2080" t="str">
        <f>Translations!$B$608</f>
        <v>Nettomängd importerad värme från delanläggningar för salpetersyra</v>
      </c>
      <c r="F929" s="2080"/>
      <c r="G929" s="2080"/>
      <c r="H929" s="363" t="str">
        <f>EUconst_TJpa</f>
        <v>TJ / år</v>
      </c>
      <c r="I929" s="742" t="str">
        <f>[1]K_Summary!I919</f>
        <v/>
      </c>
      <c r="J929" s="742" t="str">
        <f>[1]K_Summary!J919</f>
        <v/>
      </c>
      <c r="K929" s="742" t="str">
        <f>[1]K_Summary!K919</f>
        <v/>
      </c>
      <c r="L929" s="742" t="str">
        <f>[1]K_Summary!L919</f>
        <v/>
      </c>
      <c r="M929" s="742" t="str">
        <f>[1]K_Summary!M919</f>
        <v/>
      </c>
      <c r="N929" s="623"/>
    </row>
    <row r="930" spans="2:14" ht="5.15" customHeight="1" x14ac:dyDescent="0.25">
      <c r="B930" s="15"/>
      <c r="C930" s="15"/>
      <c r="D930" s="15"/>
      <c r="E930" s="416"/>
      <c r="F930" s="416"/>
      <c r="G930" s="416"/>
      <c r="H930" s="416"/>
      <c r="I930" s="741"/>
      <c r="J930" s="741"/>
      <c r="K930" s="741"/>
      <c r="L930" s="741"/>
      <c r="M930" s="741"/>
      <c r="N930" s="623"/>
    </row>
    <row r="931" spans="2:14" ht="12.75" customHeight="1" x14ac:dyDescent="0.25">
      <c r="B931" s="15"/>
      <c r="C931" s="15"/>
      <c r="D931" s="15"/>
      <c r="E931" s="2087" t="str">
        <f>Translations!$B$610</f>
        <v>Nettomängd exporterad värme</v>
      </c>
      <c r="F931" s="2087"/>
      <c r="G931" s="2087"/>
      <c r="H931" s="1606" t="str">
        <f>EUconst_TJpa</f>
        <v>TJ / år</v>
      </c>
      <c r="I931" s="739" t="str">
        <f>[1]K_Summary!I921</f>
        <v/>
      </c>
      <c r="J931" s="739" t="str">
        <f>[1]K_Summary!J921</f>
        <v/>
      </c>
      <c r="K931" s="739" t="str">
        <f>[1]K_Summary!K921</f>
        <v/>
      </c>
      <c r="L931" s="739" t="str">
        <f>[1]K_Summary!L921</f>
        <v/>
      </c>
      <c r="M931" s="739" t="str">
        <f>[1]K_Summary!M921</f>
        <v/>
      </c>
      <c r="N931" s="623"/>
    </row>
    <row r="932" spans="2:14" ht="12.75" customHeight="1" x14ac:dyDescent="0.25">
      <c r="B932" s="15"/>
      <c r="C932" s="15"/>
      <c r="D932" s="15"/>
      <c r="E932" s="2088" t="str">
        <f>Translations!$B$611</f>
        <v>Särskild emissionsfaktor (exporterad värme)</v>
      </c>
      <c r="F932" s="2088"/>
      <c r="G932" s="2088"/>
      <c r="H932" s="624" t="str">
        <f>EUconst_tCO2pTJ</f>
        <v>t CO2 / TJ</v>
      </c>
      <c r="I932" s="740" t="str">
        <f>[1]K_Summary!I922</f>
        <v/>
      </c>
      <c r="J932" s="740" t="str">
        <f>[1]K_Summary!J922</f>
        <v/>
      </c>
      <c r="K932" s="740" t="str">
        <f>[1]K_Summary!K922</f>
        <v/>
      </c>
      <c r="L932" s="740" t="str">
        <f>[1]K_Summary!L922</f>
        <v/>
      </c>
      <c r="M932" s="740" t="str">
        <f>[1]K_Summary!M922</f>
        <v/>
      </c>
      <c r="N932" s="623"/>
    </row>
    <row r="933" spans="2:14" ht="5.15" customHeight="1" x14ac:dyDescent="0.25">
      <c r="B933" s="15"/>
      <c r="C933" s="15"/>
      <c r="D933" s="15"/>
      <c r="E933" s="416"/>
      <c r="F933" s="416"/>
      <c r="G933" s="416"/>
      <c r="H933" s="416"/>
      <c r="I933" s="741"/>
      <c r="J933" s="741"/>
      <c r="K933" s="741"/>
      <c r="L933" s="741"/>
      <c r="M933" s="741"/>
      <c r="N933" s="623"/>
    </row>
    <row r="934" spans="2:14" ht="12.75" customHeight="1" x14ac:dyDescent="0.25">
      <c r="B934" s="15"/>
      <c r="C934" s="15"/>
      <c r="D934" s="15"/>
      <c r="E934" s="2087" t="str">
        <f>Translations!$B$618</f>
        <v>Producerad restgas</v>
      </c>
      <c r="F934" s="2087"/>
      <c r="G934" s="2087"/>
      <c r="H934" s="1606" t="str">
        <f>EUconst_TJpa</f>
        <v>TJ / år</v>
      </c>
      <c r="I934" s="739" t="str">
        <f>[1]K_Summary!I924</f>
        <v/>
      </c>
      <c r="J934" s="739" t="str">
        <f>[1]K_Summary!J924</f>
        <v/>
      </c>
      <c r="K934" s="739" t="str">
        <f>[1]K_Summary!K924</f>
        <v/>
      </c>
      <c r="L934" s="739" t="str">
        <f>[1]K_Summary!L924</f>
        <v/>
      </c>
      <c r="M934" s="739" t="str">
        <f>[1]K_Summary!M924</f>
        <v/>
      </c>
      <c r="N934" s="623"/>
    </row>
    <row r="935" spans="2:14" ht="12.75" customHeight="1" x14ac:dyDescent="0.25">
      <c r="B935" s="15"/>
      <c r="C935" s="15"/>
      <c r="D935" s="15"/>
      <c r="E935" s="2088" t="str">
        <f>Translations!$B$619</f>
        <v>Särskild emissionsfaktor (producerad restgas)</v>
      </c>
      <c r="F935" s="2088"/>
      <c r="G935" s="2088"/>
      <c r="H935" s="624" t="str">
        <f>EUconst_tCO2pTJ</f>
        <v>t CO2 / TJ</v>
      </c>
      <c r="I935" s="740" t="str">
        <f>[1]K_Summary!I925</f>
        <v/>
      </c>
      <c r="J935" s="740" t="str">
        <f>[1]K_Summary!J925</f>
        <v/>
      </c>
      <c r="K935" s="740" t="str">
        <f>[1]K_Summary!K925</f>
        <v/>
      </c>
      <c r="L935" s="740" t="str">
        <f>[1]K_Summary!L925</f>
        <v/>
      </c>
      <c r="M935" s="740" t="str">
        <f>[1]K_Summary!M925</f>
        <v/>
      </c>
      <c r="N935" s="623"/>
    </row>
    <row r="936" spans="2:14" ht="12.75" customHeight="1" x14ac:dyDescent="0.25">
      <c r="B936" s="15"/>
      <c r="C936" s="15"/>
      <c r="D936" s="15"/>
      <c r="E936" s="2087" t="str">
        <f>Translations!$B$623</f>
        <v>Förbrukad restgas</v>
      </c>
      <c r="F936" s="2087"/>
      <c r="G936" s="2087"/>
      <c r="H936" s="1606" t="str">
        <f>EUconst_TJpa</f>
        <v>TJ / år</v>
      </c>
      <c r="I936" s="739" t="str">
        <f>[1]K_Summary!I926</f>
        <v/>
      </c>
      <c r="J936" s="739" t="str">
        <f>[1]K_Summary!J926</f>
        <v/>
      </c>
      <c r="K936" s="739" t="str">
        <f>[1]K_Summary!K926</f>
        <v/>
      </c>
      <c r="L936" s="739" t="str">
        <f>[1]K_Summary!L926</f>
        <v/>
      </c>
      <c r="M936" s="739" t="str">
        <f>[1]K_Summary!M926</f>
        <v/>
      </c>
      <c r="N936" s="623"/>
    </row>
    <row r="937" spans="2:14" ht="12.75" customHeight="1" x14ac:dyDescent="0.25">
      <c r="B937" s="15"/>
      <c r="C937" s="15"/>
      <c r="D937" s="15"/>
      <c r="E937" s="2088" t="str">
        <f>Translations!$B$624</f>
        <v>Särskild emissionsfaktor (förbrukad restgas)</v>
      </c>
      <c r="F937" s="2088"/>
      <c r="G937" s="2088"/>
      <c r="H937" s="624" t="str">
        <f>EUconst_tCO2pTJ</f>
        <v>t CO2 / TJ</v>
      </c>
      <c r="I937" s="740" t="str">
        <f>[1]K_Summary!I927</f>
        <v/>
      </c>
      <c r="J937" s="740" t="str">
        <f>[1]K_Summary!J927</f>
        <v/>
      </c>
      <c r="K937" s="740" t="str">
        <f>[1]K_Summary!K927</f>
        <v/>
      </c>
      <c r="L937" s="740" t="str">
        <f>[1]K_Summary!L927</f>
        <v/>
      </c>
      <c r="M937" s="740" t="str">
        <f>[1]K_Summary!M927</f>
        <v/>
      </c>
      <c r="N937" s="623"/>
    </row>
    <row r="938" spans="2:14" ht="12.75" customHeight="1" x14ac:dyDescent="0.25">
      <c r="B938" s="15"/>
      <c r="C938" s="15"/>
      <c r="D938" s="15"/>
      <c r="E938" s="2087" t="str">
        <f>Translations!$B$630</f>
        <v>Facklad restgas</v>
      </c>
      <c r="F938" s="2087"/>
      <c r="G938" s="2087"/>
      <c r="H938" s="1606" t="str">
        <f>EUconst_TJpa</f>
        <v>TJ / år</v>
      </c>
      <c r="I938" s="739" t="str">
        <f>[1]K_Summary!I928</f>
        <v/>
      </c>
      <c r="J938" s="739" t="str">
        <f>[1]K_Summary!J928</f>
        <v/>
      </c>
      <c r="K938" s="739" t="str">
        <f>[1]K_Summary!K928</f>
        <v/>
      </c>
      <c r="L938" s="739" t="str">
        <f>[1]K_Summary!L928</f>
        <v/>
      </c>
      <c r="M938" s="739" t="str">
        <f>[1]K_Summary!M928</f>
        <v/>
      </c>
      <c r="N938" s="623"/>
    </row>
    <row r="939" spans="2:14" ht="12.75" customHeight="1" x14ac:dyDescent="0.25">
      <c r="B939" s="15"/>
      <c r="C939" s="15"/>
      <c r="D939" s="15"/>
      <c r="E939" s="2088" t="str">
        <f>Translations!$B$631</f>
        <v>Särskild emissionsfaktor (facklad restgas)</v>
      </c>
      <c r="F939" s="2088"/>
      <c r="G939" s="2088"/>
      <c r="H939" s="624" t="str">
        <f>EUconst_tCO2pTJ</f>
        <v>t CO2 / TJ</v>
      </c>
      <c r="I939" s="740" t="str">
        <f>[1]K_Summary!I929</f>
        <v/>
      </c>
      <c r="J939" s="740" t="str">
        <f>[1]K_Summary!J929</f>
        <v/>
      </c>
      <c r="K939" s="740" t="str">
        <f>[1]K_Summary!K929</f>
        <v/>
      </c>
      <c r="L939" s="740" t="str">
        <f>[1]K_Summary!L929</f>
        <v/>
      </c>
      <c r="M939" s="740" t="str">
        <f>[1]K_Summary!M929</f>
        <v/>
      </c>
      <c r="N939" s="623"/>
    </row>
    <row r="940" spans="2:14" ht="12.75" customHeight="1" x14ac:dyDescent="0.25">
      <c r="B940" s="15"/>
      <c r="C940" s="15"/>
      <c r="D940" s="15"/>
      <c r="E940" s="2087" t="str">
        <f>Translations!$B$636</f>
        <v>Importerad restgas</v>
      </c>
      <c r="F940" s="2087"/>
      <c r="G940" s="2087"/>
      <c r="H940" s="1606" t="str">
        <f>EUconst_TJpa</f>
        <v>TJ / år</v>
      </c>
      <c r="I940" s="739" t="str">
        <f>[1]K_Summary!I930</f>
        <v/>
      </c>
      <c r="J940" s="739" t="str">
        <f>[1]K_Summary!J930</f>
        <v/>
      </c>
      <c r="K940" s="739" t="str">
        <f>[1]K_Summary!K930</f>
        <v/>
      </c>
      <c r="L940" s="739" t="str">
        <f>[1]K_Summary!L930</f>
        <v/>
      </c>
      <c r="M940" s="739" t="str">
        <f>[1]K_Summary!M930</f>
        <v/>
      </c>
      <c r="N940" s="623"/>
    </row>
    <row r="941" spans="2:14" ht="12.75" customHeight="1" x14ac:dyDescent="0.25">
      <c r="B941" s="15"/>
      <c r="C941" s="15"/>
      <c r="D941" s="15"/>
      <c r="E941" s="2088" t="str">
        <f>Translations!$B$637</f>
        <v>Särskild emissionsfaktor (importerad restgas)</v>
      </c>
      <c r="F941" s="2088"/>
      <c r="G941" s="2088"/>
      <c r="H941" s="624" t="str">
        <f>EUconst_tCO2pTJ</f>
        <v>t CO2 / TJ</v>
      </c>
      <c r="I941" s="740" t="str">
        <f>[1]K_Summary!I931</f>
        <v/>
      </c>
      <c r="J941" s="740" t="str">
        <f>[1]K_Summary!J931</f>
        <v/>
      </c>
      <c r="K941" s="740" t="str">
        <f>[1]K_Summary!K931</f>
        <v/>
      </c>
      <c r="L941" s="740" t="str">
        <f>[1]K_Summary!L931</f>
        <v/>
      </c>
      <c r="M941" s="740" t="str">
        <f>[1]K_Summary!M931</f>
        <v/>
      </c>
      <c r="N941" s="623"/>
    </row>
    <row r="942" spans="2:14" ht="12.75" customHeight="1" x14ac:dyDescent="0.25">
      <c r="B942" s="15"/>
      <c r="C942" s="15"/>
      <c r="D942" s="15"/>
      <c r="E942" s="2087" t="str">
        <f>Translations!$B$641</f>
        <v>Exporterad restgas</v>
      </c>
      <c r="F942" s="2087"/>
      <c r="G942" s="2087"/>
      <c r="H942" s="1606" t="str">
        <f>EUconst_TJpa</f>
        <v>TJ / år</v>
      </c>
      <c r="I942" s="739" t="str">
        <f>[1]K_Summary!I932</f>
        <v/>
      </c>
      <c r="J942" s="739" t="str">
        <f>[1]K_Summary!J932</f>
        <v/>
      </c>
      <c r="K942" s="739" t="str">
        <f>[1]K_Summary!K932</f>
        <v/>
      </c>
      <c r="L942" s="739" t="str">
        <f>[1]K_Summary!L932</f>
        <v/>
      </c>
      <c r="M942" s="739" t="str">
        <f>[1]K_Summary!M932</f>
        <v/>
      </c>
      <c r="N942" s="623"/>
    </row>
    <row r="943" spans="2:14" ht="12.75" customHeight="1" x14ac:dyDescent="0.25">
      <c r="B943" s="15"/>
      <c r="C943" s="15"/>
      <c r="D943" s="15"/>
      <c r="E943" s="2088" t="str">
        <f>Translations!$B$642</f>
        <v>Särskild emissionsfaktor (exporterad restgas)</v>
      </c>
      <c r="F943" s="2088"/>
      <c r="G943" s="2088"/>
      <c r="H943" s="624" t="str">
        <f>EUconst_tCO2pTJ</f>
        <v>t CO2 / TJ</v>
      </c>
      <c r="I943" s="740" t="str">
        <f>[1]K_Summary!I933</f>
        <v/>
      </c>
      <c r="J943" s="740" t="str">
        <f>[1]K_Summary!J933</f>
        <v/>
      </c>
      <c r="K943" s="740" t="str">
        <f>[1]K_Summary!K933</f>
        <v/>
      </c>
      <c r="L943" s="740" t="str">
        <f>[1]K_Summary!L933</f>
        <v/>
      </c>
      <c r="M943" s="740" t="str">
        <f>[1]K_Summary!M933</f>
        <v/>
      </c>
      <c r="N943" s="623"/>
    </row>
    <row r="944" spans="2:14" ht="5.15" customHeight="1" x14ac:dyDescent="0.25">
      <c r="B944" s="15"/>
      <c r="C944" s="15"/>
      <c r="D944" s="15"/>
      <c r="E944" s="416"/>
      <c r="F944" s="416"/>
      <c r="G944" s="416"/>
      <c r="H944" s="416"/>
      <c r="I944" s="741"/>
      <c r="J944" s="741"/>
      <c r="K944" s="741"/>
      <c r="L944" s="741"/>
      <c r="M944" s="741"/>
      <c r="N944" s="623"/>
    </row>
    <row r="945" spans="2:14" ht="12.75" customHeight="1" x14ac:dyDescent="0.25">
      <c r="B945" s="15"/>
      <c r="C945" s="15"/>
      <c r="D945" s="15"/>
      <c r="E945" s="2080" t="str">
        <f>Translations!$B$530</f>
        <v>Relevant elförbrukning</v>
      </c>
      <c r="F945" s="2080"/>
      <c r="G945" s="2080"/>
      <c r="H945" s="363" t="str">
        <f>EUconst_MWhpa</f>
        <v>MWh / år</v>
      </c>
      <c r="I945" s="742" t="str">
        <f>[1]K_Summary!I935</f>
        <v/>
      </c>
      <c r="J945" s="742" t="str">
        <f>[1]K_Summary!J935</f>
        <v/>
      </c>
      <c r="K945" s="742" t="str">
        <f>[1]K_Summary!K935</f>
        <v/>
      </c>
      <c r="L945" s="742" t="str">
        <f>[1]K_Summary!L935</f>
        <v/>
      </c>
      <c r="M945" s="742" t="str">
        <f>[1]K_Summary!M935</f>
        <v/>
      </c>
      <c r="N945" s="623"/>
    </row>
    <row r="946" spans="2:14" ht="12.75" customHeight="1" x14ac:dyDescent="0.25">
      <c r="B946" s="15"/>
      <c r="C946" s="15"/>
      <c r="D946" s="15"/>
      <c r="E946" s="2080" t="str">
        <f>Translations!$B$645</f>
        <v>Producerad el</v>
      </c>
      <c r="F946" s="2080"/>
      <c r="G946" s="2080"/>
      <c r="H946" s="363" t="str">
        <f>EUconst_MWhpa</f>
        <v>MWh / år</v>
      </c>
      <c r="I946" s="742" t="str">
        <f>[1]K_Summary!I936</f>
        <v/>
      </c>
      <c r="J946" s="742" t="str">
        <f>[1]K_Summary!J936</f>
        <v/>
      </c>
      <c r="K946" s="742" t="str">
        <f>[1]K_Summary!K936</f>
        <v/>
      </c>
      <c r="L946" s="742" t="str">
        <f>[1]K_Summary!L936</f>
        <v/>
      </c>
      <c r="M946" s="742" t="str">
        <f>[1]K_Summary!M936</f>
        <v/>
      </c>
      <c r="N946" s="623"/>
    </row>
    <row r="947" spans="2:14" ht="5.15" customHeight="1" x14ac:dyDescent="0.25">
      <c r="B947" s="15"/>
      <c r="C947" s="15"/>
      <c r="D947" s="15"/>
      <c r="E947" s="416"/>
      <c r="F947" s="416"/>
      <c r="G947" s="416"/>
      <c r="H947" s="416"/>
      <c r="I947" s="741"/>
      <c r="J947" s="741"/>
      <c r="K947" s="741"/>
      <c r="L947" s="741"/>
      <c r="M947" s="741"/>
      <c r="N947" s="623"/>
    </row>
    <row r="948" spans="2:14" ht="12.75" customHeight="1" x14ac:dyDescent="0.25">
      <c r="B948" s="15"/>
      <c r="C948" s="15"/>
      <c r="D948" s="15"/>
      <c r="E948" s="2080" t="str">
        <f>Translations!$B$646</f>
        <v>Total producerad massamängd</v>
      </c>
      <c r="F948" s="2080"/>
      <c r="G948" s="2080"/>
      <c r="H948" s="363" t="str">
        <f>Translations!$B$1117</f>
        <v>ton</v>
      </c>
      <c r="I948" s="742" t="str">
        <f>[1]K_Summary!I938</f>
        <v/>
      </c>
      <c r="J948" s="742" t="str">
        <f>[1]K_Summary!J938</f>
        <v/>
      </c>
      <c r="K948" s="742" t="str">
        <f>[1]K_Summary!K938</f>
        <v/>
      </c>
      <c r="L948" s="742" t="str">
        <f>[1]K_Summary!L938</f>
        <v/>
      </c>
      <c r="M948" s="742" t="str">
        <f>[1]K_Summary!M938</f>
        <v/>
      </c>
      <c r="N948" s="623"/>
    </row>
    <row r="949" spans="2:14" ht="5.15" customHeight="1" x14ac:dyDescent="0.25">
      <c r="B949" s="15"/>
      <c r="C949" s="15"/>
      <c r="D949" s="15"/>
      <c r="E949" s="416"/>
      <c r="F949" s="416"/>
      <c r="G949" s="416"/>
      <c r="H949" s="416"/>
      <c r="I949" s="741"/>
      <c r="J949" s="741"/>
      <c r="K949" s="741"/>
      <c r="L949" s="741"/>
      <c r="M949" s="741"/>
      <c r="N949" s="623"/>
    </row>
    <row r="950" spans="2:14" x14ac:dyDescent="0.25">
      <c r="B950" s="15"/>
      <c r="C950" s="15"/>
      <c r="D950" s="15"/>
      <c r="E950" s="899" t="str">
        <f>Translations!$B$1057</f>
        <v>Mellanimport:</v>
      </c>
      <c r="F950" s="416"/>
      <c r="G950" s="416"/>
      <c r="H950" s="416"/>
      <c r="I950" s="741"/>
      <c r="J950" s="741"/>
      <c r="K950" s="741"/>
      <c r="L950" s="741"/>
      <c r="M950" s="741"/>
      <c r="N950" s="623"/>
    </row>
    <row r="951" spans="2:14" x14ac:dyDescent="0.25">
      <c r="B951" s="15"/>
      <c r="C951" s="15"/>
      <c r="D951" s="15"/>
      <c r="E951" s="2089" t="str">
        <f>[1]K_Summary!E941</f>
        <v/>
      </c>
      <c r="F951" s="2089"/>
      <c r="G951" s="2089"/>
      <c r="H951" s="363" t="str">
        <f>Translations!$B$1117</f>
        <v>ton</v>
      </c>
      <c r="I951" s="742" t="str">
        <f>[1]K_Summary!I941</f>
        <v/>
      </c>
      <c r="J951" s="742" t="str">
        <f>[1]K_Summary!J941</f>
        <v/>
      </c>
      <c r="K951" s="742" t="str">
        <f>[1]K_Summary!K941</f>
        <v/>
      </c>
      <c r="L951" s="742" t="str">
        <f>[1]K_Summary!L941</f>
        <v/>
      </c>
      <c r="M951" s="742" t="str">
        <f>[1]K_Summary!M941</f>
        <v/>
      </c>
      <c r="N951" s="623"/>
    </row>
    <row r="952" spans="2:14" x14ac:dyDescent="0.25">
      <c r="B952" s="15"/>
      <c r="C952" s="15"/>
      <c r="D952" s="15"/>
      <c r="E952" s="2089" t="str">
        <f>[1]K_Summary!E942</f>
        <v/>
      </c>
      <c r="F952" s="2089"/>
      <c r="G952" s="2089"/>
      <c r="H952" s="363" t="str">
        <f>Translations!$B$1117</f>
        <v>ton</v>
      </c>
      <c r="I952" s="742" t="str">
        <f>[1]K_Summary!I942</f>
        <v/>
      </c>
      <c r="J952" s="742" t="str">
        <f>[1]K_Summary!J942</f>
        <v/>
      </c>
      <c r="K952" s="742" t="str">
        <f>[1]K_Summary!K942</f>
        <v/>
      </c>
      <c r="L952" s="742" t="str">
        <f>[1]K_Summary!L942</f>
        <v/>
      </c>
      <c r="M952" s="742" t="str">
        <f>[1]K_Summary!M942</f>
        <v/>
      </c>
      <c r="N952" s="623"/>
    </row>
    <row r="953" spans="2:14" x14ac:dyDescent="0.25">
      <c r="B953" s="15"/>
      <c r="C953" s="15"/>
      <c r="D953" s="15"/>
      <c r="E953" s="899" t="str">
        <f>Translations!$B$1058</f>
        <v>Mellanexport:</v>
      </c>
      <c r="F953" s="416"/>
      <c r="G953" s="416"/>
      <c r="H953" s="416"/>
      <c r="I953" s="741"/>
      <c r="J953" s="741"/>
      <c r="K953" s="741"/>
      <c r="L953" s="741"/>
      <c r="M953" s="741"/>
      <c r="N953" s="623"/>
    </row>
    <row r="954" spans="2:14" x14ac:dyDescent="0.25">
      <c r="B954" s="15"/>
      <c r="C954" s="15"/>
      <c r="D954" s="15"/>
      <c r="E954" s="2089" t="str">
        <f>[1]K_Summary!E944</f>
        <v/>
      </c>
      <c r="F954" s="2089"/>
      <c r="G954" s="2089"/>
      <c r="H954" s="363" t="str">
        <f>Translations!$B$1117</f>
        <v>ton</v>
      </c>
      <c r="I954" s="742" t="str">
        <f>[1]K_Summary!I944</f>
        <v/>
      </c>
      <c r="J954" s="742" t="str">
        <f>[1]K_Summary!J944</f>
        <v/>
      </c>
      <c r="K954" s="742" t="str">
        <f>[1]K_Summary!K944</f>
        <v/>
      </c>
      <c r="L954" s="742" t="str">
        <f>[1]K_Summary!L944</f>
        <v/>
      </c>
      <c r="M954" s="742" t="str">
        <f>[1]K_Summary!M944</f>
        <v/>
      </c>
      <c r="N954" s="623"/>
    </row>
    <row r="955" spans="2:14" x14ac:dyDescent="0.25">
      <c r="B955" s="15"/>
      <c r="C955" s="15"/>
      <c r="D955" s="15"/>
      <c r="E955" s="2089" t="str">
        <f>[1]K_Summary!E945</f>
        <v/>
      </c>
      <c r="F955" s="2089"/>
      <c r="G955" s="2089"/>
      <c r="H955" s="363" t="str">
        <f>Translations!$B$1117</f>
        <v>ton</v>
      </c>
      <c r="I955" s="742" t="str">
        <f>[1]K_Summary!I945</f>
        <v/>
      </c>
      <c r="J955" s="742" t="str">
        <f>[1]K_Summary!J945</f>
        <v/>
      </c>
      <c r="K955" s="742" t="str">
        <f>[1]K_Summary!K945</f>
        <v/>
      </c>
      <c r="L955" s="742" t="str">
        <f>[1]K_Summary!L945</f>
        <v/>
      </c>
      <c r="M955" s="742" t="str">
        <f>[1]K_Summary!M945</f>
        <v/>
      </c>
      <c r="N955" s="623"/>
    </row>
    <row r="956" spans="2:14" ht="12.75" customHeight="1" x14ac:dyDescent="0.25">
      <c r="B956" s="15"/>
      <c r="C956" s="15"/>
      <c r="D956" s="15"/>
      <c r="E956" s="416"/>
      <c r="F956" s="416"/>
      <c r="G956" s="416"/>
      <c r="H956" s="416"/>
      <c r="I956" s="623"/>
      <c r="J956" s="623"/>
      <c r="K956" s="623"/>
      <c r="L956" s="623"/>
      <c r="M956" s="623"/>
      <c r="N956" s="623"/>
    </row>
    <row r="957" spans="2:14" ht="5.15" customHeight="1" thickBot="1" x14ac:dyDescent="0.3">
      <c r="B957" s="15"/>
      <c r="C957" s="15"/>
      <c r="D957" s="15"/>
      <c r="E957" s="748"/>
      <c r="F957" s="534"/>
      <c r="G957" s="534"/>
      <c r="H957" s="534"/>
      <c r="I957" s="534"/>
      <c r="J957" s="534"/>
      <c r="K957" s="534"/>
      <c r="L957" s="534"/>
      <c r="M957" s="534"/>
      <c r="N957" s="534"/>
    </row>
    <row r="958" spans="2:14" ht="5.15" customHeight="1" x14ac:dyDescent="0.25">
      <c r="B958" s="3"/>
      <c r="C958" s="230"/>
      <c r="D958" s="230"/>
      <c r="E958" s="230"/>
      <c r="F958" s="230"/>
      <c r="G958" s="230"/>
      <c r="H958" s="230"/>
      <c r="I958" s="230"/>
      <c r="J958" s="230"/>
      <c r="K958" s="230"/>
      <c r="L958" s="230"/>
      <c r="M958" s="230"/>
      <c r="N958" s="230"/>
    </row>
    <row r="959" spans="2:14" ht="15" customHeight="1" x14ac:dyDescent="0.3">
      <c r="B959" s="15"/>
      <c r="C959" s="17">
        <v>9</v>
      </c>
      <c r="D959" s="2053" t="str">
        <f>Euconst_ProdBMSub &amp; " " &amp; C959 &amp; ":"</f>
        <v>Delanläggning med produktriktmärke 9:</v>
      </c>
      <c r="E959" s="2053"/>
      <c r="F959" s="2053"/>
      <c r="G959" s="2053"/>
      <c r="H959" s="2081"/>
      <c r="I959" s="2090" t="str">
        <f>[1]K_Summary!I949</f>
        <v/>
      </c>
      <c r="J959" s="2091"/>
      <c r="K959" s="2091"/>
      <c r="L959" s="2091"/>
      <c r="M959" s="2091"/>
      <c r="N959" s="2092"/>
    </row>
    <row r="960" spans="2:14" ht="5.15" customHeight="1" thickBot="1" x14ac:dyDescent="0.3">
      <c r="B960" s="15"/>
      <c r="C960" s="15"/>
      <c r="D960" s="15"/>
      <c r="E960" s="15"/>
      <c r="F960" s="15"/>
      <c r="G960" s="15"/>
      <c r="H960" s="15"/>
      <c r="I960" s="15"/>
      <c r="J960" s="15"/>
      <c r="K960" s="15"/>
      <c r="L960" s="15"/>
      <c r="M960" s="15"/>
      <c r="N960" s="15"/>
    </row>
    <row r="961" spans="2:16" x14ac:dyDescent="0.25">
      <c r="B961" s="15"/>
      <c r="C961" s="15"/>
      <c r="D961" s="15"/>
      <c r="E961" s="15"/>
      <c r="F961" s="15"/>
      <c r="G961" s="15"/>
      <c r="H961" s="506" t="str">
        <f>Translations!$B$1022</f>
        <v>KL-risk</v>
      </c>
      <c r="I961" s="507" t="s">
        <v>1380</v>
      </c>
      <c r="J961" s="507" t="str">
        <f>Translations!$B$1026</f>
        <v>I drift</v>
      </c>
      <c r="K961" s="507" t="str">
        <f>Translations!$B$1024</f>
        <v>RM-nummer</v>
      </c>
      <c r="L961" s="612" t="str">
        <f>Translations!$B$1030</f>
        <v>15(7).3?</v>
      </c>
      <c r="M961" s="786" t="str">
        <f>Translations!$B$1052</f>
        <v>RM-värde (min./max./faktiskt)</v>
      </c>
      <c r="N961" s="787"/>
    </row>
    <row r="962" spans="2:16" x14ac:dyDescent="0.25">
      <c r="B962" s="15"/>
      <c r="C962" s="15"/>
      <c r="D962" s="15"/>
      <c r="E962" s="508" t="str">
        <f>[1]K_Summary!E952</f>
        <v/>
      </c>
      <c r="F962" s="509"/>
      <c r="G962" s="464"/>
      <c r="H962" s="510" t="str">
        <f>[1]K_Summary!H952</f>
        <v>N.A.</v>
      </c>
      <c r="I962" s="511" t="str">
        <f>[1]K_Summary!I952</f>
        <v/>
      </c>
      <c r="J962" s="642" t="str">
        <f>[1]K_Summary!J952</f>
        <v>N.A.</v>
      </c>
      <c r="K962" s="421" t="str">
        <f>[1]K_Summary!K952</f>
        <v>N.A.</v>
      </c>
      <c r="L962" s="1598" t="str">
        <f>[1]K_Summary!L952</f>
        <v/>
      </c>
      <c r="M962" s="1599" t="str">
        <f>[1]K_Summary!M952</f>
        <v>N.A.</v>
      </c>
      <c r="N962" s="788" t="str">
        <f>EUconst_EUA &amp; "/" &amp; H967</f>
        <v>EUA/tonnes</v>
      </c>
    </row>
    <row r="963" spans="2:16" x14ac:dyDescent="0.25">
      <c r="B963" s="15"/>
      <c r="C963" s="15"/>
      <c r="D963" s="15"/>
      <c r="E963" s="534"/>
      <c r="F963" s="534"/>
      <c r="G963" s="507" t="str">
        <f>Translations!$B$1036</f>
        <v>Värme utanför ETS</v>
      </c>
      <c r="H963" s="612" t="str">
        <f>Translations!$B$1038</f>
        <v>Wgfacklad</v>
      </c>
      <c r="I963" s="507" t="s">
        <v>1526</v>
      </c>
      <c r="J963" s="507" t="s">
        <v>1527</v>
      </c>
      <c r="K963" s="507" t="s">
        <v>1528</v>
      </c>
      <c r="L963" s="612" t="str">
        <f>Translations!$B$1032</f>
        <v>15(7).3 HAL</v>
      </c>
      <c r="M963" s="1599" t="str">
        <f>[1]K_Summary!M953</f>
        <v>N.A.</v>
      </c>
      <c r="N963" s="788" t="str">
        <f>EUconst_EUA &amp; "/" &amp; H967</f>
        <v>EUA/tonnes</v>
      </c>
    </row>
    <row r="964" spans="2:16" ht="13" thickBot="1" x14ac:dyDescent="0.3">
      <c r="B964" s="15"/>
      <c r="C964" s="15"/>
      <c r="D964" s="15"/>
      <c r="E964" s="1293" t="str">
        <f>Translations!$B$1053</f>
        <v>Särskilda faktorer:</v>
      </c>
      <c r="F964" s="1600"/>
      <c r="G964" s="421" t="str">
        <f>[1]K_Summary!G954</f>
        <v/>
      </c>
      <c r="H964" s="641" t="str">
        <f>[1]K_Summary!H954</f>
        <v/>
      </c>
      <c r="I964" s="1601">
        <f>[1]K_Summary!I954</f>
        <v>1</v>
      </c>
      <c r="J964" s="421" t="str">
        <f>[1]K_Summary!J954</f>
        <v/>
      </c>
      <c r="K964" s="662" t="str">
        <f>[1]K_Summary!K954</f>
        <v/>
      </c>
      <c r="L964" s="641" t="str">
        <f>[1]K_Summary!L954</f>
        <v/>
      </c>
      <c r="M964" s="1602" t="str">
        <f>[1]K_Summary!M954</f>
        <v>N.A.</v>
      </c>
      <c r="N964" s="789" t="str">
        <f>EUconst_EUA &amp; "/" &amp; H967</f>
        <v>EUA/tonnes</v>
      </c>
      <c r="P964" s="1903" t="b">
        <f>IF(ISNUMBER(K962),INDEX(EUconst_BMlistBMvalues,K962)&lt;&gt;M964,FALSE)</f>
        <v>0</v>
      </c>
    </row>
    <row r="965" spans="2:16" ht="5.15" customHeight="1" x14ac:dyDescent="0.25">
      <c r="B965" s="15"/>
      <c r="C965" s="15"/>
      <c r="D965" s="15"/>
      <c r="E965" s="15"/>
      <c r="F965" s="15"/>
      <c r="G965" s="15"/>
      <c r="H965" s="15"/>
      <c r="I965" s="15"/>
      <c r="J965" s="15"/>
      <c r="K965" s="15"/>
      <c r="L965" s="15"/>
      <c r="M965" s="15"/>
      <c r="N965" s="15"/>
    </row>
    <row r="966" spans="2:16" ht="13" x14ac:dyDescent="0.25">
      <c r="B966" s="15"/>
      <c r="C966" s="15"/>
      <c r="D966" s="15"/>
      <c r="E966" s="188"/>
      <c r="F966" s="188"/>
      <c r="G966" s="512"/>
      <c r="H966" s="1603" t="str">
        <f>Translations!$B$1014</f>
        <v>Enhet</v>
      </c>
      <c r="I966" s="350">
        <v>2014</v>
      </c>
      <c r="J966" s="350">
        <v>2015</v>
      </c>
      <c r="K966" s="350">
        <v>2016</v>
      </c>
      <c r="L966" s="350">
        <v>2017</v>
      </c>
      <c r="M966" s="350">
        <v>2018</v>
      </c>
      <c r="N966" s="15"/>
    </row>
    <row r="967" spans="2:16" x14ac:dyDescent="0.25">
      <c r="B967" s="15"/>
      <c r="C967" s="15"/>
      <c r="D967" s="15"/>
      <c r="E967" s="513" t="str">
        <f>Translations!$B$1054</f>
        <v>Rapporterad HAL (historisk verksamhetsnivå)</v>
      </c>
      <c r="F967" s="514"/>
      <c r="G967" s="515"/>
      <c r="H967" s="510" t="str">
        <f>[1]K_Summary!H957</f>
        <v>tonnes</v>
      </c>
      <c r="I967" s="421" t="str">
        <f>[1]K_Summary!I957</f>
        <v/>
      </c>
      <c r="J967" s="421" t="str">
        <f>[1]K_Summary!J957</f>
        <v/>
      </c>
      <c r="K967" s="421" t="str">
        <f>[1]K_Summary!K957</f>
        <v/>
      </c>
      <c r="L967" s="421" t="str">
        <f>[1]K_Summary!L957</f>
        <v/>
      </c>
      <c r="M967" s="421" t="str">
        <f>[1]K_Summary!M957</f>
        <v/>
      </c>
      <c r="N967" s="507" t="str">
        <f>Translations!$B$1042</f>
        <v>Genomsnitt</v>
      </c>
    </row>
    <row r="968" spans="2:16" x14ac:dyDescent="0.25">
      <c r="B968" s="15"/>
      <c r="C968" s="15"/>
      <c r="D968" s="15"/>
      <c r="E968" s="513" t="str">
        <f>Translations!$B$1055</f>
        <v>Värden som används för HAL-beräkning:</v>
      </c>
      <c r="F968" s="514"/>
      <c r="G968" s="515"/>
      <c r="H968" s="510" t="str">
        <f>[1]K_Summary!H958</f>
        <v>tonnes</v>
      </c>
      <c r="I968" s="421" t="str">
        <f>[1]K_Summary!I958</f>
        <v/>
      </c>
      <c r="J968" s="421" t="str">
        <f>[1]K_Summary!J958</f>
        <v/>
      </c>
      <c r="K968" s="421" t="str">
        <f>[1]K_Summary!K958</f>
        <v/>
      </c>
      <c r="L968" s="421" t="str">
        <f>[1]K_Summary!L958</f>
        <v/>
      </c>
      <c r="M968" s="421" t="str">
        <f>[1]K_Summary!M958</f>
        <v/>
      </c>
      <c r="N968" s="421" t="str">
        <f>[1]K_Summary!N958</f>
        <v/>
      </c>
    </row>
    <row r="969" spans="2:16" ht="5.15" customHeight="1" x14ac:dyDescent="0.25">
      <c r="B969" s="15"/>
      <c r="C969" s="15"/>
      <c r="D969" s="15"/>
      <c r="E969" s="1604"/>
      <c r="F969" s="1604"/>
      <c r="G969" s="1604"/>
      <c r="H969" s="1604"/>
      <c r="I969" s="1604"/>
      <c r="J969" s="1604"/>
      <c r="K969" s="1604"/>
      <c r="L969" s="1604"/>
      <c r="M969" s="534"/>
      <c r="N969" s="534"/>
    </row>
    <row r="970" spans="2:16" ht="13" thickBot="1" x14ac:dyDescent="0.3">
      <c r="B970" s="15"/>
      <c r="C970" s="534"/>
      <c r="D970" s="15"/>
      <c r="E970" s="1604"/>
      <c r="F970" s="617" t="s">
        <v>1385</v>
      </c>
      <c r="G970" s="618"/>
      <c r="H970" s="534"/>
      <c r="I970" s="617" t="str">
        <f>Translations!$B$1044</f>
        <v>Prel. tilldelning år 1 (min.)</v>
      </c>
      <c r="J970" s="618"/>
      <c r="K970" s="617" t="str">
        <f>Translations!$B$1047</f>
        <v>Prel. tilldelning år 1 (max.)</v>
      </c>
      <c r="L970" s="618"/>
      <c r="M970" s="617" t="str">
        <f>Translations!$B$1049</f>
        <v>Prel. tilldelning år 1 (faktisk)</v>
      </c>
      <c r="N970" s="618"/>
    </row>
    <row r="971" spans="2:16" ht="13.5" thickBot="1" x14ac:dyDescent="0.3">
      <c r="B971" s="15"/>
      <c r="C971" s="534"/>
      <c r="D971" s="534"/>
      <c r="E971" s="1604"/>
      <c r="F971" s="517" t="str">
        <f>[1]K_Summary!F961</f>
        <v/>
      </c>
      <c r="G971" s="1605" t="str">
        <f>[1]K_Summary!G961</f>
        <v>tonnes / year</v>
      </c>
      <c r="H971" s="534"/>
      <c r="I971" s="616" t="str">
        <f>[1]K_Summary!I961</f>
        <v/>
      </c>
      <c r="J971" s="709" t="str">
        <f>EUconst_EUApa</f>
        <v>EUA / år</v>
      </c>
      <c r="K971" s="616" t="str">
        <f>[1]K_Summary!K961</f>
        <v/>
      </c>
      <c r="L971" s="709" t="str">
        <f>EUconst_EUApa</f>
        <v>EUA / år</v>
      </c>
      <c r="M971" s="616" t="str">
        <f>[1]K_Summary!M961</f>
        <v/>
      </c>
      <c r="N971" s="709" t="str">
        <f>EUconst_EUApa</f>
        <v>EUA / år</v>
      </c>
    </row>
    <row r="972" spans="2:16" ht="5.15" customHeight="1" x14ac:dyDescent="0.25">
      <c r="B972" s="15"/>
      <c r="C972" s="15"/>
      <c r="D972" s="534"/>
      <c r="E972" s="289"/>
      <c r="F972" s="15"/>
      <c r="G972" s="15"/>
      <c r="H972" s="15"/>
      <c r="I972" s="15"/>
      <c r="J972" s="15"/>
      <c r="K972" s="15"/>
      <c r="L972" s="15"/>
      <c r="M972" s="15"/>
      <c r="N972" s="15"/>
    </row>
    <row r="973" spans="2:16" ht="12.75" customHeight="1" x14ac:dyDescent="0.25">
      <c r="B973" s="15"/>
      <c r="C973" s="15"/>
      <c r="D973" s="15"/>
      <c r="E973" s="416"/>
      <c r="F973" s="623"/>
      <c r="G973" s="623"/>
      <c r="H973" s="623"/>
      <c r="I973" s="623"/>
      <c r="J973" s="623"/>
      <c r="K973" s="623"/>
      <c r="L973" s="623"/>
      <c r="M973" s="623"/>
      <c r="N973" s="623"/>
    </row>
    <row r="974" spans="2:16" ht="13.5" thickBot="1" x14ac:dyDescent="0.3">
      <c r="B974" s="15"/>
      <c r="C974" s="15"/>
      <c r="D974" s="15"/>
      <c r="E974" s="416"/>
      <c r="F974" s="623"/>
      <c r="G974" s="623"/>
      <c r="H974" s="415" t="str">
        <f>Translations!$B$1014</f>
        <v>Enhet</v>
      </c>
      <c r="I974" s="744">
        <v>2014</v>
      </c>
      <c r="J974" s="362">
        <v>2015</v>
      </c>
      <c r="K974" s="362">
        <v>2016</v>
      </c>
      <c r="L974" s="362">
        <v>2017</v>
      </c>
      <c r="M974" s="362">
        <v>2018</v>
      </c>
      <c r="N974" s="623"/>
    </row>
    <row r="975" spans="2:16" ht="13.5" customHeight="1" thickBot="1" x14ac:dyDescent="0.3">
      <c r="B975" s="15"/>
      <c r="C975" s="15"/>
      <c r="D975" s="15"/>
      <c r="E975" s="2074" t="str">
        <f>Translations!$B$1056</f>
        <v>Totala tillskrivna utsläpp</v>
      </c>
      <c r="F975" s="2074"/>
      <c r="G975" s="2074"/>
      <c r="H975" s="710" t="str">
        <f>EUconst_tCO2epa</f>
        <v>t CO2e/år</v>
      </c>
      <c r="I975" s="735" t="str">
        <f>[1]K_Summary!I965</f>
        <v/>
      </c>
      <c r="J975" s="736" t="str">
        <f>[1]K_Summary!J965</f>
        <v/>
      </c>
      <c r="K975" s="736" t="str">
        <f>[1]K_Summary!K965</f>
        <v/>
      </c>
      <c r="L975" s="736" t="str">
        <f>[1]K_Summary!L965</f>
        <v/>
      </c>
      <c r="M975" s="737" t="str">
        <f>[1]K_Summary!M965</f>
        <v/>
      </c>
      <c r="N975" s="623"/>
    </row>
    <row r="976" spans="2:16" ht="5.15" customHeight="1" x14ac:dyDescent="0.25">
      <c r="B976" s="15"/>
      <c r="C976" s="15"/>
      <c r="D976" s="15"/>
      <c r="E976" s="416"/>
      <c r="F976" s="416"/>
      <c r="G976" s="416"/>
      <c r="H976" s="416"/>
      <c r="I976" s="738"/>
      <c r="J976" s="738"/>
      <c r="K976" s="738"/>
      <c r="L976" s="738"/>
      <c r="M976" s="738"/>
      <c r="N976" s="416"/>
    </row>
    <row r="977" spans="2:14" x14ac:dyDescent="0.25">
      <c r="B977" s="15"/>
      <c r="C977" s="15"/>
      <c r="D977" s="15"/>
      <c r="E977" s="2087" t="str">
        <f>Translations!$B$571</f>
        <v>Insatsbränsle</v>
      </c>
      <c r="F977" s="2087"/>
      <c r="G977" s="2087"/>
      <c r="H977" s="1606" t="str">
        <f>EUconst_TJpa</f>
        <v>TJ / år</v>
      </c>
      <c r="I977" s="739" t="str">
        <f>[1]K_Summary!I967</f>
        <v/>
      </c>
      <c r="J977" s="739" t="str">
        <f>[1]K_Summary!J967</f>
        <v/>
      </c>
      <c r="K977" s="739" t="str">
        <f>[1]K_Summary!K967</f>
        <v/>
      </c>
      <c r="L977" s="739" t="str">
        <f>[1]K_Summary!L967</f>
        <v/>
      </c>
      <c r="M977" s="739" t="str">
        <f>[1]K_Summary!M967</f>
        <v/>
      </c>
      <c r="N977" s="623"/>
    </row>
    <row r="978" spans="2:14" ht="12.75" customHeight="1" x14ac:dyDescent="0.25">
      <c r="B978" s="15"/>
      <c r="C978" s="15"/>
      <c r="D978" s="15"/>
      <c r="E978" s="2088" t="str">
        <f>Translations!$B$572</f>
        <v>Viktad emissionsfaktor</v>
      </c>
      <c r="F978" s="2088"/>
      <c r="G978" s="2088"/>
      <c r="H978" s="624" t="str">
        <f>EUconst_tCO2pTJ</f>
        <v>t CO2 / TJ</v>
      </c>
      <c r="I978" s="740" t="str">
        <f>[1]K_Summary!I968</f>
        <v/>
      </c>
      <c r="J978" s="740" t="str">
        <f>[1]K_Summary!J968</f>
        <v/>
      </c>
      <c r="K978" s="740" t="str">
        <f>[1]K_Summary!K968</f>
        <v/>
      </c>
      <c r="L978" s="740" t="str">
        <f>[1]K_Summary!L968</f>
        <v/>
      </c>
      <c r="M978" s="740" t="str">
        <f>[1]K_Summary!M968</f>
        <v/>
      </c>
      <c r="N978" s="623"/>
    </row>
    <row r="979" spans="2:14" ht="5.15" customHeight="1" x14ac:dyDescent="0.25">
      <c r="B979" s="15"/>
      <c r="C979" s="15"/>
      <c r="D979" s="534"/>
      <c r="E979" s="416"/>
      <c r="F979" s="623"/>
      <c r="G979" s="623"/>
      <c r="H979" s="623"/>
      <c r="I979" s="741"/>
      <c r="J979" s="741"/>
      <c r="K979" s="741"/>
      <c r="L979" s="741"/>
      <c r="M979" s="741"/>
      <c r="N979" s="623"/>
    </row>
    <row r="980" spans="2:14" ht="12.75" customHeight="1" x14ac:dyDescent="0.25">
      <c r="B980" s="15"/>
      <c r="C980" s="15"/>
      <c r="D980" s="534"/>
      <c r="E980" s="2080" t="str">
        <f>Translations!$B$528</f>
        <v>Direkta utsläpp</v>
      </c>
      <c r="F980" s="2080"/>
      <c r="G980" s="2080"/>
      <c r="H980" s="363" t="str">
        <f>EUconst_tCO2pa</f>
        <v>t CO2 / år</v>
      </c>
      <c r="I980" s="742" t="str">
        <f>[1]K_Summary!I970</f>
        <v/>
      </c>
      <c r="J980" s="742" t="str">
        <f>[1]K_Summary!J970</f>
        <v/>
      </c>
      <c r="K980" s="742" t="str">
        <f>[1]K_Summary!K970</f>
        <v/>
      </c>
      <c r="L980" s="742" t="str">
        <f>[1]K_Summary!L970</f>
        <v/>
      </c>
      <c r="M980" s="742" t="str">
        <f>[1]K_Summary!M970</f>
        <v/>
      </c>
      <c r="N980" s="623"/>
    </row>
    <row r="981" spans="2:14" ht="12.75" customHeight="1" x14ac:dyDescent="0.25">
      <c r="B981" s="15"/>
      <c r="C981" s="15"/>
      <c r="D981" s="534"/>
      <c r="E981" s="2080" t="str">
        <f>Translations!$B$582</f>
        <v>Andra bränsle-/materialmängder – 1</v>
      </c>
      <c r="F981" s="2080"/>
      <c r="G981" s="2080"/>
      <c r="H981" s="363" t="str">
        <f>EUconst_tCO2pa</f>
        <v>t CO2 / år</v>
      </c>
      <c r="I981" s="742" t="str">
        <f>[1]K_Summary!I971</f>
        <v/>
      </c>
      <c r="J981" s="742" t="str">
        <f>[1]K_Summary!J971</f>
        <v/>
      </c>
      <c r="K981" s="742" t="str">
        <f>[1]K_Summary!K971</f>
        <v/>
      </c>
      <c r="L981" s="742" t="str">
        <f>[1]K_Summary!L971</f>
        <v/>
      </c>
      <c r="M981" s="742" t="str">
        <f>[1]K_Summary!M971</f>
        <v/>
      </c>
      <c r="N981" s="623"/>
    </row>
    <row r="982" spans="2:14" ht="12.75" customHeight="1" x14ac:dyDescent="0.25">
      <c r="B982" s="15"/>
      <c r="C982" s="15"/>
      <c r="D982" s="534"/>
      <c r="E982" s="2080" t="str">
        <f>Translations!$B$592</f>
        <v>Andra bränsle-/materialmängder – 2</v>
      </c>
      <c r="F982" s="2080"/>
      <c r="G982" s="2080"/>
      <c r="H982" s="363" t="str">
        <f>EUconst_tCO2pa</f>
        <v>t CO2 / år</v>
      </c>
      <c r="I982" s="742" t="str">
        <f>[1]K_Summary!I972</f>
        <v/>
      </c>
      <c r="J982" s="742" t="str">
        <f>[1]K_Summary!J972</f>
        <v/>
      </c>
      <c r="K982" s="742" t="str">
        <f>[1]K_Summary!K972</f>
        <v/>
      </c>
      <c r="L982" s="742" t="str">
        <f>[1]K_Summary!L972</f>
        <v/>
      </c>
      <c r="M982" s="742" t="str">
        <f>[1]K_Summary!M972</f>
        <v/>
      </c>
      <c r="N982" s="623"/>
    </row>
    <row r="983" spans="2:14" ht="12.75" customHeight="1" x14ac:dyDescent="0.25">
      <c r="B983" s="15"/>
      <c r="C983" s="15"/>
      <c r="D983" s="15"/>
      <c r="E983" s="2080" t="str">
        <f>Translations!$B$596</f>
        <v>Importerade eller exporterade växthusgaser</v>
      </c>
      <c r="F983" s="2080"/>
      <c r="G983" s="2080"/>
      <c r="H983" s="363" t="str">
        <f>EUconst_tCO2epa</f>
        <v>t CO2e/år</v>
      </c>
      <c r="I983" s="742" t="str">
        <f>[1]K_Summary!I973</f>
        <v/>
      </c>
      <c r="J983" s="742" t="str">
        <f>[1]K_Summary!J973</f>
        <v/>
      </c>
      <c r="K983" s="742" t="str">
        <f>[1]K_Summary!K973</f>
        <v/>
      </c>
      <c r="L983" s="742" t="str">
        <f>[1]K_Summary!L973</f>
        <v/>
      </c>
      <c r="M983" s="742" t="str">
        <f>[1]K_Summary!M973</f>
        <v/>
      </c>
      <c r="N983" s="623"/>
    </row>
    <row r="984" spans="2:14" ht="5.15" customHeight="1" x14ac:dyDescent="0.25">
      <c r="B984" s="15"/>
      <c r="C984" s="15"/>
      <c r="D984" s="15"/>
      <c r="E984" s="623"/>
      <c r="F984" s="623"/>
      <c r="G984" s="623"/>
      <c r="H984" s="623"/>
      <c r="I984" s="741"/>
      <c r="J984" s="741"/>
      <c r="K984" s="741"/>
      <c r="L984" s="741"/>
      <c r="M984" s="741"/>
      <c r="N984" s="623"/>
    </row>
    <row r="985" spans="2:14" ht="12.75" customHeight="1" x14ac:dyDescent="0.25">
      <c r="B985" s="15"/>
      <c r="C985" s="15"/>
      <c r="D985" s="15"/>
      <c r="E985" s="2087" t="str">
        <f>Translations!$B$604</f>
        <v>Nettomängd importerad värme</v>
      </c>
      <c r="F985" s="2087"/>
      <c r="G985" s="2087"/>
      <c r="H985" s="1606" t="str">
        <f>EUconst_TJpa</f>
        <v>TJ / år</v>
      </c>
      <c r="I985" s="739" t="str">
        <f>[1]K_Summary!I975</f>
        <v/>
      </c>
      <c r="J985" s="739" t="str">
        <f>[1]K_Summary!J975</f>
        <v/>
      </c>
      <c r="K985" s="739" t="str">
        <f>[1]K_Summary!K975</f>
        <v/>
      </c>
      <c r="L985" s="739" t="str">
        <f>[1]K_Summary!L975</f>
        <v/>
      </c>
      <c r="M985" s="739" t="str">
        <f>[1]K_Summary!M975</f>
        <v/>
      </c>
      <c r="N985" s="623"/>
    </row>
    <row r="986" spans="2:14" ht="12.75" customHeight="1" x14ac:dyDescent="0.25">
      <c r="B986" s="15"/>
      <c r="C986" s="15"/>
      <c r="D986" s="15"/>
      <c r="E986" s="2088" t="str">
        <f>Translations!$B$605</f>
        <v>Särskild emissionsfaktor (importerad värme)</v>
      </c>
      <c r="F986" s="2088"/>
      <c r="G986" s="2088"/>
      <c r="H986" s="624" t="str">
        <f>EUconst_tCO2pTJ</f>
        <v>t CO2 / TJ</v>
      </c>
      <c r="I986" s="740" t="str">
        <f>[1]K_Summary!I976</f>
        <v/>
      </c>
      <c r="J986" s="740" t="str">
        <f>[1]K_Summary!J976</f>
        <v/>
      </c>
      <c r="K986" s="740" t="str">
        <f>[1]K_Summary!K976</f>
        <v/>
      </c>
      <c r="L986" s="740" t="str">
        <f>[1]K_Summary!L976</f>
        <v/>
      </c>
      <c r="M986" s="740" t="str">
        <f>[1]K_Summary!M976</f>
        <v/>
      </c>
      <c r="N986" s="623"/>
    </row>
    <row r="987" spans="2:14" ht="5.15" customHeight="1" x14ac:dyDescent="0.25">
      <c r="B987" s="15"/>
      <c r="C987" s="15"/>
      <c r="D987" s="15"/>
      <c r="E987" s="416"/>
      <c r="F987" s="623"/>
      <c r="G987" s="623"/>
      <c r="H987" s="623"/>
      <c r="I987" s="741"/>
      <c r="J987" s="741"/>
      <c r="K987" s="741"/>
      <c r="L987" s="741"/>
      <c r="M987" s="741"/>
      <c r="N987" s="623"/>
    </row>
    <row r="988" spans="2:14" ht="12.75" customHeight="1" x14ac:dyDescent="0.25">
      <c r="B988" s="15"/>
      <c r="C988" s="15"/>
      <c r="D988" s="15"/>
      <c r="E988" s="2080" t="str">
        <f>Translations!$B$659</f>
        <v>Importerad nettovärme från massa</v>
      </c>
      <c r="F988" s="2080"/>
      <c r="G988" s="2080"/>
      <c r="H988" s="363" t="str">
        <f>EUconst_TJpa</f>
        <v>TJ / år</v>
      </c>
      <c r="I988" s="742" t="str">
        <f>[1]K_Summary!I978</f>
        <v/>
      </c>
      <c r="J988" s="742" t="str">
        <f>[1]K_Summary!J978</f>
        <v/>
      </c>
      <c r="K988" s="742" t="str">
        <f>[1]K_Summary!K978</f>
        <v/>
      </c>
      <c r="L988" s="742" t="str">
        <f>[1]K_Summary!L978</f>
        <v/>
      </c>
      <c r="M988" s="742" t="str">
        <f>[1]K_Summary!M978</f>
        <v/>
      </c>
      <c r="N988" s="623"/>
    </row>
    <row r="989" spans="2:14" ht="12.75" customHeight="1" x14ac:dyDescent="0.25">
      <c r="B989" s="15"/>
      <c r="C989" s="15"/>
      <c r="D989" s="15"/>
      <c r="E989" s="2080" t="str">
        <f>Translations!$B$608</f>
        <v>Nettomängd importerad värme från delanläggningar för salpetersyra</v>
      </c>
      <c r="F989" s="2080"/>
      <c r="G989" s="2080"/>
      <c r="H989" s="363" t="str">
        <f>EUconst_TJpa</f>
        <v>TJ / år</v>
      </c>
      <c r="I989" s="742" t="str">
        <f>[1]K_Summary!I979</f>
        <v/>
      </c>
      <c r="J989" s="742" t="str">
        <f>[1]K_Summary!J979</f>
        <v/>
      </c>
      <c r="K989" s="742" t="str">
        <f>[1]K_Summary!K979</f>
        <v/>
      </c>
      <c r="L989" s="742" t="str">
        <f>[1]K_Summary!L979</f>
        <v/>
      </c>
      <c r="M989" s="742" t="str">
        <f>[1]K_Summary!M979</f>
        <v/>
      </c>
      <c r="N989" s="623"/>
    </row>
    <row r="990" spans="2:14" ht="5.15" customHeight="1" x14ac:dyDescent="0.25">
      <c r="B990" s="15"/>
      <c r="C990" s="15"/>
      <c r="D990" s="15"/>
      <c r="E990" s="416"/>
      <c r="F990" s="416"/>
      <c r="G990" s="416"/>
      <c r="H990" s="416"/>
      <c r="I990" s="741"/>
      <c r="J990" s="741"/>
      <c r="K990" s="741"/>
      <c r="L990" s="741"/>
      <c r="M990" s="741"/>
      <c r="N990" s="623"/>
    </row>
    <row r="991" spans="2:14" ht="12.75" customHeight="1" x14ac:dyDescent="0.25">
      <c r="B991" s="15"/>
      <c r="C991" s="15"/>
      <c r="D991" s="15"/>
      <c r="E991" s="2087" t="str">
        <f>Translations!$B$610</f>
        <v>Nettomängd exporterad värme</v>
      </c>
      <c r="F991" s="2087"/>
      <c r="G991" s="2087"/>
      <c r="H991" s="1606" t="str">
        <f>EUconst_TJpa</f>
        <v>TJ / år</v>
      </c>
      <c r="I991" s="739" t="str">
        <f>[1]K_Summary!I981</f>
        <v/>
      </c>
      <c r="J991" s="739" t="str">
        <f>[1]K_Summary!J981</f>
        <v/>
      </c>
      <c r="K991" s="739" t="str">
        <f>[1]K_Summary!K981</f>
        <v/>
      </c>
      <c r="L991" s="739" t="str">
        <f>[1]K_Summary!L981</f>
        <v/>
      </c>
      <c r="M991" s="739" t="str">
        <f>[1]K_Summary!M981</f>
        <v/>
      </c>
      <c r="N991" s="623"/>
    </row>
    <row r="992" spans="2:14" ht="12.75" customHeight="1" x14ac:dyDescent="0.25">
      <c r="B992" s="15"/>
      <c r="C992" s="15"/>
      <c r="D992" s="15"/>
      <c r="E992" s="2088" t="str">
        <f>Translations!$B$611</f>
        <v>Särskild emissionsfaktor (exporterad värme)</v>
      </c>
      <c r="F992" s="2088"/>
      <c r="G992" s="2088"/>
      <c r="H992" s="624" t="str">
        <f>EUconst_tCO2pTJ</f>
        <v>t CO2 / TJ</v>
      </c>
      <c r="I992" s="740" t="str">
        <f>[1]K_Summary!I982</f>
        <v/>
      </c>
      <c r="J992" s="740" t="str">
        <f>[1]K_Summary!J982</f>
        <v/>
      </c>
      <c r="K992" s="740" t="str">
        <f>[1]K_Summary!K982</f>
        <v/>
      </c>
      <c r="L992" s="740" t="str">
        <f>[1]K_Summary!L982</f>
        <v/>
      </c>
      <c r="M992" s="740" t="str">
        <f>[1]K_Summary!M982</f>
        <v/>
      </c>
      <c r="N992" s="623"/>
    </row>
    <row r="993" spans="2:14" ht="5.15" customHeight="1" x14ac:dyDescent="0.25">
      <c r="B993" s="15"/>
      <c r="C993" s="15"/>
      <c r="D993" s="15"/>
      <c r="E993" s="416"/>
      <c r="F993" s="416"/>
      <c r="G993" s="416"/>
      <c r="H993" s="416"/>
      <c r="I993" s="741"/>
      <c r="J993" s="741"/>
      <c r="K993" s="741"/>
      <c r="L993" s="741"/>
      <c r="M993" s="741"/>
      <c r="N993" s="623"/>
    </row>
    <row r="994" spans="2:14" ht="12.75" customHeight="1" x14ac:dyDescent="0.25">
      <c r="B994" s="15"/>
      <c r="C994" s="15"/>
      <c r="D994" s="15"/>
      <c r="E994" s="2087" t="str">
        <f>Translations!$B$618</f>
        <v>Producerad restgas</v>
      </c>
      <c r="F994" s="2087"/>
      <c r="G994" s="2087"/>
      <c r="H994" s="1606" t="str">
        <f>EUconst_TJpa</f>
        <v>TJ / år</v>
      </c>
      <c r="I994" s="739" t="str">
        <f>[1]K_Summary!I984</f>
        <v/>
      </c>
      <c r="J994" s="739" t="str">
        <f>[1]K_Summary!J984</f>
        <v/>
      </c>
      <c r="K994" s="739" t="str">
        <f>[1]K_Summary!K984</f>
        <v/>
      </c>
      <c r="L994" s="739" t="str">
        <f>[1]K_Summary!L984</f>
        <v/>
      </c>
      <c r="M994" s="739" t="str">
        <f>[1]K_Summary!M984</f>
        <v/>
      </c>
      <c r="N994" s="623"/>
    </row>
    <row r="995" spans="2:14" ht="12.75" customHeight="1" x14ac:dyDescent="0.25">
      <c r="B995" s="15"/>
      <c r="C995" s="15"/>
      <c r="D995" s="15"/>
      <c r="E995" s="2088" t="str">
        <f>Translations!$B$619</f>
        <v>Särskild emissionsfaktor (producerad restgas)</v>
      </c>
      <c r="F995" s="2088"/>
      <c r="G995" s="2088"/>
      <c r="H995" s="624" t="str">
        <f>EUconst_tCO2pTJ</f>
        <v>t CO2 / TJ</v>
      </c>
      <c r="I995" s="740" t="str">
        <f>[1]K_Summary!I985</f>
        <v/>
      </c>
      <c r="J995" s="740" t="str">
        <f>[1]K_Summary!J985</f>
        <v/>
      </c>
      <c r="K995" s="740" t="str">
        <f>[1]K_Summary!K985</f>
        <v/>
      </c>
      <c r="L995" s="740" t="str">
        <f>[1]K_Summary!L985</f>
        <v/>
      </c>
      <c r="M995" s="740" t="str">
        <f>[1]K_Summary!M985</f>
        <v/>
      </c>
      <c r="N995" s="623"/>
    </row>
    <row r="996" spans="2:14" ht="12.75" customHeight="1" x14ac:dyDescent="0.25">
      <c r="B996" s="15"/>
      <c r="C996" s="15"/>
      <c r="D996" s="15"/>
      <c r="E996" s="2087" t="str">
        <f>Translations!$B$623</f>
        <v>Förbrukad restgas</v>
      </c>
      <c r="F996" s="2087"/>
      <c r="G996" s="2087"/>
      <c r="H996" s="1606" t="str">
        <f>EUconst_TJpa</f>
        <v>TJ / år</v>
      </c>
      <c r="I996" s="739" t="str">
        <f>[1]K_Summary!I986</f>
        <v/>
      </c>
      <c r="J996" s="739" t="str">
        <f>[1]K_Summary!J986</f>
        <v/>
      </c>
      <c r="K996" s="739" t="str">
        <f>[1]K_Summary!K986</f>
        <v/>
      </c>
      <c r="L996" s="739" t="str">
        <f>[1]K_Summary!L986</f>
        <v/>
      </c>
      <c r="M996" s="739" t="str">
        <f>[1]K_Summary!M986</f>
        <v/>
      </c>
      <c r="N996" s="623"/>
    </row>
    <row r="997" spans="2:14" ht="12.75" customHeight="1" x14ac:dyDescent="0.25">
      <c r="B997" s="15"/>
      <c r="C997" s="15"/>
      <c r="D997" s="15"/>
      <c r="E997" s="2088" t="str">
        <f>Translations!$B$624</f>
        <v>Särskild emissionsfaktor (förbrukad restgas)</v>
      </c>
      <c r="F997" s="2088"/>
      <c r="G997" s="2088"/>
      <c r="H997" s="624" t="str">
        <f>EUconst_tCO2pTJ</f>
        <v>t CO2 / TJ</v>
      </c>
      <c r="I997" s="740" t="str">
        <f>[1]K_Summary!I987</f>
        <v/>
      </c>
      <c r="J997" s="740" t="str">
        <f>[1]K_Summary!J987</f>
        <v/>
      </c>
      <c r="K997" s="740" t="str">
        <f>[1]K_Summary!K987</f>
        <v/>
      </c>
      <c r="L997" s="740" t="str">
        <f>[1]K_Summary!L987</f>
        <v/>
      </c>
      <c r="M997" s="740" t="str">
        <f>[1]K_Summary!M987</f>
        <v/>
      </c>
      <c r="N997" s="623"/>
    </row>
    <row r="998" spans="2:14" ht="12.75" customHeight="1" x14ac:dyDescent="0.25">
      <c r="B998" s="15"/>
      <c r="C998" s="15"/>
      <c r="D998" s="15"/>
      <c r="E998" s="2087" t="str">
        <f>Translations!$B$630</f>
        <v>Facklad restgas</v>
      </c>
      <c r="F998" s="2087"/>
      <c r="G998" s="2087"/>
      <c r="H998" s="1606" t="str">
        <f>EUconst_TJpa</f>
        <v>TJ / år</v>
      </c>
      <c r="I998" s="739" t="str">
        <f>[1]K_Summary!I988</f>
        <v/>
      </c>
      <c r="J998" s="739" t="str">
        <f>[1]K_Summary!J988</f>
        <v/>
      </c>
      <c r="K998" s="739" t="str">
        <f>[1]K_Summary!K988</f>
        <v/>
      </c>
      <c r="L998" s="739" t="str">
        <f>[1]K_Summary!L988</f>
        <v/>
      </c>
      <c r="M998" s="739" t="str">
        <f>[1]K_Summary!M988</f>
        <v/>
      </c>
      <c r="N998" s="623"/>
    </row>
    <row r="999" spans="2:14" ht="12.75" customHeight="1" x14ac:dyDescent="0.25">
      <c r="B999" s="15"/>
      <c r="C999" s="15"/>
      <c r="D999" s="15"/>
      <c r="E999" s="2088" t="str">
        <f>Translations!$B$631</f>
        <v>Särskild emissionsfaktor (facklad restgas)</v>
      </c>
      <c r="F999" s="2088"/>
      <c r="G999" s="2088"/>
      <c r="H999" s="624" t="str">
        <f>EUconst_tCO2pTJ</f>
        <v>t CO2 / TJ</v>
      </c>
      <c r="I999" s="740" t="str">
        <f>[1]K_Summary!I989</f>
        <v/>
      </c>
      <c r="J999" s="740" t="str">
        <f>[1]K_Summary!J989</f>
        <v/>
      </c>
      <c r="K999" s="740" t="str">
        <f>[1]K_Summary!K989</f>
        <v/>
      </c>
      <c r="L999" s="740" t="str">
        <f>[1]K_Summary!L989</f>
        <v/>
      </c>
      <c r="M999" s="740" t="str">
        <f>[1]K_Summary!M989</f>
        <v/>
      </c>
      <c r="N999" s="623"/>
    </row>
    <row r="1000" spans="2:14" ht="12.75" customHeight="1" x14ac:dyDescent="0.25">
      <c r="B1000" s="15"/>
      <c r="C1000" s="15"/>
      <c r="D1000" s="15"/>
      <c r="E1000" s="2087" t="str">
        <f>Translations!$B$636</f>
        <v>Importerad restgas</v>
      </c>
      <c r="F1000" s="2087"/>
      <c r="G1000" s="2087"/>
      <c r="H1000" s="1606" t="str">
        <f>EUconst_TJpa</f>
        <v>TJ / år</v>
      </c>
      <c r="I1000" s="739" t="str">
        <f>[1]K_Summary!I990</f>
        <v/>
      </c>
      <c r="J1000" s="739" t="str">
        <f>[1]K_Summary!J990</f>
        <v/>
      </c>
      <c r="K1000" s="739" t="str">
        <f>[1]K_Summary!K990</f>
        <v/>
      </c>
      <c r="L1000" s="739" t="str">
        <f>[1]K_Summary!L990</f>
        <v/>
      </c>
      <c r="M1000" s="739" t="str">
        <f>[1]K_Summary!M990</f>
        <v/>
      </c>
      <c r="N1000" s="623"/>
    </row>
    <row r="1001" spans="2:14" ht="12.75" customHeight="1" x14ac:dyDescent="0.25">
      <c r="B1001" s="15"/>
      <c r="C1001" s="15"/>
      <c r="D1001" s="15"/>
      <c r="E1001" s="2088" t="str">
        <f>Translations!$B$637</f>
        <v>Särskild emissionsfaktor (importerad restgas)</v>
      </c>
      <c r="F1001" s="2088"/>
      <c r="G1001" s="2088"/>
      <c r="H1001" s="624" t="str">
        <f>EUconst_tCO2pTJ</f>
        <v>t CO2 / TJ</v>
      </c>
      <c r="I1001" s="740" t="str">
        <f>[1]K_Summary!I991</f>
        <v/>
      </c>
      <c r="J1001" s="740" t="str">
        <f>[1]K_Summary!J991</f>
        <v/>
      </c>
      <c r="K1001" s="740" t="str">
        <f>[1]K_Summary!K991</f>
        <v/>
      </c>
      <c r="L1001" s="740" t="str">
        <f>[1]K_Summary!L991</f>
        <v/>
      </c>
      <c r="M1001" s="740" t="str">
        <f>[1]K_Summary!M991</f>
        <v/>
      </c>
      <c r="N1001" s="623"/>
    </row>
    <row r="1002" spans="2:14" ht="12.75" customHeight="1" x14ac:dyDescent="0.25">
      <c r="B1002" s="15"/>
      <c r="C1002" s="15"/>
      <c r="D1002" s="15"/>
      <c r="E1002" s="2087" t="str">
        <f>Translations!$B$641</f>
        <v>Exporterad restgas</v>
      </c>
      <c r="F1002" s="2087"/>
      <c r="G1002" s="2087"/>
      <c r="H1002" s="1606" t="str">
        <f>EUconst_TJpa</f>
        <v>TJ / år</v>
      </c>
      <c r="I1002" s="739" t="str">
        <f>[1]K_Summary!I992</f>
        <v/>
      </c>
      <c r="J1002" s="739" t="str">
        <f>[1]K_Summary!J992</f>
        <v/>
      </c>
      <c r="K1002" s="739" t="str">
        <f>[1]K_Summary!K992</f>
        <v/>
      </c>
      <c r="L1002" s="739" t="str">
        <f>[1]K_Summary!L992</f>
        <v/>
      </c>
      <c r="M1002" s="739" t="str">
        <f>[1]K_Summary!M992</f>
        <v/>
      </c>
      <c r="N1002" s="623"/>
    </row>
    <row r="1003" spans="2:14" ht="12.75" customHeight="1" x14ac:dyDescent="0.25">
      <c r="B1003" s="15"/>
      <c r="C1003" s="15"/>
      <c r="D1003" s="15"/>
      <c r="E1003" s="2088" t="str">
        <f>Translations!$B$642</f>
        <v>Särskild emissionsfaktor (exporterad restgas)</v>
      </c>
      <c r="F1003" s="2088"/>
      <c r="G1003" s="2088"/>
      <c r="H1003" s="624" t="str">
        <f>EUconst_tCO2pTJ</f>
        <v>t CO2 / TJ</v>
      </c>
      <c r="I1003" s="740" t="str">
        <f>[1]K_Summary!I993</f>
        <v/>
      </c>
      <c r="J1003" s="740" t="str">
        <f>[1]K_Summary!J993</f>
        <v/>
      </c>
      <c r="K1003" s="740" t="str">
        <f>[1]K_Summary!K993</f>
        <v/>
      </c>
      <c r="L1003" s="740" t="str">
        <f>[1]K_Summary!L993</f>
        <v/>
      </c>
      <c r="M1003" s="740" t="str">
        <f>[1]K_Summary!M993</f>
        <v/>
      </c>
      <c r="N1003" s="623"/>
    </row>
    <row r="1004" spans="2:14" ht="5.15" customHeight="1" x14ac:dyDescent="0.25">
      <c r="B1004" s="15"/>
      <c r="C1004" s="15"/>
      <c r="D1004" s="15"/>
      <c r="E1004" s="416"/>
      <c r="F1004" s="416"/>
      <c r="G1004" s="416"/>
      <c r="H1004" s="416"/>
      <c r="I1004" s="741"/>
      <c r="J1004" s="741"/>
      <c r="K1004" s="741"/>
      <c r="L1004" s="741"/>
      <c r="M1004" s="741"/>
      <c r="N1004" s="623"/>
    </row>
    <row r="1005" spans="2:14" ht="12.75" customHeight="1" x14ac:dyDescent="0.25">
      <c r="B1005" s="15"/>
      <c r="C1005" s="15"/>
      <c r="D1005" s="15"/>
      <c r="E1005" s="2080" t="str">
        <f>Translations!$B$530</f>
        <v>Relevant elförbrukning</v>
      </c>
      <c r="F1005" s="2080"/>
      <c r="G1005" s="2080"/>
      <c r="H1005" s="363" t="str">
        <f>EUconst_MWhpa</f>
        <v>MWh / år</v>
      </c>
      <c r="I1005" s="742" t="str">
        <f>[1]K_Summary!I995</f>
        <v/>
      </c>
      <c r="J1005" s="742" t="str">
        <f>[1]K_Summary!J995</f>
        <v/>
      </c>
      <c r="K1005" s="742" t="str">
        <f>[1]K_Summary!K995</f>
        <v/>
      </c>
      <c r="L1005" s="742" t="str">
        <f>[1]K_Summary!L995</f>
        <v/>
      </c>
      <c r="M1005" s="742" t="str">
        <f>[1]K_Summary!M995</f>
        <v/>
      </c>
      <c r="N1005" s="623"/>
    </row>
    <row r="1006" spans="2:14" ht="12.75" customHeight="1" x14ac:dyDescent="0.25">
      <c r="B1006" s="15"/>
      <c r="C1006" s="15"/>
      <c r="D1006" s="15"/>
      <c r="E1006" s="2080" t="str">
        <f>Translations!$B$645</f>
        <v>Producerad el</v>
      </c>
      <c r="F1006" s="2080"/>
      <c r="G1006" s="2080"/>
      <c r="H1006" s="363" t="str">
        <f>EUconst_MWhpa</f>
        <v>MWh / år</v>
      </c>
      <c r="I1006" s="742" t="str">
        <f>[1]K_Summary!I996</f>
        <v/>
      </c>
      <c r="J1006" s="742" t="str">
        <f>[1]K_Summary!J996</f>
        <v/>
      </c>
      <c r="K1006" s="742" t="str">
        <f>[1]K_Summary!K996</f>
        <v/>
      </c>
      <c r="L1006" s="742" t="str">
        <f>[1]K_Summary!L996</f>
        <v/>
      </c>
      <c r="M1006" s="742" t="str">
        <f>[1]K_Summary!M996</f>
        <v/>
      </c>
      <c r="N1006" s="623"/>
    </row>
    <row r="1007" spans="2:14" ht="5.15" customHeight="1" x14ac:dyDescent="0.25">
      <c r="B1007" s="15"/>
      <c r="C1007" s="15"/>
      <c r="D1007" s="15"/>
      <c r="E1007" s="416"/>
      <c r="F1007" s="416"/>
      <c r="G1007" s="416"/>
      <c r="H1007" s="416"/>
      <c r="I1007" s="741"/>
      <c r="J1007" s="741"/>
      <c r="K1007" s="741"/>
      <c r="L1007" s="741"/>
      <c r="M1007" s="741"/>
      <c r="N1007" s="623"/>
    </row>
    <row r="1008" spans="2:14" ht="12.75" customHeight="1" x14ac:dyDescent="0.25">
      <c r="B1008" s="15"/>
      <c r="C1008" s="15"/>
      <c r="D1008" s="15"/>
      <c r="E1008" s="2080" t="str">
        <f>Translations!$B$646</f>
        <v>Total producerad massamängd</v>
      </c>
      <c r="F1008" s="2080"/>
      <c r="G1008" s="2080"/>
      <c r="H1008" s="363" t="str">
        <f>Translations!$B$1117</f>
        <v>ton</v>
      </c>
      <c r="I1008" s="742" t="str">
        <f>[1]K_Summary!I998</f>
        <v/>
      </c>
      <c r="J1008" s="742" t="str">
        <f>[1]K_Summary!J998</f>
        <v/>
      </c>
      <c r="K1008" s="742" t="str">
        <f>[1]K_Summary!K998</f>
        <v/>
      </c>
      <c r="L1008" s="742" t="str">
        <f>[1]K_Summary!L998</f>
        <v/>
      </c>
      <c r="M1008" s="742" t="str">
        <f>[1]K_Summary!M998</f>
        <v/>
      </c>
      <c r="N1008" s="623"/>
    </row>
    <row r="1009" spans="2:16" ht="5.15" customHeight="1" x14ac:dyDescent="0.25">
      <c r="B1009" s="15"/>
      <c r="C1009" s="15"/>
      <c r="D1009" s="15"/>
      <c r="E1009" s="416"/>
      <c r="F1009" s="416"/>
      <c r="G1009" s="416"/>
      <c r="H1009" s="416"/>
      <c r="I1009" s="741"/>
      <c r="J1009" s="741"/>
      <c r="K1009" s="741"/>
      <c r="L1009" s="741"/>
      <c r="M1009" s="741"/>
      <c r="N1009" s="623"/>
    </row>
    <row r="1010" spans="2:16" x14ac:dyDescent="0.25">
      <c r="B1010" s="15"/>
      <c r="C1010" s="15"/>
      <c r="D1010" s="15"/>
      <c r="E1010" s="899" t="str">
        <f>Translations!$B$1057</f>
        <v>Mellanimport:</v>
      </c>
      <c r="F1010" s="416"/>
      <c r="G1010" s="416"/>
      <c r="H1010" s="416"/>
      <c r="I1010" s="741"/>
      <c r="J1010" s="741"/>
      <c r="K1010" s="741"/>
      <c r="L1010" s="741"/>
      <c r="M1010" s="741"/>
      <c r="N1010" s="623"/>
    </row>
    <row r="1011" spans="2:16" x14ac:dyDescent="0.25">
      <c r="B1011" s="15"/>
      <c r="C1011" s="15"/>
      <c r="D1011" s="15"/>
      <c r="E1011" s="2089" t="str">
        <f>[1]K_Summary!E1001</f>
        <v/>
      </c>
      <c r="F1011" s="2089"/>
      <c r="G1011" s="2089"/>
      <c r="H1011" s="363" t="str">
        <f>Translations!$B$1117</f>
        <v>ton</v>
      </c>
      <c r="I1011" s="742" t="str">
        <f>[1]K_Summary!I1001</f>
        <v/>
      </c>
      <c r="J1011" s="742" t="str">
        <f>[1]K_Summary!J1001</f>
        <v/>
      </c>
      <c r="K1011" s="742" t="str">
        <f>[1]K_Summary!K1001</f>
        <v/>
      </c>
      <c r="L1011" s="742" t="str">
        <f>[1]K_Summary!L1001</f>
        <v/>
      </c>
      <c r="M1011" s="742" t="str">
        <f>[1]K_Summary!M1001</f>
        <v/>
      </c>
      <c r="N1011" s="623"/>
    </row>
    <row r="1012" spans="2:16" x14ac:dyDescent="0.25">
      <c r="B1012" s="15"/>
      <c r="C1012" s="15"/>
      <c r="D1012" s="15"/>
      <c r="E1012" s="2089" t="str">
        <f>[1]K_Summary!E1002</f>
        <v/>
      </c>
      <c r="F1012" s="2089"/>
      <c r="G1012" s="2089"/>
      <c r="H1012" s="363" t="str">
        <f>Translations!$B$1117</f>
        <v>ton</v>
      </c>
      <c r="I1012" s="742" t="str">
        <f>[1]K_Summary!I1002</f>
        <v/>
      </c>
      <c r="J1012" s="742" t="str">
        <f>[1]K_Summary!J1002</f>
        <v/>
      </c>
      <c r="K1012" s="742" t="str">
        <f>[1]K_Summary!K1002</f>
        <v/>
      </c>
      <c r="L1012" s="742" t="str">
        <f>[1]K_Summary!L1002</f>
        <v/>
      </c>
      <c r="M1012" s="742" t="str">
        <f>[1]K_Summary!M1002</f>
        <v/>
      </c>
      <c r="N1012" s="623"/>
    </row>
    <row r="1013" spans="2:16" x14ac:dyDescent="0.25">
      <c r="B1013" s="15"/>
      <c r="C1013" s="15"/>
      <c r="D1013" s="15"/>
      <c r="E1013" s="899" t="str">
        <f>Translations!$B$1058</f>
        <v>Mellanexport:</v>
      </c>
      <c r="F1013" s="416"/>
      <c r="G1013" s="416"/>
      <c r="H1013" s="416"/>
      <c r="I1013" s="741"/>
      <c r="J1013" s="741"/>
      <c r="K1013" s="741"/>
      <c r="L1013" s="741"/>
      <c r="M1013" s="741"/>
      <c r="N1013" s="623"/>
    </row>
    <row r="1014" spans="2:16" x14ac:dyDescent="0.25">
      <c r="B1014" s="15"/>
      <c r="C1014" s="15"/>
      <c r="D1014" s="15"/>
      <c r="E1014" s="2089" t="str">
        <f>[1]K_Summary!E1004</f>
        <v/>
      </c>
      <c r="F1014" s="2089"/>
      <c r="G1014" s="2089"/>
      <c r="H1014" s="363" t="str">
        <f>Translations!$B$1117</f>
        <v>ton</v>
      </c>
      <c r="I1014" s="742" t="str">
        <f>[1]K_Summary!I1004</f>
        <v/>
      </c>
      <c r="J1014" s="742" t="str">
        <f>[1]K_Summary!J1004</f>
        <v/>
      </c>
      <c r="K1014" s="742" t="str">
        <f>[1]K_Summary!K1004</f>
        <v/>
      </c>
      <c r="L1014" s="742" t="str">
        <f>[1]K_Summary!L1004</f>
        <v/>
      </c>
      <c r="M1014" s="742" t="str">
        <f>[1]K_Summary!M1004</f>
        <v/>
      </c>
      <c r="N1014" s="623"/>
    </row>
    <row r="1015" spans="2:16" x14ac:dyDescent="0.25">
      <c r="B1015" s="15"/>
      <c r="C1015" s="15"/>
      <c r="D1015" s="15"/>
      <c r="E1015" s="2089" t="str">
        <f>[1]K_Summary!E1005</f>
        <v/>
      </c>
      <c r="F1015" s="2089"/>
      <c r="G1015" s="2089"/>
      <c r="H1015" s="363" t="str">
        <f>Translations!$B$1117</f>
        <v>ton</v>
      </c>
      <c r="I1015" s="742" t="str">
        <f>[1]K_Summary!I1005</f>
        <v/>
      </c>
      <c r="J1015" s="742" t="str">
        <f>[1]K_Summary!J1005</f>
        <v/>
      </c>
      <c r="K1015" s="742" t="str">
        <f>[1]K_Summary!K1005</f>
        <v/>
      </c>
      <c r="L1015" s="742" t="str">
        <f>[1]K_Summary!L1005</f>
        <v/>
      </c>
      <c r="M1015" s="742" t="str">
        <f>[1]K_Summary!M1005</f>
        <v/>
      </c>
      <c r="N1015" s="623"/>
    </row>
    <row r="1016" spans="2:16" ht="12.75" customHeight="1" x14ac:dyDescent="0.25">
      <c r="B1016" s="15"/>
      <c r="C1016" s="15"/>
      <c r="D1016" s="15"/>
      <c r="E1016" s="416"/>
      <c r="F1016" s="416"/>
      <c r="G1016" s="416"/>
      <c r="H1016" s="416"/>
      <c r="I1016" s="623"/>
      <c r="J1016" s="623"/>
      <c r="K1016" s="623"/>
      <c r="L1016" s="623"/>
      <c r="M1016" s="623"/>
      <c r="N1016" s="623"/>
    </row>
    <row r="1017" spans="2:16" ht="5.15" customHeight="1" thickBot="1" x14ac:dyDescent="0.3">
      <c r="B1017" s="15"/>
      <c r="C1017" s="15"/>
      <c r="D1017" s="15"/>
      <c r="E1017" s="748"/>
      <c r="F1017" s="534"/>
      <c r="G1017" s="534"/>
      <c r="H1017" s="534"/>
      <c r="I1017" s="534"/>
      <c r="J1017" s="534"/>
      <c r="K1017" s="534"/>
      <c r="L1017" s="534"/>
      <c r="M1017" s="534"/>
      <c r="N1017" s="534"/>
    </row>
    <row r="1018" spans="2:16" ht="5.15" customHeight="1" x14ac:dyDescent="0.25">
      <c r="B1018" s="3"/>
      <c r="C1018" s="230"/>
      <c r="D1018" s="230"/>
      <c r="E1018" s="230"/>
      <c r="F1018" s="230"/>
      <c r="G1018" s="230"/>
      <c r="H1018" s="230"/>
      <c r="I1018" s="230"/>
      <c r="J1018" s="230"/>
      <c r="K1018" s="230"/>
      <c r="L1018" s="230"/>
      <c r="M1018" s="230"/>
      <c r="N1018" s="230"/>
    </row>
    <row r="1019" spans="2:16" ht="15" customHeight="1" x14ac:dyDescent="0.3">
      <c r="B1019" s="15"/>
      <c r="C1019" s="17">
        <v>10</v>
      </c>
      <c r="D1019" s="2053" t="str">
        <f>Euconst_ProdBMSub &amp; " " &amp; C1019 &amp; ":"</f>
        <v>Delanläggning med produktriktmärke 10:</v>
      </c>
      <c r="E1019" s="2053"/>
      <c r="F1019" s="2053"/>
      <c r="G1019" s="2053"/>
      <c r="H1019" s="2081"/>
      <c r="I1019" s="2090" t="str">
        <f>[1]K_Summary!I1009</f>
        <v/>
      </c>
      <c r="J1019" s="2091"/>
      <c r="K1019" s="2091"/>
      <c r="L1019" s="2091"/>
      <c r="M1019" s="2091"/>
      <c r="N1019" s="2092"/>
    </row>
    <row r="1020" spans="2:16" ht="5.15" customHeight="1" thickBot="1" x14ac:dyDescent="0.3">
      <c r="B1020" s="15"/>
      <c r="C1020" s="15"/>
      <c r="D1020" s="15"/>
      <c r="E1020" s="15"/>
      <c r="F1020" s="15"/>
      <c r="G1020" s="15"/>
      <c r="H1020" s="15"/>
      <c r="I1020" s="15"/>
      <c r="J1020" s="15"/>
      <c r="K1020" s="15"/>
      <c r="L1020" s="15"/>
      <c r="M1020" s="15"/>
      <c r="N1020" s="15"/>
    </row>
    <row r="1021" spans="2:16" x14ac:dyDescent="0.25">
      <c r="B1021" s="15"/>
      <c r="C1021" s="15"/>
      <c r="D1021" s="15"/>
      <c r="E1021" s="15"/>
      <c r="F1021" s="15"/>
      <c r="G1021" s="15"/>
      <c r="H1021" s="506" t="str">
        <f>Translations!$B$1022</f>
        <v>KL-risk</v>
      </c>
      <c r="I1021" s="507" t="s">
        <v>1380</v>
      </c>
      <c r="J1021" s="507" t="str">
        <f>Translations!$B$1026</f>
        <v>I drift</v>
      </c>
      <c r="K1021" s="507" t="str">
        <f>Translations!$B$1024</f>
        <v>RM-nummer</v>
      </c>
      <c r="L1021" s="612" t="str">
        <f>Translations!$B$1030</f>
        <v>15(7).3?</v>
      </c>
      <c r="M1021" s="786" t="str">
        <f>Translations!$B$1052</f>
        <v>RM-värde (min./max./faktiskt)</v>
      </c>
      <c r="N1021" s="787"/>
    </row>
    <row r="1022" spans="2:16" x14ac:dyDescent="0.25">
      <c r="B1022" s="15"/>
      <c r="C1022" s="15"/>
      <c r="D1022" s="15"/>
      <c r="E1022" s="508" t="str">
        <f>[1]K_Summary!E1012</f>
        <v/>
      </c>
      <c r="F1022" s="509"/>
      <c r="G1022" s="464"/>
      <c r="H1022" s="510" t="str">
        <f>[1]K_Summary!H1012</f>
        <v>N.A.</v>
      </c>
      <c r="I1022" s="511" t="str">
        <f>[1]K_Summary!I1012</f>
        <v/>
      </c>
      <c r="J1022" s="642" t="str">
        <f>[1]K_Summary!J1012</f>
        <v>N.A.</v>
      </c>
      <c r="K1022" s="421" t="str">
        <f>[1]K_Summary!K1012</f>
        <v>N.A.</v>
      </c>
      <c r="L1022" s="1598" t="str">
        <f>[1]K_Summary!L1012</f>
        <v/>
      </c>
      <c r="M1022" s="1599" t="str">
        <f>[1]K_Summary!M1012</f>
        <v>N.A.</v>
      </c>
      <c r="N1022" s="788" t="str">
        <f>EUconst_EUA &amp; "/" &amp; H1027</f>
        <v>EUA/tonnes</v>
      </c>
    </row>
    <row r="1023" spans="2:16" x14ac:dyDescent="0.25">
      <c r="B1023" s="15"/>
      <c r="C1023" s="15"/>
      <c r="D1023" s="15"/>
      <c r="E1023" s="534"/>
      <c r="F1023" s="534"/>
      <c r="G1023" s="507" t="str">
        <f>Translations!$B$1036</f>
        <v>Värme utanför ETS</v>
      </c>
      <c r="H1023" s="612" t="str">
        <f>Translations!$B$1038</f>
        <v>Wgfacklad</v>
      </c>
      <c r="I1023" s="507" t="s">
        <v>1526</v>
      </c>
      <c r="J1023" s="507" t="s">
        <v>1527</v>
      </c>
      <c r="K1023" s="507" t="s">
        <v>1528</v>
      </c>
      <c r="L1023" s="612" t="str">
        <f>Translations!$B$1032</f>
        <v>15(7).3 HAL</v>
      </c>
      <c r="M1023" s="1599" t="str">
        <f>[1]K_Summary!M1013</f>
        <v>N.A.</v>
      </c>
      <c r="N1023" s="788" t="str">
        <f>EUconst_EUA &amp; "/" &amp; H1027</f>
        <v>EUA/tonnes</v>
      </c>
    </row>
    <row r="1024" spans="2:16" ht="13" thickBot="1" x14ac:dyDescent="0.3">
      <c r="B1024" s="15"/>
      <c r="C1024" s="15"/>
      <c r="D1024" s="15"/>
      <c r="E1024" s="1293" t="str">
        <f>Translations!$B$1053</f>
        <v>Särskilda faktorer:</v>
      </c>
      <c r="F1024" s="1600"/>
      <c r="G1024" s="421" t="str">
        <f>[1]K_Summary!G1014</f>
        <v/>
      </c>
      <c r="H1024" s="641" t="str">
        <f>[1]K_Summary!H1014</f>
        <v/>
      </c>
      <c r="I1024" s="1601">
        <f>[1]K_Summary!I1014</f>
        <v>1</v>
      </c>
      <c r="J1024" s="421" t="str">
        <f>[1]K_Summary!J1014</f>
        <v/>
      </c>
      <c r="K1024" s="662" t="str">
        <f>[1]K_Summary!K1014</f>
        <v/>
      </c>
      <c r="L1024" s="641" t="str">
        <f>[1]K_Summary!L1014</f>
        <v/>
      </c>
      <c r="M1024" s="1602" t="str">
        <f>[1]K_Summary!M1014</f>
        <v>N.A.</v>
      </c>
      <c r="N1024" s="789" t="str">
        <f>EUconst_EUA &amp; "/" &amp; H1027</f>
        <v>EUA/tonnes</v>
      </c>
      <c r="P1024" s="1903" t="b">
        <f>IF(ISNUMBER(K1022),INDEX(EUconst_BMlistBMvalues,K1022)&lt;&gt;M1024,FALSE)</f>
        <v>0</v>
      </c>
    </row>
    <row r="1025" spans="2:14" ht="5.15" customHeight="1" x14ac:dyDescent="0.25">
      <c r="B1025" s="15"/>
      <c r="C1025" s="15"/>
      <c r="D1025" s="15"/>
      <c r="E1025" s="15"/>
      <c r="F1025" s="15"/>
      <c r="G1025" s="15"/>
      <c r="H1025" s="15"/>
      <c r="I1025" s="15"/>
      <c r="J1025" s="15"/>
      <c r="K1025" s="15"/>
      <c r="L1025" s="15"/>
      <c r="M1025" s="15"/>
      <c r="N1025" s="15"/>
    </row>
    <row r="1026" spans="2:14" ht="13" x14ac:dyDescent="0.25">
      <c r="B1026" s="15"/>
      <c r="C1026" s="15"/>
      <c r="D1026" s="15"/>
      <c r="E1026" s="188"/>
      <c r="F1026" s="188"/>
      <c r="G1026" s="512"/>
      <c r="H1026" s="1603" t="str">
        <f>Translations!$B$1014</f>
        <v>Enhet</v>
      </c>
      <c r="I1026" s="350">
        <v>2014</v>
      </c>
      <c r="J1026" s="350">
        <v>2015</v>
      </c>
      <c r="K1026" s="350">
        <v>2016</v>
      </c>
      <c r="L1026" s="350">
        <v>2017</v>
      </c>
      <c r="M1026" s="350">
        <v>2018</v>
      </c>
      <c r="N1026" s="15"/>
    </row>
    <row r="1027" spans="2:14" x14ac:dyDescent="0.25">
      <c r="B1027" s="15"/>
      <c r="C1027" s="15"/>
      <c r="D1027" s="15"/>
      <c r="E1027" s="513" t="str">
        <f>Translations!$B$1054</f>
        <v>Rapporterad HAL (historisk verksamhetsnivå)</v>
      </c>
      <c r="F1027" s="514"/>
      <c r="G1027" s="515"/>
      <c r="H1027" s="510" t="str">
        <f>[1]K_Summary!H1017</f>
        <v>tonnes</v>
      </c>
      <c r="I1027" s="421" t="str">
        <f>[1]K_Summary!I1017</f>
        <v/>
      </c>
      <c r="J1027" s="421" t="str">
        <f>[1]K_Summary!J1017</f>
        <v/>
      </c>
      <c r="K1027" s="421" t="str">
        <f>[1]K_Summary!K1017</f>
        <v/>
      </c>
      <c r="L1027" s="421" t="str">
        <f>[1]K_Summary!L1017</f>
        <v/>
      </c>
      <c r="M1027" s="421" t="str">
        <f>[1]K_Summary!M1017</f>
        <v/>
      </c>
      <c r="N1027" s="507" t="str">
        <f>Translations!$B$1042</f>
        <v>Genomsnitt</v>
      </c>
    </row>
    <row r="1028" spans="2:14" x14ac:dyDescent="0.25">
      <c r="B1028" s="15"/>
      <c r="C1028" s="15"/>
      <c r="D1028" s="15"/>
      <c r="E1028" s="513" t="str">
        <f>Translations!$B$1055</f>
        <v>Värden som används för HAL-beräkning:</v>
      </c>
      <c r="F1028" s="514"/>
      <c r="G1028" s="515"/>
      <c r="H1028" s="510" t="str">
        <f>[1]K_Summary!H1018</f>
        <v>tonnes</v>
      </c>
      <c r="I1028" s="421" t="str">
        <f>[1]K_Summary!I1018</f>
        <v/>
      </c>
      <c r="J1028" s="421" t="str">
        <f>[1]K_Summary!J1018</f>
        <v/>
      </c>
      <c r="K1028" s="421" t="str">
        <f>[1]K_Summary!K1018</f>
        <v/>
      </c>
      <c r="L1028" s="421" t="str">
        <f>[1]K_Summary!L1018</f>
        <v/>
      </c>
      <c r="M1028" s="421" t="str">
        <f>[1]K_Summary!M1018</f>
        <v/>
      </c>
      <c r="N1028" s="421" t="str">
        <f>[1]K_Summary!N1018</f>
        <v/>
      </c>
    </row>
    <row r="1029" spans="2:14" ht="5.15" customHeight="1" x14ac:dyDescent="0.25">
      <c r="B1029" s="15"/>
      <c r="C1029" s="15"/>
      <c r="D1029" s="15"/>
      <c r="E1029" s="1604"/>
      <c r="F1029" s="1604"/>
      <c r="G1029" s="1604"/>
      <c r="H1029" s="1604"/>
      <c r="I1029" s="1604"/>
      <c r="J1029" s="1604"/>
      <c r="K1029" s="1604"/>
      <c r="L1029" s="1604"/>
      <c r="M1029" s="534"/>
      <c r="N1029" s="534"/>
    </row>
    <row r="1030" spans="2:14" ht="13" thickBot="1" x14ac:dyDescent="0.3">
      <c r="B1030" s="15"/>
      <c r="C1030" s="534"/>
      <c r="D1030" s="15"/>
      <c r="E1030" s="1604"/>
      <c r="F1030" s="617" t="s">
        <v>1385</v>
      </c>
      <c r="G1030" s="618"/>
      <c r="H1030" s="534"/>
      <c r="I1030" s="617" t="str">
        <f>Translations!$B$1044</f>
        <v>Prel. tilldelning år 1 (min.)</v>
      </c>
      <c r="J1030" s="618"/>
      <c r="K1030" s="617" t="str">
        <f>Translations!$B$1047</f>
        <v>Prel. tilldelning år 1 (max.)</v>
      </c>
      <c r="L1030" s="618"/>
      <c r="M1030" s="617" t="str">
        <f>Translations!$B$1049</f>
        <v>Prel. tilldelning år 1 (faktisk)</v>
      </c>
      <c r="N1030" s="618"/>
    </row>
    <row r="1031" spans="2:14" ht="13.5" thickBot="1" x14ac:dyDescent="0.3">
      <c r="B1031" s="15"/>
      <c r="C1031" s="534"/>
      <c r="D1031" s="534"/>
      <c r="E1031" s="1604"/>
      <c r="F1031" s="517" t="str">
        <f>[1]K_Summary!F1021</f>
        <v/>
      </c>
      <c r="G1031" s="1605" t="str">
        <f>[1]K_Summary!G1021</f>
        <v>tonnes / year</v>
      </c>
      <c r="H1031" s="534"/>
      <c r="I1031" s="616" t="str">
        <f>[1]K_Summary!I1021</f>
        <v/>
      </c>
      <c r="J1031" s="709" t="str">
        <f>EUconst_EUApa</f>
        <v>EUA / år</v>
      </c>
      <c r="K1031" s="616" t="str">
        <f>[1]K_Summary!K1021</f>
        <v/>
      </c>
      <c r="L1031" s="709" t="str">
        <f>EUconst_EUApa</f>
        <v>EUA / år</v>
      </c>
      <c r="M1031" s="616" t="str">
        <f>[1]K_Summary!M1021</f>
        <v/>
      </c>
      <c r="N1031" s="709" t="str">
        <f>EUconst_EUApa</f>
        <v>EUA / år</v>
      </c>
    </row>
    <row r="1032" spans="2:14" ht="5.15" customHeight="1" x14ac:dyDescent="0.25">
      <c r="B1032" s="15"/>
      <c r="C1032" s="15"/>
      <c r="D1032" s="534"/>
      <c r="E1032" s="289"/>
      <c r="F1032" s="15"/>
      <c r="G1032" s="15"/>
      <c r="H1032" s="15"/>
      <c r="I1032" s="15"/>
      <c r="J1032" s="15"/>
      <c r="K1032" s="15"/>
      <c r="L1032" s="15"/>
      <c r="M1032" s="15"/>
      <c r="N1032" s="15"/>
    </row>
    <row r="1033" spans="2:14" ht="12.75" customHeight="1" x14ac:dyDescent="0.25">
      <c r="B1033" s="15"/>
      <c r="C1033" s="15"/>
      <c r="D1033" s="15"/>
      <c r="E1033" s="416"/>
      <c r="F1033" s="623"/>
      <c r="G1033" s="623"/>
      <c r="H1033" s="623"/>
      <c r="I1033" s="623"/>
      <c r="J1033" s="623"/>
      <c r="K1033" s="623"/>
      <c r="L1033" s="623"/>
      <c r="M1033" s="623"/>
      <c r="N1033" s="623"/>
    </row>
    <row r="1034" spans="2:14" ht="13.5" thickBot="1" x14ac:dyDescent="0.3">
      <c r="B1034" s="15"/>
      <c r="C1034" s="15"/>
      <c r="D1034" s="15"/>
      <c r="E1034" s="416"/>
      <c r="F1034" s="623"/>
      <c r="G1034" s="623"/>
      <c r="H1034" s="415" t="str">
        <f>Translations!$B$1014</f>
        <v>Enhet</v>
      </c>
      <c r="I1034" s="744">
        <v>2014</v>
      </c>
      <c r="J1034" s="362">
        <v>2015</v>
      </c>
      <c r="K1034" s="362">
        <v>2016</v>
      </c>
      <c r="L1034" s="362">
        <v>2017</v>
      </c>
      <c r="M1034" s="362">
        <v>2018</v>
      </c>
      <c r="N1034" s="623"/>
    </row>
    <row r="1035" spans="2:14" ht="13.5" customHeight="1" thickBot="1" x14ac:dyDescent="0.3">
      <c r="B1035" s="15"/>
      <c r="C1035" s="15"/>
      <c r="D1035" s="15"/>
      <c r="E1035" s="2074" t="str">
        <f>Translations!$B$1056</f>
        <v>Totala tillskrivna utsläpp</v>
      </c>
      <c r="F1035" s="2074"/>
      <c r="G1035" s="2074"/>
      <c r="H1035" s="710" t="str">
        <f>EUconst_tCO2epa</f>
        <v>t CO2e/år</v>
      </c>
      <c r="I1035" s="735" t="str">
        <f>[1]K_Summary!I1025</f>
        <v/>
      </c>
      <c r="J1035" s="736" t="str">
        <f>[1]K_Summary!J1025</f>
        <v/>
      </c>
      <c r="K1035" s="736" t="str">
        <f>[1]K_Summary!K1025</f>
        <v/>
      </c>
      <c r="L1035" s="736" t="str">
        <f>[1]K_Summary!L1025</f>
        <v/>
      </c>
      <c r="M1035" s="737" t="str">
        <f>[1]K_Summary!M1025</f>
        <v/>
      </c>
      <c r="N1035" s="623"/>
    </row>
    <row r="1036" spans="2:14" ht="5.15" customHeight="1" x14ac:dyDescent="0.25">
      <c r="B1036" s="15"/>
      <c r="C1036" s="15"/>
      <c r="D1036" s="15"/>
      <c r="E1036" s="416"/>
      <c r="F1036" s="416"/>
      <c r="G1036" s="416"/>
      <c r="H1036" s="416"/>
      <c r="I1036" s="738"/>
      <c r="J1036" s="738"/>
      <c r="K1036" s="738"/>
      <c r="L1036" s="738"/>
      <c r="M1036" s="738"/>
      <c r="N1036" s="416"/>
    </row>
    <row r="1037" spans="2:14" x14ac:dyDescent="0.25">
      <c r="B1037" s="15"/>
      <c r="C1037" s="15"/>
      <c r="D1037" s="15"/>
      <c r="E1037" s="2087" t="str">
        <f>Translations!$B$571</f>
        <v>Insatsbränsle</v>
      </c>
      <c r="F1037" s="2087"/>
      <c r="G1037" s="2087"/>
      <c r="H1037" s="1606" t="str">
        <f>EUconst_TJpa</f>
        <v>TJ / år</v>
      </c>
      <c r="I1037" s="739" t="str">
        <f>[1]K_Summary!I1027</f>
        <v/>
      </c>
      <c r="J1037" s="739" t="str">
        <f>[1]K_Summary!J1027</f>
        <v/>
      </c>
      <c r="K1037" s="739" t="str">
        <f>[1]K_Summary!K1027</f>
        <v/>
      </c>
      <c r="L1037" s="739" t="str">
        <f>[1]K_Summary!L1027</f>
        <v/>
      </c>
      <c r="M1037" s="739" t="str">
        <f>[1]K_Summary!M1027</f>
        <v/>
      </c>
      <c r="N1037" s="623"/>
    </row>
    <row r="1038" spans="2:14" ht="12.75" customHeight="1" x14ac:dyDescent="0.25">
      <c r="B1038" s="15"/>
      <c r="C1038" s="15"/>
      <c r="D1038" s="15"/>
      <c r="E1038" s="2088" t="str">
        <f>Translations!$B$572</f>
        <v>Viktad emissionsfaktor</v>
      </c>
      <c r="F1038" s="2088"/>
      <c r="G1038" s="2088"/>
      <c r="H1038" s="624" t="str">
        <f>EUconst_tCO2pTJ</f>
        <v>t CO2 / TJ</v>
      </c>
      <c r="I1038" s="740" t="str">
        <f>[1]K_Summary!I1028</f>
        <v/>
      </c>
      <c r="J1038" s="740" t="str">
        <f>[1]K_Summary!J1028</f>
        <v/>
      </c>
      <c r="K1038" s="740" t="str">
        <f>[1]K_Summary!K1028</f>
        <v/>
      </c>
      <c r="L1038" s="740" t="str">
        <f>[1]K_Summary!L1028</f>
        <v/>
      </c>
      <c r="M1038" s="740" t="str">
        <f>[1]K_Summary!M1028</f>
        <v/>
      </c>
      <c r="N1038" s="623"/>
    </row>
    <row r="1039" spans="2:14" ht="5.15" customHeight="1" x14ac:dyDescent="0.25">
      <c r="B1039" s="15"/>
      <c r="C1039" s="15"/>
      <c r="D1039" s="534"/>
      <c r="E1039" s="416"/>
      <c r="F1039" s="623"/>
      <c r="G1039" s="623"/>
      <c r="H1039" s="623"/>
      <c r="I1039" s="741"/>
      <c r="J1039" s="741"/>
      <c r="K1039" s="741"/>
      <c r="L1039" s="741"/>
      <c r="M1039" s="741"/>
      <c r="N1039" s="623"/>
    </row>
    <row r="1040" spans="2:14" ht="12.75" customHeight="1" x14ac:dyDescent="0.25">
      <c r="B1040" s="15"/>
      <c r="C1040" s="15"/>
      <c r="D1040" s="534"/>
      <c r="E1040" s="2080" t="str">
        <f>Translations!$B$528</f>
        <v>Direkta utsläpp</v>
      </c>
      <c r="F1040" s="2080"/>
      <c r="G1040" s="2080"/>
      <c r="H1040" s="363" t="str">
        <f>EUconst_tCO2pa</f>
        <v>t CO2 / år</v>
      </c>
      <c r="I1040" s="742" t="str">
        <f>[1]K_Summary!I1030</f>
        <v/>
      </c>
      <c r="J1040" s="742" t="str">
        <f>[1]K_Summary!J1030</f>
        <v/>
      </c>
      <c r="K1040" s="742" t="str">
        <f>[1]K_Summary!K1030</f>
        <v/>
      </c>
      <c r="L1040" s="742" t="str">
        <f>[1]K_Summary!L1030</f>
        <v/>
      </c>
      <c r="M1040" s="742" t="str">
        <f>[1]K_Summary!M1030</f>
        <v/>
      </c>
      <c r="N1040" s="623"/>
    </row>
    <row r="1041" spans="2:14" ht="12.75" customHeight="1" x14ac:dyDescent="0.25">
      <c r="B1041" s="15"/>
      <c r="C1041" s="15"/>
      <c r="D1041" s="534"/>
      <c r="E1041" s="2080" t="str">
        <f>Translations!$B$582</f>
        <v>Andra bränsle-/materialmängder – 1</v>
      </c>
      <c r="F1041" s="2080"/>
      <c r="G1041" s="2080"/>
      <c r="H1041" s="363" t="str">
        <f>EUconst_tCO2pa</f>
        <v>t CO2 / år</v>
      </c>
      <c r="I1041" s="742" t="str">
        <f>[1]K_Summary!I1031</f>
        <v/>
      </c>
      <c r="J1041" s="742" t="str">
        <f>[1]K_Summary!J1031</f>
        <v/>
      </c>
      <c r="K1041" s="742" t="str">
        <f>[1]K_Summary!K1031</f>
        <v/>
      </c>
      <c r="L1041" s="742" t="str">
        <f>[1]K_Summary!L1031</f>
        <v/>
      </c>
      <c r="M1041" s="742" t="str">
        <f>[1]K_Summary!M1031</f>
        <v/>
      </c>
      <c r="N1041" s="623"/>
    </row>
    <row r="1042" spans="2:14" ht="12.75" customHeight="1" x14ac:dyDescent="0.25">
      <c r="B1042" s="15"/>
      <c r="C1042" s="15"/>
      <c r="D1042" s="534"/>
      <c r="E1042" s="2080" t="str">
        <f>Translations!$B$592</f>
        <v>Andra bränsle-/materialmängder – 2</v>
      </c>
      <c r="F1042" s="2080"/>
      <c r="G1042" s="2080"/>
      <c r="H1042" s="363" t="str">
        <f>EUconst_tCO2pa</f>
        <v>t CO2 / år</v>
      </c>
      <c r="I1042" s="742" t="str">
        <f>[1]K_Summary!I1032</f>
        <v/>
      </c>
      <c r="J1042" s="742" t="str">
        <f>[1]K_Summary!J1032</f>
        <v/>
      </c>
      <c r="K1042" s="742" t="str">
        <f>[1]K_Summary!K1032</f>
        <v/>
      </c>
      <c r="L1042" s="742" t="str">
        <f>[1]K_Summary!L1032</f>
        <v/>
      </c>
      <c r="M1042" s="742" t="str">
        <f>[1]K_Summary!M1032</f>
        <v/>
      </c>
      <c r="N1042" s="623"/>
    </row>
    <row r="1043" spans="2:14" ht="12.75" customHeight="1" x14ac:dyDescent="0.25">
      <c r="B1043" s="15"/>
      <c r="C1043" s="15"/>
      <c r="D1043" s="15"/>
      <c r="E1043" s="2080" t="str">
        <f>Translations!$B$596</f>
        <v>Importerade eller exporterade växthusgaser</v>
      </c>
      <c r="F1043" s="2080"/>
      <c r="G1043" s="2080"/>
      <c r="H1043" s="363" t="str">
        <f>EUconst_tCO2epa</f>
        <v>t CO2e/år</v>
      </c>
      <c r="I1043" s="742" t="str">
        <f>[1]K_Summary!I1033</f>
        <v/>
      </c>
      <c r="J1043" s="742" t="str">
        <f>[1]K_Summary!J1033</f>
        <v/>
      </c>
      <c r="K1043" s="742" t="str">
        <f>[1]K_Summary!K1033</f>
        <v/>
      </c>
      <c r="L1043" s="742" t="str">
        <f>[1]K_Summary!L1033</f>
        <v/>
      </c>
      <c r="M1043" s="742" t="str">
        <f>[1]K_Summary!M1033</f>
        <v/>
      </c>
      <c r="N1043" s="623"/>
    </row>
    <row r="1044" spans="2:14" ht="5.15" customHeight="1" x14ac:dyDescent="0.25">
      <c r="B1044" s="15"/>
      <c r="C1044" s="15"/>
      <c r="D1044" s="15"/>
      <c r="E1044" s="623"/>
      <c r="F1044" s="623"/>
      <c r="G1044" s="623"/>
      <c r="H1044" s="623"/>
      <c r="I1044" s="741"/>
      <c r="J1044" s="741"/>
      <c r="K1044" s="741"/>
      <c r="L1044" s="741"/>
      <c r="M1044" s="741"/>
      <c r="N1044" s="623"/>
    </row>
    <row r="1045" spans="2:14" ht="12.75" customHeight="1" x14ac:dyDescent="0.25">
      <c r="B1045" s="15"/>
      <c r="C1045" s="15"/>
      <c r="D1045" s="15"/>
      <c r="E1045" s="2087" t="str">
        <f>Translations!$B$604</f>
        <v>Nettomängd importerad värme</v>
      </c>
      <c r="F1045" s="2087"/>
      <c r="G1045" s="2087"/>
      <c r="H1045" s="1606" t="str">
        <f>EUconst_TJpa</f>
        <v>TJ / år</v>
      </c>
      <c r="I1045" s="739" t="str">
        <f>[1]K_Summary!I1035</f>
        <v/>
      </c>
      <c r="J1045" s="739" t="str">
        <f>[1]K_Summary!J1035</f>
        <v/>
      </c>
      <c r="K1045" s="739" t="str">
        <f>[1]K_Summary!K1035</f>
        <v/>
      </c>
      <c r="L1045" s="739" t="str">
        <f>[1]K_Summary!L1035</f>
        <v/>
      </c>
      <c r="M1045" s="739" t="str">
        <f>[1]K_Summary!M1035</f>
        <v/>
      </c>
      <c r="N1045" s="623"/>
    </row>
    <row r="1046" spans="2:14" ht="12.75" customHeight="1" x14ac:dyDescent="0.25">
      <c r="B1046" s="15"/>
      <c r="C1046" s="15"/>
      <c r="D1046" s="15"/>
      <c r="E1046" s="2088" t="str">
        <f>Translations!$B$605</f>
        <v>Särskild emissionsfaktor (importerad värme)</v>
      </c>
      <c r="F1046" s="2088"/>
      <c r="G1046" s="2088"/>
      <c r="H1046" s="624" t="str">
        <f>EUconst_tCO2pTJ</f>
        <v>t CO2 / TJ</v>
      </c>
      <c r="I1046" s="740" t="str">
        <f>[1]K_Summary!I1036</f>
        <v/>
      </c>
      <c r="J1046" s="740" t="str">
        <f>[1]K_Summary!J1036</f>
        <v/>
      </c>
      <c r="K1046" s="740" t="str">
        <f>[1]K_Summary!K1036</f>
        <v/>
      </c>
      <c r="L1046" s="740" t="str">
        <f>[1]K_Summary!L1036</f>
        <v/>
      </c>
      <c r="M1046" s="740" t="str">
        <f>[1]K_Summary!M1036</f>
        <v/>
      </c>
      <c r="N1046" s="623"/>
    </row>
    <row r="1047" spans="2:14" ht="5.15" customHeight="1" x14ac:dyDescent="0.25">
      <c r="B1047" s="15"/>
      <c r="C1047" s="15"/>
      <c r="D1047" s="15"/>
      <c r="E1047" s="416"/>
      <c r="F1047" s="623"/>
      <c r="G1047" s="623"/>
      <c r="H1047" s="623"/>
      <c r="I1047" s="741"/>
      <c r="J1047" s="741"/>
      <c r="K1047" s="741"/>
      <c r="L1047" s="741"/>
      <c r="M1047" s="741"/>
      <c r="N1047" s="623"/>
    </row>
    <row r="1048" spans="2:14" ht="12.75" customHeight="1" x14ac:dyDescent="0.25">
      <c r="B1048" s="15"/>
      <c r="C1048" s="15"/>
      <c r="D1048" s="15"/>
      <c r="E1048" s="2080" t="str">
        <f>Translations!$B$659</f>
        <v>Importerad nettovärme från massa</v>
      </c>
      <c r="F1048" s="2080"/>
      <c r="G1048" s="2080"/>
      <c r="H1048" s="363" t="str">
        <f>EUconst_TJpa</f>
        <v>TJ / år</v>
      </c>
      <c r="I1048" s="742" t="str">
        <f>[1]K_Summary!I1038</f>
        <v/>
      </c>
      <c r="J1048" s="742" t="str">
        <f>[1]K_Summary!J1038</f>
        <v/>
      </c>
      <c r="K1048" s="742" t="str">
        <f>[1]K_Summary!K1038</f>
        <v/>
      </c>
      <c r="L1048" s="742" t="str">
        <f>[1]K_Summary!L1038</f>
        <v/>
      </c>
      <c r="M1048" s="742" t="str">
        <f>[1]K_Summary!M1038</f>
        <v/>
      </c>
      <c r="N1048" s="623"/>
    </row>
    <row r="1049" spans="2:14" ht="12.75" customHeight="1" x14ac:dyDescent="0.25">
      <c r="B1049" s="15"/>
      <c r="C1049" s="15"/>
      <c r="D1049" s="15"/>
      <c r="E1049" s="2080" t="str">
        <f>Translations!$B$608</f>
        <v>Nettomängd importerad värme från delanläggningar för salpetersyra</v>
      </c>
      <c r="F1049" s="2080"/>
      <c r="G1049" s="2080"/>
      <c r="H1049" s="363" t="str">
        <f>EUconst_TJpa</f>
        <v>TJ / år</v>
      </c>
      <c r="I1049" s="742" t="str">
        <f>[1]K_Summary!I1039</f>
        <v/>
      </c>
      <c r="J1049" s="742" t="str">
        <f>[1]K_Summary!J1039</f>
        <v/>
      </c>
      <c r="K1049" s="742" t="str">
        <f>[1]K_Summary!K1039</f>
        <v/>
      </c>
      <c r="L1049" s="742" t="str">
        <f>[1]K_Summary!L1039</f>
        <v/>
      </c>
      <c r="M1049" s="742" t="str">
        <f>[1]K_Summary!M1039</f>
        <v/>
      </c>
      <c r="N1049" s="623"/>
    </row>
    <row r="1050" spans="2:14" ht="5.15" customHeight="1" x14ac:dyDescent="0.25">
      <c r="B1050" s="15"/>
      <c r="C1050" s="15"/>
      <c r="D1050" s="15"/>
      <c r="E1050" s="416"/>
      <c r="F1050" s="416"/>
      <c r="G1050" s="416"/>
      <c r="H1050" s="416"/>
      <c r="I1050" s="741"/>
      <c r="J1050" s="741"/>
      <c r="K1050" s="741"/>
      <c r="L1050" s="741"/>
      <c r="M1050" s="741"/>
      <c r="N1050" s="623"/>
    </row>
    <row r="1051" spans="2:14" ht="12.75" customHeight="1" x14ac:dyDescent="0.25">
      <c r="B1051" s="15"/>
      <c r="C1051" s="15"/>
      <c r="D1051" s="15"/>
      <c r="E1051" s="2087" t="str">
        <f>Translations!$B$610</f>
        <v>Nettomängd exporterad värme</v>
      </c>
      <c r="F1051" s="2087"/>
      <c r="G1051" s="2087"/>
      <c r="H1051" s="1606" t="str">
        <f>EUconst_TJpa</f>
        <v>TJ / år</v>
      </c>
      <c r="I1051" s="739" t="str">
        <f>[1]K_Summary!I1041</f>
        <v/>
      </c>
      <c r="J1051" s="739" t="str">
        <f>[1]K_Summary!J1041</f>
        <v/>
      </c>
      <c r="K1051" s="739" t="str">
        <f>[1]K_Summary!K1041</f>
        <v/>
      </c>
      <c r="L1051" s="739" t="str">
        <f>[1]K_Summary!L1041</f>
        <v/>
      </c>
      <c r="M1051" s="739" t="str">
        <f>[1]K_Summary!M1041</f>
        <v/>
      </c>
      <c r="N1051" s="623"/>
    </row>
    <row r="1052" spans="2:14" ht="12.75" customHeight="1" x14ac:dyDescent="0.25">
      <c r="B1052" s="15"/>
      <c r="C1052" s="15"/>
      <c r="D1052" s="15"/>
      <c r="E1052" s="2088" t="str">
        <f>Translations!$B$611</f>
        <v>Särskild emissionsfaktor (exporterad värme)</v>
      </c>
      <c r="F1052" s="2088"/>
      <c r="G1052" s="2088"/>
      <c r="H1052" s="624" t="str">
        <f>EUconst_tCO2pTJ</f>
        <v>t CO2 / TJ</v>
      </c>
      <c r="I1052" s="740" t="str">
        <f>[1]K_Summary!I1042</f>
        <v/>
      </c>
      <c r="J1052" s="740" t="str">
        <f>[1]K_Summary!J1042</f>
        <v/>
      </c>
      <c r="K1052" s="740" t="str">
        <f>[1]K_Summary!K1042</f>
        <v/>
      </c>
      <c r="L1052" s="740" t="str">
        <f>[1]K_Summary!L1042</f>
        <v/>
      </c>
      <c r="M1052" s="740" t="str">
        <f>[1]K_Summary!M1042</f>
        <v/>
      </c>
      <c r="N1052" s="623"/>
    </row>
    <row r="1053" spans="2:14" ht="5.15" customHeight="1" x14ac:dyDescent="0.25">
      <c r="B1053" s="15"/>
      <c r="C1053" s="15"/>
      <c r="D1053" s="15"/>
      <c r="E1053" s="416"/>
      <c r="F1053" s="416"/>
      <c r="G1053" s="416"/>
      <c r="H1053" s="416"/>
      <c r="I1053" s="741"/>
      <c r="J1053" s="741"/>
      <c r="K1053" s="741"/>
      <c r="L1053" s="741"/>
      <c r="M1053" s="741"/>
      <c r="N1053" s="623"/>
    </row>
    <row r="1054" spans="2:14" ht="12.75" customHeight="1" x14ac:dyDescent="0.25">
      <c r="B1054" s="15"/>
      <c r="C1054" s="15"/>
      <c r="D1054" s="15"/>
      <c r="E1054" s="2087" t="str">
        <f>Translations!$B$618</f>
        <v>Producerad restgas</v>
      </c>
      <c r="F1054" s="2087"/>
      <c r="G1054" s="2087"/>
      <c r="H1054" s="1606" t="str">
        <f>EUconst_TJpa</f>
        <v>TJ / år</v>
      </c>
      <c r="I1054" s="739" t="str">
        <f>[1]K_Summary!I1044</f>
        <v/>
      </c>
      <c r="J1054" s="739" t="str">
        <f>[1]K_Summary!J1044</f>
        <v/>
      </c>
      <c r="K1054" s="739" t="str">
        <f>[1]K_Summary!K1044</f>
        <v/>
      </c>
      <c r="L1054" s="739" t="str">
        <f>[1]K_Summary!L1044</f>
        <v/>
      </c>
      <c r="M1054" s="739" t="str">
        <f>[1]K_Summary!M1044</f>
        <v/>
      </c>
      <c r="N1054" s="623"/>
    </row>
    <row r="1055" spans="2:14" ht="12.75" customHeight="1" x14ac:dyDescent="0.25">
      <c r="B1055" s="15"/>
      <c r="C1055" s="15"/>
      <c r="D1055" s="15"/>
      <c r="E1055" s="2088" t="str">
        <f>Translations!$B$619</f>
        <v>Särskild emissionsfaktor (producerad restgas)</v>
      </c>
      <c r="F1055" s="2088"/>
      <c r="G1055" s="2088"/>
      <c r="H1055" s="624" t="str">
        <f>EUconst_tCO2pTJ</f>
        <v>t CO2 / TJ</v>
      </c>
      <c r="I1055" s="740" t="str">
        <f>[1]K_Summary!I1045</f>
        <v/>
      </c>
      <c r="J1055" s="740" t="str">
        <f>[1]K_Summary!J1045</f>
        <v/>
      </c>
      <c r="K1055" s="740" t="str">
        <f>[1]K_Summary!K1045</f>
        <v/>
      </c>
      <c r="L1055" s="740" t="str">
        <f>[1]K_Summary!L1045</f>
        <v/>
      </c>
      <c r="M1055" s="740" t="str">
        <f>[1]K_Summary!M1045</f>
        <v/>
      </c>
      <c r="N1055" s="623"/>
    </row>
    <row r="1056" spans="2:14" ht="12.75" customHeight="1" x14ac:dyDescent="0.25">
      <c r="B1056" s="15"/>
      <c r="C1056" s="15"/>
      <c r="D1056" s="15"/>
      <c r="E1056" s="2087" t="str">
        <f>Translations!$B$623</f>
        <v>Förbrukad restgas</v>
      </c>
      <c r="F1056" s="2087"/>
      <c r="G1056" s="2087"/>
      <c r="H1056" s="1606" t="str">
        <f>EUconst_TJpa</f>
        <v>TJ / år</v>
      </c>
      <c r="I1056" s="739" t="str">
        <f>[1]K_Summary!I1046</f>
        <v/>
      </c>
      <c r="J1056" s="739" t="str">
        <f>[1]K_Summary!J1046</f>
        <v/>
      </c>
      <c r="K1056" s="739" t="str">
        <f>[1]K_Summary!K1046</f>
        <v/>
      </c>
      <c r="L1056" s="739" t="str">
        <f>[1]K_Summary!L1046</f>
        <v/>
      </c>
      <c r="M1056" s="739" t="str">
        <f>[1]K_Summary!M1046</f>
        <v/>
      </c>
      <c r="N1056" s="623"/>
    </row>
    <row r="1057" spans="2:14" ht="12.75" customHeight="1" x14ac:dyDescent="0.25">
      <c r="B1057" s="15"/>
      <c r="C1057" s="15"/>
      <c r="D1057" s="15"/>
      <c r="E1057" s="2088" t="str">
        <f>Translations!$B$624</f>
        <v>Särskild emissionsfaktor (förbrukad restgas)</v>
      </c>
      <c r="F1057" s="2088"/>
      <c r="G1057" s="2088"/>
      <c r="H1057" s="624" t="str">
        <f>EUconst_tCO2pTJ</f>
        <v>t CO2 / TJ</v>
      </c>
      <c r="I1057" s="740" t="str">
        <f>[1]K_Summary!I1047</f>
        <v/>
      </c>
      <c r="J1057" s="740" t="str">
        <f>[1]K_Summary!J1047</f>
        <v/>
      </c>
      <c r="K1057" s="740" t="str">
        <f>[1]K_Summary!K1047</f>
        <v/>
      </c>
      <c r="L1057" s="740" t="str">
        <f>[1]K_Summary!L1047</f>
        <v/>
      </c>
      <c r="M1057" s="740" t="str">
        <f>[1]K_Summary!M1047</f>
        <v/>
      </c>
      <c r="N1057" s="623"/>
    </row>
    <row r="1058" spans="2:14" ht="12.75" customHeight="1" x14ac:dyDescent="0.25">
      <c r="B1058" s="15"/>
      <c r="C1058" s="15"/>
      <c r="D1058" s="15"/>
      <c r="E1058" s="2087" t="str">
        <f>Translations!$B$630</f>
        <v>Facklad restgas</v>
      </c>
      <c r="F1058" s="2087"/>
      <c r="G1058" s="2087"/>
      <c r="H1058" s="1606" t="str">
        <f>EUconst_TJpa</f>
        <v>TJ / år</v>
      </c>
      <c r="I1058" s="739" t="str">
        <f>[1]K_Summary!I1048</f>
        <v/>
      </c>
      <c r="J1058" s="739" t="str">
        <f>[1]K_Summary!J1048</f>
        <v/>
      </c>
      <c r="K1058" s="739" t="str">
        <f>[1]K_Summary!K1048</f>
        <v/>
      </c>
      <c r="L1058" s="739" t="str">
        <f>[1]K_Summary!L1048</f>
        <v/>
      </c>
      <c r="M1058" s="739" t="str">
        <f>[1]K_Summary!M1048</f>
        <v/>
      </c>
      <c r="N1058" s="623"/>
    </row>
    <row r="1059" spans="2:14" ht="12.75" customHeight="1" x14ac:dyDescent="0.25">
      <c r="B1059" s="15"/>
      <c r="C1059" s="15"/>
      <c r="D1059" s="15"/>
      <c r="E1059" s="2088" t="str">
        <f>Translations!$B$631</f>
        <v>Särskild emissionsfaktor (facklad restgas)</v>
      </c>
      <c r="F1059" s="2088"/>
      <c r="G1059" s="2088"/>
      <c r="H1059" s="624" t="str">
        <f>EUconst_tCO2pTJ</f>
        <v>t CO2 / TJ</v>
      </c>
      <c r="I1059" s="740" t="str">
        <f>[1]K_Summary!I1049</f>
        <v/>
      </c>
      <c r="J1059" s="740" t="str">
        <f>[1]K_Summary!J1049</f>
        <v/>
      </c>
      <c r="K1059" s="740" t="str">
        <f>[1]K_Summary!K1049</f>
        <v/>
      </c>
      <c r="L1059" s="740" t="str">
        <f>[1]K_Summary!L1049</f>
        <v/>
      </c>
      <c r="M1059" s="740" t="str">
        <f>[1]K_Summary!M1049</f>
        <v/>
      </c>
      <c r="N1059" s="623"/>
    </row>
    <row r="1060" spans="2:14" ht="12.75" customHeight="1" x14ac:dyDescent="0.25">
      <c r="B1060" s="15"/>
      <c r="C1060" s="15"/>
      <c r="D1060" s="15"/>
      <c r="E1060" s="2087" t="str">
        <f>Translations!$B$636</f>
        <v>Importerad restgas</v>
      </c>
      <c r="F1060" s="2087"/>
      <c r="G1060" s="2087"/>
      <c r="H1060" s="1606" t="str">
        <f>EUconst_TJpa</f>
        <v>TJ / år</v>
      </c>
      <c r="I1060" s="739" t="str">
        <f>[1]K_Summary!I1050</f>
        <v/>
      </c>
      <c r="J1060" s="739" t="str">
        <f>[1]K_Summary!J1050</f>
        <v/>
      </c>
      <c r="K1060" s="739" t="str">
        <f>[1]K_Summary!K1050</f>
        <v/>
      </c>
      <c r="L1060" s="739" t="str">
        <f>[1]K_Summary!L1050</f>
        <v/>
      </c>
      <c r="M1060" s="739" t="str">
        <f>[1]K_Summary!M1050</f>
        <v/>
      </c>
      <c r="N1060" s="623"/>
    </row>
    <row r="1061" spans="2:14" ht="12.75" customHeight="1" x14ac:dyDescent="0.25">
      <c r="B1061" s="15"/>
      <c r="C1061" s="15"/>
      <c r="D1061" s="15"/>
      <c r="E1061" s="2088" t="str">
        <f>Translations!$B$637</f>
        <v>Särskild emissionsfaktor (importerad restgas)</v>
      </c>
      <c r="F1061" s="2088"/>
      <c r="G1061" s="2088"/>
      <c r="H1061" s="624" t="str">
        <f>EUconst_tCO2pTJ</f>
        <v>t CO2 / TJ</v>
      </c>
      <c r="I1061" s="740" t="str">
        <f>[1]K_Summary!I1051</f>
        <v/>
      </c>
      <c r="J1061" s="740" t="str">
        <f>[1]K_Summary!J1051</f>
        <v/>
      </c>
      <c r="K1061" s="740" t="str">
        <f>[1]K_Summary!K1051</f>
        <v/>
      </c>
      <c r="L1061" s="740" t="str">
        <f>[1]K_Summary!L1051</f>
        <v/>
      </c>
      <c r="M1061" s="740" t="str">
        <f>[1]K_Summary!M1051</f>
        <v/>
      </c>
      <c r="N1061" s="623"/>
    </row>
    <row r="1062" spans="2:14" ht="12.75" customHeight="1" x14ac:dyDescent="0.25">
      <c r="B1062" s="15"/>
      <c r="C1062" s="15"/>
      <c r="D1062" s="15"/>
      <c r="E1062" s="2087" t="str">
        <f>Translations!$B$641</f>
        <v>Exporterad restgas</v>
      </c>
      <c r="F1062" s="2087"/>
      <c r="G1062" s="2087"/>
      <c r="H1062" s="1606" t="str">
        <f>EUconst_TJpa</f>
        <v>TJ / år</v>
      </c>
      <c r="I1062" s="739" t="str">
        <f>[1]K_Summary!I1052</f>
        <v/>
      </c>
      <c r="J1062" s="739" t="str">
        <f>[1]K_Summary!J1052</f>
        <v/>
      </c>
      <c r="K1062" s="739" t="str">
        <f>[1]K_Summary!K1052</f>
        <v/>
      </c>
      <c r="L1062" s="739" t="str">
        <f>[1]K_Summary!L1052</f>
        <v/>
      </c>
      <c r="M1062" s="739" t="str">
        <f>[1]K_Summary!M1052</f>
        <v/>
      </c>
      <c r="N1062" s="623"/>
    </row>
    <row r="1063" spans="2:14" ht="12.75" customHeight="1" x14ac:dyDescent="0.25">
      <c r="B1063" s="15"/>
      <c r="C1063" s="15"/>
      <c r="D1063" s="15"/>
      <c r="E1063" s="2088" t="str">
        <f>Translations!$B$642</f>
        <v>Särskild emissionsfaktor (exporterad restgas)</v>
      </c>
      <c r="F1063" s="2088"/>
      <c r="G1063" s="2088"/>
      <c r="H1063" s="624" t="str">
        <f>EUconst_tCO2pTJ</f>
        <v>t CO2 / TJ</v>
      </c>
      <c r="I1063" s="740" t="str">
        <f>[1]K_Summary!I1053</f>
        <v/>
      </c>
      <c r="J1063" s="740" t="str">
        <f>[1]K_Summary!J1053</f>
        <v/>
      </c>
      <c r="K1063" s="740" t="str">
        <f>[1]K_Summary!K1053</f>
        <v/>
      </c>
      <c r="L1063" s="740" t="str">
        <f>[1]K_Summary!L1053</f>
        <v/>
      </c>
      <c r="M1063" s="740" t="str">
        <f>[1]K_Summary!M1053</f>
        <v/>
      </c>
      <c r="N1063" s="623"/>
    </row>
    <row r="1064" spans="2:14" ht="5.15" customHeight="1" x14ac:dyDescent="0.25">
      <c r="B1064" s="15"/>
      <c r="C1064" s="15"/>
      <c r="D1064" s="15"/>
      <c r="E1064" s="416"/>
      <c r="F1064" s="416"/>
      <c r="G1064" s="416"/>
      <c r="H1064" s="416"/>
      <c r="I1064" s="741"/>
      <c r="J1064" s="741"/>
      <c r="K1064" s="741"/>
      <c r="L1064" s="741"/>
      <c r="M1064" s="741"/>
      <c r="N1064" s="623"/>
    </row>
    <row r="1065" spans="2:14" ht="12.75" customHeight="1" x14ac:dyDescent="0.25">
      <c r="B1065" s="15"/>
      <c r="C1065" s="15"/>
      <c r="D1065" s="15"/>
      <c r="E1065" s="2080" t="str">
        <f>Translations!$B$530</f>
        <v>Relevant elförbrukning</v>
      </c>
      <c r="F1065" s="2080"/>
      <c r="G1065" s="2080"/>
      <c r="H1065" s="363" t="str">
        <f>EUconst_MWhpa</f>
        <v>MWh / år</v>
      </c>
      <c r="I1065" s="742" t="str">
        <f>[1]K_Summary!I1055</f>
        <v/>
      </c>
      <c r="J1065" s="742" t="str">
        <f>[1]K_Summary!J1055</f>
        <v/>
      </c>
      <c r="K1065" s="742" t="str">
        <f>[1]K_Summary!K1055</f>
        <v/>
      </c>
      <c r="L1065" s="742" t="str">
        <f>[1]K_Summary!L1055</f>
        <v/>
      </c>
      <c r="M1065" s="742" t="str">
        <f>[1]K_Summary!M1055</f>
        <v/>
      </c>
      <c r="N1065" s="623"/>
    </row>
    <row r="1066" spans="2:14" ht="12.75" customHeight="1" x14ac:dyDescent="0.25">
      <c r="B1066" s="15"/>
      <c r="C1066" s="15"/>
      <c r="D1066" s="15"/>
      <c r="E1066" s="2080" t="str">
        <f>Translations!$B$645</f>
        <v>Producerad el</v>
      </c>
      <c r="F1066" s="2080"/>
      <c r="G1066" s="2080"/>
      <c r="H1066" s="363" t="str">
        <f>EUconst_MWhpa</f>
        <v>MWh / år</v>
      </c>
      <c r="I1066" s="742" t="str">
        <f>[1]K_Summary!I1056</f>
        <v/>
      </c>
      <c r="J1066" s="742" t="str">
        <f>[1]K_Summary!J1056</f>
        <v/>
      </c>
      <c r="K1066" s="742" t="str">
        <f>[1]K_Summary!K1056</f>
        <v/>
      </c>
      <c r="L1066" s="742" t="str">
        <f>[1]K_Summary!L1056</f>
        <v/>
      </c>
      <c r="M1066" s="742" t="str">
        <f>[1]K_Summary!M1056</f>
        <v/>
      </c>
      <c r="N1066" s="623"/>
    </row>
    <row r="1067" spans="2:14" ht="5.15" customHeight="1" x14ac:dyDescent="0.25">
      <c r="B1067" s="15"/>
      <c r="C1067" s="15"/>
      <c r="D1067" s="15"/>
      <c r="E1067" s="416"/>
      <c r="F1067" s="416"/>
      <c r="G1067" s="416"/>
      <c r="H1067" s="416"/>
      <c r="I1067" s="741"/>
      <c r="J1067" s="741"/>
      <c r="K1067" s="741"/>
      <c r="L1067" s="741"/>
      <c r="M1067" s="741"/>
      <c r="N1067" s="623"/>
    </row>
    <row r="1068" spans="2:14" ht="12.75" customHeight="1" x14ac:dyDescent="0.25">
      <c r="B1068" s="15"/>
      <c r="C1068" s="15"/>
      <c r="D1068" s="15"/>
      <c r="E1068" s="2080" t="str">
        <f>Translations!$B$646</f>
        <v>Total producerad massamängd</v>
      </c>
      <c r="F1068" s="2080"/>
      <c r="G1068" s="2080"/>
      <c r="H1068" s="363" t="str">
        <f>Translations!$B$1117</f>
        <v>ton</v>
      </c>
      <c r="I1068" s="742" t="str">
        <f>[1]K_Summary!I1058</f>
        <v/>
      </c>
      <c r="J1068" s="742" t="str">
        <f>[1]K_Summary!J1058</f>
        <v/>
      </c>
      <c r="K1068" s="742" t="str">
        <f>[1]K_Summary!K1058</f>
        <v/>
      </c>
      <c r="L1068" s="742" t="str">
        <f>[1]K_Summary!L1058</f>
        <v/>
      </c>
      <c r="M1068" s="742" t="str">
        <f>[1]K_Summary!M1058</f>
        <v/>
      </c>
      <c r="N1068" s="623"/>
    </row>
    <row r="1069" spans="2:14" ht="5.15" customHeight="1" x14ac:dyDescent="0.25">
      <c r="B1069" s="15"/>
      <c r="C1069" s="15"/>
      <c r="D1069" s="15"/>
      <c r="E1069" s="416"/>
      <c r="F1069" s="416"/>
      <c r="G1069" s="416"/>
      <c r="H1069" s="416"/>
      <c r="I1069" s="741"/>
      <c r="J1069" s="741"/>
      <c r="K1069" s="741"/>
      <c r="L1069" s="741"/>
      <c r="M1069" s="741"/>
      <c r="N1069" s="623"/>
    </row>
    <row r="1070" spans="2:14" x14ac:dyDescent="0.25">
      <c r="B1070" s="15"/>
      <c r="C1070" s="15"/>
      <c r="D1070" s="15"/>
      <c r="E1070" s="899" t="str">
        <f>Translations!$B$1057</f>
        <v>Mellanimport:</v>
      </c>
      <c r="F1070" s="416"/>
      <c r="G1070" s="416"/>
      <c r="H1070" s="416"/>
      <c r="I1070" s="741"/>
      <c r="J1070" s="741"/>
      <c r="K1070" s="741"/>
      <c r="L1070" s="741"/>
      <c r="M1070" s="741"/>
      <c r="N1070" s="623"/>
    </row>
    <row r="1071" spans="2:14" x14ac:dyDescent="0.25">
      <c r="B1071" s="15"/>
      <c r="C1071" s="15"/>
      <c r="D1071" s="15"/>
      <c r="E1071" s="2089" t="str">
        <f>[1]K_Summary!E1061</f>
        <v/>
      </c>
      <c r="F1071" s="2089"/>
      <c r="G1071" s="2089"/>
      <c r="H1071" s="363" t="str">
        <f>Translations!$B$1117</f>
        <v>ton</v>
      </c>
      <c r="I1071" s="742" t="str">
        <f>[1]K_Summary!I1061</f>
        <v/>
      </c>
      <c r="J1071" s="742" t="str">
        <f>[1]K_Summary!J1061</f>
        <v/>
      </c>
      <c r="K1071" s="742" t="str">
        <f>[1]K_Summary!K1061</f>
        <v/>
      </c>
      <c r="L1071" s="742" t="str">
        <f>[1]K_Summary!L1061</f>
        <v/>
      </c>
      <c r="M1071" s="742" t="str">
        <f>[1]K_Summary!M1061</f>
        <v/>
      </c>
      <c r="N1071" s="623"/>
    </row>
    <row r="1072" spans="2:14" x14ac:dyDescent="0.25">
      <c r="B1072" s="15"/>
      <c r="C1072" s="15"/>
      <c r="D1072" s="15"/>
      <c r="E1072" s="2089" t="str">
        <f>[1]K_Summary!E1062</f>
        <v/>
      </c>
      <c r="F1072" s="2089"/>
      <c r="G1072" s="2089"/>
      <c r="H1072" s="363" t="str">
        <f>Translations!$B$1117</f>
        <v>ton</v>
      </c>
      <c r="I1072" s="742" t="str">
        <f>[1]K_Summary!I1062</f>
        <v/>
      </c>
      <c r="J1072" s="742" t="str">
        <f>[1]K_Summary!J1062</f>
        <v/>
      </c>
      <c r="K1072" s="742" t="str">
        <f>[1]K_Summary!K1062</f>
        <v/>
      </c>
      <c r="L1072" s="742" t="str">
        <f>[1]K_Summary!L1062</f>
        <v/>
      </c>
      <c r="M1072" s="742" t="str">
        <f>[1]K_Summary!M1062</f>
        <v/>
      </c>
      <c r="N1072" s="623"/>
    </row>
    <row r="1073" spans="2:16" x14ac:dyDescent="0.25">
      <c r="B1073" s="15"/>
      <c r="C1073" s="15"/>
      <c r="D1073" s="15"/>
      <c r="E1073" s="899" t="str">
        <f>Translations!$B$1058</f>
        <v>Mellanexport:</v>
      </c>
      <c r="F1073" s="416"/>
      <c r="G1073" s="416"/>
      <c r="H1073" s="416"/>
      <c r="I1073" s="741"/>
      <c r="J1073" s="741"/>
      <c r="K1073" s="741"/>
      <c r="L1073" s="741"/>
      <c r="M1073" s="741"/>
      <c r="N1073" s="623"/>
    </row>
    <row r="1074" spans="2:16" x14ac:dyDescent="0.25">
      <c r="B1074" s="15"/>
      <c r="C1074" s="15"/>
      <c r="D1074" s="15"/>
      <c r="E1074" s="2089" t="str">
        <f>[1]K_Summary!E1064</f>
        <v/>
      </c>
      <c r="F1074" s="2089"/>
      <c r="G1074" s="2089"/>
      <c r="H1074" s="363" t="str">
        <f>Translations!$B$1117</f>
        <v>ton</v>
      </c>
      <c r="I1074" s="742" t="str">
        <f>[1]K_Summary!I1064</f>
        <v/>
      </c>
      <c r="J1074" s="742" t="str">
        <f>[1]K_Summary!J1064</f>
        <v/>
      </c>
      <c r="K1074" s="742" t="str">
        <f>[1]K_Summary!K1064</f>
        <v/>
      </c>
      <c r="L1074" s="742" t="str">
        <f>[1]K_Summary!L1064</f>
        <v/>
      </c>
      <c r="M1074" s="742" t="str">
        <f>[1]K_Summary!M1064</f>
        <v/>
      </c>
      <c r="N1074" s="623"/>
    </row>
    <row r="1075" spans="2:16" x14ac:dyDescent="0.25">
      <c r="B1075" s="15"/>
      <c r="C1075" s="15"/>
      <c r="D1075" s="15"/>
      <c r="E1075" s="2089" t="str">
        <f>[1]K_Summary!E1065</f>
        <v/>
      </c>
      <c r="F1075" s="2089"/>
      <c r="G1075" s="2089"/>
      <c r="H1075" s="363" t="str">
        <f>Translations!$B$1117</f>
        <v>ton</v>
      </c>
      <c r="I1075" s="742" t="str">
        <f>[1]K_Summary!I1065</f>
        <v/>
      </c>
      <c r="J1075" s="742" t="str">
        <f>[1]K_Summary!J1065</f>
        <v/>
      </c>
      <c r="K1075" s="742" t="str">
        <f>[1]K_Summary!K1065</f>
        <v/>
      </c>
      <c r="L1075" s="742" t="str">
        <f>[1]K_Summary!L1065</f>
        <v/>
      </c>
      <c r="M1075" s="742" t="str">
        <f>[1]K_Summary!M1065</f>
        <v/>
      </c>
      <c r="N1075" s="623"/>
    </row>
    <row r="1076" spans="2:16" ht="12.75" customHeight="1" x14ac:dyDescent="0.25">
      <c r="B1076" s="15"/>
      <c r="C1076" s="15"/>
      <c r="D1076" s="15"/>
      <c r="E1076" s="416"/>
      <c r="F1076" s="416"/>
      <c r="G1076" s="416"/>
      <c r="H1076" s="416"/>
      <c r="I1076" s="623"/>
      <c r="J1076" s="623"/>
      <c r="K1076" s="623"/>
      <c r="L1076" s="623"/>
      <c r="M1076" s="623"/>
      <c r="N1076" s="623"/>
    </row>
    <row r="1077" spans="2:16" x14ac:dyDescent="0.25">
      <c r="B1077" s="15"/>
      <c r="C1077" s="15"/>
      <c r="D1077" s="15"/>
      <c r="E1077" s="289"/>
      <c r="F1077" s="289"/>
      <c r="G1077" s="289"/>
      <c r="H1077" s="289"/>
      <c r="I1077" s="15"/>
      <c r="J1077" s="15"/>
      <c r="K1077" s="15"/>
      <c r="L1077" s="15"/>
      <c r="M1077" s="15"/>
      <c r="N1077" s="15"/>
    </row>
    <row r="1078" spans="2:16" ht="5.15" customHeight="1" thickBot="1" x14ac:dyDescent="0.3">
      <c r="B1078" s="15"/>
      <c r="C1078" s="15"/>
      <c r="D1078" s="15"/>
      <c r="E1078" s="289"/>
      <c r="F1078" s="15"/>
      <c r="G1078" s="453"/>
      <c r="H1078" s="15"/>
      <c r="I1078" s="15"/>
      <c r="J1078" s="15"/>
      <c r="K1078" s="15"/>
      <c r="L1078" s="15"/>
      <c r="M1078" s="15"/>
      <c r="N1078" s="15"/>
    </row>
    <row r="1079" spans="2:16" ht="5.15" customHeight="1" thickBot="1" x14ac:dyDescent="0.3">
      <c r="B1079" s="3"/>
      <c r="C1079" s="230"/>
      <c r="D1079" s="230"/>
      <c r="E1079" s="230"/>
      <c r="F1079" s="230"/>
      <c r="G1079" s="230"/>
      <c r="H1079" s="230"/>
      <c r="I1079" s="230"/>
      <c r="J1079" s="230"/>
      <c r="K1079" s="230"/>
      <c r="L1079" s="230"/>
      <c r="M1079" s="230"/>
      <c r="N1079" s="230"/>
    </row>
    <row r="1080" spans="2:16" ht="12.75" customHeight="1" thickBot="1" x14ac:dyDescent="0.3">
      <c r="B1080" s="3"/>
      <c r="C1080" s="230"/>
      <c r="D1080" s="230"/>
      <c r="E1080" s="230"/>
      <c r="F1080" s="230"/>
      <c r="G1080" s="230"/>
      <c r="H1080" s="230"/>
      <c r="I1080" s="230"/>
      <c r="J1080" s="230"/>
      <c r="K1080" s="230"/>
      <c r="L1080" s="230"/>
      <c r="M1080" s="230"/>
      <c r="N1080" s="230"/>
    </row>
    <row r="1081" spans="2:16" ht="15" customHeight="1" thickBot="1" x14ac:dyDescent="0.35">
      <c r="B1081" s="15"/>
      <c r="C1081" s="17">
        <v>11</v>
      </c>
      <c r="D1081" s="2053" t="str">
        <f>Euconst_FallBackSub &amp; " " &amp; C1081-10 &amp; ":"</f>
        <v>”Fall-back”-delanläggning 1:</v>
      </c>
      <c r="E1081" s="2053"/>
      <c r="F1081" s="2053"/>
      <c r="G1081" s="2053"/>
      <c r="H1081" s="2081"/>
      <c r="I1081" s="2082" t="str">
        <f>[1]K_Summary!I1071</f>
        <v>Heat benchmark sub-installation, CL</v>
      </c>
      <c r="J1081" s="2083"/>
      <c r="K1081" s="2083"/>
      <c r="L1081" s="2084"/>
      <c r="M1081" s="2085" t="str">
        <f>[1]K_Summary!M1071</f>
        <v/>
      </c>
      <c r="N1081" s="2086"/>
    </row>
    <row r="1082" spans="2:16" ht="5.15" customHeight="1" thickBot="1" x14ac:dyDescent="0.3">
      <c r="B1082" s="15"/>
      <c r="C1082" s="15"/>
      <c r="D1082" s="15"/>
      <c r="E1082" s="15"/>
      <c r="F1082" s="15"/>
      <c r="G1082" s="15"/>
      <c r="H1082" s="15"/>
      <c r="I1082" s="15"/>
      <c r="J1082" s="15"/>
      <c r="K1082" s="15"/>
      <c r="L1082" s="15"/>
      <c r="M1082" s="15"/>
      <c r="N1082" s="15"/>
    </row>
    <row r="1083" spans="2:16" x14ac:dyDescent="0.25">
      <c r="B1083" s="15"/>
      <c r="C1083" s="15"/>
      <c r="D1083" s="15"/>
      <c r="E1083" s="15"/>
      <c r="F1083" s="15"/>
      <c r="G1083" s="15"/>
      <c r="H1083" s="506" t="str">
        <f>Translations!$B$1022</f>
        <v>KL-risk</v>
      </c>
      <c r="I1083" s="507" t="str">
        <f>Translations!$B$1026</f>
        <v>I drift</v>
      </c>
      <c r="J1083" s="507" t="str">
        <f>Translations!$B$1030</f>
        <v>15(7).3?</v>
      </c>
      <c r="K1083" s="507" t="str">
        <f>Translations!$B$1032</f>
        <v>15(7).3 HAL</v>
      </c>
      <c r="L1083" s="612" t="str">
        <f>Translations!$B$1024</f>
        <v>RM-nummer</v>
      </c>
      <c r="M1083" s="786" t="str">
        <f>Translations!$B$1052</f>
        <v>RM-värde (min./max./faktiskt)</v>
      </c>
      <c r="N1083" s="787"/>
    </row>
    <row r="1084" spans="2:16" x14ac:dyDescent="0.25">
      <c r="B1084" s="15"/>
      <c r="C1084" s="15"/>
      <c r="D1084" s="15"/>
      <c r="E1084" s="508" t="str">
        <f>[1]K_Summary!E1074</f>
        <v>Heat benchmark sub-installation, CL</v>
      </c>
      <c r="F1084" s="509"/>
      <c r="G1084" s="464"/>
      <c r="H1084" s="510" t="b">
        <f>[1]K_Summary!H1074</f>
        <v>1</v>
      </c>
      <c r="I1084" s="642" t="str">
        <f>[1]K_Summary!I1074</f>
        <v/>
      </c>
      <c r="J1084" s="511" t="str">
        <f>[1]K_Summary!J1074</f>
        <v/>
      </c>
      <c r="K1084" s="421" t="str">
        <f>[1]K_Summary!K1074</f>
        <v/>
      </c>
      <c r="L1084" s="641">
        <f>[1]K_Summary!L1074</f>
        <v>1</v>
      </c>
      <c r="M1084" s="790" t="str">
        <f>[1]K_Summary!M1074</f>
        <v/>
      </c>
      <c r="N1084" s="788" t="str">
        <f>EUconst_EUA &amp; "/" &amp; H1089</f>
        <v>EUA/TJ</v>
      </c>
    </row>
    <row r="1085" spans="2:16" x14ac:dyDescent="0.25">
      <c r="B1085" s="15"/>
      <c r="C1085" s="15"/>
      <c r="D1085" s="534"/>
      <c r="E1085" s="534"/>
      <c r="F1085" s="534"/>
      <c r="G1085" s="534"/>
      <c r="H1085" s="534"/>
      <c r="I1085" s="534"/>
      <c r="J1085" s="534"/>
      <c r="K1085" s="534"/>
      <c r="L1085" s="534"/>
      <c r="M1085" s="790" t="str">
        <f>[1]K_Summary!M1075</f>
        <v/>
      </c>
      <c r="N1085" s="788" t="str">
        <f>EUconst_EUA &amp; "/" &amp; H1089</f>
        <v>EUA/TJ</v>
      </c>
    </row>
    <row r="1086" spans="2:16" ht="13" thickBot="1" x14ac:dyDescent="0.3">
      <c r="B1086" s="15"/>
      <c r="C1086" s="15"/>
      <c r="D1086" s="534"/>
      <c r="E1086" s="534"/>
      <c r="F1086" s="534"/>
      <c r="G1086" s="534"/>
      <c r="H1086" s="534"/>
      <c r="I1086" s="534"/>
      <c r="J1086" s="534"/>
      <c r="K1086" s="534"/>
      <c r="L1086" s="534"/>
      <c r="M1086" s="791" t="str">
        <f>[1]K_Summary!M1076</f>
        <v/>
      </c>
      <c r="N1086" s="789" t="str">
        <f>EUconst_EUA &amp; "/" &amp; H1089</f>
        <v>EUA/TJ</v>
      </c>
      <c r="P1086" s="1903" t="b">
        <f>IF(ISNUMBER(M1086),INDEX(EUconst_FallBackListBMvalues,L1084)&lt;&gt;M1086,FALSE)</f>
        <v>0</v>
      </c>
    </row>
    <row r="1087" spans="2:16" ht="5.15" customHeight="1" x14ac:dyDescent="0.25">
      <c r="B1087" s="15"/>
      <c r="C1087" s="15"/>
      <c r="D1087" s="15"/>
      <c r="E1087" s="15"/>
      <c r="F1087" s="15"/>
      <c r="G1087" s="15"/>
      <c r="H1087" s="15"/>
      <c r="I1087" s="15"/>
      <c r="J1087" s="15"/>
      <c r="K1087" s="15"/>
      <c r="L1087" s="15"/>
      <c r="M1087" s="15"/>
      <c r="N1087" s="15"/>
    </row>
    <row r="1088" spans="2:16" ht="13" x14ac:dyDescent="0.25">
      <c r="B1088" s="15"/>
      <c r="C1088" s="15"/>
      <c r="D1088" s="15"/>
      <c r="E1088" s="188"/>
      <c r="F1088" s="188"/>
      <c r="G1088" s="512"/>
      <c r="H1088" s="506" t="str">
        <f>Translations!$B$1014</f>
        <v>Enhet</v>
      </c>
      <c r="I1088" s="350">
        <v>2014</v>
      </c>
      <c r="J1088" s="350">
        <v>2015</v>
      </c>
      <c r="K1088" s="350">
        <v>2016</v>
      </c>
      <c r="L1088" s="350">
        <v>2017</v>
      </c>
      <c r="M1088" s="350">
        <v>2018</v>
      </c>
      <c r="N1088" s="15"/>
    </row>
    <row r="1089" spans="2:14" x14ac:dyDescent="0.25">
      <c r="B1089" s="15"/>
      <c r="C1089" s="15"/>
      <c r="D1089" s="15"/>
      <c r="E1089" s="513" t="str">
        <f>Translations!$B$1054</f>
        <v>Rapporterad HAL (historisk verksamhetsnivå)</v>
      </c>
      <c r="F1089" s="514"/>
      <c r="G1089" s="515"/>
      <c r="H1089" s="510" t="str">
        <f>[1]K_Summary!H1079</f>
        <v>TJ</v>
      </c>
      <c r="I1089" s="421" t="str">
        <f>[1]K_Summary!I1079</f>
        <v/>
      </c>
      <c r="J1089" s="421" t="str">
        <f>[1]K_Summary!J1079</f>
        <v/>
      </c>
      <c r="K1089" s="421" t="str">
        <f>[1]K_Summary!K1079</f>
        <v/>
      </c>
      <c r="L1089" s="421" t="str">
        <f>[1]K_Summary!L1079</f>
        <v/>
      </c>
      <c r="M1089" s="421" t="str">
        <f>[1]K_Summary!M1079</f>
        <v/>
      </c>
      <c r="N1089" s="507" t="str">
        <f>Translations!$B$1042</f>
        <v>Genomsnitt</v>
      </c>
    </row>
    <row r="1090" spans="2:14" x14ac:dyDescent="0.25">
      <c r="B1090" s="15"/>
      <c r="C1090" s="15"/>
      <c r="D1090" s="15"/>
      <c r="E1090" s="513" t="str">
        <f>Translations!$B$1055</f>
        <v>Värden som används för HAL-beräkning:</v>
      </c>
      <c r="F1090" s="514"/>
      <c r="G1090" s="515"/>
      <c r="H1090" s="510" t="str">
        <f>[1]K_Summary!H1080</f>
        <v>TJ</v>
      </c>
      <c r="I1090" s="346" t="str">
        <f>[1]K_Summary!I1080</f>
        <v/>
      </c>
      <c r="J1090" s="346" t="str">
        <f>[1]K_Summary!J1080</f>
        <v/>
      </c>
      <c r="K1090" s="346" t="str">
        <f>[1]K_Summary!K1080</f>
        <v/>
      </c>
      <c r="L1090" s="346" t="str">
        <f>[1]K_Summary!L1080</f>
        <v/>
      </c>
      <c r="M1090" s="346" t="str">
        <f>[1]K_Summary!M1080</f>
        <v/>
      </c>
      <c r="N1090" s="421" t="str">
        <f>[1]K_Summary!N1080</f>
        <v/>
      </c>
    </row>
    <row r="1091" spans="2:14" ht="5.15" customHeight="1" x14ac:dyDescent="0.25">
      <c r="B1091" s="15"/>
      <c r="C1091" s="15"/>
      <c r="D1091" s="15"/>
      <c r="E1091" s="15"/>
      <c r="F1091" s="15"/>
      <c r="G1091" s="15"/>
      <c r="H1091" s="15"/>
      <c r="I1091" s="15"/>
      <c r="J1091" s="15"/>
      <c r="K1091" s="15"/>
      <c r="L1091" s="15"/>
      <c r="M1091" s="15"/>
      <c r="N1091" s="15"/>
    </row>
    <row r="1092" spans="2:14" ht="13" thickBot="1" x14ac:dyDescent="0.3">
      <c r="B1092" s="15"/>
      <c r="C1092" s="15"/>
      <c r="D1092" s="15"/>
      <c r="E1092" s="15"/>
      <c r="F1092" s="516" t="s">
        <v>1385</v>
      </c>
      <c r="G1092" s="618"/>
      <c r="H1092" s="15"/>
      <c r="I1092" s="617" t="str">
        <f>Translations!$B$1044</f>
        <v>Prel. tilldelning år 1 (min.)</v>
      </c>
      <c r="J1092" s="618"/>
      <c r="K1092" s="617" t="str">
        <f>Translations!$B$1047</f>
        <v>Prel. tilldelning år 1 (max.)</v>
      </c>
      <c r="L1092" s="618"/>
      <c r="M1092" s="617" t="str">
        <f>Translations!$B$1049</f>
        <v>Prel. tilldelning år 1 (faktisk)</v>
      </c>
      <c r="N1092" s="618"/>
    </row>
    <row r="1093" spans="2:14" ht="13.5" thickBot="1" x14ac:dyDescent="0.3">
      <c r="B1093" s="15"/>
      <c r="C1093" s="15"/>
      <c r="D1093" s="15"/>
      <c r="E1093" s="15"/>
      <c r="F1093" s="517" t="str">
        <f>[1]K_Summary!F1083</f>
        <v/>
      </c>
      <c r="G1093" s="709" t="str">
        <f>EUconst_TJpa</f>
        <v>TJ / år</v>
      </c>
      <c r="H1093" s="15"/>
      <c r="I1093" s="616" t="str">
        <f>[1]K_Summary!I1083</f>
        <v/>
      </c>
      <c r="J1093" s="709" t="str">
        <f>EUconst_EUApa</f>
        <v>EUA / år</v>
      </c>
      <c r="K1093" s="616" t="str">
        <f>[1]K_Summary!K1083</f>
        <v/>
      </c>
      <c r="L1093" s="709" t="str">
        <f>EUconst_EUApa</f>
        <v>EUA / år</v>
      </c>
      <c r="M1093" s="616" t="str">
        <f>[1]K_Summary!M1083</f>
        <v/>
      </c>
      <c r="N1093" s="709" t="str">
        <f>EUconst_EUApa</f>
        <v>EUA / år</v>
      </c>
    </row>
    <row r="1094" spans="2:14" x14ac:dyDescent="0.25">
      <c r="B1094" s="15"/>
      <c r="C1094" s="15"/>
      <c r="D1094" s="15"/>
      <c r="E1094" s="15"/>
      <c r="F1094" s="15"/>
      <c r="G1094" s="15"/>
      <c r="H1094" s="15"/>
      <c r="I1094" s="15"/>
      <c r="J1094" s="15"/>
      <c r="K1094" s="15"/>
      <c r="L1094" s="15"/>
      <c r="M1094" s="15"/>
      <c r="N1094" s="15"/>
    </row>
    <row r="1095" spans="2:14" ht="12.75" customHeight="1" x14ac:dyDescent="0.25">
      <c r="B1095" s="15"/>
      <c r="C1095" s="15"/>
      <c r="D1095" s="15"/>
      <c r="E1095" s="416"/>
      <c r="F1095" s="623"/>
      <c r="G1095" s="623"/>
      <c r="H1095" s="623"/>
      <c r="I1095" s="623"/>
      <c r="J1095" s="623"/>
      <c r="K1095" s="623"/>
      <c r="L1095" s="623"/>
      <c r="M1095" s="623"/>
      <c r="N1095" s="623"/>
    </row>
    <row r="1096" spans="2:14" ht="13.5" thickBot="1" x14ac:dyDescent="0.3">
      <c r="B1096" s="15"/>
      <c r="C1096" s="15"/>
      <c r="D1096" s="15"/>
      <c r="E1096" s="416"/>
      <c r="F1096" s="623"/>
      <c r="G1096" s="623"/>
      <c r="H1096" s="415" t="str">
        <f>Translations!$B$1014</f>
        <v>Enhet</v>
      </c>
      <c r="I1096" s="744">
        <v>2014</v>
      </c>
      <c r="J1096" s="362">
        <v>2015</v>
      </c>
      <c r="K1096" s="362">
        <v>2016</v>
      </c>
      <c r="L1096" s="362">
        <v>2017</v>
      </c>
      <c r="M1096" s="362">
        <v>2018</v>
      </c>
      <c r="N1096" s="623"/>
    </row>
    <row r="1097" spans="2:14" ht="13.5" customHeight="1" thickBot="1" x14ac:dyDescent="0.3">
      <c r="B1097" s="15"/>
      <c r="C1097" s="15"/>
      <c r="D1097" s="15"/>
      <c r="E1097" s="2074" t="str">
        <f>Translations!$B$380</f>
        <v>Producerad mätbar värme</v>
      </c>
      <c r="F1097" s="2074"/>
      <c r="G1097" s="2074"/>
      <c r="H1097" s="710" t="str">
        <f>EUconst_TJpa</f>
        <v>TJ / år</v>
      </c>
      <c r="I1097" s="735" t="str">
        <f>[1]K_Summary!I1087</f>
        <v/>
      </c>
      <c r="J1097" s="736" t="str">
        <f>[1]K_Summary!J1087</f>
        <v/>
      </c>
      <c r="K1097" s="736" t="str">
        <f>[1]K_Summary!K1087</f>
        <v/>
      </c>
      <c r="L1097" s="736" t="str">
        <f>[1]K_Summary!L1087</f>
        <v/>
      </c>
      <c r="M1097" s="737" t="str">
        <f>[1]K_Summary!M1087</f>
        <v/>
      </c>
      <c r="N1097" s="623"/>
    </row>
    <row r="1098" spans="2:14" ht="5.15" customHeight="1" thickBot="1" x14ac:dyDescent="0.3">
      <c r="B1098" s="15"/>
      <c r="C1098" s="15"/>
      <c r="D1098" s="15"/>
      <c r="E1098" s="416"/>
      <c r="F1098" s="416"/>
      <c r="G1098" s="416"/>
      <c r="H1098" s="416"/>
      <c r="I1098" s="741"/>
      <c r="J1098" s="741"/>
      <c r="K1098" s="741"/>
      <c r="L1098" s="741"/>
      <c r="M1098" s="741"/>
      <c r="N1098" s="623"/>
    </row>
    <row r="1099" spans="2:14" ht="13.5" customHeight="1" thickBot="1" x14ac:dyDescent="0.3">
      <c r="B1099" s="15"/>
      <c r="C1099" s="15"/>
      <c r="D1099" s="15"/>
      <c r="E1099" s="2074" t="str">
        <f>Translations!$B$1056</f>
        <v>Totala tillskrivna utsläpp</v>
      </c>
      <c r="F1099" s="2074"/>
      <c r="G1099" s="2074"/>
      <c r="H1099" s="710" t="str">
        <f>EUconst_tCO2epa</f>
        <v>t CO2e/år</v>
      </c>
      <c r="I1099" s="735" t="str">
        <f>[1]K_Summary!I1089</f>
        <v/>
      </c>
      <c r="J1099" s="736" t="str">
        <f>[1]K_Summary!J1089</f>
        <v/>
      </c>
      <c r="K1099" s="736" t="str">
        <f>[1]K_Summary!K1089</f>
        <v/>
      </c>
      <c r="L1099" s="736" t="str">
        <f>[1]K_Summary!L1089</f>
        <v/>
      </c>
      <c r="M1099" s="737" t="str">
        <f>[1]K_Summary!M1089</f>
        <v/>
      </c>
      <c r="N1099" s="623"/>
    </row>
    <row r="1100" spans="2:14" ht="5.15" customHeight="1" x14ac:dyDescent="0.25">
      <c r="B1100" s="15"/>
      <c r="C1100" s="15"/>
      <c r="D1100" s="15"/>
      <c r="E1100" s="416"/>
      <c r="F1100" s="416"/>
      <c r="G1100" s="416"/>
      <c r="H1100" s="416"/>
      <c r="I1100" s="738"/>
      <c r="J1100" s="738"/>
      <c r="K1100" s="738"/>
      <c r="L1100" s="738"/>
      <c r="M1100" s="738"/>
      <c r="N1100" s="416"/>
    </row>
    <row r="1101" spans="2:14" x14ac:dyDescent="0.25">
      <c r="B1101" s="15"/>
      <c r="C1101" s="15"/>
      <c r="D1101" s="15"/>
      <c r="E1101" s="2087" t="str">
        <f>Translations!$B$571</f>
        <v>Insatsbränsle</v>
      </c>
      <c r="F1101" s="2087"/>
      <c r="G1101" s="2087"/>
      <c r="H1101" s="1606" t="str">
        <f>EUconst_TJpa</f>
        <v>TJ / år</v>
      </c>
      <c r="I1101" s="739" t="str">
        <f>[1]K_Summary!I1091</f>
        <v/>
      </c>
      <c r="J1101" s="739" t="str">
        <f>[1]K_Summary!J1091</f>
        <v/>
      </c>
      <c r="K1101" s="739" t="str">
        <f>[1]K_Summary!K1091</f>
        <v/>
      </c>
      <c r="L1101" s="739" t="str">
        <f>[1]K_Summary!L1091</f>
        <v/>
      </c>
      <c r="M1101" s="739" t="str">
        <f>[1]K_Summary!M1091</f>
        <v/>
      </c>
      <c r="N1101" s="623"/>
    </row>
    <row r="1102" spans="2:14" ht="12.75" customHeight="1" x14ac:dyDescent="0.25">
      <c r="B1102" s="15"/>
      <c r="C1102" s="15"/>
      <c r="D1102" s="15"/>
      <c r="E1102" s="2088" t="str">
        <f>Translations!$B$572</f>
        <v>Viktad emissionsfaktor</v>
      </c>
      <c r="F1102" s="2088"/>
      <c r="G1102" s="2088"/>
      <c r="H1102" s="624" t="str">
        <f>EUconst_tCO2pTJ</f>
        <v>t CO2 / TJ</v>
      </c>
      <c r="I1102" s="740" t="str">
        <f>[1]K_Summary!I1092</f>
        <v/>
      </c>
      <c r="J1102" s="740" t="str">
        <f>[1]K_Summary!J1092</f>
        <v/>
      </c>
      <c r="K1102" s="740" t="str">
        <f>[1]K_Summary!K1092</f>
        <v/>
      </c>
      <c r="L1102" s="740" t="str">
        <f>[1]K_Summary!L1092</f>
        <v/>
      </c>
      <c r="M1102" s="740" t="str">
        <f>[1]K_Summary!M1092</f>
        <v/>
      </c>
      <c r="N1102" s="623"/>
    </row>
    <row r="1103" spans="2:14" ht="12.75" customHeight="1" x14ac:dyDescent="0.25">
      <c r="B1103" s="15"/>
      <c r="C1103" s="15"/>
      <c r="D1103" s="15"/>
      <c r="E1103" s="2087" t="str">
        <f>Translations!$B$688</f>
        <v>Insatsbränsle från restgaser</v>
      </c>
      <c r="F1103" s="2087"/>
      <c r="G1103" s="2087"/>
      <c r="H1103" s="1606" t="str">
        <f>EUconst_TJpa</f>
        <v>TJ / år</v>
      </c>
      <c r="I1103" s="739" t="str">
        <f>[1]K_Summary!I1093</f>
        <v/>
      </c>
      <c r="J1103" s="739" t="str">
        <f>[1]K_Summary!J1093</f>
        <v/>
      </c>
      <c r="K1103" s="739" t="str">
        <f>[1]K_Summary!K1093</f>
        <v/>
      </c>
      <c r="L1103" s="739" t="str">
        <f>[1]K_Summary!L1093</f>
        <v/>
      </c>
      <c r="M1103" s="739" t="str">
        <f>[1]K_Summary!M1093</f>
        <v/>
      </c>
      <c r="N1103" s="623"/>
    </row>
    <row r="1104" spans="2:14" ht="12.75" customHeight="1" x14ac:dyDescent="0.25">
      <c r="B1104" s="15"/>
      <c r="C1104" s="15"/>
      <c r="D1104" s="15"/>
      <c r="E1104" s="2088" t="str">
        <f>Translations!$B$572</f>
        <v>Viktad emissionsfaktor</v>
      </c>
      <c r="F1104" s="2088"/>
      <c r="G1104" s="2088"/>
      <c r="H1104" s="624" t="str">
        <f>EUconst_tCO2pTJ</f>
        <v>t CO2 / TJ</v>
      </c>
      <c r="I1104" s="740" t="str">
        <f>[1]K_Summary!I1094</f>
        <v/>
      </c>
      <c r="J1104" s="740" t="str">
        <f>[1]K_Summary!J1094</f>
        <v/>
      </c>
      <c r="K1104" s="740" t="str">
        <f>[1]K_Summary!K1094</f>
        <v/>
      </c>
      <c r="L1104" s="740" t="str">
        <f>[1]K_Summary!L1094</f>
        <v/>
      </c>
      <c r="M1104" s="740" t="str">
        <f>[1]K_Summary!M1094</f>
        <v/>
      </c>
      <c r="N1104" s="623"/>
    </row>
    <row r="1105" spans="2:14" ht="5.15" customHeight="1" x14ac:dyDescent="0.25">
      <c r="B1105" s="15"/>
      <c r="C1105" s="15"/>
      <c r="D1105" s="15"/>
      <c r="E1105" s="416"/>
      <c r="F1105" s="623"/>
      <c r="G1105" s="623"/>
      <c r="H1105" s="623"/>
      <c r="I1105" s="741"/>
      <c r="J1105" s="741"/>
      <c r="K1105" s="741"/>
      <c r="L1105" s="741"/>
      <c r="M1105" s="741"/>
      <c r="N1105" s="623"/>
    </row>
    <row r="1106" spans="2:14" ht="12.75" customHeight="1" x14ac:dyDescent="0.25">
      <c r="B1106" s="15"/>
      <c r="C1106" s="15"/>
      <c r="D1106" s="15"/>
      <c r="E1106" s="2080" t="str">
        <f>Translations!$B$528</f>
        <v>Direkta utsläpp</v>
      </c>
      <c r="F1106" s="2080"/>
      <c r="G1106" s="2080"/>
      <c r="H1106" s="363" t="str">
        <f>EUconst_tCO2pa</f>
        <v>t CO2 / år</v>
      </c>
      <c r="I1106" s="742" t="str">
        <f>[1]K_Summary!I1096</f>
        <v/>
      </c>
      <c r="J1106" s="742" t="str">
        <f>[1]K_Summary!J1096</f>
        <v/>
      </c>
      <c r="K1106" s="742" t="str">
        <f>[1]K_Summary!K1096</f>
        <v/>
      </c>
      <c r="L1106" s="742" t="str">
        <f>[1]K_Summary!L1096</f>
        <v/>
      </c>
      <c r="M1106" s="742" t="str">
        <f>[1]K_Summary!M1096</f>
        <v/>
      </c>
      <c r="N1106" s="623"/>
    </row>
    <row r="1107" spans="2:14" ht="5.15" customHeight="1" x14ac:dyDescent="0.25">
      <c r="B1107" s="15"/>
      <c r="C1107" s="15"/>
      <c r="D1107" s="15"/>
      <c r="E1107" s="416"/>
      <c r="F1107" s="416"/>
      <c r="G1107" s="416"/>
      <c r="H1107" s="416"/>
      <c r="I1107" s="741"/>
      <c r="J1107" s="741"/>
      <c r="K1107" s="741"/>
      <c r="L1107" s="741"/>
      <c r="M1107" s="741"/>
      <c r="N1107" s="623"/>
    </row>
    <row r="1108" spans="2:14" ht="12.75" customHeight="1" x14ac:dyDescent="0.25">
      <c r="B1108" s="15"/>
      <c r="C1108" s="15"/>
      <c r="D1108" s="15"/>
      <c r="E1108" s="2087" t="str">
        <f>Translations!$B$1059</f>
        <v>Importerad nettovärme (annat)</v>
      </c>
      <c r="F1108" s="2087"/>
      <c r="G1108" s="2087"/>
      <c r="H1108" s="1606" t="str">
        <f>EUconst_TJpa</f>
        <v>TJ / år</v>
      </c>
      <c r="I1108" s="739" t="str">
        <f>[1]K_Summary!I1098</f>
        <v/>
      </c>
      <c r="J1108" s="739" t="str">
        <f>[1]K_Summary!J1098</f>
        <v/>
      </c>
      <c r="K1108" s="739" t="str">
        <f>[1]K_Summary!K1098</f>
        <v/>
      </c>
      <c r="L1108" s="739" t="str">
        <f>[1]K_Summary!L1098</f>
        <v/>
      </c>
      <c r="M1108" s="739" t="str">
        <f>[1]K_Summary!M1098</f>
        <v/>
      </c>
      <c r="N1108" s="623"/>
    </row>
    <row r="1109" spans="2:14" ht="12.75" customHeight="1" x14ac:dyDescent="0.25">
      <c r="B1109" s="15"/>
      <c r="C1109" s="15"/>
      <c r="D1109" s="15"/>
      <c r="E1109" s="2088" t="str">
        <f>Translations!$B$605</f>
        <v>Särskild emissionsfaktor (importerad värme)</v>
      </c>
      <c r="F1109" s="2088"/>
      <c r="G1109" s="2088"/>
      <c r="H1109" s="624" t="str">
        <f>EUconst_tCO2pTJ</f>
        <v>t CO2 / TJ</v>
      </c>
      <c r="I1109" s="740" t="str">
        <f>[1]K_Summary!I1099</f>
        <v/>
      </c>
      <c r="J1109" s="740" t="str">
        <f>[1]K_Summary!J1099</f>
        <v/>
      </c>
      <c r="K1109" s="740" t="str">
        <f>[1]K_Summary!K1099</f>
        <v/>
      </c>
      <c r="L1109" s="740" t="str">
        <f>[1]K_Summary!L1099</f>
        <v/>
      </c>
      <c r="M1109" s="740" t="str">
        <f>[1]K_Summary!M1099</f>
        <v/>
      </c>
      <c r="N1109" s="623"/>
    </row>
    <row r="1110" spans="2:14" ht="12.75" customHeight="1" x14ac:dyDescent="0.25">
      <c r="B1110" s="15"/>
      <c r="C1110" s="15"/>
      <c r="D1110" s="15"/>
      <c r="E1110" s="2087" t="str">
        <f>Translations!$B$1060</f>
        <v>Importerad nettovärme (produktriktmärke)</v>
      </c>
      <c r="F1110" s="2087"/>
      <c r="G1110" s="2087"/>
      <c r="H1110" s="1606" t="str">
        <f>EUconst_TJpa</f>
        <v>TJ / år</v>
      </c>
      <c r="I1110" s="739" t="str">
        <f>[1]K_Summary!I1100</f>
        <v/>
      </c>
      <c r="J1110" s="739" t="str">
        <f>[1]K_Summary!J1100</f>
        <v/>
      </c>
      <c r="K1110" s="739" t="str">
        <f>[1]K_Summary!K1100</f>
        <v/>
      </c>
      <c r="L1110" s="739" t="str">
        <f>[1]K_Summary!L1100</f>
        <v/>
      </c>
      <c r="M1110" s="739" t="str">
        <f>[1]K_Summary!M1100</f>
        <v/>
      </c>
      <c r="N1110" s="623"/>
    </row>
    <row r="1111" spans="2:14" ht="12.75" customHeight="1" x14ac:dyDescent="0.25">
      <c r="B1111" s="15"/>
      <c r="C1111" s="15"/>
      <c r="D1111" s="15"/>
      <c r="E1111" s="2088" t="str">
        <f>Translations!$B$703</f>
        <v>Särskild emissionsfaktor (från produktriktmärke)</v>
      </c>
      <c r="F1111" s="2088"/>
      <c r="G1111" s="2088"/>
      <c r="H1111" s="624" t="str">
        <f>EUconst_tCO2pTJ</f>
        <v>t CO2 / TJ</v>
      </c>
      <c r="I1111" s="740" t="str">
        <f>[1]K_Summary!I1101</f>
        <v/>
      </c>
      <c r="J1111" s="740" t="str">
        <f>[1]K_Summary!J1101</f>
        <v/>
      </c>
      <c r="K1111" s="740" t="str">
        <f>[1]K_Summary!K1101</f>
        <v/>
      </c>
      <c r="L1111" s="740" t="str">
        <f>[1]K_Summary!L1101</f>
        <v/>
      </c>
      <c r="M1111" s="740" t="str">
        <f>[1]K_Summary!M1101</f>
        <v/>
      </c>
      <c r="N1111" s="623"/>
    </row>
    <row r="1112" spans="2:14" ht="12.75" customHeight="1" x14ac:dyDescent="0.25">
      <c r="B1112" s="15"/>
      <c r="C1112" s="15"/>
      <c r="D1112" s="15"/>
      <c r="E1112" s="2087" t="str">
        <f>Translations!$B$1061</f>
        <v>Importerad nettovärme (massa)</v>
      </c>
      <c r="F1112" s="2087"/>
      <c r="G1112" s="2087"/>
      <c r="H1112" s="1606" t="str">
        <f>EUconst_TJpa</f>
        <v>TJ / år</v>
      </c>
      <c r="I1112" s="739" t="str">
        <f>[1]K_Summary!I1102</f>
        <v/>
      </c>
      <c r="J1112" s="739" t="str">
        <f>[1]K_Summary!J1102</f>
        <v/>
      </c>
      <c r="K1112" s="739" t="str">
        <f>[1]K_Summary!K1102</f>
        <v/>
      </c>
      <c r="L1112" s="739" t="str">
        <f>[1]K_Summary!L1102</f>
        <v/>
      </c>
      <c r="M1112" s="739" t="str">
        <f>[1]K_Summary!M1102</f>
        <v/>
      </c>
      <c r="N1112" s="623"/>
    </row>
    <row r="1113" spans="2:14" ht="12.75" customHeight="1" x14ac:dyDescent="0.25">
      <c r="B1113" s="15"/>
      <c r="C1113" s="15"/>
      <c r="D1113" s="15"/>
      <c r="E1113" s="2088" t="str">
        <f>Translations!$B$705</f>
        <v>Särskild emissionsfaktor (från massa)</v>
      </c>
      <c r="F1113" s="2088"/>
      <c r="G1113" s="2088"/>
      <c r="H1113" s="624" t="str">
        <f>EUconst_tCO2pTJ</f>
        <v>t CO2 / TJ</v>
      </c>
      <c r="I1113" s="740" t="str">
        <f>[1]K_Summary!I1103</f>
        <v/>
      </c>
      <c r="J1113" s="740" t="str">
        <f>[1]K_Summary!J1103</f>
        <v/>
      </c>
      <c r="K1113" s="740" t="str">
        <f>[1]K_Summary!K1103</f>
        <v/>
      </c>
      <c r="L1113" s="740" t="str">
        <f>[1]K_Summary!L1103</f>
        <v/>
      </c>
      <c r="M1113" s="740" t="str">
        <f>[1]K_Summary!M1103</f>
        <v/>
      </c>
      <c r="N1113" s="623"/>
    </row>
    <row r="1114" spans="2:14" ht="12.75" customHeight="1" x14ac:dyDescent="0.25">
      <c r="B1114" s="15"/>
      <c r="C1114" s="15"/>
      <c r="D1114" s="15"/>
      <c r="E1114" s="2087" t="str">
        <f>Translations!$B$1062</f>
        <v>Importerad nettovärme (bränsleriktmärke)</v>
      </c>
      <c r="F1114" s="2087"/>
      <c r="G1114" s="2087"/>
      <c r="H1114" s="1606" t="str">
        <f>EUconst_TJpa</f>
        <v>TJ / år</v>
      </c>
      <c r="I1114" s="739" t="str">
        <f>[1]K_Summary!I1104</f>
        <v/>
      </c>
      <c r="J1114" s="739" t="str">
        <f>[1]K_Summary!J1104</f>
        <v/>
      </c>
      <c r="K1114" s="739" t="str">
        <f>[1]K_Summary!K1104</f>
        <v/>
      </c>
      <c r="L1114" s="739" t="str">
        <f>[1]K_Summary!L1104</f>
        <v/>
      </c>
      <c r="M1114" s="739" t="str">
        <f>[1]K_Summary!M1104</f>
        <v/>
      </c>
      <c r="N1114" s="623"/>
    </row>
    <row r="1115" spans="2:14" ht="12.75" customHeight="1" x14ac:dyDescent="0.25">
      <c r="B1115" s="15"/>
      <c r="C1115" s="15"/>
      <c r="D1115" s="15"/>
      <c r="E1115" s="2088" t="str">
        <f>Translations!$B$707</f>
        <v>Särskild emissionsfaktor (från bränsleriktmärke)</v>
      </c>
      <c r="F1115" s="2088"/>
      <c r="G1115" s="2088"/>
      <c r="H1115" s="624" t="str">
        <f>EUconst_tCO2pTJ</f>
        <v>t CO2 / TJ</v>
      </c>
      <c r="I1115" s="740" t="str">
        <f>[1]K_Summary!I1105</f>
        <v/>
      </c>
      <c r="J1115" s="740" t="str">
        <f>[1]K_Summary!J1105</f>
        <v/>
      </c>
      <c r="K1115" s="740" t="str">
        <f>[1]K_Summary!K1105</f>
        <v/>
      </c>
      <c r="L1115" s="740" t="str">
        <f>[1]K_Summary!L1105</f>
        <v/>
      </c>
      <c r="M1115" s="740" t="str">
        <f>[1]K_Summary!M1105</f>
        <v/>
      </c>
      <c r="N1115" s="623"/>
    </row>
    <row r="1116" spans="2:14" ht="12.75" customHeight="1" x14ac:dyDescent="0.25">
      <c r="B1116" s="15"/>
      <c r="C1116" s="15"/>
      <c r="D1116" s="15"/>
      <c r="E1116" s="2087" t="str">
        <f>Translations!$B$1063</f>
        <v>Importerad nettovärme (restgaser)</v>
      </c>
      <c r="F1116" s="2087"/>
      <c r="G1116" s="2087"/>
      <c r="H1116" s="1606" t="str">
        <f>EUconst_TJpa</f>
        <v>TJ / år</v>
      </c>
      <c r="I1116" s="739" t="str">
        <f>[1]K_Summary!I1106</f>
        <v/>
      </c>
      <c r="J1116" s="739" t="str">
        <f>[1]K_Summary!J1106</f>
        <v/>
      </c>
      <c r="K1116" s="739" t="str">
        <f>[1]K_Summary!K1106</f>
        <v/>
      </c>
      <c r="L1116" s="739" t="str">
        <f>[1]K_Summary!L1106</f>
        <v/>
      </c>
      <c r="M1116" s="739" t="str">
        <f>[1]K_Summary!M1106</f>
        <v/>
      </c>
      <c r="N1116" s="623"/>
    </row>
    <row r="1117" spans="2:14" ht="12.75" customHeight="1" x14ac:dyDescent="0.25">
      <c r="B1117" s="15"/>
      <c r="C1117" s="15"/>
      <c r="D1117" s="15"/>
      <c r="E1117" s="2088" t="str">
        <f>Translations!$B$709</f>
        <v>Särskild emissionsfaktor (från restgas)</v>
      </c>
      <c r="F1117" s="2088"/>
      <c r="G1117" s="2088"/>
      <c r="H1117" s="624" t="str">
        <f>EUconst_tCO2pTJ</f>
        <v>t CO2 / TJ</v>
      </c>
      <c r="I1117" s="740" t="str">
        <f>[1]K_Summary!I1107</f>
        <v/>
      </c>
      <c r="J1117" s="740" t="str">
        <f>[1]K_Summary!J1107</f>
        <v/>
      </c>
      <c r="K1117" s="740" t="str">
        <f>[1]K_Summary!K1107</f>
        <v/>
      </c>
      <c r="L1117" s="740" t="str">
        <f>[1]K_Summary!L1107</f>
        <v/>
      </c>
      <c r="M1117" s="740" t="str">
        <f>[1]K_Summary!M1107</f>
        <v/>
      </c>
      <c r="N1117" s="623"/>
    </row>
    <row r="1118" spans="2:14" ht="12.75" customHeight="1" x14ac:dyDescent="0.25">
      <c r="B1118" s="15"/>
      <c r="C1118" s="15"/>
      <c r="D1118" s="15"/>
      <c r="E1118" s="623"/>
      <c r="F1118" s="623"/>
      <c r="G1118" s="623"/>
      <c r="H1118" s="623"/>
      <c r="I1118" s="623"/>
      <c r="J1118" s="623"/>
      <c r="K1118" s="623"/>
      <c r="L1118" s="623"/>
      <c r="M1118" s="623"/>
      <c r="N1118" s="623"/>
    </row>
    <row r="1119" spans="2:14" ht="13" thickBot="1" x14ac:dyDescent="0.3">
      <c r="B1119" s="15"/>
      <c r="C1119" s="15"/>
      <c r="D1119" s="15"/>
      <c r="E1119" s="15"/>
      <c r="F1119" s="15"/>
      <c r="G1119" s="15"/>
      <c r="H1119" s="534"/>
      <c r="I1119" s="534"/>
      <c r="J1119" s="534"/>
      <c r="K1119" s="534"/>
      <c r="L1119" s="534"/>
      <c r="M1119" s="15"/>
      <c r="N1119" s="15"/>
    </row>
    <row r="1120" spans="2:14" ht="12.75" customHeight="1" thickBot="1" x14ac:dyDescent="0.3">
      <c r="B1120" s="3"/>
      <c r="C1120" s="230"/>
      <c r="D1120" s="230"/>
      <c r="E1120" s="230"/>
      <c r="F1120" s="230"/>
      <c r="G1120" s="230"/>
      <c r="H1120" s="230"/>
      <c r="I1120" s="230"/>
      <c r="J1120" s="230"/>
      <c r="K1120" s="230"/>
      <c r="L1120" s="230"/>
      <c r="M1120" s="230"/>
      <c r="N1120" s="230"/>
    </row>
    <row r="1121" spans="2:16" ht="15" customHeight="1" thickBot="1" x14ac:dyDescent="0.35">
      <c r="B1121" s="15"/>
      <c r="C1121" s="17">
        <v>12</v>
      </c>
      <c r="D1121" s="2053" t="str">
        <f>Euconst_FallBackSub &amp; " " &amp; C1121-10 &amp; ":"</f>
        <v>”Fall-back”-delanläggning 2:</v>
      </c>
      <c r="E1121" s="2053"/>
      <c r="F1121" s="2053"/>
      <c r="G1121" s="2053"/>
      <c r="H1121" s="2081"/>
      <c r="I1121" s="2082" t="str">
        <f>[1]K_Summary!I1111</f>
        <v>Heat benchmark sub-installation, non-CL</v>
      </c>
      <c r="J1121" s="2083"/>
      <c r="K1121" s="2083"/>
      <c r="L1121" s="2084"/>
      <c r="M1121" s="2085" t="str">
        <f>[1]K_Summary!M1111</f>
        <v/>
      </c>
      <c r="N1121" s="2086"/>
    </row>
    <row r="1122" spans="2:16" ht="5.15" customHeight="1" thickBot="1" x14ac:dyDescent="0.3">
      <c r="B1122" s="15"/>
      <c r="C1122" s="15"/>
      <c r="D1122" s="15"/>
      <c r="E1122" s="15"/>
      <c r="F1122" s="15"/>
      <c r="G1122" s="15"/>
      <c r="H1122" s="15"/>
      <c r="I1122" s="15"/>
      <c r="J1122" s="15"/>
      <c r="K1122" s="15"/>
      <c r="L1122" s="15"/>
      <c r="M1122" s="15"/>
      <c r="N1122" s="15"/>
    </row>
    <row r="1123" spans="2:16" x14ac:dyDescent="0.25">
      <c r="B1123" s="15"/>
      <c r="C1123" s="15"/>
      <c r="D1123" s="15"/>
      <c r="E1123" s="15"/>
      <c r="F1123" s="15"/>
      <c r="G1123" s="15"/>
      <c r="H1123" s="506" t="str">
        <f>Translations!$B$1022</f>
        <v>KL-risk</v>
      </c>
      <c r="I1123" s="507" t="str">
        <f>Translations!$B$1026</f>
        <v>I drift</v>
      </c>
      <c r="J1123" s="507" t="str">
        <f>Translations!$B$1030</f>
        <v>15(7).3?</v>
      </c>
      <c r="K1123" s="507" t="str">
        <f>Translations!$B$1032</f>
        <v>15(7).3 HAL</v>
      </c>
      <c r="L1123" s="612" t="str">
        <f>Translations!$B$1024</f>
        <v>RM-nummer</v>
      </c>
      <c r="M1123" s="786" t="str">
        <f>Translations!$B$1052</f>
        <v>RM-värde (min./max./faktiskt)</v>
      </c>
      <c r="N1123" s="787"/>
    </row>
    <row r="1124" spans="2:16" x14ac:dyDescent="0.25">
      <c r="B1124" s="15"/>
      <c r="C1124" s="15"/>
      <c r="D1124" s="15"/>
      <c r="E1124" s="508" t="str">
        <f>[1]K_Summary!E1114</f>
        <v>Heat benchmark sub-installation, non-CL</v>
      </c>
      <c r="F1124" s="509"/>
      <c r="G1124" s="464"/>
      <c r="H1124" s="510" t="b">
        <f>[1]K_Summary!H1114</f>
        <v>0</v>
      </c>
      <c r="I1124" s="642" t="str">
        <f>[1]K_Summary!I1114</f>
        <v/>
      </c>
      <c r="J1124" s="511" t="str">
        <f>[1]K_Summary!J1114</f>
        <v/>
      </c>
      <c r="K1124" s="421" t="str">
        <f>[1]K_Summary!K1114</f>
        <v/>
      </c>
      <c r="L1124" s="641">
        <f>[1]K_Summary!L1114</f>
        <v>2</v>
      </c>
      <c r="M1124" s="790" t="str">
        <f>[1]K_Summary!M1114</f>
        <v/>
      </c>
      <c r="N1124" s="788" t="str">
        <f>EUconst_EUA &amp; "/" &amp; H1129</f>
        <v>EUA/TJ</v>
      </c>
    </row>
    <row r="1125" spans="2:16" x14ac:dyDescent="0.25">
      <c r="B1125" s="15"/>
      <c r="C1125" s="15"/>
      <c r="D1125" s="534"/>
      <c r="E1125" s="534"/>
      <c r="F1125" s="534"/>
      <c r="G1125" s="534"/>
      <c r="H1125" s="534"/>
      <c r="I1125" s="534"/>
      <c r="J1125" s="534"/>
      <c r="K1125" s="534"/>
      <c r="L1125" s="534"/>
      <c r="M1125" s="790" t="str">
        <f>[1]K_Summary!M1115</f>
        <v/>
      </c>
      <c r="N1125" s="788" t="str">
        <f>EUconst_EUA &amp; "/" &amp; H1129</f>
        <v>EUA/TJ</v>
      </c>
    </row>
    <row r="1126" spans="2:16" ht="13" thickBot="1" x14ac:dyDescent="0.3">
      <c r="B1126" s="15"/>
      <c r="C1126" s="15"/>
      <c r="D1126" s="534"/>
      <c r="E1126" s="534"/>
      <c r="F1126" s="534"/>
      <c r="G1126" s="534"/>
      <c r="H1126" s="534"/>
      <c r="I1126" s="534"/>
      <c r="J1126" s="534"/>
      <c r="K1126" s="534"/>
      <c r="L1126" s="534"/>
      <c r="M1126" s="791" t="str">
        <f>[1]K_Summary!M1116</f>
        <v/>
      </c>
      <c r="N1126" s="789" t="str">
        <f>EUconst_EUA &amp; "/" &amp; H1129</f>
        <v>EUA/TJ</v>
      </c>
      <c r="P1126" s="1903" t="b">
        <f>IF(ISNUMBER(M1126),INDEX(EUconst_FallBackListBMvalues,L1124)&lt;&gt;M1126,FALSE)</f>
        <v>0</v>
      </c>
    </row>
    <row r="1127" spans="2:16" ht="5.15" customHeight="1" x14ac:dyDescent="0.25">
      <c r="B1127" s="15"/>
      <c r="C1127" s="15"/>
      <c r="D1127" s="15"/>
      <c r="E1127" s="15"/>
      <c r="F1127" s="15"/>
      <c r="G1127" s="15"/>
      <c r="H1127" s="15"/>
      <c r="I1127" s="15"/>
      <c r="J1127" s="15"/>
      <c r="K1127" s="15"/>
      <c r="L1127" s="15"/>
      <c r="M1127" s="15"/>
      <c r="N1127" s="15"/>
    </row>
    <row r="1128" spans="2:16" ht="13" x14ac:dyDescent="0.25">
      <c r="B1128" s="15"/>
      <c r="C1128" s="15"/>
      <c r="D1128" s="15"/>
      <c r="E1128" s="188"/>
      <c r="F1128" s="188"/>
      <c r="G1128" s="512"/>
      <c r="H1128" s="506" t="str">
        <f>Translations!$B$1014</f>
        <v>Enhet</v>
      </c>
      <c r="I1128" s="350">
        <v>2014</v>
      </c>
      <c r="J1128" s="350">
        <v>2015</v>
      </c>
      <c r="K1128" s="350">
        <v>2016</v>
      </c>
      <c r="L1128" s="350">
        <v>2017</v>
      </c>
      <c r="M1128" s="350">
        <v>2018</v>
      </c>
      <c r="N1128" s="15"/>
    </row>
    <row r="1129" spans="2:16" x14ac:dyDescent="0.25">
      <c r="B1129" s="15"/>
      <c r="C1129" s="15"/>
      <c r="D1129" s="15"/>
      <c r="E1129" s="513" t="str">
        <f>Translations!$B$1054</f>
        <v>Rapporterad HAL (historisk verksamhetsnivå)</v>
      </c>
      <c r="F1129" s="514"/>
      <c r="G1129" s="515"/>
      <c r="H1129" s="510" t="str">
        <f>[1]K_Summary!H1119</f>
        <v>TJ</v>
      </c>
      <c r="I1129" s="421" t="str">
        <f>[1]K_Summary!I1119</f>
        <v/>
      </c>
      <c r="J1129" s="421" t="str">
        <f>[1]K_Summary!J1119</f>
        <v/>
      </c>
      <c r="K1129" s="421" t="str">
        <f>[1]K_Summary!K1119</f>
        <v/>
      </c>
      <c r="L1129" s="421" t="str">
        <f>[1]K_Summary!L1119</f>
        <v/>
      </c>
      <c r="M1129" s="421" t="str">
        <f>[1]K_Summary!M1119</f>
        <v/>
      </c>
      <c r="N1129" s="507" t="str">
        <f>Translations!$B$1042</f>
        <v>Genomsnitt</v>
      </c>
    </row>
    <row r="1130" spans="2:16" x14ac:dyDescent="0.25">
      <c r="B1130" s="15"/>
      <c r="C1130" s="15"/>
      <c r="D1130" s="15"/>
      <c r="E1130" s="513" t="str">
        <f>Translations!$B$1055</f>
        <v>Värden som används för HAL-beräkning:</v>
      </c>
      <c r="F1130" s="514"/>
      <c r="G1130" s="515"/>
      <c r="H1130" s="510" t="str">
        <f>[1]K_Summary!H1120</f>
        <v>TJ</v>
      </c>
      <c r="I1130" s="346" t="str">
        <f>[1]K_Summary!I1120</f>
        <v/>
      </c>
      <c r="J1130" s="346" t="str">
        <f>[1]K_Summary!J1120</f>
        <v/>
      </c>
      <c r="K1130" s="346" t="str">
        <f>[1]K_Summary!K1120</f>
        <v/>
      </c>
      <c r="L1130" s="346" t="str">
        <f>[1]K_Summary!L1120</f>
        <v/>
      </c>
      <c r="M1130" s="346" t="str">
        <f>[1]K_Summary!M1120</f>
        <v/>
      </c>
      <c r="N1130" s="421" t="str">
        <f>[1]K_Summary!N1120</f>
        <v/>
      </c>
    </row>
    <row r="1131" spans="2:16" ht="5.15" customHeight="1" x14ac:dyDescent="0.25">
      <c r="B1131" s="15"/>
      <c r="C1131" s="15"/>
      <c r="D1131" s="15"/>
      <c r="E1131" s="15"/>
      <c r="F1131" s="15"/>
      <c r="G1131" s="15"/>
      <c r="H1131" s="15"/>
      <c r="I1131" s="15"/>
      <c r="J1131" s="15"/>
      <c r="K1131" s="15"/>
      <c r="L1131" s="15"/>
      <c r="M1131" s="15"/>
      <c r="N1131" s="15"/>
    </row>
    <row r="1132" spans="2:16" ht="13" thickBot="1" x14ac:dyDescent="0.3">
      <c r="B1132" s="15"/>
      <c r="C1132" s="15"/>
      <c r="D1132" s="15"/>
      <c r="E1132" s="15"/>
      <c r="F1132" s="516" t="s">
        <v>1385</v>
      </c>
      <c r="G1132" s="618"/>
      <c r="H1132" s="15"/>
      <c r="I1132" s="617" t="str">
        <f>Translations!$B$1044</f>
        <v>Prel. tilldelning år 1 (min.)</v>
      </c>
      <c r="J1132" s="618"/>
      <c r="K1132" s="617" t="str">
        <f>Translations!$B$1047</f>
        <v>Prel. tilldelning år 1 (max.)</v>
      </c>
      <c r="L1132" s="618"/>
      <c r="M1132" s="617" t="str">
        <f>Translations!$B$1049</f>
        <v>Prel. tilldelning år 1 (faktisk)</v>
      </c>
      <c r="N1132" s="618"/>
    </row>
    <row r="1133" spans="2:16" ht="13.5" thickBot="1" x14ac:dyDescent="0.3">
      <c r="B1133" s="15"/>
      <c r="C1133" s="15"/>
      <c r="D1133" s="15"/>
      <c r="E1133" s="15"/>
      <c r="F1133" s="517" t="str">
        <f>[1]K_Summary!F1123</f>
        <v/>
      </c>
      <c r="G1133" s="709" t="str">
        <f>EUconst_TJpa</f>
        <v>TJ / år</v>
      </c>
      <c r="H1133" s="15"/>
      <c r="I1133" s="616" t="str">
        <f>[1]K_Summary!I1123</f>
        <v/>
      </c>
      <c r="J1133" s="709" t="str">
        <f>EUconst_EUApa</f>
        <v>EUA / år</v>
      </c>
      <c r="K1133" s="616" t="str">
        <f>[1]K_Summary!K1123</f>
        <v/>
      </c>
      <c r="L1133" s="709" t="str">
        <f>EUconst_EUApa</f>
        <v>EUA / år</v>
      </c>
      <c r="M1133" s="616" t="str">
        <f>[1]K_Summary!M1123</f>
        <v/>
      </c>
      <c r="N1133" s="709" t="str">
        <f>EUconst_EUApa</f>
        <v>EUA / år</v>
      </c>
    </row>
    <row r="1134" spans="2:16" x14ac:dyDescent="0.25">
      <c r="B1134" s="15"/>
      <c r="C1134" s="15"/>
      <c r="D1134" s="15"/>
      <c r="E1134" s="15"/>
      <c r="F1134" s="15"/>
      <c r="G1134" s="15"/>
      <c r="H1134" s="15"/>
      <c r="I1134" s="15"/>
      <c r="J1134" s="15"/>
      <c r="K1134" s="15"/>
      <c r="L1134" s="15"/>
      <c r="M1134" s="15"/>
      <c r="N1134" s="15"/>
    </row>
    <row r="1135" spans="2:16" ht="12.75" customHeight="1" x14ac:dyDescent="0.25">
      <c r="B1135" s="15"/>
      <c r="C1135" s="15"/>
      <c r="D1135" s="15"/>
      <c r="E1135" s="416"/>
      <c r="F1135" s="623"/>
      <c r="G1135" s="623"/>
      <c r="H1135" s="623"/>
      <c r="I1135" s="623"/>
      <c r="J1135" s="623"/>
      <c r="K1135" s="623"/>
      <c r="L1135" s="623"/>
      <c r="M1135" s="623"/>
      <c r="N1135" s="623"/>
    </row>
    <row r="1136" spans="2:16" ht="13.5" thickBot="1" x14ac:dyDescent="0.3">
      <c r="B1136" s="15"/>
      <c r="C1136" s="15"/>
      <c r="D1136" s="15"/>
      <c r="E1136" s="416"/>
      <c r="F1136" s="623"/>
      <c r="G1136" s="623"/>
      <c r="H1136" s="415" t="str">
        <f>Translations!$B$1014</f>
        <v>Enhet</v>
      </c>
      <c r="I1136" s="743">
        <v>2014</v>
      </c>
      <c r="J1136" s="625">
        <v>2015</v>
      </c>
      <c r="K1136" s="625">
        <v>2016</v>
      </c>
      <c r="L1136" s="625">
        <v>2017</v>
      </c>
      <c r="M1136" s="625">
        <v>2018</v>
      </c>
      <c r="N1136" s="623"/>
    </row>
    <row r="1137" spans="2:14" ht="13.5" customHeight="1" thickBot="1" x14ac:dyDescent="0.3">
      <c r="B1137" s="15"/>
      <c r="C1137" s="15"/>
      <c r="D1137" s="15"/>
      <c r="E1137" s="2074" t="str">
        <f>Translations!$B$380</f>
        <v>Producerad mätbar värme</v>
      </c>
      <c r="F1137" s="2074"/>
      <c r="G1137" s="2074"/>
      <c r="H1137" s="710" t="str">
        <f>EUconst_TJpa</f>
        <v>TJ / år</v>
      </c>
      <c r="I1137" s="735" t="str">
        <f>[1]K_Summary!I1127</f>
        <v/>
      </c>
      <c r="J1137" s="736" t="str">
        <f>[1]K_Summary!J1127</f>
        <v/>
      </c>
      <c r="K1137" s="736" t="str">
        <f>[1]K_Summary!K1127</f>
        <v/>
      </c>
      <c r="L1137" s="736" t="str">
        <f>[1]K_Summary!L1127</f>
        <v/>
      </c>
      <c r="M1137" s="737" t="str">
        <f>[1]K_Summary!M1127</f>
        <v/>
      </c>
      <c r="N1137" s="623"/>
    </row>
    <row r="1138" spans="2:14" ht="5.15" customHeight="1" thickBot="1" x14ac:dyDescent="0.3">
      <c r="B1138" s="15"/>
      <c r="C1138" s="15"/>
      <c r="D1138" s="15"/>
      <c r="E1138" s="416"/>
      <c r="F1138" s="416"/>
      <c r="G1138" s="416"/>
      <c r="H1138" s="416"/>
      <c r="I1138" s="741"/>
      <c r="J1138" s="741"/>
      <c r="K1138" s="741"/>
      <c r="L1138" s="741"/>
      <c r="M1138" s="741"/>
      <c r="N1138" s="623"/>
    </row>
    <row r="1139" spans="2:14" ht="13.5" customHeight="1" thickBot="1" x14ac:dyDescent="0.3">
      <c r="B1139" s="15"/>
      <c r="C1139" s="15"/>
      <c r="D1139" s="15"/>
      <c r="E1139" s="2074" t="str">
        <f>Translations!$B$1056</f>
        <v>Totala tillskrivna utsläpp</v>
      </c>
      <c r="F1139" s="2074"/>
      <c r="G1139" s="2074"/>
      <c r="H1139" s="710" t="str">
        <f>EUconst_tCO2epa</f>
        <v>t CO2e/år</v>
      </c>
      <c r="I1139" s="735" t="str">
        <f>[1]K_Summary!I1129</f>
        <v/>
      </c>
      <c r="J1139" s="736" t="str">
        <f>[1]K_Summary!J1129</f>
        <v/>
      </c>
      <c r="K1139" s="736" t="str">
        <f>[1]K_Summary!K1129</f>
        <v/>
      </c>
      <c r="L1139" s="736" t="str">
        <f>[1]K_Summary!L1129</f>
        <v/>
      </c>
      <c r="M1139" s="737" t="str">
        <f>[1]K_Summary!M1129</f>
        <v/>
      </c>
      <c r="N1139" s="623"/>
    </row>
    <row r="1140" spans="2:14" ht="5.15" customHeight="1" x14ac:dyDescent="0.25">
      <c r="B1140" s="15"/>
      <c r="C1140" s="15"/>
      <c r="D1140" s="15"/>
      <c r="E1140" s="416"/>
      <c r="F1140" s="416"/>
      <c r="G1140" s="416"/>
      <c r="H1140" s="416"/>
      <c r="I1140" s="738"/>
      <c r="J1140" s="738"/>
      <c r="K1140" s="738"/>
      <c r="L1140" s="738"/>
      <c r="M1140" s="738"/>
      <c r="N1140" s="416"/>
    </row>
    <row r="1141" spans="2:14" x14ac:dyDescent="0.25">
      <c r="B1141" s="15"/>
      <c r="C1141" s="15"/>
      <c r="D1141" s="15"/>
      <c r="E1141" s="2087" t="str">
        <f>Translations!$B$571</f>
        <v>Insatsbränsle</v>
      </c>
      <c r="F1141" s="2087"/>
      <c r="G1141" s="2087"/>
      <c r="H1141" s="1606" t="str">
        <f>EUconst_TJpa</f>
        <v>TJ / år</v>
      </c>
      <c r="I1141" s="739" t="str">
        <f>[1]K_Summary!I1131</f>
        <v/>
      </c>
      <c r="J1141" s="739" t="str">
        <f>[1]K_Summary!J1131</f>
        <v/>
      </c>
      <c r="K1141" s="739" t="str">
        <f>[1]K_Summary!K1131</f>
        <v/>
      </c>
      <c r="L1141" s="739" t="str">
        <f>[1]K_Summary!L1131</f>
        <v/>
      </c>
      <c r="M1141" s="739" t="str">
        <f>[1]K_Summary!M1131</f>
        <v/>
      </c>
      <c r="N1141" s="623"/>
    </row>
    <row r="1142" spans="2:14" ht="12.75" customHeight="1" x14ac:dyDescent="0.25">
      <c r="B1142" s="15"/>
      <c r="C1142" s="15"/>
      <c r="D1142" s="15"/>
      <c r="E1142" s="2088" t="str">
        <f>Translations!$B$572</f>
        <v>Viktad emissionsfaktor</v>
      </c>
      <c r="F1142" s="2088"/>
      <c r="G1142" s="2088"/>
      <c r="H1142" s="624" t="str">
        <f>EUconst_tCO2pTJ</f>
        <v>t CO2 / TJ</v>
      </c>
      <c r="I1142" s="740" t="str">
        <f>[1]K_Summary!I1132</f>
        <v/>
      </c>
      <c r="J1142" s="740" t="str">
        <f>[1]K_Summary!J1132</f>
        <v/>
      </c>
      <c r="K1142" s="740" t="str">
        <f>[1]K_Summary!K1132</f>
        <v/>
      </c>
      <c r="L1142" s="740" t="str">
        <f>[1]K_Summary!L1132</f>
        <v/>
      </c>
      <c r="M1142" s="740" t="str">
        <f>[1]K_Summary!M1132</f>
        <v/>
      </c>
      <c r="N1142" s="623"/>
    </row>
    <row r="1143" spans="2:14" ht="12.75" customHeight="1" x14ac:dyDescent="0.25">
      <c r="B1143" s="15"/>
      <c r="C1143" s="15"/>
      <c r="D1143" s="15"/>
      <c r="E1143" s="2087" t="str">
        <f>Translations!$B$688</f>
        <v>Insatsbränsle från restgaser</v>
      </c>
      <c r="F1143" s="2087"/>
      <c r="G1143" s="2087"/>
      <c r="H1143" s="1606" t="str">
        <f>EUconst_TJpa</f>
        <v>TJ / år</v>
      </c>
      <c r="I1143" s="739" t="str">
        <f>[1]K_Summary!I1133</f>
        <v/>
      </c>
      <c r="J1143" s="739" t="str">
        <f>[1]K_Summary!J1133</f>
        <v/>
      </c>
      <c r="K1143" s="739" t="str">
        <f>[1]K_Summary!K1133</f>
        <v/>
      </c>
      <c r="L1143" s="739" t="str">
        <f>[1]K_Summary!L1133</f>
        <v/>
      </c>
      <c r="M1143" s="739" t="str">
        <f>[1]K_Summary!M1133</f>
        <v/>
      </c>
      <c r="N1143" s="623"/>
    </row>
    <row r="1144" spans="2:14" ht="12.75" customHeight="1" x14ac:dyDescent="0.25">
      <c r="B1144" s="15"/>
      <c r="C1144" s="15"/>
      <c r="D1144" s="15"/>
      <c r="E1144" s="2088" t="str">
        <f>Translations!$B$572</f>
        <v>Viktad emissionsfaktor</v>
      </c>
      <c r="F1144" s="2088"/>
      <c r="G1144" s="2088"/>
      <c r="H1144" s="624" t="str">
        <f>EUconst_tCO2pTJ</f>
        <v>t CO2 / TJ</v>
      </c>
      <c r="I1144" s="740" t="str">
        <f>[1]K_Summary!I1134</f>
        <v/>
      </c>
      <c r="J1144" s="740" t="str">
        <f>[1]K_Summary!J1134</f>
        <v/>
      </c>
      <c r="K1144" s="740" t="str">
        <f>[1]K_Summary!K1134</f>
        <v/>
      </c>
      <c r="L1144" s="740" t="str">
        <f>[1]K_Summary!L1134</f>
        <v/>
      </c>
      <c r="M1144" s="740" t="str">
        <f>[1]K_Summary!M1134</f>
        <v/>
      </c>
      <c r="N1144" s="623"/>
    </row>
    <row r="1145" spans="2:14" ht="5.15" customHeight="1" x14ac:dyDescent="0.25">
      <c r="B1145" s="15"/>
      <c r="C1145" s="15"/>
      <c r="D1145" s="15"/>
      <c r="E1145" s="416"/>
      <c r="F1145" s="623"/>
      <c r="G1145" s="623"/>
      <c r="H1145" s="623"/>
      <c r="I1145" s="741"/>
      <c r="J1145" s="741"/>
      <c r="K1145" s="741"/>
      <c r="L1145" s="741"/>
      <c r="M1145" s="741"/>
      <c r="N1145" s="623"/>
    </row>
    <row r="1146" spans="2:14" ht="12.75" customHeight="1" x14ac:dyDescent="0.25">
      <c r="B1146" s="15"/>
      <c r="C1146" s="15"/>
      <c r="D1146" s="15"/>
      <c r="E1146" s="2080" t="str">
        <f>Translations!$B$528</f>
        <v>Direkta utsläpp</v>
      </c>
      <c r="F1146" s="2080"/>
      <c r="G1146" s="2080"/>
      <c r="H1146" s="363" t="str">
        <f>EUconst_tCO2pa</f>
        <v>t CO2 / år</v>
      </c>
      <c r="I1146" s="742" t="str">
        <f>[1]K_Summary!I1136</f>
        <v/>
      </c>
      <c r="J1146" s="742" t="str">
        <f>[1]K_Summary!J1136</f>
        <v/>
      </c>
      <c r="K1146" s="742" t="str">
        <f>[1]K_Summary!K1136</f>
        <v/>
      </c>
      <c r="L1146" s="742" t="str">
        <f>[1]K_Summary!L1136</f>
        <v/>
      </c>
      <c r="M1146" s="742" t="str">
        <f>[1]K_Summary!M1136</f>
        <v/>
      </c>
      <c r="N1146" s="623"/>
    </row>
    <row r="1147" spans="2:14" ht="5.15" customHeight="1" x14ac:dyDescent="0.25">
      <c r="B1147" s="15"/>
      <c r="C1147" s="15"/>
      <c r="D1147" s="15"/>
      <c r="E1147" s="416"/>
      <c r="F1147" s="416"/>
      <c r="G1147" s="416"/>
      <c r="H1147" s="416"/>
      <c r="I1147" s="741"/>
      <c r="J1147" s="741"/>
      <c r="K1147" s="741"/>
      <c r="L1147" s="741"/>
      <c r="M1147" s="741"/>
      <c r="N1147" s="623"/>
    </row>
    <row r="1148" spans="2:14" ht="12.75" customHeight="1" x14ac:dyDescent="0.25">
      <c r="B1148" s="15"/>
      <c r="C1148" s="15"/>
      <c r="D1148" s="15"/>
      <c r="E1148" s="2087" t="str">
        <f>Translations!$B$1059</f>
        <v>Importerad nettovärme (annat)</v>
      </c>
      <c r="F1148" s="2087"/>
      <c r="G1148" s="2087"/>
      <c r="H1148" s="1606" t="str">
        <f>EUconst_TJpa</f>
        <v>TJ / år</v>
      </c>
      <c r="I1148" s="739" t="str">
        <f>[1]K_Summary!I1138</f>
        <v/>
      </c>
      <c r="J1148" s="739" t="str">
        <f>[1]K_Summary!J1138</f>
        <v/>
      </c>
      <c r="K1148" s="739" t="str">
        <f>[1]K_Summary!K1138</f>
        <v/>
      </c>
      <c r="L1148" s="739" t="str">
        <f>[1]K_Summary!L1138</f>
        <v/>
      </c>
      <c r="M1148" s="739" t="str">
        <f>[1]K_Summary!M1138</f>
        <v/>
      </c>
      <c r="N1148" s="623"/>
    </row>
    <row r="1149" spans="2:14" ht="12.75" customHeight="1" x14ac:dyDescent="0.25">
      <c r="B1149" s="15"/>
      <c r="C1149" s="15"/>
      <c r="D1149" s="15"/>
      <c r="E1149" s="2088" t="str">
        <f>Translations!$B$605</f>
        <v>Särskild emissionsfaktor (importerad värme)</v>
      </c>
      <c r="F1149" s="2088"/>
      <c r="G1149" s="2088"/>
      <c r="H1149" s="624" t="str">
        <f>EUconst_tCO2pTJ</f>
        <v>t CO2 / TJ</v>
      </c>
      <c r="I1149" s="740" t="str">
        <f>[1]K_Summary!I1139</f>
        <v/>
      </c>
      <c r="J1149" s="740" t="str">
        <f>[1]K_Summary!J1139</f>
        <v/>
      </c>
      <c r="K1149" s="740" t="str">
        <f>[1]K_Summary!K1139</f>
        <v/>
      </c>
      <c r="L1149" s="740" t="str">
        <f>[1]K_Summary!L1139</f>
        <v/>
      </c>
      <c r="M1149" s="740" t="str">
        <f>[1]K_Summary!M1139</f>
        <v/>
      </c>
      <c r="N1149" s="623"/>
    </row>
    <row r="1150" spans="2:14" ht="12.75" customHeight="1" x14ac:dyDescent="0.25">
      <c r="B1150" s="15"/>
      <c r="C1150" s="15"/>
      <c r="D1150" s="15"/>
      <c r="E1150" s="2087" t="str">
        <f>Translations!$B$1060</f>
        <v>Importerad nettovärme (produktriktmärke)</v>
      </c>
      <c r="F1150" s="2087"/>
      <c r="G1150" s="2087"/>
      <c r="H1150" s="1606" t="str">
        <f>EUconst_TJpa</f>
        <v>TJ / år</v>
      </c>
      <c r="I1150" s="739" t="str">
        <f>[1]K_Summary!I1140</f>
        <v/>
      </c>
      <c r="J1150" s="739" t="str">
        <f>[1]K_Summary!J1140</f>
        <v/>
      </c>
      <c r="K1150" s="739" t="str">
        <f>[1]K_Summary!K1140</f>
        <v/>
      </c>
      <c r="L1150" s="739" t="str">
        <f>[1]K_Summary!L1140</f>
        <v/>
      </c>
      <c r="M1150" s="739" t="str">
        <f>[1]K_Summary!M1140</f>
        <v/>
      </c>
      <c r="N1150" s="623"/>
    </row>
    <row r="1151" spans="2:14" ht="12.75" customHeight="1" x14ac:dyDescent="0.25">
      <c r="B1151" s="15"/>
      <c r="C1151" s="15"/>
      <c r="D1151" s="15"/>
      <c r="E1151" s="2088" t="str">
        <f>Translations!$B$703</f>
        <v>Särskild emissionsfaktor (från produktriktmärke)</v>
      </c>
      <c r="F1151" s="2088"/>
      <c r="G1151" s="2088"/>
      <c r="H1151" s="624" t="str">
        <f>EUconst_tCO2pTJ</f>
        <v>t CO2 / TJ</v>
      </c>
      <c r="I1151" s="740" t="str">
        <f>[1]K_Summary!I1141</f>
        <v/>
      </c>
      <c r="J1151" s="740" t="str">
        <f>[1]K_Summary!J1141</f>
        <v/>
      </c>
      <c r="K1151" s="740" t="str">
        <f>[1]K_Summary!K1141</f>
        <v/>
      </c>
      <c r="L1151" s="740" t="str">
        <f>[1]K_Summary!L1141</f>
        <v/>
      </c>
      <c r="M1151" s="740" t="str">
        <f>[1]K_Summary!M1141</f>
        <v/>
      </c>
      <c r="N1151" s="623"/>
    </row>
    <row r="1152" spans="2:14" ht="12.75" customHeight="1" x14ac:dyDescent="0.25">
      <c r="B1152" s="15"/>
      <c r="C1152" s="15"/>
      <c r="D1152" s="15"/>
      <c r="E1152" s="2087" t="str">
        <f>Translations!$B$1061</f>
        <v>Importerad nettovärme (massa)</v>
      </c>
      <c r="F1152" s="2087"/>
      <c r="G1152" s="2087"/>
      <c r="H1152" s="1606" t="str">
        <f>EUconst_TJpa</f>
        <v>TJ / år</v>
      </c>
      <c r="I1152" s="739" t="str">
        <f>[1]K_Summary!I1142</f>
        <v/>
      </c>
      <c r="J1152" s="739" t="str">
        <f>[1]K_Summary!J1142</f>
        <v/>
      </c>
      <c r="K1152" s="739" t="str">
        <f>[1]K_Summary!K1142</f>
        <v/>
      </c>
      <c r="L1152" s="739" t="str">
        <f>[1]K_Summary!L1142</f>
        <v/>
      </c>
      <c r="M1152" s="739" t="str">
        <f>[1]K_Summary!M1142</f>
        <v/>
      </c>
      <c r="N1152" s="623"/>
    </row>
    <row r="1153" spans="2:16" ht="12.75" customHeight="1" x14ac:dyDescent="0.25">
      <c r="B1153" s="15"/>
      <c r="C1153" s="15"/>
      <c r="D1153" s="15"/>
      <c r="E1153" s="2088" t="str">
        <f>Translations!$B$705</f>
        <v>Särskild emissionsfaktor (från massa)</v>
      </c>
      <c r="F1153" s="2088"/>
      <c r="G1153" s="2088"/>
      <c r="H1153" s="624" t="str">
        <f>EUconst_tCO2pTJ</f>
        <v>t CO2 / TJ</v>
      </c>
      <c r="I1153" s="740" t="str">
        <f>[1]K_Summary!I1143</f>
        <v/>
      </c>
      <c r="J1153" s="740" t="str">
        <f>[1]K_Summary!J1143</f>
        <v/>
      </c>
      <c r="K1153" s="740" t="str">
        <f>[1]K_Summary!K1143</f>
        <v/>
      </c>
      <c r="L1153" s="740" t="str">
        <f>[1]K_Summary!L1143</f>
        <v/>
      </c>
      <c r="M1153" s="740" t="str">
        <f>[1]K_Summary!M1143</f>
        <v/>
      </c>
      <c r="N1153" s="623"/>
    </row>
    <row r="1154" spans="2:16" ht="12.75" customHeight="1" x14ac:dyDescent="0.25">
      <c r="B1154" s="15"/>
      <c r="C1154" s="15"/>
      <c r="D1154" s="15"/>
      <c r="E1154" s="2087" t="str">
        <f>Translations!$B$1062</f>
        <v>Importerad nettovärme (bränsleriktmärke)</v>
      </c>
      <c r="F1154" s="2087"/>
      <c r="G1154" s="2087"/>
      <c r="H1154" s="1606" t="str">
        <f>EUconst_TJpa</f>
        <v>TJ / år</v>
      </c>
      <c r="I1154" s="739" t="str">
        <f>[1]K_Summary!I1144</f>
        <v/>
      </c>
      <c r="J1154" s="739" t="str">
        <f>[1]K_Summary!J1144</f>
        <v/>
      </c>
      <c r="K1154" s="739" t="str">
        <f>[1]K_Summary!K1144</f>
        <v/>
      </c>
      <c r="L1154" s="739" t="str">
        <f>[1]K_Summary!L1144</f>
        <v/>
      </c>
      <c r="M1154" s="739" t="str">
        <f>[1]K_Summary!M1144</f>
        <v/>
      </c>
      <c r="N1154" s="623"/>
    </row>
    <row r="1155" spans="2:16" ht="12.75" customHeight="1" x14ac:dyDescent="0.25">
      <c r="B1155" s="15"/>
      <c r="C1155" s="15"/>
      <c r="D1155" s="15"/>
      <c r="E1155" s="2088" t="str">
        <f>Translations!$B$707</f>
        <v>Särskild emissionsfaktor (från bränsleriktmärke)</v>
      </c>
      <c r="F1155" s="2088"/>
      <c r="G1155" s="2088"/>
      <c r="H1155" s="624" t="str">
        <f>EUconst_tCO2pTJ</f>
        <v>t CO2 / TJ</v>
      </c>
      <c r="I1155" s="740" t="str">
        <f>[1]K_Summary!I1145</f>
        <v/>
      </c>
      <c r="J1155" s="740" t="str">
        <f>[1]K_Summary!J1145</f>
        <v/>
      </c>
      <c r="K1155" s="740" t="str">
        <f>[1]K_Summary!K1145</f>
        <v/>
      </c>
      <c r="L1155" s="740" t="str">
        <f>[1]K_Summary!L1145</f>
        <v/>
      </c>
      <c r="M1155" s="740" t="str">
        <f>[1]K_Summary!M1145</f>
        <v/>
      </c>
      <c r="N1155" s="623"/>
    </row>
    <row r="1156" spans="2:16" ht="12.75" customHeight="1" x14ac:dyDescent="0.25">
      <c r="B1156" s="15"/>
      <c r="C1156" s="15"/>
      <c r="D1156" s="15"/>
      <c r="E1156" s="2087" t="str">
        <f>Translations!$B$1063</f>
        <v>Importerad nettovärme (restgaser)</v>
      </c>
      <c r="F1156" s="2087"/>
      <c r="G1156" s="2087"/>
      <c r="H1156" s="1606" t="str">
        <f>EUconst_TJpa</f>
        <v>TJ / år</v>
      </c>
      <c r="I1156" s="739" t="str">
        <f>[1]K_Summary!I1146</f>
        <v/>
      </c>
      <c r="J1156" s="739" t="str">
        <f>[1]K_Summary!J1146</f>
        <v/>
      </c>
      <c r="K1156" s="739" t="str">
        <f>[1]K_Summary!K1146</f>
        <v/>
      </c>
      <c r="L1156" s="739" t="str">
        <f>[1]K_Summary!L1146</f>
        <v/>
      </c>
      <c r="M1156" s="739" t="str">
        <f>[1]K_Summary!M1146</f>
        <v/>
      </c>
      <c r="N1156" s="623"/>
    </row>
    <row r="1157" spans="2:16" ht="12.75" customHeight="1" x14ac:dyDescent="0.25">
      <c r="B1157" s="15"/>
      <c r="C1157" s="15"/>
      <c r="D1157" s="15"/>
      <c r="E1157" s="2088" t="str">
        <f>Translations!$B$709</f>
        <v>Särskild emissionsfaktor (från restgas)</v>
      </c>
      <c r="F1157" s="2088"/>
      <c r="G1157" s="2088"/>
      <c r="H1157" s="624" t="str">
        <f>EUconst_tCO2pTJ</f>
        <v>t CO2 / TJ</v>
      </c>
      <c r="I1157" s="740" t="str">
        <f>[1]K_Summary!I1147</f>
        <v/>
      </c>
      <c r="J1157" s="740" t="str">
        <f>[1]K_Summary!J1147</f>
        <v/>
      </c>
      <c r="K1157" s="740" t="str">
        <f>[1]K_Summary!K1147</f>
        <v/>
      </c>
      <c r="L1157" s="740" t="str">
        <f>[1]K_Summary!L1147</f>
        <v/>
      </c>
      <c r="M1157" s="740" t="str">
        <f>[1]K_Summary!M1147</f>
        <v/>
      </c>
      <c r="N1157" s="623"/>
    </row>
    <row r="1158" spans="2:16" ht="12.75" customHeight="1" x14ac:dyDescent="0.25">
      <c r="B1158" s="15"/>
      <c r="C1158" s="15"/>
      <c r="D1158" s="15"/>
      <c r="E1158" s="623"/>
      <c r="F1158" s="623"/>
      <c r="G1158" s="623"/>
      <c r="H1158" s="623"/>
      <c r="I1158" s="623"/>
      <c r="J1158" s="623"/>
      <c r="K1158" s="623"/>
      <c r="L1158" s="623"/>
      <c r="M1158" s="623"/>
      <c r="N1158" s="623"/>
    </row>
    <row r="1159" spans="2:16" ht="13" thickBot="1" x14ac:dyDescent="0.3">
      <c r="B1159" s="15"/>
      <c r="C1159" s="15"/>
      <c r="D1159" s="15"/>
      <c r="E1159" s="15"/>
      <c r="F1159" s="15"/>
      <c r="G1159" s="15"/>
      <c r="H1159" s="534"/>
      <c r="I1159" s="534"/>
      <c r="J1159" s="534"/>
      <c r="K1159" s="534"/>
      <c r="L1159" s="534"/>
      <c r="M1159" s="15"/>
      <c r="N1159" s="15"/>
    </row>
    <row r="1160" spans="2:16" ht="12.75" customHeight="1" thickBot="1" x14ac:dyDescent="0.3">
      <c r="B1160" s="3"/>
      <c r="C1160" s="230"/>
      <c r="D1160" s="230"/>
      <c r="E1160" s="230"/>
      <c r="F1160" s="230"/>
      <c r="G1160" s="230"/>
      <c r="H1160" s="230"/>
      <c r="I1160" s="230"/>
      <c r="J1160" s="230"/>
      <c r="K1160" s="230"/>
      <c r="L1160" s="230"/>
      <c r="M1160" s="230"/>
      <c r="N1160" s="230"/>
    </row>
    <row r="1161" spans="2:16" ht="15" customHeight="1" thickBot="1" x14ac:dyDescent="0.35">
      <c r="B1161" s="15"/>
      <c r="C1161" s="17">
        <v>13</v>
      </c>
      <c r="D1161" s="2053" t="str">
        <f>Euconst_FallBackSub &amp; " " &amp; C1161-10 &amp; ":"</f>
        <v>”Fall-back”-delanläggning 3:</v>
      </c>
      <c r="E1161" s="2053"/>
      <c r="F1161" s="2053"/>
      <c r="G1161" s="2053"/>
      <c r="H1161" s="2081"/>
      <c r="I1161" s="2082" t="str">
        <f>[1]K_Summary!I1151</f>
        <v>District heating sub-installation</v>
      </c>
      <c r="J1161" s="2083"/>
      <c r="K1161" s="2083"/>
      <c r="L1161" s="2084"/>
      <c r="M1161" s="2085" t="str">
        <f>[1]K_Summary!M1151</f>
        <v/>
      </c>
      <c r="N1161" s="2086"/>
    </row>
    <row r="1162" spans="2:16" ht="5.15" customHeight="1" thickBot="1" x14ac:dyDescent="0.3">
      <c r="B1162" s="15"/>
      <c r="C1162" s="15"/>
      <c r="D1162" s="15"/>
      <c r="E1162" s="15"/>
      <c r="F1162" s="15"/>
      <c r="G1162" s="15"/>
      <c r="H1162" s="15"/>
      <c r="I1162" s="15"/>
      <c r="J1162" s="15"/>
      <c r="K1162" s="15"/>
      <c r="L1162" s="15"/>
      <c r="M1162" s="15"/>
      <c r="N1162" s="15"/>
    </row>
    <row r="1163" spans="2:16" x14ac:dyDescent="0.25">
      <c r="B1163" s="15"/>
      <c r="C1163" s="15"/>
      <c r="D1163" s="15"/>
      <c r="E1163" s="15"/>
      <c r="F1163" s="15"/>
      <c r="G1163" s="15"/>
      <c r="H1163" s="506" t="str">
        <f>Translations!$B$1022</f>
        <v>KL-risk</v>
      </c>
      <c r="I1163" s="507" t="str">
        <f>Translations!$B$1026</f>
        <v>I drift</v>
      </c>
      <c r="J1163" s="507" t="str">
        <f>Translations!$B$1030</f>
        <v>15(7).3?</v>
      </c>
      <c r="K1163" s="507" t="str">
        <f>Translations!$B$1032</f>
        <v>15(7).3 HAL</v>
      </c>
      <c r="L1163" s="612" t="str">
        <f>Translations!$B$1024</f>
        <v>RM-nummer</v>
      </c>
      <c r="M1163" s="786" t="str">
        <f>Translations!$B$1052</f>
        <v>RM-värde (min./max./faktiskt)</v>
      </c>
      <c r="N1163" s="787"/>
    </row>
    <row r="1164" spans="2:16" x14ac:dyDescent="0.25">
      <c r="B1164" s="15"/>
      <c r="C1164" s="15"/>
      <c r="D1164" s="15"/>
      <c r="E1164" s="508" t="str">
        <f>[1]K_Summary!E1154</f>
        <v>District heating sub-installation</v>
      </c>
      <c r="F1164" s="509"/>
      <c r="G1164" s="464"/>
      <c r="H1164" s="510" t="b">
        <f>[1]K_Summary!H1154</f>
        <v>0</v>
      </c>
      <c r="I1164" s="642" t="str">
        <f>[1]K_Summary!I1154</f>
        <v/>
      </c>
      <c r="J1164" s="511" t="str">
        <f>[1]K_Summary!J1154</f>
        <v/>
      </c>
      <c r="K1164" s="421" t="str">
        <f>[1]K_Summary!K1154</f>
        <v/>
      </c>
      <c r="L1164" s="641">
        <f>[1]K_Summary!L1154</f>
        <v>3</v>
      </c>
      <c r="M1164" s="790" t="str">
        <f>[1]K_Summary!M1154</f>
        <v/>
      </c>
      <c r="N1164" s="788" t="str">
        <f>EUconst_EUA &amp; "/" &amp; H1169</f>
        <v>EUA/TJ</v>
      </c>
    </row>
    <row r="1165" spans="2:16" x14ac:dyDescent="0.25">
      <c r="B1165" s="15"/>
      <c r="C1165" s="15"/>
      <c r="D1165" s="534"/>
      <c r="E1165" s="534"/>
      <c r="F1165" s="534"/>
      <c r="G1165" s="534"/>
      <c r="H1165" s="534"/>
      <c r="I1165" s="534"/>
      <c r="J1165" s="534"/>
      <c r="K1165" s="534"/>
      <c r="L1165" s="534"/>
      <c r="M1165" s="790" t="str">
        <f>[1]K_Summary!M1155</f>
        <v/>
      </c>
      <c r="N1165" s="788" t="str">
        <f>EUconst_EUA &amp; "/" &amp; H1169</f>
        <v>EUA/TJ</v>
      </c>
    </row>
    <row r="1166" spans="2:16" ht="13" thickBot="1" x14ac:dyDescent="0.3">
      <c r="B1166" s="15"/>
      <c r="C1166" s="15"/>
      <c r="D1166" s="534"/>
      <c r="E1166" s="534"/>
      <c r="F1166" s="534"/>
      <c r="G1166" s="534"/>
      <c r="H1166" s="534"/>
      <c r="I1166" s="534"/>
      <c r="J1166" s="534"/>
      <c r="K1166" s="534"/>
      <c r="L1166" s="534"/>
      <c r="M1166" s="791" t="str">
        <f>[1]K_Summary!M1156</f>
        <v/>
      </c>
      <c r="N1166" s="789" t="str">
        <f>EUconst_EUA &amp; "/" &amp; H1169</f>
        <v>EUA/TJ</v>
      </c>
      <c r="P1166" s="1903" t="b">
        <f>IF(ISNUMBER(M1166),INDEX(EUconst_FallBackListBMvalues,L1164)&lt;&gt;M1166,FALSE)</f>
        <v>0</v>
      </c>
    </row>
    <row r="1167" spans="2:16" ht="5.15" customHeight="1" x14ac:dyDescent="0.25">
      <c r="B1167" s="15"/>
      <c r="C1167" s="15"/>
      <c r="D1167" s="15"/>
      <c r="E1167" s="15"/>
      <c r="F1167" s="15"/>
      <c r="G1167" s="15"/>
      <c r="H1167" s="15"/>
      <c r="I1167" s="15"/>
      <c r="J1167" s="15"/>
      <c r="K1167" s="15"/>
      <c r="L1167" s="15"/>
      <c r="M1167" s="15"/>
      <c r="N1167" s="15"/>
    </row>
    <row r="1168" spans="2:16" ht="13" x14ac:dyDescent="0.25">
      <c r="B1168" s="15"/>
      <c r="C1168" s="15"/>
      <c r="D1168" s="15"/>
      <c r="E1168" s="188"/>
      <c r="F1168" s="188"/>
      <c r="G1168" s="512"/>
      <c r="H1168" s="506" t="str">
        <f>Translations!$B$1014</f>
        <v>Enhet</v>
      </c>
      <c r="I1168" s="350">
        <v>2014</v>
      </c>
      <c r="J1168" s="350">
        <v>2015</v>
      </c>
      <c r="K1168" s="350">
        <v>2016</v>
      </c>
      <c r="L1168" s="350">
        <v>2017</v>
      </c>
      <c r="M1168" s="350">
        <v>2018</v>
      </c>
      <c r="N1168" s="15"/>
    </row>
    <row r="1169" spans="2:14" x14ac:dyDescent="0.25">
      <c r="B1169" s="15"/>
      <c r="C1169" s="15"/>
      <c r="D1169" s="15"/>
      <c r="E1169" s="513" t="str">
        <f>Translations!$B$1054</f>
        <v>Rapporterad HAL (historisk verksamhetsnivå)</v>
      </c>
      <c r="F1169" s="514"/>
      <c r="G1169" s="515"/>
      <c r="H1169" s="510" t="str">
        <f>[1]K_Summary!H1159</f>
        <v>TJ</v>
      </c>
      <c r="I1169" s="421" t="str">
        <f>[1]K_Summary!I1159</f>
        <v/>
      </c>
      <c r="J1169" s="421" t="str">
        <f>[1]K_Summary!J1159</f>
        <v/>
      </c>
      <c r="K1169" s="421" t="str">
        <f>[1]K_Summary!K1159</f>
        <v/>
      </c>
      <c r="L1169" s="421" t="str">
        <f>[1]K_Summary!L1159</f>
        <v/>
      </c>
      <c r="M1169" s="421" t="str">
        <f>[1]K_Summary!M1159</f>
        <v/>
      </c>
      <c r="N1169" s="507" t="str">
        <f>Translations!$B$1042</f>
        <v>Genomsnitt</v>
      </c>
    </row>
    <row r="1170" spans="2:14" x14ac:dyDescent="0.25">
      <c r="B1170" s="15"/>
      <c r="C1170" s="15"/>
      <c r="D1170" s="15"/>
      <c r="E1170" s="513" t="str">
        <f>Translations!$B$1055</f>
        <v>Värden som används för HAL-beräkning:</v>
      </c>
      <c r="F1170" s="514"/>
      <c r="G1170" s="515"/>
      <c r="H1170" s="510" t="str">
        <f>[1]K_Summary!H1160</f>
        <v>TJ</v>
      </c>
      <c r="I1170" s="346" t="str">
        <f>[1]K_Summary!I1160</f>
        <v/>
      </c>
      <c r="J1170" s="346" t="str">
        <f>[1]K_Summary!J1160</f>
        <v/>
      </c>
      <c r="K1170" s="346" t="str">
        <f>[1]K_Summary!K1160</f>
        <v/>
      </c>
      <c r="L1170" s="346" t="str">
        <f>[1]K_Summary!L1160</f>
        <v/>
      </c>
      <c r="M1170" s="346" t="str">
        <f>[1]K_Summary!M1160</f>
        <v/>
      </c>
      <c r="N1170" s="421" t="str">
        <f>[1]K_Summary!N1160</f>
        <v/>
      </c>
    </row>
    <row r="1171" spans="2:14" ht="5.15" customHeight="1" x14ac:dyDescent="0.25">
      <c r="B1171" s="15"/>
      <c r="C1171" s="15"/>
      <c r="D1171" s="15"/>
      <c r="E1171" s="15"/>
      <c r="F1171" s="15"/>
      <c r="G1171" s="15"/>
      <c r="H1171" s="15"/>
      <c r="I1171" s="15"/>
      <c r="J1171" s="15"/>
      <c r="K1171" s="15"/>
      <c r="L1171" s="15"/>
      <c r="M1171" s="15"/>
      <c r="N1171" s="15"/>
    </row>
    <row r="1172" spans="2:14" ht="13" thickBot="1" x14ac:dyDescent="0.3">
      <c r="B1172" s="15"/>
      <c r="C1172" s="15"/>
      <c r="D1172" s="15"/>
      <c r="E1172" s="15"/>
      <c r="F1172" s="516" t="s">
        <v>1385</v>
      </c>
      <c r="G1172" s="618"/>
      <c r="H1172" s="15"/>
      <c r="I1172" s="617" t="str">
        <f>Translations!$B$1044</f>
        <v>Prel. tilldelning år 1 (min.)</v>
      </c>
      <c r="J1172" s="618"/>
      <c r="K1172" s="617" t="str">
        <f>Translations!$B$1047</f>
        <v>Prel. tilldelning år 1 (max.)</v>
      </c>
      <c r="L1172" s="618"/>
      <c r="M1172" s="617" t="str">
        <f>Translations!$B$1049</f>
        <v>Prel. tilldelning år 1 (faktisk)</v>
      </c>
      <c r="N1172" s="618"/>
    </row>
    <row r="1173" spans="2:14" ht="13.5" thickBot="1" x14ac:dyDescent="0.3">
      <c r="B1173" s="15"/>
      <c r="C1173" s="15"/>
      <c r="D1173" s="15"/>
      <c r="E1173" s="15"/>
      <c r="F1173" s="517" t="str">
        <f>[1]K_Summary!F1163</f>
        <v/>
      </c>
      <c r="G1173" s="709" t="str">
        <f>EUconst_TJpa</f>
        <v>TJ / år</v>
      </c>
      <c r="H1173" s="15"/>
      <c r="I1173" s="616" t="str">
        <f>[1]K_Summary!I1163</f>
        <v/>
      </c>
      <c r="J1173" s="709" t="str">
        <f>EUconst_EUApa</f>
        <v>EUA / år</v>
      </c>
      <c r="K1173" s="616" t="str">
        <f>[1]K_Summary!K1163</f>
        <v/>
      </c>
      <c r="L1173" s="709" t="str">
        <f>EUconst_EUApa</f>
        <v>EUA / år</v>
      </c>
      <c r="M1173" s="616" t="str">
        <f>[1]K_Summary!M1163</f>
        <v/>
      </c>
      <c r="N1173" s="709" t="str">
        <f>EUconst_EUApa</f>
        <v>EUA / år</v>
      </c>
    </row>
    <row r="1174" spans="2:14" x14ac:dyDescent="0.25">
      <c r="B1174" s="15"/>
      <c r="C1174" s="15"/>
      <c r="D1174" s="15"/>
      <c r="E1174" s="15"/>
      <c r="F1174" s="15"/>
      <c r="G1174" s="15"/>
      <c r="H1174" s="15"/>
      <c r="I1174" s="15"/>
      <c r="J1174" s="15"/>
      <c r="K1174" s="15"/>
      <c r="L1174" s="15"/>
      <c r="M1174" s="15"/>
      <c r="N1174" s="15"/>
    </row>
    <row r="1175" spans="2:14" ht="12.75" customHeight="1" x14ac:dyDescent="0.25">
      <c r="B1175" s="15"/>
      <c r="C1175" s="15"/>
      <c r="D1175" s="15"/>
      <c r="E1175" s="416"/>
      <c r="F1175" s="623"/>
      <c r="G1175" s="623"/>
      <c r="H1175" s="623"/>
      <c r="I1175" s="623"/>
      <c r="J1175" s="623"/>
      <c r="K1175" s="623"/>
      <c r="L1175" s="623"/>
      <c r="M1175" s="623"/>
      <c r="N1175" s="623"/>
    </row>
    <row r="1176" spans="2:14" ht="13.5" thickBot="1" x14ac:dyDescent="0.3">
      <c r="B1176" s="15"/>
      <c r="C1176" s="15"/>
      <c r="D1176" s="15"/>
      <c r="E1176" s="416"/>
      <c r="F1176" s="623"/>
      <c r="G1176" s="623"/>
      <c r="H1176" s="415" t="str">
        <f>Translations!$B$1014</f>
        <v>Enhet</v>
      </c>
      <c r="I1176" s="743">
        <v>2014</v>
      </c>
      <c r="J1176" s="625">
        <v>2015</v>
      </c>
      <c r="K1176" s="625">
        <v>2016</v>
      </c>
      <c r="L1176" s="625">
        <v>2017</v>
      </c>
      <c r="M1176" s="625">
        <v>2018</v>
      </c>
      <c r="N1176" s="623"/>
    </row>
    <row r="1177" spans="2:14" ht="13.5" customHeight="1" thickBot="1" x14ac:dyDescent="0.3">
      <c r="B1177" s="15"/>
      <c r="C1177" s="15"/>
      <c r="D1177" s="15"/>
      <c r="E1177" s="2074" t="str">
        <f>Translations!$B$380</f>
        <v>Producerad mätbar värme</v>
      </c>
      <c r="F1177" s="2074"/>
      <c r="G1177" s="2074"/>
      <c r="H1177" s="710" t="str">
        <f>EUconst_TJpa</f>
        <v>TJ / år</v>
      </c>
      <c r="I1177" s="735" t="str">
        <f>[1]K_Summary!I1167</f>
        <v/>
      </c>
      <c r="J1177" s="736" t="str">
        <f>[1]K_Summary!J1167</f>
        <v/>
      </c>
      <c r="K1177" s="736" t="str">
        <f>[1]K_Summary!K1167</f>
        <v/>
      </c>
      <c r="L1177" s="736" t="str">
        <f>[1]K_Summary!L1167</f>
        <v/>
      </c>
      <c r="M1177" s="737" t="str">
        <f>[1]K_Summary!M1167</f>
        <v/>
      </c>
      <c r="N1177" s="623"/>
    </row>
    <row r="1178" spans="2:14" ht="5.15" customHeight="1" thickBot="1" x14ac:dyDescent="0.3">
      <c r="B1178" s="15"/>
      <c r="C1178" s="15"/>
      <c r="D1178" s="15"/>
      <c r="E1178" s="416"/>
      <c r="F1178" s="416"/>
      <c r="G1178" s="416"/>
      <c r="H1178" s="416"/>
      <c r="I1178" s="741"/>
      <c r="J1178" s="741"/>
      <c r="K1178" s="741"/>
      <c r="L1178" s="741"/>
      <c r="M1178" s="741"/>
      <c r="N1178" s="623"/>
    </row>
    <row r="1179" spans="2:14" ht="13.5" customHeight="1" thickBot="1" x14ac:dyDescent="0.3">
      <c r="B1179" s="15"/>
      <c r="C1179" s="15"/>
      <c r="D1179" s="15"/>
      <c r="E1179" s="2074" t="str">
        <f>Translations!$B$1056</f>
        <v>Totala tillskrivna utsläpp</v>
      </c>
      <c r="F1179" s="2074"/>
      <c r="G1179" s="2074"/>
      <c r="H1179" s="710" t="str">
        <f>EUconst_tCO2epa</f>
        <v>t CO2e/år</v>
      </c>
      <c r="I1179" s="735" t="str">
        <f>[1]K_Summary!I1169</f>
        <v/>
      </c>
      <c r="J1179" s="736" t="str">
        <f>[1]K_Summary!J1169</f>
        <v/>
      </c>
      <c r="K1179" s="736" t="str">
        <f>[1]K_Summary!K1169</f>
        <v/>
      </c>
      <c r="L1179" s="736" t="str">
        <f>[1]K_Summary!L1169</f>
        <v/>
      </c>
      <c r="M1179" s="737" t="str">
        <f>[1]K_Summary!M1169</f>
        <v/>
      </c>
      <c r="N1179" s="623"/>
    </row>
    <row r="1180" spans="2:14" ht="5.15" customHeight="1" x14ac:dyDescent="0.25">
      <c r="B1180" s="15"/>
      <c r="C1180" s="15"/>
      <c r="D1180" s="15"/>
      <c r="E1180" s="416"/>
      <c r="F1180" s="416"/>
      <c r="G1180" s="416"/>
      <c r="H1180" s="416"/>
      <c r="I1180" s="738"/>
      <c r="J1180" s="738"/>
      <c r="K1180" s="738"/>
      <c r="L1180" s="738"/>
      <c r="M1180" s="738"/>
      <c r="N1180" s="416"/>
    </row>
    <row r="1181" spans="2:14" x14ac:dyDescent="0.25">
      <c r="B1181" s="15"/>
      <c r="C1181" s="15"/>
      <c r="D1181" s="15"/>
      <c r="E1181" s="2087" t="str">
        <f>Translations!$B$571</f>
        <v>Insatsbränsle</v>
      </c>
      <c r="F1181" s="2087"/>
      <c r="G1181" s="2087"/>
      <c r="H1181" s="1606" t="str">
        <f>EUconst_TJpa</f>
        <v>TJ / år</v>
      </c>
      <c r="I1181" s="739" t="str">
        <f>[1]K_Summary!I1171</f>
        <v/>
      </c>
      <c r="J1181" s="739" t="str">
        <f>[1]K_Summary!J1171</f>
        <v/>
      </c>
      <c r="K1181" s="739" t="str">
        <f>[1]K_Summary!K1171</f>
        <v/>
      </c>
      <c r="L1181" s="739" t="str">
        <f>[1]K_Summary!L1171</f>
        <v/>
      </c>
      <c r="M1181" s="739" t="str">
        <f>[1]K_Summary!M1171</f>
        <v/>
      </c>
      <c r="N1181" s="623"/>
    </row>
    <row r="1182" spans="2:14" ht="12.75" customHeight="1" x14ac:dyDescent="0.25">
      <c r="B1182" s="15"/>
      <c r="C1182" s="15"/>
      <c r="D1182" s="15"/>
      <c r="E1182" s="2088" t="str">
        <f>Translations!$B$572</f>
        <v>Viktad emissionsfaktor</v>
      </c>
      <c r="F1182" s="2088"/>
      <c r="G1182" s="2088"/>
      <c r="H1182" s="624" t="str">
        <f>EUconst_tCO2pTJ</f>
        <v>t CO2 / TJ</v>
      </c>
      <c r="I1182" s="740" t="str">
        <f>[1]K_Summary!I1172</f>
        <v/>
      </c>
      <c r="J1182" s="740" t="str">
        <f>[1]K_Summary!J1172</f>
        <v/>
      </c>
      <c r="K1182" s="740" t="str">
        <f>[1]K_Summary!K1172</f>
        <v/>
      </c>
      <c r="L1182" s="740" t="str">
        <f>[1]K_Summary!L1172</f>
        <v/>
      </c>
      <c r="M1182" s="740" t="str">
        <f>[1]K_Summary!M1172</f>
        <v/>
      </c>
      <c r="N1182" s="623"/>
    </row>
    <row r="1183" spans="2:14" ht="12.75" customHeight="1" x14ac:dyDescent="0.25">
      <c r="B1183" s="15"/>
      <c r="C1183" s="15"/>
      <c r="D1183" s="15"/>
      <c r="E1183" s="2087" t="str">
        <f>Translations!$B$688</f>
        <v>Insatsbränsle från restgaser</v>
      </c>
      <c r="F1183" s="2087"/>
      <c r="G1183" s="2087"/>
      <c r="H1183" s="1606" t="str">
        <f>EUconst_TJpa</f>
        <v>TJ / år</v>
      </c>
      <c r="I1183" s="739" t="str">
        <f>[1]K_Summary!I1173</f>
        <v/>
      </c>
      <c r="J1183" s="739" t="str">
        <f>[1]K_Summary!J1173</f>
        <v/>
      </c>
      <c r="K1183" s="739" t="str">
        <f>[1]K_Summary!K1173</f>
        <v/>
      </c>
      <c r="L1183" s="739" t="str">
        <f>[1]K_Summary!L1173</f>
        <v/>
      </c>
      <c r="M1183" s="739" t="str">
        <f>[1]K_Summary!M1173</f>
        <v/>
      </c>
      <c r="N1183" s="623"/>
    </row>
    <row r="1184" spans="2:14" ht="12.75" customHeight="1" x14ac:dyDescent="0.25">
      <c r="B1184" s="15"/>
      <c r="C1184" s="15"/>
      <c r="D1184" s="15"/>
      <c r="E1184" s="2088" t="str">
        <f>Translations!$B$572</f>
        <v>Viktad emissionsfaktor</v>
      </c>
      <c r="F1184" s="2088"/>
      <c r="G1184" s="2088"/>
      <c r="H1184" s="624" t="str">
        <f>EUconst_tCO2pTJ</f>
        <v>t CO2 / TJ</v>
      </c>
      <c r="I1184" s="740" t="str">
        <f>[1]K_Summary!I1174</f>
        <v/>
      </c>
      <c r="J1184" s="740" t="str">
        <f>[1]K_Summary!J1174</f>
        <v/>
      </c>
      <c r="K1184" s="740" t="str">
        <f>[1]K_Summary!K1174</f>
        <v/>
      </c>
      <c r="L1184" s="740" t="str">
        <f>[1]K_Summary!L1174</f>
        <v/>
      </c>
      <c r="M1184" s="740" t="str">
        <f>[1]K_Summary!M1174</f>
        <v/>
      </c>
      <c r="N1184" s="623"/>
    </row>
    <row r="1185" spans="2:14" ht="5.15" customHeight="1" x14ac:dyDescent="0.25">
      <c r="B1185" s="15"/>
      <c r="C1185" s="15"/>
      <c r="D1185" s="15"/>
      <c r="E1185" s="416"/>
      <c r="F1185" s="623"/>
      <c r="G1185" s="623"/>
      <c r="H1185" s="623"/>
      <c r="I1185" s="741"/>
      <c r="J1185" s="741"/>
      <c r="K1185" s="741"/>
      <c r="L1185" s="741"/>
      <c r="M1185" s="741"/>
      <c r="N1185" s="623"/>
    </row>
    <row r="1186" spans="2:14" ht="12.75" customHeight="1" x14ac:dyDescent="0.25">
      <c r="B1186" s="15"/>
      <c r="C1186" s="15"/>
      <c r="D1186" s="15"/>
      <c r="E1186" s="2080" t="str">
        <f>Translations!$B$528</f>
        <v>Direkta utsläpp</v>
      </c>
      <c r="F1186" s="2080"/>
      <c r="G1186" s="2080"/>
      <c r="H1186" s="363" t="str">
        <f>EUconst_tCO2pa</f>
        <v>t CO2 / år</v>
      </c>
      <c r="I1186" s="742" t="str">
        <f>[1]K_Summary!I1176</f>
        <v/>
      </c>
      <c r="J1186" s="742" t="str">
        <f>[1]K_Summary!J1176</f>
        <v/>
      </c>
      <c r="K1186" s="742" t="str">
        <f>[1]K_Summary!K1176</f>
        <v/>
      </c>
      <c r="L1186" s="742" t="str">
        <f>[1]K_Summary!L1176</f>
        <v/>
      </c>
      <c r="M1186" s="742" t="str">
        <f>[1]K_Summary!M1176</f>
        <v/>
      </c>
      <c r="N1186" s="623"/>
    </row>
    <row r="1187" spans="2:14" ht="5.15" customHeight="1" x14ac:dyDescent="0.25">
      <c r="B1187" s="15"/>
      <c r="C1187" s="15"/>
      <c r="D1187" s="15"/>
      <c r="E1187" s="416"/>
      <c r="F1187" s="416"/>
      <c r="G1187" s="416"/>
      <c r="H1187" s="416"/>
      <c r="I1187" s="741"/>
      <c r="J1187" s="741"/>
      <c r="K1187" s="741"/>
      <c r="L1187" s="741"/>
      <c r="M1187" s="741"/>
      <c r="N1187" s="623"/>
    </row>
    <row r="1188" spans="2:14" ht="12.75" customHeight="1" x14ac:dyDescent="0.25">
      <c r="B1188" s="15"/>
      <c r="C1188" s="15"/>
      <c r="D1188" s="15"/>
      <c r="E1188" s="2087" t="str">
        <f>Translations!$B$1059</f>
        <v>Importerad nettovärme (annat)</v>
      </c>
      <c r="F1188" s="2087"/>
      <c r="G1188" s="2087"/>
      <c r="H1188" s="1606" t="str">
        <f>EUconst_TJpa</f>
        <v>TJ / år</v>
      </c>
      <c r="I1188" s="739" t="str">
        <f>[1]K_Summary!I1178</f>
        <v/>
      </c>
      <c r="J1188" s="739" t="str">
        <f>[1]K_Summary!J1178</f>
        <v/>
      </c>
      <c r="K1188" s="739" t="str">
        <f>[1]K_Summary!K1178</f>
        <v/>
      </c>
      <c r="L1188" s="739" t="str">
        <f>[1]K_Summary!L1178</f>
        <v/>
      </c>
      <c r="M1188" s="739" t="str">
        <f>[1]K_Summary!M1178</f>
        <v/>
      </c>
      <c r="N1188" s="623"/>
    </row>
    <row r="1189" spans="2:14" ht="12.75" customHeight="1" x14ac:dyDescent="0.25">
      <c r="B1189" s="15"/>
      <c r="C1189" s="15"/>
      <c r="D1189" s="15"/>
      <c r="E1189" s="2088" t="str">
        <f>Translations!$B$605</f>
        <v>Särskild emissionsfaktor (importerad värme)</v>
      </c>
      <c r="F1189" s="2088"/>
      <c r="G1189" s="2088"/>
      <c r="H1189" s="624" t="str">
        <f>EUconst_tCO2pTJ</f>
        <v>t CO2 / TJ</v>
      </c>
      <c r="I1189" s="740" t="str">
        <f>[1]K_Summary!I1179</f>
        <v/>
      </c>
      <c r="J1189" s="740" t="str">
        <f>[1]K_Summary!J1179</f>
        <v/>
      </c>
      <c r="K1189" s="740" t="str">
        <f>[1]K_Summary!K1179</f>
        <v/>
      </c>
      <c r="L1189" s="740" t="str">
        <f>[1]K_Summary!L1179</f>
        <v/>
      </c>
      <c r="M1189" s="740" t="str">
        <f>[1]K_Summary!M1179</f>
        <v/>
      </c>
      <c r="N1189" s="623"/>
    </row>
    <row r="1190" spans="2:14" ht="12.75" customHeight="1" x14ac:dyDescent="0.25">
      <c r="B1190" s="15"/>
      <c r="C1190" s="15"/>
      <c r="D1190" s="15"/>
      <c r="E1190" s="2087" t="str">
        <f>Translations!$B$1060</f>
        <v>Importerad nettovärme (produktriktmärke)</v>
      </c>
      <c r="F1190" s="2087"/>
      <c r="G1190" s="2087"/>
      <c r="H1190" s="1606" t="str">
        <f>EUconst_TJpa</f>
        <v>TJ / år</v>
      </c>
      <c r="I1190" s="739" t="str">
        <f>[1]K_Summary!I1180</f>
        <v/>
      </c>
      <c r="J1190" s="739" t="str">
        <f>[1]K_Summary!J1180</f>
        <v/>
      </c>
      <c r="K1190" s="739" t="str">
        <f>[1]K_Summary!K1180</f>
        <v/>
      </c>
      <c r="L1190" s="739" t="str">
        <f>[1]K_Summary!L1180</f>
        <v/>
      </c>
      <c r="M1190" s="739" t="str">
        <f>[1]K_Summary!M1180</f>
        <v/>
      </c>
      <c r="N1190" s="623"/>
    </row>
    <row r="1191" spans="2:14" ht="12.75" customHeight="1" x14ac:dyDescent="0.25">
      <c r="B1191" s="15"/>
      <c r="C1191" s="15"/>
      <c r="D1191" s="15"/>
      <c r="E1191" s="2088" t="str">
        <f>Translations!$B$703</f>
        <v>Särskild emissionsfaktor (från produktriktmärke)</v>
      </c>
      <c r="F1191" s="2088"/>
      <c r="G1191" s="2088"/>
      <c r="H1191" s="624" t="str">
        <f>EUconst_tCO2pTJ</f>
        <v>t CO2 / TJ</v>
      </c>
      <c r="I1191" s="740" t="str">
        <f>[1]K_Summary!I1181</f>
        <v/>
      </c>
      <c r="J1191" s="740" t="str">
        <f>[1]K_Summary!J1181</f>
        <v/>
      </c>
      <c r="K1191" s="740" t="str">
        <f>[1]K_Summary!K1181</f>
        <v/>
      </c>
      <c r="L1191" s="740" t="str">
        <f>[1]K_Summary!L1181</f>
        <v/>
      </c>
      <c r="M1191" s="740" t="str">
        <f>[1]K_Summary!M1181</f>
        <v/>
      </c>
      <c r="N1191" s="623"/>
    </row>
    <row r="1192" spans="2:14" ht="12.75" customHeight="1" x14ac:dyDescent="0.25">
      <c r="B1192" s="15"/>
      <c r="C1192" s="15"/>
      <c r="D1192" s="15"/>
      <c r="E1192" s="2087" t="str">
        <f>Translations!$B$1061</f>
        <v>Importerad nettovärme (massa)</v>
      </c>
      <c r="F1192" s="2087"/>
      <c r="G1192" s="2087"/>
      <c r="H1192" s="1606" t="str">
        <f>EUconst_TJpa</f>
        <v>TJ / år</v>
      </c>
      <c r="I1192" s="739" t="str">
        <f>[1]K_Summary!I1182</f>
        <v/>
      </c>
      <c r="J1192" s="739" t="str">
        <f>[1]K_Summary!J1182</f>
        <v/>
      </c>
      <c r="K1192" s="739" t="str">
        <f>[1]K_Summary!K1182</f>
        <v/>
      </c>
      <c r="L1192" s="739" t="str">
        <f>[1]K_Summary!L1182</f>
        <v/>
      </c>
      <c r="M1192" s="739" t="str">
        <f>[1]K_Summary!M1182</f>
        <v/>
      </c>
      <c r="N1192" s="623"/>
    </row>
    <row r="1193" spans="2:14" ht="12.75" customHeight="1" x14ac:dyDescent="0.25">
      <c r="B1193" s="15"/>
      <c r="C1193" s="15"/>
      <c r="D1193" s="15"/>
      <c r="E1193" s="2088" t="str">
        <f>Translations!$B$705</f>
        <v>Särskild emissionsfaktor (från massa)</v>
      </c>
      <c r="F1193" s="2088"/>
      <c r="G1193" s="2088"/>
      <c r="H1193" s="624" t="str">
        <f>EUconst_tCO2pTJ</f>
        <v>t CO2 / TJ</v>
      </c>
      <c r="I1193" s="740" t="str">
        <f>[1]K_Summary!I1183</f>
        <v/>
      </c>
      <c r="J1193" s="740" t="str">
        <f>[1]K_Summary!J1183</f>
        <v/>
      </c>
      <c r="K1193" s="740" t="str">
        <f>[1]K_Summary!K1183</f>
        <v/>
      </c>
      <c r="L1193" s="740" t="str">
        <f>[1]K_Summary!L1183</f>
        <v/>
      </c>
      <c r="M1193" s="740" t="str">
        <f>[1]K_Summary!M1183</f>
        <v/>
      </c>
      <c r="N1193" s="623"/>
    </row>
    <row r="1194" spans="2:14" ht="12.75" customHeight="1" x14ac:dyDescent="0.25">
      <c r="B1194" s="15"/>
      <c r="C1194" s="15"/>
      <c r="D1194" s="15"/>
      <c r="E1194" s="2087" t="str">
        <f>Translations!$B$1062</f>
        <v>Importerad nettovärme (bränsleriktmärke)</v>
      </c>
      <c r="F1194" s="2087"/>
      <c r="G1194" s="2087"/>
      <c r="H1194" s="1606" t="str">
        <f>EUconst_TJpa</f>
        <v>TJ / år</v>
      </c>
      <c r="I1194" s="739" t="str">
        <f>[1]K_Summary!I1184</f>
        <v/>
      </c>
      <c r="J1194" s="739" t="str">
        <f>[1]K_Summary!J1184</f>
        <v/>
      </c>
      <c r="K1194" s="739" t="str">
        <f>[1]K_Summary!K1184</f>
        <v/>
      </c>
      <c r="L1194" s="739" t="str">
        <f>[1]K_Summary!L1184</f>
        <v/>
      </c>
      <c r="M1194" s="739" t="str">
        <f>[1]K_Summary!M1184</f>
        <v/>
      </c>
      <c r="N1194" s="623"/>
    </row>
    <row r="1195" spans="2:14" ht="12.75" customHeight="1" x14ac:dyDescent="0.25">
      <c r="B1195" s="15"/>
      <c r="C1195" s="15"/>
      <c r="D1195" s="15"/>
      <c r="E1195" s="2088" t="str">
        <f>Translations!$B$707</f>
        <v>Särskild emissionsfaktor (från bränsleriktmärke)</v>
      </c>
      <c r="F1195" s="2088"/>
      <c r="G1195" s="2088"/>
      <c r="H1195" s="624" t="str">
        <f>EUconst_tCO2pTJ</f>
        <v>t CO2 / TJ</v>
      </c>
      <c r="I1195" s="740" t="str">
        <f>[1]K_Summary!I1185</f>
        <v/>
      </c>
      <c r="J1195" s="740" t="str">
        <f>[1]K_Summary!J1185</f>
        <v/>
      </c>
      <c r="K1195" s="740" t="str">
        <f>[1]K_Summary!K1185</f>
        <v/>
      </c>
      <c r="L1195" s="740" t="str">
        <f>[1]K_Summary!L1185</f>
        <v/>
      </c>
      <c r="M1195" s="740" t="str">
        <f>[1]K_Summary!M1185</f>
        <v/>
      </c>
      <c r="N1195" s="623"/>
    </row>
    <row r="1196" spans="2:14" ht="12.75" customHeight="1" x14ac:dyDescent="0.25">
      <c r="B1196" s="15"/>
      <c r="C1196" s="15"/>
      <c r="D1196" s="15"/>
      <c r="E1196" s="2087" t="str">
        <f>Translations!$B$1063</f>
        <v>Importerad nettovärme (restgaser)</v>
      </c>
      <c r="F1196" s="2087"/>
      <c r="G1196" s="2087"/>
      <c r="H1196" s="1606" t="str">
        <f>EUconst_TJpa</f>
        <v>TJ / år</v>
      </c>
      <c r="I1196" s="739" t="str">
        <f>[1]K_Summary!I1186</f>
        <v/>
      </c>
      <c r="J1196" s="739" t="str">
        <f>[1]K_Summary!J1186</f>
        <v/>
      </c>
      <c r="K1196" s="739" t="str">
        <f>[1]K_Summary!K1186</f>
        <v/>
      </c>
      <c r="L1196" s="739" t="str">
        <f>[1]K_Summary!L1186</f>
        <v/>
      </c>
      <c r="M1196" s="739" t="str">
        <f>[1]K_Summary!M1186</f>
        <v/>
      </c>
      <c r="N1196" s="623"/>
    </row>
    <row r="1197" spans="2:14" ht="12.75" customHeight="1" x14ac:dyDescent="0.25">
      <c r="B1197" s="15"/>
      <c r="C1197" s="15"/>
      <c r="D1197" s="15"/>
      <c r="E1197" s="2088" t="str">
        <f>Translations!$B$709</f>
        <v>Särskild emissionsfaktor (från restgas)</v>
      </c>
      <c r="F1197" s="2088"/>
      <c r="G1197" s="2088"/>
      <c r="H1197" s="624" t="str">
        <f>EUconst_tCO2pTJ</f>
        <v>t CO2 / TJ</v>
      </c>
      <c r="I1197" s="740" t="str">
        <f>[1]K_Summary!I1187</f>
        <v/>
      </c>
      <c r="J1197" s="740" t="str">
        <f>[1]K_Summary!J1187</f>
        <v/>
      </c>
      <c r="K1197" s="740" t="str">
        <f>[1]K_Summary!K1187</f>
        <v/>
      </c>
      <c r="L1197" s="740" t="str">
        <f>[1]K_Summary!L1187</f>
        <v/>
      </c>
      <c r="M1197" s="740" t="str">
        <f>[1]K_Summary!M1187</f>
        <v/>
      </c>
      <c r="N1197" s="623"/>
    </row>
    <row r="1198" spans="2:14" ht="12.75" customHeight="1" x14ac:dyDescent="0.25">
      <c r="B1198" s="15"/>
      <c r="C1198" s="15"/>
      <c r="D1198" s="15"/>
      <c r="E1198" s="623"/>
      <c r="F1198" s="623"/>
      <c r="G1198" s="623"/>
      <c r="H1198" s="623"/>
      <c r="I1198" s="623"/>
      <c r="J1198" s="623"/>
      <c r="K1198" s="623"/>
      <c r="L1198" s="623"/>
      <c r="M1198" s="623"/>
      <c r="N1198" s="623"/>
    </row>
    <row r="1199" spans="2:14" ht="13" thickBot="1" x14ac:dyDescent="0.3">
      <c r="B1199" s="15"/>
      <c r="C1199" s="15"/>
      <c r="D1199" s="15"/>
      <c r="E1199" s="15"/>
      <c r="F1199" s="15"/>
      <c r="G1199" s="15"/>
      <c r="H1199" s="534"/>
      <c r="I1199" s="534"/>
      <c r="J1199" s="534"/>
      <c r="K1199" s="534"/>
      <c r="L1199" s="534"/>
      <c r="M1199" s="15"/>
      <c r="N1199" s="15"/>
    </row>
    <row r="1200" spans="2:14" ht="12.75" customHeight="1" thickBot="1" x14ac:dyDescent="0.3">
      <c r="B1200" s="3"/>
      <c r="C1200" s="230"/>
      <c r="D1200" s="230"/>
      <c r="E1200" s="230"/>
      <c r="F1200" s="230"/>
      <c r="G1200" s="230"/>
      <c r="H1200" s="230"/>
      <c r="I1200" s="230"/>
      <c r="J1200" s="230"/>
      <c r="K1200" s="230"/>
      <c r="L1200" s="230"/>
      <c r="M1200" s="230"/>
      <c r="N1200" s="230"/>
    </row>
    <row r="1201" spans="2:16" ht="15" customHeight="1" thickBot="1" x14ac:dyDescent="0.35">
      <c r="B1201" s="15"/>
      <c r="C1201" s="17">
        <v>14</v>
      </c>
      <c r="D1201" s="2053" t="str">
        <f>Euconst_FallBackSub &amp; " " &amp; C1201-10 &amp; ":"</f>
        <v>”Fall-back”-delanläggning 4:</v>
      </c>
      <c r="E1201" s="2053"/>
      <c r="F1201" s="2053"/>
      <c r="G1201" s="2053"/>
      <c r="H1201" s="2081"/>
      <c r="I1201" s="2082" t="str">
        <f>[1]K_Summary!I1191</f>
        <v>Fuel benchmark sub-installation, CL</v>
      </c>
      <c r="J1201" s="2083"/>
      <c r="K1201" s="2083"/>
      <c r="L1201" s="2084"/>
      <c r="M1201" s="2085" t="str">
        <f>[1]K_Summary!M1191</f>
        <v/>
      </c>
      <c r="N1201" s="2086"/>
    </row>
    <row r="1202" spans="2:16" ht="5.15" customHeight="1" thickBot="1" x14ac:dyDescent="0.3">
      <c r="B1202" s="15"/>
      <c r="C1202" s="15"/>
      <c r="D1202" s="15"/>
      <c r="E1202" s="15"/>
      <c r="F1202" s="15"/>
      <c r="G1202" s="15"/>
      <c r="H1202" s="15"/>
      <c r="I1202" s="15"/>
      <c r="J1202" s="15"/>
      <c r="K1202" s="15"/>
      <c r="L1202" s="15"/>
      <c r="M1202" s="15"/>
      <c r="N1202" s="15"/>
    </row>
    <row r="1203" spans="2:16" x14ac:dyDescent="0.25">
      <c r="B1203" s="15"/>
      <c r="C1203" s="15"/>
      <c r="D1203" s="15"/>
      <c r="E1203" s="15"/>
      <c r="F1203" s="15"/>
      <c r="G1203" s="15"/>
      <c r="H1203" s="506" t="str">
        <f>Translations!$B$1022</f>
        <v>KL-risk</v>
      </c>
      <c r="I1203" s="507" t="str">
        <f>Translations!$B$1026</f>
        <v>I drift</v>
      </c>
      <c r="J1203" s="507" t="str">
        <f>Translations!$B$1030</f>
        <v>15(7).3?</v>
      </c>
      <c r="K1203" s="507" t="str">
        <f>Translations!$B$1032</f>
        <v>15(7).3 HAL</v>
      </c>
      <c r="L1203" s="612" t="str">
        <f>Translations!$B$1024</f>
        <v>RM-nummer</v>
      </c>
      <c r="M1203" s="786" t="str">
        <f>Translations!$B$1052</f>
        <v>RM-värde (min./max./faktiskt)</v>
      </c>
      <c r="N1203" s="787"/>
    </row>
    <row r="1204" spans="2:16" x14ac:dyDescent="0.25">
      <c r="B1204" s="15"/>
      <c r="C1204" s="15"/>
      <c r="D1204" s="15"/>
      <c r="E1204" s="508" t="str">
        <f>[1]K_Summary!E1194</f>
        <v>Fuel benchmark sub-installation, CL</v>
      </c>
      <c r="F1204" s="509"/>
      <c r="G1204" s="464"/>
      <c r="H1204" s="510" t="b">
        <f>[1]K_Summary!H1194</f>
        <v>1</v>
      </c>
      <c r="I1204" s="642" t="str">
        <f>[1]K_Summary!I1194</f>
        <v/>
      </c>
      <c r="J1204" s="511" t="str">
        <f>[1]K_Summary!J1194</f>
        <v/>
      </c>
      <c r="K1204" s="421" t="str">
        <f>[1]K_Summary!K1194</f>
        <v/>
      </c>
      <c r="L1204" s="641">
        <f>[1]K_Summary!L1194</f>
        <v>4</v>
      </c>
      <c r="M1204" s="790" t="str">
        <f>[1]K_Summary!M1194</f>
        <v/>
      </c>
      <c r="N1204" s="788" t="str">
        <f>EUconst_EUA &amp; "/" &amp; H1209</f>
        <v>EUA/TJ</v>
      </c>
    </row>
    <row r="1205" spans="2:16" x14ac:dyDescent="0.25">
      <c r="B1205" s="15"/>
      <c r="C1205" s="15"/>
      <c r="D1205" s="534"/>
      <c r="E1205" s="534"/>
      <c r="F1205" s="534"/>
      <c r="G1205" s="534"/>
      <c r="H1205" s="534"/>
      <c r="I1205" s="534"/>
      <c r="J1205" s="534"/>
      <c r="K1205" s="534"/>
      <c r="L1205" s="534"/>
      <c r="M1205" s="790" t="str">
        <f>[1]K_Summary!M1195</f>
        <v/>
      </c>
      <c r="N1205" s="788" t="str">
        <f>EUconst_EUA &amp; "/" &amp; H1209</f>
        <v>EUA/TJ</v>
      </c>
    </row>
    <row r="1206" spans="2:16" ht="13" thickBot="1" x14ac:dyDescent="0.3">
      <c r="B1206" s="15"/>
      <c r="C1206" s="15"/>
      <c r="D1206" s="534"/>
      <c r="E1206" s="534"/>
      <c r="F1206" s="534"/>
      <c r="G1206" s="534"/>
      <c r="H1206" s="534"/>
      <c r="I1206" s="534"/>
      <c r="J1206" s="534"/>
      <c r="K1206" s="534"/>
      <c r="L1206" s="534"/>
      <c r="M1206" s="791" t="str">
        <f>[1]K_Summary!M1196</f>
        <v/>
      </c>
      <c r="N1206" s="789" t="str">
        <f>EUconst_EUA &amp; "/" &amp; H1209</f>
        <v>EUA/TJ</v>
      </c>
      <c r="P1206" s="1903" t="b">
        <f>IF(ISNUMBER(M1206),INDEX(EUconst_FallBackListBMvalues,L1204)&lt;&gt;M1206,FALSE)</f>
        <v>0</v>
      </c>
    </row>
    <row r="1207" spans="2:16" ht="5.15" customHeight="1" x14ac:dyDescent="0.25">
      <c r="B1207" s="15"/>
      <c r="C1207" s="15"/>
      <c r="D1207" s="15"/>
      <c r="E1207" s="15"/>
      <c r="F1207" s="15"/>
      <c r="G1207" s="15"/>
      <c r="H1207" s="15"/>
      <c r="I1207" s="15"/>
      <c r="J1207" s="15"/>
      <c r="K1207" s="15"/>
      <c r="L1207" s="15"/>
      <c r="M1207" s="15"/>
      <c r="N1207" s="15"/>
    </row>
    <row r="1208" spans="2:16" ht="13" x14ac:dyDescent="0.25">
      <c r="B1208" s="15"/>
      <c r="C1208" s="15"/>
      <c r="D1208" s="15"/>
      <c r="E1208" s="188"/>
      <c r="F1208" s="188"/>
      <c r="G1208" s="512"/>
      <c r="H1208" s="506" t="str">
        <f>Translations!$B$1014</f>
        <v>Enhet</v>
      </c>
      <c r="I1208" s="350">
        <v>2014</v>
      </c>
      <c r="J1208" s="350">
        <v>2015</v>
      </c>
      <c r="K1208" s="350">
        <v>2016</v>
      </c>
      <c r="L1208" s="350">
        <v>2017</v>
      </c>
      <c r="M1208" s="350">
        <v>2018</v>
      </c>
      <c r="N1208" s="15"/>
    </row>
    <row r="1209" spans="2:16" x14ac:dyDescent="0.25">
      <c r="B1209" s="15"/>
      <c r="C1209" s="15"/>
      <c r="D1209" s="15"/>
      <c r="E1209" s="513" t="str">
        <f>Translations!$B$1054</f>
        <v>Rapporterad HAL (historisk verksamhetsnivå)</v>
      </c>
      <c r="F1209" s="514"/>
      <c r="G1209" s="515"/>
      <c r="H1209" s="510" t="str">
        <f>[1]K_Summary!H1199</f>
        <v>TJ</v>
      </c>
      <c r="I1209" s="421" t="str">
        <f>[1]K_Summary!I1199</f>
        <v/>
      </c>
      <c r="J1209" s="421" t="str">
        <f>[1]K_Summary!J1199</f>
        <v/>
      </c>
      <c r="K1209" s="421" t="str">
        <f>[1]K_Summary!K1199</f>
        <v/>
      </c>
      <c r="L1209" s="421" t="str">
        <f>[1]K_Summary!L1199</f>
        <v/>
      </c>
      <c r="M1209" s="421" t="str">
        <f>[1]K_Summary!M1199</f>
        <v/>
      </c>
      <c r="N1209" s="507" t="str">
        <f>Translations!$B$1042</f>
        <v>Genomsnitt</v>
      </c>
    </row>
    <row r="1210" spans="2:16" x14ac:dyDescent="0.25">
      <c r="B1210" s="15"/>
      <c r="C1210" s="15"/>
      <c r="D1210" s="15"/>
      <c r="E1210" s="513" t="str">
        <f>Translations!$B$1055</f>
        <v>Värden som används för HAL-beräkning:</v>
      </c>
      <c r="F1210" s="514"/>
      <c r="G1210" s="515"/>
      <c r="H1210" s="510" t="str">
        <f>[1]K_Summary!H1200</f>
        <v>TJ</v>
      </c>
      <c r="I1210" s="346" t="str">
        <f>[1]K_Summary!I1200</f>
        <v/>
      </c>
      <c r="J1210" s="346" t="str">
        <f>[1]K_Summary!J1200</f>
        <v/>
      </c>
      <c r="K1210" s="346" t="str">
        <f>[1]K_Summary!K1200</f>
        <v/>
      </c>
      <c r="L1210" s="346" t="str">
        <f>[1]K_Summary!L1200</f>
        <v/>
      </c>
      <c r="M1210" s="346" t="str">
        <f>[1]K_Summary!M1200</f>
        <v/>
      </c>
      <c r="N1210" s="421" t="str">
        <f>[1]K_Summary!N1200</f>
        <v/>
      </c>
    </row>
    <row r="1211" spans="2:16" ht="5.15" customHeight="1" x14ac:dyDescent="0.25">
      <c r="B1211" s="15"/>
      <c r="C1211" s="15"/>
      <c r="D1211" s="15"/>
      <c r="E1211" s="15"/>
      <c r="F1211" s="15"/>
      <c r="G1211" s="15"/>
      <c r="H1211" s="15"/>
      <c r="I1211" s="15"/>
      <c r="J1211" s="15"/>
      <c r="K1211" s="15"/>
      <c r="L1211" s="15"/>
      <c r="M1211" s="15"/>
      <c r="N1211" s="15"/>
    </row>
    <row r="1212" spans="2:16" ht="13" thickBot="1" x14ac:dyDescent="0.3">
      <c r="B1212" s="15"/>
      <c r="C1212" s="15"/>
      <c r="D1212" s="15"/>
      <c r="E1212" s="15"/>
      <c r="F1212" s="516" t="s">
        <v>1385</v>
      </c>
      <c r="G1212" s="618"/>
      <c r="H1212" s="15"/>
      <c r="I1212" s="617" t="str">
        <f>Translations!$B$1044</f>
        <v>Prel. tilldelning år 1 (min.)</v>
      </c>
      <c r="J1212" s="618"/>
      <c r="K1212" s="617" t="str">
        <f>Translations!$B$1047</f>
        <v>Prel. tilldelning år 1 (max.)</v>
      </c>
      <c r="L1212" s="618"/>
      <c r="M1212" s="617" t="str">
        <f>Translations!$B$1049</f>
        <v>Prel. tilldelning år 1 (faktisk)</v>
      </c>
      <c r="N1212" s="618"/>
    </row>
    <row r="1213" spans="2:16" ht="13.5" thickBot="1" x14ac:dyDescent="0.3">
      <c r="B1213" s="15"/>
      <c r="C1213" s="15"/>
      <c r="D1213" s="15"/>
      <c r="E1213" s="15"/>
      <c r="F1213" s="517" t="str">
        <f>[1]K_Summary!F1203</f>
        <v/>
      </c>
      <c r="G1213" s="709" t="str">
        <f>EUconst_TJpa</f>
        <v>TJ / år</v>
      </c>
      <c r="H1213" s="15"/>
      <c r="I1213" s="616" t="str">
        <f>[1]K_Summary!I1203</f>
        <v/>
      </c>
      <c r="J1213" s="709" t="str">
        <f>EUconst_EUApa</f>
        <v>EUA / år</v>
      </c>
      <c r="K1213" s="616" t="str">
        <f>[1]K_Summary!K1203</f>
        <v/>
      </c>
      <c r="L1213" s="709" t="str">
        <f>EUconst_EUApa</f>
        <v>EUA / år</v>
      </c>
      <c r="M1213" s="616" t="str">
        <f>[1]K_Summary!M1203</f>
        <v/>
      </c>
      <c r="N1213" s="709" t="str">
        <f>EUconst_EUApa</f>
        <v>EUA / år</v>
      </c>
    </row>
    <row r="1214" spans="2:16" x14ac:dyDescent="0.25">
      <c r="B1214" s="15"/>
      <c r="C1214" s="15"/>
      <c r="D1214" s="15"/>
      <c r="E1214" s="15"/>
      <c r="F1214" s="15"/>
      <c r="G1214" s="15"/>
      <c r="H1214" s="15"/>
      <c r="I1214" s="15"/>
      <c r="J1214" s="15"/>
      <c r="K1214" s="15"/>
      <c r="L1214" s="15"/>
      <c r="M1214" s="15"/>
      <c r="N1214" s="15"/>
    </row>
    <row r="1215" spans="2:16" ht="12.75" customHeight="1" x14ac:dyDescent="0.25">
      <c r="B1215" s="15"/>
      <c r="C1215" s="15"/>
      <c r="D1215" s="15"/>
      <c r="E1215" s="416"/>
      <c r="F1215" s="623"/>
      <c r="G1215" s="623"/>
      <c r="H1215" s="623"/>
      <c r="I1215" s="623"/>
      <c r="J1215" s="623"/>
      <c r="K1215" s="623"/>
      <c r="L1215" s="623"/>
      <c r="M1215" s="623"/>
      <c r="N1215" s="623"/>
    </row>
    <row r="1216" spans="2:16" ht="13.5" thickBot="1" x14ac:dyDescent="0.3">
      <c r="B1216" s="15"/>
      <c r="C1216" s="15"/>
      <c r="D1216" s="15"/>
      <c r="E1216" s="416"/>
      <c r="F1216" s="623"/>
      <c r="G1216" s="623"/>
      <c r="H1216" s="415" t="str">
        <f>Translations!$B$1014</f>
        <v>Enhet</v>
      </c>
      <c r="I1216" s="743">
        <v>2014</v>
      </c>
      <c r="J1216" s="625">
        <v>2015</v>
      </c>
      <c r="K1216" s="625">
        <v>2016</v>
      </c>
      <c r="L1216" s="625">
        <v>2017</v>
      </c>
      <c r="M1216" s="625">
        <v>2018</v>
      </c>
      <c r="N1216" s="623"/>
    </row>
    <row r="1217" spans="2:14" ht="13.5" customHeight="1" thickBot="1" x14ac:dyDescent="0.3">
      <c r="B1217" s="15"/>
      <c r="C1217" s="15"/>
      <c r="D1217" s="15"/>
      <c r="E1217" s="2074" t="str">
        <f>Translations!$B$1056</f>
        <v>Totala tillskrivna utsläpp</v>
      </c>
      <c r="F1217" s="2074"/>
      <c r="G1217" s="2074"/>
      <c r="H1217" s="710" t="str">
        <f>EUconst_tCO2epa</f>
        <v>t CO2e/år</v>
      </c>
      <c r="I1217" s="735" t="str">
        <f>[1]K_Summary!I1207</f>
        <v/>
      </c>
      <c r="J1217" s="736" t="str">
        <f>[1]K_Summary!J1207</f>
        <v/>
      </c>
      <c r="K1217" s="736" t="str">
        <f>[1]K_Summary!K1207</f>
        <v/>
      </c>
      <c r="L1217" s="736" t="str">
        <f>[1]K_Summary!L1207</f>
        <v/>
      </c>
      <c r="M1217" s="737" t="str">
        <f>[1]K_Summary!M1207</f>
        <v/>
      </c>
      <c r="N1217" s="623"/>
    </row>
    <row r="1218" spans="2:14" ht="5.15" customHeight="1" x14ac:dyDescent="0.25">
      <c r="B1218" s="15"/>
      <c r="C1218" s="15"/>
      <c r="D1218" s="15"/>
      <c r="E1218" s="416"/>
      <c r="F1218" s="416"/>
      <c r="G1218" s="416"/>
      <c r="H1218" s="416"/>
      <c r="I1218" s="738"/>
      <c r="J1218" s="738"/>
      <c r="K1218" s="738"/>
      <c r="L1218" s="738"/>
      <c r="M1218" s="738"/>
      <c r="N1218" s="416"/>
    </row>
    <row r="1219" spans="2:14" x14ac:dyDescent="0.25">
      <c r="B1219" s="15"/>
      <c r="C1219" s="15"/>
      <c r="D1219" s="15"/>
      <c r="E1219" s="2087" t="str">
        <f>Translations!$B$571</f>
        <v>Insatsbränsle</v>
      </c>
      <c r="F1219" s="2087"/>
      <c r="G1219" s="2087"/>
      <c r="H1219" s="1606" t="str">
        <f>EUconst_TJpa</f>
        <v>TJ / år</v>
      </c>
      <c r="I1219" s="739" t="str">
        <f>[1]K_Summary!I1209</f>
        <v/>
      </c>
      <c r="J1219" s="739" t="str">
        <f>[1]K_Summary!J1209</f>
        <v/>
      </c>
      <c r="K1219" s="739" t="str">
        <f>[1]K_Summary!K1209</f>
        <v/>
      </c>
      <c r="L1219" s="739" t="str">
        <f>[1]K_Summary!L1209</f>
        <v/>
      </c>
      <c r="M1219" s="739" t="str">
        <f>[1]K_Summary!M1209</f>
        <v/>
      </c>
      <c r="N1219" s="623"/>
    </row>
    <row r="1220" spans="2:14" ht="12.75" customHeight="1" x14ac:dyDescent="0.25">
      <c r="B1220" s="15"/>
      <c r="C1220" s="15"/>
      <c r="D1220" s="15"/>
      <c r="E1220" s="2088" t="str">
        <f>Translations!$B$572</f>
        <v>Viktad emissionsfaktor</v>
      </c>
      <c r="F1220" s="2088"/>
      <c r="G1220" s="2088"/>
      <c r="H1220" s="624" t="str">
        <f>EUconst_tCO2pTJ</f>
        <v>t CO2 / TJ</v>
      </c>
      <c r="I1220" s="740" t="str">
        <f>[1]K_Summary!I1210</f>
        <v/>
      </c>
      <c r="J1220" s="740" t="str">
        <f>[1]K_Summary!J1210</f>
        <v/>
      </c>
      <c r="K1220" s="740" t="str">
        <f>[1]K_Summary!K1210</f>
        <v/>
      </c>
      <c r="L1220" s="740" t="str">
        <f>[1]K_Summary!L1210</f>
        <v/>
      </c>
      <c r="M1220" s="740" t="str">
        <f>[1]K_Summary!M1210</f>
        <v/>
      </c>
      <c r="N1220" s="623"/>
    </row>
    <row r="1221" spans="2:14" ht="12.75" customHeight="1" x14ac:dyDescent="0.25">
      <c r="B1221" s="15"/>
      <c r="C1221" s="15"/>
      <c r="D1221" s="15"/>
      <c r="E1221" s="2087" t="str">
        <f>Translations!$B$688</f>
        <v>Insatsbränsle från restgaser</v>
      </c>
      <c r="F1221" s="2087"/>
      <c r="G1221" s="2087"/>
      <c r="H1221" s="1606" t="str">
        <f>EUconst_TJpa</f>
        <v>TJ / år</v>
      </c>
      <c r="I1221" s="739" t="str">
        <f>[1]K_Summary!I1211</f>
        <v/>
      </c>
      <c r="J1221" s="739" t="str">
        <f>[1]K_Summary!J1211</f>
        <v/>
      </c>
      <c r="K1221" s="739" t="str">
        <f>[1]K_Summary!K1211</f>
        <v/>
      </c>
      <c r="L1221" s="739" t="str">
        <f>[1]K_Summary!L1211</f>
        <v/>
      </c>
      <c r="M1221" s="739" t="str">
        <f>[1]K_Summary!M1211</f>
        <v/>
      </c>
      <c r="N1221" s="623"/>
    </row>
    <row r="1222" spans="2:14" ht="12.75" customHeight="1" x14ac:dyDescent="0.25">
      <c r="B1222" s="15"/>
      <c r="C1222" s="15"/>
      <c r="D1222" s="15"/>
      <c r="E1222" s="2088" t="str">
        <f>Translations!$B$572</f>
        <v>Viktad emissionsfaktor</v>
      </c>
      <c r="F1222" s="2088"/>
      <c r="G1222" s="2088"/>
      <c r="H1222" s="624" t="str">
        <f>EUconst_tCO2pTJ</f>
        <v>t CO2 / TJ</v>
      </c>
      <c r="I1222" s="740" t="str">
        <f>[1]K_Summary!I1212</f>
        <v/>
      </c>
      <c r="J1222" s="740" t="str">
        <f>[1]K_Summary!J1212</f>
        <v/>
      </c>
      <c r="K1222" s="740" t="str">
        <f>[1]K_Summary!K1212</f>
        <v/>
      </c>
      <c r="L1222" s="740" t="str">
        <f>[1]K_Summary!L1212</f>
        <v/>
      </c>
      <c r="M1222" s="740" t="str">
        <f>[1]K_Summary!M1212</f>
        <v/>
      </c>
      <c r="N1222" s="623"/>
    </row>
    <row r="1223" spans="2:14" ht="5.15" customHeight="1" x14ac:dyDescent="0.25">
      <c r="B1223" s="15"/>
      <c r="C1223" s="15"/>
      <c r="D1223" s="15"/>
      <c r="E1223" s="416"/>
      <c r="F1223" s="623"/>
      <c r="G1223" s="623"/>
      <c r="H1223" s="623"/>
      <c r="I1223" s="741"/>
      <c r="J1223" s="741"/>
      <c r="K1223" s="741"/>
      <c r="L1223" s="741"/>
      <c r="M1223" s="741"/>
      <c r="N1223" s="623"/>
    </row>
    <row r="1224" spans="2:14" ht="12.75" customHeight="1" x14ac:dyDescent="0.25">
      <c r="B1224" s="15"/>
      <c r="C1224" s="15"/>
      <c r="D1224" s="15"/>
      <c r="E1224" s="2080" t="str">
        <f>Translations!$B$528</f>
        <v>Direkta utsläpp</v>
      </c>
      <c r="F1224" s="2080"/>
      <c r="G1224" s="2080"/>
      <c r="H1224" s="363" t="str">
        <f>EUconst_tCO2pa</f>
        <v>t CO2 / år</v>
      </c>
      <c r="I1224" s="742" t="str">
        <f>[1]K_Summary!I1214</f>
        <v/>
      </c>
      <c r="J1224" s="742" t="str">
        <f>[1]K_Summary!J1214</f>
        <v/>
      </c>
      <c r="K1224" s="742" t="str">
        <f>[1]K_Summary!K1214</f>
        <v/>
      </c>
      <c r="L1224" s="742" t="str">
        <f>[1]K_Summary!L1214</f>
        <v/>
      </c>
      <c r="M1224" s="742" t="str">
        <f>[1]K_Summary!M1214</f>
        <v/>
      </c>
      <c r="N1224" s="623"/>
    </row>
    <row r="1225" spans="2:14" ht="5.15" customHeight="1" x14ac:dyDescent="0.25">
      <c r="B1225" s="15"/>
      <c r="C1225" s="15"/>
      <c r="D1225" s="15"/>
      <c r="E1225" s="416"/>
      <c r="F1225" s="416"/>
      <c r="G1225" s="416"/>
      <c r="H1225" s="416"/>
      <c r="I1225" s="741"/>
      <c r="J1225" s="741"/>
      <c r="K1225" s="741"/>
      <c r="L1225" s="741"/>
      <c r="M1225" s="741"/>
      <c r="N1225" s="623"/>
    </row>
    <row r="1226" spans="2:14" ht="12.75" customHeight="1" x14ac:dyDescent="0.25">
      <c r="B1226" s="15"/>
      <c r="C1226" s="15"/>
      <c r="D1226" s="15"/>
      <c r="E1226" s="2080" t="str">
        <f>Translations!$B$610</f>
        <v>Nettomängd exporterad värme</v>
      </c>
      <c r="F1226" s="2080"/>
      <c r="G1226" s="2080"/>
      <c r="H1226" s="363" t="str">
        <f>EUconst_TJpa</f>
        <v>TJ / år</v>
      </c>
      <c r="I1226" s="742" t="str">
        <f>[1]K_Summary!I1216</f>
        <v/>
      </c>
      <c r="J1226" s="742" t="str">
        <f>[1]K_Summary!J1216</f>
        <v/>
      </c>
      <c r="K1226" s="742" t="str">
        <f>[1]K_Summary!K1216</f>
        <v/>
      </c>
      <c r="L1226" s="742" t="str">
        <f>[1]K_Summary!L1216</f>
        <v/>
      </c>
      <c r="M1226" s="742" t="str">
        <f>[1]K_Summary!M1216</f>
        <v/>
      </c>
      <c r="N1226" s="623"/>
    </row>
    <row r="1227" spans="2:14" ht="12.75" customHeight="1" x14ac:dyDescent="0.25">
      <c r="B1227" s="15"/>
      <c r="C1227" s="15"/>
      <c r="D1227" s="15"/>
      <c r="E1227" s="2080" t="str">
        <f>Translations!$B$720</f>
        <v>Särskild emissionsfaktor (värmeexport)</v>
      </c>
      <c r="F1227" s="2080"/>
      <c r="G1227" s="2080"/>
      <c r="H1227" s="363" t="str">
        <f>EUconst_TJpa</f>
        <v>TJ / år</v>
      </c>
      <c r="I1227" s="742" t="str">
        <f>[1]K_Summary!I1217</f>
        <v/>
      </c>
      <c r="J1227" s="742" t="str">
        <f>[1]K_Summary!J1217</f>
        <v/>
      </c>
      <c r="K1227" s="742" t="str">
        <f>[1]K_Summary!K1217</f>
        <v/>
      </c>
      <c r="L1227" s="742" t="str">
        <f>[1]K_Summary!L1217</f>
        <v/>
      </c>
      <c r="M1227" s="742" t="str">
        <f>[1]K_Summary!M1217</f>
        <v/>
      </c>
      <c r="N1227" s="623"/>
    </row>
    <row r="1228" spans="2:14" ht="12.75" customHeight="1" x14ac:dyDescent="0.25">
      <c r="B1228" s="15"/>
      <c r="C1228" s="15"/>
      <c r="D1228" s="15"/>
      <c r="E1228" s="623"/>
      <c r="F1228" s="623"/>
      <c r="G1228" s="623"/>
      <c r="H1228" s="623"/>
      <c r="I1228" s="623"/>
      <c r="J1228" s="623"/>
      <c r="K1228" s="623"/>
      <c r="L1228" s="623"/>
      <c r="M1228" s="623"/>
      <c r="N1228" s="623"/>
    </row>
    <row r="1229" spans="2:14" ht="13" thickBot="1" x14ac:dyDescent="0.3">
      <c r="B1229" s="15"/>
      <c r="C1229" s="15"/>
      <c r="D1229" s="15"/>
      <c r="E1229" s="15"/>
      <c r="F1229" s="15"/>
      <c r="G1229" s="15"/>
      <c r="H1229" s="534"/>
      <c r="I1229" s="534"/>
      <c r="J1229" s="534"/>
      <c r="K1229" s="534"/>
      <c r="L1229" s="534"/>
      <c r="M1229" s="15"/>
      <c r="N1229" s="15"/>
    </row>
    <row r="1230" spans="2:14" ht="12.75" customHeight="1" thickBot="1" x14ac:dyDescent="0.3">
      <c r="B1230" s="3"/>
      <c r="C1230" s="230"/>
      <c r="D1230" s="230"/>
      <c r="E1230" s="230"/>
      <c r="F1230" s="230"/>
      <c r="G1230" s="230"/>
      <c r="H1230" s="230"/>
      <c r="I1230" s="230"/>
      <c r="J1230" s="230"/>
      <c r="K1230" s="230"/>
      <c r="L1230" s="230"/>
      <c r="M1230" s="230"/>
      <c r="N1230" s="230"/>
    </row>
    <row r="1231" spans="2:14" ht="15" customHeight="1" thickBot="1" x14ac:dyDescent="0.35">
      <c r="B1231" s="15"/>
      <c r="C1231" s="17">
        <v>15</v>
      </c>
      <c r="D1231" s="2053" t="str">
        <f>Euconst_FallBackSub &amp; " " &amp; C1231-10 &amp; ":"</f>
        <v>”Fall-back”-delanläggning 5:</v>
      </c>
      <c r="E1231" s="2053"/>
      <c r="F1231" s="2053"/>
      <c r="G1231" s="2053"/>
      <c r="H1231" s="2081"/>
      <c r="I1231" s="2082" t="str">
        <f>[1]K_Summary!I1221</f>
        <v>Fuel benchmark sub-installation, non-CL</v>
      </c>
      <c r="J1231" s="2083"/>
      <c r="K1231" s="2083"/>
      <c r="L1231" s="2084"/>
      <c r="M1231" s="2085" t="str">
        <f>[1]K_Summary!M1221</f>
        <v/>
      </c>
      <c r="N1231" s="2086"/>
    </row>
    <row r="1232" spans="2:14" ht="5.15" customHeight="1" thickBot="1" x14ac:dyDescent="0.3">
      <c r="B1232" s="15"/>
      <c r="C1232" s="15"/>
      <c r="D1232" s="15"/>
      <c r="E1232" s="15"/>
      <c r="F1232" s="15"/>
      <c r="G1232" s="15"/>
      <c r="H1232" s="15"/>
      <c r="I1232" s="15"/>
      <c r="J1232" s="15"/>
      <c r="K1232" s="15"/>
      <c r="L1232" s="15"/>
      <c r="M1232" s="15"/>
      <c r="N1232" s="15"/>
    </row>
    <row r="1233" spans="2:16" x14ac:dyDescent="0.25">
      <c r="B1233" s="15"/>
      <c r="C1233" s="15"/>
      <c r="D1233" s="15"/>
      <c r="E1233" s="15"/>
      <c r="F1233" s="15"/>
      <c r="G1233" s="15"/>
      <c r="H1233" s="506" t="str">
        <f>Translations!$B$1022</f>
        <v>KL-risk</v>
      </c>
      <c r="I1233" s="507" t="str">
        <f>Translations!$B$1026</f>
        <v>I drift</v>
      </c>
      <c r="J1233" s="507" t="str">
        <f>Translations!$B$1030</f>
        <v>15(7).3?</v>
      </c>
      <c r="K1233" s="507" t="str">
        <f>Translations!$B$1032</f>
        <v>15(7).3 HAL</v>
      </c>
      <c r="L1233" s="612" t="str">
        <f>Translations!$B$1024</f>
        <v>RM-nummer</v>
      </c>
      <c r="M1233" s="786" t="str">
        <f>Translations!$B$1052</f>
        <v>RM-värde (min./max./faktiskt)</v>
      </c>
      <c r="N1233" s="787"/>
    </row>
    <row r="1234" spans="2:16" x14ac:dyDescent="0.25">
      <c r="B1234" s="15"/>
      <c r="C1234" s="15"/>
      <c r="D1234" s="15"/>
      <c r="E1234" s="508" t="str">
        <f>[1]K_Summary!E1224</f>
        <v>Fuel benchmark sub-installation, non-CL</v>
      </c>
      <c r="F1234" s="509"/>
      <c r="G1234" s="464"/>
      <c r="H1234" s="510" t="b">
        <f>[1]K_Summary!H1224</f>
        <v>0</v>
      </c>
      <c r="I1234" s="642" t="str">
        <f>[1]K_Summary!I1224</f>
        <v/>
      </c>
      <c r="J1234" s="511" t="str">
        <f>[1]K_Summary!J1224</f>
        <v/>
      </c>
      <c r="K1234" s="421" t="str">
        <f>[1]K_Summary!K1224</f>
        <v/>
      </c>
      <c r="L1234" s="641">
        <f>[1]K_Summary!L1224</f>
        <v>5</v>
      </c>
      <c r="M1234" s="790" t="str">
        <f>[1]K_Summary!M1224</f>
        <v/>
      </c>
      <c r="N1234" s="788" t="str">
        <f>EUconst_EUA &amp; "/" &amp; H1239</f>
        <v>EUA/TJ</v>
      </c>
    </row>
    <row r="1235" spans="2:16" x14ac:dyDescent="0.25">
      <c r="B1235" s="15"/>
      <c r="C1235" s="15"/>
      <c r="D1235" s="534"/>
      <c r="E1235" s="534"/>
      <c r="F1235" s="534"/>
      <c r="G1235" s="534"/>
      <c r="H1235" s="534"/>
      <c r="I1235" s="534"/>
      <c r="J1235" s="534"/>
      <c r="K1235" s="534"/>
      <c r="L1235" s="534"/>
      <c r="M1235" s="790" t="str">
        <f>[1]K_Summary!M1225</f>
        <v/>
      </c>
      <c r="N1235" s="788" t="str">
        <f>EUconst_EUA &amp; "/" &amp; H1239</f>
        <v>EUA/TJ</v>
      </c>
    </row>
    <row r="1236" spans="2:16" ht="13" thickBot="1" x14ac:dyDescent="0.3">
      <c r="B1236" s="15"/>
      <c r="C1236" s="15"/>
      <c r="D1236" s="534"/>
      <c r="E1236" s="534"/>
      <c r="F1236" s="534"/>
      <c r="G1236" s="534"/>
      <c r="H1236" s="534"/>
      <c r="I1236" s="534"/>
      <c r="J1236" s="534"/>
      <c r="K1236" s="534"/>
      <c r="L1236" s="534"/>
      <c r="M1236" s="791" t="str">
        <f>[1]K_Summary!M1226</f>
        <v/>
      </c>
      <c r="N1236" s="789" t="str">
        <f>EUconst_EUA &amp; "/" &amp; H1239</f>
        <v>EUA/TJ</v>
      </c>
      <c r="P1236" s="1903" t="b">
        <f>IF(ISNUMBER(M1236),INDEX(EUconst_FallBackListBMvalues,L1234)&lt;&gt;M1236,FALSE)</f>
        <v>0</v>
      </c>
    </row>
    <row r="1237" spans="2:16" ht="5.15" customHeight="1" x14ac:dyDescent="0.25">
      <c r="B1237" s="15"/>
      <c r="C1237" s="15"/>
      <c r="D1237" s="15"/>
      <c r="E1237" s="15"/>
      <c r="F1237" s="15"/>
      <c r="G1237" s="15"/>
      <c r="H1237" s="15"/>
      <c r="I1237" s="15"/>
      <c r="J1237" s="15"/>
      <c r="K1237" s="15"/>
      <c r="L1237" s="15"/>
      <c r="M1237" s="15"/>
      <c r="N1237" s="15"/>
    </row>
    <row r="1238" spans="2:16" ht="13" x14ac:dyDescent="0.25">
      <c r="B1238" s="15"/>
      <c r="C1238" s="15"/>
      <c r="D1238" s="15"/>
      <c r="E1238" s="188"/>
      <c r="F1238" s="188"/>
      <c r="G1238" s="512"/>
      <c r="H1238" s="506" t="str">
        <f>Translations!$B$1014</f>
        <v>Enhet</v>
      </c>
      <c r="I1238" s="350">
        <v>2014</v>
      </c>
      <c r="J1238" s="350">
        <v>2015</v>
      </c>
      <c r="K1238" s="350">
        <v>2016</v>
      </c>
      <c r="L1238" s="350">
        <v>2017</v>
      </c>
      <c r="M1238" s="350">
        <v>2018</v>
      </c>
      <c r="N1238" s="15"/>
    </row>
    <row r="1239" spans="2:16" x14ac:dyDescent="0.25">
      <c r="B1239" s="15"/>
      <c r="C1239" s="15"/>
      <c r="D1239" s="15"/>
      <c r="E1239" s="513" t="str">
        <f>Translations!$B$1054</f>
        <v>Rapporterad HAL (historisk verksamhetsnivå)</v>
      </c>
      <c r="F1239" s="514"/>
      <c r="G1239" s="515"/>
      <c r="H1239" s="510" t="str">
        <f>[1]K_Summary!H1229</f>
        <v>TJ</v>
      </c>
      <c r="I1239" s="421" t="str">
        <f>[1]K_Summary!I1229</f>
        <v/>
      </c>
      <c r="J1239" s="421" t="str">
        <f>[1]K_Summary!J1229</f>
        <v/>
      </c>
      <c r="K1239" s="421" t="str">
        <f>[1]K_Summary!K1229</f>
        <v/>
      </c>
      <c r="L1239" s="421" t="str">
        <f>[1]K_Summary!L1229</f>
        <v/>
      </c>
      <c r="M1239" s="421" t="str">
        <f>[1]K_Summary!M1229</f>
        <v/>
      </c>
      <c r="N1239" s="507" t="str">
        <f>Translations!$B$1042</f>
        <v>Genomsnitt</v>
      </c>
    </row>
    <row r="1240" spans="2:16" x14ac:dyDescent="0.25">
      <c r="B1240" s="15"/>
      <c r="C1240" s="15"/>
      <c r="D1240" s="15"/>
      <c r="E1240" s="513" t="str">
        <f>Translations!$B$1055</f>
        <v>Värden som används för HAL-beräkning:</v>
      </c>
      <c r="F1240" s="514"/>
      <c r="G1240" s="515"/>
      <c r="H1240" s="510" t="str">
        <f>[1]K_Summary!H1230</f>
        <v>TJ</v>
      </c>
      <c r="I1240" s="346" t="str">
        <f>[1]K_Summary!I1230</f>
        <v/>
      </c>
      <c r="J1240" s="346" t="str">
        <f>[1]K_Summary!J1230</f>
        <v/>
      </c>
      <c r="K1240" s="346" t="str">
        <f>[1]K_Summary!K1230</f>
        <v/>
      </c>
      <c r="L1240" s="346" t="str">
        <f>[1]K_Summary!L1230</f>
        <v/>
      </c>
      <c r="M1240" s="346" t="str">
        <f>[1]K_Summary!M1230</f>
        <v/>
      </c>
      <c r="N1240" s="421" t="str">
        <f>[1]K_Summary!N1230</f>
        <v/>
      </c>
    </row>
    <row r="1241" spans="2:16" ht="5.15" customHeight="1" x14ac:dyDescent="0.25">
      <c r="B1241" s="15"/>
      <c r="C1241" s="15"/>
      <c r="D1241" s="15"/>
      <c r="E1241" s="15"/>
      <c r="F1241" s="15"/>
      <c r="G1241" s="15"/>
      <c r="H1241" s="15"/>
      <c r="I1241" s="15"/>
      <c r="J1241" s="15"/>
      <c r="K1241" s="15"/>
      <c r="L1241" s="15"/>
      <c r="M1241" s="15"/>
      <c r="N1241" s="15"/>
    </row>
    <row r="1242" spans="2:16" ht="13" thickBot="1" x14ac:dyDescent="0.3">
      <c r="B1242" s="15"/>
      <c r="C1242" s="15"/>
      <c r="D1242" s="15"/>
      <c r="E1242" s="15"/>
      <c r="F1242" s="516" t="s">
        <v>1385</v>
      </c>
      <c r="G1242" s="618"/>
      <c r="H1242" s="15"/>
      <c r="I1242" s="617" t="str">
        <f>Translations!$B$1044</f>
        <v>Prel. tilldelning år 1 (min.)</v>
      </c>
      <c r="J1242" s="618"/>
      <c r="K1242" s="617" t="str">
        <f>Translations!$B$1047</f>
        <v>Prel. tilldelning år 1 (max.)</v>
      </c>
      <c r="L1242" s="618"/>
      <c r="M1242" s="617" t="str">
        <f>Translations!$B$1049</f>
        <v>Prel. tilldelning år 1 (faktisk)</v>
      </c>
      <c r="N1242" s="618"/>
    </row>
    <row r="1243" spans="2:16" ht="13.5" thickBot="1" x14ac:dyDescent="0.3">
      <c r="B1243" s="15"/>
      <c r="C1243" s="15"/>
      <c r="D1243" s="15"/>
      <c r="E1243" s="15"/>
      <c r="F1243" s="517" t="str">
        <f>[1]K_Summary!F1233</f>
        <v/>
      </c>
      <c r="G1243" s="709" t="str">
        <f>EUconst_TJpa</f>
        <v>TJ / år</v>
      </c>
      <c r="H1243" s="15"/>
      <c r="I1243" s="616" t="str">
        <f>[1]K_Summary!I1233</f>
        <v/>
      </c>
      <c r="J1243" s="709" t="str">
        <f>EUconst_EUApa</f>
        <v>EUA / år</v>
      </c>
      <c r="K1243" s="616" t="str">
        <f>[1]K_Summary!K1233</f>
        <v/>
      </c>
      <c r="L1243" s="709" t="str">
        <f>EUconst_EUApa</f>
        <v>EUA / år</v>
      </c>
      <c r="M1243" s="616" t="str">
        <f>[1]K_Summary!M1233</f>
        <v/>
      </c>
      <c r="N1243" s="709" t="str">
        <f>EUconst_EUApa</f>
        <v>EUA / år</v>
      </c>
    </row>
    <row r="1244" spans="2:16" x14ac:dyDescent="0.25">
      <c r="B1244" s="15"/>
      <c r="C1244" s="15"/>
      <c r="D1244" s="15"/>
      <c r="E1244" s="15"/>
      <c r="F1244" s="15"/>
      <c r="G1244" s="15"/>
      <c r="H1244" s="15"/>
      <c r="I1244" s="15"/>
      <c r="J1244" s="15"/>
      <c r="K1244" s="15"/>
      <c r="L1244" s="15"/>
      <c r="M1244" s="15"/>
      <c r="N1244" s="15"/>
    </row>
    <row r="1245" spans="2:16" ht="12.75" customHeight="1" x14ac:dyDescent="0.25">
      <c r="B1245" s="15"/>
      <c r="C1245" s="15"/>
      <c r="D1245" s="15"/>
      <c r="E1245" s="416"/>
      <c r="F1245" s="623"/>
      <c r="G1245" s="623"/>
      <c r="H1245" s="623"/>
      <c r="I1245" s="623"/>
      <c r="J1245" s="623"/>
      <c r="K1245" s="623"/>
      <c r="L1245" s="623"/>
      <c r="M1245" s="623"/>
      <c r="N1245" s="623"/>
    </row>
    <row r="1246" spans="2:16" ht="13.5" thickBot="1" x14ac:dyDescent="0.3">
      <c r="B1246" s="15"/>
      <c r="C1246" s="15"/>
      <c r="D1246" s="15"/>
      <c r="E1246" s="416"/>
      <c r="F1246" s="623"/>
      <c r="G1246" s="623"/>
      <c r="H1246" s="415" t="str">
        <f>Translations!$B$1014</f>
        <v>Enhet</v>
      </c>
      <c r="I1246" s="743">
        <v>2014</v>
      </c>
      <c r="J1246" s="625">
        <v>2015</v>
      </c>
      <c r="K1246" s="625">
        <v>2016</v>
      </c>
      <c r="L1246" s="625">
        <v>2017</v>
      </c>
      <c r="M1246" s="625">
        <v>2018</v>
      </c>
      <c r="N1246" s="623"/>
    </row>
    <row r="1247" spans="2:16" ht="13.5" customHeight="1" thickBot="1" x14ac:dyDescent="0.3">
      <c r="B1247" s="15"/>
      <c r="C1247" s="15"/>
      <c r="D1247" s="15"/>
      <c r="E1247" s="2074" t="str">
        <f>Translations!$B$1056</f>
        <v>Totala tillskrivna utsläpp</v>
      </c>
      <c r="F1247" s="2074"/>
      <c r="G1247" s="2074"/>
      <c r="H1247" s="710" t="str">
        <f>EUconst_tCO2epa</f>
        <v>t CO2e/år</v>
      </c>
      <c r="I1247" s="735" t="str">
        <f>[1]K_Summary!I1237</f>
        <v/>
      </c>
      <c r="J1247" s="736" t="str">
        <f>[1]K_Summary!J1237</f>
        <v/>
      </c>
      <c r="K1247" s="736" t="str">
        <f>[1]K_Summary!K1237</f>
        <v/>
      </c>
      <c r="L1247" s="736" t="str">
        <f>[1]K_Summary!L1237</f>
        <v/>
      </c>
      <c r="M1247" s="737" t="str">
        <f>[1]K_Summary!M1237</f>
        <v/>
      </c>
      <c r="N1247" s="623"/>
    </row>
    <row r="1248" spans="2:16" ht="5.15" customHeight="1" x14ac:dyDescent="0.25">
      <c r="B1248" s="15"/>
      <c r="C1248" s="15"/>
      <c r="D1248" s="15"/>
      <c r="E1248" s="416"/>
      <c r="F1248" s="416"/>
      <c r="G1248" s="416"/>
      <c r="H1248" s="416"/>
      <c r="I1248" s="738"/>
      <c r="J1248" s="738"/>
      <c r="K1248" s="738"/>
      <c r="L1248" s="738"/>
      <c r="M1248" s="738"/>
      <c r="N1248" s="416"/>
    </row>
    <row r="1249" spans="2:14" x14ac:dyDescent="0.25">
      <c r="B1249" s="15"/>
      <c r="C1249" s="15"/>
      <c r="D1249" s="15"/>
      <c r="E1249" s="2087" t="str">
        <f>Translations!$B$571</f>
        <v>Insatsbränsle</v>
      </c>
      <c r="F1249" s="2087"/>
      <c r="G1249" s="2087"/>
      <c r="H1249" s="1606" t="str">
        <f>EUconst_TJpa</f>
        <v>TJ / år</v>
      </c>
      <c r="I1249" s="739" t="str">
        <f>[1]K_Summary!I1239</f>
        <v/>
      </c>
      <c r="J1249" s="739" t="str">
        <f>[1]K_Summary!J1239</f>
        <v/>
      </c>
      <c r="K1249" s="739" t="str">
        <f>[1]K_Summary!K1239</f>
        <v/>
      </c>
      <c r="L1249" s="739" t="str">
        <f>[1]K_Summary!L1239</f>
        <v/>
      </c>
      <c r="M1249" s="739" t="str">
        <f>[1]K_Summary!M1239</f>
        <v/>
      </c>
      <c r="N1249" s="623"/>
    </row>
    <row r="1250" spans="2:14" ht="12.75" customHeight="1" x14ac:dyDescent="0.25">
      <c r="B1250" s="15"/>
      <c r="C1250" s="15"/>
      <c r="D1250" s="15"/>
      <c r="E1250" s="2088" t="str">
        <f>Translations!$B$572</f>
        <v>Viktad emissionsfaktor</v>
      </c>
      <c r="F1250" s="2088"/>
      <c r="G1250" s="2088"/>
      <c r="H1250" s="624" t="str">
        <f>EUconst_tCO2pTJ</f>
        <v>t CO2 / TJ</v>
      </c>
      <c r="I1250" s="740" t="str">
        <f>[1]K_Summary!I1240</f>
        <v/>
      </c>
      <c r="J1250" s="740" t="str">
        <f>[1]K_Summary!J1240</f>
        <v/>
      </c>
      <c r="K1250" s="740" t="str">
        <f>[1]K_Summary!K1240</f>
        <v/>
      </c>
      <c r="L1250" s="740" t="str">
        <f>[1]K_Summary!L1240</f>
        <v/>
      </c>
      <c r="M1250" s="740" t="str">
        <f>[1]K_Summary!M1240</f>
        <v/>
      </c>
      <c r="N1250" s="623"/>
    </row>
    <row r="1251" spans="2:14" ht="12.75" customHeight="1" x14ac:dyDescent="0.25">
      <c r="B1251" s="15"/>
      <c r="C1251" s="15"/>
      <c r="D1251" s="15"/>
      <c r="E1251" s="2087" t="str">
        <f>Translations!$B$688</f>
        <v>Insatsbränsle från restgaser</v>
      </c>
      <c r="F1251" s="2087"/>
      <c r="G1251" s="2087"/>
      <c r="H1251" s="1606" t="str">
        <f>EUconst_TJpa</f>
        <v>TJ / år</v>
      </c>
      <c r="I1251" s="739" t="str">
        <f>[1]K_Summary!I1241</f>
        <v/>
      </c>
      <c r="J1251" s="739" t="str">
        <f>[1]K_Summary!J1241</f>
        <v/>
      </c>
      <c r="K1251" s="739" t="str">
        <f>[1]K_Summary!K1241</f>
        <v/>
      </c>
      <c r="L1251" s="739" t="str">
        <f>[1]K_Summary!L1241</f>
        <v/>
      </c>
      <c r="M1251" s="739" t="str">
        <f>[1]K_Summary!M1241</f>
        <v/>
      </c>
      <c r="N1251" s="623"/>
    </row>
    <row r="1252" spans="2:14" ht="12.75" customHeight="1" x14ac:dyDescent="0.25">
      <c r="B1252" s="15"/>
      <c r="C1252" s="15"/>
      <c r="D1252" s="15"/>
      <c r="E1252" s="2088" t="str">
        <f>Translations!$B$572</f>
        <v>Viktad emissionsfaktor</v>
      </c>
      <c r="F1252" s="2088"/>
      <c r="G1252" s="2088"/>
      <c r="H1252" s="624" t="str">
        <f>EUconst_tCO2pTJ</f>
        <v>t CO2 / TJ</v>
      </c>
      <c r="I1252" s="740" t="str">
        <f>[1]K_Summary!I1242</f>
        <v/>
      </c>
      <c r="J1252" s="740" t="str">
        <f>[1]K_Summary!J1242</f>
        <v/>
      </c>
      <c r="K1252" s="740" t="str">
        <f>[1]K_Summary!K1242</f>
        <v/>
      </c>
      <c r="L1252" s="740" t="str">
        <f>[1]K_Summary!L1242</f>
        <v/>
      </c>
      <c r="M1252" s="740" t="str">
        <f>[1]K_Summary!M1242</f>
        <v/>
      </c>
      <c r="N1252" s="623"/>
    </row>
    <row r="1253" spans="2:14" ht="5.15" customHeight="1" x14ac:dyDescent="0.25">
      <c r="B1253" s="15"/>
      <c r="C1253" s="15"/>
      <c r="D1253" s="15"/>
      <c r="E1253" s="416"/>
      <c r="F1253" s="623"/>
      <c r="G1253" s="623"/>
      <c r="H1253" s="623"/>
      <c r="I1253" s="741"/>
      <c r="J1253" s="741"/>
      <c r="K1253" s="741"/>
      <c r="L1253" s="741"/>
      <c r="M1253" s="741"/>
      <c r="N1253" s="623"/>
    </row>
    <row r="1254" spans="2:14" ht="12.75" customHeight="1" x14ac:dyDescent="0.25">
      <c r="B1254" s="15"/>
      <c r="C1254" s="15"/>
      <c r="D1254" s="15"/>
      <c r="E1254" s="2080" t="str">
        <f>Translations!$B$528</f>
        <v>Direkta utsläpp</v>
      </c>
      <c r="F1254" s="2080"/>
      <c r="G1254" s="2080"/>
      <c r="H1254" s="363" t="str">
        <f>EUconst_tCO2pa</f>
        <v>t CO2 / år</v>
      </c>
      <c r="I1254" s="742" t="str">
        <f>[1]K_Summary!I1244</f>
        <v/>
      </c>
      <c r="J1254" s="742" t="str">
        <f>[1]K_Summary!J1244</f>
        <v/>
      </c>
      <c r="K1254" s="742" t="str">
        <f>[1]K_Summary!K1244</f>
        <v/>
      </c>
      <c r="L1254" s="742" t="str">
        <f>[1]K_Summary!L1244</f>
        <v/>
      </c>
      <c r="M1254" s="742" t="str">
        <f>[1]K_Summary!M1244</f>
        <v/>
      </c>
      <c r="N1254" s="623"/>
    </row>
    <row r="1255" spans="2:14" ht="5.15" customHeight="1" x14ac:dyDescent="0.25">
      <c r="B1255" s="15"/>
      <c r="C1255" s="15"/>
      <c r="D1255" s="15"/>
      <c r="E1255" s="416"/>
      <c r="F1255" s="416"/>
      <c r="G1255" s="416"/>
      <c r="H1255" s="416"/>
      <c r="I1255" s="741"/>
      <c r="J1255" s="741"/>
      <c r="K1255" s="741"/>
      <c r="L1255" s="741"/>
      <c r="M1255" s="741"/>
      <c r="N1255" s="623"/>
    </row>
    <row r="1256" spans="2:14" ht="12.75" customHeight="1" x14ac:dyDescent="0.25">
      <c r="B1256" s="15"/>
      <c r="C1256" s="15"/>
      <c r="D1256" s="15"/>
      <c r="E1256" s="2080" t="str">
        <f>Translations!$B$610</f>
        <v>Nettomängd exporterad värme</v>
      </c>
      <c r="F1256" s="2080"/>
      <c r="G1256" s="2080"/>
      <c r="H1256" s="363" t="str">
        <f>EUconst_TJpa</f>
        <v>TJ / år</v>
      </c>
      <c r="I1256" s="742" t="str">
        <f>[1]K_Summary!I1246</f>
        <v/>
      </c>
      <c r="J1256" s="742" t="str">
        <f>[1]K_Summary!J1246</f>
        <v/>
      </c>
      <c r="K1256" s="742" t="str">
        <f>[1]K_Summary!K1246</f>
        <v/>
      </c>
      <c r="L1256" s="742" t="str">
        <f>[1]K_Summary!L1246</f>
        <v/>
      </c>
      <c r="M1256" s="742" t="str">
        <f>[1]K_Summary!M1246</f>
        <v/>
      </c>
      <c r="N1256" s="623"/>
    </row>
    <row r="1257" spans="2:14" ht="12.75" customHeight="1" x14ac:dyDescent="0.25">
      <c r="B1257" s="15"/>
      <c r="C1257" s="15"/>
      <c r="D1257" s="15"/>
      <c r="E1257" s="2080" t="str">
        <f>Translations!$B$720</f>
        <v>Särskild emissionsfaktor (värmeexport)</v>
      </c>
      <c r="F1257" s="2080"/>
      <c r="G1257" s="2080"/>
      <c r="H1257" s="363" t="str">
        <f>EUconst_TJpa</f>
        <v>TJ / år</v>
      </c>
      <c r="I1257" s="742" t="str">
        <f>[1]K_Summary!I1247</f>
        <v/>
      </c>
      <c r="J1257" s="742" t="str">
        <f>[1]K_Summary!J1247</f>
        <v/>
      </c>
      <c r="K1257" s="742" t="str">
        <f>[1]K_Summary!K1247</f>
        <v/>
      </c>
      <c r="L1257" s="742" t="str">
        <f>[1]K_Summary!L1247</f>
        <v/>
      </c>
      <c r="M1257" s="742" t="str">
        <f>[1]K_Summary!M1247</f>
        <v/>
      </c>
      <c r="N1257" s="623"/>
    </row>
    <row r="1258" spans="2:14" ht="12.75" customHeight="1" x14ac:dyDescent="0.25">
      <c r="B1258" s="15"/>
      <c r="C1258" s="15"/>
      <c r="D1258" s="15"/>
      <c r="E1258" s="623"/>
      <c r="F1258" s="623"/>
      <c r="G1258" s="623"/>
      <c r="H1258" s="623"/>
      <c r="I1258" s="623"/>
      <c r="J1258" s="623"/>
      <c r="K1258" s="623"/>
      <c r="L1258" s="623"/>
      <c r="M1258" s="623"/>
      <c r="N1258" s="623"/>
    </row>
    <row r="1259" spans="2:14" ht="13" thickBot="1" x14ac:dyDescent="0.3">
      <c r="B1259" s="15"/>
      <c r="C1259" s="15"/>
      <c r="D1259" s="15"/>
      <c r="E1259" s="15"/>
      <c r="F1259" s="15"/>
      <c r="G1259" s="15"/>
      <c r="H1259" s="534"/>
      <c r="I1259" s="534"/>
      <c r="J1259" s="534"/>
      <c r="K1259" s="534"/>
      <c r="L1259" s="534"/>
      <c r="M1259" s="15"/>
      <c r="N1259" s="15"/>
    </row>
    <row r="1260" spans="2:14" ht="12.75" customHeight="1" thickBot="1" x14ac:dyDescent="0.3">
      <c r="B1260" s="3"/>
      <c r="C1260" s="230"/>
      <c r="D1260" s="230"/>
      <c r="E1260" s="230"/>
      <c r="F1260" s="230"/>
      <c r="G1260" s="230"/>
      <c r="H1260" s="230"/>
      <c r="I1260" s="230"/>
      <c r="J1260" s="230"/>
      <c r="K1260" s="230"/>
      <c r="L1260" s="230"/>
      <c r="M1260" s="230"/>
      <c r="N1260" s="230"/>
    </row>
    <row r="1261" spans="2:14" ht="15" customHeight="1" thickBot="1" x14ac:dyDescent="0.35">
      <c r="B1261" s="15"/>
      <c r="C1261" s="17">
        <v>16</v>
      </c>
      <c r="D1261" s="2053" t="str">
        <f>Euconst_FallBackSub &amp; " " &amp; C1261-10 &amp; ":"</f>
        <v>”Fall-back”-delanläggning 6:</v>
      </c>
      <c r="E1261" s="2053"/>
      <c r="F1261" s="2053"/>
      <c r="G1261" s="2053"/>
      <c r="H1261" s="2081"/>
      <c r="I1261" s="2082" t="str">
        <f>[1]K_Summary!I1251</f>
        <v>Process emissions sub-installation, CL</v>
      </c>
      <c r="J1261" s="2083"/>
      <c r="K1261" s="2083"/>
      <c r="L1261" s="2084"/>
      <c r="M1261" s="2085" t="str">
        <f>[1]K_Summary!M1251</f>
        <v/>
      </c>
      <c r="N1261" s="2086"/>
    </row>
    <row r="1262" spans="2:14" ht="5.15" customHeight="1" thickBot="1" x14ac:dyDescent="0.3">
      <c r="B1262" s="15"/>
      <c r="C1262" s="15"/>
      <c r="D1262" s="15"/>
      <c r="E1262" s="15"/>
      <c r="F1262" s="15"/>
      <c r="G1262" s="15"/>
      <c r="H1262" s="15"/>
      <c r="I1262" s="15"/>
      <c r="J1262" s="15"/>
      <c r="K1262" s="15"/>
      <c r="L1262" s="15"/>
      <c r="M1262" s="15"/>
      <c r="N1262" s="15"/>
    </row>
    <row r="1263" spans="2:14" x14ac:dyDescent="0.25">
      <c r="B1263" s="15"/>
      <c r="C1263" s="15"/>
      <c r="D1263" s="15"/>
      <c r="E1263" s="15"/>
      <c r="F1263" s="15"/>
      <c r="G1263" s="15"/>
      <c r="H1263" s="506" t="str">
        <f>Translations!$B$1022</f>
        <v>KL-risk</v>
      </c>
      <c r="I1263" s="507" t="str">
        <f>Translations!$B$1026</f>
        <v>I drift</v>
      </c>
      <c r="J1263" s="507" t="str">
        <f>Translations!$B$1030</f>
        <v>15(7).3?</v>
      </c>
      <c r="K1263" s="507" t="str">
        <f>Translations!$B$1032</f>
        <v>15(7).3 HAL</v>
      </c>
      <c r="L1263" s="612" t="str">
        <f>Translations!$B$1024</f>
        <v>RM-nummer</v>
      </c>
      <c r="M1263" s="786" t="str">
        <f>Translations!$B$1052</f>
        <v>RM-värde (min./max./faktiskt)</v>
      </c>
      <c r="N1263" s="787"/>
    </row>
    <row r="1264" spans="2:14" x14ac:dyDescent="0.25">
      <c r="B1264" s="15"/>
      <c r="C1264" s="15"/>
      <c r="D1264" s="15"/>
      <c r="E1264" s="508" t="str">
        <f>[1]K_Summary!E1254</f>
        <v>Process emissions sub-installation, CL</v>
      </c>
      <c r="F1264" s="509"/>
      <c r="G1264" s="464"/>
      <c r="H1264" s="510" t="b">
        <f>[1]K_Summary!H1254</f>
        <v>1</v>
      </c>
      <c r="I1264" s="642" t="str">
        <f>[1]K_Summary!I1254</f>
        <v/>
      </c>
      <c r="J1264" s="511" t="str">
        <f>[1]K_Summary!J1254</f>
        <v/>
      </c>
      <c r="K1264" s="421" t="str">
        <f>[1]K_Summary!K1254</f>
        <v/>
      </c>
      <c r="L1264" s="641">
        <f>[1]K_Summary!L1254</f>
        <v>6</v>
      </c>
      <c r="M1264" s="790" t="str">
        <f>[1]K_Summary!M1254</f>
        <v/>
      </c>
      <c r="N1264" s="788" t="str">
        <f>EUconst_EUA &amp; "/" &amp; H1269</f>
        <v>EUA/t CO2e</v>
      </c>
    </row>
    <row r="1265" spans="2:14" x14ac:dyDescent="0.25">
      <c r="B1265" s="15"/>
      <c r="C1265" s="15"/>
      <c r="D1265" s="534"/>
      <c r="E1265" s="534"/>
      <c r="F1265" s="534"/>
      <c r="G1265" s="534"/>
      <c r="H1265" s="534"/>
      <c r="I1265" s="534"/>
      <c r="J1265" s="534"/>
      <c r="K1265" s="534"/>
      <c r="L1265" s="534"/>
      <c r="M1265" s="790" t="str">
        <f>[1]K_Summary!M1255</f>
        <v/>
      </c>
      <c r="N1265" s="788" t="str">
        <f>EUconst_EUA &amp; "/" &amp; H1269</f>
        <v>EUA/t CO2e</v>
      </c>
    </row>
    <row r="1266" spans="2:14" ht="13" thickBot="1" x14ac:dyDescent="0.3">
      <c r="B1266" s="15"/>
      <c r="C1266" s="15"/>
      <c r="D1266" s="534"/>
      <c r="E1266" s="534"/>
      <c r="F1266" s="534"/>
      <c r="G1266" s="534"/>
      <c r="H1266" s="534"/>
      <c r="I1266" s="534"/>
      <c r="J1266" s="534"/>
      <c r="K1266" s="534"/>
      <c r="L1266" s="534"/>
      <c r="M1266" s="791" t="str">
        <f>[1]K_Summary!M1256</f>
        <v/>
      </c>
      <c r="N1266" s="789" t="str">
        <f>EUconst_EUA &amp; "/" &amp; H1269</f>
        <v>EUA/t CO2e</v>
      </c>
    </row>
    <row r="1267" spans="2:14" ht="5.15" customHeight="1" x14ac:dyDescent="0.25">
      <c r="B1267" s="15"/>
      <c r="C1267" s="15"/>
      <c r="D1267" s="15"/>
      <c r="E1267" s="15"/>
      <c r="F1267" s="15"/>
      <c r="G1267" s="15"/>
      <c r="H1267" s="15"/>
      <c r="I1267" s="15"/>
      <c r="J1267" s="15"/>
      <c r="K1267" s="15"/>
      <c r="L1267" s="15"/>
      <c r="M1267" s="15"/>
      <c r="N1267" s="15"/>
    </row>
    <row r="1268" spans="2:14" ht="13" x14ac:dyDescent="0.25">
      <c r="B1268" s="15"/>
      <c r="C1268" s="15"/>
      <c r="D1268" s="15"/>
      <c r="E1268" s="188"/>
      <c r="F1268" s="188"/>
      <c r="G1268" s="512"/>
      <c r="H1268" s="506" t="str">
        <f>Translations!$B$1014</f>
        <v>Enhet</v>
      </c>
      <c r="I1268" s="350">
        <v>2014</v>
      </c>
      <c r="J1268" s="350">
        <v>2015</v>
      </c>
      <c r="K1268" s="350">
        <v>2016</v>
      </c>
      <c r="L1268" s="350">
        <v>2017</v>
      </c>
      <c r="M1268" s="350">
        <v>2018</v>
      </c>
      <c r="N1268" s="15"/>
    </row>
    <row r="1269" spans="2:14" x14ac:dyDescent="0.25">
      <c r="B1269" s="15"/>
      <c r="C1269" s="15"/>
      <c r="D1269" s="15"/>
      <c r="E1269" s="513" t="str">
        <f>Translations!$B$1054</f>
        <v>Rapporterad HAL (historisk verksamhetsnivå)</v>
      </c>
      <c r="F1269" s="514"/>
      <c r="G1269" s="515"/>
      <c r="H1269" s="510" t="str">
        <f>[1]K_Summary!H1259</f>
        <v>t CO2e</v>
      </c>
      <c r="I1269" s="421" t="str">
        <f>[1]K_Summary!I1259</f>
        <v/>
      </c>
      <c r="J1269" s="421" t="str">
        <f>[1]K_Summary!J1259</f>
        <v/>
      </c>
      <c r="K1269" s="421" t="str">
        <f>[1]K_Summary!K1259</f>
        <v/>
      </c>
      <c r="L1269" s="421" t="str">
        <f>[1]K_Summary!L1259</f>
        <v/>
      </c>
      <c r="M1269" s="421" t="str">
        <f>[1]K_Summary!M1259</f>
        <v/>
      </c>
      <c r="N1269" s="507" t="str">
        <f>Translations!$B$1042</f>
        <v>Genomsnitt</v>
      </c>
    </row>
    <row r="1270" spans="2:14" x14ac:dyDescent="0.25">
      <c r="B1270" s="15"/>
      <c r="C1270" s="15"/>
      <c r="D1270" s="15"/>
      <c r="E1270" s="513" t="str">
        <f>Translations!$B$1055</f>
        <v>Värden som används för HAL-beräkning:</v>
      </c>
      <c r="F1270" s="514"/>
      <c r="G1270" s="515"/>
      <c r="H1270" s="510" t="str">
        <f>[1]K_Summary!H1260</f>
        <v>t CO2e</v>
      </c>
      <c r="I1270" s="346" t="str">
        <f>[1]K_Summary!I1260</f>
        <v/>
      </c>
      <c r="J1270" s="346" t="str">
        <f>[1]K_Summary!J1260</f>
        <v/>
      </c>
      <c r="K1270" s="346" t="str">
        <f>[1]K_Summary!K1260</f>
        <v/>
      </c>
      <c r="L1270" s="346" t="str">
        <f>[1]K_Summary!L1260</f>
        <v/>
      </c>
      <c r="M1270" s="346" t="str">
        <f>[1]K_Summary!M1260</f>
        <v/>
      </c>
      <c r="N1270" s="421" t="str">
        <f>[1]K_Summary!N1260</f>
        <v/>
      </c>
    </row>
    <row r="1271" spans="2:14" ht="5.15" customHeight="1" x14ac:dyDescent="0.25">
      <c r="B1271" s="15"/>
      <c r="C1271" s="15"/>
      <c r="D1271" s="15"/>
      <c r="E1271" s="15"/>
      <c r="F1271" s="15"/>
      <c r="G1271" s="15"/>
      <c r="H1271" s="15"/>
      <c r="I1271" s="15"/>
      <c r="J1271" s="15"/>
      <c r="K1271" s="15"/>
      <c r="L1271" s="15"/>
      <c r="M1271" s="15"/>
      <c r="N1271" s="15"/>
    </row>
    <row r="1272" spans="2:14" ht="13" thickBot="1" x14ac:dyDescent="0.3">
      <c r="B1272" s="15"/>
      <c r="C1272" s="15"/>
      <c r="D1272" s="15"/>
      <c r="E1272" s="15"/>
      <c r="F1272" s="516" t="s">
        <v>1385</v>
      </c>
      <c r="G1272" s="618"/>
      <c r="H1272" s="15"/>
      <c r="I1272" s="617" t="str">
        <f>Translations!$B$1044</f>
        <v>Prel. tilldelning år 1 (min.)</v>
      </c>
      <c r="J1272" s="618"/>
      <c r="K1272" s="617" t="str">
        <f>Translations!$B$1047</f>
        <v>Prel. tilldelning år 1 (max.)</v>
      </c>
      <c r="L1272" s="618"/>
      <c r="M1272" s="617" t="str">
        <f>Translations!$B$1049</f>
        <v>Prel. tilldelning år 1 (faktisk)</v>
      </c>
      <c r="N1272" s="618"/>
    </row>
    <row r="1273" spans="2:14" ht="13.5" thickBot="1" x14ac:dyDescent="0.3">
      <c r="B1273" s="15"/>
      <c r="C1273" s="15"/>
      <c r="D1273" s="15"/>
      <c r="E1273" s="15"/>
      <c r="F1273" s="517" t="str">
        <f>[1]K_Summary!F1263</f>
        <v/>
      </c>
      <c r="G1273" s="709" t="str">
        <f>EUconst_tCO2epa</f>
        <v>t CO2e/år</v>
      </c>
      <c r="H1273" s="15"/>
      <c r="I1273" s="616" t="str">
        <f>[1]K_Summary!I1263</f>
        <v/>
      </c>
      <c r="J1273" s="709" t="str">
        <f>EUconst_EUApa</f>
        <v>EUA / år</v>
      </c>
      <c r="K1273" s="616" t="str">
        <f>[1]K_Summary!K1263</f>
        <v/>
      </c>
      <c r="L1273" s="709" t="str">
        <f>EUconst_EUApa</f>
        <v>EUA / år</v>
      </c>
      <c r="M1273" s="616" t="str">
        <f>[1]K_Summary!M1263</f>
        <v/>
      </c>
      <c r="N1273" s="709" t="str">
        <f>EUconst_EUApa</f>
        <v>EUA / år</v>
      </c>
    </row>
    <row r="1274" spans="2:14" x14ac:dyDescent="0.25">
      <c r="B1274" s="15"/>
      <c r="C1274" s="15"/>
      <c r="D1274" s="15"/>
      <c r="E1274" s="15"/>
      <c r="F1274" s="15"/>
      <c r="G1274" s="15"/>
      <c r="H1274" s="15"/>
      <c r="I1274" s="15"/>
      <c r="J1274" s="15"/>
      <c r="K1274" s="15"/>
      <c r="L1274" s="15"/>
      <c r="M1274" s="15"/>
      <c r="N1274" s="15"/>
    </row>
    <row r="1275" spans="2:14" ht="12.75" customHeight="1" x14ac:dyDescent="0.25">
      <c r="B1275" s="15"/>
      <c r="C1275" s="15"/>
      <c r="D1275" s="15"/>
      <c r="E1275" s="416"/>
      <c r="F1275" s="623"/>
      <c r="G1275" s="623"/>
      <c r="H1275" s="623"/>
      <c r="I1275" s="623"/>
      <c r="J1275" s="623"/>
      <c r="K1275" s="623"/>
      <c r="L1275" s="623"/>
      <c r="M1275" s="623"/>
      <c r="N1275" s="623"/>
    </row>
    <row r="1276" spans="2:14" ht="13.5" thickBot="1" x14ac:dyDescent="0.3">
      <c r="B1276" s="15"/>
      <c r="C1276" s="15"/>
      <c r="D1276" s="15"/>
      <c r="E1276" s="416"/>
      <c r="F1276" s="623"/>
      <c r="G1276" s="623"/>
      <c r="H1276" s="415" t="str">
        <f>Translations!$B$1014</f>
        <v>Enhet</v>
      </c>
      <c r="I1276" s="743">
        <v>2014</v>
      </c>
      <c r="J1276" s="625">
        <v>2015</v>
      </c>
      <c r="K1276" s="625">
        <v>2016</v>
      </c>
      <c r="L1276" s="625">
        <v>2017</v>
      </c>
      <c r="M1276" s="625">
        <v>2018</v>
      </c>
      <c r="N1276" s="623"/>
    </row>
    <row r="1277" spans="2:14" ht="13.5" customHeight="1" thickBot="1" x14ac:dyDescent="0.3">
      <c r="B1277" s="15"/>
      <c r="C1277" s="15"/>
      <c r="D1277" s="15"/>
      <c r="E1277" s="2074" t="str">
        <f>Translations!$B$1056</f>
        <v>Totala tillskrivna utsläpp</v>
      </c>
      <c r="F1277" s="2074"/>
      <c r="G1277" s="2074"/>
      <c r="H1277" s="710" t="str">
        <f>EUconst_tCO2epa</f>
        <v>t CO2e/år</v>
      </c>
      <c r="I1277" s="735" t="str">
        <f>[1]K_Summary!I1267</f>
        <v/>
      </c>
      <c r="J1277" s="736" t="str">
        <f>[1]K_Summary!J1267</f>
        <v/>
      </c>
      <c r="K1277" s="736" t="str">
        <f>[1]K_Summary!K1267</f>
        <v/>
      </c>
      <c r="L1277" s="736" t="str">
        <f>[1]K_Summary!L1267</f>
        <v/>
      </c>
      <c r="M1277" s="737" t="str">
        <f>[1]K_Summary!M1267</f>
        <v/>
      </c>
      <c r="N1277" s="623"/>
    </row>
    <row r="1278" spans="2:14" ht="12.75" customHeight="1" x14ac:dyDescent="0.25">
      <c r="B1278" s="15"/>
      <c r="C1278" s="15"/>
      <c r="D1278" s="15"/>
      <c r="E1278" s="623"/>
      <c r="F1278" s="623"/>
      <c r="G1278" s="623"/>
      <c r="H1278" s="623"/>
      <c r="I1278" s="623"/>
      <c r="J1278" s="623"/>
      <c r="K1278" s="623"/>
      <c r="L1278" s="623"/>
      <c r="M1278" s="623"/>
      <c r="N1278" s="623"/>
    </row>
    <row r="1279" spans="2:14" ht="13" thickBot="1" x14ac:dyDescent="0.3">
      <c r="B1279" s="15"/>
      <c r="C1279" s="15"/>
      <c r="D1279" s="15"/>
      <c r="E1279" s="15"/>
      <c r="F1279" s="15"/>
      <c r="G1279" s="15"/>
      <c r="H1279" s="534"/>
      <c r="I1279" s="534"/>
      <c r="J1279" s="534"/>
      <c r="K1279" s="534"/>
      <c r="L1279" s="534"/>
      <c r="M1279" s="15"/>
      <c r="N1279" s="15"/>
    </row>
    <row r="1280" spans="2:14" ht="12.75" customHeight="1" thickBot="1" x14ac:dyDescent="0.3">
      <c r="B1280" s="3"/>
      <c r="C1280" s="230"/>
      <c r="D1280" s="230"/>
      <c r="E1280" s="230"/>
      <c r="F1280" s="230"/>
      <c r="G1280" s="230"/>
      <c r="H1280" s="230"/>
      <c r="I1280" s="230"/>
      <c r="J1280" s="230"/>
      <c r="K1280" s="230"/>
      <c r="L1280" s="230"/>
      <c r="M1280" s="230"/>
      <c r="N1280" s="230"/>
    </row>
    <row r="1281" spans="2:14" ht="15" customHeight="1" thickBot="1" x14ac:dyDescent="0.35">
      <c r="B1281" s="15"/>
      <c r="C1281" s="17">
        <v>17</v>
      </c>
      <c r="D1281" s="2053" t="str">
        <f>Euconst_FallBackSub &amp; " " &amp; C1281-10 &amp; ":"</f>
        <v>”Fall-back”-delanläggning 7:</v>
      </c>
      <c r="E1281" s="2053"/>
      <c r="F1281" s="2053"/>
      <c r="G1281" s="2053"/>
      <c r="H1281" s="2081"/>
      <c r="I1281" s="2082" t="str">
        <f>[1]K_Summary!I1271</f>
        <v>Process emissions sub-installation, non-CL</v>
      </c>
      <c r="J1281" s="2083"/>
      <c r="K1281" s="2083"/>
      <c r="L1281" s="2084"/>
      <c r="M1281" s="2085" t="str">
        <f>[1]K_Summary!M1271</f>
        <v/>
      </c>
      <c r="N1281" s="2086"/>
    </row>
    <row r="1282" spans="2:14" ht="5.15" customHeight="1" thickBot="1" x14ac:dyDescent="0.3">
      <c r="B1282" s="15"/>
      <c r="C1282" s="15"/>
      <c r="D1282" s="15"/>
      <c r="E1282" s="15"/>
      <c r="F1282" s="15"/>
      <c r="G1282" s="15"/>
      <c r="H1282" s="15"/>
      <c r="I1282" s="15"/>
      <c r="J1282" s="15"/>
      <c r="K1282" s="15"/>
      <c r="L1282" s="15"/>
      <c r="M1282" s="15"/>
      <c r="N1282" s="15"/>
    </row>
    <row r="1283" spans="2:14" x14ac:dyDescent="0.25">
      <c r="B1283" s="15"/>
      <c r="C1283" s="15"/>
      <c r="D1283" s="15"/>
      <c r="E1283" s="15"/>
      <c r="F1283" s="15"/>
      <c r="G1283" s="15"/>
      <c r="H1283" s="506" t="str">
        <f>Translations!$B$1022</f>
        <v>KL-risk</v>
      </c>
      <c r="I1283" s="507" t="str">
        <f>Translations!$B$1026</f>
        <v>I drift</v>
      </c>
      <c r="J1283" s="507" t="str">
        <f>Translations!$B$1030</f>
        <v>15(7).3?</v>
      </c>
      <c r="K1283" s="507" t="str">
        <f>Translations!$B$1032</f>
        <v>15(7).3 HAL</v>
      </c>
      <c r="L1283" s="612" t="str">
        <f>Translations!$B$1024</f>
        <v>RM-nummer</v>
      </c>
      <c r="M1283" s="786" t="str">
        <f>Translations!$B$1052</f>
        <v>RM-värde (min./max./faktiskt)</v>
      </c>
      <c r="N1283" s="787"/>
    </row>
    <row r="1284" spans="2:14" x14ac:dyDescent="0.25">
      <c r="B1284" s="15"/>
      <c r="C1284" s="15"/>
      <c r="D1284" s="15"/>
      <c r="E1284" s="508" t="str">
        <f>[1]K_Summary!E1274</f>
        <v>Process emissions sub-installation, non-CL</v>
      </c>
      <c r="F1284" s="509"/>
      <c r="G1284" s="464"/>
      <c r="H1284" s="510" t="b">
        <f>[1]K_Summary!H1274</f>
        <v>0</v>
      </c>
      <c r="I1284" s="642" t="str">
        <f>[1]K_Summary!I1274</f>
        <v/>
      </c>
      <c r="J1284" s="511" t="str">
        <f>[1]K_Summary!J1274</f>
        <v/>
      </c>
      <c r="K1284" s="421" t="str">
        <f>[1]K_Summary!K1274</f>
        <v/>
      </c>
      <c r="L1284" s="641">
        <f>[1]K_Summary!L1274</f>
        <v>7</v>
      </c>
      <c r="M1284" s="790" t="str">
        <f>[1]K_Summary!M1274</f>
        <v/>
      </c>
      <c r="N1284" s="788" t="str">
        <f>EUconst_EUA &amp; "/" &amp; H1289</f>
        <v>EUA/t CO2e</v>
      </c>
    </row>
    <row r="1285" spans="2:14" x14ac:dyDescent="0.25">
      <c r="B1285" s="15"/>
      <c r="C1285" s="15"/>
      <c r="D1285" s="534"/>
      <c r="E1285" s="534"/>
      <c r="F1285" s="534"/>
      <c r="G1285" s="534"/>
      <c r="H1285" s="534"/>
      <c r="I1285" s="534"/>
      <c r="J1285" s="534"/>
      <c r="K1285" s="534"/>
      <c r="L1285" s="534"/>
      <c r="M1285" s="790" t="str">
        <f>[1]K_Summary!M1275</f>
        <v/>
      </c>
      <c r="N1285" s="788" t="str">
        <f>EUconst_EUA &amp; "/" &amp; H1289</f>
        <v>EUA/t CO2e</v>
      </c>
    </row>
    <row r="1286" spans="2:14" ht="13" thickBot="1" x14ac:dyDescent="0.3">
      <c r="B1286" s="15"/>
      <c r="C1286" s="15"/>
      <c r="D1286" s="534"/>
      <c r="E1286" s="534"/>
      <c r="F1286" s="534"/>
      <c r="G1286" s="534"/>
      <c r="H1286" s="534"/>
      <c r="I1286" s="534"/>
      <c r="J1286" s="534"/>
      <c r="K1286" s="534"/>
      <c r="L1286" s="534"/>
      <c r="M1286" s="791" t="str">
        <f>[1]K_Summary!M1276</f>
        <v/>
      </c>
      <c r="N1286" s="789" t="str">
        <f>EUconst_EUA &amp; "/" &amp; H1289</f>
        <v>EUA/t CO2e</v>
      </c>
    </row>
    <row r="1287" spans="2:14" ht="5.15" customHeight="1" x14ac:dyDescent="0.25">
      <c r="B1287" s="15"/>
      <c r="C1287" s="15"/>
      <c r="D1287" s="15"/>
      <c r="E1287" s="15"/>
      <c r="F1287" s="15"/>
      <c r="G1287" s="15"/>
      <c r="H1287" s="15"/>
      <c r="I1287" s="15"/>
      <c r="J1287" s="15"/>
      <c r="K1287" s="15"/>
      <c r="L1287" s="15"/>
      <c r="M1287" s="15"/>
      <c r="N1287" s="15"/>
    </row>
    <row r="1288" spans="2:14" ht="13" x14ac:dyDescent="0.25">
      <c r="B1288" s="15"/>
      <c r="C1288" s="15"/>
      <c r="D1288" s="15"/>
      <c r="E1288" s="188"/>
      <c r="F1288" s="188"/>
      <c r="G1288" s="512"/>
      <c r="H1288" s="506" t="str">
        <f>Translations!$B$1014</f>
        <v>Enhet</v>
      </c>
      <c r="I1288" s="350">
        <v>2014</v>
      </c>
      <c r="J1288" s="350">
        <v>2015</v>
      </c>
      <c r="K1288" s="350">
        <v>2016</v>
      </c>
      <c r="L1288" s="350">
        <v>2017</v>
      </c>
      <c r="M1288" s="350">
        <v>2018</v>
      </c>
      <c r="N1288" s="15"/>
    </row>
    <row r="1289" spans="2:14" x14ac:dyDescent="0.25">
      <c r="B1289" s="15"/>
      <c r="C1289" s="15"/>
      <c r="D1289" s="15"/>
      <c r="E1289" s="513" t="str">
        <f>Translations!$B$1054</f>
        <v>Rapporterad HAL (historisk verksamhetsnivå)</v>
      </c>
      <c r="F1289" s="514"/>
      <c r="G1289" s="515"/>
      <c r="H1289" s="510" t="str">
        <f>[1]K_Summary!H1279</f>
        <v>t CO2e</v>
      </c>
      <c r="I1289" s="421" t="str">
        <f>[1]K_Summary!I1279</f>
        <v/>
      </c>
      <c r="J1289" s="421" t="str">
        <f>[1]K_Summary!J1279</f>
        <v/>
      </c>
      <c r="K1289" s="421" t="str">
        <f>[1]K_Summary!K1279</f>
        <v/>
      </c>
      <c r="L1289" s="421" t="str">
        <f>[1]K_Summary!L1279</f>
        <v/>
      </c>
      <c r="M1289" s="421" t="str">
        <f>[1]K_Summary!M1279</f>
        <v/>
      </c>
      <c r="N1289" s="507" t="str">
        <f>Translations!$B$1042</f>
        <v>Genomsnitt</v>
      </c>
    </row>
    <row r="1290" spans="2:14" x14ac:dyDescent="0.25">
      <c r="B1290" s="15"/>
      <c r="C1290" s="15"/>
      <c r="D1290" s="15"/>
      <c r="E1290" s="513" t="str">
        <f>Translations!$B$1055</f>
        <v>Värden som används för HAL-beräkning:</v>
      </c>
      <c r="F1290" s="514"/>
      <c r="G1290" s="515"/>
      <c r="H1290" s="510" t="str">
        <f>[1]K_Summary!H1280</f>
        <v>t CO2e</v>
      </c>
      <c r="I1290" s="346" t="str">
        <f>[1]K_Summary!I1280</f>
        <v/>
      </c>
      <c r="J1290" s="346" t="str">
        <f>[1]K_Summary!J1280</f>
        <v/>
      </c>
      <c r="K1290" s="346" t="str">
        <f>[1]K_Summary!K1280</f>
        <v/>
      </c>
      <c r="L1290" s="346" t="str">
        <f>[1]K_Summary!L1280</f>
        <v/>
      </c>
      <c r="M1290" s="346" t="str">
        <f>[1]K_Summary!M1280</f>
        <v/>
      </c>
      <c r="N1290" s="421" t="str">
        <f>[1]K_Summary!N1280</f>
        <v/>
      </c>
    </row>
    <row r="1291" spans="2:14" ht="5.15" customHeight="1" x14ac:dyDescent="0.25">
      <c r="B1291" s="15"/>
      <c r="C1291" s="15"/>
      <c r="D1291" s="15"/>
      <c r="E1291" s="15"/>
      <c r="F1291" s="15"/>
      <c r="G1291" s="15"/>
      <c r="H1291" s="15"/>
      <c r="I1291" s="15"/>
      <c r="J1291" s="15"/>
      <c r="K1291" s="15"/>
      <c r="L1291" s="15"/>
      <c r="M1291" s="15"/>
      <c r="N1291" s="15"/>
    </row>
    <row r="1292" spans="2:14" ht="13" thickBot="1" x14ac:dyDescent="0.3">
      <c r="B1292" s="15"/>
      <c r="C1292" s="15"/>
      <c r="D1292" s="15"/>
      <c r="E1292" s="15"/>
      <c r="F1292" s="516" t="s">
        <v>1385</v>
      </c>
      <c r="G1292" s="618"/>
      <c r="H1292" s="15"/>
      <c r="I1292" s="617" t="str">
        <f>Translations!$B$1044</f>
        <v>Prel. tilldelning år 1 (min.)</v>
      </c>
      <c r="J1292" s="618"/>
      <c r="K1292" s="617" t="str">
        <f>Translations!$B$1047</f>
        <v>Prel. tilldelning år 1 (max.)</v>
      </c>
      <c r="L1292" s="618"/>
      <c r="M1292" s="617" t="str">
        <f>Translations!$B$1049</f>
        <v>Prel. tilldelning år 1 (faktisk)</v>
      </c>
      <c r="N1292" s="618"/>
    </row>
    <row r="1293" spans="2:14" ht="13.5" thickBot="1" x14ac:dyDescent="0.3">
      <c r="B1293" s="15"/>
      <c r="C1293" s="15"/>
      <c r="D1293" s="15"/>
      <c r="E1293" s="15"/>
      <c r="F1293" s="517" t="str">
        <f>[1]K_Summary!F1283</f>
        <v/>
      </c>
      <c r="G1293" s="709" t="str">
        <f>EUconst_tCO2epa</f>
        <v>t CO2e/år</v>
      </c>
      <c r="H1293" s="15"/>
      <c r="I1293" s="616" t="str">
        <f>[1]K_Summary!I1283</f>
        <v/>
      </c>
      <c r="J1293" s="709" t="str">
        <f>EUconst_EUApa</f>
        <v>EUA / år</v>
      </c>
      <c r="K1293" s="616" t="str">
        <f>[1]K_Summary!K1283</f>
        <v/>
      </c>
      <c r="L1293" s="709" t="str">
        <f>EUconst_EUApa</f>
        <v>EUA / år</v>
      </c>
      <c r="M1293" s="616" t="str">
        <f>[1]K_Summary!M1283</f>
        <v/>
      </c>
      <c r="N1293" s="709" t="str">
        <f>EUconst_EUApa</f>
        <v>EUA / år</v>
      </c>
    </row>
    <row r="1294" spans="2:14" x14ac:dyDescent="0.25">
      <c r="B1294" s="15"/>
      <c r="C1294" s="15"/>
      <c r="D1294" s="15"/>
      <c r="E1294" s="15"/>
      <c r="F1294" s="15"/>
      <c r="G1294" s="15"/>
      <c r="H1294" s="15"/>
      <c r="I1294" s="15"/>
      <c r="J1294" s="15"/>
      <c r="K1294" s="15"/>
      <c r="L1294" s="15"/>
      <c r="M1294" s="15"/>
      <c r="N1294" s="15"/>
    </row>
    <row r="1295" spans="2:14" ht="12.75" customHeight="1" x14ac:dyDescent="0.25">
      <c r="B1295" s="15"/>
      <c r="C1295" s="15"/>
      <c r="D1295" s="15"/>
      <c r="E1295" s="416"/>
      <c r="F1295" s="623"/>
      <c r="G1295" s="623"/>
      <c r="H1295" s="623"/>
      <c r="I1295" s="623"/>
      <c r="J1295" s="623"/>
      <c r="K1295" s="623"/>
      <c r="L1295" s="623"/>
      <c r="M1295" s="623"/>
      <c r="N1295" s="623"/>
    </row>
    <row r="1296" spans="2:14" ht="13.5" thickBot="1" x14ac:dyDescent="0.3">
      <c r="B1296" s="15"/>
      <c r="C1296" s="15"/>
      <c r="D1296" s="15"/>
      <c r="E1296" s="416"/>
      <c r="F1296" s="623"/>
      <c r="G1296" s="623"/>
      <c r="H1296" s="415" t="str">
        <f>Translations!$B$1014</f>
        <v>Enhet</v>
      </c>
      <c r="I1296" s="743">
        <v>2014</v>
      </c>
      <c r="J1296" s="625">
        <v>2015</v>
      </c>
      <c r="K1296" s="625">
        <v>2016</v>
      </c>
      <c r="L1296" s="625">
        <v>2017</v>
      </c>
      <c r="M1296" s="625">
        <v>2018</v>
      </c>
      <c r="N1296" s="623"/>
    </row>
    <row r="1297" spans="2:14" ht="13.5" customHeight="1" thickBot="1" x14ac:dyDescent="0.3">
      <c r="B1297" s="15"/>
      <c r="C1297" s="15"/>
      <c r="D1297" s="15"/>
      <c r="E1297" s="2074" t="str">
        <f>Translations!$B$1056</f>
        <v>Totala tillskrivna utsläpp</v>
      </c>
      <c r="F1297" s="2074"/>
      <c r="G1297" s="2074"/>
      <c r="H1297" s="710" t="str">
        <f>EUconst_tCO2epa</f>
        <v>t CO2e/år</v>
      </c>
      <c r="I1297" s="735" t="str">
        <f>[1]K_Summary!I1287</f>
        <v/>
      </c>
      <c r="J1297" s="736" t="str">
        <f>[1]K_Summary!J1287</f>
        <v/>
      </c>
      <c r="K1297" s="736" t="str">
        <f>[1]K_Summary!K1287</f>
        <v/>
      </c>
      <c r="L1297" s="736" t="str">
        <f>[1]K_Summary!L1287</f>
        <v/>
      </c>
      <c r="M1297" s="737" t="str">
        <f>[1]K_Summary!M1287</f>
        <v/>
      </c>
      <c r="N1297" s="623"/>
    </row>
    <row r="1298" spans="2:14" ht="12.75" customHeight="1" x14ac:dyDescent="0.25">
      <c r="B1298" s="15"/>
      <c r="C1298" s="15"/>
      <c r="D1298" s="15"/>
      <c r="E1298" s="623"/>
      <c r="F1298" s="623"/>
      <c r="G1298" s="623"/>
      <c r="H1298" s="623"/>
      <c r="I1298" s="623"/>
      <c r="J1298" s="623"/>
      <c r="K1298" s="623"/>
      <c r="L1298" s="623"/>
      <c r="M1298" s="623"/>
      <c r="N1298" s="623"/>
    </row>
    <row r="1299" spans="2:14" ht="25.5" customHeight="1" x14ac:dyDescent="0.25">
      <c r="B1299" s="15"/>
      <c r="C1299" s="15"/>
      <c r="D1299" s="15"/>
      <c r="E1299" s="15"/>
      <c r="F1299" s="15"/>
      <c r="G1299" s="15"/>
      <c r="H1299" s="15"/>
      <c r="I1299" s="15"/>
      <c r="J1299" s="15"/>
      <c r="K1299" s="15"/>
      <c r="L1299" s="15"/>
      <c r="M1299" s="15"/>
      <c r="N1299" s="15"/>
    </row>
    <row r="1300" spans="2:14" ht="15.5" x14ac:dyDescent="0.35">
      <c r="B1300" s="3"/>
      <c r="C1300" s="11" t="s">
        <v>696</v>
      </c>
      <c r="D1300" s="12" t="str">
        <f>Translations!$B$1064</f>
        <v>Beräkning av preliminär årlig mängd utsläppsrätter som tilldelas gratis</v>
      </c>
      <c r="E1300" s="12"/>
      <c r="F1300" s="12"/>
      <c r="G1300" s="12"/>
      <c r="H1300" s="12"/>
      <c r="I1300" s="12"/>
      <c r="J1300" s="12"/>
      <c r="K1300" s="12"/>
      <c r="L1300" s="12"/>
      <c r="M1300" s="12"/>
      <c r="N1300" s="12"/>
    </row>
    <row r="1301" spans="2:14" ht="12.75" customHeight="1" x14ac:dyDescent="0.25">
      <c r="B1301" s="15"/>
      <c r="C1301" s="15"/>
      <c r="D1301" s="15"/>
      <c r="E1301" s="15"/>
      <c r="F1301" s="15"/>
      <c r="G1301" s="15"/>
      <c r="H1301" s="15"/>
      <c r="I1301" s="15"/>
      <c r="J1301" s="15"/>
      <c r="K1301" s="15"/>
      <c r="L1301" s="15"/>
      <c r="M1301" s="15"/>
      <c r="N1301" s="15"/>
    </row>
    <row r="1302" spans="2:14" ht="40" customHeight="1" x14ac:dyDescent="0.25">
      <c r="B1302" s="3"/>
      <c r="C1302" s="3"/>
      <c r="D1302" s="15"/>
      <c r="E1302" s="2061" t="str">
        <f>Translations!$B$1065</f>
        <v>I detta avsnitt ges en sammanfattning av de preliminära tilldelningsvärden för 2021–2025 respektive 2026–2030 som är tillämpliga på anläggningen och som grundas på de uppgifter som visas i tidigare avsnitt baserat på era inmatningar. Ingen fullständighetskontroll har gjorts av den information som visas. Uppgifterna kan därför endast anses vara korrekta om ni har säkerställt att följande villkor uppfylls:</v>
      </c>
      <c r="F1302" s="1963"/>
      <c r="G1302" s="1963"/>
      <c r="H1302" s="1963"/>
      <c r="I1302" s="1963"/>
      <c r="J1302" s="1963"/>
      <c r="K1302" s="1963"/>
      <c r="L1302" s="1963"/>
      <c r="M1302" s="1963"/>
      <c r="N1302" s="1963"/>
    </row>
    <row r="1303" spans="2:14" ht="12.75" customHeight="1" x14ac:dyDescent="0.25">
      <c r="B1303" s="3"/>
      <c r="C1303" s="3"/>
      <c r="D1303" s="15"/>
      <c r="E1303" s="666" t="s">
        <v>1112</v>
      </c>
      <c r="F1303" s="2061" t="str">
        <f>Translations!$B$1066</f>
        <v>Fullständiga uppgifter har lämnats i bladet ”A_InstallationData”, framför allt avsnitt A.II (referensperiod och berättigande) och avsnitt A.III (förteckning över delanläggningar).</v>
      </c>
      <c r="G1303" s="2061"/>
      <c r="H1303" s="2061"/>
      <c r="I1303" s="2061"/>
      <c r="J1303" s="2061"/>
      <c r="K1303" s="2061"/>
      <c r="L1303" s="2061"/>
      <c r="M1303" s="2061"/>
      <c r="N1303" s="2061"/>
    </row>
    <row r="1304" spans="2:14" ht="12.75" customHeight="1" x14ac:dyDescent="0.25">
      <c r="B1304" s="3"/>
      <c r="C1304" s="3"/>
      <c r="D1304" s="15"/>
      <c r="E1304" s="666" t="s">
        <v>1112</v>
      </c>
      <c r="F1304" s="2061" t="str">
        <f>Translations!$B$1067</f>
        <v>Uppgifter har lämnats för alla relevanta referensår och relevanta avsnitt i bladen F och G har fyllts i.</v>
      </c>
      <c r="G1304" s="2061"/>
      <c r="H1304" s="2061"/>
      <c r="I1304" s="2061"/>
      <c r="J1304" s="2061"/>
      <c r="K1304" s="2061"/>
      <c r="L1304" s="2061"/>
      <c r="M1304" s="2061"/>
      <c r="N1304" s="2061"/>
    </row>
    <row r="1305" spans="2:14" ht="12.75" customHeight="1" x14ac:dyDescent="0.25">
      <c r="B1305" s="3"/>
      <c r="C1305" s="3"/>
      <c r="D1305" s="15"/>
      <c r="E1305" s="666" t="s">
        <v>1112</v>
      </c>
      <c r="F1305" s="2061" t="str">
        <f>Translations!$B$1068</f>
        <v>Inga felmeddelanden visas i något av de relevanta avsnitten i dessa blad.</v>
      </c>
      <c r="G1305" s="2061"/>
      <c r="H1305" s="2061"/>
      <c r="I1305" s="2061"/>
      <c r="J1305" s="2061"/>
      <c r="K1305" s="2061"/>
      <c r="L1305" s="2061"/>
      <c r="M1305" s="2061"/>
      <c r="N1305" s="2061"/>
    </row>
    <row r="1306" spans="2:14" ht="12.75" customHeight="1" x14ac:dyDescent="0.25">
      <c r="B1306" s="3"/>
      <c r="C1306" s="3"/>
      <c r="D1306" s="15"/>
      <c r="E1306" s="2061" t="str">
        <f>Translations!$B$1069</f>
        <v>Denna information är av preliminär art och det är därför viktigt att förstå vad som har beaktats vid beräkningen:</v>
      </c>
      <c r="F1306" s="1963"/>
      <c r="G1306" s="1963"/>
      <c r="H1306" s="1963"/>
      <c r="I1306" s="1963"/>
      <c r="J1306" s="1963"/>
      <c r="K1306" s="1963"/>
      <c r="L1306" s="1963"/>
      <c r="M1306" s="1963"/>
      <c r="N1306" s="1963"/>
    </row>
    <row r="1307" spans="2:14" ht="25.5" customHeight="1" x14ac:dyDescent="0.25">
      <c r="B1307" s="3"/>
      <c r="C1307" s="3"/>
      <c r="D1307" s="15"/>
      <c r="E1307" s="666" t="s">
        <v>1112</v>
      </c>
      <c r="F1307" s="2061" t="str">
        <f>Translations!$B$1070</f>
        <v>Beroende på vilka uppgifter ni lämnat i avsnitt A.II.2 (vald referensperiod), A.III (uppgifter om delanläggningen) och bladen F och G ser ni i avsnitt IV i detta blad vilka referensår som har använts vid beräkningen av de historiska verksamhetsnivåer (HAL) som riktmärken tillämpas för.</v>
      </c>
      <c r="G1307" s="2061"/>
      <c r="H1307" s="2061"/>
      <c r="I1307" s="2061"/>
      <c r="J1307" s="2061"/>
      <c r="K1307" s="2061"/>
      <c r="L1307" s="2061"/>
      <c r="M1307" s="2061"/>
      <c r="N1307" s="2061"/>
    </row>
    <row r="1308" spans="2:14" ht="25.5" customHeight="1" x14ac:dyDescent="0.25">
      <c r="B1308" s="3"/>
      <c r="C1308" s="3"/>
      <c r="D1308" s="15"/>
      <c r="E1308" s="666" t="s">
        <v>1112</v>
      </c>
      <c r="F1308" s="2075" t="str">
        <f>Translations!$B$1071</f>
        <v>Eftersom de uppdaterade riktmärkesvärdena inte finns tillgängliga när uppgifterna lämnas till den behöriga myndigheten kan ni få en indikation på hur stor den förväntade tilldelningen kommer att bli genom att välja antingen riktmärkesvärde ”min.” eller ”max.” i punkt 1.a nedan.</v>
      </c>
      <c r="G1308" s="1960"/>
      <c r="H1308" s="1960"/>
      <c r="I1308" s="1960"/>
      <c r="J1308" s="1960"/>
      <c r="K1308" s="1960"/>
      <c r="L1308" s="1960"/>
      <c r="M1308" s="1960"/>
      <c r="N1308" s="1960"/>
    </row>
    <row r="1309" spans="2:14" ht="12.75" customHeight="1" x14ac:dyDescent="0.25">
      <c r="B1309" s="3"/>
      <c r="C1309" s="3"/>
      <c r="D1309" s="15"/>
      <c r="E1309" s="666" t="s">
        <v>1112</v>
      </c>
      <c r="F1309" s="2061" t="str">
        <f>Translations!$B$1072</f>
        <v>Vid beräkningen beaktas huruvida respektive delanläggning är utsatt för en betydande risk för koldioxidläckage eller inte.</v>
      </c>
      <c r="G1309" s="2061"/>
      <c r="H1309" s="2061"/>
      <c r="I1309" s="2061"/>
      <c r="J1309" s="2061"/>
      <c r="K1309" s="2061"/>
      <c r="L1309" s="2061"/>
      <c r="M1309" s="2061"/>
      <c r="N1309" s="2061"/>
    </row>
    <row r="1310" spans="2:14" ht="40" customHeight="1" x14ac:dyDescent="0.25">
      <c r="B1310" s="3"/>
      <c r="C1310" s="3"/>
      <c r="D1310" s="15"/>
      <c r="E1310" s="666" t="s">
        <v>1112</v>
      </c>
      <c r="F1310" s="2061" t="str">
        <f>Translations!$B$1073</f>
        <v>Vid beräkningen beaktas huruvida anläggningen omfattas av artikel 10a.3 i ETS-direktivet, dvs. om det är en elproducent eller en anläggning för avskiljning, transport eller geologisk lagring av koldioxid. Enligt artikel 16.8 i FAR måste tilldelningen till sådana anläggningar korrigeras genom tillämpning av den linjära faktor som avses i artikel 10a.4 i ETS-direktivet. Denna linjära faktor beaktas här.</v>
      </c>
      <c r="G1310" s="2061"/>
      <c r="H1310" s="2061"/>
      <c r="I1310" s="2061"/>
      <c r="J1310" s="2061"/>
      <c r="K1310" s="2061"/>
      <c r="L1310" s="2061"/>
      <c r="M1310" s="2061"/>
      <c r="N1310" s="2061"/>
    </row>
    <row r="1311" spans="2:14" ht="40" customHeight="1" x14ac:dyDescent="0.25">
      <c r="B1311" s="3"/>
      <c r="C1311" s="3"/>
      <c r="D1311" s="15"/>
      <c r="E1311" s="666" t="s">
        <v>1112</v>
      </c>
      <c r="F1311" s="2061" t="str">
        <f>Translations!$B$1074</f>
        <v>Den preliminära tilldelningen till alla andra anläggningar (sådana som inte omfattas av artikel 10a.3 i ETS-direktivet) ska multipliceras med den sektorsövergripande korrigeringsfaktor som fastställs i enlighet med artikel 14.6 i FAR. Denna faktor beräknas av Europeiska kommissionen så snart alla medlemsstater har kungjort sina nationella genomförandeåtgärder (NIMs) och de nya riktmärkesvärdena.</v>
      </c>
      <c r="G1311" s="2061"/>
      <c r="H1311" s="2061"/>
      <c r="I1311" s="2061"/>
      <c r="J1311" s="2061"/>
      <c r="K1311" s="2061"/>
      <c r="L1311" s="2061"/>
      <c r="M1311" s="2061"/>
      <c r="N1311" s="2061"/>
    </row>
    <row r="1312" spans="2:14" ht="25.5" customHeight="1" x14ac:dyDescent="0.25">
      <c r="B1312" s="3"/>
      <c r="C1312" s="3"/>
      <c r="D1312" s="15"/>
      <c r="E1312" s="666" t="s">
        <v>1112</v>
      </c>
      <c r="F1312" s="2061" t="str">
        <f>Translations!$B$1075</f>
        <v>För att göra det lättare för verksamhetsutövarna att förstå hur tilldelningen beräknas, visas nedan den PRELIMINÄRA tilldelningen (dvs. tilldelningen före tillämpning av den sektorsövergripande korrigeringsfaktorn eller den linjära faktorn). När det gäller inlagor till den behöriga myndigheten behöver ingen sektorsövergripande korrigeringsfaktor anges.</v>
      </c>
      <c r="G1312" s="2061"/>
      <c r="H1312" s="2061"/>
      <c r="I1312" s="2061"/>
      <c r="J1312" s="2061"/>
      <c r="K1312" s="2061"/>
      <c r="L1312" s="2061"/>
      <c r="M1312" s="2061"/>
      <c r="N1312" s="2061"/>
    </row>
    <row r="1313" spans="1:16" ht="25.5" customHeight="1" x14ac:dyDescent="0.25">
      <c r="B1313" s="3"/>
      <c r="C1313" s="3"/>
      <c r="D1313" s="15"/>
      <c r="E1313" s="666" t="s">
        <v>1112</v>
      </c>
      <c r="F1313" s="2061" t="str">
        <f>Translations!$B$1076</f>
        <v>I denna mall kan man dock ange ett värde för den sektorsövergripande korrigeringsfaktorn. Verksamhetsutövaren kan enbart använda denna funktion i upplysningssyfte. Resultaten är inte på något sätt juridiskt bindande.</v>
      </c>
      <c r="G1313" s="2061"/>
      <c r="H1313" s="2061"/>
      <c r="I1313" s="2061"/>
      <c r="J1313" s="2061"/>
      <c r="K1313" s="2061"/>
      <c r="L1313" s="2061"/>
      <c r="M1313" s="2061"/>
      <c r="N1313" s="2061"/>
    </row>
    <row r="1314" spans="1:16" ht="12.75" customHeight="1" thickBot="1" x14ac:dyDescent="0.3">
      <c r="B1314" s="3"/>
      <c r="C1314" s="3"/>
      <c r="D1314" s="15"/>
      <c r="E1314" s="666"/>
      <c r="F1314" s="745"/>
      <c r="G1314" s="745"/>
      <c r="H1314" s="745"/>
      <c r="I1314" s="745"/>
      <c r="J1314" s="745"/>
      <c r="K1314" s="745"/>
      <c r="L1314" s="745"/>
      <c r="M1314" s="745"/>
      <c r="N1314" s="745"/>
    </row>
    <row r="1315" spans="1:16" s="1610" customFormat="1" ht="90" customHeight="1" thickBot="1" x14ac:dyDescent="0.3">
      <c r="A1315" s="1624"/>
      <c r="B1315" s="635"/>
      <c r="C1315" s="635"/>
      <c r="D1315" s="2076" t="str">
        <f>Translations!$B$1077</f>
        <v>Ansvarsfriskrivning: Enligt artikel 16.1 i FAR ska medlemsstaterna beräkna och fastställa antalet utsläppsrätter som har tilldelats gratis från och med 2021 och framåt till varje anläggning som ansöker om gratis tilldelning. De resultat som visas här är därför endast vägledande. Inga garantier, vare sig uttryckliga eller underförstådda, ges med avseende på resultatets riktighet, fullständighet eller tillförlitlighet. De resultat som visas i denna mall medför ingen som helst rätt eller tillgång till en viss mängd utsläppsrätter. Se även ansvarsfriskrivningen i bladet ”Riktlinjer och villkor” för beräkningarnas riktighet.</v>
      </c>
      <c r="E1315" s="2077"/>
      <c r="F1315" s="2077"/>
      <c r="G1315" s="2077"/>
      <c r="H1315" s="2077"/>
      <c r="I1315" s="2077"/>
      <c r="J1315" s="2077"/>
      <c r="K1315" s="2077"/>
      <c r="L1315" s="2077"/>
      <c r="M1315" s="2077"/>
      <c r="N1315" s="2078"/>
      <c r="O1315" s="1607"/>
      <c r="P1315" s="1624"/>
    </row>
    <row r="1316" spans="1:16" x14ac:dyDescent="0.25">
      <c r="B1316" s="15"/>
      <c r="C1316" s="15"/>
      <c r="D1316" s="15"/>
      <c r="E1316" s="15"/>
      <c r="F1316" s="15"/>
      <c r="G1316" s="15"/>
      <c r="H1316" s="15"/>
      <c r="I1316" s="15"/>
      <c r="J1316" s="15"/>
      <c r="K1316" s="15"/>
      <c r="L1316" s="15"/>
      <c r="M1316" s="15"/>
      <c r="N1316" s="15"/>
    </row>
    <row r="1317" spans="1:16" ht="12.75" customHeight="1" x14ac:dyDescent="0.3">
      <c r="B1317" s="3"/>
      <c r="C1317" s="17">
        <v>1</v>
      </c>
      <c r="D1317" s="2079" t="str">
        <f>Translations!$B$1078</f>
        <v>Total preliminär årlig mängd utsläppsrätter som tilldelas gratis:</v>
      </c>
      <c r="E1317" s="1960"/>
      <c r="F1317" s="1960"/>
      <c r="G1317" s="1960"/>
      <c r="H1317" s="1960"/>
      <c r="I1317" s="1960"/>
      <c r="J1317" s="1960"/>
      <c r="K1317" s="1960"/>
      <c r="L1317" s="1960"/>
      <c r="M1317" s="1960"/>
      <c r="N1317" s="1960"/>
    </row>
    <row r="1318" spans="1:16" ht="38.9" customHeight="1" x14ac:dyDescent="0.25">
      <c r="B1318" s="3"/>
      <c r="C1318" s="3"/>
      <c r="D1318" s="15"/>
      <c r="E1318" s="2061" t="str">
        <f>Translations!$B$1079</f>
        <v>De mängder som visas här återspeglar beräkningen av den preliminära årliga mängden utsläppsrätter som tilldelas gratis i enlighet med artikel 16.1–7 i FAR, dvs. de faktorer som avses i bilaga V till FAR (”KL-faktorer” nedan) har redan tillämpats. Enligt artikel 16.3 i FAR ska faktorn för fjärrvärmedelanläggningen vara 0,3 för samtliga år.</v>
      </c>
      <c r="F1318" s="1963"/>
      <c r="G1318" s="1963"/>
      <c r="H1318" s="1963"/>
      <c r="I1318" s="1963"/>
      <c r="J1318" s="1963"/>
      <c r="K1318" s="1963"/>
      <c r="L1318" s="1963"/>
      <c r="M1318" s="1963"/>
      <c r="N1318" s="1963"/>
    </row>
    <row r="1319" spans="1:16" ht="12.75" customHeight="1" x14ac:dyDescent="0.25">
      <c r="B1319" s="3"/>
      <c r="C1319" s="3"/>
      <c r="D1319" s="15"/>
      <c r="E1319" s="2070" t="str">
        <f>Translations!$B$1080</f>
        <v>Om den beräknade preliminära årsmängden utsläppsrätter som tilldelas gratis är ett negativt värde för en delanläggning ska noll anges i stället.</v>
      </c>
      <c r="F1319" s="2071"/>
      <c r="G1319" s="2071"/>
      <c r="H1319" s="2071"/>
      <c r="I1319" s="2071"/>
      <c r="J1319" s="2071"/>
      <c r="K1319" s="2071"/>
      <c r="L1319" s="2071"/>
      <c r="M1319" s="2071"/>
      <c r="N1319" s="2071"/>
    </row>
    <row r="1320" spans="1:16" ht="5.15" customHeight="1" x14ac:dyDescent="0.25">
      <c r="B1320" s="15"/>
      <c r="C1320" s="15"/>
      <c r="D1320" s="15"/>
      <c r="E1320" s="15"/>
      <c r="F1320" s="15"/>
      <c r="G1320" s="15"/>
      <c r="H1320" s="15"/>
      <c r="I1320" s="15"/>
      <c r="J1320" s="15"/>
      <c r="K1320" s="15"/>
      <c r="L1320" s="15"/>
      <c r="M1320" s="15"/>
      <c r="N1320" s="15"/>
    </row>
    <row r="1321" spans="1:16" ht="13" x14ac:dyDescent="0.25">
      <c r="B1321" s="3"/>
      <c r="C1321" s="453"/>
      <c r="D1321" s="13" t="s">
        <v>442</v>
      </c>
      <c r="E1321" s="2072" t="str">
        <f>Translations!$B$1081</f>
        <v>Beräkningen av den lägsta, högsta eller faktiska preliminära tilldelningen?</v>
      </c>
      <c r="F1321" s="2072"/>
      <c r="G1321" s="2072"/>
      <c r="H1321" s="2072"/>
      <c r="I1321" s="2072"/>
      <c r="J1321" s="2072"/>
      <c r="K1321" s="2073"/>
      <c r="L1321" s="1789"/>
      <c r="M1321" s="15"/>
      <c r="N1321" s="15"/>
    </row>
    <row r="1322" spans="1:16" ht="12.75" customHeight="1" x14ac:dyDescent="0.25">
      <c r="B1322" s="3"/>
      <c r="C1322" s="3"/>
      <c r="D1322" s="15"/>
      <c r="E1322" s="2061" t="str">
        <f>Translations!$B$1082</f>
        <v>Utifrån vad som väljs här kommer den ungefärliga lägsta, högsta eller faktiska preliminära tilldelningen att visas, såsom anges i avsnitt IV ovan.</v>
      </c>
      <c r="F1322" s="1963"/>
      <c r="G1322" s="1963"/>
      <c r="H1322" s="1963"/>
      <c r="I1322" s="1963"/>
      <c r="J1322" s="1963"/>
      <c r="K1322" s="1963"/>
      <c r="L1322" s="1963"/>
      <c r="M1322" s="1963"/>
      <c r="N1322" s="1963"/>
    </row>
    <row r="1323" spans="1:16" ht="12.75" customHeight="1" x14ac:dyDescent="0.25">
      <c r="B1323" s="3"/>
      <c r="C1323" s="3"/>
      <c r="D1323" s="15"/>
      <c r="E1323" s="2061" t="str">
        <f>Translations!$B$1083</f>
        <v>Var god notera att den faktiska tilldelningen endast kan beräknas när de nya riktmärkesvärdena har offentliggjorts. Inga beräkningar görs före detta, om ”faktiskt” har valts.</v>
      </c>
      <c r="F1323" s="1963"/>
      <c r="G1323" s="1963"/>
      <c r="H1323" s="1963"/>
      <c r="I1323" s="1963"/>
      <c r="J1323" s="1963"/>
      <c r="K1323" s="1963"/>
      <c r="L1323" s="1963"/>
      <c r="M1323" s="1963"/>
      <c r="N1323" s="1963"/>
    </row>
    <row r="1324" spans="1:16" ht="12.75" customHeight="1" x14ac:dyDescent="0.25">
      <c r="B1324" s="3"/>
      <c r="C1324" s="3"/>
      <c r="D1324" s="15"/>
      <c r="E1324" s="2061" t="str">
        <f>Translations!$B$1084</f>
        <v>Om fältet lämnas tomt används lägsta preliminära tilldelning som standard för alla beräkningar nedan.</v>
      </c>
      <c r="F1324" s="1963"/>
      <c r="G1324" s="1963"/>
      <c r="H1324" s="1963"/>
      <c r="I1324" s="1963"/>
      <c r="J1324" s="1963"/>
      <c r="K1324" s="1963"/>
      <c r="L1324" s="1963"/>
      <c r="M1324" s="1963"/>
      <c r="N1324" s="1963"/>
    </row>
    <row r="1325" spans="1:16" ht="5.15" customHeight="1" x14ac:dyDescent="0.25">
      <c r="B1325" s="15"/>
      <c r="C1325" s="15"/>
      <c r="D1325" s="15"/>
      <c r="E1325" s="15"/>
      <c r="F1325" s="15"/>
      <c r="G1325" s="15"/>
      <c r="H1325" s="15"/>
      <c r="I1325" s="15"/>
      <c r="J1325" s="15"/>
      <c r="K1325" s="15"/>
      <c r="L1325" s="15"/>
      <c r="M1325" s="15"/>
      <c r="N1325" s="15"/>
    </row>
    <row r="1326" spans="1:16" ht="13" x14ac:dyDescent="0.25">
      <c r="B1326" s="3"/>
      <c r="C1326" s="453"/>
      <c r="D1326" s="13" t="s">
        <v>955</v>
      </c>
      <c r="E1326" s="39" t="str">
        <f>Translations!$B$1085</f>
        <v>Beräkningsfaktorer:</v>
      </c>
      <c r="F1326" s="39"/>
      <c r="G1326" s="39"/>
      <c r="H1326" s="178"/>
      <c r="I1326" s="14"/>
      <c r="J1326" s="14"/>
      <c r="K1326" s="20"/>
      <c r="L1326" s="15"/>
      <c r="M1326" s="15"/>
      <c r="N1326" s="15"/>
    </row>
    <row r="1327" spans="1:16" ht="13" x14ac:dyDescent="0.25">
      <c r="B1327" s="15"/>
      <c r="C1327" s="15"/>
      <c r="D1327" s="15"/>
      <c r="E1327" s="188"/>
      <c r="F1327" s="188"/>
      <c r="G1327" s="188"/>
      <c r="H1327" s="512"/>
      <c r="I1327" s="350">
        <v>2021</v>
      </c>
      <c r="J1327" s="350">
        <v>2022</v>
      </c>
      <c r="K1327" s="350">
        <v>2023</v>
      </c>
      <c r="L1327" s="350">
        <v>2024</v>
      </c>
      <c r="M1327" s="350">
        <v>2025</v>
      </c>
      <c r="N1327" s="15"/>
    </row>
    <row r="1328" spans="1:16" x14ac:dyDescent="0.25">
      <c r="B1328" s="15"/>
      <c r="C1328" s="15"/>
      <c r="D1328" s="15"/>
      <c r="E1328" s="2064" t="str">
        <f>Translations!$B$1086</f>
        <v>KL-faktor för ej KL-sektorer</v>
      </c>
      <c r="F1328" s="2064"/>
      <c r="G1328" s="2064"/>
      <c r="H1328" s="2064"/>
      <c r="I1328" s="716">
        <f>[1]K_Summary!I1318</f>
        <v>0.3</v>
      </c>
      <c r="J1328" s="716">
        <f>[1]K_Summary!J1318</f>
        <v>0.3</v>
      </c>
      <c r="K1328" s="716">
        <f>[1]K_Summary!K1318</f>
        <v>0.3</v>
      </c>
      <c r="L1328" s="716">
        <f>[1]K_Summary!L1318</f>
        <v>0.3</v>
      </c>
      <c r="M1328" s="716">
        <f>[1]K_Summary!M1318</f>
        <v>0.3</v>
      </c>
      <c r="N1328" s="15"/>
    </row>
    <row r="1329" spans="2:14" x14ac:dyDescent="0.25">
      <c r="B1329" s="15"/>
      <c r="C1329" s="15"/>
      <c r="D1329" s="15"/>
      <c r="E1329" s="2064" t="str">
        <f>Translations!$B$1087</f>
        <v>KL-faktor för fjärrvärme</v>
      </c>
      <c r="F1329" s="2064"/>
      <c r="G1329" s="2064"/>
      <c r="H1329" s="2064"/>
      <c r="I1329" s="716">
        <f>[1]K_Summary!I1319</f>
        <v>0.3</v>
      </c>
      <c r="J1329" s="716">
        <f>[1]K_Summary!J1319</f>
        <v>0.3</v>
      </c>
      <c r="K1329" s="716">
        <f>[1]K_Summary!K1319</f>
        <v>0.3</v>
      </c>
      <c r="L1329" s="716">
        <f>[1]K_Summary!L1319</f>
        <v>0.3</v>
      </c>
      <c r="M1329" s="716">
        <f>[1]K_Summary!M1319</f>
        <v>0.3</v>
      </c>
      <c r="N1329" s="15"/>
    </row>
    <row r="1330" spans="2:14" ht="12.75" customHeight="1" x14ac:dyDescent="0.25">
      <c r="B1330" s="15"/>
      <c r="C1330" s="15"/>
      <c r="D1330" s="15"/>
      <c r="E1330" s="2061" t="str">
        <f>Translations!$B$1088</f>
        <v>Anmärkning: KL-faktorn för KL-utsatta sektorer är 1,0000 för samtliga år.</v>
      </c>
      <c r="F1330" s="2061"/>
      <c r="G1330" s="2061"/>
      <c r="H1330" s="2061"/>
      <c r="I1330" s="2061"/>
      <c r="J1330" s="2061"/>
      <c r="K1330" s="2061"/>
      <c r="L1330" s="2061"/>
      <c r="M1330" s="2061"/>
      <c r="N1330" s="2061"/>
    </row>
    <row r="1331" spans="2:14" x14ac:dyDescent="0.25">
      <c r="B1331" s="15"/>
      <c r="C1331" s="15"/>
      <c r="D1331" s="15"/>
      <c r="E1331" s="15"/>
      <c r="F1331" s="15"/>
      <c r="G1331" s="15"/>
      <c r="H1331" s="15"/>
      <c r="I1331" s="15"/>
      <c r="J1331" s="15"/>
      <c r="K1331" s="15"/>
      <c r="L1331" s="15"/>
      <c r="M1331" s="15"/>
      <c r="N1331" s="15"/>
    </row>
    <row r="1332" spans="2:14" ht="13" x14ac:dyDescent="0.25">
      <c r="B1332" s="3"/>
      <c r="C1332" s="453"/>
      <c r="D1332" s="13" t="s">
        <v>55</v>
      </c>
      <c r="E1332" s="39" t="str">
        <f>Translations!$B$1089</f>
        <v>Beräkning i enlighet med artikel 16.1–7 i FAR:</v>
      </c>
      <c r="F1332" s="39"/>
      <c r="G1332" s="39"/>
      <c r="H1332" s="178"/>
      <c r="I1332" s="14"/>
      <c r="J1332" s="14"/>
      <c r="K1332" s="20"/>
      <c r="L1332" s="15"/>
      <c r="M1332" s="15"/>
      <c r="N1332" s="15"/>
    </row>
    <row r="1333" spans="2:14" ht="5.15" customHeight="1" x14ac:dyDescent="0.25">
      <c r="B1333" s="15"/>
      <c r="C1333" s="15"/>
      <c r="D1333" s="15"/>
      <c r="E1333" s="15"/>
      <c r="F1333" s="15"/>
      <c r="G1333" s="15"/>
      <c r="H1333" s="15"/>
      <c r="I1333" s="15"/>
      <c r="J1333" s="15"/>
      <c r="K1333" s="15"/>
      <c r="L1333" s="15"/>
      <c r="M1333" s="15"/>
      <c r="N1333" s="15"/>
    </row>
    <row r="1334" spans="2:14" ht="12.75" customHeight="1" x14ac:dyDescent="0.25">
      <c r="B1334" s="15"/>
      <c r="C1334" s="15"/>
      <c r="D1334" s="2062" t="str">
        <f>Translations!$B$462</f>
        <v>Delanläggning</v>
      </c>
      <c r="E1334" s="2062"/>
      <c r="F1334" s="2062"/>
      <c r="G1334" s="2062"/>
      <c r="H1334" s="2063"/>
      <c r="I1334" s="350">
        <v>2021</v>
      </c>
      <c r="J1334" s="350">
        <v>2022</v>
      </c>
      <c r="K1334" s="350">
        <v>2023</v>
      </c>
      <c r="L1334" s="350">
        <v>2024</v>
      </c>
      <c r="M1334" s="350">
        <v>2025</v>
      </c>
      <c r="N1334" s="15"/>
    </row>
    <row r="1335" spans="2:14" x14ac:dyDescent="0.25">
      <c r="B1335" s="15"/>
      <c r="C1335" s="194">
        <v>1</v>
      </c>
      <c r="D1335" s="2064" t="str">
        <f>[1]K_Summary!D1325</f>
        <v/>
      </c>
      <c r="E1335" s="2064"/>
      <c r="F1335" s="2064"/>
      <c r="G1335" s="2064"/>
      <c r="H1335" s="2064"/>
      <c r="I1335" s="346" t="str">
        <f>[1]K_Summary!I1325</f>
        <v/>
      </c>
      <c r="J1335" s="346" t="str">
        <f>[1]K_Summary!J1325</f>
        <v/>
      </c>
      <c r="K1335" s="346" t="str">
        <f>[1]K_Summary!K1325</f>
        <v/>
      </c>
      <c r="L1335" s="346" t="str">
        <f>[1]K_Summary!L1325</f>
        <v/>
      </c>
      <c r="M1335" s="346" t="str">
        <f>[1]K_Summary!M1325</f>
        <v/>
      </c>
      <c r="N1335" s="15"/>
    </row>
    <row r="1336" spans="2:14" x14ac:dyDescent="0.25">
      <c r="B1336" s="15"/>
      <c r="C1336" s="194">
        <v>2</v>
      </c>
      <c r="D1336" s="2064" t="str">
        <f>[1]K_Summary!D1326</f>
        <v/>
      </c>
      <c r="E1336" s="2064"/>
      <c r="F1336" s="2064"/>
      <c r="G1336" s="2064"/>
      <c r="H1336" s="2064"/>
      <c r="I1336" s="346" t="str">
        <f>[1]K_Summary!I1326</f>
        <v/>
      </c>
      <c r="J1336" s="346" t="str">
        <f>[1]K_Summary!J1326</f>
        <v/>
      </c>
      <c r="K1336" s="346" t="str">
        <f>[1]K_Summary!K1326</f>
        <v/>
      </c>
      <c r="L1336" s="346" t="str">
        <f>[1]K_Summary!L1326</f>
        <v/>
      </c>
      <c r="M1336" s="346" t="str">
        <f>[1]K_Summary!M1326</f>
        <v/>
      </c>
      <c r="N1336" s="15"/>
    </row>
    <row r="1337" spans="2:14" x14ac:dyDescent="0.25">
      <c r="B1337" s="15"/>
      <c r="C1337" s="194">
        <v>3</v>
      </c>
      <c r="D1337" s="2064" t="str">
        <f>[1]K_Summary!D1327</f>
        <v/>
      </c>
      <c r="E1337" s="2064"/>
      <c r="F1337" s="2064"/>
      <c r="G1337" s="2064"/>
      <c r="H1337" s="2064"/>
      <c r="I1337" s="346" t="str">
        <f>[1]K_Summary!I1327</f>
        <v/>
      </c>
      <c r="J1337" s="346" t="str">
        <f>[1]K_Summary!J1327</f>
        <v/>
      </c>
      <c r="K1337" s="346" t="str">
        <f>[1]K_Summary!K1327</f>
        <v/>
      </c>
      <c r="L1337" s="346" t="str">
        <f>[1]K_Summary!L1327</f>
        <v/>
      </c>
      <c r="M1337" s="346" t="str">
        <f>[1]K_Summary!M1327</f>
        <v/>
      </c>
      <c r="N1337" s="15"/>
    </row>
    <row r="1338" spans="2:14" x14ac:dyDescent="0.25">
      <c r="B1338" s="15"/>
      <c r="C1338" s="194">
        <v>4</v>
      </c>
      <c r="D1338" s="2064" t="str">
        <f>[1]K_Summary!D1328</f>
        <v/>
      </c>
      <c r="E1338" s="2064"/>
      <c r="F1338" s="2064"/>
      <c r="G1338" s="2064"/>
      <c r="H1338" s="2064"/>
      <c r="I1338" s="346" t="str">
        <f>[1]K_Summary!I1328</f>
        <v/>
      </c>
      <c r="J1338" s="346" t="str">
        <f>[1]K_Summary!J1328</f>
        <v/>
      </c>
      <c r="K1338" s="346" t="str">
        <f>[1]K_Summary!K1328</f>
        <v/>
      </c>
      <c r="L1338" s="346" t="str">
        <f>[1]K_Summary!L1328</f>
        <v/>
      </c>
      <c r="M1338" s="346" t="str">
        <f>[1]K_Summary!M1328</f>
        <v/>
      </c>
      <c r="N1338" s="15"/>
    </row>
    <row r="1339" spans="2:14" x14ac:dyDescent="0.25">
      <c r="B1339" s="15"/>
      <c r="C1339" s="194">
        <v>5</v>
      </c>
      <c r="D1339" s="2064" t="str">
        <f>[1]K_Summary!D1329</f>
        <v/>
      </c>
      <c r="E1339" s="2064"/>
      <c r="F1339" s="2064"/>
      <c r="G1339" s="2064"/>
      <c r="H1339" s="2064"/>
      <c r="I1339" s="346" t="str">
        <f>[1]K_Summary!I1329</f>
        <v/>
      </c>
      <c r="J1339" s="346" t="str">
        <f>[1]K_Summary!J1329</f>
        <v/>
      </c>
      <c r="K1339" s="346" t="str">
        <f>[1]K_Summary!K1329</f>
        <v/>
      </c>
      <c r="L1339" s="346" t="str">
        <f>[1]K_Summary!L1329</f>
        <v/>
      </c>
      <c r="M1339" s="346" t="str">
        <f>[1]K_Summary!M1329</f>
        <v/>
      </c>
      <c r="N1339" s="15"/>
    </row>
    <row r="1340" spans="2:14" x14ac:dyDescent="0.25">
      <c r="B1340" s="15"/>
      <c r="C1340" s="194">
        <v>6</v>
      </c>
      <c r="D1340" s="2064" t="str">
        <f>[1]K_Summary!D1330</f>
        <v/>
      </c>
      <c r="E1340" s="2064"/>
      <c r="F1340" s="2064"/>
      <c r="G1340" s="2064"/>
      <c r="H1340" s="2064"/>
      <c r="I1340" s="346" t="str">
        <f>[1]K_Summary!I1330</f>
        <v/>
      </c>
      <c r="J1340" s="346" t="str">
        <f>[1]K_Summary!J1330</f>
        <v/>
      </c>
      <c r="K1340" s="346" t="str">
        <f>[1]K_Summary!K1330</f>
        <v/>
      </c>
      <c r="L1340" s="346" t="str">
        <f>[1]K_Summary!L1330</f>
        <v/>
      </c>
      <c r="M1340" s="346" t="str">
        <f>[1]K_Summary!M1330</f>
        <v/>
      </c>
      <c r="N1340" s="15"/>
    </row>
    <row r="1341" spans="2:14" ht="12.75" customHeight="1" x14ac:dyDescent="0.25">
      <c r="B1341" s="15"/>
      <c r="C1341" s="194">
        <v>7</v>
      </c>
      <c r="D1341" s="2064" t="str">
        <f>[1]K_Summary!D1331</f>
        <v/>
      </c>
      <c r="E1341" s="2064"/>
      <c r="F1341" s="2064"/>
      <c r="G1341" s="2064"/>
      <c r="H1341" s="2064"/>
      <c r="I1341" s="346" t="str">
        <f>[1]K_Summary!I1331</f>
        <v/>
      </c>
      <c r="J1341" s="346" t="str">
        <f>[1]K_Summary!J1331</f>
        <v/>
      </c>
      <c r="K1341" s="346" t="str">
        <f>[1]K_Summary!K1331</f>
        <v/>
      </c>
      <c r="L1341" s="346" t="str">
        <f>[1]K_Summary!L1331</f>
        <v/>
      </c>
      <c r="M1341" s="346" t="str">
        <f>[1]K_Summary!M1331</f>
        <v/>
      </c>
      <c r="N1341" s="15"/>
    </row>
    <row r="1342" spans="2:14" ht="12.75" customHeight="1" x14ac:dyDescent="0.25">
      <c r="B1342" s="15"/>
      <c r="C1342" s="194">
        <v>8</v>
      </c>
      <c r="D1342" s="2064" t="str">
        <f>[1]K_Summary!D1332</f>
        <v/>
      </c>
      <c r="E1342" s="2064"/>
      <c r="F1342" s="2064"/>
      <c r="G1342" s="2064"/>
      <c r="H1342" s="2064"/>
      <c r="I1342" s="346" t="str">
        <f>[1]K_Summary!I1332</f>
        <v/>
      </c>
      <c r="J1342" s="346" t="str">
        <f>[1]K_Summary!J1332</f>
        <v/>
      </c>
      <c r="K1342" s="346" t="str">
        <f>[1]K_Summary!K1332</f>
        <v/>
      </c>
      <c r="L1342" s="346" t="str">
        <f>[1]K_Summary!L1332</f>
        <v/>
      </c>
      <c r="M1342" s="346" t="str">
        <f>[1]K_Summary!M1332</f>
        <v/>
      </c>
      <c r="N1342" s="15"/>
    </row>
    <row r="1343" spans="2:14" ht="12.75" customHeight="1" x14ac:dyDescent="0.25">
      <c r="B1343" s="15"/>
      <c r="C1343" s="194">
        <v>9</v>
      </c>
      <c r="D1343" s="2064" t="str">
        <f>[1]K_Summary!D1333</f>
        <v/>
      </c>
      <c r="E1343" s="2064"/>
      <c r="F1343" s="2064"/>
      <c r="G1343" s="2064"/>
      <c r="H1343" s="2064"/>
      <c r="I1343" s="346" t="str">
        <f>[1]K_Summary!I1333</f>
        <v/>
      </c>
      <c r="J1343" s="346" t="str">
        <f>[1]K_Summary!J1333</f>
        <v/>
      </c>
      <c r="K1343" s="346" t="str">
        <f>[1]K_Summary!K1333</f>
        <v/>
      </c>
      <c r="L1343" s="346" t="str">
        <f>[1]K_Summary!L1333</f>
        <v/>
      </c>
      <c r="M1343" s="346" t="str">
        <f>[1]K_Summary!M1333</f>
        <v/>
      </c>
      <c r="N1343" s="15"/>
    </row>
    <row r="1344" spans="2:14" ht="13" thickBot="1" x14ac:dyDescent="0.3">
      <c r="B1344" s="15"/>
      <c r="C1344" s="717">
        <v>10</v>
      </c>
      <c r="D1344" s="2065" t="str">
        <f>[1]K_Summary!D1334</f>
        <v/>
      </c>
      <c r="E1344" s="2065"/>
      <c r="F1344" s="2065"/>
      <c r="G1344" s="2065"/>
      <c r="H1344" s="2065"/>
      <c r="I1344" s="718" t="str">
        <f>[1]K_Summary!I1334</f>
        <v/>
      </c>
      <c r="J1344" s="718" t="str">
        <f>[1]K_Summary!J1334</f>
        <v/>
      </c>
      <c r="K1344" s="718" t="str">
        <f>[1]K_Summary!K1334</f>
        <v/>
      </c>
      <c r="L1344" s="718" t="str">
        <f>[1]K_Summary!L1334</f>
        <v/>
      </c>
      <c r="M1344" s="718" t="str">
        <f>[1]K_Summary!M1334</f>
        <v/>
      </c>
      <c r="N1344" s="15"/>
    </row>
    <row r="1345" spans="2:14" x14ac:dyDescent="0.25">
      <c r="B1345" s="15"/>
      <c r="C1345" s="194">
        <v>11</v>
      </c>
      <c r="D1345" s="2066" t="str">
        <f>[1]K_Summary!D1335</f>
        <v>Heat benchmark sub-installation, CL</v>
      </c>
      <c r="E1345" s="2066"/>
      <c r="F1345" s="2066"/>
      <c r="G1345" s="2066"/>
      <c r="H1345" s="2066"/>
      <c r="I1345" s="719" t="str">
        <f>[1]K_Summary!I1335</f>
        <v/>
      </c>
      <c r="J1345" s="719" t="str">
        <f>[1]K_Summary!J1335</f>
        <v/>
      </c>
      <c r="K1345" s="719" t="str">
        <f>[1]K_Summary!K1335</f>
        <v/>
      </c>
      <c r="L1345" s="719" t="str">
        <f>[1]K_Summary!L1335</f>
        <v/>
      </c>
      <c r="M1345" s="719" t="str">
        <f>[1]K_Summary!M1335</f>
        <v/>
      </c>
      <c r="N1345" s="15"/>
    </row>
    <row r="1346" spans="2:14" x14ac:dyDescent="0.25">
      <c r="B1346" s="15"/>
      <c r="C1346" s="194">
        <v>12</v>
      </c>
      <c r="D1346" s="2064" t="str">
        <f>[1]K_Summary!D1336</f>
        <v>Heat benchmark sub-installation, non-CL</v>
      </c>
      <c r="E1346" s="2064"/>
      <c r="F1346" s="2064"/>
      <c r="G1346" s="2064"/>
      <c r="H1346" s="2064"/>
      <c r="I1346" s="346" t="str">
        <f>[1]K_Summary!I1336</f>
        <v/>
      </c>
      <c r="J1346" s="346" t="str">
        <f>[1]K_Summary!J1336</f>
        <v/>
      </c>
      <c r="K1346" s="346" t="str">
        <f>[1]K_Summary!K1336</f>
        <v/>
      </c>
      <c r="L1346" s="346" t="str">
        <f>[1]K_Summary!L1336</f>
        <v/>
      </c>
      <c r="M1346" s="346" t="str">
        <f>[1]K_Summary!M1336</f>
        <v/>
      </c>
      <c r="N1346" s="15"/>
    </row>
    <row r="1347" spans="2:14" x14ac:dyDescent="0.25">
      <c r="B1347" s="15"/>
      <c r="C1347" s="194">
        <v>13</v>
      </c>
      <c r="D1347" s="2064" t="str">
        <f>[1]K_Summary!D1337</f>
        <v>District heating sub-installation</v>
      </c>
      <c r="E1347" s="2064"/>
      <c r="F1347" s="2064"/>
      <c r="G1347" s="2064"/>
      <c r="H1347" s="2064"/>
      <c r="I1347" s="346" t="str">
        <f>[1]K_Summary!I1337</f>
        <v/>
      </c>
      <c r="J1347" s="346" t="str">
        <f>[1]K_Summary!J1337</f>
        <v/>
      </c>
      <c r="K1347" s="346" t="str">
        <f>[1]K_Summary!K1337</f>
        <v/>
      </c>
      <c r="L1347" s="346" t="str">
        <f>[1]K_Summary!L1337</f>
        <v/>
      </c>
      <c r="M1347" s="346" t="str">
        <f>[1]K_Summary!M1337</f>
        <v/>
      </c>
      <c r="N1347" s="15"/>
    </row>
    <row r="1348" spans="2:14" x14ac:dyDescent="0.25">
      <c r="B1348" s="15"/>
      <c r="C1348" s="194">
        <v>14</v>
      </c>
      <c r="D1348" s="2064" t="str">
        <f>[1]K_Summary!D1338</f>
        <v>Fuel benchmark sub-installation, CL</v>
      </c>
      <c r="E1348" s="2064"/>
      <c r="F1348" s="2064"/>
      <c r="G1348" s="2064"/>
      <c r="H1348" s="2064"/>
      <c r="I1348" s="346" t="str">
        <f>[1]K_Summary!I1338</f>
        <v/>
      </c>
      <c r="J1348" s="346" t="str">
        <f>[1]K_Summary!J1338</f>
        <v/>
      </c>
      <c r="K1348" s="346" t="str">
        <f>[1]K_Summary!K1338</f>
        <v/>
      </c>
      <c r="L1348" s="346" t="str">
        <f>[1]K_Summary!L1338</f>
        <v/>
      </c>
      <c r="M1348" s="346" t="str">
        <f>[1]K_Summary!M1338</f>
        <v/>
      </c>
      <c r="N1348" s="15"/>
    </row>
    <row r="1349" spans="2:14" x14ac:dyDescent="0.25">
      <c r="B1349" s="15"/>
      <c r="C1349" s="194">
        <v>15</v>
      </c>
      <c r="D1349" s="2064" t="str">
        <f>[1]K_Summary!D1339</f>
        <v>Fuel benchmark sub-installation, non-CL</v>
      </c>
      <c r="E1349" s="2064"/>
      <c r="F1349" s="2064"/>
      <c r="G1349" s="2064"/>
      <c r="H1349" s="2064"/>
      <c r="I1349" s="346" t="str">
        <f>[1]K_Summary!I1339</f>
        <v/>
      </c>
      <c r="J1349" s="346" t="str">
        <f>[1]K_Summary!J1339</f>
        <v/>
      </c>
      <c r="K1349" s="346" t="str">
        <f>[1]K_Summary!K1339</f>
        <v/>
      </c>
      <c r="L1349" s="346" t="str">
        <f>[1]K_Summary!L1339</f>
        <v/>
      </c>
      <c r="M1349" s="346" t="str">
        <f>[1]K_Summary!M1339</f>
        <v/>
      </c>
      <c r="N1349" s="15"/>
    </row>
    <row r="1350" spans="2:14" x14ac:dyDescent="0.25">
      <c r="B1350" s="15"/>
      <c r="C1350" s="194">
        <v>16</v>
      </c>
      <c r="D1350" s="2064" t="str">
        <f>[1]K_Summary!D1340</f>
        <v>Process emissions sub-installation, CL</v>
      </c>
      <c r="E1350" s="2064"/>
      <c r="F1350" s="2064"/>
      <c r="G1350" s="2064"/>
      <c r="H1350" s="2064"/>
      <c r="I1350" s="725" t="str">
        <f>[1]K_Summary!I1340</f>
        <v/>
      </c>
      <c r="J1350" s="725" t="str">
        <f>[1]K_Summary!J1340</f>
        <v/>
      </c>
      <c r="K1350" s="725" t="str">
        <f>[1]K_Summary!K1340</f>
        <v/>
      </c>
      <c r="L1350" s="725" t="str">
        <f>[1]K_Summary!L1340</f>
        <v/>
      </c>
      <c r="M1350" s="725" t="str">
        <f>[1]K_Summary!M1340</f>
        <v/>
      </c>
      <c r="N1350" s="15"/>
    </row>
    <row r="1351" spans="2:14" ht="13" thickBot="1" x14ac:dyDescent="0.3">
      <c r="B1351" s="15"/>
      <c r="C1351" s="724">
        <v>17</v>
      </c>
      <c r="D1351" s="2068" t="str">
        <f>[1]K_Summary!D1341</f>
        <v>Process emissions sub-installation, non-CL</v>
      </c>
      <c r="E1351" s="2068"/>
      <c r="F1351" s="2068"/>
      <c r="G1351" s="2068"/>
      <c r="H1351" s="2068"/>
      <c r="I1351" s="718" t="str">
        <f>[1]K_Summary!I1341</f>
        <v/>
      </c>
      <c r="J1351" s="718" t="str">
        <f>[1]K_Summary!J1341</f>
        <v/>
      </c>
      <c r="K1351" s="718" t="str">
        <f>[1]K_Summary!K1341</f>
        <v/>
      </c>
      <c r="L1351" s="718" t="str">
        <f>[1]K_Summary!L1341</f>
        <v/>
      </c>
      <c r="M1351" s="718" t="str">
        <f>[1]K_Summary!M1341</f>
        <v/>
      </c>
      <c r="N1351" s="15"/>
    </row>
    <row r="1352" spans="2:14" ht="13" x14ac:dyDescent="0.25">
      <c r="B1352" s="15"/>
      <c r="C1352" s="15"/>
      <c r="D1352" s="2069" t="str">
        <f>Translations!$B$1090</f>
        <v>Total preliminär gratis tilldelning</v>
      </c>
      <c r="E1352" s="2069"/>
      <c r="F1352" s="2069"/>
      <c r="G1352" s="2069"/>
      <c r="H1352" s="2069"/>
      <c r="I1352" s="720" t="str">
        <f>[1]K_Summary!I1342</f>
        <v/>
      </c>
      <c r="J1352" s="720" t="str">
        <f>[1]K_Summary!J1342</f>
        <v/>
      </c>
      <c r="K1352" s="720" t="str">
        <f>[1]K_Summary!K1342</f>
        <v/>
      </c>
      <c r="L1352" s="720" t="str">
        <f>[1]K_Summary!L1342</f>
        <v/>
      </c>
      <c r="M1352" s="720" t="str">
        <f>[1]K_Summary!M1342</f>
        <v/>
      </c>
      <c r="N1352" s="15"/>
    </row>
    <row r="1353" spans="2:14" x14ac:dyDescent="0.25">
      <c r="B1353" s="15"/>
      <c r="C1353" s="15"/>
      <c r="D1353" s="15"/>
      <c r="E1353" s="15"/>
      <c r="F1353" s="15"/>
      <c r="G1353" s="15"/>
      <c r="H1353" s="15"/>
      <c r="I1353" s="15"/>
      <c r="J1353" s="15"/>
      <c r="K1353" s="15"/>
      <c r="L1353" s="15"/>
      <c r="M1353" s="15"/>
      <c r="N1353" s="15"/>
    </row>
    <row r="1354" spans="2:14" ht="14" x14ac:dyDescent="0.3">
      <c r="B1354" s="3"/>
      <c r="C1354" s="17">
        <v>2</v>
      </c>
      <c r="D1354" s="619" t="str">
        <f>Translations!$B$1091</f>
        <v>Vägledande förväntad slutlig mängd gratis utsläppsrätter:</v>
      </c>
      <c r="E1354" s="178"/>
      <c r="F1354" s="178"/>
      <c r="G1354" s="178"/>
      <c r="H1354" s="178"/>
      <c r="I1354" s="14"/>
      <c r="J1354" s="14"/>
      <c r="K1354" s="20"/>
      <c r="L1354" s="15"/>
      <c r="M1354" s="15"/>
      <c r="N1354" s="15"/>
    </row>
    <row r="1355" spans="2:14" ht="5.15" customHeight="1" x14ac:dyDescent="0.25">
      <c r="B1355" s="15"/>
      <c r="C1355" s="15"/>
      <c r="D1355" s="15"/>
      <c r="E1355" s="15"/>
      <c r="F1355" s="15"/>
      <c r="G1355" s="15"/>
      <c r="H1355" s="15"/>
      <c r="I1355" s="15"/>
      <c r="J1355" s="15"/>
      <c r="K1355" s="15"/>
      <c r="L1355" s="15"/>
      <c r="M1355" s="15"/>
      <c r="N1355" s="15"/>
    </row>
    <row r="1356" spans="2:14" ht="13" x14ac:dyDescent="0.25">
      <c r="B1356" s="3"/>
      <c r="C1356" s="453"/>
      <c r="D1356" s="13" t="s">
        <v>442</v>
      </c>
      <c r="E1356" s="39" t="str">
        <f>Translations!$B$1092</f>
        <v>Linjär faktor enligt artikel 10a.4 i ETS-direktivet:</v>
      </c>
      <c r="F1356" s="39"/>
      <c r="G1356" s="39"/>
      <c r="H1356" s="178"/>
      <c r="I1356" s="14"/>
      <c r="J1356" s="14"/>
      <c r="K1356" s="20"/>
      <c r="L1356" s="15"/>
      <c r="M1356" s="15"/>
      <c r="N1356" s="15"/>
    </row>
    <row r="1357" spans="2:14" ht="5.15" customHeight="1" x14ac:dyDescent="0.25">
      <c r="B1357" s="15"/>
      <c r="C1357" s="15"/>
      <c r="D1357" s="15"/>
      <c r="E1357" s="15"/>
      <c r="F1357" s="15"/>
      <c r="G1357" s="15"/>
      <c r="H1357" s="15"/>
      <c r="I1357" s="15"/>
      <c r="J1357" s="15"/>
      <c r="K1357" s="15"/>
      <c r="L1357" s="15"/>
      <c r="M1357" s="15"/>
      <c r="N1357" s="15"/>
    </row>
    <row r="1358" spans="2:14" ht="13" x14ac:dyDescent="0.25">
      <c r="B1358" s="15"/>
      <c r="C1358" s="15"/>
      <c r="D1358" s="15"/>
      <c r="E1358" s="188"/>
      <c r="F1358" s="188"/>
      <c r="G1358" s="188"/>
      <c r="H1358" s="512"/>
      <c r="I1358" s="350">
        <v>2021</v>
      </c>
      <c r="J1358" s="350">
        <v>2022</v>
      </c>
      <c r="K1358" s="350">
        <v>2023</v>
      </c>
      <c r="L1358" s="350">
        <v>2024</v>
      </c>
      <c r="M1358" s="350">
        <v>2025</v>
      </c>
      <c r="N1358" s="15"/>
    </row>
    <row r="1359" spans="2:14" x14ac:dyDescent="0.25">
      <c r="B1359" s="15"/>
      <c r="C1359" s="15"/>
      <c r="D1359" s="15"/>
      <c r="E1359" s="2064" t="str">
        <f>Translations!$B$1093</f>
        <v>Linjär faktor</v>
      </c>
      <c r="F1359" s="2064"/>
      <c r="G1359" s="2064"/>
      <c r="H1359" s="2064"/>
      <c r="I1359" s="716">
        <f>[1]K_Summary!I1349</f>
        <v>0.85619999999999996</v>
      </c>
      <c r="J1359" s="716">
        <f>[1]K_Summary!J1349</f>
        <v>0.83420000000000005</v>
      </c>
      <c r="K1359" s="716">
        <f>[1]K_Summary!K1349</f>
        <v>0.81220000000000003</v>
      </c>
      <c r="L1359" s="716">
        <f>[1]K_Summary!L1349</f>
        <v>0.79020000000000001</v>
      </c>
      <c r="M1359" s="716">
        <f>[1]K_Summary!M1349</f>
        <v>0.76819999999999999</v>
      </c>
      <c r="N1359" s="15"/>
    </row>
    <row r="1360" spans="2:14" ht="5.15" customHeight="1" x14ac:dyDescent="0.25">
      <c r="B1360" s="15"/>
      <c r="C1360" s="15"/>
      <c r="D1360" s="15"/>
      <c r="E1360" s="15"/>
      <c r="F1360" s="15"/>
      <c r="G1360" s="15"/>
      <c r="H1360" s="15"/>
      <c r="I1360" s="15"/>
      <c r="J1360" s="15"/>
      <c r="K1360" s="15"/>
      <c r="L1360" s="15"/>
      <c r="M1360" s="15"/>
      <c r="N1360" s="15"/>
    </row>
    <row r="1361" spans="2:14" ht="13" x14ac:dyDescent="0.25">
      <c r="B1361" s="3"/>
      <c r="C1361" s="3"/>
      <c r="D1361" s="13" t="s">
        <v>955</v>
      </c>
      <c r="E1361" s="39" t="str">
        <f>Translations!$B$1094</f>
        <v>Sektorsövergripande korrigeringsfaktor (CSCF) enligt artikel 14.6 i FAR:</v>
      </c>
      <c r="F1361" s="178"/>
      <c r="G1361" s="178"/>
      <c r="H1361" s="178"/>
      <c r="I1361" s="178"/>
      <c r="J1361" s="178"/>
      <c r="K1361" s="178"/>
      <c r="L1361" s="178"/>
      <c r="M1361" s="178"/>
      <c r="N1361" s="178"/>
    </row>
    <row r="1362" spans="2:14" ht="25.5" customHeight="1" x14ac:dyDescent="0.25">
      <c r="B1362" s="3"/>
      <c r="C1362" s="3"/>
      <c r="D1362" s="15"/>
      <c r="E1362" s="2061" t="str">
        <f>Translations!$B$1095</f>
        <v>I upplysningssyfte anges, såsom förklaras ovan, att ni kan ange värden för den enhetliga sektorsövergripande korrigeringsfaktorn enligt artikel 10a.5 i ETS-direktivet här. Standardvärdet är 1 tills kommissionen har offentliggjort det slutgiltiga värdet i enlighet med artikel 14.6 i FAR.</v>
      </c>
      <c r="F1362" s="1963"/>
      <c r="G1362" s="1963"/>
      <c r="H1362" s="1963"/>
      <c r="I1362" s="1963"/>
      <c r="J1362" s="1963"/>
      <c r="K1362" s="1963"/>
      <c r="L1362" s="1963"/>
      <c r="M1362" s="1963"/>
      <c r="N1362" s="1963"/>
    </row>
    <row r="1363" spans="2:14" ht="25.5" customHeight="1" x14ac:dyDescent="0.25">
      <c r="B1363" s="3"/>
      <c r="C1363" s="3"/>
      <c r="D1363" s="15"/>
      <c r="E1363" s="2070" t="str">
        <f>Translations!$B$1096</f>
        <v>Se till att inga uppgifter anges här när ni lämnar in denna rapport till den behöriga myndigheten för fastställande av de nationella genomförandeåtgärderna.</v>
      </c>
      <c r="F1363" s="2071"/>
      <c r="G1363" s="2071"/>
      <c r="H1363" s="2071"/>
      <c r="I1363" s="2071"/>
      <c r="J1363" s="2071"/>
      <c r="K1363" s="2071"/>
      <c r="L1363" s="2071"/>
      <c r="M1363" s="2071"/>
      <c r="N1363" s="2071"/>
    </row>
    <row r="1364" spans="2:14" ht="12.75" customHeight="1" x14ac:dyDescent="0.25">
      <c r="B1364" s="15"/>
      <c r="C1364" s="15"/>
      <c r="D1364" s="15"/>
      <c r="E1364" s="188"/>
      <c r="F1364" s="188"/>
      <c r="G1364" s="188"/>
      <c r="H1364" s="512"/>
      <c r="I1364" s="350">
        <v>2021</v>
      </c>
      <c r="J1364" s="350">
        <v>2022</v>
      </c>
      <c r="K1364" s="350">
        <v>2023</v>
      </c>
      <c r="L1364" s="350">
        <v>2024</v>
      </c>
      <c r="M1364" s="350">
        <v>2025</v>
      </c>
      <c r="N1364" s="15"/>
    </row>
    <row r="1365" spans="2:14" x14ac:dyDescent="0.25">
      <c r="B1365" s="15"/>
      <c r="C1365" s="15"/>
      <c r="D1365" s="15"/>
      <c r="E1365" s="2064" t="str">
        <f>Translations!$B$1097</f>
        <v>CSCF</v>
      </c>
      <c r="F1365" s="2064"/>
      <c r="G1365" s="2064"/>
      <c r="H1365" s="2064"/>
      <c r="I1365" s="1294">
        <v>1</v>
      </c>
      <c r="J1365" s="1294">
        <v>1</v>
      </c>
      <c r="K1365" s="1294">
        <v>1</v>
      </c>
      <c r="L1365" s="1294">
        <v>1</v>
      </c>
      <c r="M1365" s="1294">
        <v>1</v>
      </c>
      <c r="N1365" s="15"/>
    </row>
    <row r="1366" spans="2:14" x14ac:dyDescent="0.25">
      <c r="B1366" s="15"/>
      <c r="C1366" s="15"/>
      <c r="D1366" s="15"/>
      <c r="E1366" s="2064" t="str">
        <f>Translations!$B$1098</f>
        <v>Värde som används för beräkning</v>
      </c>
      <c r="F1366" s="2064"/>
      <c r="G1366" s="2064"/>
      <c r="H1366" s="2064"/>
      <c r="I1366" s="721">
        <f>[1]K_Summary!I1356</f>
        <v>1</v>
      </c>
      <c r="J1366" s="721">
        <f>[1]K_Summary!J1356</f>
        <v>1</v>
      </c>
      <c r="K1366" s="721">
        <f>[1]K_Summary!K1356</f>
        <v>1</v>
      </c>
      <c r="L1366" s="721">
        <f>[1]K_Summary!L1356</f>
        <v>1</v>
      </c>
      <c r="M1366" s="721">
        <f>[1]K_Summary!M1356</f>
        <v>1</v>
      </c>
      <c r="N1366" s="15"/>
    </row>
    <row r="1367" spans="2:14" ht="5.15" customHeight="1" x14ac:dyDescent="0.25">
      <c r="B1367" s="15"/>
      <c r="C1367" s="15"/>
      <c r="D1367" s="15"/>
      <c r="E1367" s="15"/>
      <c r="F1367" s="15"/>
      <c r="G1367" s="15"/>
      <c r="H1367" s="15"/>
      <c r="I1367" s="15"/>
      <c r="J1367" s="15"/>
      <c r="K1367" s="15"/>
      <c r="L1367" s="15"/>
      <c r="M1367" s="15"/>
      <c r="N1367" s="15"/>
    </row>
    <row r="1368" spans="2:14" ht="13" x14ac:dyDescent="0.25">
      <c r="B1368" s="15"/>
      <c r="C1368" s="15"/>
      <c r="D1368" s="13" t="s">
        <v>55</v>
      </c>
      <c r="E1368" s="39" t="str">
        <f>Translations!$B$1099</f>
        <v>Faktor som används för beräkning:</v>
      </c>
      <c r="F1368" s="15"/>
      <c r="G1368" s="15"/>
      <c r="H1368" s="15"/>
      <c r="I1368" s="15"/>
      <c r="J1368" s="15"/>
      <c r="K1368" s="15"/>
      <c r="L1368" s="15"/>
      <c r="M1368" s="15"/>
      <c r="N1368" s="15"/>
    </row>
    <row r="1369" spans="2:14" ht="25.5" customHeight="1" x14ac:dyDescent="0.25">
      <c r="B1369" s="15"/>
      <c r="C1369" s="15"/>
      <c r="D1369" s="15"/>
      <c r="E1369" s="2061" t="str">
        <f>Translations!$B$1100</f>
        <v>För anläggningar som omfattas av artikel 10a.3 i direktivet måste den linjära faktor som visas i punkt a tillämpas för varje år om inte CSCF som visas i punkt c är lägre än 1. I sådana fall måste CSCF tillämpas för alla sådana år.</v>
      </c>
      <c r="F1369" s="1963"/>
      <c r="G1369" s="1963"/>
      <c r="H1369" s="1963"/>
      <c r="I1369" s="1963"/>
      <c r="J1369" s="1963"/>
      <c r="K1369" s="1963"/>
      <c r="L1369" s="1963"/>
      <c r="M1369" s="1963"/>
      <c r="N1369" s="1963"/>
    </row>
    <row r="1370" spans="2:14" ht="12.75" customHeight="1" x14ac:dyDescent="0.25">
      <c r="B1370" s="15"/>
      <c r="C1370" s="15"/>
      <c r="D1370" s="15"/>
      <c r="E1370" s="2061" t="str">
        <f>Translations!$B$1101</f>
        <v>För anläggningar som inte omfattas av artikel 10a.3 ska CSCF som visas i punkt c tillämpas för varje år.</v>
      </c>
      <c r="F1370" s="1963"/>
      <c r="G1370" s="1963"/>
      <c r="H1370" s="1963"/>
      <c r="I1370" s="1963"/>
      <c r="J1370" s="1963"/>
      <c r="K1370" s="1963"/>
      <c r="L1370" s="1963"/>
      <c r="M1370" s="1963"/>
      <c r="N1370" s="1963"/>
    </row>
    <row r="1371" spans="2:14" ht="12.75" customHeight="1" x14ac:dyDescent="0.25">
      <c r="B1371" s="15"/>
      <c r="C1371" s="15"/>
      <c r="D1371" s="15"/>
      <c r="E1371" s="188"/>
      <c r="F1371" s="188"/>
      <c r="G1371" s="188"/>
      <c r="H1371" s="512"/>
      <c r="I1371" s="350">
        <v>2021</v>
      </c>
      <c r="J1371" s="350">
        <v>2022</v>
      </c>
      <c r="K1371" s="350">
        <v>2023</v>
      </c>
      <c r="L1371" s="350">
        <v>2024</v>
      </c>
      <c r="M1371" s="350">
        <v>2025</v>
      </c>
      <c r="N1371" s="15"/>
    </row>
    <row r="1372" spans="2:14" x14ac:dyDescent="0.25">
      <c r="B1372" s="15"/>
      <c r="C1372" s="15"/>
      <c r="D1372" s="15"/>
      <c r="E1372" s="2064" t="str">
        <f>Translations!$B$1098</f>
        <v>Värde som används för beräkning</v>
      </c>
      <c r="F1372" s="2064"/>
      <c r="G1372" s="2064"/>
      <c r="H1372" s="2064"/>
      <c r="I1372" s="721" t="str">
        <f>[1]K_Summary!I1362</f>
        <v/>
      </c>
      <c r="J1372" s="721" t="str">
        <f>[1]K_Summary!J1362</f>
        <v/>
      </c>
      <c r="K1372" s="721" t="str">
        <f>[1]K_Summary!K1362</f>
        <v/>
      </c>
      <c r="L1372" s="721" t="str">
        <f>[1]K_Summary!L1362</f>
        <v/>
      </c>
      <c r="M1372" s="721" t="str">
        <f>[1]K_Summary!M1362</f>
        <v/>
      </c>
      <c r="N1372" s="15"/>
    </row>
    <row r="1373" spans="2:14" ht="5.15" customHeight="1" x14ac:dyDescent="0.25">
      <c r="B1373" s="15"/>
      <c r="C1373" s="15"/>
      <c r="D1373" s="15"/>
      <c r="E1373" s="15"/>
      <c r="F1373" s="15"/>
      <c r="G1373" s="15"/>
      <c r="H1373" s="15"/>
      <c r="I1373" s="15"/>
      <c r="J1373" s="15"/>
      <c r="K1373" s="15"/>
      <c r="L1373" s="15"/>
      <c r="M1373" s="15"/>
      <c r="N1373" s="15"/>
    </row>
    <row r="1374" spans="2:14" ht="13" x14ac:dyDescent="0.25">
      <c r="B1374" s="3"/>
      <c r="C1374" s="453"/>
      <c r="D1374" s="13" t="s">
        <v>960</v>
      </c>
      <c r="E1374" s="39" t="str">
        <f>Translations!$B$1102</f>
        <v>Beräkning i enlighet med artikel 16.8 i FAR:</v>
      </c>
      <c r="F1374" s="39"/>
      <c r="G1374" s="39"/>
      <c r="H1374" s="178"/>
      <c r="I1374" s="14"/>
      <c r="J1374" s="14"/>
      <c r="K1374" s="20"/>
      <c r="L1374" s="15"/>
      <c r="M1374" s="15"/>
      <c r="N1374" s="15"/>
    </row>
    <row r="1375" spans="2:14" ht="40" customHeight="1" x14ac:dyDescent="0.25">
      <c r="B1375" s="3"/>
      <c r="C1375" s="3"/>
      <c r="D1375" s="15"/>
      <c r="E1375" s="2061" t="str">
        <f>Translations!$B$1103</f>
        <v>De mängder som visas här återspeglar beräkningen av den slutliga totala mängd utsläppsrätter som tilldelas gratis i enlighet med artikel 16.8 i FAR, dvs. tilldelningsvärden där den linjära faktorn eller den sektorsövergripande korrigeringsfaktorn tillämpas enligt vad som är lämpligt (dvs. resultatet av punkt c ovan). Dessa värden kan dock inte betraktas som slutgiltiga, eftersom den sektorsövergripande korrigeringsfaktorn ännu inte är känd när dessa uppgifter inhämtas.</v>
      </c>
      <c r="F1375" s="1963"/>
      <c r="G1375" s="1963"/>
      <c r="H1375" s="1963"/>
      <c r="I1375" s="1963"/>
      <c r="J1375" s="1963"/>
      <c r="K1375" s="1963"/>
      <c r="L1375" s="1963"/>
      <c r="M1375" s="1963"/>
      <c r="N1375" s="1963"/>
    </row>
    <row r="1376" spans="2:14" ht="5.15" customHeight="1" x14ac:dyDescent="0.25">
      <c r="B1376" s="15"/>
      <c r="C1376" s="15"/>
      <c r="D1376" s="15"/>
      <c r="E1376" s="15"/>
      <c r="F1376" s="15"/>
      <c r="G1376" s="15"/>
      <c r="H1376" s="15"/>
      <c r="I1376" s="15"/>
      <c r="J1376" s="15"/>
      <c r="K1376" s="15"/>
      <c r="L1376" s="15"/>
      <c r="M1376" s="15"/>
      <c r="N1376" s="15"/>
    </row>
    <row r="1377" spans="2:14" ht="12.75" customHeight="1" x14ac:dyDescent="0.25">
      <c r="B1377" s="15"/>
      <c r="C1377" s="15"/>
      <c r="D1377" s="2062" t="str">
        <f>Translations!$B$462</f>
        <v>Delanläggning</v>
      </c>
      <c r="E1377" s="2062"/>
      <c r="F1377" s="2062"/>
      <c r="G1377" s="2062"/>
      <c r="H1377" s="2063"/>
      <c r="I1377" s="350">
        <v>2021</v>
      </c>
      <c r="J1377" s="350">
        <v>2022</v>
      </c>
      <c r="K1377" s="350">
        <v>2023</v>
      </c>
      <c r="L1377" s="350">
        <v>2024</v>
      </c>
      <c r="M1377" s="350">
        <v>2025</v>
      </c>
      <c r="N1377" s="15"/>
    </row>
    <row r="1378" spans="2:14" x14ac:dyDescent="0.25">
      <c r="B1378" s="15"/>
      <c r="C1378" s="194">
        <v>1</v>
      </c>
      <c r="D1378" s="2064" t="str">
        <f>[1]K_Summary!D1368</f>
        <v/>
      </c>
      <c r="E1378" s="2064"/>
      <c r="F1378" s="2064"/>
      <c r="G1378" s="2064"/>
      <c r="H1378" s="2064"/>
      <c r="I1378" s="346" t="str">
        <f>[1]K_Summary!I1368</f>
        <v/>
      </c>
      <c r="J1378" s="346" t="str">
        <f>[1]K_Summary!J1368</f>
        <v/>
      </c>
      <c r="K1378" s="346" t="str">
        <f>[1]K_Summary!K1368</f>
        <v/>
      </c>
      <c r="L1378" s="346" t="str">
        <f>[1]K_Summary!L1368</f>
        <v/>
      </c>
      <c r="M1378" s="346" t="str">
        <f>[1]K_Summary!M1368</f>
        <v/>
      </c>
      <c r="N1378" s="15"/>
    </row>
    <row r="1379" spans="2:14" x14ac:dyDescent="0.25">
      <c r="B1379" s="15"/>
      <c r="C1379" s="194">
        <v>2</v>
      </c>
      <c r="D1379" s="2064" t="str">
        <f>[1]K_Summary!D1369</f>
        <v/>
      </c>
      <c r="E1379" s="2064"/>
      <c r="F1379" s="2064"/>
      <c r="G1379" s="2064"/>
      <c r="H1379" s="2064"/>
      <c r="I1379" s="346" t="str">
        <f>[1]K_Summary!I1369</f>
        <v/>
      </c>
      <c r="J1379" s="346" t="str">
        <f>[1]K_Summary!J1369</f>
        <v/>
      </c>
      <c r="K1379" s="346" t="str">
        <f>[1]K_Summary!K1369</f>
        <v/>
      </c>
      <c r="L1379" s="346" t="str">
        <f>[1]K_Summary!L1369</f>
        <v/>
      </c>
      <c r="M1379" s="346" t="str">
        <f>[1]K_Summary!M1369</f>
        <v/>
      </c>
      <c r="N1379" s="15"/>
    </row>
    <row r="1380" spans="2:14" x14ac:dyDescent="0.25">
      <c r="B1380" s="15"/>
      <c r="C1380" s="194">
        <v>3</v>
      </c>
      <c r="D1380" s="2064" t="str">
        <f>[1]K_Summary!D1370</f>
        <v/>
      </c>
      <c r="E1380" s="2064"/>
      <c r="F1380" s="2064"/>
      <c r="G1380" s="2064"/>
      <c r="H1380" s="2064"/>
      <c r="I1380" s="346" t="str">
        <f>[1]K_Summary!I1370</f>
        <v/>
      </c>
      <c r="J1380" s="346" t="str">
        <f>[1]K_Summary!J1370</f>
        <v/>
      </c>
      <c r="K1380" s="346" t="str">
        <f>[1]K_Summary!K1370</f>
        <v/>
      </c>
      <c r="L1380" s="346" t="str">
        <f>[1]K_Summary!L1370</f>
        <v/>
      </c>
      <c r="M1380" s="346" t="str">
        <f>[1]K_Summary!M1370</f>
        <v/>
      </c>
      <c r="N1380" s="15"/>
    </row>
    <row r="1381" spans="2:14" x14ac:dyDescent="0.25">
      <c r="B1381" s="15"/>
      <c r="C1381" s="194">
        <v>4</v>
      </c>
      <c r="D1381" s="2064" t="str">
        <f>[1]K_Summary!D1371</f>
        <v/>
      </c>
      <c r="E1381" s="2064"/>
      <c r="F1381" s="2064"/>
      <c r="G1381" s="2064"/>
      <c r="H1381" s="2064"/>
      <c r="I1381" s="346" t="str">
        <f>[1]K_Summary!I1371</f>
        <v/>
      </c>
      <c r="J1381" s="346" t="str">
        <f>[1]K_Summary!J1371</f>
        <v/>
      </c>
      <c r="K1381" s="346" t="str">
        <f>[1]K_Summary!K1371</f>
        <v/>
      </c>
      <c r="L1381" s="346" t="str">
        <f>[1]K_Summary!L1371</f>
        <v/>
      </c>
      <c r="M1381" s="346" t="str">
        <f>[1]K_Summary!M1371</f>
        <v/>
      </c>
      <c r="N1381" s="15"/>
    </row>
    <row r="1382" spans="2:14" x14ac:dyDescent="0.25">
      <c r="B1382" s="15"/>
      <c r="C1382" s="194">
        <v>5</v>
      </c>
      <c r="D1382" s="2064" t="str">
        <f>[1]K_Summary!D1372</f>
        <v/>
      </c>
      <c r="E1382" s="2064"/>
      <c r="F1382" s="2064"/>
      <c r="G1382" s="2064"/>
      <c r="H1382" s="2064"/>
      <c r="I1382" s="346" t="str">
        <f>[1]K_Summary!I1372</f>
        <v/>
      </c>
      <c r="J1382" s="346" t="str">
        <f>[1]K_Summary!J1372</f>
        <v/>
      </c>
      <c r="K1382" s="346" t="str">
        <f>[1]K_Summary!K1372</f>
        <v/>
      </c>
      <c r="L1382" s="346" t="str">
        <f>[1]K_Summary!L1372</f>
        <v/>
      </c>
      <c r="M1382" s="346" t="str">
        <f>[1]K_Summary!M1372</f>
        <v/>
      </c>
      <c r="N1382" s="15"/>
    </row>
    <row r="1383" spans="2:14" x14ac:dyDescent="0.25">
      <c r="B1383" s="15"/>
      <c r="C1383" s="194">
        <v>6</v>
      </c>
      <c r="D1383" s="2064" t="str">
        <f>[1]K_Summary!D1373</f>
        <v/>
      </c>
      <c r="E1383" s="2064"/>
      <c r="F1383" s="2064"/>
      <c r="G1383" s="2064"/>
      <c r="H1383" s="2064"/>
      <c r="I1383" s="346" t="str">
        <f>[1]K_Summary!I1373</f>
        <v/>
      </c>
      <c r="J1383" s="346" t="str">
        <f>[1]K_Summary!J1373</f>
        <v/>
      </c>
      <c r="K1383" s="346" t="str">
        <f>[1]K_Summary!K1373</f>
        <v/>
      </c>
      <c r="L1383" s="346" t="str">
        <f>[1]K_Summary!L1373</f>
        <v/>
      </c>
      <c r="M1383" s="346" t="str">
        <f>[1]K_Summary!M1373</f>
        <v/>
      </c>
      <c r="N1383" s="15"/>
    </row>
    <row r="1384" spans="2:14" x14ac:dyDescent="0.25">
      <c r="B1384" s="15"/>
      <c r="C1384" s="194">
        <v>7</v>
      </c>
      <c r="D1384" s="2064" t="str">
        <f>[1]K_Summary!D1374</f>
        <v/>
      </c>
      <c r="E1384" s="2064"/>
      <c r="F1384" s="2064"/>
      <c r="G1384" s="2064"/>
      <c r="H1384" s="2064"/>
      <c r="I1384" s="346" t="str">
        <f>[1]K_Summary!I1374</f>
        <v/>
      </c>
      <c r="J1384" s="346" t="str">
        <f>[1]K_Summary!J1374</f>
        <v/>
      </c>
      <c r="K1384" s="346" t="str">
        <f>[1]K_Summary!K1374</f>
        <v/>
      </c>
      <c r="L1384" s="346" t="str">
        <f>[1]K_Summary!L1374</f>
        <v/>
      </c>
      <c r="M1384" s="346" t="str">
        <f>[1]K_Summary!M1374</f>
        <v/>
      </c>
      <c r="N1384" s="15"/>
    </row>
    <row r="1385" spans="2:14" x14ac:dyDescent="0.25">
      <c r="B1385" s="15"/>
      <c r="C1385" s="194">
        <v>8</v>
      </c>
      <c r="D1385" s="2064" t="str">
        <f>[1]K_Summary!D1375</f>
        <v/>
      </c>
      <c r="E1385" s="2064"/>
      <c r="F1385" s="2064"/>
      <c r="G1385" s="2064"/>
      <c r="H1385" s="2064"/>
      <c r="I1385" s="346" t="str">
        <f>[1]K_Summary!I1375</f>
        <v/>
      </c>
      <c r="J1385" s="346" t="str">
        <f>[1]K_Summary!J1375</f>
        <v/>
      </c>
      <c r="K1385" s="346" t="str">
        <f>[1]K_Summary!K1375</f>
        <v/>
      </c>
      <c r="L1385" s="346" t="str">
        <f>[1]K_Summary!L1375</f>
        <v/>
      </c>
      <c r="M1385" s="346" t="str">
        <f>[1]K_Summary!M1375</f>
        <v/>
      </c>
      <c r="N1385" s="15"/>
    </row>
    <row r="1386" spans="2:14" x14ac:dyDescent="0.25">
      <c r="B1386" s="15"/>
      <c r="C1386" s="194">
        <v>9</v>
      </c>
      <c r="D1386" s="2064" t="str">
        <f>[1]K_Summary!D1376</f>
        <v/>
      </c>
      <c r="E1386" s="2064"/>
      <c r="F1386" s="2064"/>
      <c r="G1386" s="2064"/>
      <c r="H1386" s="2064"/>
      <c r="I1386" s="346" t="str">
        <f>[1]K_Summary!I1376</f>
        <v/>
      </c>
      <c r="J1386" s="346" t="str">
        <f>[1]K_Summary!J1376</f>
        <v/>
      </c>
      <c r="K1386" s="346" t="str">
        <f>[1]K_Summary!K1376</f>
        <v/>
      </c>
      <c r="L1386" s="346" t="str">
        <f>[1]K_Summary!L1376</f>
        <v/>
      </c>
      <c r="M1386" s="346" t="str">
        <f>[1]K_Summary!M1376</f>
        <v/>
      </c>
      <c r="N1386" s="15"/>
    </row>
    <row r="1387" spans="2:14" ht="13" thickBot="1" x14ac:dyDescent="0.3">
      <c r="B1387" s="15"/>
      <c r="C1387" s="717">
        <v>10</v>
      </c>
      <c r="D1387" s="2065" t="str">
        <f>[1]K_Summary!D1377</f>
        <v/>
      </c>
      <c r="E1387" s="2065"/>
      <c r="F1387" s="2065"/>
      <c r="G1387" s="2065"/>
      <c r="H1387" s="2065"/>
      <c r="I1387" s="718" t="str">
        <f>[1]K_Summary!I1377</f>
        <v/>
      </c>
      <c r="J1387" s="718" t="str">
        <f>[1]K_Summary!J1377</f>
        <v/>
      </c>
      <c r="K1387" s="718" t="str">
        <f>[1]K_Summary!K1377</f>
        <v/>
      </c>
      <c r="L1387" s="718" t="str">
        <f>[1]K_Summary!L1377</f>
        <v/>
      </c>
      <c r="M1387" s="718" t="str">
        <f>[1]K_Summary!M1377</f>
        <v/>
      </c>
      <c r="N1387" s="15"/>
    </row>
    <row r="1388" spans="2:14" x14ac:dyDescent="0.25">
      <c r="B1388" s="15"/>
      <c r="C1388" s="194">
        <v>11</v>
      </c>
      <c r="D1388" s="2066" t="str">
        <f>[1]K_Summary!D1378</f>
        <v>Heat benchmark sub-installation, CL</v>
      </c>
      <c r="E1388" s="2066"/>
      <c r="F1388" s="2066"/>
      <c r="G1388" s="2066"/>
      <c r="H1388" s="2066"/>
      <c r="I1388" s="719" t="str">
        <f>[1]K_Summary!I1378</f>
        <v/>
      </c>
      <c r="J1388" s="719" t="str">
        <f>[1]K_Summary!J1378</f>
        <v/>
      </c>
      <c r="K1388" s="719" t="str">
        <f>[1]K_Summary!K1378</f>
        <v/>
      </c>
      <c r="L1388" s="719" t="str">
        <f>[1]K_Summary!L1378</f>
        <v/>
      </c>
      <c r="M1388" s="719" t="str">
        <f>[1]K_Summary!M1378</f>
        <v/>
      </c>
      <c r="N1388" s="15"/>
    </row>
    <row r="1389" spans="2:14" x14ac:dyDescent="0.25">
      <c r="B1389" s="15"/>
      <c r="C1389" s="194">
        <v>12</v>
      </c>
      <c r="D1389" s="2064" t="str">
        <f>[1]K_Summary!D1379</f>
        <v>Heat benchmark sub-installation, non-CL</v>
      </c>
      <c r="E1389" s="2064"/>
      <c r="F1389" s="2064"/>
      <c r="G1389" s="2064"/>
      <c r="H1389" s="2064"/>
      <c r="I1389" s="346" t="str">
        <f>[1]K_Summary!I1379</f>
        <v/>
      </c>
      <c r="J1389" s="346" t="str">
        <f>[1]K_Summary!J1379</f>
        <v/>
      </c>
      <c r="K1389" s="346" t="str">
        <f>[1]K_Summary!K1379</f>
        <v/>
      </c>
      <c r="L1389" s="346" t="str">
        <f>[1]K_Summary!L1379</f>
        <v/>
      </c>
      <c r="M1389" s="346" t="str">
        <f>[1]K_Summary!M1379</f>
        <v/>
      </c>
      <c r="N1389" s="15"/>
    </row>
    <row r="1390" spans="2:14" x14ac:dyDescent="0.25">
      <c r="B1390" s="15"/>
      <c r="C1390" s="194">
        <v>13</v>
      </c>
      <c r="D1390" s="2064" t="str">
        <f>[1]K_Summary!D1380</f>
        <v>District heating sub-installation</v>
      </c>
      <c r="E1390" s="2064"/>
      <c r="F1390" s="2064"/>
      <c r="G1390" s="2064"/>
      <c r="H1390" s="2064"/>
      <c r="I1390" s="346" t="str">
        <f>[1]K_Summary!I1380</f>
        <v/>
      </c>
      <c r="J1390" s="346" t="str">
        <f>[1]K_Summary!J1380</f>
        <v/>
      </c>
      <c r="K1390" s="346" t="str">
        <f>[1]K_Summary!K1380</f>
        <v/>
      </c>
      <c r="L1390" s="346" t="str">
        <f>[1]K_Summary!L1380</f>
        <v/>
      </c>
      <c r="M1390" s="346" t="str">
        <f>[1]K_Summary!M1380</f>
        <v/>
      </c>
      <c r="N1390" s="15"/>
    </row>
    <row r="1391" spans="2:14" x14ac:dyDescent="0.25">
      <c r="B1391" s="15"/>
      <c r="C1391" s="194">
        <v>14</v>
      </c>
      <c r="D1391" s="2064" t="str">
        <f>[1]K_Summary!D1381</f>
        <v>Fuel benchmark sub-installation, CL</v>
      </c>
      <c r="E1391" s="2064"/>
      <c r="F1391" s="2064"/>
      <c r="G1391" s="2064"/>
      <c r="H1391" s="2064"/>
      <c r="I1391" s="346" t="str">
        <f>[1]K_Summary!I1381</f>
        <v/>
      </c>
      <c r="J1391" s="346" t="str">
        <f>[1]K_Summary!J1381</f>
        <v/>
      </c>
      <c r="K1391" s="346" t="str">
        <f>[1]K_Summary!K1381</f>
        <v/>
      </c>
      <c r="L1391" s="346" t="str">
        <f>[1]K_Summary!L1381</f>
        <v/>
      </c>
      <c r="M1391" s="346" t="str">
        <f>[1]K_Summary!M1381</f>
        <v/>
      </c>
      <c r="N1391" s="15"/>
    </row>
    <row r="1392" spans="2:14" x14ac:dyDescent="0.25">
      <c r="B1392" s="15"/>
      <c r="C1392" s="194">
        <v>15</v>
      </c>
      <c r="D1392" s="2064" t="str">
        <f>[1]K_Summary!D1382</f>
        <v>Fuel benchmark sub-installation, non-CL</v>
      </c>
      <c r="E1392" s="2064"/>
      <c r="F1392" s="2064"/>
      <c r="G1392" s="2064"/>
      <c r="H1392" s="2064"/>
      <c r="I1392" s="346" t="str">
        <f>[1]K_Summary!I1382</f>
        <v/>
      </c>
      <c r="J1392" s="346" t="str">
        <f>[1]K_Summary!J1382</f>
        <v/>
      </c>
      <c r="K1392" s="346" t="str">
        <f>[1]K_Summary!K1382</f>
        <v/>
      </c>
      <c r="L1392" s="346" t="str">
        <f>[1]K_Summary!L1382</f>
        <v/>
      </c>
      <c r="M1392" s="346" t="str">
        <f>[1]K_Summary!M1382</f>
        <v/>
      </c>
      <c r="N1392" s="15"/>
    </row>
    <row r="1393" spans="2:14" x14ac:dyDescent="0.25">
      <c r="B1393" s="15"/>
      <c r="C1393" s="194">
        <v>16</v>
      </c>
      <c r="D1393" s="2064" t="str">
        <f>[1]K_Summary!D1383</f>
        <v>Process emissions sub-installation, CL</v>
      </c>
      <c r="E1393" s="2064"/>
      <c r="F1393" s="2064"/>
      <c r="G1393" s="2064"/>
      <c r="H1393" s="2064"/>
      <c r="I1393" s="725" t="str">
        <f>[1]K_Summary!I1383</f>
        <v/>
      </c>
      <c r="J1393" s="725" t="str">
        <f>[1]K_Summary!J1383</f>
        <v/>
      </c>
      <c r="K1393" s="725" t="str">
        <f>[1]K_Summary!K1383</f>
        <v/>
      </c>
      <c r="L1393" s="725" t="str">
        <f>[1]K_Summary!L1383</f>
        <v/>
      </c>
      <c r="M1393" s="725" t="str">
        <f>[1]K_Summary!M1383</f>
        <v/>
      </c>
      <c r="N1393" s="15"/>
    </row>
    <row r="1394" spans="2:14" ht="13" thickBot="1" x14ac:dyDescent="0.3">
      <c r="B1394" s="15"/>
      <c r="C1394" s="724">
        <v>17</v>
      </c>
      <c r="D1394" s="2068" t="str">
        <f>[1]K_Summary!D1384</f>
        <v>Process emissions sub-installation, non-CL</v>
      </c>
      <c r="E1394" s="2068"/>
      <c r="F1394" s="2068"/>
      <c r="G1394" s="2068"/>
      <c r="H1394" s="2068"/>
      <c r="I1394" s="718" t="str">
        <f>[1]K_Summary!I1384</f>
        <v/>
      </c>
      <c r="J1394" s="718" t="str">
        <f>[1]K_Summary!J1384</f>
        <v/>
      </c>
      <c r="K1394" s="718" t="str">
        <f>[1]K_Summary!K1384</f>
        <v/>
      </c>
      <c r="L1394" s="718" t="str">
        <f>[1]K_Summary!L1384</f>
        <v/>
      </c>
      <c r="M1394" s="718" t="str">
        <f>[1]K_Summary!M1384</f>
        <v/>
      </c>
      <c r="N1394" s="15"/>
    </row>
    <row r="1395" spans="2:14" ht="13" x14ac:dyDescent="0.25">
      <c r="B1395" s="15"/>
      <c r="C1395" s="15"/>
      <c r="D1395" s="2069" t="str">
        <f>Translations!$B$1090</f>
        <v>Total preliminär gratis tilldelning</v>
      </c>
      <c r="E1395" s="2069"/>
      <c r="F1395" s="2069"/>
      <c r="G1395" s="2069"/>
      <c r="H1395" s="2069"/>
      <c r="I1395" s="720" t="str">
        <f>[1]K_Summary!I1385</f>
        <v/>
      </c>
      <c r="J1395" s="720" t="str">
        <f>[1]K_Summary!J1385</f>
        <v/>
      </c>
      <c r="K1395" s="720" t="str">
        <f>[1]K_Summary!K1385</f>
        <v/>
      </c>
      <c r="L1395" s="720" t="str">
        <f>[1]K_Summary!L1385</f>
        <v/>
      </c>
      <c r="M1395" s="720" t="str">
        <f>[1]K_Summary!M1385</f>
        <v/>
      </c>
      <c r="N1395" s="15"/>
    </row>
    <row r="1396" spans="2:14" ht="13" thickBot="1" x14ac:dyDescent="0.3">
      <c r="C1396" s="1689"/>
      <c r="D1396" s="1689"/>
      <c r="E1396" s="1689"/>
      <c r="F1396" s="1689"/>
      <c r="G1396" s="1689"/>
      <c r="H1396" s="1689"/>
      <c r="I1396" s="1689"/>
      <c r="J1396" s="1689"/>
      <c r="K1396" s="1689"/>
      <c r="L1396" s="1689"/>
      <c r="M1396" s="1689"/>
      <c r="N1396" s="1689"/>
    </row>
    <row r="1397" spans="2:14" ht="13" thickTop="1" x14ac:dyDescent="0.25"/>
    <row r="1398" spans="2:14" ht="18" customHeight="1" x14ac:dyDescent="0.25">
      <c r="C1398" s="8"/>
      <c r="D1398" s="2004" t="str">
        <f>Translations!$B$1361</f>
        <v>Mer data från blad A i referensdatarapporten för NIMs:</v>
      </c>
      <c r="E1398" s="1963"/>
      <c r="F1398" s="1963"/>
      <c r="G1398" s="1963"/>
      <c r="H1398" s="1963"/>
      <c r="I1398" s="1963"/>
      <c r="J1398" s="1963"/>
      <c r="K1398" s="1963"/>
      <c r="L1398" s="1963"/>
      <c r="M1398" s="1963"/>
      <c r="N1398" s="1963"/>
    </row>
    <row r="1399" spans="2:14" x14ac:dyDescent="0.25">
      <c r="C1399" s="3"/>
      <c r="D1399" s="3"/>
      <c r="E1399" s="3"/>
      <c r="F1399" s="3"/>
      <c r="G1399" s="3"/>
      <c r="H1399" s="3"/>
      <c r="I1399" s="3"/>
      <c r="J1399" s="3"/>
      <c r="K1399" s="3"/>
      <c r="L1399" s="3"/>
      <c r="M1399" s="6"/>
      <c r="N1399" s="6"/>
    </row>
    <row r="1400" spans="2:14" ht="15.75" customHeight="1" x14ac:dyDescent="0.35">
      <c r="C1400" s="11" t="s">
        <v>1108</v>
      </c>
      <c r="D1400" s="1975" t="str">
        <f>Translations!$B$76</f>
        <v>Identifiering av anläggningen</v>
      </c>
      <c r="E1400" s="1975"/>
      <c r="F1400" s="1975"/>
      <c r="G1400" s="1975"/>
      <c r="H1400" s="1975"/>
      <c r="I1400" s="1975"/>
      <c r="J1400" s="1975"/>
      <c r="K1400" s="1975"/>
      <c r="L1400" s="1975"/>
      <c r="M1400" s="1975"/>
      <c r="N1400" s="1975"/>
    </row>
    <row r="1401" spans="2:14" x14ac:dyDescent="0.25">
      <c r="C1401" s="3"/>
      <c r="D1401" s="3"/>
      <c r="E1401" s="3"/>
      <c r="F1401" s="3"/>
      <c r="G1401" s="3"/>
      <c r="H1401" s="3"/>
      <c r="I1401" s="3"/>
      <c r="J1401" s="3"/>
      <c r="K1401" s="3"/>
      <c r="L1401" s="3"/>
      <c r="M1401" s="6"/>
      <c r="N1401" s="6"/>
    </row>
    <row r="1402" spans="2:14" ht="12.75" customHeight="1" x14ac:dyDescent="0.25">
      <c r="C1402" s="15"/>
      <c r="D1402" s="13" t="s">
        <v>960</v>
      </c>
      <c r="E1402" s="1943" t="str">
        <f>Translations!$B$82</f>
        <v>Anläggningens unika ID-nr (NAP-nr):</v>
      </c>
      <c r="F1402" s="1943"/>
      <c r="G1402" s="1943"/>
      <c r="H1402" s="1943"/>
      <c r="I1402" s="2067"/>
      <c r="J1402" s="2057" t="str">
        <f>IF([1]A_InstallationData!J20="","",[1]A_InstallationData!J20)</f>
        <v/>
      </c>
      <c r="K1402" s="2058"/>
      <c r="L1402" s="2058"/>
      <c r="M1402" s="2058"/>
      <c r="N1402" s="2059"/>
    </row>
    <row r="1403" spans="2:14" x14ac:dyDescent="0.25">
      <c r="C1403" s="3"/>
      <c r="D1403" s="3"/>
      <c r="E1403" s="3"/>
      <c r="F1403" s="3"/>
      <c r="G1403" s="3"/>
      <c r="H1403" s="3"/>
      <c r="I1403" s="3"/>
      <c r="J1403" s="3"/>
      <c r="K1403" s="3"/>
      <c r="L1403" s="3"/>
      <c r="M1403" s="6"/>
      <c r="N1403" s="6"/>
    </row>
    <row r="1404" spans="2:14" ht="12.75" customHeight="1" x14ac:dyDescent="0.25">
      <c r="C1404" s="15"/>
      <c r="D1404" s="13" t="s">
        <v>65</v>
      </c>
      <c r="E1404" s="1943" t="str">
        <f>Translations!$B$86</f>
        <v>Anläggningens ID-nummer i registret:</v>
      </c>
      <c r="F1404" s="1963"/>
      <c r="G1404" s="1963"/>
      <c r="H1404" s="1963"/>
      <c r="I1404" s="2060"/>
      <c r="J1404" s="2057" t="str">
        <f>IF([1]A_InstallationData!J25="","",[1]A_InstallationData!J25)</f>
        <v/>
      </c>
      <c r="K1404" s="2058"/>
      <c r="L1404" s="2058"/>
      <c r="M1404" s="2058"/>
      <c r="N1404" s="2059"/>
    </row>
    <row r="1405" spans="2:14" x14ac:dyDescent="0.25">
      <c r="C1405" s="3"/>
      <c r="D1405" s="3"/>
      <c r="E1405" s="3"/>
      <c r="F1405" s="3"/>
      <c r="G1405" s="3"/>
      <c r="H1405" s="3"/>
      <c r="I1405" s="3"/>
      <c r="J1405" s="3"/>
      <c r="K1405" s="3"/>
      <c r="L1405" s="3"/>
      <c r="M1405" s="6"/>
      <c r="N1405" s="6"/>
    </row>
    <row r="1406" spans="2:14" ht="12.75" customHeight="1" x14ac:dyDescent="0.25">
      <c r="C1406" s="15"/>
      <c r="D1406" s="13" t="s">
        <v>299</v>
      </c>
      <c r="E1406" s="1943" t="str">
        <f>Translations!$B$88</f>
        <v>Information om tillståndet för utsläpp av växthusgaser:</v>
      </c>
      <c r="F1406" s="1963"/>
      <c r="G1406" s="1963"/>
      <c r="H1406" s="1963"/>
      <c r="I1406" s="1963"/>
      <c r="J1406" s="1963"/>
      <c r="K1406" s="1963"/>
      <c r="L1406" s="1963"/>
      <c r="M1406" s="1963"/>
      <c r="N1406" s="1963"/>
    </row>
    <row r="1407" spans="2:14" ht="12.75" customHeight="1" x14ac:dyDescent="0.25">
      <c r="C1407" s="15"/>
      <c r="D1407" s="185"/>
      <c r="E1407" s="39"/>
      <c r="F1407" s="2054" t="str">
        <f>Translations!$B$91</f>
        <v>Den behöriga myndighetens namn:</v>
      </c>
      <c r="G1407" s="2055"/>
      <c r="H1407" s="2055"/>
      <c r="I1407" s="2056"/>
      <c r="J1407" s="2057" t="str">
        <f>IF([1]A_InstallationData!J34="","",[1]A_InstallationData!J34)</f>
        <v/>
      </c>
      <c r="K1407" s="2058"/>
      <c r="L1407" s="2058"/>
      <c r="M1407" s="2058"/>
      <c r="N1407" s="2059"/>
    </row>
    <row r="1408" spans="2:14" ht="12.75" customHeight="1" x14ac:dyDescent="0.25">
      <c r="C1408" s="15"/>
      <c r="D1408" s="13" t="s">
        <v>523</v>
      </c>
      <c r="E1408" s="1943" t="str">
        <f>Translations!$B$102</f>
        <v>Uppgifter om verksamhetsutövaren:</v>
      </c>
      <c r="F1408" s="1963"/>
      <c r="G1408" s="1963"/>
      <c r="H1408" s="1963"/>
      <c r="I1408" s="1963"/>
      <c r="J1408" s="1963"/>
      <c r="K1408" s="1963"/>
      <c r="L1408" s="1963"/>
      <c r="M1408" s="1963"/>
      <c r="N1408" s="1963"/>
    </row>
    <row r="1409" spans="3:14" ht="12.75" customHeight="1" x14ac:dyDescent="0.25">
      <c r="C1409" s="15"/>
      <c r="D1409" s="185"/>
      <c r="E1409" s="39"/>
      <c r="F1409" s="291" t="s">
        <v>8</v>
      </c>
      <c r="G1409" s="2041" t="str">
        <f>Translations!$B$104</f>
        <v>Verksamhetsutövarens namn:</v>
      </c>
      <c r="H1409" s="2042"/>
      <c r="I1409" s="2043"/>
      <c r="J1409" s="2027" t="str">
        <f>IF([1]A_InstallationData!J57="","",[1]A_InstallationData!J57)</f>
        <v/>
      </c>
      <c r="K1409" s="2029"/>
      <c r="L1409" s="2029"/>
      <c r="M1409" s="2029"/>
      <c r="N1409" s="2029"/>
    </row>
    <row r="1410" spans="3:14" ht="12.75" customHeight="1" x14ac:dyDescent="0.25">
      <c r="C1410" s="15"/>
      <c r="D1410" s="185"/>
      <c r="E1410" s="39"/>
      <c r="F1410" s="291" t="s">
        <v>9</v>
      </c>
      <c r="G1410" s="2044" t="str">
        <f>Translations!$B$105</f>
        <v>Gata, nummer:</v>
      </c>
      <c r="H1410" s="2045"/>
      <c r="I1410" s="2046"/>
      <c r="J1410" s="2016" t="str">
        <f>IF([1]A_InstallationData!J58="","",[1]A_InstallationData!J58)</f>
        <v/>
      </c>
      <c r="K1410" s="2017"/>
      <c r="L1410" s="2017"/>
      <c r="M1410" s="2017"/>
      <c r="N1410" s="2017"/>
    </row>
    <row r="1411" spans="3:14" ht="13" x14ac:dyDescent="0.25">
      <c r="C1411" s="15"/>
      <c r="D1411" s="185"/>
      <c r="E1411" s="39"/>
      <c r="F1411" s="291" t="s">
        <v>10</v>
      </c>
      <c r="G1411" s="2044" t="str">
        <f>Translations!$B$106</f>
        <v>Postnummer:</v>
      </c>
      <c r="H1411" s="2045"/>
      <c r="I1411" s="2046"/>
      <c r="J1411" s="2016" t="str">
        <f>IF([1]A_InstallationData!J59="","",[1]A_InstallationData!J59)</f>
        <v/>
      </c>
      <c r="K1411" s="2017"/>
      <c r="L1411" s="2017"/>
      <c r="M1411" s="2017"/>
      <c r="N1411" s="2017"/>
    </row>
    <row r="1412" spans="3:14" ht="13" x14ac:dyDescent="0.25">
      <c r="C1412" s="15"/>
      <c r="D1412" s="185"/>
      <c r="E1412" s="39"/>
      <c r="F1412" s="291" t="s">
        <v>23</v>
      </c>
      <c r="G1412" s="2044" t="str">
        <f>Translations!$B$107</f>
        <v>Ort:</v>
      </c>
      <c r="H1412" s="2045"/>
      <c r="I1412" s="2046"/>
      <c r="J1412" s="2016" t="str">
        <f>IF([1]A_InstallationData!J60="","",[1]A_InstallationData!J60)</f>
        <v/>
      </c>
      <c r="K1412" s="2017"/>
      <c r="L1412" s="2017"/>
      <c r="M1412" s="2017"/>
      <c r="N1412" s="2017"/>
    </row>
    <row r="1413" spans="3:14" ht="13" x14ac:dyDescent="0.25">
      <c r="C1413" s="15"/>
      <c r="D1413" s="185"/>
      <c r="E1413" s="39"/>
      <c r="F1413" s="291" t="s">
        <v>859</v>
      </c>
      <c r="G1413" s="2044" t="str">
        <f>Translations!$B$108</f>
        <v>Land:</v>
      </c>
      <c r="H1413" s="2045"/>
      <c r="I1413" s="2046"/>
      <c r="J1413" s="2016" t="str">
        <f>IF([1]A_InstallationData!J61="","",[1]A_InstallationData!J61)</f>
        <v/>
      </c>
      <c r="K1413" s="2017"/>
      <c r="L1413" s="2017"/>
      <c r="M1413" s="2017"/>
      <c r="N1413" s="2017"/>
    </row>
    <row r="1414" spans="3:14" ht="12.75" customHeight="1" x14ac:dyDescent="0.25">
      <c r="C1414" s="15"/>
      <c r="D1414" s="185"/>
      <c r="E1414" s="39"/>
      <c r="F1414" s="291" t="s">
        <v>860</v>
      </c>
      <c r="G1414" s="2044" t="str">
        <f>Translations!$B$109</f>
        <v>Det behöriga ombudets namn:</v>
      </c>
      <c r="H1414" s="2045"/>
      <c r="I1414" s="2046"/>
      <c r="J1414" s="2016" t="str">
        <f>IF([1]A_InstallationData!J62="","",[1]A_InstallationData!J62)</f>
        <v/>
      </c>
      <c r="K1414" s="2017"/>
      <c r="L1414" s="2017"/>
      <c r="M1414" s="2017"/>
      <c r="N1414" s="2017"/>
    </row>
    <row r="1415" spans="3:14" ht="13" x14ac:dyDescent="0.25">
      <c r="C1415" s="15"/>
      <c r="D1415" s="185"/>
      <c r="E1415" s="39"/>
      <c r="F1415" s="291" t="s">
        <v>861</v>
      </c>
      <c r="G1415" s="2044" t="str">
        <f>Translations!$B$110</f>
        <v>E-post:</v>
      </c>
      <c r="H1415" s="2045"/>
      <c r="I1415" s="2046"/>
      <c r="J1415" s="2016" t="str">
        <f>IF([1]A_InstallationData!J63="","",[1]A_InstallationData!J63)</f>
        <v/>
      </c>
      <c r="K1415" s="2017"/>
      <c r="L1415" s="2017"/>
      <c r="M1415" s="2017"/>
      <c r="N1415" s="2017"/>
    </row>
    <row r="1416" spans="3:14" ht="13" x14ac:dyDescent="0.25">
      <c r="C1416" s="15"/>
      <c r="D1416" s="185"/>
      <c r="E1416" s="39"/>
      <c r="F1416" s="291" t="s">
        <v>862</v>
      </c>
      <c r="G1416" s="2044" t="str">
        <f>Translations!$B$111</f>
        <v>Tfn:</v>
      </c>
      <c r="H1416" s="2045"/>
      <c r="I1416" s="2046"/>
      <c r="J1416" s="2016" t="str">
        <f>IF([1]A_InstallationData!J64="","",[1]A_InstallationData!J64)</f>
        <v/>
      </c>
      <c r="K1416" s="2017"/>
      <c r="L1416" s="2017"/>
      <c r="M1416" s="2017"/>
      <c r="N1416" s="2017"/>
    </row>
    <row r="1417" spans="3:14" ht="13" x14ac:dyDescent="0.25">
      <c r="C1417" s="15"/>
      <c r="D1417" s="185"/>
      <c r="E1417" s="39"/>
      <c r="F1417" s="291" t="s">
        <v>863</v>
      </c>
      <c r="G1417" s="2047" t="str">
        <f>Translations!$B$112</f>
        <v>Fax:</v>
      </c>
      <c r="H1417" s="2048"/>
      <c r="I1417" s="2049"/>
      <c r="J1417" s="2023" t="str">
        <f>IF([1]A_InstallationData!J65="","",[1]A_InstallationData!J65)</f>
        <v/>
      </c>
      <c r="K1417" s="2024"/>
      <c r="L1417" s="2024"/>
      <c r="M1417" s="2024"/>
      <c r="N1417" s="2024"/>
    </row>
    <row r="1418" spans="3:14" x14ac:dyDescent="0.25">
      <c r="C1418" s="3"/>
      <c r="D1418" s="3"/>
      <c r="E1418" s="3"/>
      <c r="F1418" s="3"/>
      <c r="G1418" s="3"/>
      <c r="H1418" s="3"/>
      <c r="I1418" s="3"/>
      <c r="J1418" s="3"/>
      <c r="K1418" s="3"/>
      <c r="L1418" s="3"/>
      <c r="M1418" s="6"/>
      <c r="N1418" s="6"/>
    </row>
    <row r="1419" spans="3:14" ht="12.75" customHeight="1" x14ac:dyDescent="0.25">
      <c r="C1419" s="15"/>
      <c r="D1419" s="13" t="s">
        <v>524</v>
      </c>
      <c r="E1419" s="1943" t="str">
        <f>Translations!$B$113</f>
        <v>Anläggningens adress:</v>
      </c>
      <c r="F1419" s="1963"/>
      <c r="G1419" s="1963"/>
      <c r="H1419" s="1963"/>
      <c r="I1419" s="1963"/>
      <c r="J1419" s="1963"/>
      <c r="K1419" s="1963"/>
      <c r="L1419" s="1963"/>
      <c r="M1419" s="1963"/>
      <c r="N1419" s="1963"/>
    </row>
    <row r="1420" spans="3:14" ht="12.75" customHeight="1" x14ac:dyDescent="0.25">
      <c r="C1420" s="15"/>
      <c r="D1420" s="185"/>
      <c r="E1420" s="39"/>
      <c r="F1420" s="291" t="s">
        <v>8</v>
      </c>
      <c r="G1420" s="2041" t="str">
        <f>Translations!$B$105</f>
        <v>Gata, nummer:</v>
      </c>
      <c r="H1420" s="2042"/>
      <c r="I1420" s="2043"/>
      <c r="J1420" s="2027" t="str">
        <f>IF([1]A_InstallationData!J68="","",[1]A_InstallationData!J68)</f>
        <v/>
      </c>
      <c r="K1420" s="2029"/>
      <c r="L1420" s="2029"/>
      <c r="M1420" s="2029"/>
      <c r="N1420" s="2029"/>
    </row>
    <row r="1421" spans="3:14" ht="13" x14ac:dyDescent="0.25">
      <c r="C1421" s="15"/>
      <c r="D1421" s="185"/>
      <c r="E1421" s="39"/>
      <c r="F1421" s="291" t="s">
        <v>9</v>
      </c>
      <c r="G1421" s="2044" t="str">
        <f>Translations!$B$106</f>
        <v>Postnummer:</v>
      </c>
      <c r="H1421" s="2045"/>
      <c r="I1421" s="2046"/>
      <c r="J1421" s="2016" t="str">
        <f>IF([1]A_InstallationData!J69="","",[1]A_InstallationData!J69)</f>
        <v/>
      </c>
      <c r="K1421" s="2017"/>
      <c r="L1421" s="2017"/>
      <c r="M1421" s="2017"/>
      <c r="N1421" s="2017"/>
    </row>
    <row r="1422" spans="3:14" ht="13" x14ac:dyDescent="0.25">
      <c r="C1422" s="15"/>
      <c r="D1422" s="185"/>
      <c r="E1422" s="39"/>
      <c r="F1422" s="291" t="s">
        <v>10</v>
      </c>
      <c r="G1422" s="2044" t="str">
        <f>Translations!$B$107</f>
        <v>Ort:</v>
      </c>
      <c r="H1422" s="2045"/>
      <c r="I1422" s="2046"/>
      <c r="J1422" s="2016" t="str">
        <f>IF([1]A_InstallationData!J70="","",[1]A_InstallationData!J70)</f>
        <v/>
      </c>
      <c r="K1422" s="2017"/>
      <c r="L1422" s="2017"/>
      <c r="M1422" s="2017"/>
      <c r="N1422" s="2017"/>
    </row>
    <row r="1423" spans="3:14" ht="13" x14ac:dyDescent="0.25">
      <c r="C1423" s="15"/>
      <c r="D1423" s="185"/>
      <c r="E1423" s="39"/>
      <c r="F1423" s="291" t="s">
        <v>23</v>
      </c>
      <c r="G1423" s="2047" t="str">
        <f>Translations!$B$108</f>
        <v>Land:</v>
      </c>
      <c r="H1423" s="2048"/>
      <c r="I1423" s="2049"/>
      <c r="J1423" s="2023" t="str">
        <f>IF([1]A_InstallationData!J71="","",[1]A_InstallationData!J71)</f>
        <v/>
      </c>
      <c r="K1423" s="2024"/>
      <c r="L1423" s="2024"/>
      <c r="M1423" s="2024"/>
      <c r="N1423" s="2024"/>
    </row>
    <row r="1424" spans="3:14" ht="15" customHeight="1" x14ac:dyDescent="0.3">
      <c r="C1424" s="17">
        <v>2</v>
      </c>
      <c r="D1424" s="2053" t="str">
        <f>Translations!$B$114</f>
        <v>Kontaktpersoner:</v>
      </c>
      <c r="E1424" s="1963"/>
      <c r="F1424" s="1963"/>
      <c r="G1424" s="1963"/>
      <c r="H1424" s="1963"/>
      <c r="I1424" s="1963"/>
      <c r="J1424" s="1963"/>
      <c r="K1424" s="1963"/>
      <c r="L1424" s="1963"/>
      <c r="M1424" s="1963"/>
      <c r="N1424" s="1963"/>
    </row>
    <row r="1425" spans="3:14" ht="12.75" customHeight="1" x14ac:dyDescent="0.25">
      <c r="C1425" s="15"/>
      <c r="D1425" s="13" t="s">
        <v>442</v>
      </c>
      <c r="E1425" s="1943" t="str">
        <f>Translations!$B$116</f>
        <v>Behörigt ombud för verksamhetsutövaren med ansvar för anläggningen:</v>
      </c>
      <c r="F1425" s="1963"/>
      <c r="G1425" s="1963"/>
      <c r="H1425" s="1963"/>
      <c r="I1425" s="1963"/>
      <c r="J1425" s="1963"/>
      <c r="K1425" s="1963"/>
      <c r="L1425" s="1963"/>
      <c r="M1425" s="1963"/>
      <c r="N1425" s="1963"/>
    </row>
    <row r="1426" spans="3:14" ht="13" x14ac:dyDescent="0.25">
      <c r="C1426" s="15"/>
      <c r="D1426" s="185"/>
      <c r="E1426" s="39"/>
      <c r="F1426" s="291" t="s">
        <v>8</v>
      </c>
      <c r="G1426" s="2041" t="str">
        <f>Translations!$B$117</f>
        <v>Namn:</v>
      </c>
      <c r="H1426" s="2042"/>
      <c r="I1426" s="2043"/>
      <c r="J1426" s="2027" t="str">
        <f>IF([1]A_InstallationData!J77="","",[1]A_InstallationData!J77)</f>
        <v/>
      </c>
      <c r="K1426" s="2029"/>
      <c r="L1426" s="2029"/>
      <c r="M1426" s="2029"/>
      <c r="N1426" s="2029"/>
    </row>
    <row r="1427" spans="3:14" ht="13" x14ac:dyDescent="0.25">
      <c r="C1427" s="15"/>
      <c r="D1427" s="185"/>
      <c r="E1427" s="39"/>
      <c r="F1427" s="291" t="s">
        <v>9</v>
      </c>
      <c r="G1427" s="2044" t="str">
        <f>Translations!$B$110</f>
        <v>E-post:</v>
      </c>
      <c r="H1427" s="2045"/>
      <c r="I1427" s="2046"/>
      <c r="J1427" s="2016" t="str">
        <f>IF([1]A_InstallationData!J78="","",[1]A_InstallationData!J78)</f>
        <v/>
      </c>
      <c r="K1427" s="2017"/>
      <c r="L1427" s="2017"/>
      <c r="M1427" s="2017"/>
      <c r="N1427" s="2017"/>
    </row>
    <row r="1428" spans="3:14" ht="13" x14ac:dyDescent="0.25">
      <c r="C1428" s="15"/>
      <c r="D1428" s="185"/>
      <c r="E1428" s="39"/>
      <c r="F1428" s="291" t="s">
        <v>10</v>
      </c>
      <c r="G1428" s="2044" t="str">
        <f>Translations!$B$111</f>
        <v>Tfn:</v>
      </c>
      <c r="H1428" s="2045"/>
      <c r="I1428" s="2046"/>
      <c r="J1428" s="2016" t="str">
        <f>IF([1]A_InstallationData!J79="","",[1]A_InstallationData!J79)</f>
        <v/>
      </c>
      <c r="K1428" s="2017"/>
      <c r="L1428" s="2017"/>
      <c r="M1428" s="2017"/>
      <c r="N1428" s="2017"/>
    </row>
    <row r="1429" spans="3:14" ht="13" x14ac:dyDescent="0.25">
      <c r="C1429" s="15"/>
      <c r="D1429" s="185"/>
      <c r="E1429" s="39"/>
      <c r="F1429" s="291" t="s">
        <v>23</v>
      </c>
      <c r="G1429" s="2047" t="str">
        <f>Translations!$B$112</f>
        <v>Fax:</v>
      </c>
      <c r="H1429" s="2048"/>
      <c r="I1429" s="2049"/>
      <c r="J1429" s="2023" t="str">
        <f>IF([1]A_InstallationData!J80="","",[1]A_InstallationData!J80)</f>
        <v/>
      </c>
      <c r="K1429" s="2024"/>
      <c r="L1429" s="2024"/>
      <c r="M1429" s="2024"/>
      <c r="N1429" s="2024"/>
    </row>
    <row r="1430" spans="3:14" x14ac:dyDescent="0.25">
      <c r="C1430" s="3"/>
      <c r="D1430" s="3"/>
      <c r="E1430" s="3"/>
      <c r="F1430" s="3"/>
      <c r="G1430" s="3"/>
      <c r="H1430" s="3"/>
      <c r="I1430" s="3"/>
      <c r="J1430" s="3"/>
      <c r="K1430" s="3"/>
      <c r="L1430" s="3"/>
      <c r="M1430" s="6"/>
      <c r="N1430" s="6"/>
    </row>
    <row r="1431" spans="3:14" ht="15.75" customHeight="1" x14ac:dyDescent="0.35">
      <c r="C1431" s="11" t="s">
        <v>12</v>
      </c>
      <c r="D1431" s="1975" t="str">
        <f>Translations!$B$179</f>
        <v>Förteckning över tekniska anslutningar</v>
      </c>
      <c r="E1431" s="1975"/>
      <c r="F1431" s="1975"/>
      <c r="G1431" s="1975"/>
      <c r="H1431" s="1975"/>
      <c r="I1431" s="1975"/>
      <c r="J1431" s="1975"/>
      <c r="K1431" s="1975"/>
      <c r="L1431" s="1975"/>
      <c r="M1431" s="1975"/>
      <c r="N1431" s="1975"/>
    </row>
    <row r="1432" spans="3:14" x14ac:dyDescent="0.25">
      <c r="C1432" s="3"/>
      <c r="D1432" s="3"/>
      <c r="E1432" s="3"/>
      <c r="F1432" s="3"/>
      <c r="G1432" s="3"/>
      <c r="H1432" s="3"/>
      <c r="I1432" s="3"/>
      <c r="J1432" s="3"/>
      <c r="K1432" s="3"/>
      <c r="L1432" s="3"/>
      <c r="M1432" s="6"/>
      <c r="N1432" s="6"/>
    </row>
    <row r="1433" spans="3:14" ht="12.75" customHeight="1" x14ac:dyDescent="0.25">
      <c r="C1433" s="15"/>
      <c r="D1433" s="13" t="s">
        <v>442</v>
      </c>
      <c r="E1433" s="1943" t="str">
        <f>Translations!$B$180</f>
        <v>Var god ange uppgifter som är relevanta för att identifiera tekniska anslutningar till er anläggning:</v>
      </c>
      <c r="F1433" s="1963"/>
      <c r="G1433" s="1963"/>
      <c r="H1433" s="1963"/>
      <c r="I1433" s="1963"/>
      <c r="J1433" s="1963"/>
      <c r="K1433" s="1963"/>
      <c r="L1433" s="1963"/>
      <c r="M1433" s="1963"/>
      <c r="N1433" s="1963"/>
    </row>
    <row r="1434" spans="3:14" ht="12.75" customHeight="1" x14ac:dyDescent="0.3">
      <c r="C1434" s="15"/>
      <c r="D1434" s="194"/>
      <c r="E1434" s="311" t="str">
        <f>Translations!$B$169</f>
        <v>Nr</v>
      </c>
      <c r="F1434" s="2036" t="str">
        <f>Translations!$B$202</f>
        <v>Anläggningens eller enhetens namn</v>
      </c>
      <c r="G1434" s="2039"/>
      <c r="H1434" s="2037"/>
      <c r="I1434" s="2036" t="str">
        <f>Translations!$B$203</f>
        <v>Typ av enhet</v>
      </c>
      <c r="J1434" s="2037"/>
      <c r="K1434" s="2036" t="str">
        <f>Translations!$B$204</f>
        <v>Typ av anslutning</v>
      </c>
      <c r="L1434" s="2037"/>
      <c r="M1434" s="2036" t="str">
        <f>Translations!$B$205</f>
        <v>Flödesriktning</v>
      </c>
      <c r="N1434" s="2039"/>
    </row>
    <row r="1435" spans="3:14" x14ac:dyDescent="0.25">
      <c r="C1435" s="15"/>
      <c r="D1435" s="194"/>
      <c r="E1435" s="1684">
        <v>1</v>
      </c>
      <c r="F1435" s="2027" t="str">
        <f>IF([1]A_InstallationData!F296="","",[1]A_InstallationData!F296)</f>
        <v/>
      </c>
      <c r="G1435" s="2029"/>
      <c r="H1435" s="2028"/>
      <c r="I1435" s="2027" t="str">
        <f>IF([1]A_InstallationData!I296="","",[1]A_InstallationData!I296)</f>
        <v/>
      </c>
      <c r="J1435" s="2050"/>
      <c r="K1435" s="2027" t="str">
        <f>IF([1]A_InstallationData!K296="","",[1]A_InstallationData!K296)</f>
        <v/>
      </c>
      <c r="L1435" s="2028"/>
      <c r="M1435" s="2051" t="str">
        <f>IF([1]A_InstallationData!M296="","",[1]A_InstallationData!M296)</f>
        <v/>
      </c>
      <c r="N1435" s="2052"/>
    </row>
    <row r="1436" spans="3:14" x14ac:dyDescent="0.25">
      <c r="C1436" s="15"/>
      <c r="D1436" s="194"/>
      <c r="E1436" s="1685">
        <v>2</v>
      </c>
      <c r="F1436" s="2013" t="str">
        <f>IF([1]A_InstallationData!F297="","",[1]A_InstallationData!F297)</f>
        <v/>
      </c>
      <c r="G1436" s="2015"/>
      <c r="H1436" s="2014"/>
      <c r="I1436" s="2013" t="str">
        <f>IF([1]A_InstallationData!I297="","",[1]A_InstallationData!I297)</f>
        <v/>
      </c>
      <c r="J1436" s="2033"/>
      <c r="K1436" s="2013" t="str">
        <f>IF([1]A_InstallationData!K297="","",[1]A_InstallationData!K297)</f>
        <v/>
      </c>
      <c r="L1436" s="2014"/>
      <c r="M1436" s="2034" t="str">
        <f>IF([1]A_InstallationData!M297="","",[1]A_InstallationData!M297)</f>
        <v/>
      </c>
      <c r="N1436" s="2035"/>
    </row>
    <row r="1437" spans="3:14" x14ac:dyDescent="0.25">
      <c r="C1437" s="15"/>
      <c r="D1437" s="194"/>
      <c r="E1437" s="1685">
        <v>3</v>
      </c>
      <c r="F1437" s="2013" t="str">
        <f>IF([1]A_InstallationData!F298="","",[1]A_InstallationData!F298)</f>
        <v/>
      </c>
      <c r="G1437" s="2015"/>
      <c r="H1437" s="2014"/>
      <c r="I1437" s="2013" t="str">
        <f>IF([1]A_InstallationData!I298="","",[1]A_InstallationData!I298)</f>
        <v/>
      </c>
      <c r="J1437" s="2033"/>
      <c r="K1437" s="2013" t="str">
        <f>IF([1]A_InstallationData!K298="","",[1]A_InstallationData!K298)</f>
        <v/>
      </c>
      <c r="L1437" s="2014"/>
      <c r="M1437" s="2034" t="str">
        <f>IF([1]A_InstallationData!M298="","",[1]A_InstallationData!M298)</f>
        <v/>
      </c>
      <c r="N1437" s="2035"/>
    </row>
    <row r="1438" spans="3:14" ht="12.75" customHeight="1" x14ac:dyDescent="0.25">
      <c r="C1438" s="15"/>
      <c r="D1438" s="194"/>
      <c r="E1438" s="1685">
        <v>4</v>
      </c>
      <c r="F1438" s="2013" t="str">
        <f>IF([1]A_InstallationData!F299="","",[1]A_InstallationData!F299)</f>
        <v/>
      </c>
      <c r="G1438" s="2015"/>
      <c r="H1438" s="2014"/>
      <c r="I1438" s="2013" t="str">
        <f>IF([1]A_InstallationData!I299="","",[1]A_InstallationData!I299)</f>
        <v/>
      </c>
      <c r="J1438" s="2033"/>
      <c r="K1438" s="2013" t="str">
        <f>IF([1]A_InstallationData!K299="","",[1]A_InstallationData!K299)</f>
        <v/>
      </c>
      <c r="L1438" s="2014"/>
      <c r="M1438" s="2034" t="str">
        <f>IF([1]A_InstallationData!M299="","",[1]A_InstallationData!M299)</f>
        <v/>
      </c>
      <c r="N1438" s="2035"/>
    </row>
    <row r="1439" spans="3:14" x14ac:dyDescent="0.25">
      <c r="C1439" s="15"/>
      <c r="D1439" s="194"/>
      <c r="E1439" s="1685">
        <v>5</v>
      </c>
      <c r="F1439" s="2013" t="str">
        <f>IF([1]A_InstallationData!F300="","",[1]A_InstallationData!F300)</f>
        <v/>
      </c>
      <c r="G1439" s="2015"/>
      <c r="H1439" s="2014"/>
      <c r="I1439" s="2013" t="str">
        <f>IF([1]A_InstallationData!I300="","",[1]A_InstallationData!I300)</f>
        <v/>
      </c>
      <c r="J1439" s="2033"/>
      <c r="K1439" s="2013" t="str">
        <f>IF([1]A_InstallationData!K300="","",[1]A_InstallationData!K300)</f>
        <v/>
      </c>
      <c r="L1439" s="2014"/>
      <c r="M1439" s="2034" t="str">
        <f>IF([1]A_InstallationData!M300="","",[1]A_InstallationData!M300)</f>
        <v/>
      </c>
      <c r="N1439" s="2035"/>
    </row>
    <row r="1440" spans="3:14" x14ac:dyDescent="0.25">
      <c r="C1440" s="15"/>
      <c r="D1440" s="194"/>
      <c r="E1440" s="1685">
        <v>6</v>
      </c>
      <c r="F1440" s="2013" t="str">
        <f>IF([1]A_InstallationData!F301="","",[1]A_InstallationData!F301)</f>
        <v/>
      </c>
      <c r="G1440" s="2015"/>
      <c r="H1440" s="2014"/>
      <c r="I1440" s="2013" t="str">
        <f>IF([1]A_InstallationData!I301="","",[1]A_InstallationData!I301)</f>
        <v/>
      </c>
      <c r="J1440" s="2033"/>
      <c r="K1440" s="2013" t="str">
        <f>IF([1]A_InstallationData!K301="","",[1]A_InstallationData!K301)</f>
        <v/>
      </c>
      <c r="L1440" s="2014"/>
      <c r="M1440" s="2034" t="str">
        <f>IF([1]A_InstallationData!M301="","",[1]A_InstallationData!M301)</f>
        <v/>
      </c>
      <c r="N1440" s="2035"/>
    </row>
    <row r="1441" spans="3:14" x14ac:dyDescent="0.25">
      <c r="C1441" s="15"/>
      <c r="D1441" s="194"/>
      <c r="E1441" s="1685">
        <v>7</v>
      </c>
      <c r="F1441" s="2013" t="str">
        <f>IF([1]A_InstallationData!F302="","",[1]A_InstallationData!F302)</f>
        <v/>
      </c>
      <c r="G1441" s="2015"/>
      <c r="H1441" s="2014"/>
      <c r="I1441" s="2013" t="str">
        <f>IF([1]A_InstallationData!I302="","",[1]A_InstallationData!I302)</f>
        <v/>
      </c>
      <c r="J1441" s="2033"/>
      <c r="K1441" s="2013" t="str">
        <f>IF([1]A_InstallationData!K302="","",[1]A_InstallationData!K302)</f>
        <v/>
      </c>
      <c r="L1441" s="2014"/>
      <c r="M1441" s="2034" t="str">
        <f>IF([1]A_InstallationData!M302="","",[1]A_InstallationData!M302)</f>
        <v/>
      </c>
      <c r="N1441" s="2035"/>
    </row>
    <row r="1442" spans="3:14" x14ac:dyDescent="0.25">
      <c r="C1442" s="15"/>
      <c r="D1442" s="194"/>
      <c r="E1442" s="1685">
        <v>8</v>
      </c>
      <c r="F1442" s="2013" t="str">
        <f>IF([1]A_InstallationData!F303="","",[1]A_InstallationData!F303)</f>
        <v/>
      </c>
      <c r="G1442" s="2015"/>
      <c r="H1442" s="2014"/>
      <c r="I1442" s="2013" t="str">
        <f>IF([1]A_InstallationData!I303="","",[1]A_InstallationData!I303)</f>
        <v/>
      </c>
      <c r="J1442" s="2033"/>
      <c r="K1442" s="2013" t="str">
        <f>IF([1]A_InstallationData!K303="","",[1]A_InstallationData!K303)</f>
        <v/>
      </c>
      <c r="L1442" s="2014"/>
      <c r="M1442" s="2034" t="str">
        <f>IF([1]A_InstallationData!M303="","",[1]A_InstallationData!M303)</f>
        <v/>
      </c>
      <c r="N1442" s="2035"/>
    </row>
    <row r="1443" spans="3:14" x14ac:dyDescent="0.25">
      <c r="C1443" s="15"/>
      <c r="D1443" s="194"/>
      <c r="E1443" s="1685">
        <v>9</v>
      </c>
      <c r="F1443" s="2013" t="str">
        <f>IF([1]A_InstallationData!F304="","",[1]A_InstallationData!F304)</f>
        <v/>
      </c>
      <c r="G1443" s="2015"/>
      <c r="H1443" s="2014"/>
      <c r="I1443" s="2013" t="str">
        <f>IF([1]A_InstallationData!I304="","",[1]A_InstallationData!I304)</f>
        <v/>
      </c>
      <c r="J1443" s="2033"/>
      <c r="K1443" s="2013" t="str">
        <f>IF([1]A_InstallationData!K304="","",[1]A_InstallationData!K304)</f>
        <v/>
      </c>
      <c r="L1443" s="2014"/>
      <c r="M1443" s="2034" t="str">
        <f>IF([1]A_InstallationData!M304="","",[1]A_InstallationData!M304)</f>
        <v/>
      </c>
      <c r="N1443" s="2035"/>
    </row>
    <row r="1444" spans="3:14" x14ac:dyDescent="0.25">
      <c r="C1444" s="15"/>
      <c r="D1444" s="194"/>
      <c r="E1444" s="1686">
        <v>10</v>
      </c>
      <c r="F1444" s="2020" t="str">
        <f>IF([1]A_InstallationData!F305="","",[1]A_InstallationData!F305)</f>
        <v/>
      </c>
      <c r="G1444" s="2022"/>
      <c r="H1444" s="2021"/>
      <c r="I1444" s="2020" t="str">
        <f>IF([1]A_InstallationData!I305="","",[1]A_InstallationData!I305)</f>
        <v/>
      </c>
      <c r="J1444" s="2030"/>
      <c r="K1444" s="2020" t="str">
        <f>IF([1]A_InstallationData!K305="","",[1]A_InstallationData!K305)</f>
        <v/>
      </c>
      <c r="L1444" s="2021"/>
      <c r="M1444" s="2031" t="str">
        <f>IF([1]A_InstallationData!M305="","",[1]A_InstallationData!M305)</f>
        <v/>
      </c>
      <c r="N1444" s="2032"/>
    </row>
    <row r="1445" spans="3:14" x14ac:dyDescent="0.25">
      <c r="C1445" s="15"/>
      <c r="D1445" s="194"/>
      <c r="E1445" s="1687"/>
      <c r="F1445" s="1687"/>
      <c r="G1445" s="1687"/>
      <c r="H1445" s="1687"/>
      <c r="I1445" s="1687"/>
      <c r="J1445" s="1687"/>
      <c r="K1445" s="1687"/>
      <c r="L1445" s="1687"/>
      <c r="M1445" s="1687"/>
      <c r="N1445" s="1687"/>
    </row>
    <row r="1446" spans="3:14" ht="12.75" customHeight="1" x14ac:dyDescent="0.25">
      <c r="C1446" s="15"/>
      <c r="D1446" s="13" t="s">
        <v>955</v>
      </c>
      <c r="E1446" s="1943" t="str">
        <f>Translations!$B$206</f>
        <v>Var god ange ytterligare uppgifter om de anslutna anläggningarna, där så är relevant:</v>
      </c>
      <c r="F1446" s="1963"/>
      <c r="G1446" s="1963"/>
      <c r="H1446" s="1963"/>
      <c r="I1446" s="1963"/>
      <c r="J1446" s="1963"/>
      <c r="K1446" s="1963"/>
      <c r="L1446" s="1963"/>
      <c r="M1446" s="1963"/>
      <c r="N1446" s="1963"/>
    </row>
    <row r="1447" spans="3:14" ht="12.75" customHeight="1" x14ac:dyDescent="0.3">
      <c r="C1447" s="15"/>
      <c r="D1447" s="15"/>
      <c r="E1447" s="315" t="str">
        <f>Translations!$B$169</f>
        <v>Nr</v>
      </c>
      <c r="F1447" s="2036" t="str">
        <f>Translations!$B$209</f>
        <v>Anläggningens ID-nummer i registret (NAP-nr)</v>
      </c>
      <c r="G1447" s="2037"/>
      <c r="H1447" s="2036" t="str">
        <f>Translations!$B$210</f>
        <v>Kontaktpersonens namn</v>
      </c>
      <c r="I1447" s="2037"/>
      <c r="J1447" s="2038" t="str">
        <f>Translations!$B$211</f>
        <v>e-postadress:</v>
      </c>
      <c r="K1447" s="2039"/>
      <c r="L1447" s="2037"/>
      <c r="M1447" s="2036" t="str">
        <f>Translations!$B$212</f>
        <v>telefonnummer</v>
      </c>
      <c r="N1447" s="2040"/>
    </row>
    <row r="1448" spans="3:14" ht="13" x14ac:dyDescent="0.25">
      <c r="C1448" s="15"/>
      <c r="D1448" s="15"/>
      <c r="E1448" s="1688">
        <v>1</v>
      </c>
      <c r="F1448" s="2025" t="str">
        <f>IF([1]A_InstallationData!F311="","",[1]A_InstallationData!F311)</f>
        <v/>
      </c>
      <c r="G1448" s="2026"/>
      <c r="H1448" s="2027" t="str">
        <f>IF([1]A_InstallationData!H311="","",[1]A_InstallationData!H311)</f>
        <v/>
      </c>
      <c r="I1448" s="2028"/>
      <c r="J1448" s="2027" t="str">
        <f>IF([1]A_InstallationData!J311="","",[1]A_InstallationData!J311)</f>
        <v/>
      </c>
      <c r="K1448" s="2029"/>
      <c r="L1448" s="2028"/>
      <c r="M1448" s="2027" t="str">
        <f>IF([1]A_InstallationData!M311="","",[1]A_InstallationData!M311)</f>
        <v/>
      </c>
      <c r="N1448" s="2029"/>
    </row>
    <row r="1449" spans="3:14" ht="13" x14ac:dyDescent="0.25">
      <c r="C1449" s="15"/>
      <c r="D1449" s="15"/>
      <c r="E1449" s="1685">
        <v>2</v>
      </c>
      <c r="F1449" s="2011" t="str">
        <f>IF([1]A_InstallationData!F312="","",[1]A_InstallationData!F312)</f>
        <v/>
      </c>
      <c r="G1449" s="2012"/>
      <c r="H1449" s="2013" t="str">
        <f>IF([1]A_InstallationData!H312="","",[1]A_InstallationData!H312)</f>
        <v/>
      </c>
      <c r="I1449" s="2014"/>
      <c r="J1449" s="2013" t="str">
        <f>IF([1]A_InstallationData!J312="","",[1]A_InstallationData!J312)</f>
        <v/>
      </c>
      <c r="K1449" s="2015"/>
      <c r="L1449" s="2014"/>
      <c r="M1449" s="2016" t="str">
        <f>IF([1]A_InstallationData!M312="","",[1]A_InstallationData!M312)</f>
        <v/>
      </c>
      <c r="N1449" s="2017"/>
    </row>
    <row r="1450" spans="3:14" ht="13" x14ac:dyDescent="0.25">
      <c r="C1450" s="15"/>
      <c r="D1450" s="15"/>
      <c r="E1450" s="1685">
        <v>3</v>
      </c>
      <c r="F1450" s="2011" t="str">
        <f>IF([1]A_InstallationData!F313="","",[1]A_InstallationData!F313)</f>
        <v/>
      </c>
      <c r="G1450" s="2012"/>
      <c r="H1450" s="2013" t="str">
        <f>IF([1]A_InstallationData!H313="","",[1]A_InstallationData!H313)</f>
        <v/>
      </c>
      <c r="I1450" s="2014"/>
      <c r="J1450" s="2013" t="str">
        <f>IF([1]A_InstallationData!J313="","",[1]A_InstallationData!J313)</f>
        <v/>
      </c>
      <c r="K1450" s="2015"/>
      <c r="L1450" s="2014"/>
      <c r="M1450" s="2016" t="str">
        <f>IF([1]A_InstallationData!M313="","",[1]A_InstallationData!M313)</f>
        <v/>
      </c>
      <c r="N1450" s="2017"/>
    </row>
    <row r="1451" spans="3:14" ht="13" x14ac:dyDescent="0.25">
      <c r="C1451" s="15"/>
      <c r="D1451" s="15"/>
      <c r="E1451" s="1685">
        <v>4</v>
      </c>
      <c r="F1451" s="2011" t="str">
        <f>IF([1]A_InstallationData!F314="","",[1]A_InstallationData!F314)</f>
        <v/>
      </c>
      <c r="G1451" s="2012"/>
      <c r="H1451" s="2013" t="str">
        <f>IF([1]A_InstallationData!H314="","",[1]A_InstallationData!H314)</f>
        <v/>
      </c>
      <c r="I1451" s="2014"/>
      <c r="J1451" s="2013" t="str">
        <f>IF([1]A_InstallationData!J314="","",[1]A_InstallationData!J314)</f>
        <v/>
      </c>
      <c r="K1451" s="2015"/>
      <c r="L1451" s="2014"/>
      <c r="M1451" s="2016" t="str">
        <f>IF([1]A_InstallationData!M314="","",[1]A_InstallationData!M314)</f>
        <v/>
      </c>
      <c r="N1451" s="2017"/>
    </row>
    <row r="1452" spans="3:14" ht="13" x14ac:dyDescent="0.25">
      <c r="C1452" s="15"/>
      <c r="D1452" s="15"/>
      <c r="E1452" s="1685">
        <v>5</v>
      </c>
      <c r="F1452" s="2011" t="str">
        <f>IF([1]A_InstallationData!F315="","",[1]A_InstallationData!F315)</f>
        <v/>
      </c>
      <c r="G1452" s="2012"/>
      <c r="H1452" s="2013" t="str">
        <f>IF([1]A_InstallationData!H315="","",[1]A_InstallationData!H315)</f>
        <v/>
      </c>
      <c r="I1452" s="2014"/>
      <c r="J1452" s="2013" t="str">
        <f>IF([1]A_InstallationData!J315="","",[1]A_InstallationData!J315)</f>
        <v/>
      </c>
      <c r="K1452" s="2015"/>
      <c r="L1452" s="2014"/>
      <c r="M1452" s="2016" t="str">
        <f>IF([1]A_InstallationData!M315="","",[1]A_InstallationData!M315)</f>
        <v/>
      </c>
      <c r="N1452" s="2017"/>
    </row>
    <row r="1453" spans="3:14" ht="13" x14ac:dyDescent="0.25">
      <c r="C1453" s="15"/>
      <c r="D1453" s="15"/>
      <c r="E1453" s="1685">
        <v>6</v>
      </c>
      <c r="F1453" s="2011" t="str">
        <f>IF([1]A_InstallationData!F316="","",[1]A_InstallationData!F316)</f>
        <v/>
      </c>
      <c r="G1453" s="2012"/>
      <c r="H1453" s="2013" t="str">
        <f>IF([1]A_InstallationData!H316="","",[1]A_InstallationData!H316)</f>
        <v/>
      </c>
      <c r="I1453" s="2014"/>
      <c r="J1453" s="2013" t="str">
        <f>IF([1]A_InstallationData!J316="","",[1]A_InstallationData!J316)</f>
        <v/>
      </c>
      <c r="K1453" s="2015"/>
      <c r="L1453" s="2014"/>
      <c r="M1453" s="2016" t="str">
        <f>IF([1]A_InstallationData!M316="","",[1]A_InstallationData!M316)</f>
        <v/>
      </c>
      <c r="N1453" s="2017"/>
    </row>
    <row r="1454" spans="3:14" ht="13" x14ac:dyDescent="0.25">
      <c r="C1454" s="15"/>
      <c r="D1454" s="15"/>
      <c r="E1454" s="1685">
        <v>7</v>
      </c>
      <c r="F1454" s="2011" t="str">
        <f>IF([1]A_InstallationData!F317="","",[1]A_InstallationData!F317)</f>
        <v/>
      </c>
      <c r="G1454" s="2012"/>
      <c r="H1454" s="2013" t="str">
        <f>IF([1]A_InstallationData!H317="","",[1]A_InstallationData!H317)</f>
        <v/>
      </c>
      <c r="I1454" s="2014"/>
      <c r="J1454" s="2013" t="str">
        <f>IF([1]A_InstallationData!J317="","",[1]A_InstallationData!J317)</f>
        <v/>
      </c>
      <c r="K1454" s="2015"/>
      <c r="L1454" s="2014"/>
      <c r="M1454" s="2016" t="str">
        <f>IF([1]A_InstallationData!M317="","",[1]A_InstallationData!M317)</f>
        <v/>
      </c>
      <c r="N1454" s="2017"/>
    </row>
    <row r="1455" spans="3:14" ht="13" x14ac:dyDescent="0.25">
      <c r="C1455" s="15"/>
      <c r="D1455" s="15"/>
      <c r="E1455" s="1685">
        <v>8</v>
      </c>
      <c r="F1455" s="2011" t="str">
        <f>IF([1]A_InstallationData!F318="","",[1]A_InstallationData!F318)</f>
        <v/>
      </c>
      <c r="G1455" s="2012"/>
      <c r="H1455" s="2013" t="str">
        <f>IF([1]A_InstallationData!H318="","",[1]A_InstallationData!H318)</f>
        <v/>
      </c>
      <c r="I1455" s="2014"/>
      <c r="J1455" s="2013" t="str">
        <f>IF([1]A_InstallationData!J318="","",[1]A_InstallationData!J318)</f>
        <v/>
      </c>
      <c r="K1455" s="2015"/>
      <c r="L1455" s="2014"/>
      <c r="M1455" s="2016" t="str">
        <f>IF([1]A_InstallationData!M318="","",[1]A_InstallationData!M318)</f>
        <v/>
      </c>
      <c r="N1455" s="2017"/>
    </row>
    <row r="1456" spans="3:14" ht="13" x14ac:dyDescent="0.25">
      <c r="C1456" s="15"/>
      <c r="D1456" s="15"/>
      <c r="E1456" s="1685">
        <v>9</v>
      </c>
      <c r="F1456" s="2011" t="str">
        <f>IF([1]A_InstallationData!F319="","",[1]A_InstallationData!F319)</f>
        <v/>
      </c>
      <c r="G1456" s="2012"/>
      <c r="H1456" s="2013" t="str">
        <f>IF([1]A_InstallationData!H319="","",[1]A_InstallationData!H319)</f>
        <v/>
      </c>
      <c r="I1456" s="2014"/>
      <c r="J1456" s="2013" t="str">
        <f>IF([1]A_InstallationData!J319="","",[1]A_InstallationData!J319)</f>
        <v/>
      </c>
      <c r="K1456" s="2015"/>
      <c r="L1456" s="2014"/>
      <c r="M1456" s="2016" t="str">
        <f>IF([1]A_InstallationData!M319="","",[1]A_InstallationData!M319)</f>
        <v/>
      </c>
      <c r="N1456" s="2017"/>
    </row>
    <row r="1457" spans="3:14" ht="13" x14ac:dyDescent="0.25">
      <c r="C1457" s="15"/>
      <c r="D1457" s="15"/>
      <c r="E1457" s="1686">
        <v>10</v>
      </c>
      <c r="F1457" s="2018" t="str">
        <f>IF([1]A_InstallationData!F320="","",[1]A_InstallationData!F320)</f>
        <v/>
      </c>
      <c r="G1457" s="2019"/>
      <c r="H1457" s="2020" t="str">
        <f>IF([1]A_InstallationData!H320="","",[1]A_InstallationData!H320)</f>
        <v/>
      </c>
      <c r="I1457" s="2021"/>
      <c r="J1457" s="2020" t="str">
        <f>IF([1]A_InstallationData!J320="","",[1]A_InstallationData!J320)</f>
        <v/>
      </c>
      <c r="K1457" s="2022"/>
      <c r="L1457" s="2021"/>
      <c r="M1457" s="2023" t="str">
        <f>IF([1]A_InstallationData!M320="","",[1]A_InstallationData!M320)</f>
        <v/>
      </c>
      <c r="N1457" s="2024"/>
    </row>
  </sheetData>
  <sheetProtection formatCells="0" formatColumns="0" formatRows="0"/>
  <mergeCells count="1029">
    <mergeCell ref="E4:N4"/>
    <mergeCell ref="F15:M15"/>
    <mergeCell ref="F9:N9"/>
    <mergeCell ref="H5:K5"/>
    <mergeCell ref="F10:N10"/>
    <mergeCell ref="F14:N14"/>
    <mergeCell ref="F11:N11"/>
    <mergeCell ref="F13:N13"/>
    <mergeCell ref="F12:N12"/>
    <mergeCell ref="F6:N6"/>
    <mergeCell ref="F7:N7"/>
    <mergeCell ref="D20:N20"/>
    <mergeCell ref="H22:I22"/>
    <mergeCell ref="M22:N22"/>
    <mergeCell ref="H23:L23"/>
    <mergeCell ref="F8:N8"/>
    <mergeCell ref="H24:L24"/>
    <mergeCell ref="H25:L25"/>
    <mergeCell ref="F34:N34"/>
    <mergeCell ref="F35:N35"/>
    <mergeCell ref="F36:N36"/>
    <mergeCell ref="F37:N37"/>
    <mergeCell ref="F38:N38"/>
    <mergeCell ref="F39:N39"/>
    <mergeCell ref="D41:N41"/>
    <mergeCell ref="E42:H42"/>
    <mergeCell ref="I42:K42"/>
    <mergeCell ref="L42:N42"/>
    <mergeCell ref="E43:H43"/>
    <mergeCell ref="I43:K43"/>
    <mergeCell ref="L43:N43"/>
    <mergeCell ref="E44:H44"/>
    <mergeCell ref="I44:K44"/>
    <mergeCell ref="L44:N44"/>
    <mergeCell ref="E45:H45"/>
    <mergeCell ref="I45:K45"/>
    <mergeCell ref="L45:N45"/>
    <mergeCell ref="E46:H46"/>
    <mergeCell ref="I46:K46"/>
    <mergeCell ref="L46:N46"/>
    <mergeCell ref="E47:H47"/>
    <mergeCell ref="I47:K47"/>
    <mergeCell ref="L47:N47"/>
    <mergeCell ref="E48:H48"/>
    <mergeCell ref="I48:K48"/>
    <mergeCell ref="L48:N48"/>
    <mergeCell ref="E49:H49"/>
    <mergeCell ref="I49:K49"/>
    <mergeCell ref="L49:N49"/>
    <mergeCell ref="E50:H50"/>
    <mergeCell ref="I50:K50"/>
    <mergeCell ref="L50:N50"/>
    <mergeCell ref="E51:H51"/>
    <mergeCell ref="I51:K51"/>
    <mergeCell ref="L51:N51"/>
    <mergeCell ref="E52:H52"/>
    <mergeCell ref="I52:K52"/>
    <mergeCell ref="L52:N52"/>
    <mergeCell ref="D56:N56"/>
    <mergeCell ref="E58:H58"/>
    <mergeCell ref="K58:L58"/>
    <mergeCell ref="E59:H59"/>
    <mergeCell ref="K59:L59"/>
    <mergeCell ref="E61:M61"/>
    <mergeCell ref="E62:M62"/>
    <mergeCell ref="E64:L64"/>
    <mergeCell ref="D72:N72"/>
    <mergeCell ref="E74:G74"/>
    <mergeCell ref="E75:G75"/>
    <mergeCell ref="E76:G76"/>
    <mergeCell ref="E77:G77"/>
    <mergeCell ref="E78:G78"/>
    <mergeCell ref="E79:G79"/>
    <mergeCell ref="E80:G80"/>
    <mergeCell ref="E81:G81"/>
    <mergeCell ref="E82:G82"/>
    <mergeCell ref="D84:N84"/>
    <mergeCell ref="E86:N86"/>
    <mergeCell ref="E87:N87"/>
    <mergeCell ref="F88:N88"/>
    <mergeCell ref="F89:N89"/>
    <mergeCell ref="F90:N90"/>
    <mergeCell ref="F91:N91"/>
    <mergeCell ref="F92:N92"/>
    <mergeCell ref="F93:N93"/>
    <mergeCell ref="F94:N94"/>
    <mergeCell ref="F95:N95"/>
    <mergeCell ref="F96:N96"/>
    <mergeCell ref="E97:N97"/>
    <mergeCell ref="F98:N98"/>
    <mergeCell ref="F99:N99"/>
    <mergeCell ref="E100:N100"/>
    <mergeCell ref="E101:N101"/>
    <mergeCell ref="E102:G102"/>
    <mergeCell ref="E103:G103"/>
    <mergeCell ref="E104:G104"/>
    <mergeCell ref="E105:G105"/>
    <mergeCell ref="E106:G106"/>
    <mergeCell ref="E107:G107"/>
    <mergeCell ref="E108:G108"/>
    <mergeCell ref="E109:G109"/>
    <mergeCell ref="E110:G110"/>
    <mergeCell ref="E111:G111"/>
    <mergeCell ref="E112:G112"/>
    <mergeCell ref="E113:G113"/>
    <mergeCell ref="E114:G114"/>
    <mergeCell ref="E115:G115"/>
    <mergeCell ref="E116:G116"/>
    <mergeCell ref="E117:G117"/>
    <mergeCell ref="E118:G118"/>
    <mergeCell ref="E119:G119"/>
    <mergeCell ref="E120:G120"/>
    <mergeCell ref="E123:G123"/>
    <mergeCell ref="E124:G124"/>
    <mergeCell ref="E125:G125"/>
    <mergeCell ref="E126:G126"/>
    <mergeCell ref="E127:G127"/>
    <mergeCell ref="E128:G128"/>
    <mergeCell ref="E129:G129"/>
    <mergeCell ref="E130:G130"/>
    <mergeCell ref="E131:G131"/>
    <mergeCell ref="E132:G132"/>
    <mergeCell ref="E133:G133"/>
    <mergeCell ref="E134:G134"/>
    <mergeCell ref="E135:G135"/>
    <mergeCell ref="E136:G136"/>
    <mergeCell ref="E137:G137"/>
    <mergeCell ref="E138:G138"/>
    <mergeCell ref="E139:G139"/>
    <mergeCell ref="E140:G140"/>
    <mergeCell ref="D142:N142"/>
    <mergeCell ref="E144:L144"/>
    <mergeCell ref="E146:G146"/>
    <mergeCell ref="E147:G147"/>
    <mergeCell ref="E148:G148"/>
    <mergeCell ref="E149:G149"/>
    <mergeCell ref="E151:G151"/>
    <mergeCell ref="E152:G152"/>
    <mergeCell ref="E153:G153"/>
    <mergeCell ref="E154:G154"/>
    <mergeCell ref="E156:G156"/>
    <mergeCell ref="E157:G157"/>
    <mergeCell ref="E158:G158"/>
    <mergeCell ref="E159:G159"/>
    <mergeCell ref="E160:G160"/>
    <mergeCell ref="E162:G162"/>
    <mergeCell ref="E163:G163"/>
    <mergeCell ref="E164:G164"/>
    <mergeCell ref="E166:G166"/>
    <mergeCell ref="E167:G167"/>
    <mergeCell ref="E169:L169"/>
    <mergeCell ref="E171:G171"/>
    <mergeCell ref="E172:G172"/>
    <mergeCell ref="E173:G173"/>
    <mergeCell ref="E174:G174"/>
    <mergeCell ref="E176:G176"/>
    <mergeCell ref="E177:G177"/>
    <mergeCell ref="E178:G178"/>
    <mergeCell ref="E179:G179"/>
    <mergeCell ref="E181:G181"/>
    <mergeCell ref="E182:G182"/>
    <mergeCell ref="E183:G183"/>
    <mergeCell ref="E184:G184"/>
    <mergeCell ref="E185:G185"/>
    <mergeCell ref="E187:G187"/>
    <mergeCell ref="E188:G188"/>
    <mergeCell ref="E189:G189"/>
    <mergeCell ref="E191:G191"/>
    <mergeCell ref="E192:G192"/>
    <mergeCell ref="D194:N194"/>
    <mergeCell ref="E196:K196"/>
    <mergeCell ref="L196:N196"/>
    <mergeCell ref="E197:G197"/>
    <mergeCell ref="H197:N197"/>
    <mergeCell ref="E199:G199"/>
    <mergeCell ref="E200:G200"/>
    <mergeCell ref="E201:G201"/>
    <mergeCell ref="E202:G202"/>
    <mergeCell ref="E203:G203"/>
    <mergeCell ref="E204:G204"/>
    <mergeCell ref="E206:H206"/>
    <mergeCell ref="E208:K208"/>
    <mergeCell ref="L208:N208"/>
    <mergeCell ref="E209:G209"/>
    <mergeCell ref="H209:N209"/>
    <mergeCell ref="E211:G211"/>
    <mergeCell ref="E212:G212"/>
    <mergeCell ref="E213:G213"/>
    <mergeCell ref="E214:G214"/>
    <mergeCell ref="E215:G215"/>
    <mergeCell ref="E216:G216"/>
    <mergeCell ref="E218:H218"/>
    <mergeCell ref="D220:N220"/>
    <mergeCell ref="E222:G222"/>
    <mergeCell ref="E223:G223"/>
    <mergeCell ref="E224:G224"/>
    <mergeCell ref="E225:G225"/>
    <mergeCell ref="E226:G226"/>
    <mergeCell ref="E227:G227"/>
    <mergeCell ref="E228:G228"/>
    <mergeCell ref="E231:G231"/>
    <mergeCell ref="E232:G232"/>
    <mergeCell ref="E233:G233"/>
    <mergeCell ref="E234:G234"/>
    <mergeCell ref="E235:G235"/>
    <mergeCell ref="E236:G236"/>
    <mergeCell ref="E237:G237"/>
    <mergeCell ref="E238:G238"/>
    <mergeCell ref="E239:G239"/>
    <mergeCell ref="E240:G240"/>
    <mergeCell ref="E241:G241"/>
    <mergeCell ref="E242:G242"/>
    <mergeCell ref="E243:G243"/>
    <mergeCell ref="E244:G244"/>
    <mergeCell ref="E245:G245"/>
    <mergeCell ref="D247:N247"/>
    <mergeCell ref="E249:N249"/>
    <mergeCell ref="E251:G251"/>
    <mergeCell ref="E253:N253"/>
    <mergeCell ref="E254:G254"/>
    <mergeCell ref="E255:G255"/>
    <mergeCell ref="E256:G256"/>
    <mergeCell ref="E257:G257"/>
    <mergeCell ref="E258:G258"/>
    <mergeCell ref="E260:N260"/>
    <mergeCell ref="E261:G261"/>
    <mergeCell ref="E262:G262"/>
    <mergeCell ref="E263:G263"/>
    <mergeCell ref="E264:G264"/>
    <mergeCell ref="E265:G265"/>
    <mergeCell ref="E267:N267"/>
    <mergeCell ref="E268:G268"/>
    <mergeCell ref="E270:N270"/>
    <mergeCell ref="E271:G271"/>
    <mergeCell ref="E273:N273"/>
    <mergeCell ref="E274:G274"/>
    <mergeCell ref="E276:N276"/>
    <mergeCell ref="E278:G278"/>
    <mergeCell ref="E279:G279"/>
    <mergeCell ref="E280:G280"/>
    <mergeCell ref="E282:N282"/>
    <mergeCell ref="E284:G284"/>
    <mergeCell ref="E285:G285"/>
    <mergeCell ref="E286:G286"/>
    <mergeCell ref="E287:G287"/>
    <mergeCell ref="E288:G288"/>
    <mergeCell ref="E289:G289"/>
    <mergeCell ref="E290:G290"/>
    <mergeCell ref="E291:G291"/>
    <mergeCell ref="E292:G292"/>
    <mergeCell ref="E293:G293"/>
    <mergeCell ref="E294:G294"/>
    <mergeCell ref="E296:N296"/>
    <mergeCell ref="E297:G297"/>
    <mergeCell ref="E299:N299"/>
    <mergeCell ref="E300:G300"/>
    <mergeCell ref="E302:N302"/>
    <mergeCell ref="E303:G303"/>
    <mergeCell ref="E305:N305"/>
    <mergeCell ref="E306:G306"/>
    <mergeCell ref="E307:G307"/>
    <mergeCell ref="E308:G308"/>
    <mergeCell ref="E309:G309"/>
    <mergeCell ref="E310:G310"/>
    <mergeCell ref="E311:G311"/>
    <mergeCell ref="E312:G312"/>
    <mergeCell ref="E314:N314"/>
    <mergeCell ref="E317:G317"/>
    <mergeCell ref="E319:G319"/>
    <mergeCell ref="E320:G320"/>
    <mergeCell ref="E322:N322"/>
    <mergeCell ref="E323:G323"/>
    <mergeCell ref="E325:N325"/>
    <mergeCell ref="E326:G326"/>
    <mergeCell ref="E328:N328"/>
    <mergeCell ref="E329:G329"/>
    <mergeCell ref="E330:G330"/>
    <mergeCell ref="E331:G331"/>
    <mergeCell ref="E332:G332"/>
    <mergeCell ref="E333:G333"/>
    <mergeCell ref="E334:G334"/>
    <mergeCell ref="E335:G335"/>
    <mergeCell ref="E337:N337"/>
    <mergeCell ref="E339:G339"/>
    <mergeCell ref="E340:G340"/>
    <mergeCell ref="E342:N342"/>
    <mergeCell ref="E343:G343"/>
    <mergeCell ref="E345:N345"/>
    <mergeCell ref="E347:G347"/>
    <mergeCell ref="D349:N349"/>
    <mergeCell ref="D355:N355"/>
    <mergeCell ref="E357:N357"/>
    <mergeCell ref="E358:G358"/>
    <mergeCell ref="E359:G359"/>
    <mergeCell ref="E360:G360"/>
    <mergeCell ref="E361:G361"/>
    <mergeCell ref="E362:G362"/>
    <mergeCell ref="E363:G363"/>
    <mergeCell ref="E364:G364"/>
    <mergeCell ref="E365:G365"/>
    <mergeCell ref="E366:G366"/>
    <mergeCell ref="E367:G367"/>
    <mergeCell ref="E368:G368"/>
    <mergeCell ref="E369:G369"/>
    <mergeCell ref="E371:N371"/>
    <mergeCell ref="E372:G372"/>
    <mergeCell ref="E373:G373"/>
    <mergeCell ref="E374:G374"/>
    <mergeCell ref="E375:G375"/>
    <mergeCell ref="E377:N377"/>
    <mergeCell ref="E378:G378"/>
    <mergeCell ref="E380:N380"/>
    <mergeCell ref="E381:G381"/>
    <mergeCell ref="E382:G382"/>
    <mergeCell ref="E383:G383"/>
    <mergeCell ref="E384:G384"/>
    <mergeCell ref="E385:G385"/>
    <mergeCell ref="E387:N387"/>
    <mergeCell ref="E388:G388"/>
    <mergeCell ref="E389:G389"/>
    <mergeCell ref="E390:G390"/>
    <mergeCell ref="E391:G391"/>
    <mergeCell ref="E392:G392"/>
    <mergeCell ref="E394:N394"/>
    <mergeCell ref="E395:G395"/>
    <mergeCell ref="E397:N397"/>
    <mergeCell ref="E398:G398"/>
    <mergeCell ref="E399:G399"/>
    <mergeCell ref="E400:G400"/>
    <mergeCell ref="E401:G401"/>
    <mergeCell ref="E402:G402"/>
    <mergeCell ref="E403:G403"/>
    <mergeCell ref="E404:G404"/>
    <mergeCell ref="E405:G405"/>
    <mergeCell ref="E406:G406"/>
    <mergeCell ref="E407:G407"/>
    <mergeCell ref="E408:G408"/>
    <mergeCell ref="E409:G409"/>
    <mergeCell ref="E411:N411"/>
    <mergeCell ref="E412:G412"/>
    <mergeCell ref="E413:G413"/>
    <mergeCell ref="E414:G414"/>
    <mergeCell ref="E415:G415"/>
    <mergeCell ref="E416:G416"/>
    <mergeCell ref="E417:G417"/>
    <mergeCell ref="E418:G418"/>
    <mergeCell ref="E420:N420"/>
    <mergeCell ref="E421:G421"/>
    <mergeCell ref="E423:N423"/>
    <mergeCell ref="E424:G424"/>
    <mergeCell ref="E425:G425"/>
    <mergeCell ref="E426:G426"/>
    <mergeCell ref="E427:G427"/>
    <mergeCell ref="E428:G428"/>
    <mergeCell ref="E429:G429"/>
    <mergeCell ref="E430:G430"/>
    <mergeCell ref="E431:G431"/>
    <mergeCell ref="E432:G432"/>
    <mergeCell ref="E433:G433"/>
    <mergeCell ref="E434:G434"/>
    <mergeCell ref="E435:G435"/>
    <mergeCell ref="E436:G436"/>
    <mergeCell ref="E438:N438"/>
    <mergeCell ref="E439:G439"/>
    <mergeCell ref="E440:G440"/>
    <mergeCell ref="D442:N442"/>
    <mergeCell ref="E444:K444"/>
    <mergeCell ref="L444:M444"/>
    <mergeCell ref="E445:N445"/>
    <mergeCell ref="E447:G447"/>
    <mergeCell ref="E448:G448"/>
    <mergeCell ref="E449:G449"/>
    <mergeCell ref="E450:G450"/>
    <mergeCell ref="E451:G451"/>
    <mergeCell ref="E452:G452"/>
    <mergeCell ref="D456:N456"/>
    <mergeCell ref="D458:N458"/>
    <mergeCell ref="D459:E459"/>
    <mergeCell ref="F459:N459"/>
    <mergeCell ref="D460:E460"/>
    <mergeCell ref="F460:N460"/>
    <mergeCell ref="D461:E461"/>
    <mergeCell ref="F461:N461"/>
    <mergeCell ref="D462:E462"/>
    <mergeCell ref="F462:N462"/>
    <mergeCell ref="D463:E463"/>
    <mergeCell ref="F463:N463"/>
    <mergeCell ref="D464:E464"/>
    <mergeCell ref="F464:N464"/>
    <mergeCell ref="D465:E465"/>
    <mergeCell ref="F465:N465"/>
    <mergeCell ref="D466:E466"/>
    <mergeCell ref="F466:N466"/>
    <mergeCell ref="D467:E467"/>
    <mergeCell ref="F467:N467"/>
    <mergeCell ref="D468:E468"/>
    <mergeCell ref="F468:N468"/>
    <mergeCell ref="D469:E469"/>
    <mergeCell ref="F469:N469"/>
    <mergeCell ref="D470:E470"/>
    <mergeCell ref="F470:N470"/>
    <mergeCell ref="D471:E471"/>
    <mergeCell ref="F471:N471"/>
    <mergeCell ref="D472:E472"/>
    <mergeCell ref="F472:N472"/>
    <mergeCell ref="F473:N473"/>
    <mergeCell ref="D474:E474"/>
    <mergeCell ref="F474:N474"/>
    <mergeCell ref="D475:E475"/>
    <mergeCell ref="F475:N475"/>
    <mergeCell ref="D477:N477"/>
    <mergeCell ref="D479:H479"/>
    <mergeCell ref="I479:N479"/>
    <mergeCell ref="E495:G495"/>
    <mergeCell ref="E497:G497"/>
    <mergeCell ref="E498:G498"/>
    <mergeCell ref="E500:G500"/>
    <mergeCell ref="E501:G501"/>
    <mergeCell ref="E502:G502"/>
    <mergeCell ref="E503:G503"/>
    <mergeCell ref="E505:G505"/>
    <mergeCell ref="E506:G506"/>
    <mergeCell ref="E508:G508"/>
    <mergeCell ref="E509:G509"/>
    <mergeCell ref="E511:G511"/>
    <mergeCell ref="E512:G512"/>
    <mergeCell ref="E514:G514"/>
    <mergeCell ref="E515:G515"/>
    <mergeCell ref="E516:G516"/>
    <mergeCell ref="E517:G517"/>
    <mergeCell ref="E518:G518"/>
    <mergeCell ref="E519:G519"/>
    <mergeCell ref="E520:G520"/>
    <mergeCell ref="E521:G521"/>
    <mergeCell ref="E522:G522"/>
    <mergeCell ref="E523:G523"/>
    <mergeCell ref="E525:G525"/>
    <mergeCell ref="E526:G526"/>
    <mergeCell ref="E528:G528"/>
    <mergeCell ref="E531:G531"/>
    <mergeCell ref="E532:G532"/>
    <mergeCell ref="E534:G534"/>
    <mergeCell ref="E535:G535"/>
    <mergeCell ref="D539:H539"/>
    <mergeCell ref="I539:N539"/>
    <mergeCell ref="E555:G555"/>
    <mergeCell ref="E557:G557"/>
    <mergeCell ref="E558:G558"/>
    <mergeCell ref="E560:G560"/>
    <mergeCell ref="E561:G561"/>
    <mergeCell ref="E562:G562"/>
    <mergeCell ref="E563:G563"/>
    <mergeCell ref="E565:G565"/>
    <mergeCell ref="E566:G566"/>
    <mergeCell ref="E568:G568"/>
    <mergeCell ref="E569:G569"/>
    <mergeCell ref="E571:G571"/>
    <mergeCell ref="E572:G572"/>
    <mergeCell ref="E574:G574"/>
    <mergeCell ref="E575:G575"/>
    <mergeCell ref="E576:G576"/>
    <mergeCell ref="E577:G577"/>
    <mergeCell ref="E578:G578"/>
    <mergeCell ref="E579:G579"/>
    <mergeCell ref="E580:G580"/>
    <mergeCell ref="E581:G581"/>
    <mergeCell ref="E582:G582"/>
    <mergeCell ref="E583:G583"/>
    <mergeCell ref="E585:G585"/>
    <mergeCell ref="E586:G586"/>
    <mergeCell ref="E588:G588"/>
    <mergeCell ref="E591:G591"/>
    <mergeCell ref="E592:G592"/>
    <mergeCell ref="E594:G594"/>
    <mergeCell ref="E595:G595"/>
    <mergeCell ref="D599:H599"/>
    <mergeCell ref="I599:N599"/>
    <mergeCell ref="E615:G615"/>
    <mergeCell ref="E617:G617"/>
    <mergeCell ref="E618:G618"/>
    <mergeCell ref="E620:G620"/>
    <mergeCell ref="E621:G621"/>
    <mergeCell ref="E622:G622"/>
    <mergeCell ref="E623:G623"/>
    <mergeCell ref="E625:G625"/>
    <mergeCell ref="E626:G626"/>
    <mergeCell ref="E628:G628"/>
    <mergeCell ref="E629:G629"/>
    <mergeCell ref="E631:G631"/>
    <mergeCell ref="E632:G632"/>
    <mergeCell ref="E634:G634"/>
    <mergeCell ref="E635:G635"/>
    <mergeCell ref="E636:G636"/>
    <mergeCell ref="E637:G637"/>
    <mergeCell ref="E638:G638"/>
    <mergeCell ref="E639:G639"/>
    <mergeCell ref="E640:G640"/>
    <mergeCell ref="E641:G641"/>
    <mergeCell ref="E642:G642"/>
    <mergeCell ref="E643:G643"/>
    <mergeCell ref="E645:G645"/>
    <mergeCell ref="E646:G646"/>
    <mergeCell ref="E648:G648"/>
    <mergeCell ref="E651:G651"/>
    <mergeCell ref="E652:G652"/>
    <mergeCell ref="E654:G654"/>
    <mergeCell ref="E655:G655"/>
    <mergeCell ref="D659:H659"/>
    <mergeCell ref="I659:N659"/>
    <mergeCell ref="E675:G675"/>
    <mergeCell ref="E677:G677"/>
    <mergeCell ref="E678:G678"/>
    <mergeCell ref="E680:G680"/>
    <mergeCell ref="E681:G681"/>
    <mergeCell ref="E682:G682"/>
    <mergeCell ref="E683:G683"/>
    <mergeCell ref="E685:G685"/>
    <mergeCell ref="E686:G686"/>
    <mergeCell ref="E688:G688"/>
    <mergeCell ref="E689:G689"/>
    <mergeCell ref="E691:G691"/>
    <mergeCell ref="E692:G692"/>
    <mergeCell ref="E694:G694"/>
    <mergeCell ref="E695:G695"/>
    <mergeCell ref="E696:G696"/>
    <mergeCell ref="E697:G697"/>
    <mergeCell ref="E698:G698"/>
    <mergeCell ref="E699:G699"/>
    <mergeCell ref="E700:G700"/>
    <mergeCell ref="E701:G701"/>
    <mergeCell ref="E702:G702"/>
    <mergeCell ref="E703:G703"/>
    <mergeCell ref="E705:G705"/>
    <mergeCell ref="E706:G706"/>
    <mergeCell ref="E708:G708"/>
    <mergeCell ref="E711:G711"/>
    <mergeCell ref="E712:G712"/>
    <mergeCell ref="E714:G714"/>
    <mergeCell ref="E715:G715"/>
    <mergeCell ref="D719:H719"/>
    <mergeCell ref="I719:N719"/>
    <mergeCell ref="E735:G735"/>
    <mergeCell ref="E737:G737"/>
    <mergeCell ref="E738:G738"/>
    <mergeCell ref="E740:G740"/>
    <mergeCell ref="E741:G741"/>
    <mergeCell ref="E742:G742"/>
    <mergeCell ref="E743:G743"/>
    <mergeCell ref="E745:G745"/>
    <mergeCell ref="E746:G746"/>
    <mergeCell ref="E748:G748"/>
    <mergeCell ref="E749:G749"/>
    <mergeCell ref="E751:G751"/>
    <mergeCell ref="E752:G752"/>
    <mergeCell ref="E754:G754"/>
    <mergeCell ref="E755:G755"/>
    <mergeCell ref="E756:G756"/>
    <mergeCell ref="E757:G757"/>
    <mergeCell ref="E758:G758"/>
    <mergeCell ref="E759:G759"/>
    <mergeCell ref="E760:G760"/>
    <mergeCell ref="E761:G761"/>
    <mergeCell ref="E762:G762"/>
    <mergeCell ref="E763:G763"/>
    <mergeCell ref="E765:G765"/>
    <mergeCell ref="E766:G766"/>
    <mergeCell ref="E768:G768"/>
    <mergeCell ref="E771:G771"/>
    <mergeCell ref="E772:G772"/>
    <mergeCell ref="E774:G774"/>
    <mergeCell ref="E775:G775"/>
    <mergeCell ref="D779:H779"/>
    <mergeCell ref="I779:N779"/>
    <mergeCell ref="E795:G795"/>
    <mergeCell ref="E797:G797"/>
    <mergeCell ref="E798:G798"/>
    <mergeCell ref="E800:G800"/>
    <mergeCell ref="E801:G801"/>
    <mergeCell ref="E802:G802"/>
    <mergeCell ref="E803:G803"/>
    <mergeCell ref="E805:G805"/>
    <mergeCell ref="E806:G806"/>
    <mergeCell ref="E808:G808"/>
    <mergeCell ref="E809:G809"/>
    <mergeCell ref="E811:G811"/>
    <mergeCell ref="E812:G812"/>
    <mergeCell ref="E814:G814"/>
    <mergeCell ref="E815:G815"/>
    <mergeCell ref="E816:G816"/>
    <mergeCell ref="E817:G817"/>
    <mergeCell ref="E818:G818"/>
    <mergeCell ref="E819:G819"/>
    <mergeCell ref="E820:G820"/>
    <mergeCell ref="E821:G821"/>
    <mergeCell ref="E822:G822"/>
    <mergeCell ref="E823:G823"/>
    <mergeCell ref="E825:G825"/>
    <mergeCell ref="E826:G826"/>
    <mergeCell ref="E828:G828"/>
    <mergeCell ref="E831:G831"/>
    <mergeCell ref="E832:G832"/>
    <mergeCell ref="E834:G834"/>
    <mergeCell ref="E835:G835"/>
    <mergeCell ref="D839:H839"/>
    <mergeCell ref="I839:N839"/>
    <mergeCell ref="E855:G855"/>
    <mergeCell ref="E857:G857"/>
    <mergeCell ref="E858:G858"/>
    <mergeCell ref="E860:G860"/>
    <mergeCell ref="E861:G861"/>
    <mergeCell ref="E862:G862"/>
    <mergeCell ref="E863:G863"/>
    <mergeCell ref="E865:G865"/>
    <mergeCell ref="E866:G866"/>
    <mergeCell ref="E868:G868"/>
    <mergeCell ref="E869:G869"/>
    <mergeCell ref="E871:G871"/>
    <mergeCell ref="E872:G872"/>
    <mergeCell ref="E874:G874"/>
    <mergeCell ref="E875:G875"/>
    <mergeCell ref="E876:G876"/>
    <mergeCell ref="E877:G877"/>
    <mergeCell ref="E878:G878"/>
    <mergeCell ref="E879:G879"/>
    <mergeCell ref="E880:G880"/>
    <mergeCell ref="E881:G881"/>
    <mergeCell ref="E882:G882"/>
    <mergeCell ref="E883:G883"/>
    <mergeCell ref="E885:G885"/>
    <mergeCell ref="E886:G886"/>
    <mergeCell ref="E888:G888"/>
    <mergeCell ref="E891:G891"/>
    <mergeCell ref="E892:G892"/>
    <mergeCell ref="E894:G894"/>
    <mergeCell ref="E895:G895"/>
    <mergeCell ref="D899:H899"/>
    <mergeCell ref="I899:N899"/>
    <mergeCell ref="E915:G915"/>
    <mergeCell ref="E917:G917"/>
    <mergeCell ref="E918:G918"/>
    <mergeCell ref="E920:G920"/>
    <mergeCell ref="E921:G921"/>
    <mergeCell ref="E922:G922"/>
    <mergeCell ref="E923:G923"/>
    <mergeCell ref="E925:G925"/>
    <mergeCell ref="E926:G926"/>
    <mergeCell ref="E928:G928"/>
    <mergeCell ref="E929:G929"/>
    <mergeCell ref="E931:G931"/>
    <mergeCell ref="E932:G932"/>
    <mergeCell ref="E934:G934"/>
    <mergeCell ref="E935:G935"/>
    <mergeCell ref="E936:G936"/>
    <mergeCell ref="E937:G937"/>
    <mergeCell ref="E938:G938"/>
    <mergeCell ref="E939:G939"/>
    <mergeCell ref="E940:G940"/>
    <mergeCell ref="E941:G941"/>
    <mergeCell ref="E942:G942"/>
    <mergeCell ref="E943:G943"/>
    <mergeCell ref="E945:G945"/>
    <mergeCell ref="E946:G946"/>
    <mergeCell ref="E948:G948"/>
    <mergeCell ref="E951:G951"/>
    <mergeCell ref="E952:G952"/>
    <mergeCell ref="E954:G954"/>
    <mergeCell ref="E955:G955"/>
    <mergeCell ref="D959:H959"/>
    <mergeCell ref="I959:N959"/>
    <mergeCell ref="E975:G975"/>
    <mergeCell ref="E977:G977"/>
    <mergeCell ref="E978:G978"/>
    <mergeCell ref="E980:G980"/>
    <mergeCell ref="E981:G981"/>
    <mergeCell ref="E982:G982"/>
    <mergeCell ref="E983:G983"/>
    <mergeCell ref="E985:G985"/>
    <mergeCell ref="E986:G986"/>
    <mergeCell ref="E988:G988"/>
    <mergeCell ref="E989:G989"/>
    <mergeCell ref="E991:G991"/>
    <mergeCell ref="E992:G992"/>
    <mergeCell ref="E994:G994"/>
    <mergeCell ref="E995:G995"/>
    <mergeCell ref="E996:G996"/>
    <mergeCell ref="E997:G997"/>
    <mergeCell ref="E998:G998"/>
    <mergeCell ref="E999:G999"/>
    <mergeCell ref="E1000:G1000"/>
    <mergeCell ref="E1001:G1001"/>
    <mergeCell ref="E1002:G1002"/>
    <mergeCell ref="E1003:G1003"/>
    <mergeCell ref="E1005:G1005"/>
    <mergeCell ref="E1006:G1006"/>
    <mergeCell ref="E1008:G1008"/>
    <mergeCell ref="E1011:G1011"/>
    <mergeCell ref="E1012:G1012"/>
    <mergeCell ref="E1014:G1014"/>
    <mergeCell ref="E1015:G1015"/>
    <mergeCell ref="D1019:H1019"/>
    <mergeCell ref="I1019:N1019"/>
    <mergeCell ref="E1035:G1035"/>
    <mergeCell ref="E1037:G1037"/>
    <mergeCell ref="E1038:G1038"/>
    <mergeCell ref="E1040:G1040"/>
    <mergeCell ref="E1041:G1041"/>
    <mergeCell ref="E1042:G1042"/>
    <mergeCell ref="E1043:G1043"/>
    <mergeCell ref="E1045:G1045"/>
    <mergeCell ref="E1046:G1046"/>
    <mergeCell ref="E1048:G1048"/>
    <mergeCell ref="E1049:G1049"/>
    <mergeCell ref="E1051:G1051"/>
    <mergeCell ref="E1052:G1052"/>
    <mergeCell ref="E1054:G1054"/>
    <mergeCell ref="E1055:G1055"/>
    <mergeCell ref="E1056:G1056"/>
    <mergeCell ref="E1057:G1057"/>
    <mergeCell ref="E1058:G1058"/>
    <mergeCell ref="E1059:G1059"/>
    <mergeCell ref="E1060:G1060"/>
    <mergeCell ref="E1061:G1061"/>
    <mergeCell ref="E1062:G1062"/>
    <mergeCell ref="E1063:G1063"/>
    <mergeCell ref="E1065:G1065"/>
    <mergeCell ref="E1066:G1066"/>
    <mergeCell ref="E1068:G1068"/>
    <mergeCell ref="E1071:G1071"/>
    <mergeCell ref="E1072:G1072"/>
    <mergeCell ref="E1074:G1074"/>
    <mergeCell ref="E1075:G1075"/>
    <mergeCell ref="D1081:H1081"/>
    <mergeCell ref="I1081:L1081"/>
    <mergeCell ref="M1081:N1081"/>
    <mergeCell ref="E1097:G1097"/>
    <mergeCell ref="E1099:G1099"/>
    <mergeCell ref="E1101:G1101"/>
    <mergeCell ref="E1102:G1102"/>
    <mergeCell ref="E1103:G1103"/>
    <mergeCell ref="E1104:G1104"/>
    <mergeCell ref="E1106:G1106"/>
    <mergeCell ref="E1108:G1108"/>
    <mergeCell ref="E1109:G1109"/>
    <mergeCell ref="E1110:G1110"/>
    <mergeCell ref="E1111:G1111"/>
    <mergeCell ref="E1112:G1112"/>
    <mergeCell ref="E1113:G1113"/>
    <mergeCell ref="E1114:G1114"/>
    <mergeCell ref="E1115:G1115"/>
    <mergeCell ref="E1116:G1116"/>
    <mergeCell ref="E1117:G1117"/>
    <mergeCell ref="D1121:H1121"/>
    <mergeCell ref="I1121:L1121"/>
    <mergeCell ref="M1121:N1121"/>
    <mergeCell ref="E1137:G1137"/>
    <mergeCell ref="E1139:G1139"/>
    <mergeCell ref="E1141:G1141"/>
    <mergeCell ref="E1142:G1142"/>
    <mergeCell ref="E1143:G1143"/>
    <mergeCell ref="E1144:G1144"/>
    <mergeCell ref="E1146:G1146"/>
    <mergeCell ref="E1148:G1148"/>
    <mergeCell ref="E1149:G1149"/>
    <mergeCell ref="E1150:G1150"/>
    <mergeCell ref="E1151:G1151"/>
    <mergeCell ref="E1152:G1152"/>
    <mergeCell ref="E1153:G1153"/>
    <mergeCell ref="E1154:G1154"/>
    <mergeCell ref="E1155:G1155"/>
    <mergeCell ref="E1156:G1156"/>
    <mergeCell ref="E1157:G1157"/>
    <mergeCell ref="D1161:H1161"/>
    <mergeCell ref="I1161:L1161"/>
    <mergeCell ref="M1161:N1161"/>
    <mergeCell ref="E1177:G1177"/>
    <mergeCell ref="E1179:G1179"/>
    <mergeCell ref="E1181:G1181"/>
    <mergeCell ref="E1182:G1182"/>
    <mergeCell ref="E1183:G1183"/>
    <mergeCell ref="E1184:G1184"/>
    <mergeCell ref="E1186:G1186"/>
    <mergeCell ref="E1188:G1188"/>
    <mergeCell ref="E1189:G1189"/>
    <mergeCell ref="E1190:G1190"/>
    <mergeCell ref="E1191:G1191"/>
    <mergeCell ref="E1192:G1192"/>
    <mergeCell ref="E1193:G1193"/>
    <mergeCell ref="E1194:G1194"/>
    <mergeCell ref="E1195:G1195"/>
    <mergeCell ref="E1196:G1196"/>
    <mergeCell ref="E1197:G1197"/>
    <mergeCell ref="D1201:H1201"/>
    <mergeCell ref="I1201:L1201"/>
    <mergeCell ref="M1201:N1201"/>
    <mergeCell ref="E1217:G1217"/>
    <mergeCell ref="E1219:G1219"/>
    <mergeCell ref="E1220:G1220"/>
    <mergeCell ref="E1221:G1221"/>
    <mergeCell ref="E1222:G1222"/>
    <mergeCell ref="E1224:G1224"/>
    <mergeCell ref="E1226:G1226"/>
    <mergeCell ref="E1227:G1227"/>
    <mergeCell ref="D1231:H1231"/>
    <mergeCell ref="I1231:L1231"/>
    <mergeCell ref="M1231:N1231"/>
    <mergeCell ref="E1247:G1247"/>
    <mergeCell ref="E1249:G1249"/>
    <mergeCell ref="E1250:G1250"/>
    <mergeCell ref="E1251:G1251"/>
    <mergeCell ref="E1252:G1252"/>
    <mergeCell ref="E1254:G1254"/>
    <mergeCell ref="E1256:G1256"/>
    <mergeCell ref="E1257:G1257"/>
    <mergeCell ref="D1261:H1261"/>
    <mergeCell ref="I1261:L1261"/>
    <mergeCell ref="M1261:N1261"/>
    <mergeCell ref="E1277:G1277"/>
    <mergeCell ref="D1281:H1281"/>
    <mergeCell ref="I1281:L1281"/>
    <mergeCell ref="M1281:N1281"/>
    <mergeCell ref="E1297:G1297"/>
    <mergeCell ref="E1302:N1302"/>
    <mergeCell ref="F1303:N1303"/>
    <mergeCell ref="F1304:N1304"/>
    <mergeCell ref="F1305:N1305"/>
    <mergeCell ref="E1306:N1306"/>
    <mergeCell ref="F1307:N1307"/>
    <mergeCell ref="F1308:N1308"/>
    <mergeCell ref="F1309:N1309"/>
    <mergeCell ref="F1310:N1310"/>
    <mergeCell ref="F1311:N1311"/>
    <mergeCell ref="F1312:N1312"/>
    <mergeCell ref="F1313:N1313"/>
    <mergeCell ref="D1315:N1315"/>
    <mergeCell ref="D1317:N1317"/>
    <mergeCell ref="E1318:N1318"/>
    <mergeCell ref="E1319:N1319"/>
    <mergeCell ref="E1321:K1321"/>
    <mergeCell ref="E1322:N1322"/>
    <mergeCell ref="E1323:N1323"/>
    <mergeCell ref="E1324:N1324"/>
    <mergeCell ref="E1328:H1328"/>
    <mergeCell ref="E1329:H1329"/>
    <mergeCell ref="E1330:N1330"/>
    <mergeCell ref="D1334:H1334"/>
    <mergeCell ref="D1335:H1335"/>
    <mergeCell ref="D1336:H1336"/>
    <mergeCell ref="D1337:H1337"/>
    <mergeCell ref="D1338:H1338"/>
    <mergeCell ref="D1339:H1339"/>
    <mergeCell ref="D1340:H1340"/>
    <mergeCell ref="D1341:H1341"/>
    <mergeCell ref="D1342:H1342"/>
    <mergeCell ref="D1343:H1343"/>
    <mergeCell ref="D1344:H1344"/>
    <mergeCell ref="D1345:H1345"/>
    <mergeCell ref="D1346:H1346"/>
    <mergeCell ref="D1347:H1347"/>
    <mergeCell ref="D1348:H1348"/>
    <mergeCell ref="D1349:H1349"/>
    <mergeCell ref="D1350:H1350"/>
    <mergeCell ref="D1351:H1351"/>
    <mergeCell ref="D1352:H1352"/>
    <mergeCell ref="E1359:H1359"/>
    <mergeCell ref="E1362:N1362"/>
    <mergeCell ref="E1363:N1363"/>
    <mergeCell ref="E1365:H1365"/>
    <mergeCell ref="E1366:H1366"/>
    <mergeCell ref="E1369:N1369"/>
    <mergeCell ref="E1370:N1370"/>
    <mergeCell ref="E1372:H1372"/>
    <mergeCell ref="E1375:N1375"/>
    <mergeCell ref="D1377:H1377"/>
    <mergeCell ref="D1378:H1378"/>
    <mergeCell ref="D1379:H1379"/>
    <mergeCell ref="D1380:H1380"/>
    <mergeCell ref="D1381:H1381"/>
    <mergeCell ref="D1382:H1382"/>
    <mergeCell ref="D1383:H1383"/>
    <mergeCell ref="D1384:H1384"/>
    <mergeCell ref="D1385:H1385"/>
    <mergeCell ref="D1386:H1386"/>
    <mergeCell ref="D1387:H1387"/>
    <mergeCell ref="D1388:H1388"/>
    <mergeCell ref="D1389:H1389"/>
    <mergeCell ref="D1390:H1390"/>
    <mergeCell ref="E1402:I1402"/>
    <mergeCell ref="J1402:N1402"/>
    <mergeCell ref="D1398:N1398"/>
    <mergeCell ref="D1400:N1400"/>
    <mergeCell ref="D1391:H1391"/>
    <mergeCell ref="D1392:H1392"/>
    <mergeCell ref="D1393:H1393"/>
    <mergeCell ref="D1394:H1394"/>
    <mergeCell ref="D1395:H1395"/>
    <mergeCell ref="E1408:N1408"/>
    <mergeCell ref="F1407:I1407"/>
    <mergeCell ref="J1407:N1407"/>
    <mergeCell ref="E1406:N1406"/>
    <mergeCell ref="E1404:I1404"/>
    <mergeCell ref="J1404:N1404"/>
    <mergeCell ref="G1409:I1409"/>
    <mergeCell ref="G1410:I1410"/>
    <mergeCell ref="G1411:I1411"/>
    <mergeCell ref="G1412:I1412"/>
    <mergeCell ref="G1413:I1413"/>
    <mergeCell ref="J1409:N1409"/>
    <mergeCell ref="J1410:N1410"/>
    <mergeCell ref="J1411:N1411"/>
    <mergeCell ref="J1412:N1412"/>
    <mergeCell ref="J1413:N1413"/>
    <mergeCell ref="G1414:I1414"/>
    <mergeCell ref="G1415:I1415"/>
    <mergeCell ref="G1416:I1416"/>
    <mergeCell ref="G1417:I1417"/>
    <mergeCell ref="J1417:N1417"/>
    <mergeCell ref="E1419:N1419"/>
    <mergeCell ref="J1414:N1414"/>
    <mergeCell ref="J1415:N1415"/>
    <mergeCell ref="J1416:N1416"/>
    <mergeCell ref="G1420:I1420"/>
    <mergeCell ref="J1420:N1420"/>
    <mergeCell ref="G1421:I1421"/>
    <mergeCell ref="J1421:N1421"/>
    <mergeCell ref="G1422:I1422"/>
    <mergeCell ref="J1422:N1422"/>
    <mergeCell ref="G1423:I1423"/>
    <mergeCell ref="J1423:N1423"/>
    <mergeCell ref="D1424:N1424"/>
    <mergeCell ref="E1425:N1425"/>
    <mergeCell ref="G1426:I1426"/>
    <mergeCell ref="J1426:N1426"/>
    <mergeCell ref="G1427:I1427"/>
    <mergeCell ref="J1427:N1427"/>
    <mergeCell ref="G1428:I1428"/>
    <mergeCell ref="J1428:N1428"/>
    <mergeCell ref="G1429:I1429"/>
    <mergeCell ref="J1429:N1429"/>
    <mergeCell ref="F1434:H1434"/>
    <mergeCell ref="I1434:J1434"/>
    <mergeCell ref="K1434:L1434"/>
    <mergeCell ref="M1434:N1434"/>
    <mergeCell ref="E1433:N1433"/>
    <mergeCell ref="D1431:N1431"/>
    <mergeCell ref="F1435:H1435"/>
    <mergeCell ref="I1435:J1435"/>
    <mergeCell ref="K1435:L1435"/>
    <mergeCell ref="M1435:N1435"/>
    <mergeCell ref="F1436:H1436"/>
    <mergeCell ref="I1436:J1436"/>
    <mergeCell ref="K1436:L1436"/>
    <mergeCell ref="M1436:N1436"/>
    <mergeCell ref="F1437:H1437"/>
    <mergeCell ref="I1437:J1437"/>
    <mergeCell ref="K1437:L1437"/>
    <mergeCell ref="M1437:N1437"/>
    <mergeCell ref="F1438:H1438"/>
    <mergeCell ref="I1438:J1438"/>
    <mergeCell ref="K1438:L1438"/>
    <mergeCell ref="M1438:N1438"/>
    <mergeCell ref="M1442:N1442"/>
    <mergeCell ref="F1439:H1439"/>
    <mergeCell ref="I1439:J1439"/>
    <mergeCell ref="K1439:L1439"/>
    <mergeCell ref="M1439:N1439"/>
    <mergeCell ref="F1440:H1440"/>
    <mergeCell ref="I1440:J1440"/>
    <mergeCell ref="K1440:L1440"/>
    <mergeCell ref="M1440:N1440"/>
    <mergeCell ref="I1444:J1444"/>
    <mergeCell ref="K1444:L1444"/>
    <mergeCell ref="M1444:N1444"/>
    <mergeCell ref="F1441:H1441"/>
    <mergeCell ref="I1441:J1441"/>
    <mergeCell ref="K1441:L1441"/>
    <mergeCell ref="M1441:N1441"/>
    <mergeCell ref="F1442:H1442"/>
    <mergeCell ref="I1442:J1442"/>
    <mergeCell ref="K1442:L1442"/>
    <mergeCell ref="E1446:N1446"/>
    <mergeCell ref="F1447:G1447"/>
    <mergeCell ref="H1447:I1447"/>
    <mergeCell ref="J1447:L1447"/>
    <mergeCell ref="M1447:N1447"/>
    <mergeCell ref="F1443:H1443"/>
    <mergeCell ref="I1443:J1443"/>
    <mergeCell ref="K1443:L1443"/>
    <mergeCell ref="M1443:N1443"/>
    <mergeCell ref="F1444:H1444"/>
    <mergeCell ref="F1448:G1448"/>
    <mergeCell ref="H1448:I1448"/>
    <mergeCell ref="J1448:L1448"/>
    <mergeCell ref="M1448:N1448"/>
    <mergeCell ref="F1449:G1449"/>
    <mergeCell ref="H1449:I1449"/>
    <mergeCell ref="J1449:L1449"/>
    <mergeCell ref="M1449:N1449"/>
    <mergeCell ref="F1450:G1450"/>
    <mergeCell ref="H1450:I1450"/>
    <mergeCell ref="J1450:L1450"/>
    <mergeCell ref="M1450:N1450"/>
    <mergeCell ref="F1451:G1451"/>
    <mergeCell ref="H1451:I1451"/>
    <mergeCell ref="J1451:L1451"/>
    <mergeCell ref="M1451:N1451"/>
    <mergeCell ref="F1452:G1452"/>
    <mergeCell ref="H1452:I1452"/>
    <mergeCell ref="J1452:L1452"/>
    <mergeCell ref="M1452:N1452"/>
    <mergeCell ref="F1453:G1453"/>
    <mergeCell ref="H1453:I1453"/>
    <mergeCell ref="J1453:L1453"/>
    <mergeCell ref="M1453:N1453"/>
    <mergeCell ref="F1457:G1457"/>
    <mergeCell ref="H1457:I1457"/>
    <mergeCell ref="J1457:L1457"/>
    <mergeCell ref="M1457:N1457"/>
    <mergeCell ref="F1454:G1454"/>
    <mergeCell ref="H1454:I1454"/>
    <mergeCell ref="J1454:L1454"/>
    <mergeCell ref="M1454:N1454"/>
    <mergeCell ref="F1455:G1455"/>
    <mergeCell ref="H1455:I1455"/>
    <mergeCell ref="F1456:G1456"/>
    <mergeCell ref="H1456:I1456"/>
    <mergeCell ref="J1456:L1456"/>
    <mergeCell ref="M1456:N1456"/>
    <mergeCell ref="J1455:L1455"/>
    <mergeCell ref="M1455:N1455"/>
  </mergeCells>
  <dataValidations disablePrompts="1" count="1">
    <dataValidation type="decimal" allowBlank="1" showInputMessage="1" showErrorMessage="1" errorTitle="Incorrect Value" error="0 &lt; CCF &lt; 1_x000a_The value of the cross-sectoral correction factor must be between 0 and 100%." sqref="I1365:M1365" xr:uid="{00DB7E90-3475-4265-89C6-5B5EE51D14C9}">
      <formula1>0</formula1>
      <formula2>1</formula2>
    </dataValidation>
  </dataValidations>
  <hyperlinks>
    <hyperlink ref="F14:N14" location="JUMP_A_II" display="You should now see NIMs data below in this sheet and can go back to section A.II and continue." xr:uid="{85FFCBC6-7A87-46F4-B5AE-0E07ED62E5CD}"/>
  </hyperlinks>
  <pageMargins left="0.78740157480314965" right="0.78740157480314965" top="0.78740157480314965" bottom="0.78740157480314965" header="0.51181102362204722" footer="0.51181102362204722"/>
  <pageSetup paperSize="9" scale="64" fitToHeight="30" orientation="portrait" r:id="rId1"/>
  <headerFooter alignWithMargins="0">
    <oddHeader>&amp;L&amp;F; &amp;A&amp;R&amp;D; &amp;T</oddHeader>
    <oddFooter>&amp;C&amp;P / &amp;N</oddFooter>
  </headerFooter>
  <rowBreaks count="9" manualBreakCount="9">
    <brk id="69" min="2" max="13" man="1"/>
    <brk id="140" min="2" max="13" man="1"/>
    <brk id="218" min="2" max="13" man="1"/>
    <brk id="313" min="2" max="13" man="1"/>
    <brk id="409" min="2" max="13" man="1"/>
    <brk id="452" min="2" max="13" man="1"/>
    <brk id="537" min="2" max="13" man="1"/>
    <brk id="597" min="2" max="13" man="1"/>
    <brk id="657" min="2" max="13" man="1"/>
  </row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C23ED-499B-4463-898A-F4793F174E01}">
  <sheetPr codeName="Tabelle3">
    <tabColor indexed="11"/>
  </sheetPr>
  <dimension ref="A1:Y453"/>
  <sheetViews>
    <sheetView zoomScaleNormal="100" zoomScaleSheetLayoutView="25" workbookViewId="0">
      <pane ySplit="4" topLeftCell="A5" activePane="bottomLeft" state="frozen"/>
      <selection pane="bottomLeft" activeCell="B2" sqref="B2:D4"/>
    </sheetView>
  </sheetViews>
  <sheetFormatPr defaultColWidth="11.453125" defaultRowHeight="12.5" x14ac:dyDescent="0.25"/>
  <cols>
    <col min="1" max="1" width="5.1796875" style="533" hidden="1" customWidth="1"/>
    <col min="2" max="2" width="2.7265625" style="533" customWidth="1"/>
    <col min="3" max="4" width="4.7265625" style="533" customWidth="1"/>
    <col min="5" max="5" width="30.7265625" style="533" customWidth="1"/>
    <col min="6" max="14" width="12.7265625" style="533" customWidth="1"/>
    <col min="15" max="15" width="4.7265625" style="533" customWidth="1"/>
    <col min="16" max="16" width="25.7265625" style="533" customWidth="1"/>
    <col min="17" max="17" width="12.7265625" style="533" hidden="1" customWidth="1"/>
    <col min="18" max="25" width="11.453125" style="533" hidden="1" customWidth="1"/>
    <col min="26" max="16384" width="11.453125" style="533"/>
  </cols>
  <sheetData>
    <row r="1" spans="1:25" s="2" customFormat="1" ht="13" hidden="1" thickBot="1" x14ac:dyDescent="0.3">
      <c r="A1" s="2" t="s">
        <v>346</v>
      </c>
      <c r="Q1" s="349" t="s">
        <v>346</v>
      </c>
      <c r="R1" s="349" t="s">
        <v>346</v>
      </c>
      <c r="S1" s="349" t="s">
        <v>346</v>
      </c>
      <c r="T1" s="349" t="s">
        <v>346</v>
      </c>
      <c r="U1" s="349" t="s">
        <v>346</v>
      </c>
      <c r="V1" s="349" t="s">
        <v>346</v>
      </c>
      <c r="W1" s="349" t="s">
        <v>346</v>
      </c>
      <c r="X1" s="349" t="s">
        <v>346</v>
      </c>
      <c r="Y1" s="349" t="s">
        <v>346</v>
      </c>
    </row>
    <row r="2" spans="1:25" ht="13.5" thickBot="1" x14ac:dyDescent="0.35">
      <c r="A2" s="2"/>
      <c r="B2" s="2315" t="str">
        <f>Translations!$B$67</f>
        <v>A.</v>
      </c>
      <c r="C2" s="2316"/>
      <c r="D2" s="2317"/>
      <c r="E2" s="2330" t="str">
        <f>Translations!$B$2</f>
        <v>Navigeringsfält:</v>
      </c>
      <c r="F2" s="2331"/>
      <c r="G2" s="2329" t="str">
        <f>Translations!$B$16</f>
        <v>Innehållsförteckning</v>
      </c>
      <c r="H2" s="1936"/>
      <c r="I2" s="1936" t="str">
        <f>Translations!$B$17</f>
        <v>Föregående blad</v>
      </c>
      <c r="J2" s="1936"/>
      <c r="K2" s="1936" t="str">
        <f>Translations!$B$3</f>
        <v>Nästa blad</v>
      </c>
      <c r="L2" s="1936"/>
      <c r="M2" s="1936" t="str">
        <f>Translations!$B$4</f>
        <v>Sammanfattning</v>
      </c>
      <c r="N2" s="1936"/>
      <c r="O2" s="6"/>
      <c r="P2" s="2280" t="str">
        <f>Translations!$B$1362</f>
        <v>Kolumn för kommentarer 
(till exempel eventuella ändringar)</v>
      </c>
      <c r="Q2" s="410"/>
      <c r="R2" s="349"/>
      <c r="S2" s="349"/>
      <c r="T2" s="349"/>
      <c r="U2" s="349"/>
      <c r="V2" s="349"/>
      <c r="W2" s="349"/>
      <c r="X2" s="349"/>
      <c r="Y2" s="349"/>
    </row>
    <row r="3" spans="1:25" ht="13.5" thickBot="1" x14ac:dyDescent="0.3">
      <c r="A3" s="2"/>
      <c r="B3" s="2318"/>
      <c r="C3" s="2319"/>
      <c r="D3" s="2320"/>
      <c r="E3" s="1936" t="str">
        <f>Translations!$B$5</f>
        <v>Högst upp</v>
      </c>
      <c r="F3" s="2324"/>
      <c r="G3" s="2325" t="str">
        <f>Translations!$B$1363</f>
        <v>Rapportuppgifter</v>
      </c>
      <c r="H3" s="2326"/>
      <c r="I3" s="2326" t="str">
        <f>Translations!$B$1364</f>
        <v>Data om nationella genomförandeåtgärder</v>
      </c>
      <c r="J3" s="2326"/>
      <c r="K3" s="2326" t="str">
        <f>Translations!$B$68</f>
        <v>Anläggnings-ID</v>
      </c>
      <c r="L3" s="2326"/>
      <c r="M3" s="2326" t="str">
        <f>Translations!$B$69</f>
        <v>Kontaktpersoner</v>
      </c>
      <c r="N3" s="2326"/>
      <c r="O3" s="6"/>
      <c r="P3" s="2281"/>
      <c r="Q3" s="410"/>
      <c r="R3" s="349"/>
      <c r="S3" s="349"/>
      <c r="T3" s="349"/>
      <c r="U3" s="349"/>
      <c r="V3" s="349"/>
      <c r="W3" s="349"/>
      <c r="X3" s="349"/>
      <c r="Y3" s="349"/>
    </row>
    <row r="4" spans="1:25" ht="13.5" customHeight="1" thickBot="1" x14ac:dyDescent="0.3">
      <c r="A4" s="2"/>
      <c r="B4" s="2321"/>
      <c r="C4" s="2322"/>
      <c r="D4" s="2323"/>
      <c r="E4" s="1936" t="str">
        <f>Translations!$B$6</f>
        <v>Längst ner</v>
      </c>
      <c r="F4" s="1936"/>
      <c r="G4" s="2327" t="str">
        <f>Translations!$B$70</f>
        <v>Kontrollör</v>
      </c>
      <c r="H4" s="2328"/>
      <c r="I4" s="2328" t="str">
        <f>Translations!$B$71</f>
        <v>Ytterligare uppg. om anl.</v>
      </c>
      <c r="J4" s="2328"/>
      <c r="K4" s="2328" t="str">
        <f>Translations!$B$72</f>
        <v>Stödberättigande</v>
      </c>
      <c r="L4" s="2328"/>
      <c r="M4" s="2328" t="str">
        <f>Translations!$B$74</f>
        <v>Tekniska anslutningar</v>
      </c>
      <c r="N4" s="2328"/>
      <c r="O4" s="6"/>
      <c r="P4" s="2282"/>
      <c r="Q4" s="410"/>
      <c r="R4" s="349"/>
      <c r="S4" s="349"/>
      <c r="T4" s="349"/>
      <c r="U4" s="349"/>
      <c r="V4" s="349"/>
      <c r="W4" s="349"/>
      <c r="X4" s="349"/>
      <c r="Y4" s="349"/>
    </row>
    <row r="5" spans="1:25" x14ac:dyDescent="0.25">
      <c r="A5" s="2"/>
      <c r="B5" s="3"/>
      <c r="C5" s="4"/>
      <c r="D5" s="3"/>
      <c r="E5" s="3"/>
      <c r="F5" s="5"/>
      <c r="G5" s="5"/>
      <c r="H5" s="5"/>
      <c r="I5" s="3"/>
      <c r="J5" s="3"/>
      <c r="K5" s="3"/>
      <c r="L5" s="3"/>
      <c r="M5" s="6"/>
      <c r="N5" s="6"/>
      <c r="O5" s="6"/>
      <c r="P5" s="15"/>
      <c r="Q5" s="410"/>
      <c r="R5" s="349"/>
      <c r="S5" s="349"/>
      <c r="T5" s="349"/>
      <c r="U5" s="349"/>
      <c r="V5" s="349"/>
      <c r="W5" s="349"/>
      <c r="X5" s="349"/>
      <c r="Y5" s="349"/>
    </row>
    <row r="6" spans="1:25" ht="23.25" customHeight="1" x14ac:dyDescent="0.25">
      <c r="A6" s="2"/>
      <c r="B6" s="3"/>
      <c r="C6" s="8" t="s">
        <v>737</v>
      </c>
      <c r="D6" s="2004" t="str">
        <f>Translations!$B$75</f>
        <v>Blad ”InstallationData” – ALLMÄN INFORMATION OM RAPPORTEN</v>
      </c>
      <c r="E6" s="1963"/>
      <c r="F6" s="1963"/>
      <c r="G6" s="1963"/>
      <c r="H6" s="1963"/>
      <c r="I6" s="1963"/>
      <c r="J6" s="1963"/>
      <c r="K6" s="1963"/>
      <c r="L6" s="1963"/>
      <c r="M6" s="1963"/>
      <c r="N6" s="1963"/>
      <c r="O6" s="6"/>
      <c r="P6" s="15"/>
      <c r="Q6" s="487" t="s">
        <v>254</v>
      </c>
      <c r="R6" s="487" t="s">
        <v>254</v>
      </c>
      <c r="S6" s="487" t="s">
        <v>254</v>
      </c>
      <c r="T6" s="487" t="s">
        <v>254</v>
      </c>
      <c r="U6" s="487" t="s">
        <v>254</v>
      </c>
      <c r="V6" s="487" t="s">
        <v>254</v>
      </c>
      <c r="W6" s="487" t="s">
        <v>254</v>
      </c>
      <c r="X6" s="487" t="s">
        <v>254</v>
      </c>
      <c r="Y6" s="487" t="s">
        <v>254</v>
      </c>
    </row>
    <row r="7" spans="1:25" ht="12.75" customHeight="1" x14ac:dyDescent="0.25">
      <c r="A7" s="2"/>
      <c r="B7" s="3"/>
      <c r="C7" s="3"/>
      <c r="D7" s="3"/>
      <c r="E7" s="3"/>
      <c r="F7" s="3"/>
      <c r="G7" s="3"/>
      <c r="H7" s="3"/>
      <c r="I7" s="3"/>
      <c r="J7" s="3"/>
      <c r="K7" s="3"/>
      <c r="L7" s="3"/>
      <c r="M7" s="3"/>
      <c r="N7" s="3"/>
      <c r="O7" s="6"/>
      <c r="P7" s="15"/>
      <c r="Q7" s="488" t="s">
        <v>785</v>
      </c>
      <c r="R7" s="488" t="s">
        <v>785</v>
      </c>
      <c r="S7" s="488" t="s">
        <v>785</v>
      </c>
      <c r="T7" s="488" t="s">
        <v>785</v>
      </c>
      <c r="U7" s="488" t="s">
        <v>785</v>
      </c>
      <c r="V7" s="488" t="s">
        <v>785</v>
      </c>
      <c r="W7" s="488" t="s">
        <v>785</v>
      </c>
      <c r="X7" s="488" t="s">
        <v>785</v>
      </c>
      <c r="Y7" s="488" t="s">
        <v>785</v>
      </c>
    </row>
    <row r="8" spans="1:25" ht="5.15" customHeight="1" x14ac:dyDescent="0.25">
      <c r="A8" s="2"/>
      <c r="B8" s="3"/>
      <c r="C8" s="3"/>
      <c r="D8" s="3"/>
      <c r="E8" s="3"/>
      <c r="F8" s="3"/>
      <c r="G8" s="3"/>
      <c r="H8" s="3"/>
      <c r="I8" s="3"/>
      <c r="J8" s="3"/>
      <c r="K8" s="3"/>
      <c r="L8" s="3"/>
      <c r="M8" s="6"/>
      <c r="N8" s="6"/>
      <c r="O8" s="6"/>
      <c r="P8" s="15"/>
      <c r="Q8" s="410"/>
      <c r="R8" s="349"/>
      <c r="S8" s="349"/>
      <c r="T8" s="349"/>
      <c r="U8" s="349"/>
      <c r="V8" s="349"/>
      <c r="W8" s="349"/>
      <c r="X8" s="349"/>
      <c r="Y8" s="349"/>
    </row>
    <row r="9" spans="1:25" ht="15.5" x14ac:dyDescent="0.35">
      <c r="A9" s="2"/>
      <c r="B9" s="3"/>
      <c r="C9" s="11" t="s">
        <v>1108</v>
      </c>
      <c r="D9" s="1975" t="str">
        <f>Translations!$B$1363</f>
        <v>Rapportuppgifter</v>
      </c>
      <c r="E9" s="1975"/>
      <c r="F9" s="1975"/>
      <c r="G9" s="1975"/>
      <c r="H9" s="1975"/>
      <c r="I9" s="1975"/>
      <c r="J9" s="1975"/>
      <c r="K9" s="1975"/>
      <c r="L9" s="1975"/>
      <c r="M9" s="1975"/>
      <c r="N9" s="1975"/>
      <c r="O9" s="6"/>
      <c r="P9" s="15"/>
      <c r="Q9" s="410"/>
      <c r="R9" s="349"/>
      <c r="S9" s="349"/>
      <c r="T9" s="349"/>
      <c r="U9" s="349"/>
      <c r="V9" s="349"/>
      <c r="W9" s="349"/>
      <c r="X9" s="349"/>
      <c r="Y9" s="349"/>
    </row>
    <row r="10" spans="1:25" ht="12.75" customHeight="1" thickBot="1" x14ac:dyDescent="0.35">
      <c r="A10" s="2"/>
      <c r="B10" s="19"/>
      <c r="C10" s="17"/>
      <c r="D10" s="2053"/>
      <c r="E10" s="2053"/>
      <c r="F10" s="2053"/>
      <c r="G10" s="2053"/>
      <c r="H10" s="2053"/>
      <c r="I10" s="2053"/>
      <c r="J10" s="2053"/>
      <c r="K10" s="2053"/>
      <c r="L10" s="2053"/>
      <c r="M10" s="2053"/>
      <c r="N10" s="2053"/>
      <c r="O10" s="6"/>
      <c r="P10" s="15"/>
      <c r="Q10" s="349"/>
      <c r="R10" s="349"/>
      <c r="S10" s="349"/>
      <c r="T10" s="349"/>
      <c r="U10" s="349"/>
      <c r="V10" s="349"/>
      <c r="W10" s="349"/>
      <c r="X10" s="349"/>
      <c r="Y10" s="349"/>
    </row>
    <row r="11" spans="1:25" s="984" customFormat="1" ht="25.5" customHeight="1" thickBot="1" x14ac:dyDescent="0.3">
      <c r="A11" s="980"/>
      <c r="B11" s="981"/>
      <c r="C11" s="981"/>
      <c r="D11" s="1527" t="s">
        <v>442</v>
      </c>
      <c r="E11" s="2101" t="str">
        <f>Translations!$B$1365</f>
        <v>Året då den här rapporten lämnades in:</v>
      </c>
      <c r="F11" s="2102"/>
      <c r="G11" s="2102"/>
      <c r="H11" s="2102"/>
      <c r="I11" s="2393"/>
      <c r="J11" s="2332">
        <v>2026</v>
      </c>
      <c r="K11" s="2333"/>
      <c r="L11" s="2334"/>
      <c r="M11" s="981"/>
      <c r="N11" s="981"/>
      <c r="O11" s="982"/>
      <c r="P11" s="15"/>
      <c r="Q11" s="1121" t="s">
        <v>2149</v>
      </c>
      <c r="R11" s="1122">
        <f>IF(COUNTIF(EUconst_ReportingYears2,J11)&gt;0,2,1)</f>
        <v>2</v>
      </c>
      <c r="S11" s="1121"/>
      <c r="T11" s="349"/>
      <c r="U11" s="1121" t="s">
        <v>2005</v>
      </c>
      <c r="V11" s="1122">
        <f>MAX($J$11,2021+(CNTR_SubPeriod-1)*5)</f>
        <v>2026</v>
      </c>
      <c r="W11" s="983"/>
      <c r="X11" s="983"/>
      <c r="Y11" s="983"/>
    </row>
    <row r="12" spans="1:25" ht="12.75" customHeight="1" x14ac:dyDescent="0.25">
      <c r="A12" s="2"/>
      <c r="B12" s="19"/>
      <c r="C12" s="19"/>
      <c r="D12" s="19"/>
      <c r="E12" s="2061" t="str">
        <f>Translations!$B$1366</f>
        <v>Rapporteringsår innebär året då rapporten faktiskt lämnades in. Till exempel, om ”2021” anges ingår data för åren 2019 och 2020.</v>
      </c>
      <c r="F12" s="1963"/>
      <c r="G12" s="1963"/>
      <c r="H12" s="1963"/>
      <c r="I12" s="1963"/>
      <c r="J12" s="1963"/>
      <c r="K12" s="1963"/>
      <c r="L12" s="1963"/>
      <c r="M12" s="1963"/>
      <c r="N12" s="1963"/>
      <c r="O12" s="6"/>
      <c r="P12" s="15"/>
      <c r="Q12" s="349"/>
      <c r="R12" s="349"/>
      <c r="S12" s="349"/>
      <c r="T12" s="349"/>
      <c r="U12" s="349"/>
      <c r="V12" s="349"/>
      <c r="W12" s="349"/>
      <c r="X12" s="349"/>
      <c r="Y12" s="349"/>
    </row>
    <row r="13" spans="1:25" ht="5.15" customHeight="1" thickBot="1" x14ac:dyDescent="0.3">
      <c r="A13" s="2"/>
      <c r="B13" s="3"/>
      <c r="C13" s="3"/>
      <c r="D13" s="3"/>
      <c r="E13" s="3"/>
      <c r="F13" s="3"/>
      <c r="G13" s="3"/>
      <c r="H13" s="3"/>
      <c r="I13" s="3"/>
      <c r="J13" s="3"/>
      <c r="K13" s="3"/>
      <c r="L13" s="3"/>
      <c r="M13" s="6"/>
      <c r="N13" s="6"/>
      <c r="O13" s="6"/>
      <c r="P13" s="15"/>
      <c r="Q13" s="410"/>
      <c r="R13" s="349"/>
      <c r="S13" s="349"/>
      <c r="T13" s="349"/>
      <c r="U13" s="349"/>
      <c r="V13" s="349"/>
      <c r="W13" s="349"/>
      <c r="X13" s="349"/>
      <c r="Y13" s="349"/>
    </row>
    <row r="14" spans="1:25" ht="13.5" thickBot="1" x14ac:dyDescent="0.3">
      <c r="A14" s="2"/>
      <c r="B14" s="19"/>
      <c r="C14" s="19"/>
      <c r="D14" s="1527" t="s">
        <v>955</v>
      </c>
      <c r="E14" s="2101" t="str">
        <f>Translations!$B$97</f>
        <v>Detta är en befintlig anläggning:</v>
      </c>
      <c r="F14" s="2102"/>
      <c r="G14" s="2102"/>
      <c r="H14" s="2102"/>
      <c r="I14" s="2102"/>
      <c r="J14" s="2338"/>
      <c r="K14" s="2339"/>
      <c r="L14" s="2340"/>
      <c r="M14" s="19"/>
      <c r="N14" s="19"/>
      <c r="O14" s="6"/>
      <c r="P14" s="15"/>
      <c r="Q14" s="1121" t="s">
        <v>2155</v>
      </c>
      <c r="R14" s="1122" t="b">
        <f>IF(J14&lt;&gt;"",J14,TRUE)</f>
        <v>1</v>
      </c>
      <c r="S14" s="349"/>
      <c r="T14" s="349"/>
      <c r="U14" s="349"/>
      <c r="V14" s="349"/>
      <c r="W14" s="349"/>
      <c r="X14" s="349"/>
      <c r="Y14" s="349"/>
    </row>
    <row r="15" spans="1:25" x14ac:dyDescent="0.25">
      <c r="A15" s="2"/>
      <c r="B15" s="19"/>
      <c r="C15" s="19"/>
      <c r="D15" s="15"/>
      <c r="E15" s="2061" t="str">
        <f>Translations!$B$98</f>
        <v>Anläggningen är befintlig om den har fått ett tillstånd för utsläpp av växthusgaser för första gången senast</v>
      </c>
      <c r="F15" s="1963"/>
      <c r="G15" s="1963"/>
      <c r="H15" s="1963"/>
      <c r="I15" s="1963"/>
      <c r="J15" s="1963"/>
      <c r="K15" s="1963"/>
      <c r="L15" s="1963"/>
      <c r="M15" s="1963"/>
      <c r="N15" s="1963"/>
      <c r="O15" s="6"/>
      <c r="P15" s="15"/>
      <c r="Q15" s="349"/>
      <c r="R15" s="349"/>
      <c r="S15" s="349"/>
      <c r="T15" s="349"/>
      <c r="U15" s="349"/>
      <c r="V15" s="349"/>
      <c r="W15" s="349"/>
      <c r="X15" s="349"/>
      <c r="Y15" s="349"/>
    </row>
    <row r="16" spans="1:25" x14ac:dyDescent="0.25">
      <c r="A16" s="2"/>
      <c r="B16" s="19"/>
      <c r="C16" s="19"/>
      <c r="D16" s="15"/>
      <c r="E16" s="114" t="s">
        <v>1112</v>
      </c>
      <c r="F16" s="2061" t="str">
        <f>Translations!$B$99</f>
        <v>den 30 juni 2019 för tilldelningsperioden 2021–2025, eller</v>
      </c>
      <c r="G16" s="1963"/>
      <c r="H16" s="1963"/>
      <c r="I16" s="1963"/>
      <c r="J16" s="1963"/>
      <c r="K16" s="1963"/>
      <c r="L16" s="1963"/>
      <c r="M16" s="1963"/>
      <c r="N16" s="1963"/>
      <c r="O16" s="6"/>
      <c r="P16" s="15"/>
      <c r="Q16" s="349"/>
      <c r="R16" s="349"/>
      <c r="S16" s="349"/>
      <c r="T16" s="349"/>
      <c r="U16" s="349"/>
      <c r="V16" s="349"/>
      <c r="W16" s="349"/>
      <c r="X16" s="349"/>
      <c r="Y16" s="349"/>
    </row>
    <row r="17" spans="1:25" x14ac:dyDescent="0.25">
      <c r="A17" s="2"/>
      <c r="B17" s="19"/>
      <c r="C17" s="19"/>
      <c r="D17" s="15"/>
      <c r="E17" s="114" t="s">
        <v>1112</v>
      </c>
      <c r="F17" s="2061" t="str">
        <f>Translations!$B$100</f>
        <v>den 30 juni 2024 för perioden 2026–2030.</v>
      </c>
      <c r="G17" s="1963"/>
      <c r="H17" s="1963"/>
      <c r="I17" s="1963"/>
      <c r="J17" s="1963"/>
      <c r="K17" s="1963"/>
      <c r="L17" s="1963"/>
      <c r="M17" s="1963"/>
      <c r="N17" s="1963"/>
      <c r="O17" s="6"/>
      <c r="P17" s="15"/>
      <c r="Q17" s="349"/>
      <c r="R17" s="349"/>
      <c r="S17" s="349"/>
      <c r="T17" s="349"/>
      <c r="U17" s="349"/>
      <c r="V17" s="349"/>
      <c r="W17" s="349"/>
      <c r="X17" s="349"/>
      <c r="Y17" s="349"/>
    </row>
    <row r="18" spans="1:25" x14ac:dyDescent="0.25">
      <c r="A18" s="2"/>
      <c r="B18" s="19"/>
      <c r="C18" s="19"/>
      <c r="D18" s="15"/>
      <c r="E18" s="2061" t="str">
        <f>Translations!$B$101</f>
        <v>Alla anläggningar som inte är befintliga enligt kriterierna ovan kommer att betraktas som ”nya deltagare” av den behöriga myndigheten.</v>
      </c>
      <c r="F18" s="1963"/>
      <c r="G18" s="1963"/>
      <c r="H18" s="1963"/>
      <c r="I18" s="1963"/>
      <c r="J18" s="1963"/>
      <c r="K18" s="1963"/>
      <c r="L18" s="1963"/>
      <c r="M18" s="1963"/>
      <c r="N18" s="1963"/>
      <c r="O18" s="6"/>
      <c r="P18" s="15"/>
      <c r="Q18" s="349"/>
      <c r="R18" s="349"/>
      <c r="S18" s="349"/>
      <c r="T18" s="349"/>
      <c r="U18" s="349"/>
      <c r="V18" s="349"/>
      <c r="W18" s="349"/>
      <c r="X18" s="349"/>
      <c r="Y18" s="349"/>
    </row>
    <row r="19" spans="1:25" ht="13" x14ac:dyDescent="0.25">
      <c r="A19" s="2"/>
      <c r="B19" s="19"/>
      <c r="C19" s="19"/>
      <c r="D19" s="15"/>
      <c r="E19" s="2070" t="str">
        <f>Translations!$B$1367</f>
        <v>Följaktligen kommer anläggningar som inte är befintliga att betraktas som nya deltagare i den här rapporten.</v>
      </c>
      <c r="F19" s="2071"/>
      <c r="G19" s="2071"/>
      <c r="H19" s="2071"/>
      <c r="I19" s="2071"/>
      <c r="J19" s="2071"/>
      <c r="K19" s="2071"/>
      <c r="L19" s="2071"/>
      <c r="M19" s="2071"/>
      <c r="N19" s="2071"/>
      <c r="O19" s="6"/>
      <c r="P19" s="15"/>
      <c r="Q19" s="349"/>
      <c r="R19" s="349"/>
      <c r="S19" s="349"/>
      <c r="T19" s="349"/>
      <c r="U19" s="349"/>
      <c r="V19" s="349"/>
      <c r="W19" s="349"/>
      <c r="X19" s="349"/>
      <c r="Y19" s="349"/>
    </row>
    <row r="20" spans="1:25" ht="5.15" customHeight="1" thickBot="1" x14ac:dyDescent="0.3">
      <c r="A20" s="2"/>
      <c r="B20" s="19"/>
      <c r="C20" s="19"/>
      <c r="D20" s="19"/>
      <c r="E20" s="19"/>
      <c r="F20" s="19"/>
      <c r="G20" s="19"/>
      <c r="H20" s="19"/>
      <c r="I20" s="19"/>
      <c r="J20" s="19"/>
      <c r="K20" s="19"/>
      <c r="L20" s="19"/>
      <c r="M20" s="19"/>
      <c r="N20" s="19"/>
      <c r="O20" s="6"/>
      <c r="P20" s="15"/>
      <c r="Q20" s="349"/>
      <c r="R20" s="349"/>
      <c r="S20" s="349"/>
      <c r="T20" s="349"/>
      <c r="U20" s="349"/>
      <c r="V20" s="349"/>
      <c r="W20" s="349"/>
      <c r="X20" s="349"/>
      <c r="Y20" s="349"/>
    </row>
    <row r="21" spans="1:25" ht="13.5" thickBot="1" x14ac:dyDescent="0.3">
      <c r="A21" s="2"/>
      <c r="B21" s="19"/>
      <c r="C21" s="19"/>
      <c r="D21" s="1527" t="s">
        <v>55</v>
      </c>
      <c r="E21" s="2101" t="str">
        <f>Translations!$B$1368</f>
        <v>Anläggningen eller någon delanläggning har upphört med verksamheten:</v>
      </c>
      <c r="F21" s="2102"/>
      <c r="G21" s="2102"/>
      <c r="H21" s="2102"/>
      <c r="I21" s="2102"/>
      <c r="J21" s="2338"/>
      <c r="K21" s="2339"/>
      <c r="L21" s="2340"/>
      <c r="M21" s="19"/>
      <c r="N21" s="19"/>
      <c r="O21" s="6"/>
      <c r="P21" s="1552"/>
      <c r="Q21" s="1121" t="s">
        <v>2156</v>
      </c>
      <c r="R21" s="1122" t="b">
        <f>IF(J21&lt;&gt;"",J21,TRUE)</f>
        <v>1</v>
      </c>
      <c r="S21" s="349"/>
      <c r="T21" s="349"/>
      <c r="U21" s="349"/>
      <c r="V21" s="349"/>
      <c r="W21" s="349"/>
      <c r="X21" s="349"/>
      <c r="Y21" s="349"/>
    </row>
    <row r="22" spans="1:25" ht="25.5" customHeight="1" x14ac:dyDescent="0.25">
      <c r="A22" s="2"/>
      <c r="B22" s="19"/>
      <c r="C22" s="19"/>
      <c r="D22" s="15"/>
      <c r="E22" s="2061" t="str">
        <f>Translations!$B$1369</f>
        <v>Detta omfattar upphörande av antingen hela anläggningen (enligt artikel 26 i FAR) eller någon delanläggning (enligt artikel 5.4 av verksamhetsändringsförordningen) sedan den senaste ansökan för de nationella genomförandeåtgärderna, inte endast under det senaste kalenderåret.</v>
      </c>
      <c r="F22" s="1963"/>
      <c r="G22" s="1963"/>
      <c r="H22" s="1963"/>
      <c r="I22" s="1963"/>
      <c r="J22" s="1963"/>
      <c r="K22" s="1963"/>
      <c r="L22" s="1963"/>
      <c r="M22" s="1963"/>
      <c r="N22" s="1963"/>
      <c r="O22" s="6"/>
      <c r="P22" s="15"/>
      <c r="Q22" s="349"/>
      <c r="R22" s="349"/>
      <c r="S22" s="349"/>
      <c r="T22" s="349"/>
      <c r="U22" s="349"/>
      <c r="V22" s="349"/>
      <c r="W22" s="349"/>
      <c r="X22" s="349"/>
      <c r="Y22" s="349"/>
    </row>
    <row r="23" spans="1:25" ht="12.75" customHeight="1" x14ac:dyDescent="0.25">
      <c r="A23" s="2"/>
      <c r="B23" s="19"/>
      <c r="C23" s="19"/>
      <c r="D23" s="15"/>
      <c r="E23" s="2061" t="str">
        <f>Translations!$B$1370</f>
        <v>Om hela anläggningen har upphört ska datumet för upphörandet anges för varje delanläggning på blad "B+C_SubInstallation", avsnitt I.</v>
      </c>
      <c r="F23" s="1963"/>
      <c r="G23" s="1963"/>
      <c r="H23" s="1963"/>
      <c r="I23" s="1963"/>
      <c r="J23" s="1963"/>
      <c r="K23" s="1963"/>
      <c r="L23" s="1963"/>
      <c r="M23" s="1963"/>
      <c r="N23" s="1963"/>
      <c r="O23" s="6"/>
      <c r="P23" s="15"/>
      <c r="Q23" s="349"/>
      <c r="R23" s="349"/>
      <c r="S23" s="349"/>
      <c r="T23" s="349"/>
      <c r="U23" s="349"/>
      <c r="V23" s="349"/>
      <c r="W23" s="349"/>
      <c r="X23" s="349"/>
      <c r="Y23" s="349"/>
    </row>
    <row r="24" spans="1:25" x14ac:dyDescent="0.25">
      <c r="A24" s="2"/>
      <c r="B24" s="19"/>
      <c r="C24" s="19"/>
      <c r="D24" s="19"/>
      <c r="E24" s="19"/>
      <c r="F24" s="19"/>
      <c r="G24" s="19"/>
      <c r="H24" s="19"/>
      <c r="I24" s="19"/>
      <c r="J24" s="19"/>
      <c r="K24" s="19"/>
      <c r="L24" s="19"/>
      <c r="M24" s="19"/>
      <c r="N24" s="19"/>
      <c r="O24" s="6"/>
      <c r="P24" s="15"/>
      <c r="Q24" s="349"/>
      <c r="R24" s="349"/>
      <c r="S24" s="349"/>
      <c r="T24" s="349"/>
      <c r="U24" s="349"/>
      <c r="V24" s="349"/>
      <c r="W24" s="349"/>
      <c r="X24" s="349"/>
      <c r="Y24" s="349"/>
    </row>
    <row r="25" spans="1:25" ht="15.5" x14ac:dyDescent="0.35">
      <c r="A25" s="2"/>
      <c r="B25" s="3"/>
      <c r="C25" s="11" t="s">
        <v>954</v>
      </c>
      <c r="D25" s="1975" t="str">
        <f>Translations!$B$1371</f>
        <v>Data från referensdatarapporten för nationella genomförandeåtgärder (NIMs)</v>
      </c>
      <c r="E25" s="1975"/>
      <c r="F25" s="1975"/>
      <c r="G25" s="1975"/>
      <c r="H25" s="1975"/>
      <c r="I25" s="1975"/>
      <c r="J25" s="1975"/>
      <c r="K25" s="1975"/>
      <c r="L25" s="1975"/>
      <c r="M25" s="1975"/>
      <c r="N25" s="1975"/>
      <c r="O25" s="6"/>
      <c r="P25" s="15"/>
      <c r="Q25" s="410"/>
      <c r="R25" s="349"/>
      <c r="S25" s="349"/>
      <c r="T25" s="349"/>
      <c r="U25" s="349"/>
      <c r="V25" s="349"/>
      <c r="W25" s="349"/>
      <c r="X25" s="349"/>
      <c r="Y25" s="349"/>
    </row>
    <row r="26" spans="1:25" ht="13" thickBot="1" x14ac:dyDescent="0.3">
      <c r="A26" s="2"/>
      <c r="B26" s="19"/>
      <c r="C26" s="19"/>
      <c r="D26" s="19"/>
      <c r="E26" s="19"/>
      <c r="F26" s="19"/>
      <c r="G26" s="19"/>
      <c r="H26" s="19"/>
      <c r="I26" s="19"/>
      <c r="J26" s="19"/>
      <c r="K26" s="19"/>
      <c r="L26" s="19"/>
      <c r="M26" s="19"/>
      <c r="N26" s="19"/>
      <c r="O26" s="6"/>
      <c r="P26" s="15"/>
      <c r="Q26" s="349"/>
      <c r="R26" s="349"/>
      <c r="S26" s="349"/>
      <c r="T26" s="349"/>
      <c r="U26" s="349"/>
      <c r="V26" s="349"/>
      <c r="W26" s="349"/>
      <c r="X26" s="349"/>
      <c r="Y26" s="349"/>
    </row>
    <row r="27" spans="1:25" ht="5.15" customHeight="1" x14ac:dyDescent="0.25">
      <c r="A27" s="2"/>
      <c r="B27" s="19"/>
      <c r="C27" s="19"/>
      <c r="D27" s="1538"/>
      <c r="E27" s="163"/>
      <c r="F27" s="163"/>
      <c r="G27" s="163"/>
      <c r="H27" s="163"/>
      <c r="I27" s="163"/>
      <c r="J27" s="163"/>
      <c r="K27" s="163"/>
      <c r="L27" s="163"/>
      <c r="M27" s="163"/>
      <c r="N27" s="1539"/>
      <c r="O27" s="6"/>
      <c r="P27" s="15"/>
      <c r="Q27" s="349"/>
      <c r="R27" s="349"/>
      <c r="S27" s="349"/>
      <c r="T27" s="349"/>
      <c r="U27" s="349"/>
      <c r="V27" s="349"/>
      <c r="W27" s="349"/>
      <c r="X27" s="349"/>
      <c r="Y27" s="349"/>
    </row>
    <row r="28" spans="1:25" x14ac:dyDescent="0.25">
      <c r="A28" s="2"/>
      <c r="B28" s="19"/>
      <c r="C28" s="19"/>
      <c r="D28" s="965"/>
      <c r="E28" s="2095" t="str">
        <f>Translations!$B$1372</f>
        <v>Delar av den obligatoriska informationen i den här rapporten har redan tillhandahållits i ansökan om fri tilldelning, s.k. information avseende de nationella genomförandeåtgärderna (NIMs). Det gäller information om anläggningen (det här bladet) samt relevanta delanläggningar, inklusive tilldelningsrelevanta parametrar (blad ”B+C_SubInstallations”), såsom historiska verksamhetsnivåer (HAL).</v>
      </c>
      <c r="F28" s="1963"/>
      <c r="G28" s="1963"/>
      <c r="H28" s="1963"/>
      <c r="I28" s="1963"/>
      <c r="J28" s="1963"/>
      <c r="K28" s="1963"/>
      <c r="L28" s="1963"/>
      <c r="M28" s="1963"/>
      <c r="N28" s="2160"/>
      <c r="O28" s="6"/>
      <c r="P28" s="918"/>
      <c r="Q28" s="349"/>
      <c r="R28" s="349"/>
      <c r="S28" s="349"/>
      <c r="T28" s="349"/>
      <c r="U28" s="349"/>
      <c r="V28" s="349"/>
      <c r="W28" s="349"/>
      <c r="X28" s="349"/>
      <c r="Y28" s="349"/>
    </row>
    <row r="29" spans="1:25" x14ac:dyDescent="0.25">
      <c r="A29" s="2"/>
      <c r="B29" s="19"/>
      <c r="C29" s="19"/>
      <c r="D29" s="965"/>
      <c r="E29" s="2095" t="str">
        <f>Translations!$B$1373</f>
        <v>För att fylla i informationen här ger mallen två alternativ som kan väljas från listrutan nedan.</v>
      </c>
      <c r="F29" s="1963"/>
      <c r="G29" s="1963"/>
      <c r="H29" s="1963"/>
      <c r="I29" s="1963"/>
      <c r="J29" s="1963"/>
      <c r="K29" s="1963"/>
      <c r="L29" s="1963"/>
      <c r="M29" s="1963"/>
      <c r="N29" s="2160"/>
      <c r="O29" s="6"/>
      <c r="P29" s="15"/>
      <c r="Q29" s="349"/>
      <c r="R29" s="349"/>
      <c r="S29" s="349"/>
      <c r="T29" s="349"/>
      <c r="U29" s="349"/>
      <c r="V29" s="349"/>
      <c r="W29" s="349"/>
      <c r="X29" s="349"/>
      <c r="Y29" s="936" t="s">
        <v>1213</v>
      </c>
    </row>
    <row r="30" spans="1:25" ht="5.15" customHeight="1" thickBot="1" x14ac:dyDescent="0.3">
      <c r="A30" s="2"/>
      <c r="B30" s="19"/>
      <c r="C30" s="19"/>
      <c r="D30" s="137"/>
      <c r="E30" s="19"/>
      <c r="F30" s="19"/>
      <c r="G30" s="19"/>
      <c r="H30" s="19"/>
      <c r="I30" s="19"/>
      <c r="J30" s="19"/>
      <c r="K30" s="19"/>
      <c r="L30" s="19"/>
      <c r="M30" s="19"/>
      <c r="N30" s="1540"/>
      <c r="O30" s="6"/>
      <c r="P30" s="15"/>
      <c r="Q30" s="349"/>
      <c r="R30" s="349"/>
      <c r="S30" s="349"/>
      <c r="T30" s="349"/>
      <c r="U30" s="349"/>
      <c r="V30" s="349"/>
      <c r="W30" s="349"/>
      <c r="X30" s="349"/>
      <c r="Y30" s="349"/>
    </row>
    <row r="31" spans="1:25" s="534" customFormat="1" ht="13.5" thickBot="1" x14ac:dyDescent="0.35">
      <c r="A31" s="936"/>
      <c r="B31" s="3"/>
      <c r="C31" s="3"/>
      <c r="D31" s="965"/>
      <c r="E31" s="2106" t="str">
        <f>Translations!$B$1374</f>
        <v>Använd metod för ifyllnad av data avseende NIMs:</v>
      </c>
      <c r="F31" s="2106"/>
      <c r="G31" s="2106"/>
      <c r="H31" s="2106"/>
      <c r="I31" s="2385"/>
      <c r="J31" s="2390"/>
      <c r="K31" s="2391"/>
      <c r="L31" s="2392"/>
      <c r="M31" s="3"/>
      <c r="N31" s="1541"/>
      <c r="O31" s="6"/>
      <c r="P31" s="1552"/>
      <c r="Q31" s="504" t="str">
        <f>IF(OR(ISBLANK(J31),CNTR_Incumbent=FALSE),EUconst_NA,MATCH(J31,EUconst_LinkManual,0))</f>
        <v>Ej tillämpligt</v>
      </c>
      <c r="R31" s="410" t="s">
        <v>1974</v>
      </c>
      <c r="S31" s="349"/>
      <c r="T31" s="936"/>
      <c r="U31" s="349"/>
      <c r="V31" s="349"/>
      <c r="W31" s="349"/>
      <c r="X31" s="349"/>
      <c r="Y31" s="355" t="b">
        <f>AND(J14&lt;&gt;"",J14=FALSE)</f>
        <v>0</v>
      </c>
    </row>
    <row r="32" spans="1:25" s="534" customFormat="1" ht="5.15" customHeight="1" x14ac:dyDescent="0.25">
      <c r="A32" s="936"/>
      <c r="B32" s="3"/>
      <c r="C32" s="3"/>
      <c r="D32" s="965"/>
      <c r="E32" s="2095"/>
      <c r="F32" s="1963"/>
      <c r="G32" s="1963"/>
      <c r="H32" s="1963"/>
      <c r="I32" s="1963"/>
      <c r="J32" s="1963"/>
      <c r="K32" s="1963"/>
      <c r="L32" s="1963"/>
      <c r="M32" s="1963"/>
      <c r="N32" s="2160"/>
      <c r="O32" s="6"/>
      <c r="P32" s="15"/>
      <c r="Q32" s="349"/>
      <c r="R32" s="349"/>
      <c r="S32" s="349"/>
      <c r="T32" s="936"/>
      <c r="U32" s="349"/>
      <c r="V32" s="349"/>
      <c r="W32" s="349"/>
      <c r="X32" s="349"/>
      <c r="Y32" s="349"/>
    </row>
    <row r="33" spans="1:25" ht="12.75" customHeight="1" x14ac:dyDescent="0.25">
      <c r="A33" s="2"/>
      <c r="B33" s="3"/>
      <c r="C33" s="3"/>
      <c r="D33" s="965"/>
      <c r="E33" s="1631" t="str">
        <f>INDEX(EUconst_LinkManual,1)</f>
        <v>Länk till referensdatarapport med NIMs-data</v>
      </c>
      <c r="F33" s="2341" t="str">
        <f>Translations!$B$1375</f>
        <v>Här hämtas information avseende NIMs in genom en koppling till din referensdatarapport via funktionen ”Redigera länkar” på fliken ”Data” i aktivitetsfönstret i Excel.</v>
      </c>
      <c r="G33" s="2341"/>
      <c r="H33" s="2341"/>
      <c r="I33" s="2341"/>
      <c r="J33" s="2341"/>
      <c r="K33" s="2341"/>
      <c r="L33" s="2341"/>
      <c r="M33" s="2341"/>
      <c r="N33" s="2342"/>
      <c r="O33" s="6"/>
      <c r="P33" s="15"/>
      <c r="Q33" s="349"/>
      <c r="R33" s="349"/>
      <c r="S33" s="349"/>
      <c r="T33" s="349"/>
      <c r="U33" s="349"/>
      <c r="V33" s="349"/>
      <c r="W33" s="349"/>
      <c r="X33" s="349"/>
      <c r="Y33" s="349"/>
    </row>
    <row r="34" spans="1:25" ht="12.75" customHeight="1" x14ac:dyDescent="0.25">
      <c r="A34" s="2"/>
      <c r="B34" s="3"/>
      <c r="C34" s="3"/>
      <c r="D34" s="965"/>
      <c r="E34" s="486"/>
      <c r="F34" s="2075" t="str">
        <f>Translations!$B$1376</f>
        <v>Celler med manuell inmatning är valfria där detta är tillämpligt.</v>
      </c>
      <c r="G34" s="2075"/>
      <c r="H34" s="2075"/>
      <c r="I34" s="2075"/>
      <c r="J34" s="2075"/>
      <c r="K34" s="2075"/>
      <c r="L34" s="2075"/>
      <c r="M34" s="2075"/>
      <c r="N34" s="2171"/>
      <c r="O34" s="6"/>
      <c r="P34" s="15"/>
      <c r="Q34" s="349"/>
      <c r="R34" s="349"/>
      <c r="S34" s="349"/>
      <c r="T34" s="349"/>
      <c r="U34" s="349"/>
      <c r="V34" s="349"/>
      <c r="W34" s="349"/>
      <c r="X34" s="349"/>
      <c r="Y34" s="349"/>
    </row>
    <row r="35" spans="1:25" ht="12.75" customHeight="1" x14ac:dyDescent="0.25">
      <c r="A35" s="2"/>
      <c r="B35" s="3"/>
      <c r="C35" s="3"/>
      <c r="D35" s="965"/>
      <c r="E35" s="486"/>
      <c r="F35" s="2172" t="str">
        <f>Translations!$B$1377</f>
        <v>Fler anvisningar finns på bladet ”c_NIMsSummary” i den här mallen.</v>
      </c>
      <c r="G35" s="2172"/>
      <c r="H35" s="2172"/>
      <c r="I35" s="2172"/>
      <c r="J35" s="2172"/>
      <c r="K35" s="2172"/>
      <c r="L35" s="2172"/>
      <c r="M35" s="2172"/>
      <c r="N35" s="1786"/>
      <c r="O35" s="6"/>
      <c r="P35" s="15"/>
      <c r="Q35" s="349"/>
      <c r="R35" s="349"/>
      <c r="S35" s="349"/>
      <c r="T35" s="349"/>
      <c r="U35" s="349"/>
      <c r="V35" s="349"/>
      <c r="W35" s="349"/>
      <c r="X35" s="349"/>
      <c r="Y35" s="349"/>
    </row>
    <row r="36" spans="1:25" ht="5.15" customHeight="1" x14ac:dyDescent="0.25">
      <c r="A36" s="2"/>
      <c r="B36" s="3"/>
      <c r="C36" s="3"/>
      <c r="D36" s="965"/>
      <c r="E36" s="486"/>
      <c r="F36" s="2075"/>
      <c r="G36" s="2075"/>
      <c r="H36" s="2075"/>
      <c r="I36" s="2075"/>
      <c r="J36" s="2075"/>
      <c r="K36" s="2075"/>
      <c r="L36" s="2075"/>
      <c r="M36" s="2075"/>
      <c r="N36" s="2171"/>
      <c r="O36" s="6"/>
      <c r="P36" s="15"/>
      <c r="Q36" s="349"/>
      <c r="R36" s="349"/>
      <c r="S36" s="349"/>
      <c r="T36" s="349"/>
      <c r="U36" s="349"/>
      <c r="V36" s="349"/>
      <c r="W36" s="349"/>
      <c r="X36" s="349"/>
      <c r="Y36" s="349"/>
    </row>
    <row r="37" spans="1:25" ht="12.75" customHeight="1" x14ac:dyDescent="0.25">
      <c r="A37" s="2"/>
      <c r="B37" s="19"/>
      <c r="C37" s="19"/>
      <c r="D37" s="965"/>
      <c r="E37" s="1631" t="str">
        <f>INDEX(EUconst_LinkManual,2)</f>
        <v>Manuell inmatning</v>
      </c>
      <c r="F37" s="2341" t="str">
        <f>Translations!$B$1378</f>
        <v>Här måste du ange all information och alla data manuellt, precis som all annan information.</v>
      </c>
      <c r="G37" s="2341"/>
      <c r="H37" s="2341"/>
      <c r="I37" s="2341"/>
      <c r="J37" s="2341"/>
      <c r="K37" s="2341"/>
      <c r="L37" s="2341"/>
      <c r="M37" s="2341"/>
      <c r="N37" s="2342"/>
      <c r="O37" s="6"/>
      <c r="P37" s="15"/>
      <c r="Q37" s="349"/>
      <c r="R37" s="349"/>
      <c r="S37" s="349"/>
      <c r="T37" s="349"/>
      <c r="U37" s="349"/>
      <c r="V37" s="349"/>
      <c r="W37" s="349"/>
      <c r="X37" s="349"/>
      <c r="Y37" s="349"/>
    </row>
    <row r="38" spans="1:25" ht="12.75" customHeight="1" x14ac:dyDescent="0.25">
      <c r="A38" s="2"/>
      <c r="B38" s="19"/>
      <c r="C38" s="19"/>
      <c r="D38" s="965"/>
      <c r="E38" s="486"/>
      <c r="F38" s="2075" t="str">
        <f>Translations!$B$1379</f>
        <v>Celler som innehåller länkar till filen för nationella genomförandeåtgärder är markerade i grått.</v>
      </c>
      <c r="G38" s="2075"/>
      <c r="H38" s="2075"/>
      <c r="I38" s="2075"/>
      <c r="J38" s="2075"/>
      <c r="K38" s="2075"/>
      <c r="L38" s="2075"/>
      <c r="M38" s="2075"/>
      <c r="N38" s="2171"/>
      <c r="O38" s="6"/>
      <c r="P38" s="15"/>
      <c r="Q38" s="349"/>
      <c r="R38" s="349"/>
      <c r="S38" s="349"/>
      <c r="T38" s="349"/>
      <c r="U38" s="349"/>
      <c r="V38" s="349"/>
      <c r="W38" s="349"/>
      <c r="X38" s="349"/>
      <c r="Y38" s="349"/>
    </row>
    <row r="39" spans="1:25" ht="5.15" customHeight="1" x14ac:dyDescent="0.25">
      <c r="A39" s="2"/>
      <c r="B39" s="19"/>
      <c r="C39" s="19"/>
      <c r="D39" s="965"/>
      <c r="E39" s="1632"/>
      <c r="F39" s="1791"/>
      <c r="G39" s="1791"/>
      <c r="H39" s="1791"/>
      <c r="I39" s="1791"/>
      <c r="J39" s="1791"/>
      <c r="K39" s="1791"/>
      <c r="L39" s="1791"/>
      <c r="M39" s="1791"/>
      <c r="N39" s="1633"/>
      <c r="O39" s="6"/>
      <c r="P39" s="15"/>
      <c r="Q39" s="349"/>
      <c r="R39" s="349"/>
      <c r="S39" s="349"/>
      <c r="T39" s="349"/>
      <c r="U39" s="349"/>
      <c r="V39" s="349"/>
      <c r="W39" s="349"/>
      <c r="X39" s="349"/>
      <c r="Y39" s="349"/>
    </row>
    <row r="40" spans="1:25" ht="12.75" customHeight="1" x14ac:dyDescent="0.25">
      <c r="A40" s="2"/>
      <c r="B40" s="3"/>
      <c r="C40" s="3"/>
      <c r="D40" s="965"/>
      <c r="E40" s="2341" t="str">
        <f>Translations!$B$1380</f>
        <v>Baserat på vald metod kommer cellerna på det här bladet att ha följande format. Data från NIMs återfinns i bladet "c-NIMsSummary":</v>
      </c>
      <c r="F40" s="2341"/>
      <c r="G40" s="2341"/>
      <c r="H40" s="2341"/>
      <c r="I40" s="2341"/>
      <c r="J40" s="2341"/>
      <c r="K40" s="2341"/>
      <c r="L40" s="2341"/>
      <c r="M40" s="2341"/>
      <c r="N40" s="2342"/>
      <c r="O40" s="6"/>
      <c r="P40" s="15"/>
      <c r="Q40" s="349"/>
      <c r="R40" s="349"/>
      <c r="S40" s="349"/>
      <c r="T40" s="349"/>
      <c r="U40" s="349"/>
      <c r="V40" s="349"/>
      <c r="W40" s="349"/>
      <c r="X40" s="349"/>
      <c r="Y40" s="349"/>
    </row>
    <row r="41" spans="1:25" ht="12.75" customHeight="1" x14ac:dyDescent="0.25">
      <c r="A41" s="2"/>
      <c r="B41" s="3"/>
      <c r="C41" s="3"/>
      <c r="D41" s="965"/>
      <c r="E41" s="486"/>
      <c r="F41" s="2335" t="str">
        <f>Translations!$B$1381</f>
        <v>Länk till referensdatarapportens NIMs-data:</v>
      </c>
      <c r="G41" s="2335"/>
      <c r="H41" s="2335"/>
      <c r="I41" s="2335"/>
      <c r="J41" s="2336"/>
      <c r="K41" s="2337"/>
      <c r="L41" s="2337"/>
      <c r="M41" s="1785"/>
      <c r="N41" s="1786"/>
      <c r="O41" s="6"/>
      <c r="P41" s="15"/>
      <c r="Q41" s="349"/>
      <c r="R41" s="349"/>
      <c r="S41" s="349"/>
      <c r="T41" s="349"/>
      <c r="U41" s="349"/>
      <c r="V41" s="349"/>
      <c r="W41" s="349"/>
      <c r="X41" s="349"/>
      <c r="Y41" s="355" t="b">
        <f>CTRL_InputMethodNIMsvalues=2</f>
        <v>0</v>
      </c>
    </row>
    <row r="42" spans="1:25" ht="12.75" customHeight="1" x14ac:dyDescent="0.25">
      <c r="A42" s="2"/>
      <c r="B42" s="3"/>
      <c r="C42" s="3"/>
      <c r="D42" s="965"/>
      <c r="E42" s="486"/>
      <c r="F42" s="2335" t="str">
        <f>Translations!$B$1382</f>
        <v>Manuell inmatning (om denna metod valts) eller manuell överskrivning där NIMs-data inte längre stämmer:</v>
      </c>
      <c r="G42" s="2335"/>
      <c r="H42" s="2335"/>
      <c r="I42" s="2335"/>
      <c r="J42" s="2336"/>
      <c r="K42" s="2389"/>
      <c r="L42" s="2389"/>
      <c r="M42" s="1785"/>
      <c r="N42" s="1786"/>
      <c r="O42" s="6"/>
      <c r="P42" s="15"/>
      <c r="Q42" s="349"/>
      <c r="R42" s="349"/>
      <c r="S42" s="349"/>
      <c r="T42" s="349"/>
      <c r="U42" s="349"/>
      <c r="V42" s="349"/>
      <c r="W42" s="349"/>
      <c r="X42" s="349"/>
      <c r="Y42" s="355" t="b">
        <f>CTRL_InputMethodNIMsvalues=1</f>
        <v>0</v>
      </c>
    </row>
    <row r="43" spans="1:25" ht="12.75" customHeight="1" x14ac:dyDescent="0.25">
      <c r="A43" s="2"/>
      <c r="B43" s="3"/>
      <c r="C43" s="3"/>
      <c r="D43" s="965"/>
      <c r="E43" s="486"/>
      <c r="F43" s="2335" t="str">
        <f>Translations!$B$1383</f>
        <v>Data som används för den här rapporten:</v>
      </c>
      <c r="G43" s="2335"/>
      <c r="H43" s="2335"/>
      <c r="I43" s="2335"/>
      <c r="J43" s="2336"/>
      <c r="K43" s="2384"/>
      <c r="L43" s="2384"/>
      <c r="M43" s="1785"/>
      <c r="N43" s="1786"/>
      <c r="O43" s="6"/>
      <c r="P43" s="15"/>
      <c r="Q43" s="349"/>
      <c r="R43" s="349"/>
      <c r="S43" s="349"/>
      <c r="T43" s="349"/>
      <c r="U43" s="349"/>
      <c r="V43" s="349"/>
      <c r="W43" s="349"/>
      <c r="X43" s="349"/>
      <c r="Y43" s="349"/>
    </row>
    <row r="44" spans="1:25" ht="5.15" customHeight="1" x14ac:dyDescent="0.25">
      <c r="A44" s="2"/>
      <c r="B44" s="3"/>
      <c r="C44" s="3"/>
      <c r="D44" s="965"/>
      <c r="E44" s="486"/>
      <c r="F44" s="2075"/>
      <c r="G44" s="2075"/>
      <c r="H44" s="2075"/>
      <c r="I44" s="2075"/>
      <c r="J44" s="2075"/>
      <c r="K44" s="2075"/>
      <c r="L44" s="2075"/>
      <c r="M44" s="2075"/>
      <c r="N44" s="2171"/>
      <c r="O44" s="6"/>
      <c r="P44" s="15"/>
      <c r="Q44" s="349"/>
      <c r="R44" s="349"/>
      <c r="S44" s="349"/>
      <c r="T44" s="349"/>
      <c r="U44" s="349"/>
      <c r="V44" s="349"/>
      <c r="W44" s="349"/>
      <c r="X44" s="349"/>
      <c r="Y44" s="349"/>
    </row>
    <row r="45" spans="1:25" ht="5.15" customHeight="1" thickBot="1" x14ac:dyDescent="0.3">
      <c r="A45" s="2"/>
      <c r="B45" s="19"/>
      <c r="C45" s="19"/>
      <c r="D45" s="1542"/>
      <c r="E45" s="1543"/>
      <c r="F45" s="1543"/>
      <c r="G45" s="1543"/>
      <c r="H45" s="1543"/>
      <c r="I45" s="1543"/>
      <c r="J45" s="1543"/>
      <c r="K45" s="1543"/>
      <c r="L45" s="1543"/>
      <c r="M45" s="1543"/>
      <c r="N45" s="1544"/>
      <c r="O45" s="6"/>
      <c r="P45" s="15"/>
      <c r="Q45" s="349"/>
      <c r="R45" s="349"/>
      <c r="S45" s="349"/>
      <c r="T45" s="349"/>
      <c r="U45" s="349"/>
      <c r="V45" s="349"/>
      <c r="W45" s="349"/>
      <c r="X45" s="349"/>
      <c r="Y45" s="349"/>
    </row>
    <row r="46" spans="1:25" ht="12.75" customHeight="1" x14ac:dyDescent="0.25">
      <c r="A46" s="2"/>
      <c r="B46" s="19"/>
      <c r="C46" s="19"/>
      <c r="D46" s="19"/>
      <c r="E46" s="19"/>
      <c r="F46" s="19"/>
      <c r="G46" s="19"/>
      <c r="H46" s="19"/>
      <c r="I46" s="19"/>
      <c r="J46" s="19"/>
      <c r="K46" s="19"/>
      <c r="L46" s="19"/>
      <c r="M46" s="19"/>
      <c r="N46" s="19"/>
      <c r="O46" s="19"/>
      <c r="P46" s="19"/>
      <c r="Q46" s="349"/>
      <c r="R46" s="349"/>
      <c r="S46" s="349"/>
      <c r="T46" s="349"/>
      <c r="U46" s="349"/>
      <c r="V46" s="349"/>
      <c r="W46" s="349"/>
      <c r="X46" s="349"/>
      <c r="Y46" s="349"/>
    </row>
    <row r="47" spans="1:25" ht="15.5" x14ac:dyDescent="0.35">
      <c r="A47" s="2"/>
      <c r="B47" s="3"/>
      <c r="C47" s="11" t="s">
        <v>962</v>
      </c>
      <c r="D47" s="1975" t="str">
        <f>Translations!$B$76</f>
        <v>Identifiering av anläggningen</v>
      </c>
      <c r="E47" s="1975"/>
      <c r="F47" s="1975"/>
      <c r="G47" s="1975"/>
      <c r="H47" s="1975"/>
      <c r="I47" s="1975"/>
      <c r="J47" s="1975"/>
      <c r="K47" s="1975"/>
      <c r="L47" s="1975"/>
      <c r="M47" s="1975"/>
      <c r="N47" s="1975"/>
      <c r="O47" s="6"/>
      <c r="P47" s="15"/>
      <c r="Q47" s="410"/>
      <c r="R47" s="349"/>
      <c r="S47" s="349"/>
      <c r="T47" s="349"/>
      <c r="U47" s="349"/>
      <c r="V47" s="349"/>
      <c r="W47" s="349"/>
      <c r="X47" s="349"/>
      <c r="Y47" s="349"/>
    </row>
    <row r="48" spans="1:25" ht="5.15" customHeight="1" x14ac:dyDescent="0.25">
      <c r="A48" s="2"/>
      <c r="B48" s="19"/>
      <c r="C48" s="19"/>
      <c r="D48" s="19"/>
      <c r="E48" s="19"/>
      <c r="F48" s="19"/>
      <c r="G48" s="19"/>
      <c r="H48" s="19"/>
      <c r="I48" s="19"/>
      <c r="J48" s="19"/>
      <c r="K48" s="19"/>
      <c r="L48" s="19"/>
      <c r="M48" s="19"/>
      <c r="N48" s="19"/>
      <c r="O48" s="6"/>
      <c r="P48" s="15"/>
      <c r="Q48" s="349"/>
      <c r="R48" s="349"/>
      <c r="S48" s="349"/>
      <c r="T48" s="349"/>
      <c r="U48" s="349"/>
      <c r="V48" s="349"/>
      <c r="W48" s="349"/>
      <c r="X48" s="349"/>
      <c r="Y48" s="349"/>
    </row>
    <row r="49" spans="1:25" ht="14" x14ac:dyDescent="0.3">
      <c r="A49" s="2"/>
      <c r="B49" s="19"/>
      <c r="C49" s="17">
        <v>1</v>
      </c>
      <c r="D49" s="2053" t="str">
        <f>Translations!$B$77</f>
        <v>Allmänna upplysningar:</v>
      </c>
      <c r="E49" s="1963"/>
      <c r="F49" s="1963"/>
      <c r="G49" s="1963"/>
      <c r="H49" s="1963"/>
      <c r="I49" s="1963"/>
      <c r="J49" s="1963"/>
      <c r="K49" s="1963"/>
      <c r="L49" s="1963"/>
      <c r="M49" s="1963"/>
      <c r="N49" s="1963"/>
      <c r="O49" s="19"/>
      <c r="P49" s="15"/>
      <c r="Q49" s="349"/>
      <c r="R49" s="349"/>
      <c r="S49" s="349"/>
      <c r="T49" s="349"/>
      <c r="U49" s="349"/>
      <c r="V49" s="349"/>
      <c r="W49" s="349"/>
      <c r="X49" s="349"/>
      <c r="Y49" s="349"/>
    </row>
    <row r="50" spans="1:25" ht="5.15" customHeight="1" x14ac:dyDescent="0.25">
      <c r="A50" s="2"/>
      <c r="B50" s="3"/>
      <c r="C50" s="3"/>
      <c r="D50" s="3"/>
      <c r="E50" s="3"/>
      <c r="F50" s="3"/>
      <c r="G50" s="3"/>
      <c r="H50" s="3"/>
      <c r="I50" s="3"/>
      <c r="J50" s="3"/>
      <c r="K50" s="3"/>
      <c r="L50" s="3"/>
      <c r="M50" s="6"/>
      <c r="N50" s="6"/>
      <c r="O50" s="6"/>
      <c r="P50" s="15"/>
      <c r="Q50" s="410"/>
      <c r="R50" s="349"/>
      <c r="S50" s="349"/>
      <c r="T50" s="349"/>
      <c r="U50" s="349"/>
      <c r="V50" s="349"/>
      <c r="W50" s="349"/>
      <c r="X50" s="349"/>
      <c r="Y50" s="349"/>
    </row>
    <row r="51" spans="1:25" ht="13" x14ac:dyDescent="0.25">
      <c r="A51" s="2"/>
      <c r="B51" s="19"/>
      <c r="C51" s="19"/>
      <c r="D51" s="182" t="s">
        <v>442</v>
      </c>
      <c r="E51" s="1943" t="str">
        <f>Translations!$B$80</f>
        <v>Medlemsstat i vilken anläggningen finns:</v>
      </c>
      <c r="F51" s="1963"/>
      <c r="G51" s="1963"/>
      <c r="H51" s="1963"/>
      <c r="I51" s="2060"/>
      <c r="J51" s="2312" t="str">
        <f>c_NIMsSummary!M22</f>
        <v/>
      </c>
      <c r="K51" s="2313"/>
      <c r="L51" s="2313"/>
      <c r="M51" s="2313"/>
      <c r="N51" s="2314"/>
      <c r="O51" s="19"/>
      <c r="P51" s="1"/>
      <c r="Q51" s="349"/>
      <c r="R51" s="349"/>
      <c r="S51" s="349"/>
      <c r="T51" s="349"/>
      <c r="U51" s="349"/>
      <c r="V51" s="349"/>
      <c r="W51" s="349"/>
      <c r="X51" s="349"/>
      <c r="Y51" s="355" t="b">
        <f>OR(CNTR_Incumbent=FALSE,CTRL_InputMethodNIMsvalues=2)</f>
        <v>0</v>
      </c>
    </row>
    <row r="52" spans="1:25" ht="13" x14ac:dyDescent="0.25">
      <c r="A52" s="2"/>
      <c r="B52" s="19"/>
      <c r="C52" s="19"/>
      <c r="D52" s="182"/>
      <c r="E52" s="182"/>
      <c r="F52" s="182"/>
      <c r="G52" s="182"/>
      <c r="H52" s="182"/>
      <c r="I52" s="182"/>
      <c r="J52" s="2343"/>
      <c r="K52" s="2344"/>
      <c r="L52" s="2344"/>
      <c r="M52" s="2344"/>
      <c r="N52" s="2345"/>
      <c r="O52" s="19"/>
      <c r="P52" s="1552"/>
      <c r="Q52" s="349"/>
      <c r="R52" s="349"/>
      <c r="S52" s="349"/>
      <c r="T52" s="349"/>
      <c r="U52" s="349"/>
      <c r="V52" s="349"/>
      <c r="W52" s="349"/>
      <c r="X52" s="349"/>
      <c r="Y52" s="355" t="b">
        <f>CTRL_InputMethodNIMsvalues=1</f>
        <v>0</v>
      </c>
    </row>
    <row r="53" spans="1:25" ht="13" x14ac:dyDescent="0.25">
      <c r="A53" s="2"/>
      <c r="B53" s="19"/>
      <c r="C53" s="19"/>
      <c r="D53" s="182"/>
      <c r="E53" s="182"/>
      <c r="F53" s="182"/>
      <c r="G53" s="182"/>
      <c r="H53" s="182"/>
      <c r="I53" s="182"/>
      <c r="J53" s="2057" t="str">
        <f>IF(J52="",IF(AND(COUNTIF(EUconst_MSlist,J51)=0,J51&lt;&gt;""),EUconst_ERR_LinkToNIMs,J51),J52)</f>
        <v/>
      </c>
      <c r="K53" s="2058"/>
      <c r="L53" s="2058"/>
      <c r="M53" s="2058"/>
      <c r="N53" s="2059"/>
      <c r="O53" s="19"/>
      <c r="Q53" s="349"/>
      <c r="R53" s="349"/>
      <c r="S53" s="349"/>
      <c r="T53" s="349"/>
      <c r="U53" s="349"/>
      <c r="V53" s="349"/>
      <c r="W53" s="349"/>
      <c r="X53" s="349"/>
      <c r="Y53" s="349"/>
    </row>
    <row r="54" spans="1:25" x14ac:dyDescent="0.25">
      <c r="A54" s="2"/>
      <c r="B54" s="19"/>
      <c r="C54" s="19"/>
      <c r="D54" s="15"/>
      <c r="E54" s="2061" t="str">
        <f>Translations!$B$81</f>
        <v>Med ”medlemsstat” avses ett land som deltar i ETS-systemet, dvs. EU-medlemsstaterna samt Island, Norge och Liechtenstein.</v>
      </c>
      <c r="F54" s="1963"/>
      <c r="G54" s="1963"/>
      <c r="H54" s="1963"/>
      <c r="I54" s="1963"/>
      <c r="J54" s="1963"/>
      <c r="K54" s="1963"/>
      <c r="L54" s="1963"/>
      <c r="M54" s="1963"/>
      <c r="N54" s="1963"/>
      <c r="O54" s="19"/>
      <c r="P54" s="15"/>
      <c r="Q54" s="349"/>
      <c r="R54" s="349"/>
      <c r="S54" s="349"/>
      <c r="T54" s="349"/>
      <c r="U54" s="349"/>
      <c r="V54" s="349"/>
      <c r="W54" s="349"/>
      <c r="X54" s="349"/>
      <c r="Y54" s="349"/>
    </row>
    <row r="55" spans="1:25" x14ac:dyDescent="0.25">
      <c r="A55" s="2"/>
      <c r="B55" s="19"/>
      <c r="C55" s="19"/>
      <c r="D55" s="19"/>
      <c r="E55" s="19"/>
      <c r="F55" s="19"/>
      <c r="G55" s="19"/>
      <c r="H55" s="19"/>
      <c r="I55" s="19"/>
      <c r="J55" s="19"/>
      <c r="K55" s="19"/>
      <c r="L55" s="19"/>
      <c r="M55" s="19"/>
      <c r="N55" s="19"/>
      <c r="O55" s="19"/>
      <c r="P55" s="15"/>
      <c r="Q55" s="349"/>
      <c r="R55" s="349"/>
      <c r="S55" s="349"/>
      <c r="T55" s="349"/>
      <c r="U55" s="349"/>
      <c r="V55" s="349"/>
      <c r="W55" s="349"/>
      <c r="X55" s="349"/>
      <c r="Y55" s="349"/>
    </row>
    <row r="56" spans="1:25" ht="13" x14ac:dyDescent="0.25">
      <c r="A56" s="2"/>
      <c r="B56" s="19"/>
      <c r="C56" s="19"/>
      <c r="D56" s="182" t="s">
        <v>955</v>
      </c>
      <c r="E56" s="1943" t="str">
        <f>Translations!$B$1384</f>
        <v>Anläggningens ID-nummer i registret:</v>
      </c>
      <c r="F56" s="1963"/>
      <c r="G56" s="1963"/>
      <c r="H56" s="1963"/>
      <c r="I56" s="2060"/>
      <c r="J56" s="2348" t="str">
        <f>c_NIMsSummary!J1404</f>
        <v/>
      </c>
      <c r="K56" s="2349"/>
      <c r="L56" s="2349"/>
      <c r="M56" s="2349"/>
      <c r="N56" s="2350"/>
      <c r="O56" s="19"/>
      <c r="P56" s="15"/>
      <c r="Q56" s="349"/>
      <c r="R56" s="349"/>
      <c r="S56" s="349"/>
      <c r="T56" s="349"/>
      <c r="U56" s="349"/>
      <c r="V56" s="349"/>
      <c r="W56" s="349"/>
      <c r="X56" s="349"/>
      <c r="Y56" s="355" t="b">
        <f>OR(CNTR_Incumbent=FALSE,CTRL_InputMethodNIMsvalues=2)</f>
        <v>0</v>
      </c>
    </row>
    <row r="57" spans="1:25" ht="13" x14ac:dyDescent="0.25">
      <c r="A57" s="2"/>
      <c r="B57" s="19"/>
      <c r="C57" s="19"/>
      <c r="D57" s="182"/>
      <c r="E57" s="1028"/>
      <c r="F57" s="1028"/>
      <c r="G57" s="1028"/>
      <c r="H57" s="1028"/>
      <c r="I57" s="1028"/>
      <c r="J57" s="2343"/>
      <c r="K57" s="2344"/>
      <c r="L57" s="2344"/>
      <c r="M57" s="2344"/>
      <c r="N57" s="2345"/>
      <c r="O57" s="19"/>
      <c r="P57" s="1552"/>
      <c r="Q57" s="349"/>
      <c r="R57" s="349"/>
      <c r="S57" s="349"/>
      <c r="T57" s="349"/>
      <c r="U57" s="349"/>
      <c r="V57" s="349"/>
      <c r="W57" s="349"/>
      <c r="X57" s="349"/>
      <c r="Y57" s="355" t="b">
        <f>CTRL_InputMethodNIMsvalues=1</f>
        <v>0</v>
      </c>
    </row>
    <row r="58" spans="1:25" x14ac:dyDescent="0.25">
      <c r="A58" s="2"/>
      <c r="B58" s="19"/>
      <c r="C58" s="19"/>
      <c r="D58" s="19"/>
      <c r="E58" s="2061" t="str">
        <f>Translations!$B$1385</f>
        <v>Numret som används i registret (EUTL) är vanligtvis samma som NAP-numret.</v>
      </c>
      <c r="F58" s="1963"/>
      <c r="G58" s="1963"/>
      <c r="H58" s="1963"/>
      <c r="I58" s="1963"/>
      <c r="J58" s="1963"/>
      <c r="K58" s="1963"/>
      <c r="L58" s="1963"/>
      <c r="M58" s="1963"/>
      <c r="N58" s="1963"/>
      <c r="O58" s="19"/>
      <c r="P58" s="15"/>
      <c r="Q58" s="349"/>
      <c r="R58" s="349"/>
      <c r="S58" s="349"/>
      <c r="T58" s="349"/>
      <c r="U58" s="349"/>
      <c r="V58" s="349"/>
      <c r="W58" s="349"/>
      <c r="X58" s="349"/>
      <c r="Y58" s="349"/>
    </row>
    <row r="59" spans="1:25" ht="38.25" customHeight="1" x14ac:dyDescent="0.25">
      <c r="A59" s="2"/>
      <c r="B59" s="19"/>
      <c r="C59" s="19"/>
      <c r="D59" s="19"/>
      <c r="E59" s="2061" t="str">
        <f>Translations!$B$1386</f>
        <v xml:space="preserve">Det unika identifieringsnumret visas automatiskt i c) nedan tillsammans med den medlemsstat som valts i a). En anläggning i Sverige med ID-nummer 123456 kommer till exempel att få numret ”SE000000000123456”. </v>
      </c>
      <c r="F59" s="1963"/>
      <c r="G59" s="1963"/>
      <c r="H59" s="1963"/>
      <c r="I59" s="1963"/>
      <c r="J59" s="1963"/>
      <c r="K59" s="1963"/>
      <c r="L59" s="1963"/>
      <c r="M59" s="1963"/>
      <c r="N59" s="1963"/>
      <c r="O59" s="19"/>
      <c r="P59" s="15"/>
      <c r="Q59" s="410"/>
      <c r="R59" s="349"/>
      <c r="S59" s="349"/>
      <c r="T59" s="349"/>
      <c r="U59" s="349"/>
      <c r="V59" s="349"/>
      <c r="W59" s="349"/>
      <c r="X59" s="349"/>
      <c r="Y59" s="349"/>
    </row>
    <row r="60" spans="1:25" ht="5.15" customHeight="1" x14ac:dyDescent="0.25">
      <c r="A60" s="2"/>
      <c r="B60" s="3"/>
      <c r="C60" s="3"/>
      <c r="D60" s="3"/>
      <c r="E60" s="3"/>
      <c r="F60" s="3"/>
      <c r="G60" s="3"/>
      <c r="H60" s="3"/>
      <c r="I60" s="3"/>
      <c r="J60" s="3"/>
      <c r="K60" s="3"/>
      <c r="L60" s="3"/>
      <c r="M60" s="6"/>
      <c r="N60" s="6"/>
      <c r="O60" s="6"/>
      <c r="P60" s="15"/>
      <c r="Q60" s="410"/>
      <c r="R60" s="349"/>
      <c r="S60" s="349"/>
      <c r="T60" s="349"/>
      <c r="U60" s="349"/>
      <c r="V60" s="349"/>
      <c r="W60" s="349"/>
      <c r="X60" s="349"/>
      <c r="Y60" s="349"/>
    </row>
    <row r="61" spans="1:25" ht="13" x14ac:dyDescent="0.25">
      <c r="A61" s="2"/>
      <c r="B61" s="19"/>
      <c r="C61" s="19"/>
      <c r="D61" s="13" t="s">
        <v>55</v>
      </c>
      <c r="E61" s="1943" t="str">
        <f>Translations!$B$87</f>
        <v>Unikt identifieringsnummer för anmälan till kommissionen:</v>
      </c>
      <c r="F61" s="1963"/>
      <c r="G61" s="1963"/>
      <c r="H61" s="1963"/>
      <c r="I61" s="2060"/>
      <c r="J61" s="2057" t="str">
        <f>IF(AND(NOT(ISBLANK(J53)),ISNUMBER(J57)),CONCATENATE(INDEX(EUconst_MSlistEUTLcodes,MATCH(J53,EUconst_MSlist,0)),TEXT(J57,"000000000000000")),IF(J56="","",CONCATENATE(INDEX(EUconst_MSlistEUTLcodes,MATCH(J53,EUconst_MSlist,0)),TEXT(J56,"000000000000000"))))</f>
        <v/>
      </c>
      <c r="K61" s="2058"/>
      <c r="L61" s="2058"/>
      <c r="M61" s="2058"/>
      <c r="N61" s="2059"/>
      <c r="O61" s="6"/>
      <c r="P61" s="15"/>
      <c r="Q61" s="603" t="s">
        <v>1510</v>
      </c>
      <c r="R61" s="936"/>
      <c r="S61" s="349"/>
      <c r="T61" s="349"/>
      <c r="U61" s="349"/>
      <c r="V61" s="349"/>
      <c r="W61" s="349"/>
      <c r="X61" s="349"/>
      <c r="Y61" s="349"/>
    </row>
    <row r="62" spans="1:25" ht="5.15" customHeight="1" x14ac:dyDescent="0.25">
      <c r="A62" s="2"/>
      <c r="B62" s="3"/>
      <c r="C62" s="3"/>
      <c r="D62" s="3"/>
      <c r="E62" s="3"/>
      <c r="F62" s="3"/>
      <c r="G62" s="3"/>
      <c r="H62" s="3"/>
      <c r="I62" s="3"/>
      <c r="J62" s="3"/>
      <c r="K62" s="3"/>
      <c r="L62" s="3"/>
      <c r="M62" s="6"/>
      <c r="N62" s="6"/>
      <c r="O62" s="6"/>
      <c r="P62" s="15"/>
      <c r="Q62" s="410"/>
      <c r="R62" s="349"/>
      <c r="S62" s="349"/>
      <c r="T62" s="349"/>
      <c r="U62" s="349"/>
      <c r="V62" s="349"/>
      <c r="W62" s="349"/>
      <c r="X62" s="349"/>
      <c r="Y62" s="349"/>
    </row>
    <row r="63" spans="1:25" ht="13" x14ac:dyDescent="0.25">
      <c r="A63" s="2"/>
      <c r="B63" s="19"/>
      <c r="C63" s="19"/>
      <c r="D63" s="182" t="s">
        <v>960</v>
      </c>
      <c r="E63" s="1943" t="str">
        <f>Translations!$B$82</f>
        <v>Anläggningens unika ID-nr (NAP-nr):</v>
      </c>
      <c r="F63" s="1963"/>
      <c r="G63" s="1963"/>
      <c r="H63" s="1963"/>
      <c r="I63" s="2060"/>
      <c r="J63" s="2312" t="str">
        <f>c_NIMsSummary!J1402</f>
        <v/>
      </c>
      <c r="K63" s="2313"/>
      <c r="L63" s="2313"/>
      <c r="M63" s="2313"/>
      <c r="N63" s="2314"/>
      <c r="Q63" s="349"/>
      <c r="R63" s="349"/>
      <c r="S63" s="349"/>
      <c r="T63" s="349"/>
      <c r="U63" s="349"/>
      <c r="V63" s="349"/>
      <c r="W63" s="349"/>
      <c r="X63" s="349"/>
      <c r="Y63" s="355" t="b">
        <f>OR(CNTR_Incumbent=FALSE,CTRL_InputMethodNIMsvalues=2)</f>
        <v>0</v>
      </c>
    </row>
    <row r="64" spans="1:25" ht="13" x14ac:dyDescent="0.25">
      <c r="A64" s="2"/>
      <c r="B64" s="19"/>
      <c r="C64" s="19"/>
      <c r="D64" s="182"/>
      <c r="E64" s="1028"/>
      <c r="F64" s="1028"/>
      <c r="G64" s="1028"/>
      <c r="H64" s="1028"/>
      <c r="I64" s="1028"/>
      <c r="J64" s="2381"/>
      <c r="K64" s="2382"/>
      <c r="L64" s="2382"/>
      <c r="M64" s="2382"/>
      <c r="N64" s="2383"/>
      <c r="O64" s="19"/>
      <c r="P64" s="1552"/>
      <c r="Q64" s="349"/>
      <c r="R64" s="349"/>
      <c r="S64" s="349"/>
      <c r="T64" s="349"/>
      <c r="U64" s="349"/>
      <c r="V64" s="349"/>
      <c r="W64" s="349"/>
      <c r="X64" s="349"/>
      <c r="Y64" s="355" t="b">
        <f>CTRL_InputMethodNIMsvalues=1</f>
        <v>0</v>
      </c>
    </row>
    <row r="65" spans="1:25" ht="13" x14ac:dyDescent="0.25">
      <c r="A65" s="2"/>
      <c r="B65" s="19"/>
      <c r="C65" s="19"/>
      <c r="D65" s="182"/>
      <c r="E65" s="1028"/>
      <c r="F65" s="1028"/>
      <c r="G65" s="1028"/>
      <c r="H65" s="1028"/>
      <c r="I65" s="1028"/>
      <c r="J65" s="2057" t="str">
        <f>IF(J64="",J63,J64)</f>
        <v/>
      </c>
      <c r="K65" s="2058"/>
      <c r="L65" s="2058"/>
      <c r="M65" s="2058"/>
      <c r="N65" s="2059"/>
      <c r="O65" s="19"/>
      <c r="P65" s="15"/>
      <c r="Q65" s="349"/>
      <c r="R65" s="349"/>
      <c r="S65" s="349"/>
      <c r="T65" s="349"/>
      <c r="U65" s="349"/>
      <c r="V65" s="349"/>
      <c r="W65" s="349"/>
      <c r="X65" s="349"/>
      <c r="Y65" s="349"/>
    </row>
    <row r="66" spans="1:25" x14ac:dyDescent="0.25">
      <c r="A66" s="2"/>
      <c r="B66" s="19"/>
      <c r="C66" s="19"/>
      <c r="D66" s="19"/>
      <c r="E66" s="2061" t="str">
        <f>Translations!$B$83</f>
        <v>Detta är det ID som den behöriga myndigheten använder för korrespondens med anläggningen, t.ex. för gratis tilldelning under tidigare perioder.</v>
      </c>
      <c r="F66" s="1963"/>
      <c r="G66" s="1963"/>
      <c r="H66" s="1963"/>
      <c r="I66" s="1963"/>
      <c r="J66" s="1963"/>
      <c r="K66" s="1963"/>
      <c r="L66" s="1963"/>
      <c r="M66" s="1963"/>
      <c r="N66" s="1963"/>
      <c r="O66" s="19"/>
      <c r="P66" s="15"/>
      <c r="Q66" s="349"/>
      <c r="R66" s="349"/>
      <c r="S66" s="349"/>
      <c r="T66" s="349"/>
      <c r="U66" s="349"/>
      <c r="V66" s="349"/>
      <c r="W66" s="349"/>
      <c r="X66" s="349"/>
      <c r="Y66" s="349"/>
    </row>
    <row r="67" spans="1:25" ht="12.75" customHeight="1" x14ac:dyDescent="0.25">
      <c r="A67" s="2"/>
      <c r="B67" s="19"/>
      <c r="C67" s="19"/>
      <c r="D67" s="19"/>
      <c r="E67" s="2061" t="str">
        <f>Translations!$B$84</f>
        <v>När det gäller anläggningar som inte har omfattats av ETS-systemet tidigare ska verksamhetsutövarna kontakta den behöriga myndigheten för att få ett sådant ID.</v>
      </c>
      <c r="F67" s="1963"/>
      <c r="G67" s="1963"/>
      <c r="H67" s="1963"/>
      <c r="I67" s="1963"/>
      <c r="J67" s="1963"/>
      <c r="K67" s="1963"/>
      <c r="L67" s="1963"/>
      <c r="M67" s="1963"/>
      <c r="N67" s="1963"/>
      <c r="O67" s="19"/>
      <c r="P67" s="15"/>
      <c r="Q67" s="349"/>
      <c r="R67" s="349"/>
      <c r="S67" s="349"/>
      <c r="T67" s="349"/>
      <c r="U67" s="349"/>
      <c r="V67" s="349"/>
      <c r="W67" s="349"/>
      <c r="X67" s="349"/>
      <c r="Y67" s="349"/>
    </row>
    <row r="68" spans="1:25" ht="12.75" customHeight="1" x14ac:dyDescent="0.25">
      <c r="A68" s="2"/>
      <c r="B68" s="19"/>
      <c r="C68" s="19"/>
      <c r="D68" s="19"/>
      <c r="E68" s="2061" t="str">
        <f>Translations!$B$85</f>
        <v xml:space="preserve">Behöriga myndigheter måste se till att det finns ett unikt identifieringsnummer innan de lämnar uppgifter till kommissionen. </v>
      </c>
      <c r="F68" s="1963"/>
      <c r="G68" s="1963"/>
      <c r="H68" s="1963"/>
      <c r="I68" s="1963"/>
      <c r="J68" s="1963"/>
      <c r="K68" s="1963"/>
      <c r="L68" s="1963"/>
      <c r="M68" s="1963"/>
      <c r="N68" s="1963"/>
      <c r="O68" s="19"/>
      <c r="P68" s="15"/>
      <c r="Q68" s="349"/>
      <c r="R68" s="349"/>
      <c r="S68" s="349"/>
      <c r="T68" s="349"/>
      <c r="U68" s="349"/>
      <c r="V68" s="349"/>
      <c r="W68" s="349"/>
      <c r="X68" s="349"/>
      <c r="Y68" s="349"/>
    </row>
    <row r="69" spans="1:25" ht="5.15" customHeight="1" x14ac:dyDescent="0.25">
      <c r="A69" s="2"/>
      <c r="B69" s="3"/>
      <c r="C69" s="3"/>
      <c r="D69" s="3"/>
      <c r="E69" s="3"/>
      <c r="F69" s="3"/>
      <c r="G69" s="3"/>
      <c r="H69" s="3"/>
      <c r="I69" s="3"/>
      <c r="J69" s="3"/>
      <c r="K69" s="3"/>
      <c r="L69" s="3"/>
      <c r="M69" s="6"/>
      <c r="N69" s="6"/>
      <c r="O69" s="6"/>
      <c r="P69" s="15"/>
      <c r="Q69" s="410"/>
      <c r="R69" s="349"/>
      <c r="S69" s="349"/>
      <c r="T69" s="349"/>
      <c r="U69" s="349"/>
      <c r="V69" s="349"/>
      <c r="W69" s="349"/>
      <c r="X69" s="349"/>
      <c r="Y69" s="349"/>
    </row>
    <row r="70" spans="1:25" ht="13" x14ac:dyDescent="0.25">
      <c r="A70" s="2"/>
      <c r="B70" s="19"/>
      <c r="C70" s="19"/>
      <c r="D70" s="13" t="s">
        <v>65</v>
      </c>
      <c r="E70" s="1943" t="str">
        <f>Translations!$B$78</f>
        <v>Anläggningens namn:</v>
      </c>
      <c r="F70" s="1963"/>
      <c r="G70" s="1963"/>
      <c r="H70" s="1963"/>
      <c r="I70" s="2060"/>
      <c r="J70" s="2312" t="str">
        <f>c_NIMsSummary!H23</f>
        <v/>
      </c>
      <c r="K70" s="2313"/>
      <c r="L70" s="2313"/>
      <c r="M70" s="2313"/>
      <c r="N70" s="2314"/>
      <c r="O70" s="19"/>
      <c r="P70" s="15"/>
      <c r="Q70" s="349"/>
      <c r="R70" s="349"/>
      <c r="S70" s="349"/>
      <c r="T70" s="349"/>
      <c r="U70" s="349"/>
      <c r="V70" s="349"/>
      <c r="W70" s="349"/>
      <c r="X70" s="349"/>
      <c r="Y70" s="355" t="b">
        <f>OR(CNTR_Incumbent=FALSE,CTRL_InputMethodNIMsvalues=2)</f>
        <v>0</v>
      </c>
    </row>
    <row r="71" spans="1:25" ht="13" x14ac:dyDescent="0.25">
      <c r="A71" s="2"/>
      <c r="B71" s="19"/>
      <c r="C71" s="19"/>
      <c r="D71" s="13"/>
      <c r="E71" s="183"/>
      <c r="F71" s="183"/>
      <c r="G71" s="183"/>
      <c r="H71" s="183"/>
      <c r="I71" s="183"/>
      <c r="J71" s="2381"/>
      <c r="K71" s="2382"/>
      <c r="L71" s="2382"/>
      <c r="M71" s="2382"/>
      <c r="N71" s="2383"/>
      <c r="O71" s="19"/>
      <c r="P71" s="1552"/>
      <c r="Q71" s="349"/>
      <c r="R71" s="349"/>
      <c r="S71" s="349"/>
      <c r="T71" s="349"/>
      <c r="U71" s="349"/>
      <c r="V71" s="349"/>
      <c r="W71" s="349"/>
      <c r="X71" s="349"/>
      <c r="Y71" s="355" t="b">
        <f>CTRL_InputMethodNIMsvalues=1</f>
        <v>0</v>
      </c>
    </row>
    <row r="72" spans="1:25" ht="13" x14ac:dyDescent="0.25">
      <c r="A72" s="2"/>
      <c r="B72" s="19"/>
      <c r="C72" s="19"/>
      <c r="D72" s="13"/>
      <c r="E72" s="183"/>
      <c r="F72" s="183"/>
      <c r="G72" s="183"/>
      <c r="H72" s="183"/>
      <c r="I72" s="183"/>
      <c r="J72" s="2057" t="str">
        <f>IF(J71="",J70,J71)</f>
        <v/>
      </c>
      <c r="K72" s="2058"/>
      <c r="L72" s="2058"/>
      <c r="M72" s="2058"/>
      <c r="N72" s="2059"/>
      <c r="O72" s="19"/>
      <c r="P72" s="15"/>
      <c r="Q72" s="349"/>
      <c r="R72" s="349"/>
      <c r="S72" s="349"/>
      <c r="T72" s="349"/>
      <c r="U72" s="349"/>
      <c r="V72" s="349"/>
      <c r="W72" s="349"/>
      <c r="X72" s="349"/>
      <c r="Y72" s="349"/>
    </row>
    <row r="73" spans="1:25" x14ac:dyDescent="0.25">
      <c r="A73" s="2"/>
      <c r="B73" s="19"/>
      <c r="C73" s="19"/>
      <c r="D73" s="15"/>
      <c r="E73" s="2061" t="str">
        <f>Translations!$B$79</f>
        <v>Namnet bör vara det som redan har använts för korrespondens med den behöriga myndigheten.</v>
      </c>
      <c r="F73" s="1963"/>
      <c r="G73" s="1963"/>
      <c r="H73" s="1963"/>
      <c r="I73" s="1963"/>
      <c r="J73" s="1963"/>
      <c r="K73" s="1963"/>
      <c r="L73" s="1963"/>
      <c r="M73" s="1963"/>
      <c r="N73" s="1963"/>
      <c r="O73" s="19"/>
      <c r="P73" s="15"/>
      <c r="Q73" s="349"/>
      <c r="R73" s="349"/>
      <c r="S73" s="349"/>
      <c r="T73" s="349"/>
      <c r="U73" s="349"/>
      <c r="V73" s="349"/>
      <c r="W73" s="349"/>
      <c r="X73" s="349"/>
      <c r="Y73" s="349"/>
    </row>
    <row r="74" spans="1:25" ht="5.15" customHeight="1" x14ac:dyDescent="0.25">
      <c r="A74" s="2"/>
      <c r="B74" s="3"/>
      <c r="C74" s="3"/>
      <c r="D74" s="3"/>
      <c r="E74" s="3"/>
      <c r="F74" s="3"/>
      <c r="G74" s="3"/>
      <c r="H74" s="3"/>
      <c r="I74" s="3"/>
      <c r="J74" s="3"/>
      <c r="K74" s="3"/>
      <c r="L74" s="3"/>
      <c r="M74" s="6"/>
      <c r="N74" s="6"/>
      <c r="O74" s="6"/>
      <c r="P74" s="15"/>
      <c r="Q74" s="410"/>
      <c r="R74" s="349"/>
      <c r="S74" s="349"/>
      <c r="T74" s="349"/>
      <c r="U74" s="349"/>
      <c r="V74" s="349"/>
      <c r="W74" s="349"/>
      <c r="X74" s="349"/>
      <c r="Y74" s="349"/>
    </row>
    <row r="75" spans="1:25" s="534" customFormat="1" ht="13" x14ac:dyDescent="0.25">
      <c r="A75" s="343"/>
      <c r="B75" s="15"/>
      <c r="C75" s="15"/>
      <c r="D75" s="182" t="s">
        <v>299</v>
      </c>
      <c r="E75" s="1943" t="str">
        <f>Translations!$B$96</f>
        <v>Datum för idrifttagande av anläggningen:</v>
      </c>
      <c r="F75" s="1963"/>
      <c r="G75" s="1963"/>
      <c r="H75" s="1963"/>
      <c r="I75" s="2060"/>
      <c r="J75" s="1690" t="str">
        <f>c_NIMsSummary!H29</f>
        <v/>
      </c>
      <c r="Q75" s="936"/>
      <c r="R75" s="936"/>
      <c r="S75" s="936"/>
      <c r="T75" s="936"/>
      <c r="U75" s="936"/>
      <c r="V75" s="936"/>
      <c r="W75" s="936"/>
      <c r="X75" s="349"/>
      <c r="Y75" s="355" t="b">
        <f>CTRL_InputMethodNIMsvalues=2</f>
        <v>0</v>
      </c>
    </row>
    <row r="76" spans="1:25" s="534" customFormat="1" ht="13" x14ac:dyDescent="0.25">
      <c r="A76" s="343"/>
      <c r="B76" s="15"/>
      <c r="C76" s="15"/>
      <c r="D76" s="182"/>
      <c r="E76" s="182"/>
      <c r="F76" s="182"/>
      <c r="G76" s="182"/>
      <c r="H76" s="182"/>
      <c r="I76" s="182"/>
      <c r="J76" s="1525"/>
      <c r="K76" s="184"/>
      <c r="L76" s="184"/>
      <c r="M76" s="15"/>
      <c r="N76" s="15"/>
      <c r="O76" s="6"/>
      <c r="P76" s="1552"/>
      <c r="Q76" s="936"/>
      <c r="R76" s="936"/>
      <c r="S76" s="936"/>
      <c r="T76" s="936"/>
      <c r="U76" s="936"/>
      <c r="V76" s="936"/>
      <c r="W76" s="936"/>
      <c r="X76" s="349"/>
      <c r="Y76" s="355" t="b">
        <f>AND(J14&lt;&gt;"",J14=FALSE)</f>
        <v>0</v>
      </c>
    </row>
    <row r="77" spans="1:25" s="534" customFormat="1" ht="13" x14ac:dyDescent="0.25">
      <c r="A77" s="343"/>
      <c r="B77" s="15"/>
      <c r="C77" s="15"/>
      <c r="D77" s="182"/>
      <c r="E77" s="182"/>
      <c r="F77" s="182"/>
      <c r="G77" s="182"/>
      <c r="H77" s="182"/>
      <c r="I77" s="182"/>
      <c r="J77" s="1638" t="str">
        <f>IF(J76="",J75,J76)</f>
        <v/>
      </c>
      <c r="K77" s="184"/>
      <c r="L77" s="184"/>
      <c r="M77" s="15"/>
      <c r="N77" s="15"/>
      <c r="O77" s="6"/>
      <c r="P77" s="15"/>
      <c r="Q77" s="936"/>
      <c r="R77" s="936"/>
      <c r="S77" s="936"/>
      <c r="T77" s="936"/>
      <c r="U77" s="936"/>
      <c r="V77" s="936"/>
      <c r="W77" s="936"/>
      <c r="X77" s="1526"/>
      <c r="Y77" s="349"/>
    </row>
    <row r="78" spans="1:25" s="534" customFormat="1" x14ac:dyDescent="0.25">
      <c r="A78" s="343"/>
      <c r="B78" s="15"/>
      <c r="C78" s="15"/>
      <c r="D78" s="15"/>
      <c r="E78" s="2061" t="str">
        <f>Translations!$B$1387</f>
        <v>Denna uppgift är endast relevant om anläggningen är en ”ny deltagare”.</v>
      </c>
      <c r="F78" s="1963"/>
      <c r="G78" s="1963"/>
      <c r="H78" s="1963"/>
      <c r="I78" s="1963"/>
      <c r="J78" s="1963"/>
      <c r="K78" s="1963"/>
      <c r="L78" s="1963"/>
      <c r="M78" s="1963"/>
      <c r="N78" s="1963"/>
      <c r="O78" s="6"/>
      <c r="P78" s="15"/>
      <c r="Q78" s="936"/>
      <c r="R78" s="936"/>
      <c r="S78" s="936"/>
      <c r="T78" s="936"/>
      <c r="U78" s="936"/>
      <c r="V78" s="936"/>
      <c r="W78" s="936"/>
      <c r="X78" s="936"/>
      <c r="Y78" s="349"/>
    </row>
    <row r="79" spans="1:25" ht="5.15" customHeight="1" x14ac:dyDescent="0.25">
      <c r="A79" s="2"/>
      <c r="B79" s="3"/>
      <c r="C79" s="3"/>
      <c r="D79" s="3"/>
      <c r="E79" s="3"/>
      <c r="F79" s="3"/>
      <c r="G79" s="3"/>
      <c r="H79" s="3"/>
      <c r="I79" s="3"/>
      <c r="J79" s="3"/>
      <c r="K79" s="3"/>
      <c r="L79" s="3"/>
      <c r="M79" s="6"/>
      <c r="N79" s="6"/>
      <c r="O79" s="6"/>
      <c r="P79" s="15"/>
      <c r="Q79" s="410"/>
      <c r="R79" s="349"/>
      <c r="S79" s="349"/>
      <c r="T79" s="349"/>
      <c r="U79" s="349"/>
      <c r="V79" s="349"/>
      <c r="W79" s="349"/>
      <c r="X79" s="349"/>
      <c r="Y79" s="349"/>
    </row>
    <row r="80" spans="1:25" ht="13" x14ac:dyDescent="0.25">
      <c r="A80" s="2"/>
      <c r="B80" s="19"/>
      <c r="C80" s="19"/>
      <c r="D80" s="13" t="s">
        <v>303</v>
      </c>
      <c r="E80" s="1943" t="str">
        <f>Translations!$B$1388</f>
        <v>Den senaste versionen av övervakningsmetodplanen (versionsnummer):</v>
      </c>
      <c r="F80" s="1963"/>
      <c r="G80" s="1963"/>
      <c r="H80" s="1963"/>
      <c r="I80" s="2060"/>
      <c r="J80" s="417"/>
      <c r="K80" s="184"/>
      <c r="L80" s="184"/>
      <c r="M80" s="19"/>
      <c r="N80" s="19"/>
      <c r="O80" s="6"/>
      <c r="P80" s="1552"/>
      <c r="Q80" s="349"/>
      <c r="R80" s="349"/>
      <c r="S80" s="349"/>
      <c r="T80" s="349"/>
      <c r="U80" s="349"/>
      <c r="V80" s="349"/>
      <c r="W80" s="349"/>
      <c r="X80" s="349"/>
      <c r="Y80" s="349"/>
    </row>
    <row r="81" spans="1:25" x14ac:dyDescent="0.25">
      <c r="A81" s="2"/>
      <c r="B81" s="19"/>
      <c r="C81" s="19"/>
      <c r="D81" s="15"/>
      <c r="E81" s="2061" t="str">
        <f>Translations!$B$1389</f>
        <v>Ange här den senaste versionen av övervakningsmetodplanen (ÖMP) som anger den övervakningsmetod som ligger till grund för det här årets rapport.</v>
      </c>
      <c r="F81" s="1963"/>
      <c r="G81" s="1963"/>
      <c r="H81" s="1963"/>
      <c r="I81" s="1963"/>
      <c r="J81" s="1963"/>
      <c r="K81" s="1963"/>
      <c r="L81" s="1963"/>
      <c r="M81" s="1963"/>
      <c r="N81" s="1963"/>
      <c r="O81" s="6"/>
      <c r="P81" s="15"/>
      <c r="Q81" s="349"/>
      <c r="R81" s="349"/>
      <c r="S81" s="349"/>
      <c r="T81" s="349"/>
      <c r="U81" s="349"/>
      <c r="V81" s="349"/>
      <c r="W81" s="349"/>
      <c r="X81" s="349"/>
      <c r="Y81" s="349"/>
    </row>
    <row r="82" spans="1:25" ht="5.15" customHeight="1" x14ac:dyDescent="0.25">
      <c r="A82" s="2"/>
      <c r="B82" s="3"/>
      <c r="C82" s="3"/>
      <c r="D82" s="3"/>
      <c r="E82" s="3"/>
      <c r="F82" s="3"/>
      <c r="G82" s="3"/>
      <c r="H82" s="3"/>
      <c r="I82" s="3"/>
      <c r="J82" s="3"/>
      <c r="K82" s="3"/>
      <c r="L82" s="3"/>
      <c r="M82" s="6"/>
      <c r="N82" s="6"/>
      <c r="O82" s="6"/>
      <c r="P82" s="15"/>
      <c r="Q82" s="410"/>
      <c r="R82" s="349"/>
      <c r="S82" s="349"/>
      <c r="T82" s="349"/>
      <c r="U82" s="349"/>
      <c r="V82" s="349"/>
      <c r="W82" s="349"/>
      <c r="X82" s="349"/>
      <c r="Y82" s="349"/>
    </row>
    <row r="83" spans="1:25" ht="13" x14ac:dyDescent="0.25">
      <c r="A83" s="2"/>
      <c r="B83" s="19"/>
      <c r="C83" s="19"/>
      <c r="D83" s="13" t="s">
        <v>305</v>
      </c>
      <c r="E83" s="1943" t="str">
        <f>Translations!$B$88</f>
        <v>Information om tillståndet för utsläpp av växthusgaser:</v>
      </c>
      <c r="F83" s="1963"/>
      <c r="G83" s="1963"/>
      <c r="H83" s="1963"/>
      <c r="I83" s="1963"/>
      <c r="J83" s="1963"/>
      <c r="K83" s="1963"/>
      <c r="L83" s="1963"/>
      <c r="M83" s="1963"/>
      <c r="N83" s="1963"/>
      <c r="O83" s="6"/>
      <c r="P83" s="15"/>
      <c r="Q83" s="349"/>
      <c r="R83" s="349"/>
      <c r="S83" s="349"/>
      <c r="T83" s="349"/>
      <c r="U83" s="349"/>
      <c r="V83" s="349"/>
      <c r="W83" s="349"/>
      <c r="X83" s="349"/>
      <c r="Y83" s="349"/>
    </row>
    <row r="84" spans="1:25" x14ac:dyDescent="0.25">
      <c r="A84" s="2"/>
      <c r="B84" s="19"/>
      <c r="C84" s="19"/>
      <c r="D84" s="19"/>
      <c r="E84" s="2061" t="str">
        <f>Translations!$B$89</f>
        <v>Var god ange endast information om tillståndet för utsläpp av växthusgaser (= det tillstånd som utfärdats i enlighet med artiklarna 5 och 6 i ETS-direktivet).</v>
      </c>
      <c r="F84" s="1963"/>
      <c r="G84" s="1963"/>
      <c r="H84" s="1963"/>
      <c r="I84" s="1963"/>
      <c r="J84" s="1963"/>
      <c r="K84" s="1963"/>
      <c r="L84" s="1963"/>
      <c r="M84" s="1963"/>
      <c r="N84" s="1963"/>
      <c r="O84" s="6"/>
      <c r="P84" s="15"/>
      <c r="Q84" s="349"/>
      <c r="R84" s="349"/>
      <c r="S84" s="349"/>
      <c r="T84" s="349"/>
      <c r="U84" s="349"/>
      <c r="V84" s="349"/>
      <c r="W84" s="349"/>
      <c r="X84" s="349"/>
      <c r="Y84" s="349"/>
    </row>
    <row r="85" spans="1:25" x14ac:dyDescent="0.25">
      <c r="A85" s="2"/>
      <c r="B85" s="19"/>
      <c r="C85" s="19"/>
      <c r="D85" s="19"/>
      <c r="E85" s="2061" t="str">
        <f>Translations!$B$90</f>
        <v>Medlemsstaterna kan välja om informationen ska lämnas eller inte, om den behöriga myndigheten redan har sådan information.</v>
      </c>
      <c r="F85" s="1963"/>
      <c r="G85" s="1963"/>
      <c r="H85" s="1963"/>
      <c r="I85" s="1963"/>
      <c r="J85" s="1963"/>
      <c r="K85" s="1963"/>
      <c r="L85" s="1963"/>
      <c r="M85" s="1963"/>
      <c r="N85" s="1963"/>
      <c r="O85" s="6"/>
      <c r="P85" s="15"/>
      <c r="Q85" s="349"/>
      <c r="R85" s="349"/>
      <c r="S85" s="349"/>
      <c r="T85" s="349"/>
      <c r="U85" s="349"/>
      <c r="V85" s="349"/>
      <c r="W85" s="349"/>
      <c r="X85" s="349"/>
      <c r="Y85" s="349"/>
    </row>
    <row r="86" spans="1:25" ht="13" x14ac:dyDescent="0.25">
      <c r="A86" s="2"/>
      <c r="B86" s="19"/>
      <c r="C86" s="19"/>
      <c r="D86" s="185"/>
      <c r="E86" s="183"/>
      <c r="F86" s="2347" t="str">
        <f>Translations!$B$91</f>
        <v>Den behöriga myndighetens namn:</v>
      </c>
      <c r="G86" s="1963"/>
      <c r="H86" s="1963"/>
      <c r="I86" s="2060"/>
      <c r="J86" s="2312" t="str">
        <f>c_NIMsSummary!J1407</f>
        <v/>
      </c>
      <c r="K86" s="2313"/>
      <c r="L86" s="2313"/>
      <c r="M86" s="2313"/>
      <c r="N86" s="2314"/>
      <c r="O86" s="6"/>
      <c r="P86" s="1552"/>
      <c r="Q86" s="349"/>
      <c r="R86" s="349"/>
      <c r="S86" s="349"/>
      <c r="T86" s="349"/>
      <c r="U86" s="349"/>
      <c r="V86" s="349"/>
      <c r="W86" s="349"/>
      <c r="X86" s="349"/>
      <c r="Y86" s="355" t="b">
        <f>OR(CNTR_Incumbent=FALSE,CTRL_InputMethodNIMsvalues=2)</f>
        <v>0</v>
      </c>
    </row>
    <row r="87" spans="1:25" ht="13" x14ac:dyDescent="0.25">
      <c r="A87" s="2"/>
      <c r="B87" s="19"/>
      <c r="C87" s="19"/>
      <c r="D87" s="185"/>
      <c r="E87" s="183"/>
      <c r="F87" s="183"/>
      <c r="G87" s="183"/>
      <c r="H87" s="183"/>
      <c r="I87" s="183"/>
      <c r="J87" s="2381"/>
      <c r="K87" s="2382"/>
      <c r="L87" s="2382"/>
      <c r="M87" s="2382"/>
      <c r="N87" s="2383"/>
      <c r="O87" s="6"/>
      <c r="P87" s="15"/>
      <c r="Q87" s="349"/>
      <c r="R87" s="349"/>
      <c r="S87" s="349"/>
      <c r="T87" s="349"/>
      <c r="U87" s="349"/>
      <c r="V87" s="349"/>
      <c r="W87" s="349"/>
      <c r="X87" s="349"/>
      <c r="Y87" s="355" t="b">
        <f>CTRL_InputMethodNIMsvalues=1</f>
        <v>0</v>
      </c>
    </row>
    <row r="88" spans="1:25" ht="13" x14ac:dyDescent="0.25">
      <c r="A88" s="2"/>
      <c r="B88" s="19"/>
      <c r="C88" s="19"/>
      <c r="D88" s="185"/>
      <c r="E88" s="183"/>
      <c r="F88" s="183"/>
      <c r="G88" s="183"/>
      <c r="H88" s="183"/>
      <c r="I88" s="183"/>
      <c r="J88" s="2346" t="str">
        <f>IF(J87="",J86,J87)</f>
        <v/>
      </c>
      <c r="K88" s="2058"/>
      <c r="L88" s="2058"/>
      <c r="M88" s="2058"/>
      <c r="N88" s="2059"/>
      <c r="O88" s="6"/>
      <c r="P88" s="15"/>
      <c r="Q88" s="349"/>
      <c r="R88" s="349"/>
      <c r="S88" s="349"/>
      <c r="T88" s="349"/>
      <c r="U88" s="349"/>
      <c r="V88" s="349"/>
      <c r="W88" s="349"/>
      <c r="X88" s="349"/>
      <c r="Y88" s="349"/>
    </row>
    <row r="89" spans="1:25" ht="5.15" customHeight="1" x14ac:dyDescent="0.25">
      <c r="A89" s="2"/>
      <c r="B89" s="3"/>
      <c r="C89" s="3"/>
      <c r="D89" s="3"/>
      <c r="E89" s="3"/>
      <c r="F89" s="3"/>
      <c r="G89" s="3"/>
      <c r="H89" s="3"/>
      <c r="I89" s="3"/>
      <c r="J89" s="3"/>
      <c r="K89" s="3"/>
      <c r="L89" s="3"/>
      <c r="M89" s="6"/>
      <c r="N89" s="6"/>
      <c r="O89" s="6"/>
      <c r="P89" s="15"/>
      <c r="Q89" s="410"/>
      <c r="R89" s="349"/>
      <c r="S89" s="349"/>
      <c r="T89" s="349"/>
      <c r="U89" s="349"/>
      <c r="V89" s="349"/>
      <c r="W89" s="349"/>
      <c r="X89" s="349"/>
      <c r="Y89" s="349"/>
    </row>
    <row r="90" spans="1:25" ht="13" x14ac:dyDescent="0.25">
      <c r="A90" s="2"/>
      <c r="B90" s="19"/>
      <c r="C90" s="19"/>
      <c r="D90" s="182"/>
      <c r="E90" s="183"/>
      <c r="F90" s="2289" t="str">
        <f>Translations!$B$92</f>
        <v>Det första tillstånd för utsläpp av växthusgaser som mottogs när anläggningen omfattades av ETS för första gången:</v>
      </c>
      <c r="G90" s="2000"/>
      <c r="H90" s="2000"/>
      <c r="I90" s="2000"/>
      <c r="J90" s="2000"/>
      <c r="K90" s="2000"/>
      <c r="L90" s="2000"/>
      <c r="M90" s="2000"/>
      <c r="N90" s="2000"/>
      <c r="O90" s="6"/>
      <c r="P90" s="15"/>
      <c r="Q90" s="349"/>
      <c r="R90" s="349"/>
      <c r="S90" s="349"/>
      <c r="T90" s="349"/>
      <c r="U90" s="349"/>
      <c r="V90" s="349"/>
      <c r="W90" s="349"/>
      <c r="X90" s="349"/>
      <c r="Y90" s="349"/>
    </row>
    <row r="91" spans="1:25" x14ac:dyDescent="0.25">
      <c r="A91" s="2"/>
      <c r="B91" s="19"/>
      <c r="C91" s="19"/>
      <c r="D91" s="185"/>
      <c r="E91" s="291" t="s">
        <v>8</v>
      </c>
      <c r="F91" s="2041" t="str">
        <f>Translations!$B$93</f>
        <v>Tillståndsnummer:</v>
      </c>
      <c r="G91" s="2042"/>
      <c r="H91" s="2042"/>
      <c r="I91" s="2043"/>
      <c r="J91" s="2249"/>
      <c r="K91" s="2250"/>
      <c r="L91" s="2250"/>
      <c r="M91" s="2250"/>
      <c r="N91" s="2251"/>
      <c r="O91" s="6"/>
      <c r="P91" s="1552"/>
      <c r="Q91" s="349"/>
      <c r="R91" s="349"/>
      <c r="S91" s="349"/>
      <c r="T91" s="349"/>
      <c r="U91" s="349"/>
      <c r="V91" s="349"/>
      <c r="W91" s="349"/>
      <c r="X91" s="349"/>
      <c r="Y91" s="349"/>
    </row>
    <row r="92" spans="1:25" x14ac:dyDescent="0.25">
      <c r="A92" s="2"/>
      <c r="B92" s="19"/>
      <c r="C92" s="19"/>
      <c r="D92" s="185"/>
      <c r="E92" s="291" t="s">
        <v>9</v>
      </c>
      <c r="F92" s="2047" t="str">
        <f>Translations!$B$94</f>
        <v>Datum för utfärdande:</v>
      </c>
      <c r="G92" s="2048"/>
      <c r="H92" s="2048"/>
      <c r="I92" s="2049"/>
      <c r="J92" s="2246"/>
      <c r="K92" s="2247"/>
      <c r="L92" s="2247"/>
      <c r="M92" s="2247"/>
      <c r="N92" s="2248"/>
      <c r="O92" s="6"/>
      <c r="P92" s="1552"/>
      <c r="Q92" s="349"/>
      <c r="R92" s="349"/>
      <c r="S92" s="349"/>
      <c r="T92" s="349"/>
      <c r="U92" s="349"/>
      <c r="V92" s="349"/>
      <c r="W92" s="349"/>
      <c r="X92" s="349"/>
      <c r="Y92" s="349"/>
    </row>
    <row r="93" spans="1:25" ht="5.15" customHeight="1" x14ac:dyDescent="0.25">
      <c r="A93" s="2"/>
      <c r="B93" s="3"/>
      <c r="C93" s="3"/>
      <c r="D93" s="3"/>
      <c r="E93" s="290"/>
      <c r="F93" s="3"/>
      <c r="G93" s="3"/>
      <c r="H93" s="3"/>
      <c r="I93" s="3"/>
      <c r="J93" s="3"/>
      <c r="K93" s="3"/>
      <c r="L93" s="3"/>
      <c r="M93" s="6"/>
      <c r="N93" s="6"/>
      <c r="O93" s="6"/>
      <c r="P93" s="15"/>
      <c r="Q93" s="410"/>
      <c r="R93" s="349"/>
      <c r="S93" s="349"/>
      <c r="T93" s="349"/>
      <c r="U93" s="349"/>
      <c r="V93" s="349"/>
      <c r="W93" s="349"/>
      <c r="X93" s="349"/>
      <c r="Y93" s="349"/>
    </row>
    <row r="94" spans="1:25" ht="13" x14ac:dyDescent="0.25">
      <c r="A94" s="2"/>
      <c r="B94" s="19"/>
      <c r="C94" s="19"/>
      <c r="D94" s="182"/>
      <c r="E94" s="291"/>
      <c r="F94" s="2289" t="str">
        <f>Translations!$B$95</f>
        <v>Senaste uppdatering av tillståndet, i tillämpliga fall:</v>
      </c>
      <c r="G94" s="2000"/>
      <c r="H94" s="2000"/>
      <c r="I94" s="2000"/>
      <c r="J94" s="2000"/>
      <c r="K94" s="2000"/>
      <c r="L94" s="2000"/>
      <c r="M94" s="2000"/>
      <c r="N94" s="2000"/>
      <c r="O94" s="6"/>
      <c r="P94" s="15"/>
      <c r="Q94" s="349"/>
      <c r="R94" s="349"/>
      <c r="S94" s="349"/>
      <c r="T94" s="349"/>
      <c r="U94" s="349"/>
      <c r="V94" s="349"/>
      <c r="W94" s="349"/>
      <c r="X94" s="349"/>
      <c r="Y94" s="349"/>
    </row>
    <row r="95" spans="1:25" x14ac:dyDescent="0.25">
      <c r="A95" s="2"/>
      <c r="B95" s="19"/>
      <c r="C95" s="19"/>
      <c r="D95" s="185"/>
      <c r="E95" s="291" t="s">
        <v>10</v>
      </c>
      <c r="F95" s="2041" t="str">
        <f>Translations!$B$93</f>
        <v>Tillståndsnummer:</v>
      </c>
      <c r="G95" s="2042"/>
      <c r="H95" s="2042"/>
      <c r="I95" s="2043"/>
      <c r="J95" s="2283"/>
      <c r="K95" s="2284"/>
      <c r="L95" s="2284"/>
      <c r="M95" s="2284"/>
      <c r="N95" s="2285"/>
      <c r="O95" s="6"/>
      <c r="P95" s="1552"/>
      <c r="Q95" s="349"/>
      <c r="R95" s="349"/>
      <c r="S95" s="349"/>
      <c r="T95" s="349"/>
      <c r="U95" s="349"/>
      <c r="V95" s="349"/>
      <c r="W95" s="349"/>
      <c r="X95" s="349"/>
      <c r="Y95" s="349"/>
    </row>
    <row r="96" spans="1:25" x14ac:dyDescent="0.25">
      <c r="A96" s="2"/>
      <c r="B96" s="19"/>
      <c r="C96" s="19"/>
      <c r="D96" s="185"/>
      <c r="E96" s="291" t="s">
        <v>23</v>
      </c>
      <c r="F96" s="2047" t="str">
        <f>Translations!$B$94</f>
        <v>Datum för utfärdande:</v>
      </c>
      <c r="G96" s="2048"/>
      <c r="H96" s="2048"/>
      <c r="I96" s="2049"/>
      <c r="J96" s="2246"/>
      <c r="K96" s="2247"/>
      <c r="L96" s="2247"/>
      <c r="M96" s="2247"/>
      <c r="N96" s="2248"/>
      <c r="O96" s="6"/>
      <c r="P96" s="1552"/>
      <c r="Q96" s="349"/>
      <c r="R96" s="349"/>
      <c r="S96" s="349"/>
      <c r="T96" s="349"/>
      <c r="U96" s="349"/>
      <c r="V96" s="349"/>
      <c r="W96" s="349"/>
      <c r="X96" s="349"/>
      <c r="Y96" s="349"/>
    </row>
    <row r="97" spans="1:25" ht="5.15" customHeight="1" x14ac:dyDescent="0.25">
      <c r="A97" s="2"/>
      <c r="B97" s="3"/>
      <c r="C97" s="3"/>
      <c r="D97" s="3"/>
      <c r="E97" s="3"/>
      <c r="F97" s="3"/>
      <c r="G97" s="3"/>
      <c r="H97" s="3"/>
      <c r="I97" s="3"/>
      <c r="J97" s="3"/>
      <c r="K97" s="3"/>
      <c r="L97" s="3"/>
      <c r="M97" s="6"/>
      <c r="N97" s="6"/>
      <c r="O97" s="6"/>
      <c r="P97" s="15"/>
      <c r="Q97" s="410"/>
      <c r="R97" s="349"/>
      <c r="S97" s="349"/>
      <c r="T97" s="349"/>
      <c r="U97" s="349"/>
      <c r="V97" s="349"/>
      <c r="W97" s="349"/>
      <c r="X97" s="349"/>
      <c r="Y97" s="349"/>
    </row>
    <row r="98" spans="1:25" ht="13" x14ac:dyDescent="0.25">
      <c r="A98" s="2"/>
      <c r="B98" s="19"/>
      <c r="C98" s="19"/>
      <c r="D98" s="182" t="s">
        <v>523</v>
      </c>
      <c r="E98" s="2310" t="str">
        <f>Translations!$B$102</f>
        <v>Uppgifter om verksamhetsutövaren:</v>
      </c>
      <c r="F98" s="1963"/>
      <c r="G98" s="1963"/>
      <c r="H98" s="1963"/>
      <c r="I98" s="1963"/>
      <c r="J98" s="1963"/>
      <c r="K98" s="1963"/>
      <c r="L98" s="1963"/>
      <c r="M98" s="1963"/>
      <c r="N98" s="1963"/>
      <c r="O98" s="6"/>
      <c r="P98" s="15"/>
      <c r="Q98" s="349"/>
      <c r="R98" s="349"/>
      <c r="S98" s="349"/>
      <c r="T98" s="349"/>
      <c r="U98" s="349"/>
      <c r="V98" s="349"/>
      <c r="W98" s="349"/>
      <c r="X98" s="349"/>
      <c r="Y98" s="349"/>
    </row>
    <row r="99" spans="1:25" ht="25.5" customHeight="1" x14ac:dyDescent="0.25">
      <c r="A99" s="2"/>
      <c r="B99" s="19"/>
      <c r="C99" s="19"/>
      <c r="D99" s="15"/>
      <c r="E99" s="2075" t="str">
        <f>Translations!$B$103</f>
        <v>Verksamhetsutövare är den (fysiska eller juridiska) person som driver eller innehar en anläggning eller, om det finns bestämmelser om detta i den nationella lagstiftningen, varje person som har fått rätten att fatta avgörande ekonomiska beslut med avseende på anläggningens tekniska funktionssätt.</v>
      </c>
      <c r="F99" s="2311"/>
      <c r="G99" s="2311"/>
      <c r="H99" s="2311"/>
      <c r="I99" s="2311"/>
      <c r="J99" s="2311"/>
      <c r="K99" s="2311"/>
      <c r="L99" s="2311"/>
      <c r="M99" s="2311"/>
      <c r="N99" s="2311"/>
      <c r="O99" s="6"/>
      <c r="P99" s="15"/>
      <c r="Q99" s="349"/>
      <c r="R99" s="349"/>
      <c r="S99" s="349"/>
      <c r="T99" s="349"/>
      <c r="U99" s="349"/>
      <c r="V99" s="349"/>
      <c r="W99" s="349"/>
      <c r="X99" s="349"/>
      <c r="Y99" s="349"/>
    </row>
    <row r="100" spans="1:25" ht="13" x14ac:dyDescent="0.25">
      <c r="A100" s="2"/>
      <c r="B100" s="19"/>
      <c r="C100" s="19"/>
      <c r="D100" s="185"/>
      <c r="E100" s="183"/>
      <c r="F100" s="291" t="s">
        <v>8</v>
      </c>
      <c r="G100" s="2041" t="str">
        <f>Translations!$B$104</f>
        <v>Verksamhetsutövarens namn:</v>
      </c>
      <c r="H100" s="2042"/>
      <c r="I100" s="2043"/>
      <c r="J100" s="2242" t="str">
        <f>c_NIMsSummary!J1409</f>
        <v/>
      </c>
      <c r="K100" s="2243"/>
      <c r="L100" s="2243"/>
      <c r="M100" s="2243"/>
      <c r="N100" s="2244"/>
      <c r="O100" s="6"/>
      <c r="P100" s="15"/>
      <c r="Q100" s="349"/>
      <c r="R100" s="349"/>
      <c r="S100" s="349"/>
      <c r="T100" s="349"/>
      <c r="U100" s="349"/>
      <c r="V100" s="349"/>
      <c r="W100" s="349"/>
      <c r="X100" s="349"/>
      <c r="Y100" s="355" t="b">
        <f t="shared" ref="Y100:Y108" si="0">OR(CNTR_Incumbent=FALSE,CTRL_InputMethodNIMsvalues=2)</f>
        <v>0</v>
      </c>
    </row>
    <row r="101" spans="1:25" ht="13" x14ac:dyDescent="0.25">
      <c r="A101" s="2"/>
      <c r="B101" s="19"/>
      <c r="C101" s="19"/>
      <c r="D101" s="185"/>
      <c r="E101" s="183"/>
      <c r="F101" s="291" t="s">
        <v>9</v>
      </c>
      <c r="G101" s="2128" t="str">
        <f>Translations!$B$105</f>
        <v>Gata, nummer:</v>
      </c>
      <c r="H101" s="2237"/>
      <c r="I101" s="2238"/>
      <c r="J101" s="2259" t="str">
        <f>c_NIMsSummary!J1410</f>
        <v/>
      </c>
      <c r="K101" s="2260"/>
      <c r="L101" s="2260"/>
      <c r="M101" s="2260"/>
      <c r="N101" s="2261"/>
      <c r="O101" s="6"/>
      <c r="P101" s="15"/>
      <c r="Q101" s="349"/>
      <c r="R101" s="349"/>
      <c r="S101" s="349"/>
      <c r="T101" s="349"/>
      <c r="U101" s="349"/>
      <c r="V101" s="349"/>
      <c r="W101" s="349"/>
      <c r="X101" s="349"/>
      <c r="Y101" s="355" t="b">
        <f t="shared" si="0"/>
        <v>0</v>
      </c>
    </row>
    <row r="102" spans="1:25" ht="13" x14ac:dyDescent="0.25">
      <c r="A102" s="2"/>
      <c r="B102" s="19"/>
      <c r="C102" s="19"/>
      <c r="D102" s="185"/>
      <c r="E102" s="183"/>
      <c r="F102" s="291" t="s">
        <v>10</v>
      </c>
      <c r="G102" s="2044" t="str">
        <f>Translations!$B$106</f>
        <v>Postnummer:</v>
      </c>
      <c r="H102" s="2045"/>
      <c r="I102" s="2046"/>
      <c r="J102" s="2259" t="str">
        <f>c_NIMsSummary!J1411</f>
        <v/>
      </c>
      <c r="K102" s="2260"/>
      <c r="L102" s="2260"/>
      <c r="M102" s="2260"/>
      <c r="N102" s="2261"/>
      <c r="O102" s="6"/>
      <c r="P102" s="15"/>
      <c r="Q102" s="349"/>
      <c r="R102" s="349"/>
      <c r="S102" s="349"/>
      <c r="T102" s="349"/>
      <c r="U102" s="349"/>
      <c r="V102" s="349"/>
      <c r="W102" s="349"/>
      <c r="X102" s="349"/>
      <c r="Y102" s="355" t="b">
        <f t="shared" si="0"/>
        <v>0</v>
      </c>
    </row>
    <row r="103" spans="1:25" ht="13" x14ac:dyDescent="0.25">
      <c r="A103" s="2"/>
      <c r="B103" s="19"/>
      <c r="C103" s="19"/>
      <c r="D103" s="185"/>
      <c r="E103" s="183"/>
      <c r="F103" s="291" t="s">
        <v>23</v>
      </c>
      <c r="G103" s="2044" t="str">
        <f>Translations!$B$107</f>
        <v>Ort:</v>
      </c>
      <c r="H103" s="2045"/>
      <c r="I103" s="2046"/>
      <c r="J103" s="2259" t="str">
        <f>c_NIMsSummary!J1412</f>
        <v/>
      </c>
      <c r="K103" s="2260"/>
      <c r="L103" s="2260"/>
      <c r="M103" s="2260"/>
      <c r="N103" s="2261"/>
      <c r="O103" s="6"/>
      <c r="P103" s="15"/>
      <c r="Q103" s="349"/>
      <c r="R103" s="349"/>
      <c r="S103" s="349"/>
      <c r="T103" s="349"/>
      <c r="U103" s="349"/>
      <c r="V103" s="349"/>
      <c r="W103" s="349"/>
      <c r="X103" s="349"/>
      <c r="Y103" s="355" t="b">
        <f t="shared" si="0"/>
        <v>0</v>
      </c>
    </row>
    <row r="104" spans="1:25" ht="13" x14ac:dyDescent="0.25">
      <c r="A104" s="2"/>
      <c r="B104" s="19"/>
      <c r="C104" s="19"/>
      <c r="D104" s="185"/>
      <c r="E104" s="183"/>
      <c r="F104" s="291" t="s">
        <v>859</v>
      </c>
      <c r="G104" s="2044" t="str">
        <f>Translations!$B$108</f>
        <v>Land:</v>
      </c>
      <c r="H104" s="2045"/>
      <c r="I104" s="2046"/>
      <c r="J104" s="2259" t="str">
        <f>c_NIMsSummary!J1413</f>
        <v/>
      </c>
      <c r="K104" s="2260"/>
      <c r="L104" s="2260"/>
      <c r="M104" s="2260"/>
      <c r="N104" s="2261"/>
      <c r="O104" s="6"/>
      <c r="P104" s="15"/>
      <c r="Q104" s="349"/>
      <c r="R104" s="349"/>
      <c r="S104" s="349"/>
      <c r="T104" s="349"/>
      <c r="U104" s="349"/>
      <c r="V104" s="349"/>
      <c r="W104" s="349"/>
      <c r="X104" s="349"/>
      <c r="Y104" s="355" t="b">
        <f t="shared" si="0"/>
        <v>0</v>
      </c>
    </row>
    <row r="105" spans="1:25" ht="13" x14ac:dyDescent="0.25">
      <c r="A105" s="2"/>
      <c r="B105" s="19"/>
      <c r="C105" s="19"/>
      <c r="D105" s="185"/>
      <c r="E105" s="183"/>
      <c r="F105" s="291" t="s">
        <v>860</v>
      </c>
      <c r="G105" s="2044" t="str">
        <f>Translations!$B$109</f>
        <v>Det behöriga ombudets namn:</v>
      </c>
      <c r="H105" s="2045"/>
      <c r="I105" s="2046"/>
      <c r="J105" s="2259" t="str">
        <f>c_NIMsSummary!J1414</f>
        <v/>
      </c>
      <c r="K105" s="2260"/>
      <c r="L105" s="2260"/>
      <c r="M105" s="2260"/>
      <c r="N105" s="2261"/>
      <c r="O105" s="6"/>
      <c r="P105" s="15"/>
      <c r="Q105" s="349"/>
      <c r="R105" s="349"/>
      <c r="S105" s="349"/>
      <c r="T105" s="349"/>
      <c r="U105" s="349"/>
      <c r="V105" s="349"/>
      <c r="W105" s="349"/>
      <c r="X105" s="349"/>
      <c r="Y105" s="355" t="b">
        <f t="shared" si="0"/>
        <v>0</v>
      </c>
    </row>
    <row r="106" spans="1:25" ht="13" x14ac:dyDescent="0.25">
      <c r="A106" s="2"/>
      <c r="B106" s="19"/>
      <c r="C106" s="19"/>
      <c r="D106" s="185"/>
      <c r="E106" s="183"/>
      <c r="F106" s="291" t="s">
        <v>861</v>
      </c>
      <c r="G106" s="2044" t="str">
        <f>Translations!$B$110</f>
        <v>E-post:</v>
      </c>
      <c r="H106" s="2045"/>
      <c r="I106" s="2046"/>
      <c r="J106" s="2259" t="str">
        <f>c_NIMsSummary!J1415</f>
        <v/>
      </c>
      <c r="K106" s="2260"/>
      <c r="L106" s="2260"/>
      <c r="M106" s="2260"/>
      <c r="N106" s="2261"/>
      <c r="O106" s="6"/>
      <c r="P106" s="15"/>
      <c r="Q106" s="349"/>
      <c r="R106" s="349"/>
      <c r="S106" s="349"/>
      <c r="T106" s="349"/>
      <c r="U106" s="349"/>
      <c r="V106" s="349"/>
      <c r="W106" s="349"/>
      <c r="X106" s="349"/>
      <c r="Y106" s="355" t="b">
        <f t="shared" si="0"/>
        <v>0</v>
      </c>
    </row>
    <row r="107" spans="1:25" ht="13" x14ac:dyDescent="0.25">
      <c r="A107" s="2"/>
      <c r="B107" s="19"/>
      <c r="C107" s="19"/>
      <c r="D107" s="185"/>
      <c r="E107" s="183"/>
      <c r="F107" s="291" t="s">
        <v>862</v>
      </c>
      <c r="G107" s="2044" t="str">
        <f>Translations!$B$111</f>
        <v>Tfn:</v>
      </c>
      <c r="H107" s="2045"/>
      <c r="I107" s="2046"/>
      <c r="J107" s="2259" t="str">
        <f>c_NIMsSummary!J1416</f>
        <v/>
      </c>
      <c r="K107" s="2260"/>
      <c r="L107" s="2260"/>
      <c r="M107" s="2260"/>
      <c r="N107" s="2261"/>
      <c r="O107" s="6"/>
      <c r="P107" s="15"/>
      <c r="Q107" s="349"/>
      <c r="R107" s="349"/>
      <c r="S107" s="349"/>
      <c r="T107" s="349"/>
      <c r="U107" s="349"/>
      <c r="V107" s="349"/>
      <c r="W107" s="349"/>
      <c r="X107" s="349"/>
      <c r="Y107" s="355" t="b">
        <f t="shared" si="0"/>
        <v>0</v>
      </c>
    </row>
    <row r="108" spans="1:25" ht="13" x14ac:dyDescent="0.25">
      <c r="A108" s="2"/>
      <c r="B108" s="19"/>
      <c r="C108" s="19"/>
      <c r="D108" s="185"/>
      <c r="E108" s="183"/>
      <c r="F108" s="291" t="s">
        <v>863</v>
      </c>
      <c r="G108" s="2047" t="str">
        <f>Translations!$B$112</f>
        <v>Fax:</v>
      </c>
      <c r="H108" s="2048"/>
      <c r="I108" s="2049"/>
      <c r="J108" s="2227" t="str">
        <f>c_NIMsSummary!J1417</f>
        <v/>
      </c>
      <c r="K108" s="2228"/>
      <c r="L108" s="2228"/>
      <c r="M108" s="2228"/>
      <c r="N108" s="2229"/>
      <c r="O108" s="6"/>
      <c r="P108" s="15"/>
      <c r="Q108" s="349"/>
      <c r="R108" s="349"/>
      <c r="S108" s="349"/>
      <c r="T108" s="349"/>
      <c r="U108" s="349"/>
      <c r="V108" s="349"/>
      <c r="W108" s="349"/>
      <c r="X108" s="349"/>
      <c r="Y108" s="355" t="b">
        <f t="shared" si="0"/>
        <v>0</v>
      </c>
    </row>
    <row r="109" spans="1:25" ht="5.15" customHeight="1" x14ac:dyDescent="0.25">
      <c r="A109" s="2"/>
      <c r="B109" s="3"/>
      <c r="C109" s="3"/>
      <c r="D109" s="3"/>
      <c r="E109" s="3"/>
      <c r="F109" s="3"/>
      <c r="G109" s="3"/>
      <c r="H109" s="3"/>
      <c r="I109" s="3"/>
      <c r="J109" s="3"/>
      <c r="K109" s="3"/>
      <c r="L109" s="3"/>
      <c r="M109" s="6"/>
      <c r="N109" s="6"/>
      <c r="O109" s="6"/>
      <c r="P109" s="15"/>
      <c r="Q109" s="410"/>
      <c r="R109" s="349"/>
      <c r="S109" s="349"/>
      <c r="T109" s="349"/>
      <c r="U109" s="349"/>
      <c r="V109" s="349"/>
      <c r="W109" s="349"/>
      <c r="X109" s="349"/>
      <c r="Y109" s="349"/>
    </row>
    <row r="110" spans="1:25" ht="13" x14ac:dyDescent="0.25">
      <c r="A110" s="2"/>
      <c r="B110" s="19"/>
      <c r="C110" s="19"/>
      <c r="D110" s="185"/>
      <c r="E110" s="183"/>
      <c r="F110" s="291" t="s">
        <v>8</v>
      </c>
      <c r="G110" s="2041" t="str">
        <f>Translations!$B$104</f>
        <v>Verksamhetsutövarens namn:</v>
      </c>
      <c r="H110" s="2042"/>
      <c r="I110" s="2043"/>
      <c r="J110" s="2249"/>
      <c r="K110" s="2250"/>
      <c r="L110" s="2250"/>
      <c r="M110" s="2250"/>
      <c r="N110" s="2251"/>
      <c r="O110" s="6"/>
      <c r="P110" s="1552"/>
      <c r="Q110" s="349"/>
      <c r="R110" s="349"/>
      <c r="S110" s="349"/>
      <c r="T110" s="349"/>
      <c r="U110" s="349"/>
      <c r="V110" s="349"/>
      <c r="W110" s="349"/>
      <c r="X110" s="349"/>
      <c r="Y110" s="355" t="b">
        <f t="shared" ref="Y110:Y117" si="1">CTRL_InputMethodNIMsvalues=1</f>
        <v>0</v>
      </c>
    </row>
    <row r="111" spans="1:25" ht="13" x14ac:dyDescent="0.25">
      <c r="A111" s="2"/>
      <c r="B111" s="19"/>
      <c r="C111" s="19"/>
      <c r="D111" s="185"/>
      <c r="E111" s="183"/>
      <c r="F111" s="291" t="s">
        <v>9</v>
      </c>
      <c r="G111" s="2128" t="str">
        <f>Translations!$B$105</f>
        <v>Gata, nummer:</v>
      </c>
      <c r="H111" s="2237"/>
      <c r="I111" s="2238"/>
      <c r="J111" s="2262"/>
      <c r="K111" s="2263"/>
      <c r="L111" s="2263"/>
      <c r="M111" s="2263"/>
      <c r="N111" s="2264"/>
      <c r="O111" s="6"/>
      <c r="P111" s="1552"/>
      <c r="Q111" s="349"/>
      <c r="R111" s="349"/>
      <c r="S111" s="349"/>
      <c r="T111" s="349"/>
      <c r="U111" s="349"/>
      <c r="V111" s="349"/>
      <c r="W111" s="349"/>
      <c r="X111" s="349"/>
      <c r="Y111" s="355" t="b">
        <f t="shared" si="1"/>
        <v>0</v>
      </c>
    </row>
    <row r="112" spans="1:25" ht="13" x14ac:dyDescent="0.25">
      <c r="A112" s="2"/>
      <c r="B112" s="19"/>
      <c r="C112" s="19"/>
      <c r="D112" s="185"/>
      <c r="E112" s="183"/>
      <c r="F112" s="291" t="s">
        <v>10</v>
      </c>
      <c r="G112" s="2044" t="str">
        <f>Translations!$B$106</f>
        <v>Postnummer:</v>
      </c>
      <c r="H112" s="2045"/>
      <c r="I112" s="2046"/>
      <c r="J112" s="2262"/>
      <c r="K112" s="2263"/>
      <c r="L112" s="2263"/>
      <c r="M112" s="2263"/>
      <c r="N112" s="2264"/>
      <c r="O112" s="6"/>
      <c r="P112" s="1552"/>
      <c r="Q112" s="349"/>
      <c r="R112" s="349"/>
      <c r="S112" s="349"/>
      <c r="T112" s="349"/>
      <c r="U112" s="349"/>
      <c r="V112" s="349"/>
      <c r="W112" s="349"/>
      <c r="X112" s="349"/>
      <c r="Y112" s="355" t="b">
        <f t="shared" si="1"/>
        <v>0</v>
      </c>
    </row>
    <row r="113" spans="1:25" ht="13" x14ac:dyDescent="0.25">
      <c r="A113" s="2"/>
      <c r="B113" s="19"/>
      <c r="C113" s="19"/>
      <c r="D113" s="185"/>
      <c r="E113" s="183"/>
      <c r="F113" s="291" t="s">
        <v>23</v>
      </c>
      <c r="G113" s="2044" t="str">
        <f>Translations!$B$107</f>
        <v>Ort:</v>
      </c>
      <c r="H113" s="2045"/>
      <c r="I113" s="2046"/>
      <c r="J113" s="2262"/>
      <c r="K113" s="2263"/>
      <c r="L113" s="2263"/>
      <c r="M113" s="2263"/>
      <c r="N113" s="2264"/>
      <c r="O113" s="6"/>
      <c r="P113" s="1552"/>
      <c r="Q113" s="349"/>
      <c r="R113" s="349"/>
      <c r="S113" s="349"/>
      <c r="T113" s="349"/>
      <c r="U113" s="349"/>
      <c r="V113" s="349"/>
      <c r="W113" s="349"/>
      <c r="X113" s="349"/>
      <c r="Y113" s="355" t="b">
        <f t="shared" si="1"/>
        <v>0</v>
      </c>
    </row>
    <row r="114" spans="1:25" ht="13" x14ac:dyDescent="0.25">
      <c r="A114" s="2"/>
      <c r="B114" s="19"/>
      <c r="C114" s="19"/>
      <c r="D114" s="185"/>
      <c r="E114" s="183"/>
      <c r="F114" s="291" t="s">
        <v>859</v>
      </c>
      <c r="G114" s="2044" t="str">
        <f>Translations!$B$108</f>
        <v>Land:</v>
      </c>
      <c r="H114" s="2045"/>
      <c r="I114" s="2046"/>
      <c r="J114" s="2262"/>
      <c r="K114" s="2263"/>
      <c r="L114" s="2263"/>
      <c r="M114" s="2263"/>
      <c r="N114" s="2264"/>
      <c r="O114" s="6"/>
      <c r="P114" s="1552"/>
      <c r="Q114" s="349"/>
      <c r="R114" s="349"/>
      <c r="S114" s="349"/>
      <c r="T114" s="349"/>
      <c r="U114" s="349"/>
      <c r="V114" s="349"/>
      <c r="W114" s="349"/>
      <c r="X114" s="349"/>
      <c r="Y114" s="355" t="b">
        <f t="shared" si="1"/>
        <v>0</v>
      </c>
    </row>
    <row r="115" spans="1:25" ht="13" x14ac:dyDescent="0.25">
      <c r="A115" s="2"/>
      <c r="B115" s="19"/>
      <c r="C115" s="19"/>
      <c r="D115" s="185"/>
      <c r="E115" s="183"/>
      <c r="F115" s="291" t="s">
        <v>860</v>
      </c>
      <c r="G115" s="2044" t="str">
        <f>Translations!$B$109</f>
        <v>Det behöriga ombudets namn:</v>
      </c>
      <c r="H115" s="2045"/>
      <c r="I115" s="2046"/>
      <c r="J115" s="2262"/>
      <c r="K115" s="2263"/>
      <c r="L115" s="2263"/>
      <c r="M115" s="2263"/>
      <c r="N115" s="2264"/>
      <c r="O115" s="6"/>
      <c r="P115" s="1552"/>
      <c r="Q115" s="349"/>
      <c r="R115" s="349"/>
      <c r="S115" s="349"/>
      <c r="T115" s="349"/>
      <c r="U115" s="349"/>
      <c r="V115" s="349"/>
      <c r="W115" s="349"/>
      <c r="X115" s="349"/>
      <c r="Y115" s="355" t="b">
        <f t="shared" si="1"/>
        <v>0</v>
      </c>
    </row>
    <row r="116" spans="1:25" ht="13" x14ac:dyDescent="0.25">
      <c r="A116" s="2"/>
      <c r="B116" s="19"/>
      <c r="C116" s="19"/>
      <c r="D116" s="185"/>
      <c r="E116" s="183"/>
      <c r="F116" s="291" t="s">
        <v>861</v>
      </c>
      <c r="G116" s="2044" t="str">
        <f>Translations!$B$110</f>
        <v>E-post:</v>
      </c>
      <c r="H116" s="2045"/>
      <c r="I116" s="2046"/>
      <c r="J116" s="2262"/>
      <c r="K116" s="2263"/>
      <c r="L116" s="2263"/>
      <c r="M116" s="2263"/>
      <c r="N116" s="2264"/>
      <c r="O116" s="6"/>
      <c r="P116" s="1552"/>
      <c r="Q116" s="349"/>
      <c r="R116" s="349"/>
      <c r="S116" s="349"/>
      <c r="T116" s="349"/>
      <c r="U116" s="349"/>
      <c r="V116" s="349"/>
      <c r="W116" s="349"/>
      <c r="X116" s="349"/>
      <c r="Y116" s="355" t="b">
        <f t="shared" si="1"/>
        <v>0</v>
      </c>
    </row>
    <row r="117" spans="1:25" ht="13" x14ac:dyDescent="0.25">
      <c r="A117" s="2"/>
      <c r="B117" s="19"/>
      <c r="C117" s="19"/>
      <c r="D117" s="185"/>
      <c r="E117" s="183"/>
      <c r="F117" s="291" t="s">
        <v>862</v>
      </c>
      <c r="G117" s="2044" t="str">
        <f>Translations!$B$111</f>
        <v>Tfn:</v>
      </c>
      <c r="H117" s="2045"/>
      <c r="I117" s="2046"/>
      <c r="J117" s="2262"/>
      <c r="K117" s="2263"/>
      <c r="L117" s="2263"/>
      <c r="M117" s="2263"/>
      <c r="N117" s="2264"/>
      <c r="O117" s="6"/>
      <c r="P117" s="1552"/>
      <c r="Q117" s="349"/>
      <c r="R117" s="349"/>
      <c r="S117" s="349"/>
      <c r="T117" s="349"/>
      <c r="U117" s="349"/>
      <c r="V117" s="349"/>
      <c r="W117" s="349"/>
      <c r="X117" s="349"/>
      <c r="Y117" s="355" t="b">
        <f t="shared" si="1"/>
        <v>0</v>
      </c>
    </row>
    <row r="118" spans="1:25" ht="13" x14ac:dyDescent="0.25">
      <c r="A118" s="2"/>
      <c r="B118" s="19"/>
      <c r="C118" s="19"/>
      <c r="D118" s="185"/>
      <c r="E118" s="183"/>
      <c r="F118" s="291" t="s">
        <v>863</v>
      </c>
      <c r="G118" s="2047" t="str">
        <f>Translations!$B$112</f>
        <v>Fax:</v>
      </c>
      <c r="H118" s="2048"/>
      <c r="I118" s="2049"/>
      <c r="J118" s="2246"/>
      <c r="K118" s="2247"/>
      <c r="L118" s="2247"/>
      <c r="M118" s="2247"/>
      <c r="N118" s="2248"/>
      <c r="O118" s="6"/>
      <c r="P118" s="1552"/>
      <c r="Q118" s="349"/>
      <c r="R118" s="349"/>
      <c r="S118" s="349"/>
      <c r="T118" s="349"/>
      <c r="U118" s="349"/>
      <c r="V118" s="349"/>
      <c r="W118" s="349"/>
      <c r="X118" s="349"/>
      <c r="Y118" s="349"/>
    </row>
    <row r="119" spans="1:25" ht="5.15" customHeight="1" x14ac:dyDescent="0.25">
      <c r="A119" s="2"/>
      <c r="B119" s="3"/>
      <c r="C119" s="3"/>
      <c r="D119" s="3"/>
      <c r="E119" s="3"/>
      <c r="F119" s="3"/>
      <c r="G119" s="3"/>
      <c r="H119" s="3"/>
      <c r="I119" s="3"/>
      <c r="J119" s="3"/>
      <c r="K119" s="3"/>
      <c r="L119" s="3"/>
      <c r="M119" s="6"/>
      <c r="N119" s="6"/>
      <c r="O119" s="6"/>
      <c r="P119" s="15"/>
      <c r="Q119" s="410"/>
      <c r="R119" s="349"/>
      <c r="S119" s="349"/>
      <c r="T119" s="349"/>
      <c r="U119" s="349"/>
      <c r="V119" s="349"/>
      <c r="W119" s="349"/>
      <c r="X119" s="349"/>
      <c r="Y119" s="349"/>
    </row>
    <row r="120" spans="1:25" ht="13" x14ac:dyDescent="0.25">
      <c r="A120" s="2"/>
      <c r="B120" s="19"/>
      <c r="C120" s="19"/>
      <c r="D120" s="185"/>
      <c r="E120" s="183"/>
      <c r="F120" s="291" t="s">
        <v>8</v>
      </c>
      <c r="G120" s="2041" t="str">
        <f>Translations!$B$104</f>
        <v>Verksamhetsutövarens namn:</v>
      </c>
      <c r="H120" s="2042"/>
      <c r="I120" s="2043"/>
      <c r="J120" s="2027" t="str">
        <f>IF(J110="",J100,J110)</f>
        <v/>
      </c>
      <c r="K120" s="2029"/>
      <c r="L120" s="2029"/>
      <c r="M120" s="2029"/>
      <c r="N120" s="2028"/>
      <c r="O120" s="6"/>
      <c r="P120" s="15"/>
      <c r="Q120" s="349"/>
      <c r="R120" s="349"/>
      <c r="S120" s="349"/>
      <c r="T120" s="349"/>
      <c r="U120" s="349"/>
      <c r="V120" s="349"/>
      <c r="W120" s="349"/>
      <c r="X120" s="349"/>
      <c r="Y120" s="349"/>
    </row>
    <row r="121" spans="1:25" ht="13" x14ac:dyDescent="0.25">
      <c r="A121" s="2"/>
      <c r="B121" s="19"/>
      <c r="C121" s="19"/>
      <c r="D121" s="185"/>
      <c r="E121" s="183"/>
      <c r="F121" s="291" t="s">
        <v>9</v>
      </c>
      <c r="G121" s="2128" t="str">
        <f>Translations!$B$105</f>
        <v>Gata, nummer:</v>
      </c>
      <c r="H121" s="2237"/>
      <c r="I121" s="2238"/>
      <c r="J121" s="2239" t="str">
        <f t="shared" ref="J121:J128" si="2">IF(J111="",J101,J111)</f>
        <v/>
      </c>
      <c r="K121" s="2240"/>
      <c r="L121" s="2240"/>
      <c r="M121" s="2240"/>
      <c r="N121" s="2241"/>
      <c r="O121" s="6"/>
      <c r="P121" s="15"/>
      <c r="Q121" s="349"/>
      <c r="R121" s="349"/>
      <c r="S121" s="349"/>
      <c r="T121" s="349"/>
      <c r="U121" s="349"/>
      <c r="V121" s="349"/>
      <c r="W121" s="349"/>
      <c r="X121" s="349"/>
      <c r="Y121" s="349"/>
    </row>
    <row r="122" spans="1:25" ht="13" x14ac:dyDescent="0.25">
      <c r="A122" s="2"/>
      <c r="B122" s="19"/>
      <c r="C122" s="19"/>
      <c r="D122" s="185"/>
      <c r="E122" s="183"/>
      <c r="F122" s="291" t="s">
        <v>10</v>
      </c>
      <c r="G122" s="2044" t="str">
        <f>Translations!$B$106</f>
        <v>Postnummer:</v>
      </c>
      <c r="H122" s="2045"/>
      <c r="I122" s="2046"/>
      <c r="J122" s="2016" t="str">
        <f t="shared" si="2"/>
        <v/>
      </c>
      <c r="K122" s="2017"/>
      <c r="L122" s="2017"/>
      <c r="M122" s="2017"/>
      <c r="N122" s="2211"/>
      <c r="O122" s="6"/>
      <c r="P122" s="15"/>
      <c r="Q122" s="349"/>
      <c r="R122" s="349"/>
      <c r="S122" s="349"/>
      <c r="T122" s="349"/>
      <c r="U122" s="349"/>
      <c r="V122" s="349"/>
      <c r="W122" s="349"/>
      <c r="X122" s="349"/>
      <c r="Y122" s="349"/>
    </row>
    <row r="123" spans="1:25" ht="13" x14ac:dyDescent="0.25">
      <c r="A123" s="2"/>
      <c r="B123" s="19"/>
      <c r="C123" s="19"/>
      <c r="D123" s="185"/>
      <c r="E123" s="183"/>
      <c r="F123" s="291" t="s">
        <v>23</v>
      </c>
      <c r="G123" s="2044" t="str">
        <f>Translations!$B$107</f>
        <v>Ort:</v>
      </c>
      <c r="H123" s="2045"/>
      <c r="I123" s="2046"/>
      <c r="J123" s="2016" t="str">
        <f t="shared" si="2"/>
        <v/>
      </c>
      <c r="K123" s="2017"/>
      <c r="L123" s="2017"/>
      <c r="M123" s="2017"/>
      <c r="N123" s="2211"/>
      <c r="O123" s="6"/>
      <c r="P123" s="15"/>
      <c r="Q123" s="349"/>
      <c r="R123" s="349"/>
      <c r="S123" s="349"/>
      <c r="T123" s="349"/>
      <c r="U123" s="349"/>
      <c r="V123" s="349"/>
      <c r="W123" s="349"/>
      <c r="X123" s="349"/>
      <c r="Y123" s="349"/>
    </row>
    <row r="124" spans="1:25" ht="13" x14ac:dyDescent="0.25">
      <c r="A124" s="2"/>
      <c r="B124" s="19"/>
      <c r="C124" s="19"/>
      <c r="D124" s="185"/>
      <c r="E124" s="183"/>
      <c r="F124" s="291" t="s">
        <v>859</v>
      </c>
      <c r="G124" s="2044" t="str">
        <f>Translations!$B$108</f>
        <v>Land:</v>
      </c>
      <c r="H124" s="2045"/>
      <c r="I124" s="2046"/>
      <c r="J124" s="2016" t="str">
        <f t="shared" si="2"/>
        <v/>
      </c>
      <c r="K124" s="2017"/>
      <c r="L124" s="2017"/>
      <c r="M124" s="2017"/>
      <c r="N124" s="2211"/>
      <c r="O124" s="6"/>
      <c r="P124" s="15"/>
      <c r="Q124" s="349"/>
      <c r="R124" s="349"/>
      <c r="S124" s="349"/>
      <c r="T124" s="349"/>
      <c r="U124" s="349"/>
      <c r="V124" s="349"/>
      <c r="W124" s="349"/>
      <c r="X124" s="349"/>
      <c r="Y124" s="349"/>
    </row>
    <row r="125" spans="1:25" ht="13" x14ac:dyDescent="0.25">
      <c r="A125" s="2"/>
      <c r="B125" s="19"/>
      <c r="C125" s="19"/>
      <c r="D125" s="185"/>
      <c r="E125" s="183"/>
      <c r="F125" s="291" t="s">
        <v>860</v>
      </c>
      <c r="G125" s="2044" t="str">
        <f>Translations!$B$109</f>
        <v>Det behöriga ombudets namn:</v>
      </c>
      <c r="H125" s="2045"/>
      <c r="I125" s="2046"/>
      <c r="J125" s="2016" t="str">
        <f t="shared" si="2"/>
        <v/>
      </c>
      <c r="K125" s="2017"/>
      <c r="L125" s="2017"/>
      <c r="M125" s="2017"/>
      <c r="N125" s="2211"/>
      <c r="O125" s="6"/>
      <c r="P125" s="15"/>
      <c r="Q125" s="349"/>
      <c r="R125" s="349"/>
      <c r="S125" s="349"/>
      <c r="T125" s="349"/>
      <c r="U125" s="349"/>
      <c r="V125" s="349"/>
      <c r="W125" s="349"/>
      <c r="X125" s="349"/>
      <c r="Y125" s="349"/>
    </row>
    <row r="126" spans="1:25" ht="13" x14ac:dyDescent="0.25">
      <c r="A126" s="2"/>
      <c r="B126" s="19"/>
      <c r="C126" s="19"/>
      <c r="D126" s="185"/>
      <c r="E126" s="183"/>
      <c r="F126" s="291" t="s">
        <v>861</v>
      </c>
      <c r="G126" s="2044" t="str">
        <f>Translations!$B$110</f>
        <v>E-post:</v>
      </c>
      <c r="H126" s="2045"/>
      <c r="I126" s="2046"/>
      <c r="J126" s="2016" t="str">
        <f t="shared" si="2"/>
        <v/>
      </c>
      <c r="K126" s="2017"/>
      <c r="L126" s="2017"/>
      <c r="M126" s="2017"/>
      <c r="N126" s="2211"/>
      <c r="O126" s="6"/>
      <c r="P126" s="15"/>
      <c r="Q126" s="349"/>
      <c r="R126" s="349"/>
      <c r="S126" s="349"/>
      <c r="T126" s="349"/>
      <c r="U126" s="349"/>
      <c r="V126" s="349"/>
      <c r="W126" s="349"/>
      <c r="X126" s="349"/>
      <c r="Y126" s="349"/>
    </row>
    <row r="127" spans="1:25" ht="13" x14ac:dyDescent="0.25">
      <c r="A127" s="2"/>
      <c r="B127" s="19"/>
      <c r="C127" s="19"/>
      <c r="D127" s="185"/>
      <c r="E127" s="183"/>
      <c r="F127" s="291" t="s">
        <v>862</v>
      </c>
      <c r="G127" s="2044" t="str">
        <f>Translations!$B$111</f>
        <v>Tfn:</v>
      </c>
      <c r="H127" s="2045"/>
      <c r="I127" s="2046"/>
      <c r="J127" s="2016" t="str">
        <f t="shared" si="2"/>
        <v/>
      </c>
      <c r="K127" s="2017"/>
      <c r="L127" s="2017"/>
      <c r="M127" s="2017"/>
      <c r="N127" s="2211"/>
      <c r="O127" s="6"/>
      <c r="P127" s="15"/>
      <c r="Q127" s="349"/>
      <c r="R127" s="349"/>
      <c r="S127" s="349"/>
      <c r="T127" s="349"/>
      <c r="U127" s="349"/>
      <c r="V127" s="349"/>
      <c r="W127" s="349"/>
      <c r="X127" s="349"/>
      <c r="Y127" s="349"/>
    </row>
    <row r="128" spans="1:25" ht="13" x14ac:dyDescent="0.25">
      <c r="A128" s="2"/>
      <c r="B128" s="19"/>
      <c r="C128" s="19"/>
      <c r="D128" s="185"/>
      <c r="E128" s="183"/>
      <c r="F128" s="291" t="s">
        <v>863</v>
      </c>
      <c r="G128" s="2047" t="str">
        <f>Translations!$B$112</f>
        <v>Fax:</v>
      </c>
      <c r="H128" s="2048"/>
      <c r="I128" s="2049"/>
      <c r="J128" s="2023" t="str">
        <f t="shared" si="2"/>
        <v/>
      </c>
      <c r="K128" s="2024"/>
      <c r="L128" s="2024"/>
      <c r="M128" s="2024"/>
      <c r="N128" s="2212"/>
      <c r="O128" s="6"/>
      <c r="P128" s="15"/>
      <c r="Q128" s="349"/>
      <c r="R128" s="349"/>
      <c r="S128" s="349"/>
      <c r="T128" s="349"/>
      <c r="U128" s="349"/>
      <c r="V128" s="349"/>
      <c r="W128" s="349"/>
      <c r="X128" s="349"/>
      <c r="Y128" s="349"/>
    </row>
    <row r="129" spans="1:25" ht="5.15" customHeight="1" x14ac:dyDescent="0.25">
      <c r="A129" s="2"/>
      <c r="B129" s="3"/>
      <c r="C129" s="3"/>
      <c r="D129" s="3"/>
      <c r="E129" s="3"/>
      <c r="F129" s="3"/>
      <c r="G129" s="3"/>
      <c r="H129" s="3"/>
      <c r="I129" s="3"/>
      <c r="J129" s="3"/>
      <c r="K129" s="3"/>
      <c r="L129" s="3"/>
      <c r="M129" s="6"/>
      <c r="N129" s="6"/>
      <c r="O129" s="6"/>
      <c r="P129" s="15"/>
      <c r="Q129" s="410"/>
      <c r="R129" s="349"/>
      <c r="S129" s="349"/>
      <c r="T129" s="349"/>
      <c r="U129" s="349"/>
      <c r="V129" s="349"/>
      <c r="W129" s="349"/>
      <c r="X129" s="349"/>
      <c r="Y129" s="349"/>
    </row>
    <row r="130" spans="1:25" ht="13" x14ac:dyDescent="0.25">
      <c r="A130" s="2"/>
      <c r="B130" s="19"/>
      <c r="C130" s="19"/>
      <c r="D130" s="182" t="s">
        <v>524</v>
      </c>
      <c r="E130" s="2310" t="str">
        <f>Translations!$B$113</f>
        <v>Anläggningens adress:</v>
      </c>
      <c r="F130" s="1963"/>
      <c r="G130" s="1963"/>
      <c r="H130" s="1963"/>
      <c r="I130" s="1963"/>
      <c r="J130" s="1963"/>
      <c r="K130" s="1963"/>
      <c r="L130" s="1963"/>
      <c r="M130" s="1963"/>
      <c r="N130" s="1963"/>
      <c r="O130" s="6"/>
      <c r="P130" s="15"/>
      <c r="Q130" s="349"/>
      <c r="R130" s="349"/>
      <c r="S130" s="349"/>
      <c r="T130" s="349"/>
      <c r="U130" s="349"/>
      <c r="V130" s="349"/>
      <c r="W130" s="349"/>
      <c r="X130" s="349"/>
      <c r="Y130" s="349"/>
    </row>
    <row r="131" spans="1:25" ht="13" x14ac:dyDescent="0.25">
      <c r="A131" s="2"/>
      <c r="B131" s="19"/>
      <c r="C131" s="19"/>
      <c r="D131" s="185"/>
      <c r="E131" s="183"/>
      <c r="F131" s="291" t="s">
        <v>8</v>
      </c>
      <c r="G131" s="2041" t="str">
        <f>Translations!$B$105</f>
        <v>Gata, nummer:</v>
      </c>
      <c r="H131" s="2042"/>
      <c r="I131" s="2043"/>
      <c r="J131" s="2242" t="str">
        <f>c_NIMsSummary!J1420</f>
        <v/>
      </c>
      <c r="K131" s="2243"/>
      <c r="L131" s="2243"/>
      <c r="M131" s="2243"/>
      <c r="N131" s="2244"/>
      <c r="O131" s="6"/>
      <c r="P131" s="15"/>
      <c r="Q131" s="349"/>
      <c r="R131" s="349"/>
      <c r="S131" s="349"/>
      <c r="T131" s="349"/>
      <c r="U131" s="349"/>
      <c r="V131" s="349"/>
      <c r="W131" s="349"/>
      <c r="X131" s="349"/>
      <c r="Y131" s="355" t="b">
        <f>OR(CNTR_Incumbent=FALSE,CTRL_InputMethodNIMsvalues=2)</f>
        <v>0</v>
      </c>
    </row>
    <row r="132" spans="1:25" ht="13" x14ac:dyDescent="0.25">
      <c r="A132" s="2"/>
      <c r="B132" s="19"/>
      <c r="C132" s="19"/>
      <c r="D132" s="185"/>
      <c r="E132" s="183"/>
      <c r="F132" s="291" t="s">
        <v>9</v>
      </c>
      <c r="G132" s="2044" t="str">
        <f>Translations!$B$106</f>
        <v>Postnummer:</v>
      </c>
      <c r="H132" s="2045"/>
      <c r="I132" s="2046"/>
      <c r="J132" s="2259" t="str">
        <f>c_NIMsSummary!J1421</f>
        <v/>
      </c>
      <c r="K132" s="2260"/>
      <c r="L132" s="2260"/>
      <c r="M132" s="2260"/>
      <c r="N132" s="2261"/>
      <c r="O132" s="6"/>
      <c r="P132" s="15"/>
      <c r="Q132" s="349"/>
      <c r="R132" s="349"/>
      <c r="S132" s="349"/>
      <c r="T132" s="349"/>
      <c r="U132" s="349"/>
      <c r="V132" s="349"/>
      <c r="W132" s="349"/>
      <c r="X132" s="349"/>
      <c r="Y132" s="355" t="b">
        <f>OR(CNTR_Incumbent=FALSE,CTRL_InputMethodNIMsvalues=2)</f>
        <v>0</v>
      </c>
    </row>
    <row r="133" spans="1:25" ht="13" x14ac:dyDescent="0.25">
      <c r="A133" s="2"/>
      <c r="B133" s="19"/>
      <c r="C133" s="19"/>
      <c r="D133" s="185"/>
      <c r="E133" s="183"/>
      <c r="F133" s="291" t="s">
        <v>10</v>
      </c>
      <c r="G133" s="2044" t="str">
        <f>Translations!$B$107</f>
        <v>Ort:</v>
      </c>
      <c r="H133" s="2045"/>
      <c r="I133" s="2046"/>
      <c r="J133" s="2259" t="str">
        <f>c_NIMsSummary!J1422</f>
        <v/>
      </c>
      <c r="K133" s="2260"/>
      <c r="L133" s="2260"/>
      <c r="M133" s="2260"/>
      <c r="N133" s="2261"/>
      <c r="O133" s="6"/>
      <c r="P133" s="15"/>
      <c r="Q133" s="349"/>
      <c r="R133" s="349"/>
      <c r="S133" s="349"/>
      <c r="T133" s="349"/>
      <c r="U133" s="349"/>
      <c r="V133" s="349"/>
      <c r="W133" s="349"/>
      <c r="X133" s="349"/>
      <c r="Y133" s="355" t="b">
        <f>OR(CNTR_Incumbent=FALSE,CTRL_InputMethodNIMsvalues=2)</f>
        <v>0</v>
      </c>
    </row>
    <row r="134" spans="1:25" ht="13" x14ac:dyDescent="0.25">
      <c r="A134" s="2"/>
      <c r="B134" s="19"/>
      <c r="C134" s="19"/>
      <c r="D134" s="185"/>
      <c r="E134" s="183"/>
      <c r="F134" s="291" t="s">
        <v>23</v>
      </c>
      <c r="G134" s="2047" t="str">
        <f>Translations!$B$108</f>
        <v>Land:</v>
      </c>
      <c r="H134" s="2048"/>
      <c r="I134" s="2049"/>
      <c r="J134" s="2227" t="str">
        <f>c_NIMsSummary!J1423</f>
        <v/>
      </c>
      <c r="K134" s="2228"/>
      <c r="L134" s="2228"/>
      <c r="M134" s="2228"/>
      <c r="N134" s="2229"/>
      <c r="O134" s="6"/>
      <c r="P134" s="15"/>
      <c r="Q134" s="349"/>
      <c r="R134" s="349"/>
      <c r="S134" s="349"/>
      <c r="T134" s="349"/>
      <c r="U134" s="349"/>
      <c r="V134" s="349"/>
      <c r="W134" s="349"/>
      <c r="X134" s="349"/>
      <c r="Y134" s="355" t="b">
        <f>OR(CNTR_Incumbent=FALSE,CTRL_InputMethodNIMsvalues=2)</f>
        <v>0</v>
      </c>
    </row>
    <row r="135" spans="1:25" ht="5.15" customHeight="1" x14ac:dyDescent="0.25">
      <c r="A135" s="2"/>
      <c r="B135" s="3"/>
      <c r="C135" s="3"/>
      <c r="D135" s="3"/>
      <c r="E135" s="3"/>
      <c r="F135" s="3"/>
      <c r="G135" s="3"/>
      <c r="H135" s="3"/>
      <c r="I135" s="3"/>
      <c r="J135" s="3"/>
      <c r="K135" s="3"/>
      <c r="L135" s="3"/>
      <c r="M135" s="6"/>
      <c r="N135" s="6"/>
      <c r="O135" s="6"/>
      <c r="P135" s="15"/>
      <c r="Q135" s="410"/>
      <c r="R135" s="349"/>
      <c r="S135" s="349"/>
      <c r="T135" s="349"/>
      <c r="U135" s="349"/>
      <c r="V135" s="349"/>
      <c r="W135" s="349"/>
      <c r="X135" s="349"/>
      <c r="Y135" s="349"/>
    </row>
    <row r="136" spans="1:25" ht="13" x14ac:dyDescent="0.25">
      <c r="A136" s="2"/>
      <c r="B136" s="19"/>
      <c r="C136" s="19"/>
      <c r="D136" s="185"/>
      <c r="E136" s="183"/>
      <c r="F136" s="291" t="s">
        <v>8</v>
      </c>
      <c r="G136" s="2041" t="str">
        <f>Translations!$B$105</f>
        <v>Gata, nummer:</v>
      </c>
      <c r="H136" s="2042"/>
      <c r="I136" s="2043"/>
      <c r="J136" s="2249"/>
      <c r="K136" s="2250"/>
      <c r="L136" s="2250"/>
      <c r="M136" s="2250"/>
      <c r="N136" s="2251"/>
      <c r="O136" s="6"/>
      <c r="P136" s="1552"/>
      <c r="Q136" s="349"/>
      <c r="R136" s="349"/>
      <c r="S136" s="349"/>
      <c r="T136" s="349"/>
      <c r="U136" s="349"/>
      <c r="V136" s="349"/>
      <c r="W136" s="349"/>
      <c r="X136" s="349"/>
      <c r="Y136" s="355" t="b">
        <f>CTRL_InputMethodNIMsvalues=1</f>
        <v>0</v>
      </c>
    </row>
    <row r="137" spans="1:25" ht="13" x14ac:dyDescent="0.25">
      <c r="A137" s="2"/>
      <c r="B137" s="19"/>
      <c r="C137" s="19"/>
      <c r="D137" s="185"/>
      <c r="E137" s="183"/>
      <c r="F137" s="291" t="s">
        <v>9</v>
      </c>
      <c r="G137" s="2044" t="str">
        <f>Translations!$B$106</f>
        <v>Postnummer:</v>
      </c>
      <c r="H137" s="2045"/>
      <c r="I137" s="2046"/>
      <c r="J137" s="2262"/>
      <c r="K137" s="2263"/>
      <c r="L137" s="2263"/>
      <c r="M137" s="2263"/>
      <c r="N137" s="2264"/>
      <c r="O137" s="6"/>
      <c r="P137" s="1552"/>
      <c r="Q137" s="349"/>
      <c r="R137" s="349"/>
      <c r="S137" s="349"/>
      <c r="T137" s="349"/>
      <c r="U137" s="349"/>
      <c r="V137" s="349"/>
      <c r="W137" s="349"/>
      <c r="X137" s="349"/>
      <c r="Y137" s="355" t="b">
        <f>CTRL_InputMethodNIMsvalues=1</f>
        <v>0</v>
      </c>
    </row>
    <row r="138" spans="1:25" ht="13" x14ac:dyDescent="0.25">
      <c r="A138" s="2"/>
      <c r="B138" s="19"/>
      <c r="C138" s="19"/>
      <c r="D138" s="185"/>
      <c r="E138" s="183"/>
      <c r="F138" s="291" t="s">
        <v>10</v>
      </c>
      <c r="G138" s="2044" t="str">
        <f>Translations!$B$107</f>
        <v>Ort:</v>
      </c>
      <c r="H138" s="2045"/>
      <c r="I138" s="2046"/>
      <c r="J138" s="2262"/>
      <c r="K138" s="2263"/>
      <c r="L138" s="2263"/>
      <c r="M138" s="2263"/>
      <c r="N138" s="2264"/>
      <c r="O138" s="6"/>
      <c r="P138" s="1552"/>
      <c r="Q138" s="349"/>
      <c r="R138" s="349"/>
      <c r="S138" s="349"/>
      <c r="T138" s="349"/>
      <c r="U138" s="349"/>
      <c r="V138" s="349"/>
      <c r="W138" s="349"/>
      <c r="X138" s="349"/>
      <c r="Y138" s="355" t="b">
        <f>CTRL_InputMethodNIMsvalues=1</f>
        <v>0</v>
      </c>
    </row>
    <row r="139" spans="1:25" ht="13" x14ac:dyDescent="0.25">
      <c r="A139" s="2"/>
      <c r="B139" s="19"/>
      <c r="C139" s="19"/>
      <c r="D139" s="185"/>
      <c r="E139" s="183"/>
      <c r="F139" s="291" t="s">
        <v>23</v>
      </c>
      <c r="G139" s="2047" t="str">
        <f>Translations!$B$108</f>
        <v>Land:</v>
      </c>
      <c r="H139" s="2048"/>
      <c r="I139" s="2049"/>
      <c r="J139" s="2246"/>
      <c r="K139" s="2247"/>
      <c r="L139" s="2247"/>
      <c r="M139" s="2247"/>
      <c r="N139" s="2248"/>
      <c r="O139" s="6"/>
      <c r="P139" s="1552"/>
      <c r="Q139" s="349"/>
      <c r="R139" s="349"/>
      <c r="S139" s="349"/>
      <c r="T139" s="349"/>
      <c r="U139" s="349"/>
      <c r="V139" s="349"/>
      <c r="W139" s="349"/>
      <c r="X139" s="349"/>
      <c r="Y139" s="349"/>
    </row>
    <row r="140" spans="1:25" ht="5.15" customHeight="1" x14ac:dyDescent="0.25">
      <c r="A140" s="2"/>
      <c r="B140" s="3"/>
      <c r="C140" s="3"/>
      <c r="D140" s="3"/>
      <c r="E140" s="3"/>
      <c r="F140" s="3"/>
      <c r="G140" s="3"/>
      <c r="H140" s="3"/>
      <c r="I140" s="3"/>
      <c r="J140" s="3"/>
      <c r="K140" s="3"/>
      <c r="L140" s="3"/>
      <c r="M140" s="6"/>
      <c r="N140" s="6"/>
      <c r="O140" s="6"/>
      <c r="P140" s="15"/>
      <c r="Q140" s="410"/>
      <c r="R140" s="349"/>
      <c r="S140" s="349"/>
      <c r="T140" s="349"/>
      <c r="U140" s="349"/>
      <c r="V140" s="349"/>
      <c r="W140" s="349"/>
      <c r="X140" s="349"/>
      <c r="Y140" s="349"/>
    </row>
    <row r="141" spans="1:25" ht="13" x14ac:dyDescent="0.25">
      <c r="A141" s="2"/>
      <c r="B141" s="19"/>
      <c r="C141" s="19"/>
      <c r="D141" s="185"/>
      <c r="E141" s="183"/>
      <c r="F141" s="291" t="s">
        <v>8</v>
      </c>
      <c r="G141" s="2041" t="str">
        <f>Translations!$B$105</f>
        <v>Gata, nummer:</v>
      </c>
      <c r="H141" s="2042"/>
      <c r="I141" s="2043"/>
      <c r="J141" s="2027" t="str">
        <f>IF(J136="",J131,J136)</f>
        <v/>
      </c>
      <c r="K141" s="2029"/>
      <c r="L141" s="2029"/>
      <c r="M141" s="2029"/>
      <c r="N141" s="2028"/>
      <c r="O141" s="6"/>
      <c r="P141" s="15"/>
      <c r="Q141" s="349"/>
      <c r="R141" s="349"/>
      <c r="S141" s="349"/>
      <c r="T141" s="349"/>
      <c r="U141" s="349"/>
      <c r="V141" s="349"/>
      <c r="W141" s="349"/>
      <c r="X141" s="349"/>
      <c r="Y141" s="349"/>
    </row>
    <row r="142" spans="1:25" ht="13" x14ac:dyDescent="0.25">
      <c r="A142" s="2"/>
      <c r="B142" s="19"/>
      <c r="C142" s="19"/>
      <c r="D142" s="185"/>
      <c r="E142" s="183"/>
      <c r="F142" s="291" t="s">
        <v>9</v>
      </c>
      <c r="G142" s="2044" t="str">
        <f>Translations!$B$106</f>
        <v>Postnummer:</v>
      </c>
      <c r="H142" s="2045"/>
      <c r="I142" s="2046"/>
      <c r="J142" s="2016" t="str">
        <f>IF(J137="",J132,J137)</f>
        <v/>
      </c>
      <c r="K142" s="2017"/>
      <c r="L142" s="2017"/>
      <c r="M142" s="2017"/>
      <c r="N142" s="2211"/>
      <c r="O142" s="6"/>
      <c r="P142" s="15"/>
      <c r="Q142" s="349"/>
      <c r="R142" s="349"/>
      <c r="S142" s="349"/>
      <c r="T142" s="349"/>
      <c r="U142" s="349"/>
      <c r="V142" s="349"/>
      <c r="W142" s="349"/>
      <c r="X142" s="349"/>
      <c r="Y142" s="349"/>
    </row>
    <row r="143" spans="1:25" ht="13" x14ac:dyDescent="0.25">
      <c r="A143" s="2"/>
      <c r="B143" s="19"/>
      <c r="C143" s="19"/>
      <c r="D143" s="185"/>
      <c r="E143" s="183"/>
      <c r="F143" s="291" t="s">
        <v>10</v>
      </c>
      <c r="G143" s="2044" t="str">
        <f>Translations!$B$107</f>
        <v>Ort:</v>
      </c>
      <c r="H143" s="2045"/>
      <c r="I143" s="2046"/>
      <c r="J143" s="2016" t="str">
        <f>IF(J138="",J133,J138)</f>
        <v/>
      </c>
      <c r="K143" s="2017"/>
      <c r="L143" s="2017"/>
      <c r="M143" s="2017"/>
      <c r="N143" s="2211"/>
      <c r="O143" s="6"/>
      <c r="P143" s="15"/>
      <c r="Q143" s="349"/>
      <c r="R143" s="349"/>
      <c r="S143" s="349"/>
      <c r="T143" s="349"/>
      <c r="U143" s="349"/>
      <c r="V143" s="349"/>
      <c r="W143" s="349"/>
      <c r="X143" s="349"/>
      <c r="Y143" s="349"/>
    </row>
    <row r="144" spans="1:25" ht="13" x14ac:dyDescent="0.25">
      <c r="A144" s="2"/>
      <c r="B144" s="19"/>
      <c r="C144" s="19"/>
      <c r="D144" s="185"/>
      <c r="E144" s="183"/>
      <c r="F144" s="291" t="s">
        <v>23</v>
      </c>
      <c r="G144" s="2047" t="str">
        <f>Translations!$B$108</f>
        <v>Land:</v>
      </c>
      <c r="H144" s="2048"/>
      <c r="I144" s="2049"/>
      <c r="J144" s="2023" t="str">
        <f>IF(J139="",J134,J139)</f>
        <v/>
      </c>
      <c r="K144" s="2024"/>
      <c r="L144" s="2024"/>
      <c r="M144" s="2024"/>
      <c r="N144" s="2212"/>
      <c r="O144" s="6"/>
      <c r="P144" s="15"/>
      <c r="Q144" s="349"/>
      <c r="R144" s="349"/>
      <c r="S144" s="349"/>
      <c r="T144" s="349"/>
      <c r="U144" s="349"/>
      <c r="V144" s="349"/>
      <c r="W144" s="349"/>
      <c r="X144" s="349"/>
      <c r="Y144" s="349"/>
    </row>
    <row r="145" spans="1:25" ht="5.15" customHeight="1" x14ac:dyDescent="0.25">
      <c r="A145" s="2"/>
      <c r="B145" s="3"/>
      <c r="C145" s="3"/>
      <c r="D145" s="3"/>
      <c r="E145" s="3"/>
      <c r="F145" s="3"/>
      <c r="G145" s="3"/>
      <c r="H145" s="3"/>
      <c r="I145" s="3"/>
      <c r="J145" s="3"/>
      <c r="K145" s="3"/>
      <c r="L145" s="3"/>
      <c r="M145" s="6"/>
      <c r="N145" s="6"/>
      <c r="O145" s="6"/>
      <c r="P145" s="15"/>
      <c r="Q145" s="410"/>
      <c r="R145" s="349"/>
      <c r="S145" s="349"/>
      <c r="T145" s="349"/>
      <c r="U145" s="349"/>
      <c r="V145" s="349"/>
      <c r="W145" s="349"/>
      <c r="X145" s="349"/>
      <c r="Y145" s="349"/>
    </row>
    <row r="146" spans="1:25" ht="12.75" customHeight="1" x14ac:dyDescent="0.25">
      <c r="A146" s="2"/>
      <c r="B146" s="3"/>
      <c r="C146" s="3"/>
      <c r="D146" s="13" t="s">
        <v>526</v>
      </c>
      <c r="E146" s="1943" t="str">
        <f>Translations!$B$1390</f>
        <v>Koncerninformation:</v>
      </c>
      <c r="F146" s="1963"/>
      <c r="G146" s="1963"/>
      <c r="H146" s="1963"/>
      <c r="I146" s="1963"/>
      <c r="J146" s="1963"/>
      <c r="K146" s="1963"/>
      <c r="L146" s="1963"/>
      <c r="M146" s="1963"/>
      <c r="N146" s="1963"/>
      <c r="O146" s="6"/>
      <c r="P146" s="15"/>
      <c r="Q146" s="410"/>
      <c r="R146" s="349"/>
      <c r="S146" s="349"/>
      <c r="T146" s="349"/>
      <c r="U146" s="349"/>
      <c r="V146" s="349"/>
      <c r="W146" s="349"/>
      <c r="X146" s="349"/>
      <c r="Y146" s="349"/>
    </row>
    <row r="147" spans="1:25" ht="12.75" customHeight="1" x14ac:dyDescent="0.25">
      <c r="A147" s="2"/>
      <c r="B147" s="3"/>
      <c r="C147" s="3"/>
      <c r="D147" s="13"/>
      <c r="E147" s="2061" t="str">
        <f>Translations!$B$1391</f>
        <v xml:space="preserve">”Koncernen” omfattar moderföretaget och alla dess dotterföretag (företag som kontrolleras av moderföretaget). </v>
      </c>
      <c r="F147" s="1963"/>
      <c r="G147" s="1963"/>
      <c r="H147" s="1963"/>
      <c r="I147" s="1963"/>
      <c r="J147" s="1963"/>
      <c r="K147" s="1963"/>
      <c r="L147" s="1963"/>
      <c r="M147" s="1963"/>
      <c r="N147" s="1963"/>
      <c r="O147" s="6"/>
      <c r="P147" s="15"/>
      <c r="Q147" s="410"/>
      <c r="R147" s="349"/>
      <c r="S147" s="349"/>
      <c r="T147" s="349"/>
      <c r="U147" s="349"/>
      <c r="V147" s="349"/>
      <c r="W147" s="349"/>
      <c r="X147" s="349"/>
      <c r="Y147" s="349"/>
    </row>
    <row r="148" spans="1:25" ht="38.9" customHeight="1" x14ac:dyDescent="0.25">
      <c r="A148" s="2"/>
      <c r="B148" s="3"/>
      <c r="C148" s="3"/>
      <c r="D148" s="13"/>
      <c r="E148" s="2061" t="str">
        <f>Translations!$B$1392</f>
        <v>Artikel 22 i direktiv 2013/34/EU innehåller fler element som beskriver relationen mellan ett moderföretag och ett dotterföretag (t.ex. moderföretaget har en majoritet av aktie- eller delägarrösterna i ett dotterföretag, moderföretaget har rätt att tillsätta eller avsätta en majoritet av ledamöterna i dotterföretagets förvaltnings-, lednings- eller tillsynsorgan och är samtidigt en aktieägare eller delägare i dotterföretaget osv.).</v>
      </c>
      <c r="F148" s="1963"/>
      <c r="G148" s="1963"/>
      <c r="H148" s="1963"/>
      <c r="I148" s="1963"/>
      <c r="J148" s="1963"/>
      <c r="K148" s="1963"/>
      <c r="L148" s="1963"/>
      <c r="M148" s="1963"/>
      <c r="N148" s="1963"/>
      <c r="O148" s="6"/>
      <c r="P148" s="15"/>
      <c r="Q148" s="410"/>
      <c r="R148" s="349"/>
      <c r="S148" s="349"/>
      <c r="T148" s="349"/>
      <c r="U148" s="349"/>
      <c r="V148" s="349"/>
      <c r="W148" s="349"/>
      <c r="X148" s="349"/>
      <c r="Y148" s="349"/>
    </row>
    <row r="149" spans="1:25" s="984" customFormat="1" ht="12.75" customHeight="1" x14ac:dyDescent="0.25">
      <c r="A149" s="980"/>
      <c r="B149" s="635"/>
      <c r="C149" s="635"/>
      <c r="D149" s="1527"/>
      <c r="E149" s="2231" t="str">
        <f>Translations!$B$1393</f>
        <v>https://eur-lex.europa.eu/eli/dir/2013/34/oj</v>
      </c>
      <c r="F149" s="2232"/>
      <c r="G149" s="2232"/>
      <c r="H149" s="2232"/>
      <c r="I149" s="2232"/>
      <c r="J149" s="2232"/>
      <c r="K149" s="2232"/>
      <c r="L149" s="2232"/>
      <c r="M149" s="2232"/>
      <c r="N149" s="2232"/>
      <c r="O149" s="982"/>
      <c r="P149" s="982"/>
      <c r="Q149" s="1121"/>
      <c r="R149" s="983"/>
      <c r="S149" s="983"/>
      <c r="T149" s="983"/>
      <c r="U149" s="983"/>
      <c r="V149" s="983"/>
      <c r="W149" s="983"/>
      <c r="X149" s="983"/>
      <c r="Y149" s="983"/>
    </row>
    <row r="150" spans="1:25" ht="12.75" customHeight="1" x14ac:dyDescent="0.25">
      <c r="A150" s="2"/>
      <c r="B150" s="3"/>
      <c r="C150" s="3"/>
      <c r="D150" s="3"/>
      <c r="E150" s="3"/>
      <c r="F150" s="291" t="s">
        <v>8</v>
      </c>
      <c r="G150" s="2254" t="str">
        <f>Translations!$B$1394</f>
        <v>Moderföretag</v>
      </c>
      <c r="H150" s="2255"/>
      <c r="I150" s="2255"/>
      <c r="J150" s="2252"/>
      <c r="K150" s="2253"/>
      <c r="L150" s="2253"/>
      <c r="M150" s="2253"/>
      <c r="N150" s="2253"/>
      <c r="O150" s="6"/>
      <c r="P150" s="1552"/>
      <c r="Q150" s="410"/>
      <c r="R150" s="349"/>
      <c r="S150" s="349"/>
      <c r="T150" s="349"/>
      <c r="U150" s="349"/>
      <c r="V150" s="349"/>
      <c r="W150" s="349"/>
      <c r="X150" s="349"/>
      <c r="Y150" s="349"/>
    </row>
    <row r="151" spans="1:25" ht="25.5" customHeight="1" x14ac:dyDescent="0.25">
      <c r="A151" s="2"/>
      <c r="B151" s="3"/>
      <c r="C151" s="3"/>
      <c r="D151" s="3"/>
      <c r="E151" s="3"/>
      <c r="F151" s="291" t="s">
        <v>9</v>
      </c>
      <c r="G151" s="2386" t="str">
        <f>Translations!$B$1395</f>
        <v>Dotterföretag som anläggningen tillhör, i tillämpliga fall</v>
      </c>
      <c r="H151" s="2387"/>
      <c r="I151" s="2388"/>
      <c r="J151" s="2252"/>
      <c r="K151" s="2253"/>
      <c r="L151" s="2253"/>
      <c r="M151" s="2253"/>
      <c r="N151" s="2253"/>
      <c r="O151" s="6"/>
      <c r="P151" s="1552"/>
      <c r="Q151" s="410"/>
      <c r="R151" s="349"/>
      <c r="S151" s="349"/>
      <c r="T151" s="349"/>
      <c r="U151" s="349"/>
      <c r="V151" s="349"/>
      <c r="W151" s="349"/>
      <c r="X151" s="349"/>
      <c r="Y151" s="349"/>
    </row>
    <row r="152" spans="1:25" ht="12.75" customHeight="1" x14ac:dyDescent="0.25">
      <c r="A152" s="2"/>
      <c r="B152" s="3"/>
      <c r="C152" s="3"/>
      <c r="D152" s="3"/>
      <c r="E152" s="3"/>
      <c r="F152" s="291" t="s">
        <v>10</v>
      </c>
      <c r="G152" s="2225" t="str">
        <f>Translations!$B$1396</f>
        <v>Andra anläggningar i EU som tillhör samma koncern (ID-nummer i registret), i tillämpliga fall</v>
      </c>
      <c r="H152" s="2226"/>
      <c r="I152" s="1198">
        <v>1</v>
      </c>
      <c r="J152" s="2245"/>
      <c r="K152" s="2245"/>
      <c r="L152" s="2245"/>
      <c r="M152" s="2245"/>
      <c r="N152" s="2245"/>
      <c r="O152" s="6"/>
      <c r="P152" s="1552"/>
      <c r="Q152" s="410"/>
      <c r="R152" s="349"/>
      <c r="S152" s="349"/>
      <c r="T152" s="349"/>
      <c r="U152" s="349"/>
      <c r="V152" s="349"/>
      <c r="W152" s="349"/>
      <c r="X152" s="349"/>
      <c r="Y152" s="349"/>
    </row>
    <row r="153" spans="1:25" ht="12.75" customHeight="1" x14ac:dyDescent="0.25">
      <c r="A153" s="2"/>
      <c r="B153" s="3"/>
      <c r="C153" s="3"/>
      <c r="D153" s="3"/>
      <c r="E153" s="3"/>
      <c r="F153" s="3"/>
      <c r="G153" s="2225"/>
      <c r="H153" s="2226"/>
      <c r="I153" s="1199">
        <v>2</v>
      </c>
      <c r="J153" s="2230"/>
      <c r="K153" s="2230"/>
      <c r="L153" s="2230"/>
      <c r="M153" s="2230"/>
      <c r="N153" s="2230"/>
      <c r="O153" s="6"/>
      <c r="P153" s="1552"/>
      <c r="Q153" s="410"/>
      <c r="R153" s="349"/>
      <c r="S153" s="349"/>
      <c r="T153" s="349"/>
      <c r="U153" s="349"/>
      <c r="V153" s="349"/>
      <c r="W153" s="349"/>
      <c r="X153" s="349"/>
      <c r="Y153" s="349"/>
    </row>
    <row r="154" spans="1:25" ht="12.75" customHeight="1" x14ac:dyDescent="0.25">
      <c r="A154" s="2"/>
      <c r="B154" s="3"/>
      <c r="C154" s="3"/>
      <c r="D154" s="3"/>
      <c r="E154" s="3"/>
      <c r="F154" s="3"/>
      <c r="G154" s="2225"/>
      <c r="H154" s="2226"/>
      <c r="I154" s="1199">
        <v>3</v>
      </c>
      <c r="J154" s="2230"/>
      <c r="K154" s="2230"/>
      <c r="L154" s="2230"/>
      <c r="M154" s="2230"/>
      <c r="N154" s="2230"/>
      <c r="O154" s="6"/>
      <c r="P154" s="1552"/>
      <c r="Q154" s="410"/>
      <c r="R154" s="349"/>
      <c r="S154" s="349"/>
      <c r="T154" s="349"/>
      <c r="U154" s="349"/>
      <c r="V154" s="349"/>
      <c r="W154" s="349"/>
      <c r="X154" s="349"/>
      <c r="Y154" s="349"/>
    </row>
    <row r="155" spans="1:25" ht="12.75" customHeight="1" x14ac:dyDescent="0.25">
      <c r="A155" s="2"/>
      <c r="B155" s="3"/>
      <c r="C155" s="3"/>
      <c r="D155" s="3"/>
      <c r="E155" s="3"/>
      <c r="F155" s="3"/>
      <c r="G155" s="2225"/>
      <c r="H155" s="2226"/>
      <c r="I155" s="1199">
        <v>4</v>
      </c>
      <c r="J155" s="2230"/>
      <c r="K155" s="2230"/>
      <c r="L155" s="2230"/>
      <c r="M155" s="2230"/>
      <c r="N155" s="2230"/>
      <c r="O155" s="6"/>
      <c r="P155" s="1552"/>
      <c r="Q155" s="410"/>
      <c r="R155" s="349"/>
      <c r="S155" s="349"/>
      <c r="T155" s="349"/>
      <c r="U155" s="349"/>
      <c r="V155" s="349"/>
      <c r="W155" s="349"/>
      <c r="X155" s="349"/>
      <c r="Y155" s="349"/>
    </row>
    <row r="156" spans="1:25" ht="12.75" customHeight="1" x14ac:dyDescent="0.25">
      <c r="A156" s="2"/>
      <c r="B156" s="3"/>
      <c r="C156" s="3"/>
      <c r="D156" s="3"/>
      <c r="E156" s="3"/>
      <c r="F156" s="3"/>
      <c r="G156" s="2225"/>
      <c r="H156" s="2226"/>
      <c r="I156" s="1199">
        <v>5</v>
      </c>
      <c r="J156" s="2230"/>
      <c r="K156" s="2230"/>
      <c r="L156" s="2230"/>
      <c r="M156" s="2230"/>
      <c r="N156" s="2230"/>
      <c r="O156" s="6"/>
      <c r="P156" s="1552"/>
      <c r="Q156" s="410"/>
      <c r="R156" s="349"/>
      <c r="S156" s="349"/>
      <c r="T156" s="349"/>
      <c r="U156" s="349"/>
      <c r="V156" s="349"/>
      <c r="W156" s="349"/>
      <c r="X156" s="349"/>
      <c r="Y156" s="349"/>
    </row>
    <row r="157" spans="1:25" ht="12.75" customHeight="1" x14ac:dyDescent="0.25">
      <c r="A157" s="2"/>
      <c r="B157" s="3"/>
      <c r="C157" s="3"/>
      <c r="D157" s="3"/>
      <c r="E157" s="3"/>
      <c r="F157" s="3"/>
      <c r="G157" s="2225"/>
      <c r="H157" s="2226"/>
      <c r="I157" s="1199">
        <v>6</v>
      </c>
      <c r="J157" s="2230"/>
      <c r="K157" s="2230"/>
      <c r="L157" s="2230"/>
      <c r="M157" s="2230"/>
      <c r="N157" s="2230"/>
      <c r="O157" s="6"/>
      <c r="P157" s="1552"/>
      <c r="Q157" s="410"/>
      <c r="R157" s="349"/>
      <c r="S157" s="349"/>
      <c r="T157" s="349"/>
      <c r="U157" s="349"/>
      <c r="V157" s="349"/>
      <c r="W157" s="349"/>
      <c r="X157" s="349"/>
      <c r="Y157" s="349"/>
    </row>
    <row r="158" spans="1:25" ht="12.75" customHeight="1" x14ac:dyDescent="0.25">
      <c r="A158" s="2"/>
      <c r="B158" s="3"/>
      <c r="C158" s="3"/>
      <c r="D158" s="3"/>
      <c r="E158" s="3"/>
      <c r="F158" s="3"/>
      <c r="G158" s="2225"/>
      <c r="H158" s="2226"/>
      <c r="I158" s="1199">
        <v>7</v>
      </c>
      <c r="J158" s="2230"/>
      <c r="K158" s="2230"/>
      <c r="L158" s="2230"/>
      <c r="M158" s="2230"/>
      <c r="N158" s="2230"/>
      <c r="O158" s="6"/>
      <c r="P158" s="1552"/>
      <c r="Q158" s="410"/>
      <c r="R158" s="349"/>
      <c r="S158" s="349"/>
      <c r="T158" s="349"/>
      <c r="U158" s="349"/>
      <c r="V158" s="349"/>
      <c r="W158" s="349"/>
      <c r="X158" s="349"/>
      <c r="Y158" s="349"/>
    </row>
    <row r="159" spans="1:25" ht="12.75" customHeight="1" x14ac:dyDescent="0.25">
      <c r="A159" s="2"/>
      <c r="B159" s="3"/>
      <c r="C159" s="3"/>
      <c r="D159" s="3"/>
      <c r="E159" s="3"/>
      <c r="F159" s="3"/>
      <c r="G159" s="2225"/>
      <c r="H159" s="2226"/>
      <c r="I159" s="1199">
        <v>8</v>
      </c>
      <c r="J159" s="2230"/>
      <c r="K159" s="2230"/>
      <c r="L159" s="2230"/>
      <c r="M159" s="2230"/>
      <c r="N159" s="2230"/>
      <c r="O159" s="6"/>
      <c r="P159" s="1552"/>
      <c r="Q159" s="410"/>
      <c r="R159" s="349"/>
      <c r="S159" s="349"/>
      <c r="T159" s="349"/>
      <c r="U159" s="349"/>
      <c r="V159" s="349"/>
      <c r="W159" s="349"/>
      <c r="X159" s="349"/>
      <c r="Y159" s="349"/>
    </row>
    <row r="160" spans="1:25" ht="12.75" customHeight="1" x14ac:dyDescent="0.25">
      <c r="A160" s="2"/>
      <c r="B160" s="3"/>
      <c r="C160" s="3"/>
      <c r="D160" s="3"/>
      <c r="E160" s="3"/>
      <c r="F160" s="3"/>
      <c r="G160" s="2225"/>
      <c r="H160" s="2226"/>
      <c r="I160" s="1199">
        <v>9</v>
      </c>
      <c r="J160" s="2230"/>
      <c r="K160" s="2230"/>
      <c r="L160" s="2230"/>
      <c r="M160" s="2230"/>
      <c r="N160" s="2230"/>
      <c r="O160" s="6"/>
      <c r="P160" s="1552"/>
      <c r="Q160" s="410"/>
      <c r="R160" s="349"/>
      <c r="S160" s="349"/>
      <c r="T160" s="349"/>
      <c r="U160" s="349"/>
      <c r="V160" s="349"/>
      <c r="W160" s="349"/>
      <c r="X160" s="349"/>
      <c r="Y160" s="349"/>
    </row>
    <row r="161" spans="1:25" ht="12.75" customHeight="1" x14ac:dyDescent="0.25">
      <c r="A161" s="2"/>
      <c r="B161" s="3"/>
      <c r="C161" s="3"/>
      <c r="D161" s="3"/>
      <c r="E161" s="3"/>
      <c r="F161" s="3"/>
      <c r="G161" s="2225"/>
      <c r="H161" s="2226"/>
      <c r="I161" s="1200">
        <v>10</v>
      </c>
      <c r="J161" s="2377"/>
      <c r="K161" s="2377"/>
      <c r="L161" s="2377"/>
      <c r="M161" s="2377"/>
      <c r="N161" s="2377"/>
      <c r="O161" s="6"/>
      <c r="P161" s="1552"/>
      <c r="Q161" s="410"/>
      <c r="R161" s="349"/>
      <c r="S161" s="349"/>
      <c r="T161" s="349"/>
      <c r="U161" s="349"/>
      <c r="V161" s="349"/>
      <c r="W161" s="349"/>
      <c r="X161" s="349"/>
      <c r="Y161" s="349"/>
    </row>
    <row r="162" spans="1:25" ht="5.15" customHeight="1" x14ac:dyDescent="0.25">
      <c r="A162" s="2"/>
      <c r="B162" s="3"/>
      <c r="C162" s="3"/>
      <c r="D162" s="3"/>
      <c r="E162" s="3"/>
      <c r="F162" s="3"/>
      <c r="G162" s="3"/>
      <c r="H162" s="3"/>
      <c r="I162" s="3"/>
      <c r="J162" s="3"/>
      <c r="K162" s="3"/>
      <c r="L162" s="3"/>
      <c r="M162" s="6"/>
      <c r="N162" s="6"/>
      <c r="O162" s="6"/>
      <c r="P162" s="15"/>
      <c r="Q162" s="410"/>
      <c r="R162" s="349"/>
      <c r="S162" s="349"/>
      <c r="T162" s="349"/>
      <c r="U162" s="349"/>
      <c r="V162" s="349"/>
      <c r="W162" s="349"/>
      <c r="X162" s="349"/>
      <c r="Y162" s="349"/>
    </row>
    <row r="163" spans="1:25" ht="14" x14ac:dyDescent="0.3">
      <c r="A163" s="2"/>
      <c r="B163" s="19"/>
      <c r="C163" s="17">
        <v>2</v>
      </c>
      <c r="D163" s="2053" t="str">
        <f>Translations!$B$114</f>
        <v>Kontaktpersoner:</v>
      </c>
      <c r="E163" s="1963"/>
      <c r="F163" s="1963"/>
      <c r="G163" s="1963"/>
      <c r="H163" s="1963"/>
      <c r="I163" s="1963"/>
      <c r="J163" s="1963"/>
      <c r="K163" s="1963"/>
      <c r="L163" s="1963"/>
      <c r="M163" s="1963"/>
      <c r="N163" s="1963"/>
      <c r="O163" s="6"/>
      <c r="P163" s="15"/>
      <c r="Q163" s="349"/>
      <c r="R163" s="349"/>
      <c r="S163" s="349"/>
      <c r="T163" s="349"/>
      <c r="U163" s="349"/>
      <c r="V163" s="349"/>
      <c r="W163" s="349"/>
      <c r="X163" s="349"/>
      <c r="Y163" s="349"/>
    </row>
    <row r="164" spans="1:25" x14ac:dyDescent="0.25">
      <c r="A164" s="2"/>
      <c r="B164" s="19"/>
      <c r="C164" s="19"/>
      <c r="D164" s="19"/>
      <c r="E164" s="2061" t="str">
        <f>Translations!$B$115</f>
        <v>Var god ange personer som den behöriga myndigheten kan kontakta för frågor om rapporten samt för verifiering av denna.</v>
      </c>
      <c r="F164" s="1963"/>
      <c r="G164" s="1963"/>
      <c r="H164" s="1963"/>
      <c r="I164" s="1963"/>
      <c r="J164" s="1963"/>
      <c r="K164" s="1963"/>
      <c r="L164" s="1963"/>
      <c r="M164" s="1963"/>
      <c r="N164" s="1963"/>
      <c r="O164" s="6"/>
      <c r="P164" s="15"/>
      <c r="Q164" s="349"/>
      <c r="R164" s="349"/>
      <c r="S164" s="349"/>
      <c r="T164" s="349"/>
      <c r="U164" s="349"/>
      <c r="V164" s="349"/>
      <c r="W164" s="349"/>
      <c r="X164" s="349"/>
      <c r="Y164" s="349"/>
    </row>
    <row r="165" spans="1:25" ht="5.15" customHeight="1" x14ac:dyDescent="0.25">
      <c r="A165" s="2"/>
      <c r="B165" s="3"/>
      <c r="C165" s="3"/>
      <c r="D165" s="3"/>
      <c r="E165" s="3"/>
      <c r="F165" s="3"/>
      <c r="G165" s="3"/>
      <c r="H165" s="3"/>
      <c r="I165" s="3"/>
      <c r="J165" s="3"/>
      <c r="K165" s="3"/>
      <c r="L165" s="3"/>
      <c r="M165" s="6"/>
      <c r="N165" s="6"/>
      <c r="O165" s="6"/>
      <c r="P165" s="15"/>
      <c r="Q165" s="410"/>
      <c r="R165" s="349"/>
      <c r="S165" s="349"/>
      <c r="T165" s="349"/>
      <c r="U165" s="349"/>
      <c r="V165" s="349"/>
      <c r="W165" s="349"/>
      <c r="X165" s="349"/>
      <c r="Y165" s="349"/>
    </row>
    <row r="166" spans="1:25" ht="13" x14ac:dyDescent="0.25">
      <c r="A166" s="2"/>
      <c r="B166" s="19"/>
      <c r="C166" s="19"/>
      <c r="D166" s="182" t="s">
        <v>442</v>
      </c>
      <c r="E166" s="1943" t="str">
        <f>Translations!$B$116</f>
        <v>Behörigt ombud för verksamhetsutövaren med ansvar för anläggningen:</v>
      </c>
      <c r="F166" s="1963"/>
      <c r="G166" s="1963"/>
      <c r="H166" s="1963"/>
      <c r="I166" s="1963"/>
      <c r="J166" s="1963"/>
      <c r="K166" s="1963"/>
      <c r="L166" s="1963"/>
      <c r="M166" s="1963"/>
      <c r="N166" s="1963"/>
      <c r="O166" s="6"/>
      <c r="P166" s="15"/>
      <c r="Q166" s="349"/>
      <c r="R166" s="349"/>
      <c r="S166" s="349"/>
      <c r="T166" s="349"/>
      <c r="U166" s="349"/>
      <c r="V166" s="349"/>
      <c r="W166" s="349"/>
      <c r="X166" s="349"/>
      <c r="Y166" s="349"/>
    </row>
    <row r="167" spans="1:25" ht="13" x14ac:dyDescent="0.25">
      <c r="A167" s="2"/>
      <c r="B167" s="19"/>
      <c r="C167" s="19"/>
      <c r="D167" s="185"/>
      <c r="E167" s="183"/>
      <c r="F167" s="291" t="s">
        <v>8</v>
      </c>
      <c r="G167" s="2041" t="str">
        <f>Translations!$B$117</f>
        <v>Namn:</v>
      </c>
      <c r="H167" s="2042"/>
      <c r="I167" s="2043"/>
      <c r="J167" s="2242" t="str">
        <f>c_NIMsSummary!J1426</f>
        <v/>
      </c>
      <c r="K167" s="2243"/>
      <c r="L167" s="2243"/>
      <c r="M167" s="2243"/>
      <c r="N167" s="2244"/>
      <c r="O167" s="6"/>
      <c r="P167" s="15"/>
      <c r="Q167" s="349"/>
      <c r="R167" s="349"/>
      <c r="S167" s="349"/>
      <c r="T167" s="349"/>
      <c r="U167" s="349"/>
      <c r="V167" s="349"/>
      <c r="W167" s="349"/>
      <c r="X167" s="349"/>
      <c r="Y167" s="355" t="b">
        <f>OR(CNTR_Incumbent=FALSE,CTRL_InputMethodNIMsvalues=2)</f>
        <v>0</v>
      </c>
    </row>
    <row r="168" spans="1:25" ht="13" x14ac:dyDescent="0.25">
      <c r="A168" s="2"/>
      <c r="B168" s="19"/>
      <c r="C168" s="19"/>
      <c r="D168" s="185"/>
      <c r="E168" s="183"/>
      <c r="F168" s="291" t="s">
        <v>9</v>
      </c>
      <c r="G168" s="2044" t="str">
        <f>Translations!$B$110</f>
        <v>E-post:</v>
      </c>
      <c r="H168" s="2045"/>
      <c r="I168" s="2046"/>
      <c r="J168" s="2259" t="str">
        <f>c_NIMsSummary!J1427</f>
        <v/>
      </c>
      <c r="K168" s="2260"/>
      <c r="L168" s="2260"/>
      <c r="M168" s="2260"/>
      <c r="N168" s="2261"/>
      <c r="O168" s="6"/>
      <c r="P168" s="15"/>
      <c r="Q168" s="349"/>
      <c r="R168" s="349"/>
      <c r="S168" s="349"/>
      <c r="T168" s="349"/>
      <c r="U168" s="349"/>
      <c r="V168" s="349"/>
      <c r="W168" s="349"/>
      <c r="X168" s="349"/>
      <c r="Y168" s="355" t="b">
        <f>OR(CNTR_Incumbent=FALSE,CTRL_InputMethodNIMsvalues=2)</f>
        <v>0</v>
      </c>
    </row>
    <row r="169" spans="1:25" ht="13" x14ac:dyDescent="0.25">
      <c r="A169" s="2"/>
      <c r="B169" s="19"/>
      <c r="C169" s="19"/>
      <c r="D169" s="185"/>
      <c r="E169" s="183"/>
      <c r="F169" s="291" t="s">
        <v>10</v>
      </c>
      <c r="G169" s="2044" t="str">
        <f>Translations!$B$111</f>
        <v>Tfn:</v>
      </c>
      <c r="H169" s="2045"/>
      <c r="I169" s="2046"/>
      <c r="J169" s="2259" t="str">
        <f>c_NIMsSummary!J1428</f>
        <v/>
      </c>
      <c r="K169" s="2260"/>
      <c r="L169" s="2260"/>
      <c r="M169" s="2260"/>
      <c r="N169" s="2261"/>
      <c r="O169" s="6"/>
      <c r="P169" s="15"/>
      <c r="Q169" s="349"/>
      <c r="R169" s="349"/>
      <c r="S169" s="349"/>
      <c r="T169" s="349"/>
      <c r="U169" s="349"/>
      <c r="V169" s="349"/>
      <c r="W169" s="349"/>
      <c r="X169" s="349"/>
      <c r="Y169" s="355" t="b">
        <f>OR(CNTR_Incumbent=FALSE,CTRL_InputMethodNIMsvalues=2)</f>
        <v>0</v>
      </c>
    </row>
    <row r="170" spans="1:25" ht="13" x14ac:dyDescent="0.25">
      <c r="A170" s="2"/>
      <c r="B170" s="19"/>
      <c r="C170" s="19"/>
      <c r="D170" s="185"/>
      <c r="E170" s="183"/>
      <c r="F170" s="291" t="s">
        <v>23</v>
      </c>
      <c r="G170" s="2047" t="str">
        <f>Translations!$B$112</f>
        <v>Fax:</v>
      </c>
      <c r="H170" s="2048"/>
      <c r="I170" s="2049"/>
      <c r="J170" s="2227" t="str">
        <f>c_NIMsSummary!J1429</f>
        <v/>
      </c>
      <c r="K170" s="2228"/>
      <c r="L170" s="2228"/>
      <c r="M170" s="2228"/>
      <c r="N170" s="2229"/>
      <c r="O170" s="6"/>
      <c r="P170" s="15"/>
      <c r="Q170" s="349"/>
      <c r="R170" s="349"/>
      <c r="S170" s="349"/>
      <c r="T170" s="349"/>
      <c r="U170" s="349"/>
      <c r="V170" s="349"/>
      <c r="W170" s="349"/>
      <c r="X170" s="349"/>
      <c r="Y170" s="355" t="b">
        <f>OR(CNTR_Incumbent=FALSE,CTRL_InputMethodNIMsvalues=2)</f>
        <v>0</v>
      </c>
    </row>
    <row r="171" spans="1:25" ht="5.15" customHeight="1" x14ac:dyDescent="0.25">
      <c r="A171" s="2"/>
      <c r="B171" s="3"/>
      <c r="C171" s="3"/>
      <c r="D171" s="3"/>
      <c r="E171" s="3"/>
      <c r="F171" s="3"/>
      <c r="G171" s="3"/>
      <c r="H171" s="3"/>
      <c r="I171" s="3"/>
      <c r="J171" s="3"/>
      <c r="K171" s="3"/>
      <c r="L171" s="3"/>
      <c r="M171" s="6"/>
      <c r="N171" s="6"/>
      <c r="O171" s="6"/>
      <c r="P171" s="15"/>
      <c r="Q171" s="410"/>
      <c r="R171" s="349"/>
      <c r="S171" s="349"/>
      <c r="T171" s="349"/>
      <c r="U171" s="349"/>
      <c r="V171" s="349"/>
      <c r="W171" s="349"/>
      <c r="X171" s="349"/>
      <c r="Y171" s="349"/>
    </row>
    <row r="172" spans="1:25" ht="13" x14ac:dyDescent="0.25">
      <c r="A172" s="2"/>
      <c r="B172" s="19"/>
      <c r="C172" s="19"/>
      <c r="D172" s="185"/>
      <c r="E172" s="183"/>
      <c r="F172" s="291" t="s">
        <v>8</v>
      </c>
      <c r="G172" s="2041" t="str">
        <f>Translations!$B$117</f>
        <v>Namn:</v>
      </c>
      <c r="H172" s="2042"/>
      <c r="I172" s="2043"/>
      <c r="J172" s="2249"/>
      <c r="K172" s="2250"/>
      <c r="L172" s="2250"/>
      <c r="M172" s="2250"/>
      <c r="N172" s="2251"/>
      <c r="O172" s="6"/>
      <c r="P172" s="1552"/>
      <c r="Q172" s="349"/>
      <c r="R172" s="349"/>
      <c r="S172" s="349"/>
      <c r="T172" s="349"/>
      <c r="U172" s="349"/>
      <c r="V172" s="349"/>
      <c r="W172" s="349"/>
      <c r="X172" s="349"/>
      <c r="Y172" s="355" t="b">
        <f>CTRL_InputMethodNIMsvalues=1</f>
        <v>0</v>
      </c>
    </row>
    <row r="173" spans="1:25" ht="13" x14ac:dyDescent="0.25">
      <c r="A173" s="2"/>
      <c r="B173" s="19"/>
      <c r="C173" s="19"/>
      <c r="D173" s="185"/>
      <c r="E173" s="183"/>
      <c r="F173" s="291" t="s">
        <v>9</v>
      </c>
      <c r="G173" s="2044" t="str">
        <f>Translations!$B$110</f>
        <v>E-post:</v>
      </c>
      <c r="H173" s="2045"/>
      <c r="I173" s="2046"/>
      <c r="J173" s="2262"/>
      <c r="K173" s="2263"/>
      <c r="L173" s="2263"/>
      <c r="M173" s="2263"/>
      <c r="N173" s="2264"/>
      <c r="O173" s="6"/>
      <c r="P173" s="1552"/>
      <c r="Q173" s="349"/>
      <c r="R173" s="349"/>
      <c r="S173" s="349"/>
      <c r="T173" s="349"/>
      <c r="U173" s="349"/>
      <c r="V173" s="349"/>
      <c r="W173" s="349"/>
      <c r="X173" s="349"/>
      <c r="Y173" s="355" t="b">
        <f>CTRL_InputMethodNIMsvalues=1</f>
        <v>0</v>
      </c>
    </row>
    <row r="174" spans="1:25" ht="13" x14ac:dyDescent="0.25">
      <c r="A174" s="2"/>
      <c r="B174" s="19"/>
      <c r="C174" s="19"/>
      <c r="D174" s="185"/>
      <c r="E174" s="183"/>
      <c r="F174" s="291" t="s">
        <v>10</v>
      </c>
      <c r="G174" s="2044" t="str">
        <f>Translations!$B$111</f>
        <v>Tfn:</v>
      </c>
      <c r="H174" s="2045"/>
      <c r="I174" s="2046"/>
      <c r="J174" s="2262"/>
      <c r="K174" s="2263"/>
      <c r="L174" s="2263"/>
      <c r="M174" s="2263"/>
      <c r="N174" s="2264"/>
      <c r="O174" s="6"/>
      <c r="P174" s="1552"/>
      <c r="Q174" s="349"/>
      <c r="R174" s="349"/>
      <c r="S174" s="349"/>
      <c r="T174" s="349"/>
      <c r="U174" s="349"/>
      <c r="V174" s="349"/>
      <c r="W174" s="349"/>
      <c r="X174" s="349"/>
      <c r="Y174" s="355" t="b">
        <f>CTRL_InputMethodNIMsvalues=1</f>
        <v>0</v>
      </c>
    </row>
    <row r="175" spans="1:25" ht="13" x14ac:dyDescent="0.25">
      <c r="A175" s="2"/>
      <c r="B175" s="19"/>
      <c r="C175" s="19"/>
      <c r="D175" s="185"/>
      <c r="E175" s="183"/>
      <c r="F175" s="291" t="s">
        <v>23</v>
      </c>
      <c r="G175" s="2047" t="str">
        <f>Translations!$B$112</f>
        <v>Fax:</v>
      </c>
      <c r="H175" s="2048"/>
      <c r="I175" s="2049"/>
      <c r="J175" s="2246"/>
      <c r="K175" s="2247"/>
      <c r="L175" s="2247"/>
      <c r="M175" s="2247"/>
      <c r="N175" s="2248"/>
      <c r="O175" s="6"/>
      <c r="P175" s="1552"/>
      <c r="Q175" s="349"/>
      <c r="R175" s="349"/>
      <c r="S175" s="349"/>
      <c r="T175" s="349"/>
      <c r="U175" s="349"/>
      <c r="V175" s="349"/>
      <c r="W175" s="349"/>
      <c r="X175" s="349"/>
      <c r="Y175" s="355" t="b">
        <f>CTRL_InputMethodNIMsvalues=1</f>
        <v>0</v>
      </c>
    </row>
    <row r="176" spans="1:25" ht="5.15" customHeight="1" x14ac:dyDescent="0.25">
      <c r="A176" s="2"/>
      <c r="B176" s="3"/>
      <c r="C176" s="3"/>
      <c r="D176" s="3"/>
      <c r="E176" s="3"/>
      <c r="F176" s="3"/>
      <c r="G176" s="3"/>
      <c r="H176" s="3"/>
      <c r="I176" s="3"/>
      <c r="J176" s="3"/>
      <c r="K176" s="3"/>
      <c r="L176" s="3"/>
      <c r="M176" s="6"/>
      <c r="N176" s="6"/>
      <c r="O176" s="6"/>
      <c r="P176" s="15"/>
      <c r="Q176" s="410"/>
      <c r="R176" s="349"/>
      <c r="S176" s="349"/>
      <c r="T176" s="349"/>
      <c r="U176" s="349"/>
      <c r="V176" s="349"/>
      <c r="W176" s="349"/>
      <c r="X176" s="349"/>
      <c r="Y176" s="349"/>
    </row>
    <row r="177" spans="1:25" ht="13" x14ac:dyDescent="0.25">
      <c r="A177" s="2"/>
      <c r="B177" s="19"/>
      <c r="C177" s="19"/>
      <c r="D177" s="185"/>
      <c r="E177" s="183"/>
      <c r="F177" s="291" t="s">
        <v>8</v>
      </c>
      <c r="G177" s="2041" t="str">
        <f>Translations!$B$117</f>
        <v>Namn:</v>
      </c>
      <c r="H177" s="2042"/>
      <c r="I177" s="2043"/>
      <c r="J177" s="2027" t="str">
        <f>IF(J172="",J167,J172)</f>
        <v/>
      </c>
      <c r="K177" s="2029"/>
      <c r="L177" s="2029"/>
      <c r="M177" s="2029"/>
      <c r="N177" s="2028"/>
      <c r="O177" s="6"/>
      <c r="P177" s="15"/>
      <c r="Q177" s="349"/>
      <c r="R177" s="349"/>
      <c r="S177" s="349"/>
      <c r="T177" s="349"/>
      <c r="U177" s="349"/>
      <c r="V177" s="349"/>
      <c r="W177" s="349"/>
      <c r="X177" s="349"/>
      <c r="Y177" s="349"/>
    </row>
    <row r="178" spans="1:25" ht="13" x14ac:dyDescent="0.25">
      <c r="A178" s="2"/>
      <c r="B178" s="19"/>
      <c r="C178" s="19"/>
      <c r="D178" s="185"/>
      <c r="E178" s="183"/>
      <c r="F178" s="291" t="s">
        <v>9</v>
      </c>
      <c r="G178" s="2044" t="str">
        <f>Translations!$B$110</f>
        <v>E-post:</v>
      </c>
      <c r="H178" s="2045"/>
      <c r="I178" s="2046"/>
      <c r="J178" s="2016" t="str">
        <f>IF(J173="",J168,J173)</f>
        <v/>
      </c>
      <c r="K178" s="2017"/>
      <c r="L178" s="2017"/>
      <c r="M178" s="2017"/>
      <c r="N178" s="2211"/>
      <c r="O178" s="6"/>
      <c r="P178" s="15"/>
      <c r="Q178" s="349"/>
      <c r="R178" s="349"/>
      <c r="S178" s="349"/>
      <c r="T178" s="349"/>
      <c r="U178" s="349"/>
      <c r="V178" s="349"/>
      <c r="W178" s="349"/>
      <c r="X178" s="349"/>
      <c r="Y178" s="349"/>
    </row>
    <row r="179" spans="1:25" ht="13" x14ac:dyDescent="0.25">
      <c r="A179" s="2"/>
      <c r="B179" s="19"/>
      <c r="C179" s="19"/>
      <c r="D179" s="185"/>
      <c r="E179" s="183"/>
      <c r="F179" s="291" t="s">
        <v>10</v>
      </c>
      <c r="G179" s="2044" t="str">
        <f>Translations!$B$111</f>
        <v>Tfn:</v>
      </c>
      <c r="H179" s="2045"/>
      <c r="I179" s="2046"/>
      <c r="J179" s="2016" t="str">
        <f>IF(J174="",J169,J174)</f>
        <v/>
      </c>
      <c r="K179" s="2017"/>
      <c r="L179" s="2017"/>
      <c r="M179" s="2017"/>
      <c r="N179" s="2211"/>
      <c r="O179" s="6"/>
      <c r="P179" s="15"/>
      <c r="Q179" s="349"/>
      <c r="R179" s="349"/>
      <c r="S179" s="349"/>
      <c r="T179" s="349"/>
      <c r="U179" s="349"/>
      <c r="V179" s="349"/>
      <c r="W179" s="349"/>
      <c r="X179" s="349"/>
      <c r="Y179" s="349"/>
    </row>
    <row r="180" spans="1:25" ht="13" x14ac:dyDescent="0.25">
      <c r="A180" s="2"/>
      <c r="B180" s="19"/>
      <c r="C180" s="19"/>
      <c r="D180" s="185"/>
      <c r="E180" s="183"/>
      <c r="F180" s="291" t="s">
        <v>23</v>
      </c>
      <c r="G180" s="2047" t="str">
        <f>Translations!$B$112</f>
        <v>Fax:</v>
      </c>
      <c r="H180" s="2048"/>
      <c r="I180" s="2049"/>
      <c r="J180" s="2023" t="str">
        <f>IF(J175="",J170,J175)</f>
        <v/>
      </c>
      <c r="K180" s="2024"/>
      <c r="L180" s="2024"/>
      <c r="M180" s="2024"/>
      <c r="N180" s="2212"/>
      <c r="O180" s="6"/>
      <c r="P180" s="15"/>
      <c r="Q180" s="349"/>
      <c r="R180" s="349"/>
      <c r="S180" s="349"/>
      <c r="T180" s="349"/>
      <c r="U180" s="349"/>
      <c r="V180" s="349"/>
      <c r="W180" s="349"/>
      <c r="X180" s="349"/>
      <c r="Y180" s="349"/>
    </row>
    <row r="181" spans="1:25" ht="5.15" customHeight="1" x14ac:dyDescent="0.25">
      <c r="A181" s="2"/>
      <c r="B181" s="3"/>
      <c r="C181" s="3"/>
      <c r="D181" s="3"/>
      <c r="E181" s="3"/>
      <c r="F181" s="3"/>
      <c r="G181" s="3"/>
      <c r="H181" s="3"/>
      <c r="I181" s="3"/>
      <c r="J181" s="3"/>
      <c r="K181" s="3"/>
      <c r="L181" s="3"/>
      <c r="M181" s="6"/>
      <c r="N181" s="6"/>
      <c r="O181" s="6"/>
      <c r="P181" s="15"/>
      <c r="Q181" s="410"/>
      <c r="R181" s="349"/>
      <c r="S181" s="349"/>
      <c r="T181" s="349"/>
      <c r="U181" s="349"/>
      <c r="V181" s="349"/>
      <c r="W181" s="349"/>
      <c r="X181" s="349"/>
      <c r="Y181" s="349"/>
    </row>
    <row r="182" spans="1:25" ht="13" x14ac:dyDescent="0.25">
      <c r="A182" s="2"/>
      <c r="B182" s="19"/>
      <c r="C182" s="19"/>
      <c r="D182" s="182" t="s">
        <v>955</v>
      </c>
      <c r="E182" s="1943" t="str">
        <f>Translations!$B$118</f>
        <v>Primär kontaktperson för tekniska frågor kring uppgifterna om anläggningen, om annan än i punkt a:</v>
      </c>
      <c r="F182" s="1963"/>
      <c r="G182" s="1963"/>
      <c r="H182" s="1963"/>
      <c r="I182" s="1963"/>
      <c r="J182" s="1963"/>
      <c r="K182" s="1963"/>
      <c r="L182" s="1963"/>
      <c r="M182" s="1963"/>
      <c r="N182" s="1963"/>
      <c r="O182" s="6"/>
      <c r="P182" s="15"/>
      <c r="Q182" s="349"/>
      <c r="R182" s="349"/>
      <c r="S182" s="349"/>
      <c r="T182" s="349"/>
      <c r="U182" s="349"/>
      <c r="V182" s="349"/>
      <c r="W182" s="349"/>
      <c r="X182" s="349"/>
      <c r="Y182" s="349"/>
    </row>
    <row r="183" spans="1:25" ht="13" x14ac:dyDescent="0.25">
      <c r="A183" s="2"/>
      <c r="B183" s="19"/>
      <c r="C183" s="19"/>
      <c r="D183" s="185"/>
      <c r="E183" s="183"/>
      <c r="F183" s="291" t="s">
        <v>8</v>
      </c>
      <c r="G183" s="2041" t="str">
        <f>Translations!$B$117</f>
        <v>Namn:</v>
      </c>
      <c r="H183" s="2042"/>
      <c r="I183" s="2043"/>
      <c r="J183" s="2283"/>
      <c r="K183" s="2284"/>
      <c r="L183" s="2284"/>
      <c r="M183" s="2284"/>
      <c r="N183" s="2285"/>
      <c r="O183" s="6"/>
      <c r="P183" s="1552"/>
      <c r="Q183" s="349"/>
      <c r="R183" s="349"/>
      <c r="S183" s="349"/>
      <c r="T183" s="349"/>
      <c r="U183" s="349"/>
      <c r="V183" s="349"/>
      <c r="W183" s="349"/>
      <c r="X183" s="349"/>
      <c r="Y183" s="349"/>
    </row>
    <row r="184" spans="1:25" ht="13" x14ac:dyDescent="0.25">
      <c r="A184" s="2"/>
      <c r="B184" s="19"/>
      <c r="C184" s="19"/>
      <c r="D184" s="185"/>
      <c r="E184" s="183"/>
      <c r="F184" s="291" t="s">
        <v>9</v>
      </c>
      <c r="G184" s="2044" t="str">
        <f>Translations!$B$110</f>
        <v>E-post:</v>
      </c>
      <c r="H184" s="2045"/>
      <c r="I184" s="2046"/>
      <c r="J184" s="2378"/>
      <c r="K184" s="2379"/>
      <c r="L184" s="2379"/>
      <c r="M184" s="2379"/>
      <c r="N184" s="2380"/>
      <c r="O184" s="6"/>
      <c r="P184" s="1552"/>
      <c r="Q184" s="349"/>
      <c r="R184" s="349"/>
      <c r="S184" s="349"/>
      <c r="T184" s="349"/>
      <c r="U184" s="349"/>
      <c r="V184" s="349"/>
      <c r="W184" s="349"/>
      <c r="X184" s="349"/>
      <c r="Y184" s="349"/>
    </row>
    <row r="185" spans="1:25" ht="13" x14ac:dyDescent="0.25">
      <c r="A185" s="2"/>
      <c r="B185" s="19"/>
      <c r="C185" s="19"/>
      <c r="D185" s="185"/>
      <c r="E185" s="183"/>
      <c r="F185" s="291" t="s">
        <v>10</v>
      </c>
      <c r="G185" s="2044" t="str">
        <f>Translations!$B$111</f>
        <v>Tfn:</v>
      </c>
      <c r="H185" s="2045"/>
      <c r="I185" s="2046"/>
      <c r="J185" s="2378"/>
      <c r="K185" s="2379"/>
      <c r="L185" s="2379"/>
      <c r="M185" s="2379"/>
      <c r="N185" s="2380"/>
      <c r="O185" s="6"/>
      <c r="P185" s="1552"/>
      <c r="Q185" s="349"/>
      <c r="R185" s="349"/>
      <c r="S185" s="349"/>
      <c r="T185" s="349"/>
      <c r="U185" s="349"/>
      <c r="V185" s="349"/>
      <c r="W185" s="349"/>
      <c r="X185" s="349"/>
      <c r="Y185" s="349"/>
    </row>
    <row r="186" spans="1:25" ht="13" x14ac:dyDescent="0.25">
      <c r="A186" s="2"/>
      <c r="B186" s="19"/>
      <c r="C186" s="19"/>
      <c r="D186" s="185"/>
      <c r="E186" s="183"/>
      <c r="F186" s="291" t="s">
        <v>23</v>
      </c>
      <c r="G186" s="2047" t="str">
        <f>Translations!$B$112</f>
        <v>Fax:</v>
      </c>
      <c r="H186" s="2048"/>
      <c r="I186" s="2049"/>
      <c r="J186" s="2246"/>
      <c r="K186" s="2247"/>
      <c r="L186" s="2247"/>
      <c r="M186" s="2247"/>
      <c r="N186" s="2248"/>
      <c r="O186" s="6"/>
      <c r="P186" s="1552"/>
      <c r="Q186" s="349"/>
      <c r="R186" s="349"/>
      <c r="S186" s="349"/>
      <c r="T186" s="349"/>
      <c r="U186" s="349"/>
      <c r="V186" s="349"/>
      <c r="W186" s="349"/>
      <c r="X186" s="349"/>
      <c r="Y186" s="349"/>
    </row>
    <row r="187" spans="1:25" ht="5.15" customHeight="1" x14ac:dyDescent="0.25">
      <c r="A187" s="2"/>
      <c r="B187" s="3"/>
      <c r="C187" s="3"/>
      <c r="D187" s="3"/>
      <c r="E187" s="3"/>
      <c r="F187" s="3"/>
      <c r="G187" s="3"/>
      <c r="H187" s="3"/>
      <c r="I187" s="3"/>
      <c r="J187" s="3"/>
      <c r="K187" s="3"/>
      <c r="L187" s="3"/>
      <c r="M187" s="6"/>
      <c r="N187" s="6"/>
      <c r="O187" s="6"/>
      <c r="P187" s="15"/>
      <c r="Q187" s="410"/>
      <c r="R187" s="349"/>
      <c r="S187" s="349"/>
      <c r="T187" s="349"/>
      <c r="U187" s="349"/>
      <c r="V187" s="349"/>
      <c r="W187" s="349"/>
      <c r="X187" s="349"/>
      <c r="Y187" s="349"/>
    </row>
    <row r="188" spans="1:25" ht="14" x14ac:dyDescent="0.3">
      <c r="A188" s="2"/>
      <c r="B188" s="19"/>
      <c r="C188" s="17">
        <v>3</v>
      </c>
      <c r="D188" s="2053" t="str">
        <f>Translations!$B$1397</f>
        <v>Kontrollör som anlitas för den här rapporten:</v>
      </c>
      <c r="E188" s="1963"/>
      <c r="F188" s="1963"/>
      <c r="G188" s="1963"/>
      <c r="H188" s="1963"/>
      <c r="I188" s="1963"/>
      <c r="J188" s="1963"/>
      <c r="K188" s="1963"/>
      <c r="L188" s="1963"/>
      <c r="M188" s="1963"/>
      <c r="N188" s="1963"/>
      <c r="O188" s="6"/>
      <c r="P188" s="15"/>
      <c r="Q188" s="349"/>
      <c r="R188" s="349"/>
      <c r="S188" s="349"/>
      <c r="T188" s="349"/>
      <c r="U188" s="349"/>
      <c r="V188" s="349"/>
      <c r="W188" s="349"/>
      <c r="X188" s="349"/>
      <c r="Y188" s="349"/>
    </row>
    <row r="189" spans="1:25" ht="5.15" customHeight="1" x14ac:dyDescent="0.25">
      <c r="A189" s="2"/>
      <c r="B189" s="3"/>
      <c r="C189" s="3"/>
      <c r="D189" s="3"/>
      <c r="E189" s="3"/>
      <c r="F189" s="3"/>
      <c r="G189" s="3"/>
      <c r="H189" s="3"/>
      <c r="I189" s="3"/>
      <c r="J189" s="3"/>
      <c r="K189" s="3"/>
      <c r="L189" s="3"/>
      <c r="M189" s="6"/>
      <c r="N189" s="6"/>
      <c r="O189" s="6"/>
      <c r="P189" s="15"/>
      <c r="Q189" s="410"/>
      <c r="R189" s="349"/>
      <c r="S189" s="349"/>
      <c r="T189" s="349"/>
      <c r="U189" s="349"/>
      <c r="V189" s="349"/>
      <c r="W189" s="349"/>
      <c r="X189" s="349"/>
      <c r="Y189" s="349"/>
    </row>
    <row r="190" spans="1:25" ht="13" x14ac:dyDescent="0.25">
      <c r="A190" s="2"/>
      <c r="B190" s="19"/>
      <c r="C190" s="19"/>
      <c r="D190" s="39" t="s">
        <v>442</v>
      </c>
      <c r="E190" s="1943" t="str">
        <f>Translations!$B$1398</f>
        <v>Kontrollörens namn och adress:</v>
      </c>
      <c r="F190" s="1963"/>
      <c r="G190" s="1963"/>
      <c r="H190" s="1963"/>
      <c r="I190" s="1963"/>
      <c r="J190" s="1963"/>
      <c r="K190" s="1963"/>
      <c r="L190" s="1963"/>
      <c r="M190" s="1963"/>
      <c r="N190" s="1963"/>
      <c r="O190" s="6"/>
      <c r="P190" s="15"/>
      <c r="Q190" s="349"/>
      <c r="R190" s="349"/>
      <c r="S190" s="349"/>
      <c r="T190" s="349"/>
      <c r="U190" s="349"/>
      <c r="V190" s="349"/>
      <c r="W190" s="349"/>
      <c r="X190" s="349"/>
      <c r="Y190" s="349"/>
    </row>
    <row r="191" spans="1:25" ht="13" x14ac:dyDescent="0.25">
      <c r="A191" s="2"/>
      <c r="B191" s="19"/>
      <c r="C191" s="19"/>
      <c r="D191" s="186"/>
      <c r="E191" s="39"/>
      <c r="F191" s="291" t="s">
        <v>8</v>
      </c>
      <c r="G191" s="2041" t="str">
        <f>Translations!$B$119</f>
        <v>Företagets namn:</v>
      </c>
      <c r="H191" s="2041"/>
      <c r="I191" s="2376"/>
      <c r="J191" s="2249"/>
      <c r="K191" s="2250"/>
      <c r="L191" s="2250"/>
      <c r="M191" s="2250"/>
      <c r="N191" s="2251"/>
      <c r="O191" s="6"/>
      <c r="P191" s="1552"/>
      <c r="Q191" s="349"/>
      <c r="R191" s="349"/>
      <c r="S191" s="349"/>
      <c r="T191" s="349"/>
      <c r="U191" s="349"/>
      <c r="V191" s="349"/>
      <c r="W191" s="349"/>
      <c r="X191" s="349"/>
      <c r="Y191" s="349"/>
    </row>
    <row r="192" spans="1:25" x14ac:dyDescent="0.25">
      <c r="A192" s="2"/>
      <c r="B192" s="19"/>
      <c r="C192" s="19"/>
      <c r="D192" s="186"/>
      <c r="E192" s="178"/>
      <c r="F192" s="291" t="s">
        <v>9</v>
      </c>
      <c r="G192" s="2044" t="str">
        <f>Translations!$B$105</f>
        <v>Gata, nummer:</v>
      </c>
      <c r="H192" s="2045"/>
      <c r="I192" s="2046"/>
      <c r="J192" s="2262"/>
      <c r="K192" s="2263"/>
      <c r="L192" s="2263"/>
      <c r="M192" s="2263"/>
      <c r="N192" s="2264"/>
      <c r="O192" s="6"/>
      <c r="P192" s="1552"/>
      <c r="Q192" s="349"/>
      <c r="R192" s="349"/>
      <c r="S192" s="349"/>
      <c r="T192" s="349"/>
      <c r="U192" s="349"/>
      <c r="V192" s="349"/>
      <c r="W192" s="349"/>
      <c r="X192" s="349"/>
      <c r="Y192" s="349"/>
    </row>
    <row r="193" spans="1:25" x14ac:dyDescent="0.25">
      <c r="A193" s="2"/>
      <c r="B193" s="19"/>
      <c r="C193" s="19"/>
      <c r="D193" s="185"/>
      <c r="E193" s="178"/>
      <c r="F193" s="291" t="s">
        <v>10</v>
      </c>
      <c r="G193" s="2044" t="str">
        <f>Translations!$B$107</f>
        <v>Ort:</v>
      </c>
      <c r="H193" s="2045"/>
      <c r="I193" s="2046"/>
      <c r="J193" s="2262"/>
      <c r="K193" s="2263"/>
      <c r="L193" s="2263"/>
      <c r="M193" s="2263"/>
      <c r="N193" s="2264"/>
      <c r="O193" s="6"/>
      <c r="P193" s="1552"/>
      <c r="Q193" s="349"/>
      <c r="R193" s="349"/>
      <c r="S193" s="349"/>
      <c r="T193" s="349"/>
      <c r="U193" s="349"/>
      <c r="V193" s="349"/>
      <c r="W193" s="349"/>
      <c r="X193" s="349"/>
      <c r="Y193" s="349"/>
    </row>
    <row r="194" spans="1:25" x14ac:dyDescent="0.25">
      <c r="A194" s="2"/>
      <c r="B194" s="19"/>
      <c r="C194" s="19"/>
      <c r="D194" s="185"/>
      <c r="E194" s="178"/>
      <c r="F194" s="291" t="s">
        <v>23</v>
      </c>
      <c r="G194" s="2044" t="str">
        <f>Translations!$B$120</f>
        <v>Postnummer:</v>
      </c>
      <c r="H194" s="2045"/>
      <c r="I194" s="2046"/>
      <c r="J194" s="2262"/>
      <c r="K194" s="2263"/>
      <c r="L194" s="2263"/>
      <c r="M194" s="2263"/>
      <c r="N194" s="2264"/>
      <c r="O194" s="6"/>
      <c r="P194" s="1552"/>
      <c r="Q194" s="349"/>
      <c r="R194" s="349"/>
      <c r="S194" s="349"/>
      <c r="T194" s="349"/>
      <c r="U194" s="349"/>
      <c r="V194" s="349"/>
      <c r="W194" s="349"/>
      <c r="X194" s="349"/>
      <c r="Y194" s="349"/>
    </row>
    <row r="195" spans="1:25" x14ac:dyDescent="0.25">
      <c r="A195" s="2"/>
      <c r="B195" s="19"/>
      <c r="C195" s="19"/>
      <c r="D195" s="185"/>
      <c r="E195" s="178"/>
      <c r="F195" s="291" t="s">
        <v>859</v>
      </c>
      <c r="G195" s="2110" t="str">
        <f>Translations!$B$108</f>
        <v>Land:</v>
      </c>
      <c r="H195" s="2048"/>
      <c r="I195" s="2049"/>
      <c r="J195" s="2234"/>
      <c r="K195" s="2235"/>
      <c r="L195" s="2235"/>
      <c r="M195" s="2235"/>
      <c r="N195" s="2236"/>
      <c r="O195" s="6"/>
      <c r="P195" s="1552"/>
      <c r="Q195" s="349"/>
      <c r="R195" s="349"/>
      <c r="S195" s="349"/>
      <c r="T195" s="349"/>
      <c r="U195" s="349"/>
      <c r="V195" s="349"/>
      <c r="W195" s="349"/>
      <c r="X195" s="349"/>
      <c r="Y195" s="349"/>
    </row>
    <row r="196" spans="1:25" ht="5.15" customHeight="1" x14ac:dyDescent="0.25">
      <c r="A196" s="2"/>
      <c r="B196" s="3"/>
      <c r="C196" s="3"/>
      <c r="D196" s="3"/>
      <c r="E196" s="3"/>
      <c r="F196" s="3"/>
      <c r="G196" s="6"/>
      <c r="H196" s="6"/>
      <c r="I196" s="3"/>
      <c r="J196" s="3"/>
      <c r="K196" s="3"/>
      <c r="L196" s="3"/>
      <c r="M196" s="6"/>
      <c r="N196" s="6"/>
      <c r="O196" s="6"/>
      <c r="P196" s="15"/>
      <c r="Q196" s="410"/>
      <c r="R196" s="349"/>
      <c r="S196" s="349"/>
      <c r="T196" s="349"/>
      <c r="U196" s="349"/>
      <c r="V196" s="349"/>
      <c r="W196" s="349"/>
      <c r="X196" s="349"/>
      <c r="Y196" s="349"/>
    </row>
    <row r="197" spans="1:25" ht="13" x14ac:dyDescent="0.25">
      <c r="A197" s="2"/>
      <c r="B197" s="19"/>
      <c r="C197" s="19"/>
      <c r="D197" s="39" t="s">
        <v>955</v>
      </c>
      <c r="E197" s="1943" t="str">
        <f>Translations!$B$121</f>
        <v>Kontrollörens behöriga ombud:</v>
      </c>
      <c r="F197" s="1963"/>
      <c r="G197" s="1963"/>
      <c r="H197" s="1963"/>
      <c r="I197" s="1963"/>
      <c r="J197" s="1963"/>
      <c r="K197" s="1963"/>
      <c r="L197" s="1963"/>
      <c r="M197" s="1963"/>
      <c r="N197" s="1963"/>
      <c r="O197" s="6"/>
      <c r="P197" s="15"/>
      <c r="Q197" s="349"/>
      <c r="R197" s="349"/>
      <c r="S197" s="349"/>
      <c r="T197" s="349"/>
      <c r="U197" s="349"/>
      <c r="V197" s="349"/>
      <c r="W197" s="349"/>
      <c r="X197" s="349"/>
      <c r="Y197" s="349"/>
    </row>
    <row r="198" spans="1:25" x14ac:dyDescent="0.25">
      <c r="A198" s="2"/>
      <c r="B198" s="19"/>
      <c r="C198" s="19"/>
      <c r="D198" s="185"/>
      <c r="E198" s="2061" t="str">
        <f>Translations!$B$122</f>
        <v>Den utsedda personen bör vara bekant med rapporten. Helst ska det vara rapportens huvudkontrollör.</v>
      </c>
      <c r="F198" s="1963"/>
      <c r="G198" s="1963"/>
      <c r="H198" s="1963"/>
      <c r="I198" s="1963"/>
      <c r="J198" s="1963"/>
      <c r="K198" s="1963"/>
      <c r="L198" s="1963"/>
      <c r="M198" s="1963"/>
      <c r="N198" s="1963"/>
      <c r="O198" s="6"/>
      <c r="P198" s="15"/>
      <c r="Q198" s="349"/>
      <c r="R198" s="349"/>
      <c r="S198" s="349"/>
      <c r="T198" s="349"/>
      <c r="U198" s="349"/>
      <c r="V198" s="349"/>
      <c r="W198" s="349"/>
      <c r="X198" s="349"/>
      <c r="Y198" s="349"/>
    </row>
    <row r="199" spans="1:25" x14ac:dyDescent="0.25">
      <c r="A199" s="2"/>
      <c r="B199" s="19"/>
      <c r="C199" s="19"/>
      <c r="D199" s="185"/>
      <c r="E199" s="178"/>
      <c r="F199" s="291" t="s">
        <v>8</v>
      </c>
      <c r="G199" s="2041" t="str">
        <f>Translations!$B$117</f>
        <v>Namn:</v>
      </c>
      <c r="H199" s="2041"/>
      <c r="I199" s="2376"/>
      <c r="J199" s="2249"/>
      <c r="K199" s="2250"/>
      <c r="L199" s="2250"/>
      <c r="M199" s="2250"/>
      <c r="N199" s="2251"/>
      <c r="O199" s="6"/>
      <c r="P199" s="1552"/>
      <c r="Q199" s="349"/>
      <c r="R199" s="349"/>
      <c r="S199" s="349"/>
      <c r="T199" s="349"/>
      <c r="U199" s="349"/>
      <c r="V199" s="349"/>
      <c r="W199" s="349"/>
      <c r="X199" s="349"/>
      <c r="Y199" s="349"/>
    </row>
    <row r="200" spans="1:25" x14ac:dyDescent="0.25">
      <c r="A200" s="2"/>
      <c r="B200" s="19"/>
      <c r="C200" s="19"/>
      <c r="D200" s="186"/>
      <c r="E200" s="178"/>
      <c r="F200" s="291" t="s">
        <v>9</v>
      </c>
      <c r="G200" s="2044" t="str">
        <f>Translations!$B$123</f>
        <v>E-postadress:</v>
      </c>
      <c r="H200" s="2044"/>
      <c r="I200" s="2233"/>
      <c r="J200" s="2262"/>
      <c r="K200" s="2263"/>
      <c r="L200" s="2263"/>
      <c r="M200" s="2263"/>
      <c r="N200" s="2264"/>
      <c r="O200" s="6"/>
      <c r="P200" s="1552"/>
      <c r="Q200" s="349"/>
      <c r="R200" s="349"/>
      <c r="S200" s="349"/>
      <c r="T200" s="349"/>
      <c r="U200" s="349"/>
      <c r="V200" s="349"/>
      <c r="W200" s="349"/>
      <c r="X200" s="349"/>
      <c r="Y200" s="349"/>
    </row>
    <row r="201" spans="1:25" x14ac:dyDescent="0.25">
      <c r="A201" s="2"/>
      <c r="B201" s="19"/>
      <c r="C201" s="19"/>
      <c r="D201" s="186"/>
      <c r="E201" s="178"/>
      <c r="F201" s="291" t="s">
        <v>10</v>
      </c>
      <c r="G201" s="2044" t="str">
        <f>Translations!$B$124</f>
        <v>Telefonnummer:</v>
      </c>
      <c r="H201" s="2044"/>
      <c r="I201" s="2233"/>
      <c r="J201" s="2262"/>
      <c r="K201" s="2263"/>
      <c r="L201" s="2263"/>
      <c r="M201" s="2263"/>
      <c r="N201" s="2264"/>
      <c r="O201" s="6"/>
      <c r="P201" s="1552"/>
      <c r="Q201" s="349"/>
      <c r="R201" s="349"/>
      <c r="S201" s="349"/>
      <c r="T201" s="349"/>
      <c r="U201" s="349"/>
      <c r="V201" s="349"/>
      <c r="W201" s="349"/>
      <c r="X201" s="349"/>
      <c r="Y201" s="349"/>
    </row>
    <row r="202" spans="1:25" ht="13" x14ac:dyDescent="0.25">
      <c r="A202" s="2"/>
      <c r="B202" s="19"/>
      <c r="C202" s="19"/>
      <c r="D202" s="185"/>
      <c r="E202" s="183"/>
      <c r="F202" s="291" t="s">
        <v>23</v>
      </c>
      <c r="G202" s="2047" t="str">
        <f>Translations!$B$112</f>
        <v>Fax:</v>
      </c>
      <c r="H202" s="2048"/>
      <c r="I202" s="2049"/>
      <c r="J202" s="2246"/>
      <c r="K202" s="2247"/>
      <c r="L202" s="2247"/>
      <c r="M202" s="2247"/>
      <c r="N202" s="2248"/>
      <c r="O202" s="6"/>
      <c r="P202" s="1552"/>
      <c r="Q202" s="349"/>
      <c r="R202" s="349"/>
      <c r="S202" s="349"/>
      <c r="T202" s="349"/>
      <c r="U202" s="349"/>
      <c r="V202" s="349"/>
      <c r="W202" s="349"/>
      <c r="X202" s="349"/>
      <c r="Y202" s="349"/>
    </row>
    <row r="203" spans="1:25" ht="5.15" customHeight="1" x14ac:dyDescent="0.25">
      <c r="A203" s="2"/>
      <c r="B203" s="3"/>
      <c r="C203" s="3"/>
      <c r="D203" s="3"/>
      <c r="E203" s="3"/>
      <c r="F203" s="3"/>
      <c r="G203" s="3"/>
      <c r="H203" s="3"/>
      <c r="I203" s="3"/>
      <c r="J203" s="3"/>
      <c r="K203" s="3"/>
      <c r="L203" s="3"/>
      <c r="M203" s="6"/>
      <c r="N203" s="6"/>
      <c r="O203" s="6"/>
      <c r="P203" s="15"/>
      <c r="Q203" s="410"/>
      <c r="R203" s="349"/>
      <c r="S203" s="349"/>
      <c r="T203" s="349"/>
      <c r="U203" s="349"/>
      <c r="V203" s="349"/>
      <c r="W203" s="349"/>
      <c r="X203" s="349"/>
      <c r="Y203" s="349"/>
    </row>
    <row r="204" spans="1:25" ht="12.75" customHeight="1" x14ac:dyDescent="0.25">
      <c r="A204" s="2"/>
      <c r="B204" s="19"/>
      <c r="C204" s="19"/>
      <c r="D204" s="39" t="s">
        <v>55</v>
      </c>
      <c r="E204" s="1943" t="str">
        <f>Translations!$B$125</f>
        <v>Information om kontrollörens ackreditering:</v>
      </c>
      <c r="F204" s="1963"/>
      <c r="G204" s="1963"/>
      <c r="H204" s="1963"/>
      <c r="I204" s="1963"/>
      <c r="J204" s="1963"/>
      <c r="K204" s="1963"/>
      <c r="L204" s="1963"/>
      <c r="M204" s="1963"/>
      <c r="N204" s="1963"/>
      <c r="O204" s="6"/>
      <c r="P204" s="15"/>
      <c r="Q204" s="349"/>
      <c r="R204" s="349"/>
      <c r="S204" s="349"/>
      <c r="T204" s="349"/>
      <c r="U204" s="349"/>
      <c r="V204" s="349"/>
      <c r="W204" s="349"/>
      <c r="X204" s="349"/>
      <c r="Y204" s="349"/>
    </row>
    <row r="205" spans="1:25" ht="13" x14ac:dyDescent="0.25">
      <c r="A205" s="2"/>
      <c r="B205" s="19"/>
      <c r="C205" s="19"/>
      <c r="D205" s="186"/>
      <c r="E205" s="39"/>
      <c r="F205" s="291" t="s">
        <v>8</v>
      </c>
      <c r="G205" s="2041" t="str">
        <f>Translations!$B$126</f>
        <v>Ackrediterande medlemsstat:</v>
      </c>
      <c r="H205" s="2041"/>
      <c r="I205" s="2376"/>
      <c r="J205" s="2249"/>
      <c r="K205" s="2250"/>
      <c r="L205" s="2250"/>
      <c r="M205" s="2250"/>
      <c r="N205" s="2251"/>
      <c r="O205" s="6"/>
      <c r="P205" s="1552"/>
      <c r="Q205" s="349"/>
      <c r="R205" s="349"/>
      <c r="S205" s="349"/>
      <c r="T205" s="349"/>
      <c r="U205" s="349"/>
      <c r="V205" s="349"/>
      <c r="W205" s="349"/>
      <c r="X205" s="349"/>
      <c r="Y205" s="349"/>
    </row>
    <row r="206" spans="1:25" ht="13" x14ac:dyDescent="0.25">
      <c r="A206" s="2"/>
      <c r="B206" s="19"/>
      <c r="C206" s="19"/>
      <c r="D206" s="186"/>
      <c r="E206" s="39"/>
      <c r="F206" s="291" t="s">
        <v>9</v>
      </c>
      <c r="G206" s="2044" t="str">
        <f>Translations!$B$127</f>
        <v>Namn på det nationella ackrediteringsorganet:</v>
      </c>
      <c r="H206" s="2044"/>
      <c r="I206" s="2233"/>
      <c r="J206" s="2262"/>
      <c r="K206" s="2263"/>
      <c r="L206" s="2263"/>
      <c r="M206" s="2263"/>
      <c r="N206" s="2264"/>
      <c r="O206" s="6"/>
      <c r="P206" s="1552"/>
      <c r="Q206" s="349"/>
      <c r="R206" s="349"/>
      <c r="S206" s="349"/>
      <c r="T206" s="349"/>
      <c r="U206" s="349"/>
      <c r="V206" s="349"/>
      <c r="W206" s="349"/>
      <c r="X206" s="349"/>
      <c r="Y206" s="349"/>
    </row>
    <row r="207" spans="1:25" ht="25.5" customHeight="1" x14ac:dyDescent="0.25">
      <c r="A207" s="2"/>
      <c r="B207" s="19"/>
      <c r="C207" s="19"/>
      <c r="D207" s="186"/>
      <c r="E207" s="39"/>
      <c r="F207" s="291" t="s">
        <v>10</v>
      </c>
      <c r="G207" s="2110" t="str">
        <f>Translations!$B$128</f>
        <v>Registreringsnummer som har utfärdats av ackrediteringsorganet:</v>
      </c>
      <c r="H207" s="2110"/>
      <c r="I207" s="2286"/>
      <c r="J207" s="2234"/>
      <c r="K207" s="2235"/>
      <c r="L207" s="2235"/>
      <c r="M207" s="2235"/>
      <c r="N207" s="2236"/>
      <c r="O207" s="6"/>
      <c r="P207" s="1552"/>
      <c r="Q207" s="349"/>
      <c r="R207" s="349"/>
      <c r="S207" s="349"/>
      <c r="T207" s="349"/>
      <c r="U207" s="349"/>
      <c r="V207" s="349"/>
      <c r="W207" s="349"/>
      <c r="X207" s="349"/>
      <c r="Y207" s="349"/>
    </row>
    <row r="208" spans="1:25" ht="5.15" customHeight="1" x14ac:dyDescent="0.25">
      <c r="A208" s="2"/>
      <c r="B208" s="3"/>
      <c r="C208" s="3"/>
      <c r="D208" s="3"/>
      <c r="E208" s="3"/>
      <c r="F208" s="3"/>
      <c r="G208" s="6"/>
      <c r="H208" s="6"/>
      <c r="I208" s="3"/>
      <c r="J208" s="3"/>
      <c r="K208" s="3"/>
      <c r="L208" s="3"/>
      <c r="M208" s="6"/>
      <c r="N208" s="6"/>
      <c r="O208" s="6"/>
      <c r="P208" s="15"/>
      <c r="Q208" s="410"/>
      <c r="R208" s="349"/>
      <c r="S208" s="349"/>
      <c r="T208" s="349"/>
      <c r="U208" s="349"/>
      <c r="V208" s="349"/>
      <c r="W208" s="349"/>
      <c r="X208" s="349"/>
      <c r="Y208" s="349"/>
    </row>
    <row r="209" spans="1:25" ht="14" x14ac:dyDescent="0.3">
      <c r="A209" s="2"/>
      <c r="B209" s="19"/>
      <c r="C209" s="17">
        <v>4</v>
      </c>
      <c r="D209" s="2053" t="str">
        <f>Translations!$B$129</f>
        <v>Ytterligare uppgifter om anläggningen:</v>
      </c>
      <c r="E209" s="1963"/>
      <c r="F209" s="1963"/>
      <c r="G209" s="1963"/>
      <c r="H209" s="1963"/>
      <c r="I209" s="1963"/>
      <c r="J209" s="1963"/>
      <c r="K209" s="1963"/>
      <c r="L209" s="1963"/>
      <c r="M209" s="1963"/>
      <c r="N209" s="1963"/>
      <c r="O209" s="6"/>
      <c r="P209" s="15"/>
      <c r="Q209" s="349"/>
      <c r="R209" s="349"/>
      <c r="S209" s="349"/>
      <c r="T209" s="349"/>
      <c r="U209" s="349"/>
      <c r="V209" s="349"/>
      <c r="W209" s="349"/>
      <c r="X209" s="349"/>
      <c r="Y209" s="349"/>
    </row>
    <row r="210" spans="1:25" ht="5.15" customHeight="1" x14ac:dyDescent="0.25">
      <c r="A210" s="2"/>
      <c r="B210" s="3"/>
      <c r="C210" s="3"/>
      <c r="D210" s="3"/>
      <c r="E210" s="3"/>
      <c r="F210" s="3"/>
      <c r="G210" s="3"/>
      <c r="H210" s="3"/>
      <c r="I210" s="3"/>
      <c r="J210" s="3"/>
      <c r="K210" s="3"/>
      <c r="L210" s="3"/>
      <c r="M210" s="6"/>
      <c r="N210" s="6"/>
      <c r="O210" s="6"/>
      <c r="P210" s="15"/>
      <c r="Q210" s="410"/>
      <c r="R210" s="349"/>
      <c r="S210" s="349"/>
      <c r="T210" s="349"/>
      <c r="U210" s="349"/>
      <c r="V210" s="349"/>
      <c r="W210" s="349"/>
      <c r="X210" s="349"/>
      <c r="Y210" s="349"/>
    </row>
    <row r="211" spans="1:25" ht="13" x14ac:dyDescent="0.25">
      <c r="A211" s="2"/>
      <c r="B211" s="19"/>
      <c r="C211" s="19"/>
      <c r="D211" s="182" t="s">
        <v>442</v>
      </c>
      <c r="E211" s="1943" t="str">
        <f>Translations!$B$130</f>
        <v>Verksamhet enligt bilaga I till ETS-direktivet:</v>
      </c>
      <c r="F211" s="1963"/>
      <c r="G211" s="1963"/>
      <c r="H211" s="1963"/>
      <c r="I211" s="1963"/>
      <c r="J211" s="1963"/>
      <c r="K211" s="1963"/>
      <c r="L211" s="1963"/>
      <c r="M211" s="1963"/>
      <c r="N211" s="1963"/>
      <c r="O211" s="6"/>
      <c r="P211" s="15"/>
      <c r="Q211" s="349"/>
      <c r="R211" s="349"/>
      <c r="S211" s="349"/>
      <c r="T211" s="349"/>
      <c r="U211" s="349"/>
      <c r="V211" s="349"/>
      <c r="W211" s="349"/>
      <c r="X211" s="349"/>
      <c r="Y211" s="349"/>
    </row>
    <row r="212" spans="1:25" x14ac:dyDescent="0.25">
      <c r="A212" s="2"/>
      <c r="B212" s="19"/>
      <c r="C212" s="19"/>
      <c r="D212" s="15"/>
      <c r="E212" s="2061" t="str">
        <f>Translations!$B$131</f>
        <v>Denna information är viktig för de behöriga myndigheterna eftersom ändringar kan ha skett jämfört med tidigare faser i ETS.</v>
      </c>
      <c r="F212" s="1963"/>
      <c r="G212" s="1963"/>
      <c r="H212" s="1963"/>
      <c r="I212" s="1963"/>
      <c r="J212" s="1963"/>
      <c r="K212" s="1963"/>
      <c r="L212" s="1963"/>
      <c r="M212" s="1963"/>
      <c r="N212" s="1963"/>
      <c r="O212" s="6"/>
      <c r="P212" s="15"/>
      <c r="Q212" s="349"/>
      <c r="R212" s="349"/>
      <c r="S212" s="349"/>
      <c r="T212" s="349"/>
      <c r="U212" s="349"/>
      <c r="V212" s="349"/>
      <c r="W212" s="349"/>
      <c r="X212" s="349"/>
      <c r="Y212" s="349"/>
    </row>
    <row r="213" spans="1:25" x14ac:dyDescent="0.25">
      <c r="A213" s="2"/>
      <c r="B213" s="19"/>
      <c r="C213" s="19"/>
      <c r="D213" s="15"/>
      <c r="E213" s="2061" t="str">
        <f>Translations!$B$132</f>
        <v>Var god sortera posterna i förteckningen utifrån direkta utsläpp, i möjligaste mån, så att den verksamhet som orsakar störst direkta utsläpp hamnar överst.</v>
      </c>
      <c r="F213" s="1963"/>
      <c r="G213" s="1963"/>
      <c r="H213" s="1963"/>
      <c r="I213" s="1963"/>
      <c r="J213" s="1963"/>
      <c r="K213" s="1963"/>
      <c r="L213" s="1963"/>
      <c r="M213" s="1963"/>
      <c r="N213" s="1963"/>
      <c r="O213" s="6"/>
      <c r="P213" s="15"/>
      <c r="Q213" s="349"/>
      <c r="R213" s="349"/>
      <c r="S213" s="349"/>
      <c r="T213" s="349"/>
      <c r="U213" s="349"/>
      <c r="V213" s="349"/>
      <c r="W213" s="349"/>
      <c r="X213" s="349"/>
      <c r="Y213" s="349"/>
    </row>
    <row r="214" spans="1:25" ht="13" x14ac:dyDescent="0.25">
      <c r="A214" s="2"/>
      <c r="B214" s="19"/>
      <c r="C214" s="19"/>
      <c r="D214" s="185"/>
      <c r="E214" s="187" t="str">
        <f>Translations!$B$133</f>
        <v>Nummer</v>
      </c>
      <c r="F214" s="42" t="str">
        <f>Translations!$B$134</f>
        <v>Verksamhetens namn (bilaga I till ETS-direktivet)</v>
      </c>
      <c r="G214" s="188"/>
      <c r="H214" s="189"/>
      <c r="I214" s="189"/>
      <c r="J214" s="190"/>
      <c r="K214" s="190"/>
      <c r="L214" s="190"/>
      <c r="M214" s="21"/>
      <c r="N214" s="21"/>
      <c r="O214" s="6"/>
      <c r="P214" s="15"/>
      <c r="Q214" s="349"/>
      <c r="R214" s="349"/>
      <c r="S214" s="349"/>
      <c r="T214" s="349"/>
      <c r="U214" s="349"/>
      <c r="V214" s="349"/>
      <c r="W214" s="349"/>
      <c r="X214" s="349"/>
      <c r="Y214" s="349"/>
    </row>
    <row r="215" spans="1:25" ht="13" x14ac:dyDescent="0.25">
      <c r="A215" s="2"/>
      <c r="B215" s="19"/>
      <c r="C215" s="19"/>
      <c r="D215" s="185"/>
      <c r="E215" s="191">
        <v>1</v>
      </c>
      <c r="F215" s="2294" t="str">
        <f>c_NIMsSummary!F34</f>
        <v/>
      </c>
      <c r="G215" s="2295"/>
      <c r="H215" s="2295"/>
      <c r="I215" s="2295"/>
      <c r="J215" s="2295"/>
      <c r="K215" s="2295"/>
      <c r="L215" s="2295"/>
      <c r="M215" s="2295"/>
      <c r="N215" s="2296"/>
      <c r="O215" s="6"/>
      <c r="P215" s="15"/>
      <c r="Q215" s="349"/>
      <c r="R215" s="349"/>
      <c r="S215" s="349"/>
      <c r="T215" s="349"/>
      <c r="U215" s="349"/>
      <c r="V215" s="349"/>
      <c r="W215" s="349"/>
      <c r="X215" s="349"/>
      <c r="Y215" s="355" t="b">
        <f t="shared" ref="Y215:Y220" si="3">OR(CNTR_Incumbent=FALSE,CTRL_InputMethodNIMsvalues=2)</f>
        <v>0</v>
      </c>
    </row>
    <row r="216" spans="1:25" ht="13" x14ac:dyDescent="0.25">
      <c r="A216" s="2"/>
      <c r="B216" s="19"/>
      <c r="C216" s="19"/>
      <c r="D216" s="185"/>
      <c r="E216" s="192">
        <f>E215+1</f>
        <v>2</v>
      </c>
      <c r="F216" s="2297" t="str">
        <f>c_NIMsSummary!F35</f>
        <v/>
      </c>
      <c r="G216" s="2298"/>
      <c r="H216" s="2298"/>
      <c r="I216" s="2298"/>
      <c r="J216" s="2298"/>
      <c r="K216" s="2298"/>
      <c r="L216" s="2298"/>
      <c r="M216" s="2298"/>
      <c r="N216" s="2299"/>
      <c r="O216" s="6"/>
      <c r="P216" s="15"/>
      <c r="Q216" s="349"/>
      <c r="R216" s="349"/>
      <c r="S216" s="349"/>
      <c r="T216" s="349"/>
      <c r="U216" s="349"/>
      <c r="V216" s="349"/>
      <c r="W216" s="349"/>
      <c r="X216" s="349"/>
      <c r="Y216" s="355" t="b">
        <f t="shared" si="3"/>
        <v>0</v>
      </c>
    </row>
    <row r="217" spans="1:25" ht="13" x14ac:dyDescent="0.25">
      <c r="A217" s="2"/>
      <c r="B217" s="19"/>
      <c r="C217" s="19"/>
      <c r="D217" s="185"/>
      <c r="E217" s="192">
        <f>E216+1</f>
        <v>3</v>
      </c>
      <c r="F217" s="2297" t="str">
        <f>c_NIMsSummary!F36</f>
        <v/>
      </c>
      <c r="G217" s="2298"/>
      <c r="H217" s="2298"/>
      <c r="I217" s="2298"/>
      <c r="J217" s="2298"/>
      <c r="K217" s="2298"/>
      <c r="L217" s="2298"/>
      <c r="M217" s="2298"/>
      <c r="N217" s="2299"/>
      <c r="O217" s="6"/>
      <c r="P217" s="15"/>
      <c r="Q217" s="349"/>
      <c r="R217" s="349"/>
      <c r="S217" s="349"/>
      <c r="T217" s="349"/>
      <c r="U217" s="349"/>
      <c r="V217" s="349"/>
      <c r="W217" s="349"/>
      <c r="X217" s="349"/>
      <c r="Y217" s="355" t="b">
        <f t="shared" si="3"/>
        <v>0</v>
      </c>
    </row>
    <row r="218" spans="1:25" ht="13" x14ac:dyDescent="0.25">
      <c r="A218" s="2"/>
      <c r="B218" s="19"/>
      <c r="C218" s="19"/>
      <c r="D218" s="185"/>
      <c r="E218" s="192">
        <f>E217+1</f>
        <v>4</v>
      </c>
      <c r="F218" s="2297" t="str">
        <f>c_NIMsSummary!F37</f>
        <v/>
      </c>
      <c r="G218" s="2298"/>
      <c r="H218" s="2298"/>
      <c r="I218" s="2298"/>
      <c r="J218" s="2298"/>
      <c r="K218" s="2298"/>
      <c r="L218" s="2298"/>
      <c r="M218" s="2298"/>
      <c r="N218" s="2299"/>
      <c r="O218" s="6"/>
      <c r="P218" s="15"/>
      <c r="Q218" s="349"/>
      <c r="R218" s="349"/>
      <c r="S218" s="349"/>
      <c r="T218" s="349"/>
      <c r="U218" s="349"/>
      <c r="V218" s="349"/>
      <c r="W218" s="349"/>
      <c r="X218" s="349"/>
      <c r="Y218" s="355" t="b">
        <f t="shared" si="3"/>
        <v>0</v>
      </c>
    </row>
    <row r="219" spans="1:25" ht="13" x14ac:dyDescent="0.25">
      <c r="A219" s="2"/>
      <c r="B219" s="19"/>
      <c r="C219" s="19"/>
      <c r="D219" s="185"/>
      <c r="E219" s="192">
        <f>E218+1</f>
        <v>5</v>
      </c>
      <c r="F219" s="2297" t="str">
        <f>c_NIMsSummary!F38</f>
        <v/>
      </c>
      <c r="G219" s="2298"/>
      <c r="H219" s="2298"/>
      <c r="I219" s="2298"/>
      <c r="J219" s="2298"/>
      <c r="K219" s="2298"/>
      <c r="L219" s="2298"/>
      <c r="M219" s="2298"/>
      <c r="N219" s="2299"/>
      <c r="O219" s="6"/>
      <c r="P219" s="15"/>
      <c r="Q219" s="349"/>
      <c r="R219" s="349"/>
      <c r="S219" s="349"/>
      <c r="T219" s="349"/>
      <c r="U219" s="349"/>
      <c r="V219" s="349"/>
      <c r="W219" s="349"/>
      <c r="X219" s="349"/>
      <c r="Y219" s="355" t="b">
        <f t="shared" si="3"/>
        <v>0</v>
      </c>
    </row>
    <row r="220" spans="1:25" ht="13" x14ac:dyDescent="0.25">
      <c r="A220" s="2"/>
      <c r="B220" s="19"/>
      <c r="C220" s="19"/>
      <c r="D220" s="185"/>
      <c r="E220" s="193">
        <v>6</v>
      </c>
      <c r="F220" s="2304" t="str">
        <f>c_NIMsSummary!F39</f>
        <v/>
      </c>
      <c r="G220" s="2305"/>
      <c r="H220" s="2305"/>
      <c r="I220" s="2305"/>
      <c r="J220" s="2305"/>
      <c r="K220" s="2305"/>
      <c r="L220" s="2305"/>
      <c r="M220" s="2305"/>
      <c r="N220" s="2306"/>
      <c r="O220" s="6"/>
      <c r="P220" s="15"/>
      <c r="Q220" s="349"/>
      <c r="R220" s="349"/>
      <c r="S220" s="349"/>
      <c r="T220" s="349"/>
      <c r="U220" s="349"/>
      <c r="V220" s="349"/>
      <c r="W220" s="349"/>
      <c r="X220" s="349"/>
      <c r="Y220" s="355" t="b">
        <f t="shared" si="3"/>
        <v>0</v>
      </c>
    </row>
    <row r="221" spans="1:25" ht="13" x14ac:dyDescent="0.25">
      <c r="A221" s="2"/>
      <c r="B221" s="19"/>
      <c r="C221" s="19"/>
      <c r="D221" s="185"/>
      <c r="E221" s="191">
        <v>1</v>
      </c>
      <c r="F221" s="2307"/>
      <c r="G221" s="2308"/>
      <c r="H221" s="2308"/>
      <c r="I221" s="2308"/>
      <c r="J221" s="2308"/>
      <c r="K221" s="2308"/>
      <c r="L221" s="2308"/>
      <c r="M221" s="2308"/>
      <c r="N221" s="2309"/>
      <c r="O221" s="6"/>
      <c r="P221" s="1552"/>
      <c r="Q221" s="349"/>
      <c r="R221" s="349"/>
      <c r="S221" s="349"/>
      <c r="T221" s="349"/>
      <c r="U221" s="349"/>
      <c r="V221" s="349"/>
      <c r="W221" s="349"/>
      <c r="X221" s="349"/>
      <c r="Y221" s="355" t="b">
        <f t="shared" ref="Y221:Y226" si="4">CTRL_InputMethodNIMsvalues=1</f>
        <v>0</v>
      </c>
    </row>
    <row r="222" spans="1:25" ht="13" x14ac:dyDescent="0.25">
      <c r="A222" s="2"/>
      <c r="B222" s="19"/>
      <c r="C222" s="19"/>
      <c r="D222" s="185"/>
      <c r="E222" s="192">
        <f>E221+1</f>
        <v>2</v>
      </c>
      <c r="F222" s="2291"/>
      <c r="G222" s="2292"/>
      <c r="H222" s="2292"/>
      <c r="I222" s="2292"/>
      <c r="J222" s="2292"/>
      <c r="K222" s="2292"/>
      <c r="L222" s="2292"/>
      <c r="M222" s="2292"/>
      <c r="N222" s="2293"/>
      <c r="O222" s="6"/>
      <c r="P222" s="1552"/>
      <c r="Q222" s="349"/>
      <c r="R222" s="349"/>
      <c r="S222" s="349"/>
      <c r="T222" s="349"/>
      <c r="U222" s="349"/>
      <c r="V222" s="349"/>
      <c r="W222" s="349"/>
      <c r="X222" s="349"/>
      <c r="Y222" s="355" t="b">
        <f t="shared" si="4"/>
        <v>0</v>
      </c>
    </row>
    <row r="223" spans="1:25" ht="13" x14ac:dyDescent="0.25">
      <c r="A223" s="2"/>
      <c r="B223" s="19"/>
      <c r="C223" s="19"/>
      <c r="D223" s="185"/>
      <c r="E223" s="192">
        <f>E222+1</f>
        <v>3</v>
      </c>
      <c r="F223" s="2291"/>
      <c r="G223" s="2292"/>
      <c r="H223" s="2292"/>
      <c r="I223" s="2292"/>
      <c r="J223" s="2292"/>
      <c r="K223" s="2292"/>
      <c r="L223" s="2292"/>
      <c r="M223" s="2292"/>
      <c r="N223" s="2293"/>
      <c r="O223" s="6"/>
      <c r="P223" s="1552"/>
      <c r="Q223" s="349"/>
      <c r="R223" s="349"/>
      <c r="S223" s="349"/>
      <c r="T223" s="349"/>
      <c r="U223" s="349"/>
      <c r="V223" s="349"/>
      <c r="W223" s="349"/>
      <c r="X223" s="349"/>
      <c r="Y223" s="355" t="b">
        <f t="shared" si="4"/>
        <v>0</v>
      </c>
    </row>
    <row r="224" spans="1:25" ht="13" x14ac:dyDescent="0.25">
      <c r="A224" s="2"/>
      <c r="B224" s="19"/>
      <c r="C224" s="19"/>
      <c r="D224" s="185"/>
      <c r="E224" s="192">
        <f>E223+1</f>
        <v>4</v>
      </c>
      <c r="F224" s="2291"/>
      <c r="G224" s="2292"/>
      <c r="H224" s="2292"/>
      <c r="I224" s="2292"/>
      <c r="J224" s="2292"/>
      <c r="K224" s="2292"/>
      <c r="L224" s="2292"/>
      <c r="M224" s="2292"/>
      <c r="N224" s="2293"/>
      <c r="O224" s="6"/>
      <c r="P224" s="1552"/>
      <c r="Q224" s="349"/>
      <c r="R224" s="349"/>
      <c r="S224" s="349"/>
      <c r="T224" s="349"/>
      <c r="U224" s="349"/>
      <c r="V224" s="349"/>
      <c r="W224" s="349"/>
      <c r="X224" s="349"/>
      <c r="Y224" s="355" t="b">
        <f t="shared" si="4"/>
        <v>0</v>
      </c>
    </row>
    <row r="225" spans="1:25" ht="13" x14ac:dyDescent="0.25">
      <c r="A225" s="2"/>
      <c r="B225" s="19"/>
      <c r="C225" s="19"/>
      <c r="D225" s="185"/>
      <c r="E225" s="192">
        <f>E224+1</f>
        <v>5</v>
      </c>
      <c r="F225" s="2291"/>
      <c r="G225" s="2292"/>
      <c r="H225" s="2292"/>
      <c r="I225" s="2292"/>
      <c r="J225" s="2292"/>
      <c r="K225" s="2292"/>
      <c r="L225" s="2292"/>
      <c r="M225" s="2292"/>
      <c r="N225" s="2293"/>
      <c r="O225" s="6"/>
      <c r="P225" s="1552"/>
      <c r="Q225" s="349"/>
      <c r="R225" s="349"/>
      <c r="S225" s="349"/>
      <c r="T225" s="349"/>
      <c r="U225" s="349"/>
      <c r="V225" s="349"/>
      <c r="W225" s="349"/>
      <c r="X225" s="349"/>
      <c r="Y225" s="355" t="b">
        <f t="shared" si="4"/>
        <v>0</v>
      </c>
    </row>
    <row r="226" spans="1:25" ht="13.5" thickBot="1" x14ac:dyDescent="0.3">
      <c r="A226" s="2"/>
      <c r="B226" s="19"/>
      <c r="C226" s="19"/>
      <c r="D226" s="185"/>
      <c r="E226" s="193">
        <v>6</v>
      </c>
      <c r="F226" s="2301"/>
      <c r="G226" s="2302"/>
      <c r="H226" s="2302"/>
      <c r="I226" s="2302"/>
      <c r="J226" s="2302"/>
      <c r="K226" s="2302"/>
      <c r="L226" s="2302"/>
      <c r="M226" s="2302"/>
      <c r="N226" s="2303"/>
      <c r="O226" s="6"/>
      <c r="P226" s="1552"/>
      <c r="Q226" s="349" t="s">
        <v>835</v>
      </c>
      <c r="R226" s="349"/>
      <c r="S226" s="349"/>
      <c r="T226" s="349"/>
      <c r="U226" s="349"/>
      <c r="V226" s="349"/>
      <c r="W226" s="349"/>
      <c r="X226" s="349"/>
      <c r="Y226" s="355" t="b">
        <f t="shared" si="4"/>
        <v>0</v>
      </c>
    </row>
    <row r="227" spans="1:25" ht="13" x14ac:dyDescent="0.25">
      <c r="A227" s="2"/>
      <c r="B227" s="19"/>
      <c r="C227" s="19"/>
      <c r="D227" s="185"/>
      <c r="E227" s="191">
        <v>1</v>
      </c>
      <c r="F227" s="2051" t="str">
        <f t="shared" ref="F227:F232" si="5">IF(F221="",IF(AND(F215&lt;&gt;"",COUNTIF(EUconst_AnnexIActivities,F215)=0),EUconst_ERR_LinkToNIMs,F215),F221)</f>
        <v/>
      </c>
      <c r="G227" s="2287">
        <f t="shared" ref="G227:N227" si="6">IF(G226="",G225,G226)</f>
        <v>0</v>
      </c>
      <c r="H227" s="2287">
        <f t="shared" si="6"/>
        <v>0</v>
      </c>
      <c r="I227" s="2287">
        <f t="shared" si="6"/>
        <v>0</v>
      </c>
      <c r="J227" s="2287">
        <f t="shared" si="6"/>
        <v>0</v>
      </c>
      <c r="K227" s="2287">
        <f t="shared" si="6"/>
        <v>0</v>
      </c>
      <c r="L227" s="2287">
        <f t="shared" si="6"/>
        <v>0</v>
      </c>
      <c r="M227" s="2287">
        <f t="shared" si="6"/>
        <v>0</v>
      </c>
      <c r="N227" s="2288">
        <f t="shared" si="6"/>
        <v>0</v>
      </c>
      <c r="O227" s="6"/>
      <c r="P227" s="15"/>
      <c r="Q227" s="489" t="str">
        <f t="shared" ref="Q227:Q232" si="7">IF(F227="","",MATCH(F227,EUconst_AnnexIActivities,0))</f>
        <v/>
      </c>
      <c r="R227" s="349"/>
      <c r="S227" s="349"/>
      <c r="T227" s="349"/>
      <c r="U227" s="349"/>
      <c r="V227" s="349"/>
      <c r="W227" s="349"/>
      <c r="X227" s="349"/>
      <c r="Y227" s="349"/>
    </row>
    <row r="228" spans="1:25" ht="13" x14ac:dyDescent="0.25">
      <c r="A228" s="2"/>
      <c r="B228" s="19"/>
      <c r="C228" s="19"/>
      <c r="D228" s="185"/>
      <c r="E228" s="192">
        <f>E227+1</f>
        <v>2</v>
      </c>
      <c r="F228" s="2034" t="str">
        <f t="shared" si="5"/>
        <v/>
      </c>
      <c r="G228" s="2223">
        <f t="shared" ref="G228:N228" si="8">IF(G227="",G226,G227)</f>
        <v>0</v>
      </c>
      <c r="H228" s="2223">
        <f t="shared" si="8"/>
        <v>0</v>
      </c>
      <c r="I228" s="2223">
        <f t="shared" si="8"/>
        <v>0</v>
      </c>
      <c r="J228" s="2223">
        <f t="shared" si="8"/>
        <v>0</v>
      </c>
      <c r="K228" s="2223">
        <f t="shared" si="8"/>
        <v>0</v>
      </c>
      <c r="L228" s="2223">
        <f t="shared" si="8"/>
        <v>0</v>
      </c>
      <c r="M228" s="2223">
        <f t="shared" si="8"/>
        <v>0</v>
      </c>
      <c r="N228" s="2224">
        <f t="shared" si="8"/>
        <v>0</v>
      </c>
      <c r="O228" s="6"/>
      <c r="P228" s="15"/>
      <c r="Q228" s="490" t="str">
        <f t="shared" si="7"/>
        <v/>
      </c>
      <c r="R228" s="349"/>
      <c r="S228" s="349"/>
      <c r="T228" s="349"/>
      <c r="U228" s="349"/>
      <c r="V228" s="349"/>
      <c r="W228" s="349"/>
      <c r="X228" s="349"/>
      <c r="Y228" s="349"/>
    </row>
    <row r="229" spans="1:25" ht="13" x14ac:dyDescent="0.25">
      <c r="A229" s="2"/>
      <c r="B229" s="19"/>
      <c r="C229" s="19"/>
      <c r="D229" s="185"/>
      <c r="E229" s="192">
        <f>E228+1</f>
        <v>3</v>
      </c>
      <c r="F229" s="2034" t="str">
        <f t="shared" si="5"/>
        <v/>
      </c>
      <c r="G229" s="2223">
        <f t="shared" ref="G229:N229" si="9">IF(G228="",G227,G228)</f>
        <v>0</v>
      </c>
      <c r="H229" s="2223">
        <f t="shared" si="9"/>
        <v>0</v>
      </c>
      <c r="I229" s="2223">
        <f t="shared" si="9"/>
        <v>0</v>
      </c>
      <c r="J229" s="2223">
        <f t="shared" si="9"/>
        <v>0</v>
      </c>
      <c r="K229" s="2223">
        <f t="shared" si="9"/>
        <v>0</v>
      </c>
      <c r="L229" s="2223">
        <f t="shared" si="9"/>
        <v>0</v>
      </c>
      <c r="M229" s="2223">
        <f t="shared" si="9"/>
        <v>0</v>
      </c>
      <c r="N229" s="2224">
        <f t="shared" si="9"/>
        <v>0</v>
      </c>
      <c r="O229" s="6"/>
      <c r="P229" s="15"/>
      <c r="Q229" s="490" t="str">
        <f t="shared" si="7"/>
        <v/>
      </c>
      <c r="R229" s="349"/>
      <c r="S229" s="349"/>
      <c r="T229" s="349"/>
      <c r="U229" s="349"/>
      <c r="V229" s="349"/>
      <c r="W229" s="349"/>
      <c r="X229" s="349"/>
      <c r="Y229" s="349"/>
    </row>
    <row r="230" spans="1:25" ht="13" x14ac:dyDescent="0.25">
      <c r="A230" s="2"/>
      <c r="B230" s="19"/>
      <c r="C230" s="19"/>
      <c r="D230" s="185"/>
      <c r="E230" s="192">
        <f>E229+1</f>
        <v>4</v>
      </c>
      <c r="F230" s="2034" t="str">
        <f t="shared" si="5"/>
        <v/>
      </c>
      <c r="G230" s="2223">
        <f t="shared" ref="G230:N230" si="10">IF(G229="",G228,G229)</f>
        <v>0</v>
      </c>
      <c r="H230" s="2223">
        <f t="shared" si="10"/>
        <v>0</v>
      </c>
      <c r="I230" s="2223">
        <f t="shared" si="10"/>
        <v>0</v>
      </c>
      <c r="J230" s="2223">
        <f t="shared" si="10"/>
        <v>0</v>
      </c>
      <c r="K230" s="2223">
        <f t="shared" si="10"/>
        <v>0</v>
      </c>
      <c r="L230" s="2223">
        <f t="shared" si="10"/>
        <v>0</v>
      </c>
      <c r="M230" s="2223">
        <f t="shared" si="10"/>
        <v>0</v>
      </c>
      <c r="N230" s="2224">
        <f t="shared" si="10"/>
        <v>0</v>
      </c>
      <c r="O230" s="6"/>
      <c r="P230" s="15"/>
      <c r="Q230" s="490" t="str">
        <f t="shared" si="7"/>
        <v/>
      </c>
      <c r="R230" s="349"/>
      <c r="S230" s="349"/>
      <c r="T230" s="349"/>
      <c r="U230" s="349"/>
      <c r="V230" s="349"/>
      <c r="W230" s="349"/>
      <c r="X230" s="349"/>
      <c r="Y230" s="349"/>
    </row>
    <row r="231" spans="1:25" ht="13" x14ac:dyDescent="0.25">
      <c r="A231" s="2"/>
      <c r="B231" s="19"/>
      <c r="C231" s="19"/>
      <c r="D231" s="185"/>
      <c r="E231" s="192">
        <f>E230+1</f>
        <v>5</v>
      </c>
      <c r="F231" s="2034" t="str">
        <f t="shared" si="5"/>
        <v/>
      </c>
      <c r="G231" s="2223">
        <f t="shared" ref="G231:N231" si="11">IF(G230="",G229,G230)</f>
        <v>0</v>
      </c>
      <c r="H231" s="2223">
        <f t="shared" si="11"/>
        <v>0</v>
      </c>
      <c r="I231" s="2223">
        <f t="shared" si="11"/>
        <v>0</v>
      </c>
      <c r="J231" s="2223">
        <f t="shared" si="11"/>
        <v>0</v>
      </c>
      <c r="K231" s="2223">
        <f t="shared" si="11"/>
        <v>0</v>
      </c>
      <c r="L231" s="2223">
        <f t="shared" si="11"/>
        <v>0</v>
      </c>
      <c r="M231" s="2223">
        <f t="shared" si="11"/>
        <v>0</v>
      </c>
      <c r="N231" s="2224">
        <f t="shared" si="11"/>
        <v>0</v>
      </c>
      <c r="O231" s="6"/>
      <c r="P231" s="15"/>
      <c r="Q231" s="490" t="str">
        <f t="shared" si="7"/>
        <v/>
      </c>
      <c r="R231" s="349"/>
      <c r="S231" s="349"/>
      <c r="T231" s="349"/>
      <c r="U231" s="349"/>
      <c r="V231" s="349"/>
      <c r="W231" s="349"/>
      <c r="X231" s="349"/>
      <c r="Y231" s="349"/>
    </row>
    <row r="232" spans="1:25" ht="13.5" thickBot="1" x14ac:dyDescent="0.3">
      <c r="A232" s="2"/>
      <c r="B232" s="19"/>
      <c r="C232" s="19"/>
      <c r="D232" s="185"/>
      <c r="E232" s="193">
        <v>6</v>
      </c>
      <c r="F232" s="2031" t="str">
        <f t="shared" si="5"/>
        <v/>
      </c>
      <c r="G232" s="2256">
        <f t="shared" ref="G232:N232" si="12">IF(G231="",G230,G231)</f>
        <v>0</v>
      </c>
      <c r="H232" s="2256">
        <f t="shared" si="12"/>
        <v>0</v>
      </c>
      <c r="I232" s="2256">
        <f t="shared" si="12"/>
        <v>0</v>
      </c>
      <c r="J232" s="2256">
        <f t="shared" si="12"/>
        <v>0</v>
      </c>
      <c r="K232" s="2256">
        <f t="shared" si="12"/>
        <v>0</v>
      </c>
      <c r="L232" s="2256">
        <f t="shared" si="12"/>
        <v>0</v>
      </c>
      <c r="M232" s="2256">
        <f t="shared" si="12"/>
        <v>0</v>
      </c>
      <c r="N232" s="2257">
        <f t="shared" si="12"/>
        <v>0</v>
      </c>
      <c r="O232" s="6"/>
      <c r="P232" s="15"/>
      <c r="Q232" s="491" t="str">
        <f t="shared" si="7"/>
        <v/>
      </c>
      <c r="R232" s="349"/>
      <c r="S232" s="349"/>
      <c r="T232" s="349"/>
      <c r="U232" s="349"/>
      <c r="V232" s="349"/>
      <c r="W232" s="349"/>
      <c r="X232" s="349"/>
      <c r="Y232" s="349"/>
    </row>
    <row r="233" spans="1:25" ht="5.15" customHeight="1" x14ac:dyDescent="0.25">
      <c r="A233" s="2"/>
      <c r="B233" s="19"/>
      <c r="C233" s="19"/>
      <c r="D233" s="185"/>
      <c r="E233" s="183"/>
      <c r="F233" s="15"/>
      <c r="G233" s="15"/>
      <c r="H233" s="6"/>
      <c r="I233" s="6"/>
      <c r="J233" s="184"/>
      <c r="K233" s="184"/>
      <c r="L233" s="184"/>
      <c r="M233" s="19"/>
      <c r="N233" s="19"/>
      <c r="O233" s="6"/>
      <c r="P233" s="15"/>
      <c r="Q233" s="349"/>
      <c r="R233" s="349"/>
      <c r="S233" s="349"/>
      <c r="T233" s="349"/>
      <c r="U233" s="349"/>
      <c r="V233" s="349"/>
      <c r="W233" s="349"/>
      <c r="X233" s="349"/>
      <c r="Y233" s="349"/>
    </row>
    <row r="234" spans="1:25" ht="13" x14ac:dyDescent="0.25">
      <c r="A234" s="2"/>
      <c r="B234" s="19"/>
      <c r="C234" s="19"/>
      <c r="D234" s="182" t="s">
        <v>955</v>
      </c>
      <c r="E234" s="1943" t="str">
        <f>Translations!$B$135</f>
        <v>Under vilken Nace-kod har ert land rapporterat mervärde för statistik över företagsstrukturer?</v>
      </c>
      <c r="F234" s="1963"/>
      <c r="G234" s="1963"/>
      <c r="H234" s="1963"/>
      <c r="I234" s="1963"/>
      <c r="J234" s="1963"/>
      <c r="K234" s="1963"/>
      <c r="L234" s="1963"/>
      <c r="M234" s="1963"/>
      <c r="N234" s="1963"/>
      <c r="O234" s="6"/>
      <c r="P234" s="15"/>
      <c r="Q234" s="349"/>
      <c r="R234" s="349"/>
      <c r="S234" s="349"/>
      <c r="T234" s="349"/>
      <c r="U234" s="349"/>
      <c r="V234" s="349"/>
      <c r="W234" s="349"/>
      <c r="X234" s="349"/>
      <c r="Y234" s="349"/>
    </row>
    <row r="235" spans="1:25" x14ac:dyDescent="0.25">
      <c r="A235" s="2"/>
      <c r="B235" s="19"/>
      <c r="C235" s="19"/>
      <c r="D235" s="15"/>
      <c r="E235" s="2061" t="str">
        <f>Translations!$B$136</f>
        <v>Om ni inte är säkra på vilka värden som ska anges, var god kontakta ert relevanta nationella statistikkontor.</v>
      </c>
      <c r="F235" s="1963"/>
      <c r="G235" s="1963"/>
      <c r="H235" s="1963"/>
      <c r="I235" s="1963"/>
      <c r="J235" s="1963"/>
      <c r="K235" s="1963"/>
      <c r="L235" s="1963"/>
      <c r="M235" s="1963"/>
      <c r="N235" s="1963"/>
      <c r="O235" s="6"/>
      <c r="P235" s="15"/>
      <c r="Q235" s="349"/>
      <c r="R235" s="349"/>
      <c r="S235" s="349"/>
      <c r="T235" s="349"/>
      <c r="U235" s="349"/>
      <c r="V235" s="349"/>
      <c r="W235" s="349"/>
      <c r="X235" s="349"/>
      <c r="Y235" s="349"/>
    </row>
    <row r="236" spans="1:25" ht="12.75" customHeight="1" x14ac:dyDescent="0.25">
      <c r="A236" s="2"/>
      <c r="B236" s="19"/>
      <c r="C236" s="19"/>
      <c r="D236" s="15"/>
      <c r="E236" s="2061" t="str">
        <f>Translations!$B$137</f>
        <v xml:space="preserve">Nace Rev. 2 finns på följande länk: </v>
      </c>
      <c r="F236" s="1963"/>
      <c r="G236" s="1963"/>
      <c r="H236" s="1963"/>
      <c r="I236" s="1963"/>
      <c r="J236" s="1963"/>
      <c r="K236" s="1963"/>
      <c r="L236" s="1963"/>
      <c r="M236" s="1963"/>
      <c r="N236" s="1963"/>
      <c r="O236" s="6"/>
      <c r="P236" s="15"/>
      <c r="Q236" s="349"/>
      <c r="R236" s="349"/>
      <c r="S236" s="349"/>
      <c r="T236" s="349"/>
      <c r="U236" s="349"/>
      <c r="V236" s="349"/>
      <c r="W236" s="349"/>
      <c r="X236" s="349"/>
      <c r="Y236" s="349"/>
    </row>
    <row r="237" spans="1:25" ht="12.75" customHeight="1" x14ac:dyDescent="0.25">
      <c r="A237" s="2"/>
      <c r="B237" s="19"/>
      <c r="C237" s="19"/>
      <c r="D237" s="15"/>
      <c r="E237" s="2222" t="str">
        <f>Translations!$B$138</f>
        <v>http://ec.europa.eu/eurostat/ramon/nomenclatures/index.cfm?TargetUrl=LST_CLS_DLD&amp;StrNom=NACE_REV2&amp;StrLanguageCode=EN&amp;StrLayoutCode=HIERARCHIC</v>
      </c>
      <c r="F237" s="2222"/>
      <c r="G237" s="2222"/>
      <c r="H237" s="2222"/>
      <c r="I237" s="2222"/>
      <c r="J237" s="2222"/>
      <c r="K237" s="2222"/>
      <c r="L237" s="2222"/>
      <c r="M237" s="2222"/>
      <c r="N237" s="2222"/>
      <c r="O237" s="6"/>
      <c r="P237" s="15"/>
      <c r="Q237" s="349"/>
      <c r="R237" s="349"/>
      <c r="S237" s="349"/>
      <c r="T237" s="349"/>
      <c r="U237" s="349"/>
      <c r="V237" s="349"/>
      <c r="W237" s="349"/>
      <c r="X237" s="349"/>
      <c r="Y237" s="349"/>
    </row>
    <row r="238" spans="1:25" ht="13" x14ac:dyDescent="0.25">
      <c r="A238" s="2"/>
      <c r="B238" s="19"/>
      <c r="C238" s="19"/>
      <c r="D238" s="15"/>
      <c r="E238" s="2070" t="str">
        <f>Translations!$B$139</f>
        <v>Nace-koder ska anges i fyrsiffrigt format, ”nnnn”, dvs. utan punkter eller andra avgränsare.</v>
      </c>
      <c r="F238" s="2071"/>
      <c r="G238" s="2071"/>
      <c r="H238" s="2071"/>
      <c r="I238" s="2071"/>
      <c r="J238" s="2071"/>
      <c r="K238" s="2071"/>
      <c r="L238" s="2071"/>
      <c r="M238" s="2071"/>
      <c r="N238" s="2071"/>
      <c r="O238" s="6"/>
      <c r="P238" s="15"/>
      <c r="Q238" s="349"/>
      <c r="R238" s="349"/>
      <c r="S238" s="349"/>
      <c r="T238" s="349"/>
      <c r="U238" s="349"/>
      <c r="V238" s="349"/>
      <c r="W238" s="349"/>
      <c r="X238" s="349"/>
      <c r="Y238" s="349"/>
    </row>
    <row r="239" spans="1:25" x14ac:dyDescent="0.25">
      <c r="A239" s="2"/>
      <c r="B239" s="19"/>
      <c r="C239" s="19"/>
      <c r="D239" s="15"/>
      <c r="E239" s="2061" t="str">
        <f>Translations!$B$140</f>
        <v>Ett felmeddelande kommer att visas om inte exakt fyra siffror anges.</v>
      </c>
      <c r="F239" s="1963"/>
      <c r="G239" s="1963"/>
      <c r="H239" s="1963"/>
      <c r="I239" s="1963"/>
      <c r="J239" s="1963"/>
      <c r="K239" s="1963"/>
      <c r="L239" s="1963"/>
      <c r="M239" s="1963"/>
      <c r="N239" s="1963"/>
      <c r="O239" s="6"/>
      <c r="P239" s="15"/>
      <c r="Q239" s="349"/>
      <c r="R239" s="349"/>
      <c r="S239" s="349"/>
      <c r="T239" s="349"/>
      <c r="U239" s="349"/>
      <c r="V239" s="349"/>
      <c r="W239" s="349"/>
      <c r="X239" s="349"/>
      <c r="Y239" s="349"/>
    </row>
    <row r="240" spans="1:25" ht="12.75" customHeight="1" x14ac:dyDescent="0.25">
      <c r="A240" s="2"/>
      <c r="B240" s="19"/>
      <c r="C240" s="19"/>
      <c r="D240" s="185"/>
      <c r="E240" s="2351" t="str">
        <f>Translations!$B$141</f>
        <v>Nace-kod som rapporterats baserat på Nace Rev. 2-klassificering:</v>
      </c>
      <c r="F240" s="2351"/>
      <c r="G240" s="2351"/>
      <c r="H240" s="2351"/>
      <c r="I240" s="2351"/>
      <c r="J240" s="2351"/>
      <c r="K240" s="2158"/>
      <c r="L240" s="2217" t="str">
        <f>c_NIMsSummary!H31</f>
        <v/>
      </c>
      <c r="M240" s="2217"/>
      <c r="N240" s="2217"/>
      <c r="O240" s="6"/>
      <c r="Q240" s="349"/>
      <c r="R240" s="349"/>
      <c r="S240" s="349"/>
      <c r="T240" s="349"/>
      <c r="U240" s="349"/>
      <c r="V240" s="349"/>
      <c r="W240" s="349"/>
      <c r="X240" s="349"/>
      <c r="Y240" s="355" t="b">
        <f>OR(CNTR_Incumbent=FALSE,CTRL_InputMethodNIMsvalues=2)</f>
        <v>0</v>
      </c>
    </row>
    <row r="241" spans="1:25" x14ac:dyDescent="0.25">
      <c r="A241" s="2"/>
      <c r="B241" s="19"/>
      <c r="C241" s="19"/>
      <c r="D241" s="185"/>
      <c r="E241" s="289"/>
      <c r="F241" s="289"/>
      <c r="G241" s="289"/>
      <c r="H241" s="289"/>
      <c r="I241" s="289"/>
      <c r="J241" s="289"/>
      <c r="K241" s="289"/>
      <c r="L241" s="2300"/>
      <c r="M241" s="2300"/>
      <c r="N241" s="2300"/>
      <c r="O241" s="6"/>
      <c r="P241" s="1552"/>
      <c r="Q241" s="349"/>
      <c r="R241" s="349"/>
      <c r="S241" s="349"/>
      <c r="T241" s="349"/>
      <c r="U241" s="349"/>
      <c r="V241" s="349"/>
      <c r="W241" s="349"/>
      <c r="X241" s="349"/>
      <c r="Y241" s="355" t="b">
        <f>CTRL_InputMethodNIMsvalues=1</f>
        <v>0</v>
      </c>
    </row>
    <row r="242" spans="1:25" x14ac:dyDescent="0.25">
      <c r="A242" s="2"/>
      <c r="B242" s="19"/>
      <c r="C242" s="19"/>
      <c r="D242" s="185"/>
      <c r="E242" s="289"/>
      <c r="F242" s="289"/>
      <c r="G242" s="289"/>
      <c r="H242" s="289"/>
      <c r="I242" s="289"/>
      <c r="J242" s="289"/>
      <c r="K242" s="289"/>
      <c r="L242" s="2290" t="str">
        <f>IF(L241="",L240,L241)</f>
        <v/>
      </c>
      <c r="M242" s="2290"/>
      <c r="N242" s="2290"/>
      <c r="O242" s="6"/>
      <c r="P242" s="15"/>
      <c r="Q242" s="603" t="s">
        <v>1509</v>
      </c>
      <c r="R242" s="349"/>
      <c r="S242" s="1537"/>
      <c r="T242" s="349"/>
      <c r="U242" s="349"/>
      <c r="V242" s="349"/>
      <c r="W242" s="349"/>
      <c r="X242" s="349"/>
      <c r="Y242" s="349"/>
    </row>
    <row r="243" spans="1:25" ht="5.15" customHeight="1" x14ac:dyDescent="0.25">
      <c r="A243" s="2"/>
      <c r="B243" s="19"/>
      <c r="C243" s="19"/>
      <c r="D243" s="185"/>
      <c r="E243" s="183"/>
      <c r="F243" s="15"/>
      <c r="G243" s="15"/>
      <c r="H243" s="6"/>
      <c r="I243" s="6"/>
      <c r="J243" s="184"/>
      <c r="K243" s="184"/>
      <c r="L243" s="184"/>
      <c r="M243" s="19"/>
      <c r="N243" s="19"/>
      <c r="O243" s="6"/>
      <c r="P243" s="15"/>
      <c r="Q243" s="349"/>
      <c r="R243" s="349"/>
      <c r="S243" s="349"/>
      <c r="T243" s="349"/>
      <c r="U243" s="349"/>
      <c r="V243" s="349"/>
      <c r="W243" s="349"/>
      <c r="X243" s="349"/>
      <c r="Y243" s="349"/>
    </row>
    <row r="244" spans="1:25" ht="13" x14ac:dyDescent="0.25">
      <c r="A244" s="2"/>
      <c r="B244" s="19"/>
      <c r="C244" s="19"/>
      <c r="D244" s="182" t="s">
        <v>55</v>
      </c>
      <c r="E244" s="1943" t="str">
        <f>Translations!$B$142</f>
        <v>Var god ange anläggningens identifieringsnummer i EPRTR, i tillämpliga fall</v>
      </c>
      <c r="F244" s="1963"/>
      <c r="G244" s="1963"/>
      <c r="H244" s="1963"/>
      <c r="I244" s="1963"/>
      <c r="J244" s="1963"/>
      <c r="K244" s="2060"/>
      <c r="L244" s="2217" t="str">
        <f>c_NIMsSummary!M31</f>
        <v/>
      </c>
      <c r="M244" s="2217"/>
      <c r="N244" s="2217"/>
      <c r="O244" s="6"/>
      <c r="Q244" s="349"/>
      <c r="R244" s="349"/>
      <c r="S244" s="349"/>
      <c r="T244" s="349"/>
      <c r="U244" s="349"/>
      <c r="V244" s="349"/>
      <c r="W244" s="349"/>
      <c r="X244" s="349"/>
      <c r="Y244" s="355" t="b">
        <f>OR(CNTR_Incumbent=FALSE,CTRL_InputMethodNIMsvalues=2)</f>
        <v>0</v>
      </c>
    </row>
    <row r="245" spans="1:25" x14ac:dyDescent="0.25">
      <c r="A245" s="2"/>
      <c r="B245" s="19"/>
      <c r="C245" s="19"/>
      <c r="D245" s="184"/>
      <c r="E245" s="184"/>
      <c r="F245" s="184"/>
      <c r="G245" s="184"/>
      <c r="H245" s="184"/>
      <c r="I245" s="184"/>
      <c r="J245" s="184"/>
      <c r="K245" s="184"/>
      <c r="L245" s="2218"/>
      <c r="M245" s="2218"/>
      <c r="N245" s="2218"/>
      <c r="O245" s="6"/>
      <c r="P245" s="1552"/>
      <c r="Q245" s="349"/>
      <c r="R245" s="349"/>
      <c r="S245" s="349"/>
      <c r="T245" s="349"/>
      <c r="U245" s="349"/>
      <c r="V245" s="349"/>
      <c r="W245" s="349"/>
      <c r="X245" s="349"/>
      <c r="Y245" s="355" t="b">
        <f>CTRL_InputMethodNIMsvalues=1</f>
        <v>0</v>
      </c>
    </row>
    <row r="246" spans="1:25" x14ac:dyDescent="0.25">
      <c r="A246" s="2"/>
      <c r="B246" s="19"/>
      <c r="C246" s="19"/>
      <c r="D246" s="184"/>
      <c r="E246" s="184"/>
      <c r="F246" s="184"/>
      <c r="G246" s="184"/>
      <c r="H246" s="184"/>
      <c r="I246" s="184"/>
      <c r="J246" s="184"/>
      <c r="K246" s="184"/>
      <c r="L246" s="2290" t="str">
        <f>IF(L245="",L244,L245)</f>
        <v/>
      </c>
      <c r="M246" s="2290"/>
      <c r="N246" s="2290"/>
      <c r="O246" s="6"/>
      <c r="P246" s="15"/>
      <c r="Q246" s="349"/>
      <c r="R246" s="349"/>
      <c r="S246" s="349"/>
      <c r="T246" s="349"/>
      <c r="U246" s="349"/>
      <c r="V246" s="349"/>
      <c r="W246" s="349"/>
      <c r="X246" s="349"/>
      <c r="Y246" s="349"/>
    </row>
    <row r="247" spans="1:25" x14ac:dyDescent="0.25">
      <c r="A247" s="2"/>
      <c r="B247" s="19"/>
      <c r="C247" s="19"/>
      <c r="D247" s="15"/>
      <c r="E247" s="2061" t="str">
        <f>Translations!$B$143</f>
        <v>EPRTR är det europeiska registret över utsläpp och överföringar av föroreningar.</v>
      </c>
      <c r="F247" s="1963"/>
      <c r="G247" s="1963"/>
      <c r="H247" s="1963"/>
      <c r="I247" s="1963"/>
      <c r="J247" s="1963"/>
      <c r="K247" s="1963"/>
      <c r="L247" s="1963"/>
      <c r="M247" s="1963"/>
      <c r="N247" s="1963"/>
      <c r="O247" s="6"/>
      <c r="P247" s="15"/>
      <c r="Q247" s="349"/>
      <c r="R247" s="349"/>
      <c r="S247" s="349"/>
      <c r="T247" s="349"/>
      <c r="U247" s="349"/>
      <c r="V247" s="349"/>
      <c r="W247" s="349"/>
      <c r="X247" s="349"/>
      <c r="Y247" s="349"/>
    </row>
    <row r="248" spans="1:25" x14ac:dyDescent="0.25">
      <c r="A248" s="2"/>
      <c r="B248" s="19"/>
      <c r="C248" s="19"/>
      <c r="D248" s="15"/>
      <c r="E248" s="2061" t="str">
        <f>Translations!$B$144</f>
        <v>Behöriga myndigheter behöver sådan information för att göra konsekvenskontroller och ändringar i miljöinformationskällor.</v>
      </c>
      <c r="F248" s="1963"/>
      <c r="G248" s="1963"/>
      <c r="H248" s="1963"/>
      <c r="I248" s="1963"/>
      <c r="J248" s="1963"/>
      <c r="K248" s="1963"/>
      <c r="L248" s="1963"/>
      <c r="M248" s="1963"/>
      <c r="N248" s="1963"/>
      <c r="O248" s="6"/>
      <c r="P248" s="15"/>
      <c r="Q248" s="349"/>
      <c r="R248" s="349"/>
      <c r="S248" s="349"/>
      <c r="T248" s="349"/>
      <c r="U248" s="349"/>
      <c r="V248" s="349"/>
      <c r="W248" s="349"/>
      <c r="X248" s="349"/>
      <c r="Y248" s="349"/>
    </row>
    <row r="249" spans="1:25" ht="13" x14ac:dyDescent="0.25">
      <c r="A249" s="2"/>
      <c r="B249" s="19"/>
      <c r="C249" s="19"/>
      <c r="D249" s="185"/>
      <c r="E249" s="183"/>
      <c r="F249" s="15"/>
      <c r="G249" s="15"/>
      <c r="H249" s="184"/>
      <c r="I249" s="184"/>
      <c r="J249" s="184"/>
      <c r="K249" s="184"/>
      <c r="L249" s="184"/>
      <c r="M249" s="19"/>
      <c r="N249" s="19"/>
      <c r="O249" s="6"/>
      <c r="P249" s="15"/>
      <c r="Q249" s="349"/>
      <c r="R249" s="349"/>
      <c r="S249" s="349"/>
      <c r="T249" s="349"/>
      <c r="U249" s="349"/>
      <c r="V249" s="349"/>
      <c r="W249" s="349"/>
      <c r="X249" s="349"/>
      <c r="Y249" s="349"/>
    </row>
    <row r="250" spans="1:25" ht="15.5" x14ac:dyDescent="0.35">
      <c r="A250" s="2"/>
      <c r="B250" s="3"/>
      <c r="C250" s="11" t="s">
        <v>12</v>
      </c>
      <c r="D250" s="1975" t="str">
        <f>Translations!$B$1399</f>
        <v>Information om den här verksamhetsnivårapporten</v>
      </c>
      <c r="E250" s="1975"/>
      <c r="F250" s="1975"/>
      <c r="G250" s="1975"/>
      <c r="H250" s="1975"/>
      <c r="I250" s="1975"/>
      <c r="J250" s="1975"/>
      <c r="K250" s="1975"/>
      <c r="L250" s="1975"/>
      <c r="M250" s="1975"/>
      <c r="N250" s="1975"/>
      <c r="O250" s="6"/>
      <c r="P250" s="15"/>
      <c r="Q250" s="410"/>
      <c r="R250" s="349"/>
      <c r="S250" s="349"/>
      <c r="T250" s="349"/>
      <c r="U250" s="349"/>
      <c r="V250" s="349"/>
      <c r="W250" s="349"/>
      <c r="X250" s="349"/>
      <c r="Y250" s="349"/>
    </row>
    <row r="251" spans="1:25" ht="5.15" customHeight="1" x14ac:dyDescent="0.25">
      <c r="A251" s="2"/>
      <c r="B251" s="3"/>
      <c r="C251" s="3"/>
      <c r="D251" s="3"/>
      <c r="E251" s="3"/>
      <c r="F251" s="3"/>
      <c r="G251" s="3"/>
      <c r="H251" s="3"/>
      <c r="I251" s="3"/>
      <c r="J251" s="3"/>
      <c r="K251" s="3"/>
      <c r="L251" s="3"/>
      <c r="M251" s="6"/>
      <c r="N251" s="6"/>
      <c r="O251" s="6"/>
      <c r="P251" s="15"/>
      <c r="Q251" s="410"/>
      <c r="R251" s="349"/>
      <c r="S251" s="349"/>
      <c r="T251" s="349"/>
      <c r="U251" s="349"/>
      <c r="V251" s="349"/>
      <c r="W251" s="349"/>
      <c r="X251" s="349"/>
      <c r="Y251" s="349"/>
    </row>
    <row r="252" spans="1:25" ht="14" x14ac:dyDescent="0.3">
      <c r="A252" s="2"/>
      <c r="B252" s="19"/>
      <c r="C252" s="17">
        <v>1</v>
      </c>
      <c r="D252" s="2053" t="str">
        <f>Translations!$B$146</f>
        <v>Berättigande till gratis tilldelning:</v>
      </c>
      <c r="E252" s="1963"/>
      <c r="F252" s="1963"/>
      <c r="G252" s="1963"/>
      <c r="H252" s="1963"/>
      <c r="I252" s="1963"/>
      <c r="J252" s="1963"/>
      <c r="K252" s="1963"/>
      <c r="L252" s="1963"/>
      <c r="M252" s="1963"/>
      <c r="N252" s="1963"/>
      <c r="O252" s="6"/>
      <c r="P252" s="15"/>
      <c r="Q252" s="349"/>
      <c r="R252" s="349"/>
      <c r="S252" s="349"/>
      <c r="T252" s="349"/>
      <c r="U252" s="349"/>
      <c r="V252" s="349"/>
      <c r="W252" s="349"/>
      <c r="X252" s="349"/>
      <c r="Y252" s="349"/>
    </row>
    <row r="253" spans="1:25" ht="5.15" customHeight="1" x14ac:dyDescent="0.25">
      <c r="A253" s="2"/>
      <c r="B253" s="3"/>
      <c r="C253" s="3"/>
      <c r="D253" s="3"/>
      <c r="E253" s="3"/>
      <c r="F253" s="3"/>
      <c r="G253" s="3"/>
      <c r="H253" s="3"/>
      <c r="I253" s="3"/>
      <c r="J253" s="3"/>
      <c r="K253" s="3"/>
      <c r="L253" s="3"/>
      <c r="M253" s="6"/>
      <c r="N253" s="6"/>
      <c r="O253" s="6"/>
      <c r="P253" s="15"/>
      <c r="Q253" s="410"/>
      <c r="R253" s="349"/>
      <c r="S253" s="349"/>
      <c r="T253" s="349"/>
      <c r="U253" s="349"/>
      <c r="V253" s="349"/>
      <c r="W253" s="349"/>
      <c r="X253" s="349"/>
      <c r="Y253" s="349"/>
    </row>
    <row r="254" spans="1:25" ht="13" x14ac:dyDescent="0.25">
      <c r="A254" s="2"/>
      <c r="B254" s="19"/>
      <c r="C254" s="19"/>
      <c r="D254" s="182" t="s">
        <v>442</v>
      </c>
      <c r="E254" s="1943" t="str">
        <f>Translations!$B$147</f>
        <v>Är anläggningen en elproducent i enlighet med artikel 3 u i direktivet?</v>
      </c>
      <c r="F254" s="1963"/>
      <c r="G254" s="1963"/>
      <c r="H254" s="1963"/>
      <c r="I254" s="1963"/>
      <c r="J254" s="1963"/>
      <c r="K254" s="1963"/>
      <c r="L254" s="2060"/>
      <c r="M254" s="2213" t="str">
        <f>c_NIMsSummary!I58</f>
        <v/>
      </c>
      <c r="N254" s="2214"/>
      <c r="O254" s="6"/>
      <c r="Q254" s="349"/>
      <c r="R254" s="349"/>
      <c r="S254" s="349"/>
      <c r="T254" s="349"/>
      <c r="U254" s="349"/>
      <c r="V254" s="349"/>
      <c r="W254" s="349"/>
      <c r="X254" s="349"/>
      <c r="Y254" s="355" t="b">
        <f>OR(CNTR_Incumbent=FALSE,CTRL_InputMethodNIMsvalues=2)</f>
        <v>0</v>
      </c>
    </row>
    <row r="255" spans="1:25" ht="13" x14ac:dyDescent="0.25">
      <c r="A255" s="2"/>
      <c r="B255" s="19"/>
      <c r="C255" s="19"/>
      <c r="D255" s="182"/>
      <c r="E255" s="1028"/>
      <c r="F255" s="1028"/>
      <c r="G255" s="1028"/>
      <c r="H255" s="1028"/>
      <c r="I255" s="1028"/>
      <c r="J255" s="1028"/>
      <c r="K255" s="1028"/>
      <c r="L255" s="1028"/>
      <c r="M255" s="2352"/>
      <c r="N255" s="2353"/>
      <c r="O255" s="6"/>
      <c r="P255" s="1552"/>
      <c r="Q255" s="349"/>
      <c r="R255" s="349"/>
      <c r="S255" s="349"/>
      <c r="T255" s="349"/>
      <c r="U255" s="349"/>
      <c r="V255" s="349"/>
      <c r="W255" s="349"/>
      <c r="X255" s="349"/>
      <c r="Y255" s="355" t="b">
        <f>CTRL_InputMethodNIMsvalues=1</f>
        <v>0</v>
      </c>
    </row>
    <row r="256" spans="1:25" ht="13" x14ac:dyDescent="0.25">
      <c r="A256" s="2"/>
      <c r="B256" s="19"/>
      <c r="C256" s="19"/>
      <c r="D256" s="182"/>
      <c r="E256" s="1028"/>
      <c r="F256" s="1028"/>
      <c r="G256" s="1028"/>
      <c r="H256" s="1028"/>
      <c r="I256" s="1028"/>
      <c r="J256" s="1028"/>
      <c r="K256" s="1028"/>
      <c r="L256" s="1028"/>
      <c r="M256" s="2278" t="str">
        <f>IF(M255="",M254,M255)</f>
        <v/>
      </c>
      <c r="N256" s="2279">
        <f>IF(K255="",K254,K255)</f>
        <v>0</v>
      </c>
      <c r="O256" s="6"/>
      <c r="P256" s="15"/>
      <c r="Q256" s="349"/>
      <c r="R256" s="349"/>
      <c r="S256" s="1628"/>
      <c r="T256" s="1628"/>
      <c r="U256" s="349"/>
      <c r="V256" s="349"/>
      <c r="W256" s="349"/>
      <c r="X256" s="936" t="s">
        <v>2248</v>
      </c>
      <c r="Y256" s="355" t="b">
        <f>AND(CNTR_HasEntries_A_I,M256="")</f>
        <v>0</v>
      </c>
    </row>
    <row r="257" spans="1:25" ht="25.5" customHeight="1" x14ac:dyDescent="0.25">
      <c r="A257" s="2"/>
      <c r="B257" s="19"/>
      <c r="C257" s="19"/>
      <c r="D257" s="15"/>
      <c r="E257" s="2075" t="str">
        <f>Translations!$B$148</f>
        <v>Definition enligt artikel 3 u: ”elproducent: en anläggning som den 1 januari 2005 eller senare har producerat el för försäljning till tredje part och i vilken ingen verksamhet som anges i bilaga I bedrivs utom förbränning av bränsle.”</v>
      </c>
      <c r="F257" s="2075"/>
      <c r="G257" s="2075"/>
      <c r="H257" s="2075"/>
      <c r="I257" s="2075"/>
      <c r="J257" s="2075"/>
      <c r="K257" s="2075"/>
      <c r="L257" s="2075"/>
      <c r="M257" s="2075"/>
      <c r="N257" s="2075"/>
      <c r="O257" s="6"/>
      <c r="P257" s="15"/>
      <c r="Q257" s="349"/>
      <c r="R257" s="349"/>
      <c r="S257" s="349"/>
      <c r="T257" s="349"/>
      <c r="U257" s="349"/>
      <c r="V257" s="349"/>
      <c r="W257" s="349"/>
      <c r="X257" s="349"/>
      <c r="Y257" s="349"/>
    </row>
    <row r="258" spans="1:25" ht="5.15" customHeight="1" x14ac:dyDescent="0.25">
      <c r="A258" s="2"/>
      <c r="B258" s="3"/>
      <c r="C258" s="3"/>
      <c r="D258" s="3"/>
      <c r="E258" s="3"/>
      <c r="F258" s="3"/>
      <c r="G258" s="3"/>
      <c r="H258" s="3"/>
      <c r="I258" s="3"/>
      <c r="J258" s="3"/>
      <c r="K258" s="3"/>
      <c r="L258" s="3"/>
      <c r="M258" s="6"/>
      <c r="N258" s="6"/>
      <c r="O258" s="6"/>
      <c r="P258" s="15"/>
      <c r="Q258" s="410"/>
      <c r="R258" s="349"/>
      <c r="S258" s="349"/>
      <c r="T258" s="349"/>
      <c r="U258" s="349"/>
      <c r="V258" s="349"/>
      <c r="W258" s="349"/>
      <c r="X258" s="349"/>
      <c r="Y258" s="349"/>
    </row>
    <row r="259" spans="1:25" ht="13" x14ac:dyDescent="0.25">
      <c r="A259" s="2"/>
      <c r="B259" s="19"/>
      <c r="C259" s="19"/>
      <c r="D259" s="13" t="s">
        <v>955</v>
      </c>
      <c r="E259" s="1943" t="str">
        <f>Translations!$B$149</f>
        <v>Används anläggningen för avskiljning av koldioxid, transport av koldioxid eller som lagringsplats för koldioxid?</v>
      </c>
      <c r="F259" s="1963"/>
      <c r="G259" s="1963"/>
      <c r="H259" s="1963"/>
      <c r="I259" s="1963"/>
      <c r="J259" s="1963"/>
      <c r="K259" s="1963"/>
      <c r="L259" s="2060"/>
      <c r="M259" s="2213" t="str">
        <f>c_NIMsSummary!M58</f>
        <v/>
      </c>
      <c r="N259" s="2214"/>
      <c r="O259" s="6"/>
      <c r="Q259" s="349"/>
      <c r="R259" s="349"/>
      <c r="S259" s="349"/>
      <c r="T259" s="349"/>
      <c r="U259" s="349"/>
      <c r="V259" s="349"/>
      <c r="W259" s="349"/>
      <c r="X259" s="349"/>
      <c r="Y259" s="355" t="b">
        <f>OR(CNTR_Incumbent=FALSE,CTRL_InputMethodNIMsvalues=2)</f>
        <v>0</v>
      </c>
    </row>
    <row r="260" spans="1:25" ht="13" x14ac:dyDescent="0.25">
      <c r="A260" s="2"/>
      <c r="B260" s="19"/>
      <c r="C260" s="19"/>
      <c r="D260" s="13"/>
      <c r="E260" s="19"/>
      <c r="F260" s="19"/>
      <c r="G260" s="19"/>
      <c r="H260" s="19"/>
      <c r="I260" s="19"/>
      <c r="J260" s="19"/>
      <c r="K260" s="19"/>
      <c r="L260" s="19"/>
      <c r="M260" s="2352"/>
      <c r="N260" s="2353"/>
      <c r="O260" s="6"/>
      <c r="P260" s="1552"/>
      <c r="Q260" s="349"/>
      <c r="R260" s="349"/>
      <c r="S260" s="349"/>
      <c r="T260" s="349"/>
      <c r="U260" s="349"/>
      <c r="V260" s="349"/>
      <c r="W260" s="349"/>
      <c r="X260" s="349"/>
      <c r="Y260" s="355" t="b">
        <f>CTRL_InputMethodNIMsvalues=1</f>
        <v>0</v>
      </c>
    </row>
    <row r="261" spans="1:25" ht="13" x14ac:dyDescent="0.25">
      <c r="A261" s="2"/>
      <c r="B261" s="19"/>
      <c r="C261" s="19"/>
      <c r="D261" s="13"/>
      <c r="E261" s="19"/>
      <c r="F261" s="19"/>
      <c r="G261" s="19"/>
      <c r="H261" s="19"/>
      <c r="I261" s="19"/>
      <c r="J261" s="19"/>
      <c r="K261" s="19"/>
      <c r="L261" s="19"/>
      <c r="M261" s="2278" t="str">
        <f>IF(M260="",M259,M260)</f>
        <v/>
      </c>
      <c r="N261" s="2279">
        <f>IF(K260="",K259,K260)</f>
        <v>0</v>
      </c>
      <c r="O261" s="6"/>
      <c r="P261" s="15"/>
      <c r="Q261" s="349"/>
      <c r="R261" s="349"/>
      <c r="S261" s="349"/>
      <c r="T261" s="349"/>
      <c r="U261" s="349"/>
      <c r="V261" s="349"/>
      <c r="W261" s="349"/>
      <c r="X261" s="936" t="s">
        <v>2248</v>
      </c>
      <c r="Y261" s="355" t="b">
        <f>AND(CNTR_HasEntries_A_I,M261="")</f>
        <v>0</v>
      </c>
    </row>
    <row r="262" spans="1:25" ht="5.15" customHeight="1" x14ac:dyDescent="0.25">
      <c r="A262" s="2"/>
      <c r="B262" s="3"/>
      <c r="C262" s="3"/>
      <c r="D262" s="3"/>
      <c r="E262" s="3"/>
      <c r="F262" s="3"/>
      <c r="G262" s="3"/>
      <c r="H262" s="3"/>
      <c r="I262" s="3"/>
      <c r="J262" s="3"/>
      <c r="K262" s="3"/>
      <c r="L262" s="3"/>
      <c r="M262" s="6"/>
      <c r="N262" s="6"/>
      <c r="O262" s="6"/>
      <c r="P262" s="15"/>
      <c r="Q262" s="410"/>
      <c r="R262" s="349"/>
      <c r="S262" s="349"/>
      <c r="T262" s="349"/>
      <c r="U262" s="349"/>
      <c r="V262" s="349"/>
      <c r="W262" s="349"/>
      <c r="X262" s="349"/>
      <c r="Y262" s="349"/>
    </row>
    <row r="263" spans="1:25" ht="13" x14ac:dyDescent="0.25">
      <c r="A263" s="2"/>
      <c r="B263" s="19"/>
      <c r="C263" s="19"/>
      <c r="D263" s="182" t="s">
        <v>55</v>
      </c>
      <c r="E263" s="1943" t="str">
        <f>Translations!$B$150</f>
        <v>Artikel 10a.3 i ETS-direktivet anses omfatta anläggningen:</v>
      </c>
      <c r="F263" s="1963"/>
      <c r="G263" s="1963"/>
      <c r="H263" s="1963"/>
      <c r="I263" s="1963"/>
      <c r="J263" s="1963"/>
      <c r="K263" s="1963"/>
      <c r="L263" s="2060"/>
      <c r="M263" s="2278" t="str">
        <f>IF(AND(M256="",M261=""),"",IF(OR(M256,M261),TRUE,FALSE))</f>
        <v/>
      </c>
      <c r="N263" s="2279"/>
      <c r="O263" s="6"/>
      <c r="P263" s="15"/>
      <c r="Q263" s="349"/>
      <c r="R263" s="349"/>
      <c r="S263" s="349"/>
      <c r="T263" s="349"/>
      <c r="U263" s="349"/>
      <c r="V263" s="349"/>
      <c r="W263" s="349"/>
      <c r="X263" s="349"/>
      <c r="Y263" s="349"/>
    </row>
    <row r="264" spans="1:25" x14ac:dyDescent="0.25">
      <c r="A264" s="2"/>
      <c r="B264" s="19"/>
      <c r="C264" s="19"/>
      <c r="D264" s="19"/>
      <c r="E264" s="2061" t="str">
        <f>Translations!$B$151</f>
        <v xml:space="preserve">Om svaret på a eller b var ja, är svaret på c per automatik positivt. </v>
      </c>
      <c r="F264" s="1963"/>
      <c r="G264" s="1963"/>
      <c r="H264" s="1963"/>
      <c r="I264" s="1963"/>
      <c r="J264" s="1963"/>
      <c r="K264" s="1963"/>
      <c r="L264" s="1963"/>
      <c r="M264" s="1963"/>
      <c r="N264" s="1963"/>
      <c r="O264" s="6"/>
      <c r="P264" s="15"/>
      <c r="Q264" s="349"/>
      <c r="R264" s="349"/>
      <c r="S264" s="349"/>
      <c r="T264" s="349"/>
      <c r="U264" s="349"/>
      <c r="V264" s="349"/>
      <c r="W264" s="349"/>
      <c r="X264" s="349"/>
      <c r="Y264" s="349"/>
    </row>
    <row r="265" spans="1:25" ht="25.5" customHeight="1" x14ac:dyDescent="0.25">
      <c r="A265" s="2"/>
      <c r="B265" s="19"/>
      <c r="C265" s="19"/>
      <c r="D265" s="19"/>
      <c r="E265" s="2061" t="str">
        <f>Translations!$B$152</f>
        <v>Den linjära faktor som avses i artikel 10a.4 i direktivet tillämpas på tilldelningar till anläggningar som omfattas av artikel 10a.3 i direktivet, utom för de år då dessa tilldelningar justeras på ett enhetligt sätt i enlighet med artikel 10a.5 i direktivet (se även artikel 16.8 i FAR).</v>
      </c>
      <c r="F265" s="1963"/>
      <c r="G265" s="1963"/>
      <c r="H265" s="1963"/>
      <c r="I265" s="1963"/>
      <c r="J265" s="1963"/>
      <c r="K265" s="1963"/>
      <c r="L265" s="1963"/>
      <c r="M265" s="1963"/>
      <c r="N265" s="1963"/>
      <c r="O265" s="6"/>
      <c r="P265" s="15"/>
      <c r="Q265" s="936"/>
      <c r="R265" s="349"/>
      <c r="S265" s="349"/>
      <c r="T265" s="349"/>
      <c r="U265" s="349"/>
      <c r="V265" s="349"/>
      <c r="W265" s="349"/>
      <c r="X265" s="349"/>
      <c r="Y265" s="349"/>
    </row>
    <row r="266" spans="1:25" ht="5.15" customHeight="1" x14ac:dyDescent="0.25">
      <c r="A266" s="2"/>
      <c r="B266" s="3"/>
      <c r="C266" s="3"/>
      <c r="D266" s="3"/>
      <c r="E266" s="3"/>
      <c r="F266" s="3"/>
      <c r="G266" s="3"/>
      <c r="H266" s="3"/>
      <c r="I266" s="3"/>
      <c r="J266" s="3"/>
      <c r="K266" s="3"/>
      <c r="L266" s="3"/>
      <c r="M266" s="6"/>
      <c r="N266" s="6"/>
      <c r="O266" s="6"/>
      <c r="P266" s="15"/>
      <c r="Q266" s="410"/>
      <c r="R266" s="349"/>
      <c r="S266" s="349"/>
      <c r="T266" s="349"/>
      <c r="U266" s="349"/>
      <c r="V266" s="349"/>
      <c r="W266" s="349"/>
      <c r="X266" s="349"/>
      <c r="Y266" s="349"/>
    </row>
    <row r="267" spans="1:25" ht="13" x14ac:dyDescent="0.25">
      <c r="A267" s="2"/>
      <c r="B267" s="19"/>
      <c r="C267" s="19"/>
      <c r="D267" s="182" t="s">
        <v>960</v>
      </c>
      <c r="E267" s="1943" t="str">
        <f>Translations!$B$153</f>
        <v>Producerar anläggningen värme som inte används för elproduktion?</v>
      </c>
      <c r="F267" s="1963"/>
      <c r="G267" s="1963"/>
      <c r="H267" s="1963"/>
      <c r="I267" s="1963"/>
      <c r="J267" s="1963"/>
      <c r="K267" s="1963"/>
      <c r="L267" s="2060"/>
      <c r="M267" s="2213" t="str">
        <f>c_NIMsSummary!M59</f>
        <v/>
      </c>
      <c r="N267" s="2214"/>
      <c r="O267" s="6"/>
      <c r="Q267" s="349"/>
      <c r="R267" s="349"/>
      <c r="S267" s="349"/>
      <c r="T267" s="349"/>
      <c r="U267" s="349"/>
      <c r="V267" s="349"/>
      <c r="W267" s="349"/>
      <c r="X267" s="349"/>
      <c r="Y267" s="355" t="b">
        <f>OR(CNTR_Incumbent=FALSE,CTRL_InputMethodNIMsvalues=2)</f>
        <v>0</v>
      </c>
    </row>
    <row r="268" spans="1:25" ht="13" x14ac:dyDescent="0.25">
      <c r="A268" s="2"/>
      <c r="B268" s="19"/>
      <c r="C268" s="19"/>
      <c r="D268" s="182"/>
      <c r="E268" s="19"/>
      <c r="F268" s="19"/>
      <c r="G268" s="19"/>
      <c r="H268" s="19"/>
      <c r="I268" s="19"/>
      <c r="J268" s="19"/>
      <c r="K268" s="19"/>
      <c r="L268" s="19"/>
      <c r="M268" s="2352"/>
      <c r="N268" s="2353"/>
      <c r="O268" s="6"/>
      <c r="P268" s="1552"/>
      <c r="Q268" s="349"/>
      <c r="R268" s="349"/>
      <c r="S268" s="349"/>
      <c r="T268" s="349"/>
      <c r="U268" s="349"/>
      <c r="V268" s="349"/>
      <c r="W268" s="349"/>
      <c r="X268" s="349"/>
      <c r="Y268" s="355" t="b">
        <f>CTRL_InputMethodNIMsvalues=1</f>
        <v>0</v>
      </c>
    </row>
    <row r="269" spans="1:25" ht="13" x14ac:dyDescent="0.25">
      <c r="A269" s="2"/>
      <c r="B269" s="19"/>
      <c r="C269" s="19"/>
      <c r="D269" s="182"/>
      <c r="E269" s="19"/>
      <c r="F269" s="19"/>
      <c r="G269" s="19"/>
      <c r="H269" s="19"/>
      <c r="I269" s="19"/>
      <c r="J269" s="19"/>
      <c r="K269" s="19"/>
      <c r="L269" s="19"/>
      <c r="M269" s="2278" t="str">
        <f>IF(M268="",M267,M268)</f>
        <v/>
      </c>
      <c r="N269" s="2279">
        <f>IF(K268="",K267,K268)</f>
        <v>0</v>
      </c>
      <c r="O269" s="6"/>
      <c r="P269" s="15"/>
      <c r="Q269" s="349"/>
      <c r="R269" s="349"/>
      <c r="S269" s="349"/>
      <c r="T269" s="349"/>
      <c r="U269" s="349"/>
      <c r="V269" s="349"/>
      <c r="W269" s="349"/>
      <c r="X269" s="936" t="s">
        <v>2248</v>
      </c>
      <c r="Y269" s="355" t="b">
        <f>AND(CNTR_HasEntries_A_I,M269="")</f>
        <v>0</v>
      </c>
    </row>
    <row r="270" spans="1:25" ht="5.15" customHeight="1" x14ac:dyDescent="0.25">
      <c r="A270" s="2"/>
      <c r="B270" s="3"/>
      <c r="C270" s="3"/>
      <c r="D270" s="3"/>
      <c r="E270" s="3"/>
      <c r="F270" s="3"/>
      <c r="G270" s="3"/>
      <c r="H270" s="3"/>
      <c r="I270" s="3"/>
      <c r="J270" s="3"/>
      <c r="K270" s="3"/>
      <c r="L270" s="3"/>
      <c r="M270" s="6"/>
      <c r="N270" s="6"/>
      <c r="O270" s="6"/>
      <c r="P270" s="15"/>
      <c r="Q270" s="410"/>
      <c r="R270" s="349"/>
      <c r="S270" s="349"/>
      <c r="T270" s="349"/>
      <c r="U270" s="349"/>
      <c r="V270" s="349"/>
      <c r="W270" s="349"/>
      <c r="X270" s="349"/>
      <c r="Y270" s="349"/>
    </row>
    <row r="271" spans="1:25" x14ac:dyDescent="0.25">
      <c r="A271" s="2"/>
      <c r="B271" s="19"/>
      <c r="C271" s="19"/>
      <c r="D271" s="19"/>
      <c r="E271" s="2215" t="str">
        <f>IF(CNTR_HasEntries_A_I,IF(COUNTA(M256,M261,M269)&lt;3,EUconst_ERR_Mandatory_abd,""),"")</f>
        <v/>
      </c>
      <c r="F271" s="2215"/>
      <c r="G271" s="2215"/>
      <c r="H271" s="2215"/>
      <c r="I271" s="2215"/>
      <c r="J271" s="2215"/>
      <c r="K271" s="2215"/>
      <c r="L271" s="2215"/>
      <c r="M271" s="2215"/>
      <c r="N271" s="2215"/>
      <c r="O271" s="6"/>
      <c r="P271" s="15"/>
      <c r="Q271" s="349"/>
      <c r="R271" s="349"/>
      <c r="S271" s="349"/>
      <c r="T271" s="349"/>
      <c r="U271" s="349"/>
      <c r="V271" s="349"/>
      <c r="W271" s="349"/>
      <c r="X271" s="349"/>
      <c r="Y271" s="349"/>
    </row>
    <row r="272" spans="1:25" ht="5.15" customHeight="1" x14ac:dyDescent="0.25">
      <c r="A272" s="2"/>
      <c r="B272" s="3"/>
      <c r="C272" s="3"/>
      <c r="D272" s="3"/>
      <c r="E272" s="3"/>
      <c r="F272" s="3"/>
      <c r="G272" s="3"/>
      <c r="H272" s="3"/>
      <c r="I272" s="3"/>
      <c r="J272" s="3"/>
      <c r="K272" s="3"/>
      <c r="L272" s="3"/>
      <c r="M272" s="6"/>
      <c r="N272" s="6"/>
      <c r="O272" s="6"/>
      <c r="P272" s="15"/>
      <c r="Q272" s="410"/>
      <c r="R272" s="349"/>
      <c r="S272" s="349"/>
      <c r="T272" s="349"/>
      <c r="U272" s="349"/>
      <c r="V272" s="349"/>
      <c r="W272" s="349"/>
      <c r="X272" s="349"/>
      <c r="Y272" s="349"/>
    </row>
    <row r="273" spans="1:25" ht="13" thickBot="1" x14ac:dyDescent="0.3">
      <c r="A273" s="2"/>
      <c r="B273" s="19"/>
      <c r="C273" s="19"/>
      <c r="D273" s="19"/>
      <c r="E273" s="19"/>
      <c r="F273" s="19"/>
      <c r="G273" s="19"/>
      <c r="H273" s="19"/>
      <c r="I273" s="19"/>
      <c r="J273" s="19"/>
      <c r="K273" s="19"/>
      <c r="L273" s="19"/>
      <c r="M273" s="19"/>
      <c r="N273" s="19"/>
      <c r="O273" s="6"/>
      <c r="P273" s="15"/>
      <c r="Q273" s="349"/>
      <c r="R273" s="349"/>
      <c r="S273" s="349"/>
      <c r="T273" s="349"/>
      <c r="U273" s="349"/>
      <c r="V273" s="349"/>
      <c r="W273" s="349"/>
      <c r="X273" s="349"/>
      <c r="Y273" s="349"/>
    </row>
    <row r="274" spans="1:25" ht="5.15" customHeight="1" x14ac:dyDescent="0.25">
      <c r="A274" s="2"/>
      <c r="B274" s="3"/>
      <c r="C274" s="140"/>
      <c r="D274" s="139"/>
      <c r="E274" s="139"/>
      <c r="F274" s="139"/>
      <c r="G274" s="139"/>
      <c r="H274" s="139"/>
      <c r="I274" s="139"/>
      <c r="J274" s="139"/>
      <c r="K274" s="139"/>
      <c r="L274" s="139"/>
      <c r="M274" s="138"/>
      <c r="N274" s="138"/>
      <c r="O274" s="895"/>
      <c r="P274" s="15"/>
      <c r="Q274" s="410"/>
      <c r="R274" s="349"/>
      <c r="S274" s="349"/>
      <c r="T274" s="349"/>
      <c r="U274" s="349"/>
      <c r="V274" s="349"/>
      <c r="W274" s="349"/>
      <c r="X274" s="349"/>
      <c r="Y274" s="349"/>
    </row>
    <row r="275" spans="1:25" ht="13" x14ac:dyDescent="0.25">
      <c r="A275" s="2"/>
      <c r="B275" s="19"/>
      <c r="C275" s="137"/>
      <c r="D275" s="13" t="s">
        <v>65</v>
      </c>
      <c r="E275" s="1943" t="str">
        <f>Translations!$B$154</f>
        <v>Bekräftelse på icke-berättigande till gratis tilldelning:</v>
      </c>
      <c r="F275" s="1963"/>
      <c r="G275" s="1963"/>
      <c r="H275" s="1963"/>
      <c r="I275" s="1963"/>
      <c r="J275" s="1963"/>
      <c r="K275" s="1963"/>
      <c r="L275" s="1963"/>
      <c r="M275" s="1963"/>
      <c r="N275" s="1963"/>
      <c r="O275" s="896"/>
      <c r="P275" s="15"/>
      <c r="Q275" s="349"/>
      <c r="R275" s="349"/>
      <c r="S275" s="349"/>
      <c r="T275" s="349"/>
      <c r="U275" s="349"/>
      <c r="V275" s="349"/>
      <c r="W275" s="349"/>
      <c r="X275" s="349"/>
      <c r="Y275" s="349"/>
    </row>
    <row r="276" spans="1:25" ht="5.15" customHeight="1" x14ac:dyDescent="0.25">
      <c r="A276" s="2"/>
      <c r="B276" s="3"/>
      <c r="C276" s="136"/>
      <c r="D276" s="3"/>
      <c r="E276" s="3"/>
      <c r="F276" s="3"/>
      <c r="G276" s="3"/>
      <c r="H276" s="3"/>
      <c r="I276" s="3"/>
      <c r="J276" s="3"/>
      <c r="K276" s="3"/>
      <c r="L276" s="3"/>
      <c r="M276" s="6"/>
      <c r="N276" s="6"/>
      <c r="O276" s="896"/>
      <c r="P276" s="15"/>
      <c r="Q276" s="410"/>
      <c r="R276" s="349"/>
      <c r="S276" s="349"/>
      <c r="T276" s="349"/>
      <c r="U276" s="349"/>
      <c r="V276" s="349"/>
      <c r="W276" s="349"/>
      <c r="X276" s="349"/>
      <c r="Y276" s="349"/>
    </row>
    <row r="277" spans="1:25" ht="25.5" customHeight="1" x14ac:dyDescent="0.25">
      <c r="A277" s="2"/>
      <c r="B277" s="19"/>
      <c r="C277" s="137"/>
      <c r="D277" s="19"/>
      <c r="E277" s="2216" t="str">
        <f>Translations!$B$155</f>
        <v>Om svaret på a eller b är positivt och om svaret på d är negativt är anläggningen inte berättigad till gratis tilldelning enligt artikel 10a i ETS-direktivet. Var god bekräfta om detta stämmer in på er anläggning:</v>
      </c>
      <c r="F277" s="2216"/>
      <c r="G277" s="2216"/>
      <c r="H277" s="2216"/>
      <c r="I277" s="2216"/>
      <c r="J277" s="2216"/>
      <c r="K277" s="2216"/>
      <c r="L277" s="2216"/>
      <c r="M277" s="2216"/>
      <c r="N277" s="2216"/>
      <c r="O277" s="896"/>
      <c r="P277" s="15"/>
      <c r="Q277" s="349"/>
      <c r="R277" s="349"/>
      <c r="S277" s="349"/>
      <c r="T277" s="349"/>
      <c r="U277" s="349"/>
      <c r="V277" s="349"/>
      <c r="W277" s="349"/>
      <c r="X277" s="349"/>
      <c r="Y277" s="349"/>
    </row>
    <row r="278" spans="1:25" x14ac:dyDescent="0.25">
      <c r="A278" s="2"/>
      <c r="B278" s="19"/>
      <c r="C278" s="137"/>
      <c r="D278" s="19"/>
      <c r="E278" s="2354"/>
      <c r="F278" s="2355"/>
      <c r="G278" s="2355"/>
      <c r="H278" s="2355"/>
      <c r="I278" s="2355"/>
      <c r="J278" s="2355"/>
      <c r="K278" s="2355"/>
      <c r="L278" s="2355"/>
      <c r="M278" s="2355"/>
      <c r="N278" s="2356"/>
      <c r="O278" s="896"/>
      <c r="P278" s="15"/>
      <c r="Q278" s="349"/>
      <c r="R278" s="349"/>
      <c r="S278" s="349"/>
      <c r="T278" s="349"/>
      <c r="U278" s="349"/>
      <c r="V278" s="349"/>
      <c r="W278" s="349"/>
      <c r="X278" s="349"/>
      <c r="Y278" s="349"/>
    </row>
    <row r="279" spans="1:25" ht="5.15" customHeight="1" x14ac:dyDescent="0.25">
      <c r="A279" s="2"/>
      <c r="B279" s="3"/>
      <c r="C279" s="136"/>
      <c r="D279" s="3"/>
      <c r="E279" s="3"/>
      <c r="F279" s="3"/>
      <c r="G279" s="3"/>
      <c r="H279" s="3"/>
      <c r="I279" s="3"/>
      <c r="J279" s="3"/>
      <c r="K279" s="3"/>
      <c r="L279" s="3"/>
      <c r="M279" s="6"/>
      <c r="N279" s="6"/>
      <c r="O279" s="896"/>
      <c r="P279" s="15"/>
      <c r="Q279" s="410"/>
      <c r="R279" s="349"/>
      <c r="S279" s="349"/>
      <c r="T279" s="349"/>
      <c r="U279" s="349"/>
      <c r="V279" s="349"/>
      <c r="W279" s="349"/>
      <c r="X279" s="349"/>
      <c r="Y279" s="349"/>
    </row>
    <row r="280" spans="1:25" x14ac:dyDescent="0.25">
      <c r="A280" s="2"/>
      <c r="B280" s="19"/>
      <c r="C280" s="137"/>
      <c r="D280" s="19"/>
      <c r="E280" s="2375" t="str">
        <f>Translations!$B$156</f>
        <v>Viktig anmärkning:</v>
      </c>
      <c r="F280" s="1963"/>
      <c r="G280" s="1963"/>
      <c r="H280" s="1963"/>
      <c r="I280" s="1963"/>
      <c r="J280" s="1963"/>
      <c r="K280" s="1963"/>
      <c r="L280" s="1963"/>
      <c r="M280" s="1963"/>
      <c r="N280" s="1963"/>
      <c r="O280" s="896"/>
      <c r="P280" s="15"/>
      <c r="Q280" s="349"/>
      <c r="R280" s="349"/>
      <c r="S280" s="349"/>
      <c r="T280" s="349"/>
      <c r="U280" s="349"/>
      <c r="V280" s="349"/>
      <c r="W280" s="349"/>
      <c r="X280" s="349"/>
      <c r="Y280" s="349"/>
    </row>
    <row r="281" spans="1:25" ht="40" customHeight="1" x14ac:dyDescent="0.25">
      <c r="A281" s="2"/>
      <c r="B281" s="19"/>
      <c r="C281" s="137"/>
      <c r="D281" s="19"/>
      <c r="E281" s="2216" t="str">
        <f>Translations!$B$157</f>
        <v>Om anläggningen inte är berättigad till gratis tilldelning enligt artikel 10a i ETS-direktivet finns ingen skyldighet att rapportera ytterligare utförliga uppgifter i följande datablad. Endast detta blad (”A_InstallationData”) måste fyllas i.</v>
      </c>
      <c r="F281" s="2216"/>
      <c r="G281" s="2216"/>
      <c r="H281" s="2216"/>
      <c r="I281" s="2216"/>
      <c r="J281" s="2216"/>
      <c r="K281" s="2216"/>
      <c r="L281" s="2216"/>
      <c r="M281" s="2216"/>
      <c r="N281" s="2216"/>
      <c r="O281" s="896"/>
      <c r="P281" s="15"/>
      <c r="Q281" s="349"/>
      <c r="R281" s="349"/>
      <c r="S281" s="349"/>
      <c r="T281" s="349"/>
      <c r="U281" s="349"/>
      <c r="V281" s="349"/>
      <c r="W281" s="349"/>
      <c r="X281" s="349"/>
      <c r="Y281" s="349"/>
    </row>
    <row r="282" spans="1:25" ht="13" x14ac:dyDescent="0.25">
      <c r="A282" s="2"/>
      <c r="B282" s="19"/>
      <c r="C282" s="137"/>
      <c r="D282" s="19"/>
      <c r="E282" s="2216" t="str">
        <f>Translations!$B$158</f>
        <v>Om inga ytterligare uppgifter måste rapporteras behöver inte heller rapporten verifieras.</v>
      </c>
      <c r="F282" s="2216"/>
      <c r="G282" s="2216"/>
      <c r="H282" s="2216"/>
      <c r="I282" s="2216"/>
      <c r="J282" s="2216"/>
      <c r="K282" s="2216"/>
      <c r="L282" s="2216"/>
      <c r="M282" s="2216"/>
      <c r="N282" s="2216"/>
      <c r="O282" s="896"/>
      <c r="P282" s="15"/>
      <c r="Q282" s="349"/>
      <c r="R282" s="349"/>
      <c r="S282" s="349"/>
      <c r="T282" s="349"/>
      <c r="U282" s="349"/>
      <c r="V282" s="349"/>
      <c r="W282" s="349"/>
      <c r="X282" s="349"/>
      <c r="Y282" s="349"/>
    </row>
    <row r="283" spans="1:25" ht="25.5" customHeight="1" x14ac:dyDescent="0.25">
      <c r="A283" s="2"/>
      <c r="B283" s="19"/>
      <c r="C283" s="137"/>
      <c r="D283" s="19"/>
      <c r="E283" s="2216" t="str">
        <f>Translations!$B$159</f>
        <v>Denna rapport och framför allt svaren på punkterna a–f har inte någon påverkan på eventuell gratis tilldelning enligt artikel 10c i ETS-direktivet (”Möjlighet till gratis tilldelning för moderniseringen av elproduktionen under en övergångsperiod”).</v>
      </c>
      <c r="F283" s="2216"/>
      <c r="G283" s="2216"/>
      <c r="H283" s="2216"/>
      <c r="I283" s="2216"/>
      <c r="J283" s="2216"/>
      <c r="K283" s="2216"/>
      <c r="L283" s="2216"/>
      <c r="M283" s="2216"/>
      <c r="N283" s="2216"/>
      <c r="O283" s="896"/>
      <c r="P283" s="15"/>
      <c r="Q283" s="349"/>
      <c r="R283" s="349"/>
      <c r="S283" s="349"/>
      <c r="T283" s="349"/>
      <c r="U283" s="349"/>
      <c r="V283" s="349"/>
      <c r="W283" s="349"/>
      <c r="X283" s="349"/>
      <c r="Y283" s="349"/>
    </row>
    <row r="284" spans="1:25" x14ac:dyDescent="0.25">
      <c r="A284" s="2"/>
      <c r="B284" s="19"/>
      <c r="C284" s="137"/>
      <c r="D284" s="19"/>
      <c r="E284" s="19"/>
      <c r="F284" s="19"/>
      <c r="G284" s="19"/>
      <c r="H284" s="19"/>
      <c r="I284" s="19"/>
      <c r="J284" s="19"/>
      <c r="K284" s="19"/>
      <c r="L284" s="19"/>
      <c r="M284" s="19"/>
      <c r="N284" s="19"/>
      <c r="O284" s="896"/>
      <c r="P284" s="15"/>
      <c r="Q284" s="349"/>
      <c r="R284" s="349"/>
      <c r="S284" s="349"/>
      <c r="T284" s="349"/>
      <c r="U284" s="349"/>
      <c r="V284" s="349"/>
      <c r="W284" s="349"/>
      <c r="X284" s="349"/>
      <c r="Y284" s="349"/>
    </row>
    <row r="285" spans="1:25" ht="13" x14ac:dyDescent="0.25">
      <c r="A285" s="2"/>
      <c r="B285" s="19"/>
      <c r="C285" s="137"/>
      <c r="D285" s="13" t="s">
        <v>66</v>
      </c>
      <c r="E285" s="1943" t="str">
        <f>Translations!$B$1400</f>
        <v>Bekräftelse om berättigande till gratis tilldelning:</v>
      </c>
      <c r="F285" s="1963"/>
      <c r="G285" s="1963"/>
      <c r="H285" s="1963"/>
      <c r="I285" s="1963"/>
      <c r="J285" s="1963"/>
      <c r="K285" s="1963"/>
      <c r="L285" s="1963"/>
      <c r="M285" s="1963"/>
      <c r="N285" s="1963"/>
      <c r="O285" s="896"/>
      <c r="P285" s="15"/>
      <c r="Q285" s="349"/>
      <c r="R285" s="349"/>
      <c r="S285" s="349"/>
      <c r="T285" s="349"/>
      <c r="U285" s="349"/>
      <c r="V285" s="349"/>
      <c r="W285" s="349"/>
      <c r="X285" s="349"/>
      <c r="Y285" s="349"/>
    </row>
    <row r="286" spans="1:25" ht="5.15" customHeight="1" x14ac:dyDescent="0.25">
      <c r="A286" s="2"/>
      <c r="B286" s="3"/>
      <c r="C286" s="136"/>
      <c r="D286" s="3"/>
      <c r="E286" s="3"/>
      <c r="F286" s="3"/>
      <c r="G286" s="3"/>
      <c r="H286" s="3"/>
      <c r="I286" s="3"/>
      <c r="J286" s="3"/>
      <c r="K286" s="3"/>
      <c r="L286" s="3"/>
      <c r="M286" s="6"/>
      <c r="N286" s="6"/>
      <c r="O286" s="896"/>
      <c r="P286" s="15"/>
      <c r="Q286" s="410"/>
      <c r="R286" s="349"/>
      <c r="S286" s="349"/>
      <c r="T286" s="349"/>
      <c r="U286" s="349"/>
      <c r="V286" s="349"/>
      <c r="W286" s="349"/>
      <c r="X286" s="349"/>
      <c r="Y286" s="349"/>
    </row>
    <row r="287" spans="1:25" ht="40" customHeight="1" x14ac:dyDescent="0.25">
      <c r="A287" s="2"/>
      <c r="B287" s="19"/>
      <c r="C287" s="137"/>
      <c r="D287" s="19"/>
      <c r="E287" s="2216" t="str">
        <f>Translations!$B$160</f>
        <v>Om svaret på a och b båda är negativa, eller om svaret på d är positivt kan anläggningen anses vara berättigad till gratis tilldelning enligt artikel 10a i ETS-direktivet. Om detta stämmer in på er anläggning, var god bekräfta att ni ansöker om gratis tilldelning av utsläppsrätter enligt artikel 10a:</v>
      </c>
      <c r="F287" s="2216"/>
      <c r="G287" s="2216"/>
      <c r="H287" s="2216"/>
      <c r="I287" s="2216"/>
      <c r="J287" s="2216"/>
      <c r="K287" s="2216"/>
      <c r="L287" s="2216"/>
      <c r="M287" s="2216"/>
      <c r="N287" s="2216"/>
      <c r="O287" s="896"/>
      <c r="P287" s="15"/>
      <c r="Q287" s="349"/>
      <c r="R287" s="349"/>
      <c r="S287" s="349"/>
      <c r="T287" s="349"/>
      <c r="U287" s="349"/>
      <c r="V287" s="349"/>
      <c r="W287" s="349"/>
      <c r="X287" s="349"/>
      <c r="Y287" s="349"/>
    </row>
    <row r="288" spans="1:25" x14ac:dyDescent="0.25">
      <c r="A288" s="2"/>
      <c r="B288" s="19"/>
      <c r="C288" s="137"/>
      <c r="D288" s="19"/>
      <c r="E288" s="2219"/>
      <c r="F288" s="2220"/>
      <c r="G288" s="2220"/>
      <c r="H288" s="2220"/>
      <c r="I288" s="2220"/>
      <c r="J288" s="2220"/>
      <c r="K288" s="2220"/>
      <c r="L288" s="2220"/>
      <c r="M288" s="2220"/>
      <c r="N288" s="2221"/>
      <c r="O288" s="896"/>
      <c r="P288" s="15"/>
      <c r="Q288" s="349"/>
      <c r="R288" s="349"/>
      <c r="S288" s="349"/>
      <c r="T288" s="349"/>
      <c r="U288" s="349"/>
      <c r="V288" s="349"/>
      <c r="W288" s="349"/>
      <c r="X288" s="349"/>
      <c r="Y288" s="349"/>
    </row>
    <row r="289" spans="1:25" ht="5.15" customHeight="1" x14ac:dyDescent="0.25">
      <c r="A289" s="2"/>
      <c r="B289" s="19"/>
      <c r="C289" s="137"/>
      <c r="D289" s="19"/>
      <c r="E289" s="19"/>
      <c r="F289" s="19"/>
      <c r="G289" s="19"/>
      <c r="H289" s="19"/>
      <c r="I289" s="19"/>
      <c r="J289" s="19"/>
      <c r="K289" s="19"/>
      <c r="L289" s="19"/>
      <c r="M289" s="19"/>
      <c r="N289" s="19"/>
      <c r="O289" s="896"/>
      <c r="P289" s="15"/>
      <c r="Q289" s="349"/>
      <c r="R289" s="349"/>
      <c r="S289" s="349"/>
      <c r="T289" s="349"/>
      <c r="U289" s="349"/>
      <c r="V289" s="349"/>
      <c r="W289" s="349"/>
      <c r="X289" s="349"/>
      <c r="Y289" s="349"/>
    </row>
    <row r="290" spans="1:25" x14ac:dyDescent="0.25">
      <c r="A290" s="2"/>
      <c r="B290" s="19"/>
      <c r="C290" s="137"/>
      <c r="D290" s="19"/>
      <c r="E290" s="2215" t="str">
        <f>IF(CNTR_HasEntries_A_I,IF(OR(AND(E278="",E288=""),AND(E278&lt;&gt;"",E288&lt;&gt;"")),EUconst_ERR_Mandatory_ef,""),"")</f>
        <v/>
      </c>
      <c r="F290" s="2215"/>
      <c r="G290" s="2215"/>
      <c r="H290" s="2215"/>
      <c r="I290" s="2215"/>
      <c r="J290" s="2215"/>
      <c r="K290" s="2215"/>
      <c r="L290" s="2215"/>
      <c r="M290" s="2215"/>
      <c r="N290" s="2215"/>
      <c r="O290" s="896"/>
      <c r="P290" s="15"/>
      <c r="Q290" s="349"/>
      <c r="R290" s="349"/>
      <c r="S290" s="349"/>
      <c r="T290" s="349"/>
      <c r="U290" s="349"/>
      <c r="V290" s="349"/>
      <c r="W290" s="349"/>
      <c r="X290" s="936" t="s">
        <v>2248</v>
      </c>
      <c r="Y290" s="355" t="b">
        <f>AND(CNTR_HasEntries_A_I,E290&lt;&gt;"")</f>
        <v>0</v>
      </c>
    </row>
    <row r="291" spans="1:25" ht="5.15" customHeight="1" thickBot="1" x14ac:dyDescent="0.3">
      <c r="A291" s="2"/>
      <c r="B291" s="3"/>
      <c r="C291" s="135"/>
      <c r="D291" s="134"/>
      <c r="E291" s="134"/>
      <c r="F291" s="134"/>
      <c r="G291" s="134"/>
      <c r="H291" s="134"/>
      <c r="I291" s="134"/>
      <c r="J291" s="134"/>
      <c r="K291" s="134"/>
      <c r="L291" s="134"/>
      <c r="M291" s="133"/>
      <c r="N291" s="133"/>
      <c r="O291" s="897"/>
      <c r="P291" s="15"/>
      <c r="Q291" s="410"/>
      <c r="R291" s="349"/>
      <c r="S291" s="349"/>
      <c r="T291" s="349"/>
      <c r="U291" s="349"/>
      <c r="V291" s="349"/>
      <c r="W291" s="349"/>
      <c r="X291" s="349"/>
      <c r="Y291" s="349"/>
    </row>
    <row r="292" spans="1:25" ht="13" thickBot="1" x14ac:dyDescent="0.3">
      <c r="A292" s="2"/>
      <c r="B292" s="19"/>
      <c r="C292" s="19"/>
      <c r="D292" s="19"/>
      <c r="E292" s="19"/>
      <c r="F292" s="19"/>
      <c r="G292" s="19"/>
      <c r="H292" s="19"/>
      <c r="I292" s="19"/>
      <c r="J292" s="19"/>
      <c r="K292" s="19"/>
      <c r="L292" s="19"/>
      <c r="M292" s="19"/>
      <c r="N292" s="19"/>
      <c r="O292" s="6"/>
      <c r="P292" s="15"/>
      <c r="Q292" s="349"/>
      <c r="R292" s="349"/>
      <c r="S292" s="349"/>
      <c r="T292" s="349"/>
      <c r="U292" s="349"/>
      <c r="V292" s="349"/>
      <c r="W292" s="349"/>
      <c r="X292" s="349"/>
      <c r="Y292" s="349"/>
    </row>
    <row r="293" spans="1:25" ht="5.15" customHeight="1" x14ac:dyDescent="0.25">
      <c r="A293" s="2"/>
      <c r="B293" s="3"/>
      <c r="C293" s="140"/>
      <c r="D293" s="139"/>
      <c r="E293" s="139"/>
      <c r="F293" s="139"/>
      <c r="G293" s="139"/>
      <c r="H293" s="139"/>
      <c r="I293" s="139"/>
      <c r="J293" s="139"/>
      <c r="K293" s="139"/>
      <c r="L293" s="139"/>
      <c r="M293" s="138"/>
      <c r="N293" s="138"/>
      <c r="O293" s="895"/>
      <c r="P293" s="15"/>
      <c r="Q293" s="410"/>
      <c r="R293" s="349"/>
      <c r="S293" s="349"/>
      <c r="T293" s="349"/>
      <c r="U293" s="349"/>
      <c r="V293" s="349"/>
      <c r="W293" s="349"/>
      <c r="X293" s="349"/>
      <c r="Y293" s="349"/>
    </row>
    <row r="294" spans="1:25" ht="13" x14ac:dyDescent="0.25">
      <c r="A294" s="2"/>
      <c r="B294" s="19"/>
      <c r="C294" s="137"/>
      <c r="D294" s="13" t="s">
        <v>299</v>
      </c>
      <c r="E294" s="1943" t="str">
        <f>Translations!$B$161</f>
        <v>Samtycke till användning av uppgifter i denna fil:</v>
      </c>
      <c r="F294" s="1963"/>
      <c r="G294" s="1963"/>
      <c r="H294" s="1963"/>
      <c r="I294" s="1963"/>
      <c r="J294" s="1963"/>
      <c r="K294" s="1963"/>
      <c r="L294" s="1963"/>
      <c r="M294" s="1963"/>
      <c r="N294" s="1963"/>
      <c r="O294" s="896"/>
      <c r="P294" s="15"/>
      <c r="Q294" s="349"/>
      <c r="R294" s="349"/>
      <c r="S294" s="349"/>
      <c r="T294" s="349"/>
      <c r="U294" s="349"/>
      <c r="V294" s="349"/>
      <c r="W294" s="349"/>
      <c r="X294" s="349"/>
      <c r="Y294" s="349"/>
    </row>
    <row r="295" spans="1:25" ht="51" customHeight="1" x14ac:dyDescent="0.25">
      <c r="A295" s="2"/>
      <c r="B295" s="19"/>
      <c r="C295" s="137"/>
      <c r="D295" s="19"/>
      <c r="E295" s="2216" t="str">
        <f>Translations!$B$162</f>
        <v>Den behöriga myndigheten kommer att använda uppgifterna i denna fil för att besluta om gratis tilldelning i enlighet med artikel 10a i ETS-direktivet. Kommissionen kommer att använda uppgifterna för att uppdatera riktmärkesvärdena. Vidare kommer uppgifterna att delges kommissionen helt eller delvis, om så begärs, för att kommissionen ska kunna granska de nationella genomförandeåtgärderna i enlighet med artikel 11.1 i ETS-direktivet.</v>
      </c>
      <c r="F295" s="2216"/>
      <c r="G295" s="2216"/>
      <c r="H295" s="2216"/>
      <c r="I295" s="2216"/>
      <c r="J295" s="2216"/>
      <c r="K295" s="2216"/>
      <c r="L295" s="2216"/>
      <c r="M295" s="2216"/>
      <c r="N295" s="2216"/>
      <c r="O295" s="896"/>
      <c r="P295" s="15"/>
      <c r="Q295" s="349"/>
      <c r="R295" s="349"/>
      <c r="S295" s="349"/>
      <c r="T295" s="349"/>
      <c r="U295" s="349"/>
      <c r="V295" s="349"/>
      <c r="W295" s="349"/>
      <c r="X295" s="349"/>
      <c r="Y295" s="349"/>
    </row>
    <row r="296" spans="1:25" ht="15" customHeight="1" x14ac:dyDescent="0.25">
      <c r="A296" s="2"/>
      <c r="B296" s="19"/>
      <c r="C296" s="137"/>
      <c r="D296" s="19"/>
      <c r="E296" s="2216" t="str">
        <f>Translations!$B$163</f>
        <v>Om verksamhetsutövaren bekräftar punkt e eller f ovan antas det automatiskt att detta även är en bekräftelse på samtycke till användning av uppgifterna i filen.</v>
      </c>
      <c r="F296" s="2216"/>
      <c r="G296" s="2216"/>
      <c r="H296" s="2216"/>
      <c r="I296" s="2216"/>
      <c r="J296" s="2216"/>
      <c r="K296" s="2216"/>
      <c r="L296" s="2216"/>
      <c r="M296" s="2216"/>
      <c r="N296" s="2216"/>
      <c r="O296" s="896"/>
      <c r="P296" s="15"/>
      <c r="Q296" s="349"/>
      <c r="R296" s="349"/>
      <c r="S296" s="349"/>
      <c r="T296" s="349"/>
      <c r="U296" s="349"/>
      <c r="V296" s="349"/>
      <c r="W296" s="349"/>
      <c r="X296" s="349"/>
      <c r="Y296" s="349"/>
    </row>
    <row r="297" spans="1:25" x14ac:dyDescent="0.25">
      <c r="A297" s="2"/>
      <c r="B297" s="19"/>
      <c r="C297" s="137"/>
      <c r="D297" s="19"/>
      <c r="E297" s="2357" t="str">
        <f>IF(AND(E278="",E288=""),"",EUconst_ConfirmAllowUseOfData)</f>
        <v/>
      </c>
      <c r="F297" s="2358"/>
      <c r="G297" s="2358"/>
      <c r="H297" s="2358"/>
      <c r="I297" s="2358"/>
      <c r="J297" s="2358"/>
      <c r="K297" s="2358"/>
      <c r="L297" s="2358"/>
      <c r="M297" s="2358"/>
      <c r="N297" s="2359"/>
      <c r="O297" s="896"/>
      <c r="P297" s="15"/>
      <c r="Q297" s="349"/>
      <c r="R297" s="349"/>
      <c r="S297" s="349"/>
      <c r="T297" s="349"/>
      <c r="U297" s="349"/>
      <c r="V297" s="349"/>
      <c r="W297" s="349"/>
      <c r="X297" s="349"/>
      <c r="Y297" s="349"/>
    </row>
    <row r="298" spans="1:25" ht="5.15" customHeight="1" thickBot="1" x14ac:dyDescent="0.3">
      <c r="A298" s="2"/>
      <c r="B298" s="3"/>
      <c r="C298" s="135"/>
      <c r="D298" s="134"/>
      <c r="E298" s="134"/>
      <c r="F298" s="134"/>
      <c r="G298" s="134"/>
      <c r="H298" s="134"/>
      <c r="I298" s="134"/>
      <c r="J298" s="134"/>
      <c r="K298" s="134"/>
      <c r="L298" s="134"/>
      <c r="M298" s="133"/>
      <c r="N298" s="133"/>
      <c r="O298" s="897"/>
      <c r="P298" s="15"/>
      <c r="Q298" s="410"/>
      <c r="R298" s="349"/>
      <c r="S298" s="349"/>
      <c r="T298" s="349"/>
      <c r="U298" s="349"/>
      <c r="V298" s="349"/>
      <c r="W298" s="349"/>
      <c r="X298" s="349"/>
      <c r="Y298" s="349"/>
    </row>
    <row r="299" spans="1:25" x14ac:dyDescent="0.25">
      <c r="A299" s="2"/>
      <c r="B299" s="19"/>
      <c r="C299" s="19"/>
      <c r="D299" s="19"/>
      <c r="E299" s="19"/>
      <c r="F299" s="19"/>
      <c r="G299" s="19"/>
      <c r="H299" s="19"/>
      <c r="I299" s="19"/>
      <c r="J299" s="19"/>
      <c r="K299" s="19"/>
      <c r="L299" s="19"/>
      <c r="M299" s="19"/>
      <c r="N299" s="19"/>
      <c r="O299" s="6"/>
      <c r="P299" s="15"/>
      <c r="Q299" s="349"/>
      <c r="R299" s="349"/>
      <c r="S299" s="349"/>
      <c r="T299" s="349"/>
      <c r="U299" s="349"/>
      <c r="V299" s="349"/>
      <c r="W299" s="349"/>
      <c r="X299" s="349"/>
      <c r="Y299" s="349"/>
    </row>
    <row r="300" spans="1:25" ht="15.5" x14ac:dyDescent="0.35">
      <c r="A300" s="2"/>
      <c r="B300" s="3"/>
      <c r="C300" s="11" t="s">
        <v>696</v>
      </c>
      <c r="D300" s="1975" t="str">
        <f>Translations!$B$179</f>
        <v>Förteckning över tekniska anslutningar</v>
      </c>
      <c r="E300" s="1975"/>
      <c r="F300" s="1975"/>
      <c r="G300" s="1975"/>
      <c r="H300" s="1975"/>
      <c r="I300" s="1975"/>
      <c r="J300" s="1975"/>
      <c r="K300" s="1975"/>
      <c r="L300" s="1975"/>
      <c r="M300" s="1975"/>
      <c r="N300" s="1975"/>
      <c r="O300" s="6"/>
      <c r="P300" s="15"/>
      <c r="Q300" s="410"/>
      <c r="R300" s="349"/>
      <c r="S300" s="349"/>
      <c r="T300" s="349"/>
      <c r="U300" s="349"/>
      <c r="V300" s="349"/>
      <c r="W300" s="349"/>
      <c r="X300" s="349"/>
      <c r="Y300" s="349"/>
    </row>
    <row r="301" spans="1:25" ht="5.15" customHeight="1" x14ac:dyDescent="0.25">
      <c r="A301" s="2"/>
      <c r="B301" s="3"/>
      <c r="C301" s="3"/>
      <c r="D301" s="3"/>
      <c r="E301" s="3"/>
      <c r="F301" s="3"/>
      <c r="G301" s="3"/>
      <c r="H301" s="3"/>
      <c r="I301" s="3"/>
      <c r="J301" s="3"/>
      <c r="K301" s="3"/>
      <c r="L301" s="3"/>
      <c r="M301" s="6"/>
      <c r="N301" s="6"/>
      <c r="O301" s="6"/>
      <c r="P301" s="15"/>
      <c r="Q301" s="410"/>
      <c r="R301" s="349"/>
      <c r="S301" s="349"/>
      <c r="T301" s="349"/>
      <c r="U301" s="349"/>
      <c r="V301" s="349"/>
      <c r="W301" s="349"/>
      <c r="X301" s="349"/>
      <c r="Y301" s="349"/>
    </row>
    <row r="302" spans="1:25" ht="13" x14ac:dyDescent="0.25">
      <c r="A302" s="2"/>
      <c r="B302" s="19"/>
      <c r="C302" s="19"/>
      <c r="D302" s="182" t="s">
        <v>442</v>
      </c>
      <c r="E302" s="1943" t="str">
        <f>Translations!$B$180</f>
        <v>Var god ange uppgifter som är relevanta för att identifiera tekniska anslutningar till er anläggning:</v>
      </c>
      <c r="F302" s="1963"/>
      <c r="G302" s="1963"/>
      <c r="H302" s="1963"/>
      <c r="I302" s="1963"/>
      <c r="J302" s="1963"/>
      <c r="K302" s="1963"/>
      <c r="L302" s="1963"/>
      <c r="M302" s="1963"/>
      <c r="N302" s="1963"/>
      <c r="O302" s="6"/>
      <c r="P302" s="15"/>
      <c r="Q302" s="349"/>
      <c r="R302" s="349"/>
      <c r="S302" s="349"/>
      <c r="T302" s="349"/>
      <c r="U302" s="349"/>
      <c r="V302" s="349"/>
      <c r="W302" s="349"/>
      <c r="X302" s="349"/>
      <c r="Y302" s="349"/>
    </row>
    <row r="303" spans="1:25" s="534" customFormat="1" x14ac:dyDescent="0.25">
      <c r="A303" s="343"/>
      <c r="B303" s="15"/>
      <c r="C303" s="15"/>
      <c r="D303" s="15"/>
      <c r="E303" s="2075" t="str">
        <f>Translations!$B$1401</f>
        <v>Observera att inga uppgifter ska lämnas i det här avsnittet. Den kommer antingen att fyllas i automatiskt eller så kommer det här avsnittet inte att vara tillämpligt beroende på ditt val i avsnitt A.II.</v>
      </c>
      <c r="F303" s="1960"/>
      <c r="G303" s="1960"/>
      <c r="H303" s="1960"/>
      <c r="I303" s="1960"/>
      <c r="J303" s="1960"/>
      <c r="K303" s="1960"/>
      <c r="L303" s="1960"/>
      <c r="M303" s="1960"/>
      <c r="N303" s="1960"/>
      <c r="O303" s="19"/>
      <c r="P303" s="15"/>
      <c r="Q303" s="343"/>
      <c r="R303" s="343"/>
      <c r="S303" s="343"/>
      <c r="T303" s="7"/>
      <c r="U303" s="349"/>
      <c r="V303" s="349"/>
      <c r="W303" s="349"/>
      <c r="X303" s="349"/>
      <c r="Y303" s="349"/>
    </row>
    <row r="304" spans="1:25" ht="5.15" customHeight="1" x14ac:dyDescent="0.25">
      <c r="A304" s="2"/>
      <c r="B304" s="3"/>
      <c r="C304" s="3"/>
      <c r="D304" s="5"/>
      <c r="E304" s="3"/>
      <c r="F304" s="3"/>
      <c r="G304" s="3"/>
      <c r="H304" s="3"/>
      <c r="I304" s="3"/>
      <c r="J304" s="3"/>
      <c r="K304" s="3"/>
      <c r="L304" s="3"/>
      <c r="M304" s="6"/>
      <c r="N304" s="6"/>
      <c r="O304" s="6"/>
      <c r="P304" s="15"/>
      <c r="Q304" s="410"/>
      <c r="R304" s="349"/>
      <c r="S304" s="349"/>
      <c r="T304" s="349"/>
      <c r="U304" s="349"/>
      <c r="V304" s="349"/>
      <c r="W304" s="349"/>
      <c r="X304" s="349"/>
      <c r="Y304" s="349"/>
    </row>
    <row r="305" spans="1:25" ht="12.75" customHeight="1" x14ac:dyDescent="0.3">
      <c r="A305" s="2"/>
      <c r="B305" s="3"/>
      <c r="C305" s="3"/>
      <c r="D305" s="5"/>
      <c r="E305" s="311" t="str">
        <f>Translations!$B$169</f>
        <v>Nr</v>
      </c>
      <c r="F305" s="2036" t="str">
        <f>Translations!$B$202</f>
        <v>Anläggningens eller enhetens namn</v>
      </c>
      <c r="G305" s="2039"/>
      <c r="H305" s="2037"/>
      <c r="I305" s="2036" t="str">
        <f>Translations!$B$203</f>
        <v>Typ av enhet</v>
      </c>
      <c r="J305" s="2037"/>
      <c r="K305" s="2036" t="str">
        <f>Translations!$B$204</f>
        <v>Typ av anslutning</v>
      </c>
      <c r="L305" s="2037"/>
      <c r="M305" s="2036" t="str">
        <f>Translations!$B$205</f>
        <v>Flödesriktning</v>
      </c>
      <c r="N305" s="2039"/>
      <c r="O305" s="6"/>
      <c r="P305" s="15"/>
      <c r="Q305" s="410"/>
      <c r="R305" s="349"/>
      <c r="S305" s="349"/>
      <c r="T305" s="349"/>
      <c r="U305" s="349"/>
      <c r="V305" s="349"/>
      <c r="W305" s="349"/>
      <c r="X305" s="349"/>
      <c r="Y305" s="349"/>
    </row>
    <row r="306" spans="1:25" ht="12.75" customHeight="1" x14ac:dyDescent="0.25">
      <c r="A306" s="2"/>
      <c r="B306" s="3"/>
      <c r="C306" s="3"/>
      <c r="D306" s="5"/>
      <c r="E306" s="1684">
        <f>c_NIMsSummary!E1435</f>
        <v>1</v>
      </c>
      <c r="F306" s="2200" t="str">
        <f>c_NIMsSummary!F1435</f>
        <v/>
      </c>
      <c r="G306" s="2202"/>
      <c r="H306" s="2201"/>
      <c r="I306" s="2200" t="str">
        <f>c_NIMsSummary!I1435</f>
        <v/>
      </c>
      <c r="J306" s="2258"/>
      <c r="K306" s="2200" t="str">
        <f>c_NIMsSummary!K1435</f>
        <v/>
      </c>
      <c r="L306" s="2201"/>
      <c r="M306" s="2209" t="str">
        <f>c_NIMsSummary!M1435</f>
        <v/>
      </c>
      <c r="N306" s="2210"/>
      <c r="O306" s="6"/>
      <c r="P306" s="15"/>
      <c r="Q306" s="410"/>
      <c r="R306" s="349"/>
      <c r="S306" s="349"/>
      <c r="T306" s="349"/>
      <c r="U306" s="349"/>
      <c r="V306" s="349"/>
      <c r="W306" s="349"/>
      <c r="X306" s="349"/>
      <c r="Y306" s="355" t="b">
        <f t="shared" ref="Y306:Y315" si="13">OR(CNTR_Incumbent=FALSE,CTRL_InputMethodNIMsvalues=2)</f>
        <v>0</v>
      </c>
    </row>
    <row r="307" spans="1:25" ht="12.75" customHeight="1" x14ac:dyDescent="0.25">
      <c r="A307" s="2"/>
      <c r="B307" s="3"/>
      <c r="C307" s="3"/>
      <c r="D307" s="5"/>
      <c r="E307" s="1685">
        <f>c_NIMsSummary!E1436</f>
        <v>2</v>
      </c>
      <c r="F307" s="2178" t="str">
        <f>c_NIMsSummary!F1436</f>
        <v/>
      </c>
      <c r="G307" s="2180"/>
      <c r="H307" s="2179"/>
      <c r="I307" s="2178" t="str">
        <f>c_NIMsSummary!I1436</f>
        <v/>
      </c>
      <c r="J307" s="2203"/>
      <c r="K307" s="2178" t="str">
        <f>c_NIMsSummary!K1436</f>
        <v/>
      </c>
      <c r="L307" s="2179"/>
      <c r="M307" s="2204" t="str">
        <f>c_NIMsSummary!M1436</f>
        <v/>
      </c>
      <c r="N307" s="2205"/>
      <c r="O307" s="6"/>
      <c r="P307" s="15"/>
      <c r="Q307" s="410"/>
      <c r="R307" s="349"/>
      <c r="S307" s="349"/>
      <c r="T307" s="349"/>
      <c r="U307" s="349"/>
      <c r="V307" s="349"/>
      <c r="W307" s="349"/>
      <c r="X307" s="349"/>
      <c r="Y307" s="355" t="b">
        <f t="shared" si="13"/>
        <v>0</v>
      </c>
    </row>
    <row r="308" spans="1:25" ht="12.75" customHeight="1" x14ac:dyDescent="0.25">
      <c r="A308" s="2"/>
      <c r="B308" s="3"/>
      <c r="C308" s="3"/>
      <c r="D308" s="5"/>
      <c r="E308" s="1685">
        <f>c_NIMsSummary!E1437</f>
        <v>3</v>
      </c>
      <c r="F308" s="2178" t="str">
        <f>c_NIMsSummary!F1437</f>
        <v/>
      </c>
      <c r="G308" s="2180"/>
      <c r="H308" s="2179"/>
      <c r="I308" s="2178" t="str">
        <f>c_NIMsSummary!I1437</f>
        <v/>
      </c>
      <c r="J308" s="2203"/>
      <c r="K308" s="2178" t="str">
        <f>c_NIMsSummary!K1437</f>
        <v/>
      </c>
      <c r="L308" s="2179"/>
      <c r="M308" s="2204" t="str">
        <f>c_NIMsSummary!M1437</f>
        <v/>
      </c>
      <c r="N308" s="2205"/>
      <c r="O308" s="6"/>
      <c r="P308" s="15"/>
      <c r="Q308" s="410"/>
      <c r="R308" s="349"/>
      <c r="S308" s="349"/>
      <c r="T308" s="349"/>
      <c r="U308" s="349"/>
      <c r="V308" s="349"/>
      <c r="W308" s="349"/>
      <c r="X308" s="349"/>
      <c r="Y308" s="355" t="b">
        <f t="shared" si="13"/>
        <v>0</v>
      </c>
    </row>
    <row r="309" spans="1:25" ht="12.75" customHeight="1" x14ac:dyDescent="0.25">
      <c r="A309" s="2"/>
      <c r="B309" s="3"/>
      <c r="C309" s="3"/>
      <c r="D309" s="5"/>
      <c r="E309" s="1685">
        <f>c_NIMsSummary!E1438</f>
        <v>4</v>
      </c>
      <c r="F309" s="2178" t="str">
        <f>c_NIMsSummary!F1438</f>
        <v/>
      </c>
      <c r="G309" s="2180"/>
      <c r="H309" s="2179"/>
      <c r="I309" s="2178" t="str">
        <f>c_NIMsSummary!I1438</f>
        <v/>
      </c>
      <c r="J309" s="2203"/>
      <c r="K309" s="2178" t="str">
        <f>c_NIMsSummary!K1438</f>
        <v/>
      </c>
      <c r="L309" s="2179"/>
      <c r="M309" s="2204" t="str">
        <f>c_NIMsSummary!M1438</f>
        <v/>
      </c>
      <c r="N309" s="2205"/>
      <c r="O309" s="6"/>
      <c r="P309" s="15"/>
      <c r="Q309" s="410"/>
      <c r="R309" s="349"/>
      <c r="S309" s="349"/>
      <c r="T309" s="349"/>
      <c r="U309" s="349"/>
      <c r="V309" s="349"/>
      <c r="W309" s="349"/>
      <c r="X309" s="349"/>
      <c r="Y309" s="355" t="b">
        <f t="shared" si="13"/>
        <v>0</v>
      </c>
    </row>
    <row r="310" spans="1:25" ht="12.75" customHeight="1" x14ac:dyDescent="0.25">
      <c r="A310" s="2"/>
      <c r="B310" s="3"/>
      <c r="C310" s="3"/>
      <c r="D310" s="5"/>
      <c r="E310" s="1685">
        <f>c_NIMsSummary!E1439</f>
        <v>5</v>
      </c>
      <c r="F310" s="2178" t="str">
        <f>c_NIMsSummary!F1439</f>
        <v/>
      </c>
      <c r="G310" s="2180"/>
      <c r="H310" s="2179"/>
      <c r="I310" s="2178" t="str">
        <f>c_NIMsSummary!I1439</f>
        <v/>
      </c>
      <c r="J310" s="2203"/>
      <c r="K310" s="2178" t="str">
        <f>c_NIMsSummary!K1439</f>
        <v/>
      </c>
      <c r="L310" s="2179"/>
      <c r="M310" s="2204" t="str">
        <f>c_NIMsSummary!M1439</f>
        <v/>
      </c>
      <c r="N310" s="2205"/>
      <c r="O310" s="6"/>
      <c r="P310" s="15"/>
      <c r="Q310" s="410"/>
      <c r="R310" s="349"/>
      <c r="S310" s="349"/>
      <c r="T310" s="349"/>
      <c r="U310" s="349"/>
      <c r="V310" s="349"/>
      <c r="W310" s="349"/>
      <c r="X310" s="349"/>
      <c r="Y310" s="355" t="b">
        <f t="shared" si="13"/>
        <v>0</v>
      </c>
    </row>
    <row r="311" spans="1:25" ht="12.75" customHeight="1" x14ac:dyDescent="0.25">
      <c r="A311" s="2"/>
      <c r="B311" s="3"/>
      <c r="C311" s="3"/>
      <c r="D311" s="5"/>
      <c r="E311" s="1685">
        <f>c_NIMsSummary!E1440</f>
        <v>6</v>
      </c>
      <c r="F311" s="2178" t="str">
        <f>c_NIMsSummary!F1440</f>
        <v/>
      </c>
      <c r="G311" s="2180"/>
      <c r="H311" s="2179"/>
      <c r="I311" s="2178" t="str">
        <f>c_NIMsSummary!I1440</f>
        <v/>
      </c>
      <c r="J311" s="2203"/>
      <c r="K311" s="2178" t="str">
        <f>c_NIMsSummary!K1440</f>
        <v/>
      </c>
      <c r="L311" s="2179"/>
      <c r="M311" s="2204" t="str">
        <f>c_NIMsSummary!M1440</f>
        <v/>
      </c>
      <c r="N311" s="2205"/>
      <c r="O311" s="6"/>
      <c r="P311" s="15"/>
      <c r="Q311" s="410"/>
      <c r="R311" s="349"/>
      <c r="S311" s="349"/>
      <c r="T311" s="349"/>
      <c r="U311" s="349"/>
      <c r="V311" s="349"/>
      <c r="W311" s="349"/>
      <c r="X311" s="349"/>
      <c r="Y311" s="355" t="b">
        <f t="shared" si="13"/>
        <v>0</v>
      </c>
    </row>
    <row r="312" spans="1:25" ht="12.75" customHeight="1" x14ac:dyDescent="0.25">
      <c r="A312" s="2"/>
      <c r="B312" s="3"/>
      <c r="C312" s="3"/>
      <c r="D312" s="5"/>
      <c r="E312" s="1685">
        <f>c_NIMsSummary!E1441</f>
        <v>7</v>
      </c>
      <c r="F312" s="2178" t="str">
        <f>c_NIMsSummary!F1441</f>
        <v/>
      </c>
      <c r="G312" s="2180"/>
      <c r="H312" s="2179"/>
      <c r="I312" s="2178" t="str">
        <f>c_NIMsSummary!I1441</f>
        <v/>
      </c>
      <c r="J312" s="2203"/>
      <c r="K312" s="2178" t="str">
        <f>c_NIMsSummary!K1441</f>
        <v/>
      </c>
      <c r="L312" s="2179"/>
      <c r="M312" s="2204" t="str">
        <f>c_NIMsSummary!M1441</f>
        <v/>
      </c>
      <c r="N312" s="2205"/>
      <c r="O312" s="6"/>
      <c r="P312" s="15"/>
      <c r="Q312" s="410"/>
      <c r="R312" s="349"/>
      <c r="S312" s="349"/>
      <c r="T312" s="349"/>
      <c r="U312" s="349"/>
      <c r="V312" s="349"/>
      <c r="W312" s="349"/>
      <c r="X312" s="349"/>
      <c r="Y312" s="355" t="b">
        <f t="shared" si="13"/>
        <v>0</v>
      </c>
    </row>
    <row r="313" spans="1:25" ht="12.75" customHeight="1" x14ac:dyDescent="0.25">
      <c r="A313" s="2"/>
      <c r="B313" s="3"/>
      <c r="C313" s="3"/>
      <c r="D313" s="5"/>
      <c r="E313" s="1685">
        <f>c_NIMsSummary!E1442</f>
        <v>8</v>
      </c>
      <c r="F313" s="2178" t="str">
        <f>c_NIMsSummary!F1442</f>
        <v/>
      </c>
      <c r="G313" s="2180"/>
      <c r="H313" s="2179"/>
      <c r="I313" s="2178" t="str">
        <f>c_NIMsSummary!I1442</f>
        <v/>
      </c>
      <c r="J313" s="2203"/>
      <c r="K313" s="2178" t="str">
        <f>c_NIMsSummary!K1442</f>
        <v/>
      </c>
      <c r="L313" s="2179"/>
      <c r="M313" s="2204" t="str">
        <f>c_NIMsSummary!M1442</f>
        <v/>
      </c>
      <c r="N313" s="2205"/>
      <c r="O313" s="6"/>
      <c r="P313" s="15"/>
      <c r="Q313" s="410"/>
      <c r="R313" s="349"/>
      <c r="S313" s="349"/>
      <c r="T313" s="349"/>
      <c r="U313" s="349"/>
      <c r="V313" s="349"/>
      <c r="W313" s="349"/>
      <c r="X313" s="349"/>
      <c r="Y313" s="355" t="b">
        <f t="shared" si="13"/>
        <v>0</v>
      </c>
    </row>
    <row r="314" spans="1:25" ht="12.75" customHeight="1" x14ac:dyDescent="0.25">
      <c r="A314" s="2"/>
      <c r="B314" s="3"/>
      <c r="C314" s="3"/>
      <c r="D314" s="5"/>
      <c r="E314" s="1685">
        <f>c_NIMsSummary!E1443</f>
        <v>9</v>
      </c>
      <c r="F314" s="2178" t="str">
        <f>c_NIMsSummary!F1443</f>
        <v/>
      </c>
      <c r="G314" s="2180"/>
      <c r="H314" s="2179"/>
      <c r="I314" s="2178" t="str">
        <f>c_NIMsSummary!I1443</f>
        <v/>
      </c>
      <c r="J314" s="2203"/>
      <c r="K314" s="2178" t="str">
        <f>c_NIMsSummary!K1443</f>
        <v/>
      </c>
      <c r="L314" s="2179"/>
      <c r="M314" s="2204" t="str">
        <f>c_NIMsSummary!M1443</f>
        <v/>
      </c>
      <c r="N314" s="2205"/>
      <c r="O314" s="6"/>
      <c r="P314" s="15"/>
      <c r="Q314" s="410"/>
      <c r="R314" s="349"/>
      <c r="S314" s="349"/>
      <c r="T314" s="349"/>
      <c r="U314" s="349"/>
      <c r="V314" s="349"/>
      <c r="W314" s="349"/>
      <c r="X314" s="349"/>
      <c r="Y314" s="355" t="b">
        <f t="shared" si="13"/>
        <v>0</v>
      </c>
    </row>
    <row r="315" spans="1:25" ht="12.75" customHeight="1" x14ac:dyDescent="0.25">
      <c r="A315" s="2"/>
      <c r="B315" s="3"/>
      <c r="C315" s="3"/>
      <c r="D315" s="5"/>
      <c r="E315" s="1686">
        <f>c_NIMsSummary!E1444</f>
        <v>10</v>
      </c>
      <c r="F315" s="2185" t="str">
        <f>c_NIMsSummary!F1444</f>
        <v/>
      </c>
      <c r="G315" s="2187"/>
      <c r="H315" s="2186"/>
      <c r="I315" s="2185" t="str">
        <f>c_NIMsSummary!I1444</f>
        <v/>
      </c>
      <c r="J315" s="2206"/>
      <c r="K315" s="2185" t="str">
        <f>c_NIMsSummary!K1444</f>
        <v/>
      </c>
      <c r="L315" s="2186"/>
      <c r="M315" s="2207" t="str">
        <f>c_NIMsSummary!M1444</f>
        <v/>
      </c>
      <c r="N315" s="2208"/>
      <c r="O315" s="6"/>
      <c r="P315" s="15"/>
      <c r="Q315" s="410"/>
      <c r="R315" s="349"/>
      <c r="S315" s="349"/>
      <c r="T315" s="349"/>
      <c r="U315" s="349"/>
      <c r="V315" s="349"/>
      <c r="W315" s="349"/>
      <c r="X315" s="349"/>
      <c r="Y315" s="355" t="b">
        <f t="shared" si="13"/>
        <v>0</v>
      </c>
    </row>
    <row r="316" spans="1:25" ht="5.15" customHeight="1" x14ac:dyDescent="0.25">
      <c r="A316" s="2"/>
      <c r="B316" s="3"/>
      <c r="C316" s="3"/>
      <c r="D316" s="5"/>
      <c r="E316" s="1687"/>
      <c r="F316" s="1687"/>
      <c r="G316" s="1687"/>
      <c r="H316" s="1687"/>
      <c r="I316" s="1687"/>
      <c r="J316" s="1687"/>
      <c r="K316" s="1687"/>
      <c r="L316" s="1687"/>
      <c r="M316" s="1687"/>
      <c r="N316" s="1687"/>
      <c r="O316" s="6"/>
      <c r="P316" s="15"/>
      <c r="Q316" s="410"/>
      <c r="R316" s="349"/>
      <c r="S316" s="349"/>
      <c r="T316" s="349"/>
      <c r="U316" s="349"/>
      <c r="V316" s="349"/>
      <c r="W316" s="349"/>
      <c r="X316" s="349"/>
      <c r="Y316" s="349"/>
    </row>
    <row r="317" spans="1:25" ht="25.5" customHeight="1" x14ac:dyDescent="0.3">
      <c r="A317" s="2"/>
      <c r="B317" s="3"/>
      <c r="C317" s="3"/>
      <c r="D317" s="5"/>
      <c r="E317" s="315" t="str">
        <f>Translations!$B$169</f>
        <v>Nr</v>
      </c>
      <c r="F317" s="2036" t="str">
        <f>Translations!$B$209</f>
        <v>Anläggningens ID-nummer i registret (NAP-nr)</v>
      </c>
      <c r="G317" s="2037"/>
      <c r="H317" s="2036" t="str">
        <f>Translations!$B$210</f>
        <v>Kontaktpersonens namn</v>
      </c>
      <c r="I317" s="2037"/>
      <c r="J317" s="2038" t="str">
        <f>Translations!$B$211</f>
        <v>e-postadress:</v>
      </c>
      <c r="K317" s="2039"/>
      <c r="L317" s="2037"/>
      <c r="M317" s="2036" t="str">
        <f>Translations!$B$212</f>
        <v>telefonnummer</v>
      </c>
      <c r="N317" s="2040"/>
      <c r="O317" s="6"/>
      <c r="P317" s="15"/>
      <c r="Q317" s="410"/>
      <c r="R317" s="349"/>
      <c r="S317" s="349"/>
      <c r="T317" s="349"/>
      <c r="U317" s="349"/>
      <c r="V317" s="349"/>
      <c r="W317" s="349"/>
      <c r="X317" s="349"/>
      <c r="Y317" s="349"/>
    </row>
    <row r="318" spans="1:25" ht="12.75" customHeight="1" x14ac:dyDescent="0.25">
      <c r="A318" s="2"/>
      <c r="B318" s="3"/>
      <c r="C318" s="3"/>
      <c r="D318" s="5"/>
      <c r="E318" s="1688">
        <f>c_NIMsSummary!E1448</f>
        <v>1</v>
      </c>
      <c r="F318" s="2198" t="str">
        <f>c_NIMsSummary!F1448</f>
        <v/>
      </c>
      <c r="G318" s="2199"/>
      <c r="H318" s="2200" t="str">
        <f>c_NIMsSummary!H1448</f>
        <v/>
      </c>
      <c r="I318" s="2201"/>
      <c r="J318" s="2200" t="str">
        <f>c_NIMsSummary!J1448</f>
        <v/>
      </c>
      <c r="K318" s="2202"/>
      <c r="L318" s="2201"/>
      <c r="M318" s="2200" t="str">
        <f>c_NIMsSummary!M1448</f>
        <v/>
      </c>
      <c r="N318" s="2202"/>
      <c r="O318" s="6"/>
      <c r="P318" s="15"/>
      <c r="Q318" s="410"/>
      <c r="R318" s="349"/>
      <c r="S318" s="349"/>
      <c r="T318" s="349"/>
      <c r="U318" s="349"/>
      <c r="V318" s="349"/>
      <c r="W318" s="349"/>
      <c r="X318" s="349"/>
      <c r="Y318" s="355" t="b">
        <f t="shared" ref="Y318:Y327" si="14">OR(CNTR_Incumbent=FALSE,CTRL_InputMethodNIMsvalues=2)</f>
        <v>0</v>
      </c>
    </row>
    <row r="319" spans="1:25" ht="12.75" customHeight="1" x14ac:dyDescent="0.25">
      <c r="A319" s="2"/>
      <c r="B319" s="3"/>
      <c r="C319" s="3"/>
      <c r="D319" s="5"/>
      <c r="E319" s="1685">
        <f>c_NIMsSummary!E1449</f>
        <v>2</v>
      </c>
      <c r="F319" s="2176" t="str">
        <f>c_NIMsSummary!F1449</f>
        <v/>
      </c>
      <c r="G319" s="2177"/>
      <c r="H319" s="2178" t="str">
        <f>c_NIMsSummary!H1449</f>
        <v/>
      </c>
      <c r="I319" s="2179"/>
      <c r="J319" s="2178" t="str">
        <f>c_NIMsSummary!J1449</f>
        <v/>
      </c>
      <c r="K319" s="2180"/>
      <c r="L319" s="2179"/>
      <c r="M319" s="2181" t="str">
        <f>c_NIMsSummary!M1449</f>
        <v/>
      </c>
      <c r="N319" s="2182"/>
      <c r="O319" s="6"/>
      <c r="P319" s="15"/>
      <c r="Q319" s="410"/>
      <c r="R319" s="349"/>
      <c r="S319" s="349"/>
      <c r="T319" s="349"/>
      <c r="U319" s="349"/>
      <c r="V319" s="349"/>
      <c r="W319" s="349"/>
      <c r="X319" s="349"/>
      <c r="Y319" s="355" t="b">
        <f t="shared" si="14"/>
        <v>0</v>
      </c>
    </row>
    <row r="320" spans="1:25" ht="12.75" customHeight="1" x14ac:dyDescent="0.25">
      <c r="A320" s="2"/>
      <c r="B320" s="3"/>
      <c r="C320" s="3"/>
      <c r="D320" s="5"/>
      <c r="E320" s="1685">
        <f>c_NIMsSummary!E1450</f>
        <v>3</v>
      </c>
      <c r="F320" s="2176" t="str">
        <f>c_NIMsSummary!F1450</f>
        <v/>
      </c>
      <c r="G320" s="2177"/>
      <c r="H320" s="2178" t="str">
        <f>c_NIMsSummary!H1450</f>
        <v/>
      </c>
      <c r="I320" s="2179"/>
      <c r="J320" s="2178" t="str">
        <f>c_NIMsSummary!J1450</f>
        <v/>
      </c>
      <c r="K320" s="2180"/>
      <c r="L320" s="2179"/>
      <c r="M320" s="2181" t="str">
        <f>c_NIMsSummary!M1450</f>
        <v/>
      </c>
      <c r="N320" s="2182"/>
      <c r="O320" s="6"/>
      <c r="P320" s="15"/>
      <c r="Q320" s="410"/>
      <c r="R320" s="349"/>
      <c r="S320" s="349"/>
      <c r="T320" s="349"/>
      <c r="U320" s="349"/>
      <c r="V320" s="349"/>
      <c r="W320" s="349"/>
      <c r="X320" s="349"/>
      <c r="Y320" s="355" t="b">
        <f t="shared" si="14"/>
        <v>0</v>
      </c>
    </row>
    <row r="321" spans="1:25" ht="12.75" customHeight="1" x14ac:dyDescent="0.25">
      <c r="A321" s="2"/>
      <c r="B321" s="3"/>
      <c r="C321" s="3"/>
      <c r="D321" s="5"/>
      <c r="E321" s="1685">
        <f>c_NIMsSummary!E1451</f>
        <v>4</v>
      </c>
      <c r="F321" s="2176" t="str">
        <f>c_NIMsSummary!F1451</f>
        <v/>
      </c>
      <c r="G321" s="2177"/>
      <c r="H321" s="2178" t="str">
        <f>c_NIMsSummary!H1451</f>
        <v/>
      </c>
      <c r="I321" s="2179"/>
      <c r="J321" s="2178" t="str">
        <f>c_NIMsSummary!J1451</f>
        <v/>
      </c>
      <c r="K321" s="2180"/>
      <c r="L321" s="2179"/>
      <c r="M321" s="2181" t="str">
        <f>c_NIMsSummary!M1451</f>
        <v/>
      </c>
      <c r="N321" s="2182"/>
      <c r="O321" s="6"/>
      <c r="P321" s="15"/>
      <c r="Q321" s="410"/>
      <c r="R321" s="349"/>
      <c r="S321" s="349"/>
      <c r="T321" s="349"/>
      <c r="U321" s="349"/>
      <c r="V321" s="349"/>
      <c r="W321" s="349"/>
      <c r="X321" s="349"/>
      <c r="Y321" s="355" t="b">
        <f t="shared" si="14"/>
        <v>0</v>
      </c>
    </row>
    <row r="322" spans="1:25" ht="12.75" customHeight="1" x14ac:dyDescent="0.25">
      <c r="A322" s="2"/>
      <c r="B322" s="3"/>
      <c r="C322" s="3"/>
      <c r="D322" s="5"/>
      <c r="E322" s="1685">
        <f>c_NIMsSummary!E1452</f>
        <v>5</v>
      </c>
      <c r="F322" s="2176" t="str">
        <f>c_NIMsSummary!F1452</f>
        <v/>
      </c>
      <c r="G322" s="2177"/>
      <c r="H322" s="2178" t="str">
        <f>c_NIMsSummary!H1452</f>
        <v/>
      </c>
      <c r="I322" s="2179"/>
      <c r="J322" s="2178" t="str">
        <f>c_NIMsSummary!J1452</f>
        <v/>
      </c>
      <c r="K322" s="2180"/>
      <c r="L322" s="2179"/>
      <c r="M322" s="2181" t="str">
        <f>c_NIMsSummary!M1452</f>
        <v/>
      </c>
      <c r="N322" s="2182"/>
      <c r="O322" s="6"/>
      <c r="P322" s="15"/>
      <c r="Q322" s="410"/>
      <c r="R322" s="349"/>
      <c r="S322" s="349"/>
      <c r="T322" s="349"/>
      <c r="U322" s="349"/>
      <c r="V322" s="349"/>
      <c r="W322" s="349"/>
      <c r="X322" s="349"/>
      <c r="Y322" s="355" t="b">
        <f t="shared" si="14"/>
        <v>0</v>
      </c>
    </row>
    <row r="323" spans="1:25" ht="12.75" customHeight="1" x14ac:dyDescent="0.25">
      <c r="A323" s="2"/>
      <c r="B323" s="3"/>
      <c r="C323" s="3"/>
      <c r="D323" s="5"/>
      <c r="E323" s="1685">
        <f>c_NIMsSummary!E1453</f>
        <v>6</v>
      </c>
      <c r="F323" s="2176" t="str">
        <f>c_NIMsSummary!F1453</f>
        <v/>
      </c>
      <c r="G323" s="2177"/>
      <c r="H323" s="2178" t="str">
        <f>c_NIMsSummary!H1453</f>
        <v/>
      </c>
      <c r="I323" s="2179"/>
      <c r="J323" s="2178" t="str">
        <f>c_NIMsSummary!J1453</f>
        <v/>
      </c>
      <c r="K323" s="2180"/>
      <c r="L323" s="2179"/>
      <c r="M323" s="2181" t="str">
        <f>c_NIMsSummary!M1453</f>
        <v/>
      </c>
      <c r="N323" s="2182"/>
      <c r="O323" s="6"/>
      <c r="P323" s="15"/>
      <c r="Q323" s="410"/>
      <c r="R323" s="349"/>
      <c r="S323" s="349"/>
      <c r="T323" s="349"/>
      <c r="U323" s="349"/>
      <c r="V323" s="349"/>
      <c r="W323" s="349"/>
      <c r="X323" s="349"/>
      <c r="Y323" s="355" t="b">
        <f t="shared" si="14"/>
        <v>0</v>
      </c>
    </row>
    <row r="324" spans="1:25" ht="12.75" customHeight="1" x14ac:dyDescent="0.25">
      <c r="A324" s="2"/>
      <c r="B324" s="3"/>
      <c r="C324" s="3"/>
      <c r="D324" s="5"/>
      <c r="E324" s="1685">
        <f>c_NIMsSummary!E1454</f>
        <v>7</v>
      </c>
      <c r="F324" s="2176" t="str">
        <f>c_NIMsSummary!F1454</f>
        <v/>
      </c>
      <c r="G324" s="2177"/>
      <c r="H324" s="2178" t="str">
        <f>c_NIMsSummary!H1454</f>
        <v/>
      </c>
      <c r="I324" s="2179"/>
      <c r="J324" s="2178" t="str">
        <f>c_NIMsSummary!J1454</f>
        <v/>
      </c>
      <c r="K324" s="2180"/>
      <c r="L324" s="2179"/>
      <c r="M324" s="2181" t="str">
        <f>c_NIMsSummary!M1454</f>
        <v/>
      </c>
      <c r="N324" s="2182"/>
      <c r="O324" s="6"/>
      <c r="P324" s="15"/>
      <c r="Q324" s="410"/>
      <c r="R324" s="349"/>
      <c r="S324" s="349"/>
      <c r="T324" s="349"/>
      <c r="U324" s="349"/>
      <c r="V324" s="349"/>
      <c r="W324" s="349"/>
      <c r="X324" s="349"/>
      <c r="Y324" s="355" t="b">
        <f t="shared" si="14"/>
        <v>0</v>
      </c>
    </row>
    <row r="325" spans="1:25" ht="12.75" customHeight="1" x14ac:dyDescent="0.25">
      <c r="A325" s="2"/>
      <c r="B325" s="3"/>
      <c r="C325" s="3"/>
      <c r="D325" s="5"/>
      <c r="E325" s="1685">
        <f>c_NIMsSummary!E1455</f>
        <v>8</v>
      </c>
      <c r="F325" s="2176" t="str">
        <f>c_NIMsSummary!F1455</f>
        <v/>
      </c>
      <c r="G325" s="2177"/>
      <c r="H325" s="2178" t="str">
        <f>c_NIMsSummary!H1455</f>
        <v/>
      </c>
      <c r="I325" s="2179"/>
      <c r="J325" s="2178" t="str">
        <f>c_NIMsSummary!J1455</f>
        <v/>
      </c>
      <c r="K325" s="2180"/>
      <c r="L325" s="2179"/>
      <c r="M325" s="2181" t="str">
        <f>c_NIMsSummary!M1455</f>
        <v/>
      </c>
      <c r="N325" s="2182"/>
      <c r="O325" s="6"/>
      <c r="P325" s="15"/>
      <c r="Q325" s="410"/>
      <c r="R325" s="349"/>
      <c r="S325" s="349"/>
      <c r="T325" s="349"/>
      <c r="U325" s="349"/>
      <c r="V325" s="349"/>
      <c r="W325" s="349"/>
      <c r="X325" s="349"/>
      <c r="Y325" s="355" t="b">
        <f t="shared" si="14"/>
        <v>0</v>
      </c>
    </row>
    <row r="326" spans="1:25" ht="12.75" customHeight="1" x14ac:dyDescent="0.25">
      <c r="A326" s="2"/>
      <c r="B326" s="3"/>
      <c r="C326" s="3"/>
      <c r="D326" s="5"/>
      <c r="E326" s="1685">
        <f>c_NIMsSummary!E1456</f>
        <v>9</v>
      </c>
      <c r="F326" s="2176" t="str">
        <f>c_NIMsSummary!F1456</f>
        <v/>
      </c>
      <c r="G326" s="2177"/>
      <c r="H326" s="2178" t="str">
        <f>c_NIMsSummary!H1456</f>
        <v/>
      </c>
      <c r="I326" s="2179"/>
      <c r="J326" s="2178" t="str">
        <f>c_NIMsSummary!J1456</f>
        <v/>
      </c>
      <c r="K326" s="2180"/>
      <c r="L326" s="2179"/>
      <c r="M326" s="2181" t="str">
        <f>c_NIMsSummary!M1456</f>
        <v/>
      </c>
      <c r="N326" s="2182"/>
      <c r="O326" s="6"/>
      <c r="P326" s="15"/>
      <c r="Q326" s="410"/>
      <c r="R326" s="349"/>
      <c r="S326" s="349"/>
      <c r="T326" s="349"/>
      <c r="U326" s="349"/>
      <c r="V326" s="349"/>
      <c r="W326" s="349"/>
      <c r="X326" s="349"/>
      <c r="Y326" s="355" t="b">
        <f t="shared" si="14"/>
        <v>0</v>
      </c>
    </row>
    <row r="327" spans="1:25" ht="12.75" customHeight="1" x14ac:dyDescent="0.25">
      <c r="A327" s="2"/>
      <c r="B327" s="3"/>
      <c r="C327" s="3"/>
      <c r="D327" s="5"/>
      <c r="E327" s="1686">
        <f>c_NIMsSummary!E1457</f>
        <v>10</v>
      </c>
      <c r="F327" s="2183" t="str">
        <f>c_NIMsSummary!F1457</f>
        <v/>
      </c>
      <c r="G327" s="2184"/>
      <c r="H327" s="2185" t="str">
        <f>c_NIMsSummary!H1457</f>
        <v/>
      </c>
      <c r="I327" s="2186"/>
      <c r="J327" s="2185" t="str">
        <f>c_NIMsSummary!J1457</f>
        <v/>
      </c>
      <c r="K327" s="2187"/>
      <c r="L327" s="2186"/>
      <c r="M327" s="2188" t="str">
        <f>c_NIMsSummary!M1457</f>
        <v/>
      </c>
      <c r="N327" s="2189"/>
      <c r="O327" s="6"/>
      <c r="P327" s="15"/>
      <c r="Q327" s="410"/>
      <c r="R327" s="349"/>
      <c r="S327" s="349"/>
      <c r="T327" s="349"/>
      <c r="U327" s="349"/>
      <c r="V327" s="349"/>
      <c r="W327" s="349"/>
      <c r="X327" s="349"/>
      <c r="Y327" s="355" t="b">
        <f t="shared" si="14"/>
        <v>0</v>
      </c>
    </row>
    <row r="328" spans="1:25" ht="5.15" customHeight="1" x14ac:dyDescent="0.25">
      <c r="A328" s="2"/>
      <c r="B328" s="3"/>
      <c r="C328" s="3"/>
      <c r="D328" s="5"/>
      <c r="E328" s="3"/>
      <c r="F328" s="3"/>
      <c r="G328" s="3"/>
      <c r="H328" s="3"/>
      <c r="I328" s="3"/>
      <c r="J328" s="3"/>
      <c r="K328" s="3"/>
      <c r="L328" s="3"/>
      <c r="M328" s="6"/>
      <c r="N328" s="6"/>
      <c r="O328" s="6"/>
      <c r="P328" s="15"/>
      <c r="Q328" s="343"/>
      <c r="R328" s="343"/>
      <c r="S328" s="343"/>
      <c r="T328" s="343"/>
      <c r="U328" s="349"/>
      <c r="V328" s="349"/>
      <c r="W328" s="349"/>
      <c r="X328" s="349"/>
      <c r="Y328" s="349"/>
    </row>
    <row r="329" spans="1:25" ht="13" x14ac:dyDescent="0.25">
      <c r="A329" s="2"/>
      <c r="B329" s="19"/>
      <c r="C329" s="19"/>
      <c r="D329" s="13" t="s">
        <v>955</v>
      </c>
      <c r="E329" s="1943" t="str">
        <f>Translations!$B$180</f>
        <v>Var god ange uppgifter som är relevanta för att identifiera tekniska anslutningar till er anläggning:</v>
      </c>
      <c r="F329" s="1963"/>
      <c r="G329" s="1963"/>
      <c r="H329" s="1963"/>
      <c r="I329" s="1963"/>
      <c r="J329" s="1963"/>
      <c r="K329" s="1963"/>
      <c r="L329" s="1963"/>
      <c r="M329" s="1963"/>
      <c r="N329" s="1963"/>
      <c r="O329" s="6"/>
      <c r="P329" s="15"/>
      <c r="Q329" s="349"/>
      <c r="R329" s="349"/>
      <c r="S329" s="349"/>
      <c r="T329" s="349"/>
      <c r="U329" s="349"/>
      <c r="V329" s="349"/>
      <c r="W329" s="349"/>
      <c r="X329" s="349"/>
      <c r="Y329" s="349"/>
    </row>
    <row r="330" spans="1:25" ht="25.5" customHeight="1" x14ac:dyDescent="0.25">
      <c r="A330" s="2"/>
      <c r="B330" s="19"/>
      <c r="C330" s="19"/>
      <c r="D330" s="194"/>
      <c r="E330" s="2168" t="str">
        <f>Translations!$B$1402</f>
        <v>Om du har valt ”Manuell inmatning” i avsnitt A.II är denna uppgift obligatorisk. Annars är denna uppgift valfri och endast nödvändig om informationen under a) ovan inte längre stämmer.</v>
      </c>
      <c r="F330" s="2190"/>
      <c r="G330" s="2190"/>
      <c r="H330" s="2190"/>
      <c r="I330" s="2190"/>
      <c r="J330" s="2190"/>
      <c r="K330" s="2190"/>
      <c r="L330" s="2190"/>
      <c r="M330" s="2190"/>
      <c r="N330" s="2190"/>
      <c r="O330" s="6"/>
      <c r="P330" s="15"/>
      <c r="Q330" s="349"/>
      <c r="R330" s="349"/>
      <c r="S330" s="349"/>
      <c r="T330" s="349"/>
      <c r="U330" s="349"/>
      <c r="V330" s="349"/>
      <c r="W330" s="349"/>
      <c r="X330" s="349"/>
      <c r="Y330" s="349"/>
    </row>
    <row r="331" spans="1:25" x14ac:dyDescent="0.25">
      <c r="A331" s="2"/>
      <c r="B331" s="19"/>
      <c r="C331" s="19"/>
      <c r="D331" s="194"/>
      <c r="E331" s="2075" t="str">
        <f>Translations!$B$181</f>
        <v>Den behöriga myndigheten behöver dessa uppgifter för att säkerställa att de uppgifter som lämnats stämmer och undvika dubbelräkning av tilldelningsdata.</v>
      </c>
      <c r="F331" s="1960"/>
      <c r="G331" s="1960"/>
      <c r="H331" s="1960"/>
      <c r="I331" s="1960"/>
      <c r="J331" s="1960"/>
      <c r="K331" s="1960"/>
      <c r="L331" s="1960"/>
      <c r="M331" s="1960"/>
      <c r="N331" s="1960"/>
      <c r="O331" s="6"/>
      <c r="P331" s="15"/>
      <c r="Q331" s="349"/>
      <c r="R331" s="349"/>
      <c r="S331" s="349"/>
      <c r="T331" s="349"/>
      <c r="U331" s="349"/>
      <c r="V331" s="349"/>
      <c r="W331" s="349"/>
      <c r="X331" s="349"/>
      <c r="Y331" s="349"/>
    </row>
    <row r="332" spans="1:25" x14ac:dyDescent="0.25">
      <c r="A332" s="2"/>
      <c r="B332" s="19"/>
      <c r="C332" s="19"/>
      <c r="D332" s="194"/>
      <c r="E332" s="2075" t="str">
        <f>Translations!$B$182</f>
        <v>Endast sådana fall är relevanta där mätbar värme, restgaser eller ”överförd koldioxid” enligt definitionen i M&amp;R-förordningen överförs.</v>
      </c>
      <c r="F332" s="1960"/>
      <c r="G332" s="1960"/>
      <c r="H332" s="1960"/>
      <c r="I332" s="1960"/>
      <c r="J332" s="1960"/>
      <c r="K332" s="1960"/>
      <c r="L332" s="1960"/>
      <c r="M332" s="1960"/>
      <c r="N332" s="1960"/>
      <c r="O332" s="6"/>
      <c r="P332" s="15"/>
      <c r="Q332" s="349"/>
      <c r="R332" s="349"/>
      <c r="S332" s="349"/>
      <c r="T332" s="349"/>
      <c r="U332" s="349"/>
      <c r="V332" s="349"/>
      <c r="W332" s="349"/>
      <c r="X332" s="349"/>
      <c r="Y332" s="349"/>
    </row>
    <row r="333" spans="1:25" x14ac:dyDescent="0.25">
      <c r="A333" s="2"/>
      <c r="B333" s="19"/>
      <c r="C333" s="19"/>
      <c r="D333" s="194"/>
      <c r="E333" s="2075" t="str">
        <f>Translations!$B$183</f>
        <v>”Import” innebär i detta fall att något kommer in till den anläggning som denna rapport avser, och ”export” innebär att något lämnar anläggningen.</v>
      </c>
      <c r="F333" s="1960"/>
      <c r="G333" s="1960"/>
      <c r="H333" s="1960"/>
      <c r="I333" s="1960"/>
      <c r="J333" s="1960"/>
      <c r="K333" s="1960"/>
      <c r="L333" s="1960"/>
      <c r="M333" s="1960"/>
      <c r="N333" s="1960"/>
      <c r="O333" s="6"/>
      <c r="P333" s="15"/>
      <c r="Q333" s="349"/>
      <c r="R333" s="349"/>
      <c r="S333" s="349"/>
      <c r="T333" s="349"/>
      <c r="U333" s="349"/>
      <c r="V333" s="349"/>
      <c r="W333" s="349"/>
      <c r="X333" s="349"/>
      <c r="Y333" s="349"/>
    </row>
    <row r="334" spans="1:25" x14ac:dyDescent="0.25">
      <c r="A334" s="2"/>
      <c r="B334" s="19"/>
      <c r="C334" s="19"/>
      <c r="D334" s="194"/>
      <c r="E334" s="2075" t="str">
        <f>Translations!$B$184</f>
        <v>Material- och/eller energiflöden mellan delanläggningar är inte relevanta, med undantag för värme som härrör från framställning av salpetersyra.</v>
      </c>
      <c r="F334" s="1960"/>
      <c r="G334" s="1960"/>
      <c r="H334" s="1960"/>
      <c r="I334" s="1960"/>
      <c r="J334" s="1960"/>
      <c r="K334" s="1960"/>
      <c r="L334" s="1960"/>
      <c r="M334" s="1960"/>
      <c r="N334" s="1960"/>
      <c r="O334" s="6"/>
      <c r="P334" s="15"/>
      <c r="Q334" s="349"/>
      <c r="R334" s="349"/>
      <c r="S334" s="349"/>
      <c r="T334" s="349"/>
      <c r="U334" s="349"/>
      <c r="V334" s="349"/>
      <c r="W334" s="349"/>
      <c r="X334" s="349"/>
      <c r="Y334" s="349"/>
    </row>
    <row r="335" spans="1:25" x14ac:dyDescent="0.25">
      <c r="A335" s="2"/>
      <c r="B335" s="19"/>
      <c r="C335" s="19"/>
      <c r="D335" s="194"/>
      <c r="E335" s="2075" t="str">
        <f>Translations!$B$185</f>
        <v>I kolumnen ”Typ av enhet” kan följande alternativ väljas:</v>
      </c>
      <c r="F335" s="1960"/>
      <c r="G335" s="1960"/>
      <c r="H335" s="1960"/>
      <c r="I335" s="1960"/>
      <c r="J335" s="1960"/>
      <c r="K335" s="1960"/>
      <c r="L335" s="1960"/>
      <c r="M335" s="1960"/>
      <c r="N335" s="1960"/>
      <c r="O335" s="6"/>
      <c r="P335" s="15"/>
      <c r="Q335" s="349"/>
      <c r="R335" s="349"/>
      <c r="S335" s="349"/>
      <c r="T335" s="349"/>
      <c r="U335" s="349"/>
      <c r="V335" s="349"/>
      <c r="W335" s="349"/>
      <c r="X335" s="349"/>
      <c r="Y335" s="349"/>
    </row>
    <row r="336" spans="1:25" x14ac:dyDescent="0.25">
      <c r="A336" s="2"/>
      <c r="B336" s="19"/>
      <c r="C336" s="19"/>
      <c r="D336" s="194"/>
      <c r="E336" s="114" t="s">
        <v>1112</v>
      </c>
      <c r="F336" s="2061" t="str">
        <f>Translations!$B$186</f>
        <v>Anläggning inom ETS-systemet</v>
      </c>
      <c r="G336" s="1963"/>
      <c r="H336" s="1963"/>
      <c r="I336" s="1963"/>
      <c r="J336" s="1963"/>
      <c r="K336" s="1963"/>
      <c r="L336" s="1963"/>
      <c r="M336" s="1963"/>
      <c r="N336" s="1963"/>
      <c r="O336" s="6"/>
      <c r="P336" s="15"/>
      <c r="Q336" s="349"/>
      <c r="R336" s="349"/>
      <c r="S336" s="349"/>
      <c r="T336" s="349"/>
      <c r="U336" s="349"/>
      <c r="V336" s="349"/>
      <c r="W336" s="349"/>
      <c r="X336" s="349"/>
      <c r="Y336" s="349"/>
    </row>
    <row r="337" spans="1:25" x14ac:dyDescent="0.25">
      <c r="A337" s="2"/>
      <c r="B337" s="19"/>
      <c r="C337" s="19"/>
      <c r="D337" s="194"/>
      <c r="E337" s="114" t="s">
        <v>1112</v>
      </c>
      <c r="F337" s="2061" t="str">
        <f>Translations!$B$187</f>
        <v>Anläggning utanför ETS-systemet</v>
      </c>
      <c r="G337" s="1963"/>
      <c r="H337" s="1963"/>
      <c r="I337" s="1963"/>
      <c r="J337" s="1963"/>
      <c r="K337" s="1963"/>
      <c r="L337" s="1963"/>
      <c r="M337" s="1963"/>
      <c r="N337" s="1963"/>
      <c r="O337" s="6"/>
      <c r="P337" s="15"/>
      <c r="Q337" s="349"/>
      <c r="R337" s="349"/>
      <c r="S337" s="349"/>
      <c r="T337" s="349"/>
      <c r="U337" s="349"/>
      <c r="V337" s="349"/>
      <c r="W337" s="349"/>
      <c r="X337" s="349"/>
      <c r="Y337" s="349"/>
    </row>
    <row r="338" spans="1:25" x14ac:dyDescent="0.25">
      <c r="A338" s="2"/>
      <c r="B338" s="19"/>
      <c r="C338" s="19"/>
      <c r="D338" s="194"/>
      <c r="E338" s="114" t="s">
        <v>1112</v>
      </c>
      <c r="F338" s="2061" t="str">
        <f>Translations!$B$188</f>
        <v>Anläggning som producerar salpetersyra</v>
      </c>
      <c r="G338" s="1963"/>
      <c r="H338" s="1963"/>
      <c r="I338" s="1963"/>
      <c r="J338" s="1963"/>
      <c r="K338" s="1963"/>
      <c r="L338" s="1963"/>
      <c r="M338" s="1963"/>
      <c r="N338" s="1963"/>
      <c r="O338" s="6"/>
      <c r="P338" s="15"/>
      <c r="Q338" s="349"/>
      <c r="R338" s="349"/>
      <c r="S338" s="349"/>
      <c r="T338" s="349"/>
      <c r="U338" s="349"/>
      <c r="V338" s="349"/>
      <c r="W338" s="349"/>
      <c r="X338" s="349"/>
      <c r="Y338" s="349"/>
    </row>
    <row r="339" spans="1:25" x14ac:dyDescent="0.25">
      <c r="A339" s="2"/>
      <c r="B339" s="19"/>
      <c r="C339" s="19"/>
      <c r="D339" s="194"/>
      <c r="E339" s="114" t="s">
        <v>1112</v>
      </c>
      <c r="F339" s="2061" t="str">
        <f>Translations!$B$189</f>
        <v>Värmedistributionsnät</v>
      </c>
      <c r="G339" s="1963"/>
      <c r="H339" s="1963"/>
      <c r="I339" s="1963"/>
      <c r="J339" s="1963"/>
      <c r="K339" s="1963"/>
      <c r="L339" s="1963"/>
      <c r="M339" s="1963"/>
      <c r="N339" s="1963"/>
      <c r="O339" s="6"/>
      <c r="P339" s="15"/>
      <c r="Q339" s="349"/>
      <c r="R339" s="349"/>
      <c r="S339" s="349"/>
      <c r="T339" s="349"/>
      <c r="U339" s="349"/>
      <c r="V339" s="349"/>
      <c r="W339" s="349"/>
      <c r="X339" s="349"/>
      <c r="Y339" s="349"/>
    </row>
    <row r="340" spans="1:25" ht="13" x14ac:dyDescent="0.25">
      <c r="A340" s="2"/>
      <c r="B340" s="19"/>
      <c r="C340" s="19"/>
      <c r="D340" s="194"/>
      <c r="E340" s="2168" t="str">
        <f>Translations!$B$190</f>
        <v>Specialfall: Framställning av salpetersyra:</v>
      </c>
      <c r="F340" s="2190"/>
      <c r="G340" s="2190"/>
      <c r="H340" s="2190"/>
      <c r="I340" s="2190"/>
      <c r="J340" s="2190"/>
      <c r="K340" s="2190"/>
      <c r="L340" s="2190"/>
      <c r="M340" s="2190"/>
      <c r="N340" s="2190"/>
      <c r="O340" s="6"/>
      <c r="P340" s="15"/>
      <c r="Q340" s="349"/>
      <c r="R340" s="349"/>
      <c r="S340" s="349"/>
      <c r="T340" s="349"/>
      <c r="U340" s="349"/>
      <c r="V340" s="349"/>
      <c r="W340" s="349"/>
      <c r="X340" s="349"/>
      <c r="Y340" s="349"/>
    </row>
    <row r="341" spans="1:25" x14ac:dyDescent="0.25">
      <c r="A341" s="2"/>
      <c r="B341" s="19"/>
      <c r="C341" s="19"/>
      <c r="D341" s="194"/>
      <c r="E341" s="114" t="s">
        <v>1112</v>
      </c>
      <c r="F341" s="2061" t="str">
        <f>Translations!$B$191</f>
        <v>Var god välj detta alternativ för att ange att er anläggning använder värme som härrör från framställning av salpetersyra.</v>
      </c>
      <c r="G341" s="1963"/>
      <c r="H341" s="1963"/>
      <c r="I341" s="1963"/>
      <c r="J341" s="1963"/>
      <c r="K341" s="1963"/>
      <c r="L341" s="1963"/>
      <c r="M341" s="1963"/>
      <c r="N341" s="1963"/>
      <c r="O341" s="6"/>
      <c r="P341" s="15"/>
      <c r="Q341" s="349"/>
      <c r="R341" s="349"/>
      <c r="S341" s="349"/>
      <c r="T341" s="349"/>
      <c r="U341" s="349"/>
      <c r="V341" s="349"/>
      <c r="W341" s="349"/>
      <c r="X341" s="349"/>
      <c r="Y341" s="349"/>
    </row>
    <row r="342" spans="1:25" x14ac:dyDescent="0.25">
      <c r="A342" s="2"/>
      <c r="B342" s="19"/>
      <c r="C342" s="19"/>
      <c r="D342" s="194"/>
      <c r="E342" s="114" t="s">
        <v>1112</v>
      </c>
      <c r="F342" s="2061" t="str">
        <f>Translations!$B$192</f>
        <v>Var god ange detta även om framställning av salpetersyra ingår i verksamheten vid anläggningen och inte bara om er anläggning är ansluten till en sådan anläggning.</v>
      </c>
      <c r="G342" s="1963"/>
      <c r="H342" s="1963"/>
      <c r="I342" s="1963"/>
      <c r="J342" s="1963"/>
      <c r="K342" s="1963"/>
      <c r="L342" s="1963"/>
      <c r="M342" s="1963"/>
      <c r="N342" s="1963"/>
      <c r="O342" s="6"/>
      <c r="P342" s="15"/>
      <c r="Q342" s="349"/>
      <c r="R342" s="349"/>
      <c r="S342" s="349"/>
      <c r="T342" s="349"/>
      <c r="U342" s="349"/>
      <c r="V342" s="349"/>
      <c r="W342" s="349"/>
      <c r="X342" s="349"/>
      <c r="Y342" s="349"/>
    </row>
    <row r="343" spans="1:25" x14ac:dyDescent="0.25">
      <c r="A343" s="2"/>
      <c r="B343" s="19"/>
      <c r="C343" s="19"/>
      <c r="D343" s="194"/>
      <c r="E343" s="114" t="s">
        <v>1112</v>
      </c>
      <c r="F343" s="2061" t="str">
        <f>Translations!$B$193</f>
        <v>Denna information är relevant för värmebalansen (blad ”E_EnergyFlows”, avsnitt II).</v>
      </c>
      <c r="G343" s="1963"/>
      <c r="H343" s="1963"/>
      <c r="I343" s="1963"/>
      <c r="J343" s="1963"/>
      <c r="K343" s="1963"/>
      <c r="L343" s="1963"/>
      <c r="M343" s="1963"/>
      <c r="N343" s="1963"/>
      <c r="O343" s="6"/>
      <c r="P343" s="15"/>
      <c r="Q343" s="349"/>
      <c r="R343" s="349"/>
      <c r="S343" s="349"/>
      <c r="T343" s="349"/>
      <c r="U343" s="349"/>
      <c r="V343" s="349"/>
      <c r="W343" s="349"/>
      <c r="X343" s="349"/>
      <c r="Y343" s="349"/>
    </row>
    <row r="344" spans="1:25" x14ac:dyDescent="0.25">
      <c r="A344" s="2"/>
      <c r="B344" s="19"/>
      <c r="C344" s="19"/>
      <c r="D344" s="194"/>
      <c r="E344" s="2075" t="str">
        <f>Translations!$B$194</f>
        <v>Typer av anslutningsalternativ:</v>
      </c>
      <c r="F344" s="1960"/>
      <c r="G344" s="1960"/>
      <c r="H344" s="1960"/>
      <c r="I344" s="1960"/>
      <c r="J344" s="1960"/>
      <c r="K344" s="1960"/>
      <c r="L344" s="1960"/>
      <c r="M344" s="1960"/>
      <c r="N344" s="1960"/>
      <c r="O344" s="6"/>
      <c r="P344" s="15"/>
      <c r="Q344" s="349"/>
      <c r="R344" s="349"/>
      <c r="S344" s="349"/>
      <c r="T344" s="349"/>
      <c r="U344" s="349"/>
      <c r="V344" s="349"/>
      <c r="W344" s="349"/>
      <c r="X344" s="349"/>
      <c r="Y344" s="349"/>
    </row>
    <row r="345" spans="1:25" x14ac:dyDescent="0.25">
      <c r="A345" s="2"/>
      <c r="B345" s="19"/>
      <c r="C345" s="19"/>
      <c r="D345" s="194"/>
      <c r="E345" s="114" t="s">
        <v>1112</v>
      </c>
      <c r="F345" s="2061" t="str">
        <f>Translations!$B$195</f>
        <v>Mätbar värme</v>
      </c>
      <c r="G345" s="1963"/>
      <c r="H345" s="1963"/>
      <c r="I345" s="1963"/>
      <c r="J345" s="1963"/>
      <c r="K345" s="1963"/>
      <c r="L345" s="1963"/>
      <c r="M345" s="1963"/>
      <c r="N345" s="1963"/>
      <c r="O345" s="6"/>
      <c r="P345" s="15"/>
      <c r="Q345" s="349"/>
      <c r="R345" s="349"/>
      <c r="S345" s="349"/>
      <c r="T345" s="349"/>
      <c r="U345" s="349"/>
      <c r="V345" s="349"/>
      <c r="W345" s="349"/>
      <c r="X345" s="349"/>
      <c r="Y345" s="349"/>
    </row>
    <row r="346" spans="1:25" x14ac:dyDescent="0.25">
      <c r="A346" s="2"/>
      <c r="B346" s="19"/>
      <c r="C346" s="19"/>
      <c r="D346" s="194"/>
      <c r="E346" s="114" t="s">
        <v>1112</v>
      </c>
      <c r="F346" s="2061" t="str">
        <f>Translations!$B$196</f>
        <v>Restgaser</v>
      </c>
      <c r="G346" s="1963"/>
      <c r="H346" s="1963"/>
      <c r="I346" s="1963"/>
      <c r="J346" s="1963"/>
      <c r="K346" s="1963"/>
      <c r="L346" s="1963"/>
      <c r="M346" s="1963"/>
      <c r="N346" s="1963"/>
      <c r="O346" s="6"/>
      <c r="P346" s="15"/>
      <c r="Q346" s="349"/>
      <c r="R346" s="349"/>
      <c r="S346" s="349"/>
      <c r="T346" s="349"/>
      <c r="U346" s="349"/>
      <c r="V346" s="349"/>
      <c r="W346" s="349"/>
      <c r="X346" s="349"/>
      <c r="Y346" s="349"/>
    </row>
    <row r="347" spans="1:25" x14ac:dyDescent="0.25">
      <c r="A347" s="2"/>
      <c r="B347" s="19"/>
      <c r="C347" s="19"/>
      <c r="D347" s="194"/>
      <c r="E347" s="114" t="s">
        <v>1112</v>
      </c>
      <c r="F347" s="2061" t="str">
        <f>Translations!$B$197</f>
        <v>Överförd koldioxid</v>
      </c>
      <c r="G347" s="1963"/>
      <c r="H347" s="1963"/>
      <c r="I347" s="1963"/>
      <c r="J347" s="1963"/>
      <c r="K347" s="1963"/>
      <c r="L347" s="1963"/>
      <c r="M347" s="1963"/>
      <c r="N347" s="1963"/>
      <c r="O347" s="6"/>
      <c r="P347" s="15"/>
      <c r="Q347" s="349"/>
      <c r="R347" s="349"/>
      <c r="S347" s="349"/>
      <c r="T347" s="349"/>
      <c r="U347" s="349"/>
      <c r="V347" s="349"/>
      <c r="W347" s="349"/>
      <c r="X347" s="349"/>
      <c r="Y347" s="349"/>
    </row>
    <row r="348" spans="1:25" ht="12.75" customHeight="1" x14ac:dyDescent="0.25">
      <c r="A348" s="2"/>
      <c r="B348" s="19"/>
      <c r="C348" s="19"/>
      <c r="D348" s="194"/>
      <c r="E348" s="114" t="s">
        <v>1112</v>
      </c>
      <c r="F348" s="2061" t="str">
        <f>Translations!$B$198</f>
        <v>Mellanprodukter som omfattas av produktriktmärken (avsnitten 1.6 och 3.1 l i bilaga IV till FAR)</v>
      </c>
      <c r="G348" s="1963"/>
      <c r="H348" s="1963"/>
      <c r="I348" s="1963"/>
      <c r="J348" s="1963"/>
      <c r="K348" s="1963"/>
      <c r="L348" s="1963"/>
      <c r="M348" s="1963"/>
      <c r="N348" s="1963"/>
      <c r="O348" s="6"/>
      <c r="P348" s="15"/>
      <c r="Q348" s="349"/>
      <c r="R348" s="349"/>
      <c r="S348" s="349"/>
      <c r="T348" s="349"/>
      <c r="U348" s="349"/>
      <c r="V348" s="349"/>
      <c r="W348" s="349"/>
      <c r="X348" s="349"/>
      <c r="Y348" s="349"/>
    </row>
    <row r="349" spans="1:25" x14ac:dyDescent="0.25">
      <c r="A349" s="2"/>
      <c r="B349" s="19"/>
      <c r="C349" s="19"/>
      <c r="D349" s="194"/>
      <c r="E349" s="2075" t="str">
        <f>Translations!$B$199</f>
        <v>Flödesriktningsalternativ (sett till den installation som rapporten avser):</v>
      </c>
      <c r="F349" s="1960"/>
      <c r="G349" s="1960"/>
      <c r="H349" s="1960"/>
      <c r="I349" s="1960"/>
      <c r="J349" s="1960"/>
      <c r="K349" s="1960"/>
      <c r="L349" s="1960"/>
      <c r="M349" s="1960"/>
      <c r="N349" s="1960"/>
      <c r="O349" s="6"/>
      <c r="P349" s="15"/>
      <c r="Q349" s="349"/>
      <c r="R349" s="349"/>
      <c r="S349" s="349"/>
      <c r="T349" s="349"/>
      <c r="U349" s="349"/>
      <c r="V349" s="349"/>
      <c r="W349" s="349"/>
      <c r="X349" s="349"/>
      <c r="Y349" s="349"/>
    </row>
    <row r="350" spans="1:25" x14ac:dyDescent="0.25">
      <c r="A350" s="2"/>
      <c r="B350" s="19"/>
      <c r="C350" s="19"/>
      <c r="D350" s="194"/>
      <c r="E350" s="114" t="s">
        <v>1112</v>
      </c>
      <c r="F350" s="2061" t="str">
        <f>Translations!$B$200</f>
        <v>Import (till anläggningen)</v>
      </c>
      <c r="G350" s="1963"/>
      <c r="H350" s="1963"/>
      <c r="I350" s="1963"/>
      <c r="J350" s="1963"/>
      <c r="K350" s="1963"/>
      <c r="L350" s="1963"/>
      <c r="M350" s="1963"/>
      <c r="N350" s="1963"/>
      <c r="O350" s="6"/>
      <c r="P350" s="15"/>
      <c r="Q350" s="349"/>
      <c r="R350" s="349"/>
      <c r="S350" s="349"/>
      <c r="T350" s="349"/>
      <c r="U350" s="349"/>
      <c r="V350" s="349"/>
      <c r="W350" s="349"/>
      <c r="X350" s="349"/>
      <c r="Y350" s="349"/>
    </row>
    <row r="351" spans="1:25" x14ac:dyDescent="0.25">
      <c r="A351" s="2"/>
      <c r="B351" s="19"/>
      <c r="C351" s="19"/>
      <c r="D351" s="194"/>
      <c r="E351" s="114" t="s">
        <v>1112</v>
      </c>
      <c r="F351" s="2061" t="str">
        <f>Translations!$B$201</f>
        <v>Export (från anläggningen)</v>
      </c>
      <c r="G351" s="1963"/>
      <c r="H351" s="1963"/>
      <c r="I351" s="1963"/>
      <c r="J351" s="1963"/>
      <c r="K351" s="1963"/>
      <c r="L351" s="1963"/>
      <c r="M351" s="1963"/>
      <c r="N351" s="1963"/>
      <c r="O351" s="6"/>
      <c r="P351" s="15"/>
      <c r="Q351" s="349"/>
      <c r="R351" s="349"/>
      <c r="S351" s="349"/>
      <c r="T351" s="349"/>
      <c r="U351" s="349"/>
      <c r="V351" s="349"/>
      <c r="W351" s="349"/>
      <c r="X351" s="349"/>
      <c r="Y351" s="349"/>
    </row>
    <row r="352" spans="1:25" ht="5.15" customHeight="1" x14ac:dyDescent="0.25">
      <c r="A352" s="2"/>
      <c r="B352" s="3"/>
      <c r="C352" s="3"/>
      <c r="D352" s="5"/>
      <c r="E352" s="3"/>
      <c r="F352" s="3"/>
      <c r="G352" s="3"/>
      <c r="H352" s="3"/>
      <c r="I352" s="3"/>
      <c r="J352" s="3"/>
      <c r="K352" s="3"/>
      <c r="L352" s="3"/>
      <c r="M352" s="6"/>
      <c r="N352" s="6"/>
      <c r="O352" s="6"/>
      <c r="P352" s="15"/>
      <c r="Q352" s="343"/>
      <c r="R352" s="343"/>
      <c r="S352" s="343"/>
      <c r="T352" s="343"/>
      <c r="U352" s="349"/>
      <c r="V352" s="349"/>
      <c r="W352" s="349"/>
      <c r="X352" s="349"/>
      <c r="Y352" s="349"/>
    </row>
    <row r="353" spans="1:25" s="534" customFormat="1" ht="13.5" thickBot="1" x14ac:dyDescent="0.35">
      <c r="A353" s="343"/>
      <c r="B353" s="15"/>
      <c r="C353" s="15"/>
      <c r="D353" s="194"/>
      <c r="E353" s="311" t="str">
        <f>Translations!$B$169</f>
        <v>Nr</v>
      </c>
      <c r="F353" s="2036" t="str">
        <f>Translations!$B$202</f>
        <v>Anläggningens eller enhetens namn</v>
      </c>
      <c r="G353" s="2039"/>
      <c r="H353" s="2037"/>
      <c r="I353" s="2036" t="str">
        <f>Translations!$B$203</f>
        <v>Typ av enhet</v>
      </c>
      <c r="J353" s="2037"/>
      <c r="K353" s="2036" t="str">
        <f>Translations!$B$204</f>
        <v>Typ av anslutning</v>
      </c>
      <c r="L353" s="2037"/>
      <c r="M353" s="2036" t="str">
        <f>Translations!$B$205</f>
        <v>Flödesriktning</v>
      </c>
      <c r="N353" s="2039"/>
      <c r="P353" s="15"/>
      <c r="Q353" s="1537"/>
      <c r="R353" s="349"/>
      <c r="S353" s="886" t="s">
        <v>2131</v>
      </c>
      <c r="T353" s="936"/>
      <c r="U353" s="936"/>
      <c r="V353" s="936"/>
      <c r="W353" s="936"/>
      <c r="X353" s="936"/>
      <c r="Y353" s="936"/>
    </row>
    <row r="354" spans="1:25" x14ac:dyDescent="0.25">
      <c r="A354" s="2"/>
      <c r="B354" s="19"/>
      <c r="C354" s="19"/>
      <c r="D354" s="45"/>
      <c r="E354" s="52">
        <v>1</v>
      </c>
      <c r="F354" s="2362"/>
      <c r="G354" s="2365"/>
      <c r="H354" s="2363"/>
      <c r="I354" s="2364"/>
      <c r="J354" s="2374"/>
      <c r="K354" s="2364"/>
      <c r="L354" s="2363"/>
      <c r="M354" s="2274"/>
      <c r="N354" s="2275"/>
      <c r="O354" s="6"/>
      <c r="P354" s="1552"/>
      <c r="Q354" s="501"/>
      <c r="R354" s="349"/>
      <c r="S354" s="493" t="str">
        <f t="shared" ref="S354:S363" si="15">IF(ISBLANK(I354),"",OR(MATCH(I354,EUconst_ConnectedEntityTypes,0)=1,MATCH(I354,EUconst_ConnectedEntityTypes,0)=3))</f>
        <v/>
      </c>
      <c r="T354" s="349"/>
      <c r="U354" s="349"/>
      <c r="V354" s="349"/>
      <c r="W354" s="349"/>
      <c r="X354" s="349"/>
      <c r="Y354" s="355" t="b">
        <f t="shared" ref="Y354:Y363" si="16">CTRL_InputMethodNIMsvalues=1</f>
        <v>0</v>
      </c>
    </row>
    <row r="355" spans="1:25" x14ac:dyDescent="0.25">
      <c r="A355" s="2"/>
      <c r="B355" s="19"/>
      <c r="C355" s="19"/>
      <c r="D355" s="45"/>
      <c r="E355" s="53">
        <f t="shared" ref="E355:E363" si="17">E354+1</f>
        <v>2</v>
      </c>
      <c r="F355" s="2368"/>
      <c r="G355" s="2195"/>
      <c r="H355" s="2194"/>
      <c r="I355" s="2193"/>
      <c r="J355" s="2273"/>
      <c r="K355" s="2193"/>
      <c r="L355" s="2194"/>
      <c r="M355" s="2191"/>
      <c r="N355" s="2192"/>
      <c r="O355" s="6"/>
      <c r="P355" s="1552"/>
      <c r="Q355" s="501"/>
      <c r="R355" s="349"/>
      <c r="S355" s="495" t="str">
        <f t="shared" si="15"/>
        <v/>
      </c>
      <c r="T355" s="349"/>
      <c r="U355" s="349"/>
      <c r="V355" s="349"/>
      <c r="W355" s="349"/>
      <c r="X355" s="349"/>
      <c r="Y355" s="355" t="b">
        <f t="shared" si="16"/>
        <v>0</v>
      </c>
    </row>
    <row r="356" spans="1:25" x14ac:dyDescent="0.25">
      <c r="A356" s="2"/>
      <c r="B356" s="19"/>
      <c r="C356" s="19"/>
      <c r="D356" s="45"/>
      <c r="E356" s="53">
        <f t="shared" si="17"/>
        <v>3</v>
      </c>
      <c r="F356" s="2193"/>
      <c r="G356" s="2195"/>
      <c r="H356" s="2194"/>
      <c r="I356" s="2193"/>
      <c r="J356" s="2273"/>
      <c r="K356" s="2193"/>
      <c r="L356" s="2194"/>
      <c r="M356" s="2191"/>
      <c r="N356" s="2192"/>
      <c r="O356" s="6"/>
      <c r="P356" s="1552"/>
      <c r="Q356" s="501"/>
      <c r="R356" s="349"/>
      <c r="S356" s="495" t="str">
        <f t="shared" si="15"/>
        <v/>
      </c>
      <c r="T356" s="349"/>
      <c r="U356" s="349"/>
      <c r="V356" s="349"/>
      <c r="W356" s="349"/>
      <c r="X356" s="349"/>
      <c r="Y356" s="355" t="b">
        <f t="shared" si="16"/>
        <v>0</v>
      </c>
    </row>
    <row r="357" spans="1:25" x14ac:dyDescent="0.25">
      <c r="A357" s="2"/>
      <c r="B357" s="19"/>
      <c r="C357" s="19"/>
      <c r="D357" s="45"/>
      <c r="E357" s="53">
        <f t="shared" si="17"/>
        <v>4</v>
      </c>
      <c r="F357" s="2368"/>
      <c r="G357" s="2195"/>
      <c r="H357" s="2194"/>
      <c r="I357" s="2193"/>
      <c r="J357" s="2273"/>
      <c r="K357" s="2193"/>
      <c r="L357" s="2194"/>
      <c r="M357" s="2191"/>
      <c r="N357" s="2192"/>
      <c r="O357" s="6"/>
      <c r="P357" s="1552"/>
      <c r="Q357" s="501"/>
      <c r="R357" s="349"/>
      <c r="S357" s="495" t="str">
        <f t="shared" si="15"/>
        <v/>
      </c>
      <c r="T357" s="349"/>
      <c r="U357" s="349"/>
      <c r="V357" s="349"/>
      <c r="W357" s="349"/>
      <c r="X357" s="349"/>
      <c r="Y357" s="355" t="b">
        <f t="shared" si="16"/>
        <v>0</v>
      </c>
    </row>
    <row r="358" spans="1:25" x14ac:dyDescent="0.25">
      <c r="A358" s="2"/>
      <c r="B358" s="19"/>
      <c r="C358" s="19"/>
      <c r="D358" s="45"/>
      <c r="E358" s="53">
        <f t="shared" si="17"/>
        <v>5</v>
      </c>
      <c r="F358" s="2193"/>
      <c r="G358" s="2195"/>
      <c r="H358" s="2194"/>
      <c r="I358" s="2193"/>
      <c r="J358" s="2273"/>
      <c r="K358" s="2193"/>
      <c r="L358" s="2194"/>
      <c r="M358" s="2191"/>
      <c r="N358" s="2192"/>
      <c r="O358" s="6"/>
      <c r="P358" s="1552"/>
      <c r="Q358" s="501"/>
      <c r="R358" s="349"/>
      <c r="S358" s="495" t="str">
        <f t="shared" si="15"/>
        <v/>
      </c>
      <c r="T358" s="349"/>
      <c r="U358" s="349"/>
      <c r="V358" s="349"/>
      <c r="W358" s="349"/>
      <c r="X358" s="349"/>
      <c r="Y358" s="355" t="b">
        <f t="shared" si="16"/>
        <v>0</v>
      </c>
    </row>
    <row r="359" spans="1:25" x14ac:dyDescent="0.25">
      <c r="A359" s="2"/>
      <c r="B359" s="19"/>
      <c r="C359" s="19"/>
      <c r="D359" s="45"/>
      <c r="E359" s="53">
        <f t="shared" si="17"/>
        <v>6</v>
      </c>
      <c r="F359" s="2193"/>
      <c r="G359" s="2195"/>
      <c r="H359" s="2194"/>
      <c r="I359" s="2193"/>
      <c r="J359" s="2273"/>
      <c r="K359" s="2193"/>
      <c r="L359" s="2194"/>
      <c r="M359" s="2191"/>
      <c r="N359" s="2192"/>
      <c r="O359" s="6"/>
      <c r="P359" s="1552"/>
      <c r="Q359" s="501"/>
      <c r="R359" s="349"/>
      <c r="S359" s="495" t="str">
        <f t="shared" si="15"/>
        <v/>
      </c>
      <c r="T359" s="349"/>
      <c r="U359" s="349"/>
      <c r="V359" s="349"/>
      <c r="W359" s="349"/>
      <c r="X359" s="349"/>
      <c r="Y359" s="355" t="b">
        <f t="shared" si="16"/>
        <v>0</v>
      </c>
    </row>
    <row r="360" spans="1:25" x14ac:dyDescent="0.25">
      <c r="A360" s="2"/>
      <c r="B360" s="19"/>
      <c r="C360" s="19"/>
      <c r="D360" s="45"/>
      <c r="E360" s="53">
        <f t="shared" si="17"/>
        <v>7</v>
      </c>
      <c r="F360" s="2193"/>
      <c r="G360" s="2195"/>
      <c r="H360" s="2194"/>
      <c r="I360" s="2193"/>
      <c r="J360" s="2273"/>
      <c r="K360" s="2193"/>
      <c r="L360" s="2194"/>
      <c r="M360" s="2191"/>
      <c r="N360" s="2192"/>
      <c r="O360" s="6"/>
      <c r="P360" s="1552"/>
      <c r="Q360" s="501"/>
      <c r="R360" s="349"/>
      <c r="S360" s="495" t="str">
        <f t="shared" si="15"/>
        <v/>
      </c>
      <c r="T360" s="349"/>
      <c r="U360" s="349"/>
      <c r="V360" s="349"/>
      <c r="W360" s="349"/>
      <c r="X360" s="349"/>
      <c r="Y360" s="355" t="b">
        <f t="shared" si="16"/>
        <v>0</v>
      </c>
    </row>
    <row r="361" spans="1:25" x14ac:dyDescent="0.25">
      <c r="A361" s="2"/>
      <c r="B361" s="19"/>
      <c r="C361" s="19"/>
      <c r="D361" s="45"/>
      <c r="E361" s="53">
        <f t="shared" si="17"/>
        <v>8</v>
      </c>
      <c r="F361" s="2368"/>
      <c r="G361" s="2195"/>
      <c r="H361" s="2194"/>
      <c r="I361" s="2193"/>
      <c r="J361" s="2273"/>
      <c r="K361" s="2193"/>
      <c r="L361" s="2194"/>
      <c r="M361" s="2191"/>
      <c r="N361" s="2192"/>
      <c r="O361" s="6"/>
      <c r="P361" s="1552"/>
      <c r="Q361" s="501"/>
      <c r="R361" s="349"/>
      <c r="S361" s="495" t="str">
        <f t="shared" si="15"/>
        <v/>
      </c>
      <c r="T361" s="349"/>
      <c r="U361" s="349"/>
      <c r="V361" s="349"/>
      <c r="W361" s="349"/>
      <c r="X361" s="349"/>
      <c r="Y361" s="355" t="b">
        <f t="shared" si="16"/>
        <v>0</v>
      </c>
    </row>
    <row r="362" spans="1:25" x14ac:dyDescent="0.25">
      <c r="A362" s="2"/>
      <c r="B362" s="19"/>
      <c r="C362" s="19"/>
      <c r="D362" s="45"/>
      <c r="E362" s="53">
        <f t="shared" si="17"/>
        <v>9</v>
      </c>
      <c r="F362" s="2193"/>
      <c r="G362" s="2195"/>
      <c r="H362" s="2194"/>
      <c r="I362" s="2193"/>
      <c r="J362" s="2273"/>
      <c r="K362" s="2193"/>
      <c r="L362" s="2194"/>
      <c r="M362" s="2191"/>
      <c r="N362" s="2192"/>
      <c r="O362" s="6"/>
      <c r="P362" s="1552"/>
      <c r="Q362" s="501"/>
      <c r="R362" s="349"/>
      <c r="S362" s="495" t="str">
        <f t="shared" si="15"/>
        <v/>
      </c>
      <c r="T362" s="349"/>
      <c r="U362" s="349"/>
      <c r="V362" s="349"/>
      <c r="W362" s="349"/>
      <c r="X362" s="349"/>
      <c r="Y362" s="355" t="b">
        <f t="shared" si="16"/>
        <v>0</v>
      </c>
    </row>
    <row r="363" spans="1:25" ht="13" thickBot="1" x14ac:dyDescent="0.3">
      <c r="A363" s="2"/>
      <c r="B363" s="19"/>
      <c r="C363" s="19"/>
      <c r="D363" s="45"/>
      <c r="E363" s="54">
        <f t="shared" si="17"/>
        <v>10</v>
      </c>
      <c r="F363" s="2268"/>
      <c r="G363" s="2266"/>
      <c r="H363" s="2267"/>
      <c r="I363" s="2265"/>
      <c r="J363" s="2371"/>
      <c r="K363" s="2265"/>
      <c r="L363" s="2267"/>
      <c r="M363" s="2271"/>
      <c r="N363" s="2272"/>
      <c r="O363" s="6"/>
      <c r="P363" s="1552"/>
      <c r="Q363" s="501"/>
      <c r="R363" s="349"/>
      <c r="S363" s="497" t="str">
        <f t="shared" si="15"/>
        <v/>
      </c>
      <c r="T363" s="349"/>
      <c r="U363" s="349"/>
      <c r="V363" s="349"/>
      <c r="W363" s="349"/>
      <c r="X363" s="349"/>
      <c r="Y363" s="355" t="b">
        <f t="shared" si="16"/>
        <v>0</v>
      </c>
    </row>
    <row r="364" spans="1:25" x14ac:dyDescent="0.25">
      <c r="A364" s="2"/>
      <c r="B364" s="19"/>
      <c r="C364" s="19"/>
      <c r="D364" s="45"/>
      <c r="E364" s="34"/>
      <c r="F364" s="34"/>
      <c r="G364" s="34"/>
      <c r="H364" s="34"/>
      <c r="I364" s="34"/>
      <c r="J364" s="34"/>
      <c r="K364" s="34"/>
      <c r="L364" s="34"/>
      <c r="M364" s="34"/>
      <c r="N364" s="34"/>
      <c r="O364" s="6"/>
      <c r="P364" s="15"/>
      <c r="Q364" s="349"/>
      <c r="R364" s="349"/>
      <c r="S364" s="349"/>
      <c r="T364" s="349"/>
      <c r="U364" s="349"/>
      <c r="V364" s="349"/>
      <c r="W364" s="349"/>
      <c r="X364" s="349"/>
      <c r="Y364" s="349"/>
    </row>
    <row r="365" spans="1:25" ht="13" x14ac:dyDescent="0.25">
      <c r="A365" s="2"/>
      <c r="B365" s="19"/>
      <c r="C365" s="19"/>
      <c r="D365" s="182"/>
      <c r="E365" s="1943" t="str">
        <f>Translations!$B$206</f>
        <v>Var god ange ytterligare uppgifter om de anslutna anläggningarna, där så är relevant:</v>
      </c>
      <c r="F365" s="1963"/>
      <c r="G365" s="1963"/>
      <c r="H365" s="1963"/>
      <c r="I365" s="1963"/>
      <c r="J365" s="1963"/>
      <c r="K365" s="1963"/>
      <c r="L365" s="1963"/>
      <c r="M365" s="1963"/>
      <c r="N365" s="1963"/>
      <c r="O365" s="6"/>
      <c r="P365" s="15"/>
      <c r="Q365" s="349"/>
      <c r="R365" s="349"/>
      <c r="S365" s="349"/>
      <c r="T365" s="349"/>
      <c r="U365" s="349"/>
      <c r="V365" s="349"/>
      <c r="W365" s="349"/>
      <c r="X365" s="349"/>
      <c r="Y365" s="349"/>
    </row>
    <row r="366" spans="1:25" ht="25.5" customHeight="1" x14ac:dyDescent="0.25">
      <c r="A366" s="2"/>
      <c r="B366" s="19"/>
      <c r="C366" s="19"/>
      <c r="D366" s="15"/>
      <c r="E366" s="2061" t="str">
        <f>Translations!$B$207</f>
        <v>Anläggningens identifieringsnummer (NAP-nr) måste anges om den anslutna anläggningen omfattas av ETS-systemet och om den gjorde detta redan före den 30 juni 2019 beträffande den första tilldelningsperioden och före den 30 juni 2024 beträffande den andra tilldelningsperioden.</v>
      </c>
      <c r="F366" s="1963"/>
      <c r="G366" s="1963"/>
      <c r="H366" s="1963"/>
      <c r="I366" s="1963"/>
      <c r="J366" s="1963"/>
      <c r="K366" s="1963"/>
      <c r="L366" s="1963"/>
      <c r="M366" s="1963"/>
      <c r="N366" s="1963"/>
      <c r="O366" s="6"/>
      <c r="P366" s="15"/>
      <c r="Q366" s="349"/>
      <c r="R366" s="349"/>
      <c r="S366" s="349"/>
      <c r="T366" s="349"/>
      <c r="U366" s="349"/>
      <c r="V366" s="349"/>
      <c r="W366" s="349"/>
      <c r="X366" s="349"/>
      <c r="Y366" s="349"/>
    </row>
    <row r="367" spans="1:25" ht="12.75" customHeight="1" x14ac:dyDescent="0.25">
      <c r="A367" s="2"/>
      <c r="B367" s="19"/>
      <c r="C367" s="19"/>
      <c r="D367" s="15"/>
      <c r="E367" s="2061" t="str">
        <f>Translations!$B$208</f>
        <v>För enheter som inte omfattas av ETS-systemet måste kontaktuppgifter anges men inget identifieringsnummer (NAP-nr).</v>
      </c>
      <c r="F367" s="2061"/>
      <c r="G367" s="2061"/>
      <c r="H367" s="2061"/>
      <c r="I367" s="2061"/>
      <c r="J367" s="2061"/>
      <c r="K367" s="2061"/>
      <c r="L367" s="2061"/>
      <c r="M367" s="2061"/>
      <c r="N367" s="2061"/>
      <c r="O367" s="6"/>
      <c r="P367" s="15"/>
      <c r="Q367" s="349"/>
      <c r="R367" s="349"/>
      <c r="S367" s="349"/>
      <c r="T367" s="349"/>
      <c r="U367" s="349"/>
      <c r="V367" s="349"/>
      <c r="W367" s="349"/>
      <c r="X367" s="349"/>
      <c r="Y367" s="349"/>
    </row>
    <row r="368" spans="1:25" ht="25.5" customHeight="1" thickBot="1" x14ac:dyDescent="0.35">
      <c r="A368" s="2"/>
      <c r="B368" s="19"/>
      <c r="C368" s="19"/>
      <c r="D368" s="19"/>
      <c r="E368" s="315" t="str">
        <f>Translations!$B$169</f>
        <v>Nr</v>
      </c>
      <c r="F368" s="2036" t="str">
        <f>Translations!$B$209</f>
        <v>Anläggningens ID-nummer i registret (NAP-nr)</v>
      </c>
      <c r="G368" s="2037"/>
      <c r="H368" s="2036" t="str">
        <f>Translations!$B$210</f>
        <v>Kontaktpersonens namn</v>
      </c>
      <c r="I368" s="2037"/>
      <c r="J368" s="2038" t="str">
        <f>Translations!$B$211</f>
        <v>e-postadress:</v>
      </c>
      <c r="K368" s="2039"/>
      <c r="L368" s="2037"/>
      <c r="M368" s="2036" t="str">
        <f>Translations!$B$212</f>
        <v>telefonnummer</v>
      </c>
      <c r="N368" s="2040"/>
      <c r="O368" s="6"/>
      <c r="P368" s="15"/>
      <c r="Q368" s="349"/>
      <c r="R368" s="1643" t="s">
        <v>2130</v>
      </c>
      <c r="S368" s="349"/>
      <c r="T368" s="349"/>
      <c r="U368" s="349"/>
      <c r="V368" s="349"/>
      <c r="W368" s="349"/>
      <c r="X368" s="349"/>
      <c r="Y368" s="349"/>
    </row>
    <row r="369" spans="1:25" ht="13" x14ac:dyDescent="0.25">
      <c r="A369" s="2"/>
      <c r="B369" s="19"/>
      <c r="C369" s="19"/>
      <c r="D369" s="19"/>
      <c r="E369" s="71">
        <v>1</v>
      </c>
      <c r="F369" s="2372"/>
      <c r="G369" s="2373"/>
      <c r="H369" s="2362"/>
      <c r="I369" s="2363"/>
      <c r="J369" s="2364"/>
      <c r="K369" s="2365"/>
      <c r="L369" s="2363"/>
      <c r="M369" s="2360"/>
      <c r="N369" s="2361"/>
      <c r="O369" s="6"/>
      <c r="P369" s="1552"/>
      <c r="Q369" s="349"/>
      <c r="R369" s="493" t="b">
        <f>COUNTA(F354:N354,F369:N369)&gt;0</f>
        <v>0</v>
      </c>
      <c r="S369" s="349"/>
      <c r="T369" s="349"/>
      <c r="U369" s="349"/>
      <c r="V369" s="349"/>
      <c r="W369" s="349"/>
      <c r="X369" s="349"/>
      <c r="Y369" s="355" t="b">
        <f t="shared" ref="Y369:Y378" si="18">CTRL_InputMethodNIMsvalues=1</f>
        <v>0</v>
      </c>
    </row>
    <row r="370" spans="1:25" ht="13" x14ac:dyDescent="0.25">
      <c r="A370" s="2"/>
      <c r="B370" s="19"/>
      <c r="C370" s="19"/>
      <c r="D370" s="19"/>
      <c r="E370" s="53">
        <f t="shared" ref="E370:E378" si="19">E369+1</f>
        <v>2</v>
      </c>
      <c r="F370" s="2276"/>
      <c r="G370" s="2277"/>
      <c r="H370" s="2193"/>
      <c r="I370" s="2194"/>
      <c r="J370" s="2193"/>
      <c r="K370" s="2195"/>
      <c r="L370" s="2194"/>
      <c r="M370" s="2269"/>
      <c r="N370" s="2270"/>
      <c r="O370" s="6"/>
      <c r="P370" s="1552"/>
      <c r="Q370" s="349"/>
      <c r="R370" s="495" t="b">
        <f t="shared" ref="R370:R378" si="20">COUNTA(F355:N355,F370:N370)&gt;0</f>
        <v>0</v>
      </c>
      <c r="S370" s="349"/>
      <c r="T370" s="349"/>
      <c r="U370" s="349"/>
      <c r="V370" s="349"/>
      <c r="W370" s="349"/>
      <c r="X370" s="349"/>
      <c r="Y370" s="355" t="b">
        <f t="shared" si="18"/>
        <v>0</v>
      </c>
    </row>
    <row r="371" spans="1:25" ht="13" x14ac:dyDescent="0.25">
      <c r="A371" s="2"/>
      <c r="B371" s="19"/>
      <c r="C371" s="19"/>
      <c r="D371" s="19"/>
      <c r="E371" s="53">
        <f t="shared" si="19"/>
        <v>3</v>
      </c>
      <c r="F371" s="2276"/>
      <c r="G371" s="2277"/>
      <c r="H371" s="2193"/>
      <c r="I371" s="2194"/>
      <c r="J371" s="2193"/>
      <c r="K371" s="2195"/>
      <c r="L371" s="2194"/>
      <c r="M371" s="2269"/>
      <c r="N371" s="2270"/>
      <c r="O371" s="6"/>
      <c r="P371" s="1552"/>
      <c r="Q371" s="349"/>
      <c r="R371" s="495" t="b">
        <f t="shared" si="20"/>
        <v>0</v>
      </c>
      <c r="S371" s="349"/>
      <c r="T371" s="349"/>
      <c r="U371" s="349"/>
      <c r="V371" s="349"/>
      <c r="W371" s="349"/>
      <c r="X371" s="349"/>
      <c r="Y371" s="355" t="b">
        <f t="shared" si="18"/>
        <v>0</v>
      </c>
    </row>
    <row r="372" spans="1:25" ht="13" x14ac:dyDescent="0.25">
      <c r="A372" s="2"/>
      <c r="B372" s="19"/>
      <c r="C372" s="19"/>
      <c r="D372" s="19"/>
      <c r="E372" s="53">
        <f t="shared" si="19"/>
        <v>4</v>
      </c>
      <c r="F372" s="2276"/>
      <c r="G372" s="2277"/>
      <c r="H372" s="2193"/>
      <c r="I372" s="2194"/>
      <c r="J372" s="2193"/>
      <c r="K372" s="2195"/>
      <c r="L372" s="2194"/>
      <c r="M372" s="2269"/>
      <c r="N372" s="2270"/>
      <c r="O372" s="6"/>
      <c r="P372" s="1552"/>
      <c r="Q372" s="349"/>
      <c r="R372" s="495" t="b">
        <f t="shared" si="20"/>
        <v>0</v>
      </c>
      <c r="S372" s="349"/>
      <c r="T372" s="349"/>
      <c r="U372" s="349"/>
      <c r="V372" s="349"/>
      <c r="W372" s="349"/>
      <c r="X372" s="349"/>
      <c r="Y372" s="355" t="b">
        <f t="shared" si="18"/>
        <v>0</v>
      </c>
    </row>
    <row r="373" spans="1:25" ht="13" x14ac:dyDescent="0.25">
      <c r="A373" s="2"/>
      <c r="B373" s="19"/>
      <c r="C373" s="19"/>
      <c r="D373" s="19"/>
      <c r="E373" s="53">
        <f t="shared" si="19"/>
        <v>5</v>
      </c>
      <c r="F373" s="2276"/>
      <c r="G373" s="2277"/>
      <c r="H373" s="2193"/>
      <c r="I373" s="2194"/>
      <c r="J373" s="2193"/>
      <c r="K373" s="2195"/>
      <c r="L373" s="2194"/>
      <c r="M373" s="2269"/>
      <c r="N373" s="2270"/>
      <c r="O373" s="6"/>
      <c r="P373" s="1552"/>
      <c r="Q373" s="349"/>
      <c r="R373" s="495" t="b">
        <f t="shared" si="20"/>
        <v>0</v>
      </c>
      <c r="S373" s="349"/>
      <c r="T373" s="349"/>
      <c r="U373" s="349"/>
      <c r="V373" s="349"/>
      <c r="W373" s="349"/>
      <c r="X373" s="349"/>
      <c r="Y373" s="355" t="b">
        <f t="shared" si="18"/>
        <v>0</v>
      </c>
    </row>
    <row r="374" spans="1:25" ht="13" x14ac:dyDescent="0.25">
      <c r="A374" s="2"/>
      <c r="B374" s="19"/>
      <c r="C374" s="19"/>
      <c r="D374" s="19"/>
      <c r="E374" s="53">
        <f t="shared" si="19"/>
        <v>6</v>
      </c>
      <c r="F374" s="2276"/>
      <c r="G374" s="2277"/>
      <c r="H374" s="2193"/>
      <c r="I374" s="2194"/>
      <c r="J374" s="2193"/>
      <c r="K374" s="2195"/>
      <c r="L374" s="2194"/>
      <c r="M374" s="2269"/>
      <c r="N374" s="2270"/>
      <c r="O374" s="6"/>
      <c r="P374" s="1552"/>
      <c r="Q374" s="349"/>
      <c r="R374" s="495" t="b">
        <f t="shared" si="20"/>
        <v>0</v>
      </c>
      <c r="S374" s="349"/>
      <c r="T374" s="349"/>
      <c r="U374" s="349"/>
      <c r="V374" s="349"/>
      <c r="W374" s="349"/>
      <c r="X374" s="349"/>
      <c r="Y374" s="355" t="b">
        <f t="shared" si="18"/>
        <v>0</v>
      </c>
    </row>
    <row r="375" spans="1:25" ht="13" x14ac:dyDescent="0.25">
      <c r="A375" s="2"/>
      <c r="B375" s="19"/>
      <c r="C375" s="19"/>
      <c r="D375" s="19"/>
      <c r="E375" s="53">
        <f t="shared" si="19"/>
        <v>7</v>
      </c>
      <c r="F375" s="2276"/>
      <c r="G375" s="2277"/>
      <c r="H375" s="2193"/>
      <c r="I375" s="2194"/>
      <c r="J375" s="2193"/>
      <c r="K375" s="2195"/>
      <c r="L375" s="2194"/>
      <c r="M375" s="2269"/>
      <c r="N375" s="2270"/>
      <c r="O375" s="6"/>
      <c r="P375" s="1552"/>
      <c r="Q375" s="349"/>
      <c r="R375" s="495" t="b">
        <f t="shared" si="20"/>
        <v>0</v>
      </c>
      <c r="S375" s="349"/>
      <c r="T375" s="349"/>
      <c r="U375" s="349"/>
      <c r="V375" s="349"/>
      <c r="W375" s="349"/>
      <c r="X375" s="349"/>
      <c r="Y375" s="355" t="b">
        <f t="shared" si="18"/>
        <v>0</v>
      </c>
    </row>
    <row r="376" spans="1:25" ht="13" x14ac:dyDescent="0.25">
      <c r="A376" s="2"/>
      <c r="B376" s="19"/>
      <c r="C376" s="19"/>
      <c r="D376" s="19"/>
      <c r="E376" s="53">
        <f t="shared" si="19"/>
        <v>8</v>
      </c>
      <c r="F376" s="2276"/>
      <c r="G376" s="2277"/>
      <c r="H376" s="2193"/>
      <c r="I376" s="2194"/>
      <c r="J376" s="2193"/>
      <c r="K376" s="2195"/>
      <c r="L376" s="2194"/>
      <c r="M376" s="2269"/>
      <c r="N376" s="2270"/>
      <c r="O376" s="6"/>
      <c r="P376" s="1552"/>
      <c r="Q376" s="349"/>
      <c r="R376" s="495" t="b">
        <f t="shared" si="20"/>
        <v>0</v>
      </c>
      <c r="S376" s="349"/>
      <c r="T376" s="349"/>
      <c r="U376" s="349"/>
      <c r="V376" s="349"/>
      <c r="W376" s="349"/>
      <c r="X376" s="349"/>
      <c r="Y376" s="355" t="b">
        <f t="shared" si="18"/>
        <v>0</v>
      </c>
    </row>
    <row r="377" spans="1:25" ht="13" x14ac:dyDescent="0.25">
      <c r="A377" s="2"/>
      <c r="B377" s="19"/>
      <c r="C377" s="19"/>
      <c r="D377" s="19"/>
      <c r="E377" s="53">
        <f t="shared" si="19"/>
        <v>9</v>
      </c>
      <c r="F377" s="2276"/>
      <c r="G377" s="2277"/>
      <c r="H377" s="2193"/>
      <c r="I377" s="2194"/>
      <c r="J377" s="2193"/>
      <c r="K377" s="2195"/>
      <c r="L377" s="2194"/>
      <c r="M377" s="2269"/>
      <c r="N377" s="2270"/>
      <c r="O377" s="6"/>
      <c r="P377" s="1552"/>
      <c r="Q377" s="349"/>
      <c r="R377" s="495" t="b">
        <f t="shared" si="20"/>
        <v>0</v>
      </c>
      <c r="S377" s="349"/>
      <c r="T377" s="349"/>
      <c r="U377" s="349"/>
      <c r="V377" s="349"/>
      <c r="W377" s="349"/>
      <c r="X377" s="349"/>
      <c r="Y377" s="355" t="b">
        <f t="shared" si="18"/>
        <v>0</v>
      </c>
    </row>
    <row r="378" spans="1:25" ht="13.5" thickBot="1" x14ac:dyDescent="0.3">
      <c r="A378" s="2"/>
      <c r="B378" s="19"/>
      <c r="C378" s="19"/>
      <c r="D378" s="19"/>
      <c r="E378" s="54">
        <f t="shared" si="19"/>
        <v>10</v>
      </c>
      <c r="F378" s="2196"/>
      <c r="G378" s="2197"/>
      <c r="H378" s="2265"/>
      <c r="I378" s="2267"/>
      <c r="J378" s="2265"/>
      <c r="K378" s="2266"/>
      <c r="L378" s="2267"/>
      <c r="M378" s="2369"/>
      <c r="N378" s="2370"/>
      <c r="O378" s="6"/>
      <c r="P378" s="1552"/>
      <c r="Q378" s="349"/>
      <c r="R378" s="497" t="b">
        <f t="shared" si="20"/>
        <v>0</v>
      </c>
      <c r="S378" s="349"/>
      <c r="T378" s="349"/>
      <c r="U378" s="349"/>
      <c r="V378" s="349"/>
      <c r="W378" s="349"/>
      <c r="X378" s="349"/>
      <c r="Y378" s="355" t="b">
        <f t="shared" si="18"/>
        <v>0</v>
      </c>
    </row>
    <row r="379" spans="1:25" ht="5.15" customHeight="1" x14ac:dyDescent="0.25">
      <c r="A379" s="2"/>
      <c r="B379" s="3"/>
      <c r="C379" s="3"/>
      <c r="D379" s="5"/>
      <c r="E379" s="3"/>
      <c r="F379" s="3"/>
      <c r="G379" s="3"/>
      <c r="H379" s="3"/>
      <c r="I379" s="3"/>
      <c r="J379" s="3"/>
      <c r="K379" s="3"/>
      <c r="L379" s="3"/>
      <c r="M379" s="6"/>
      <c r="N379" s="6"/>
      <c r="O379" s="6"/>
      <c r="P379" s="15"/>
      <c r="Q379" s="410"/>
      <c r="R379" s="349"/>
      <c r="S379" s="349"/>
      <c r="T379" s="349"/>
      <c r="U379" s="349"/>
      <c r="V379" s="349"/>
      <c r="W379" s="349"/>
      <c r="X379" s="349"/>
      <c r="Y379" s="349"/>
    </row>
    <row r="380" spans="1:25" ht="13" x14ac:dyDescent="0.25">
      <c r="A380" s="2"/>
      <c r="B380" s="19"/>
      <c r="C380" s="19"/>
      <c r="D380" s="13" t="s">
        <v>55</v>
      </c>
      <c r="E380" s="1943" t="str">
        <f>Translations!$B$1403</f>
        <v>Resultat: Tekniska anslutningar</v>
      </c>
      <c r="F380" s="1963"/>
      <c r="G380" s="1963"/>
      <c r="H380" s="1963"/>
      <c r="I380" s="1963"/>
      <c r="J380" s="1963"/>
      <c r="K380" s="1963"/>
      <c r="L380" s="1963"/>
      <c r="M380" s="1963"/>
      <c r="N380" s="1963"/>
      <c r="O380" s="6"/>
      <c r="P380" s="15"/>
      <c r="Q380" s="349"/>
      <c r="R380" s="349"/>
      <c r="S380" s="349"/>
      <c r="T380" s="349"/>
      <c r="U380" s="349"/>
      <c r="V380" s="349"/>
      <c r="W380" s="349"/>
      <c r="X380" s="349"/>
      <c r="Y380" s="349"/>
    </row>
    <row r="381" spans="1:25" ht="5.15" customHeight="1" x14ac:dyDescent="0.25">
      <c r="A381" s="2"/>
      <c r="B381" s="19"/>
      <c r="C381" s="19"/>
      <c r="D381" s="15"/>
      <c r="E381" s="3"/>
      <c r="F381" s="3"/>
      <c r="G381" s="3"/>
      <c r="H381" s="3"/>
      <c r="I381" s="3"/>
      <c r="J381" s="3"/>
      <c r="K381" s="3"/>
      <c r="L381" s="3"/>
      <c r="M381" s="6"/>
      <c r="N381" s="6"/>
      <c r="O381" s="6"/>
      <c r="P381" s="15"/>
      <c r="Q381" s="349"/>
      <c r="R381" s="349"/>
      <c r="S381" s="349"/>
      <c r="T381" s="349"/>
      <c r="U381" s="349"/>
      <c r="V381" s="349"/>
      <c r="W381" s="349"/>
      <c r="X381" s="349"/>
      <c r="Y381" s="349"/>
    </row>
    <row r="382" spans="1:25" ht="12.75" customHeight="1" thickBot="1" x14ac:dyDescent="0.35">
      <c r="A382" s="2"/>
      <c r="B382" s="19"/>
      <c r="C382" s="19"/>
      <c r="D382" s="15"/>
      <c r="E382" s="311" t="str">
        <f>Translations!$B$169</f>
        <v>Nr</v>
      </c>
      <c r="F382" s="2366" t="str">
        <f>Translations!$B$202</f>
        <v>Anläggningens eller enhetens namn</v>
      </c>
      <c r="G382" s="2311"/>
      <c r="H382" s="2367"/>
      <c r="I382" s="2366" t="str">
        <f>Translations!$B$203</f>
        <v>Typ av enhet</v>
      </c>
      <c r="J382" s="2367"/>
      <c r="K382" s="2366" t="str">
        <f>Translations!$B$204</f>
        <v>Typ av anslutning</v>
      </c>
      <c r="L382" s="2367"/>
      <c r="M382" s="2366" t="str">
        <f>Translations!$B$205</f>
        <v>Flödesriktning</v>
      </c>
      <c r="N382" s="2311"/>
      <c r="O382" s="6"/>
      <c r="P382" s="15"/>
      <c r="Q382" s="349"/>
      <c r="R382" s="1537" t="s">
        <v>321</v>
      </c>
      <c r="S382" s="886" t="s">
        <v>2131</v>
      </c>
      <c r="T382" s="349"/>
      <c r="U382" s="349"/>
      <c r="V382" s="349"/>
      <c r="W382" s="349"/>
      <c r="X382" s="349"/>
      <c r="Y382" s="349"/>
    </row>
    <row r="383" spans="1:25" ht="12.75" customHeight="1" x14ac:dyDescent="0.25">
      <c r="A383" s="2"/>
      <c r="B383" s="19"/>
      <c r="C383" s="19"/>
      <c r="D383" s="15"/>
      <c r="E383" s="52">
        <v>1</v>
      </c>
      <c r="F383" s="2027" t="str">
        <f t="shared" ref="F383:F392" si="21">IF(F354="",F306,F354)</f>
        <v/>
      </c>
      <c r="G383" s="2029"/>
      <c r="H383" s="2028"/>
      <c r="I383" s="2027" t="str">
        <f t="shared" ref="I383:I392" si="22">IF(I354="",IF(AND(I306&lt;&gt;"",COUNTIF(EUconst_ConnectedEntityTypes,I306)=0),EUconst_ERR_LinkToNIMs,I306),I354)</f>
        <v/>
      </c>
      <c r="J383" s="2050"/>
      <c r="K383" s="2027" t="str">
        <f t="shared" ref="K383:K392" si="23">IF(K354="",IF(AND(K306&lt;&gt;"",COUNTIF(EUconst_ConnectionTypes,K306)=0),EUconst_ERR_LinkToNIMs,K306),K354)</f>
        <v/>
      </c>
      <c r="L383" s="2028"/>
      <c r="M383" s="2051" t="str">
        <f t="shared" ref="M383:M392" si="24">IF(M354="",IF(AND(M306&lt;&gt;"",COUNTIF(EUconst_ConnectionTransferTypes,M306)=0),EUconst_ERR_LinkToNIMs,M306),M354)</f>
        <v/>
      </c>
      <c r="N383" s="2052"/>
      <c r="O383" s="6"/>
      <c r="P383" s="15"/>
      <c r="Q383" s="349"/>
      <c r="R383" s="493" t="str">
        <f>IF(F383&lt;&gt;"",ROWS($F$383:F383)-COUNTIF($F$383:F383,""),"")</f>
        <v/>
      </c>
      <c r="S383" s="493" t="str">
        <f t="shared" ref="S383:S392" si="25">IF(I383="","",OR(MATCH(I383,EUconst_ConnectedEntityTypes,0)=1,MATCH(I383,EUconst_ConnectedEntityTypes,0)=3))</f>
        <v/>
      </c>
      <c r="T383" s="349"/>
      <c r="U383" s="349"/>
      <c r="V383" s="349"/>
      <c r="W383" s="349"/>
      <c r="X383" s="349"/>
      <c r="Y383" s="349"/>
    </row>
    <row r="384" spans="1:25" ht="12.75" customHeight="1" x14ac:dyDescent="0.25">
      <c r="A384" s="2"/>
      <c r="B384" s="19"/>
      <c r="C384" s="19"/>
      <c r="D384" s="15"/>
      <c r="E384" s="53">
        <f t="shared" ref="E384:E392" si="26">E383+1</f>
        <v>2</v>
      </c>
      <c r="F384" s="2013" t="str">
        <f t="shared" si="21"/>
        <v/>
      </c>
      <c r="G384" s="2015"/>
      <c r="H384" s="2014"/>
      <c r="I384" s="2013" t="str">
        <f t="shared" si="22"/>
        <v/>
      </c>
      <c r="J384" s="2033"/>
      <c r="K384" s="2013" t="str">
        <f t="shared" si="23"/>
        <v/>
      </c>
      <c r="L384" s="2014"/>
      <c r="M384" s="2034" t="str">
        <f t="shared" si="24"/>
        <v/>
      </c>
      <c r="N384" s="2035"/>
      <c r="O384" s="6"/>
      <c r="P384" s="15"/>
      <c r="Q384" s="349"/>
      <c r="R384" s="495" t="str">
        <f>IF(F384&lt;&gt;"",ROWS($F$383:F384)-COUNTIF($F$383:F384,""),"")</f>
        <v/>
      </c>
      <c r="S384" s="495" t="str">
        <f t="shared" si="25"/>
        <v/>
      </c>
      <c r="T384" s="349"/>
      <c r="U384" s="349"/>
      <c r="V384" s="349"/>
      <c r="W384" s="349"/>
      <c r="X384" s="349"/>
      <c r="Y384" s="349"/>
    </row>
    <row r="385" spans="1:25" ht="12.75" customHeight="1" x14ac:dyDescent="0.25">
      <c r="A385" s="2"/>
      <c r="B385" s="19"/>
      <c r="C385" s="19"/>
      <c r="D385" s="15"/>
      <c r="E385" s="53">
        <f t="shared" si="26"/>
        <v>3</v>
      </c>
      <c r="F385" s="2013" t="str">
        <f t="shared" si="21"/>
        <v/>
      </c>
      <c r="G385" s="2015"/>
      <c r="H385" s="2014"/>
      <c r="I385" s="2013" t="str">
        <f t="shared" si="22"/>
        <v/>
      </c>
      <c r="J385" s="2033"/>
      <c r="K385" s="2013" t="str">
        <f t="shared" si="23"/>
        <v/>
      </c>
      <c r="L385" s="2014"/>
      <c r="M385" s="2034" t="str">
        <f t="shared" si="24"/>
        <v/>
      </c>
      <c r="N385" s="2035"/>
      <c r="O385" s="6"/>
      <c r="P385" s="15"/>
      <c r="Q385" s="349"/>
      <c r="R385" s="495" t="str">
        <f>IF(F385&lt;&gt;"",ROWS($F$383:F385)-COUNTIF($F$383:F385,""),"")</f>
        <v/>
      </c>
      <c r="S385" s="495" t="str">
        <f t="shared" si="25"/>
        <v/>
      </c>
      <c r="T385" s="349"/>
      <c r="U385" s="349"/>
      <c r="V385" s="349"/>
      <c r="W385" s="349"/>
      <c r="X385" s="349"/>
      <c r="Y385" s="349"/>
    </row>
    <row r="386" spans="1:25" ht="12.75" customHeight="1" x14ac:dyDescent="0.25">
      <c r="A386" s="2"/>
      <c r="B386" s="19"/>
      <c r="C386" s="19"/>
      <c r="D386" s="15"/>
      <c r="E386" s="53">
        <f t="shared" si="26"/>
        <v>4</v>
      </c>
      <c r="F386" s="2013" t="str">
        <f t="shared" si="21"/>
        <v/>
      </c>
      <c r="G386" s="2015"/>
      <c r="H386" s="2014"/>
      <c r="I386" s="2013" t="str">
        <f t="shared" si="22"/>
        <v/>
      </c>
      <c r="J386" s="2033"/>
      <c r="K386" s="2013" t="str">
        <f t="shared" si="23"/>
        <v/>
      </c>
      <c r="L386" s="2014"/>
      <c r="M386" s="2034" t="str">
        <f t="shared" si="24"/>
        <v/>
      </c>
      <c r="N386" s="2035"/>
      <c r="O386" s="6"/>
      <c r="P386" s="15"/>
      <c r="Q386" s="349"/>
      <c r="R386" s="495" t="str">
        <f>IF(F386&lt;&gt;"",ROWS($F$383:F386)-COUNTIF($F$383:F386,""),"")</f>
        <v/>
      </c>
      <c r="S386" s="495" t="str">
        <f t="shared" si="25"/>
        <v/>
      </c>
      <c r="T386" s="349"/>
      <c r="U386" s="349"/>
      <c r="V386" s="349"/>
      <c r="W386" s="349"/>
      <c r="X386" s="349"/>
      <c r="Y386" s="349"/>
    </row>
    <row r="387" spans="1:25" ht="12.75" customHeight="1" x14ac:dyDescent="0.25">
      <c r="A387" s="2"/>
      <c r="B387" s="19"/>
      <c r="C387" s="19"/>
      <c r="D387" s="15"/>
      <c r="E387" s="53">
        <f t="shared" si="26"/>
        <v>5</v>
      </c>
      <c r="F387" s="2013" t="str">
        <f t="shared" si="21"/>
        <v/>
      </c>
      <c r="G387" s="2015"/>
      <c r="H387" s="2014"/>
      <c r="I387" s="2013" t="str">
        <f t="shared" si="22"/>
        <v/>
      </c>
      <c r="J387" s="2033"/>
      <c r="K387" s="2013" t="str">
        <f t="shared" si="23"/>
        <v/>
      </c>
      <c r="L387" s="2014"/>
      <c r="M387" s="2034" t="str">
        <f t="shared" si="24"/>
        <v/>
      </c>
      <c r="N387" s="2035"/>
      <c r="O387" s="6"/>
      <c r="P387" s="15"/>
      <c r="Q387" s="349"/>
      <c r="R387" s="495" t="str">
        <f>IF(F387&lt;&gt;"",ROWS($F$383:F387)-COUNTIF($F$383:F387,""),"")</f>
        <v/>
      </c>
      <c r="S387" s="495" t="str">
        <f t="shared" si="25"/>
        <v/>
      </c>
      <c r="T387" s="349"/>
      <c r="U387" s="349"/>
      <c r="V387" s="349"/>
      <c r="W387" s="349"/>
      <c r="X387" s="349"/>
      <c r="Y387" s="349"/>
    </row>
    <row r="388" spans="1:25" ht="12.75" customHeight="1" x14ac:dyDescent="0.25">
      <c r="A388" s="2"/>
      <c r="B388" s="19"/>
      <c r="C388" s="19"/>
      <c r="D388" s="15"/>
      <c r="E388" s="53">
        <f t="shared" si="26"/>
        <v>6</v>
      </c>
      <c r="F388" s="2013" t="str">
        <f t="shared" si="21"/>
        <v/>
      </c>
      <c r="G388" s="2015"/>
      <c r="H388" s="2014"/>
      <c r="I388" s="2013" t="str">
        <f t="shared" si="22"/>
        <v/>
      </c>
      <c r="J388" s="2033"/>
      <c r="K388" s="2013" t="str">
        <f t="shared" si="23"/>
        <v/>
      </c>
      <c r="L388" s="2014"/>
      <c r="M388" s="2034" t="str">
        <f t="shared" si="24"/>
        <v/>
      </c>
      <c r="N388" s="2035"/>
      <c r="O388" s="6"/>
      <c r="P388" s="15"/>
      <c r="Q388" s="349"/>
      <c r="R388" s="495" t="str">
        <f>IF(F388&lt;&gt;"",ROWS($F$383:F388)-COUNTIF($F$383:F388,""),"")</f>
        <v/>
      </c>
      <c r="S388" s="495" t="str">
        <f t="shared" si="25"/>
        <v/>
      </c>
      <c r="T388" s="349"/>
      <c r="U388" s="349"/>
      <c r="V388" s="349"/>
      <c r="W388" s="349"/>
      <c r="X388" s="349"/>
      <c r="Y388" s="349"/>
    </row>
    <row r="389" spans="1:25" ht="12.75" customHeight="1" x14ac:dyDescent="0.25">
      <c r="A389" s="2"/>
      <c r="B389" s="19"/>
      <c r="C389" s="19"/>
      <c r="D389" s="15"/>
      <c r="E389" s="53">
        <f t="shared" si="26"/>
        <v>7</v>
      </c>
      <c r="F389" s="2013" t="str">
        <f t="shared" si="21"/>
        <v/>
      </c>
      <c r="G389" s="2015"/>
      <c r="H389" s="2014"/>
      <c r="I389" s="2013" t="str">
        <f t="shared" si="22"/>
        <v/>
      </c>
      <c r="J389" s="2033"/>
      <c r="K389" s="2013" t="str">
        <f t="shared" si="23"/>
        <v/>
      </c>
      <c r="L389" s="2014"/>
      <c r="M389" s="2034" t="str">
        <f t="shared" si="24"/>
        <v/>
      </c>
      <c r="N389" s="2035"/>
      <c r="O389" s="6"/>
      <c r="P389" s="15"/>
      <c r="Q389" s="349"/>
      <c r="R389" s="495" t="str">
        <f>IF(F389&lt;&gt;"",ROWS($F$383:F389)-COUNTIF($F$383:F389,""),"")</f>
        <v/>
      </c>
      <c r="S389" s="495" t="str">
        <f t="shared" si="25"/>
        <v/>
      </c>
      <c r="T389" s="349"/>
      <c r="U389" s="349"/>
      <c r="V389" s="349"/>
      <c r="W389" s="349"/>
      <c r="X389" s="349"/>
      <c r="Y389" s="349"/>
    </row>
    <row r="390" spans="1:25" ht="12.75" customHeight="1" x14ac:dyDescent="0.25">
      <c r="A390" s="2"/>
      <c r="B390" s="19"/>
      <c r="C390" s="19"/>
      <c r="D390" s="15"/>
      <c r="E390" s="53">
        <f t="shared" si="26"/>
        <v>8</v>
      </c>
      <c r="F390" s="2013" t="str">
        <f t="shared" si="21"/>
        <v/>
      </c>
      <c r="G390" s="2015"/>
      <c r="H390" s="2014"/>
      <c r="I390" s="2013" t="str">
        <f t="shared" si="22"/>
        <v/>
      </c>
      <c r="J390" s="2033"/>
      <c r="K390" s="2013" t="str">
        <f t="shared" si="23"/>
        <v/>
      </c>
      <c r="L390" s="2014"/>
      <c r="M390" s="2034" t="str">
        <f t="shared" si="24"/>
        <v/>
      </c>
      <c r="N390" s="2035"/>
      <c r="O390" s="6"/>
      <c r="P390" s="15"/>
      <c r="Q390" s="349"/>
      <c r="R390" s="495" t="str">
        <f>IF(F390&lt;&gt;"",ROWS($F$383:F390)-COUNTIF($F$383:F390,""),"")</f>
        <v/>
      </c>
      <c r="S390" s="495" t="str">
        <f t="shared" si="25"/>
        <v/>
      </c>
      <c r="T390" s="349"/>
      <c r="U390" s="349"/>
      <c r="V390" s="349"/>
      <c r="W390" s="349"/>
      <c r="X390" s="349"/>
      <c r="Y390" s="349"/>
    </row>
    <row r="391" spans="1:25" ht="12.75" customHeight="1" x14ac:dyDescent="0.25">
      <c r="A391" s="2"/>
      <c r="B391" s="19"/>
      <c r="C391" s="19"/>
      <c r="D391" s="15"/>
      <c r="E391" s="53">
        <f t="shared" si="26"/>
        <v>9</v>
      </c>
      <c r="F391" s="2013" t="str">
        <f t="shared" si="21"/>
        <v/>
      </c>
      <c r="G391" s="2015"/>
      <c r="H391" s="2014"/>
      <c r="I391" s="2013" t="str">
        <f t="shared" si="22"/>
        <v/>
      </c>
      <c r="J391" s="2033"/>
      <c r="K391" s="2013" t="str">
        <f t="shared" si="23"/>
        <v/>
      </c>
      <c r="L391" s="2014"/>
      <c r="M391" s="2034" t="str">
        <f t="shared" si="24"/>
        <v/>
      </c>
      <c r="N391" s="2035"/>
      <c r="O391" s="6"/>
      <c r="P391" s="15"/>
      <c r="Q391" s="349"/>
      <c r="R391" s="495" t="str">
        <f>IF(F391&lt;&gt;"",ROWS($F$383:F391)-COUNTIF($F$383:F391,""),"")</f>
        <v/>
      </c>
      <c r="S391" s="495" t="str">
        <f t="shared" si="25"/>
        <v/>
      </c>
      <c r="T391" s="349"/>
      <c r="U391" s="349"/>
      <c r="V391" s="349"/>
      <c r="W391" s="349"/>
      <c r="X391" s="349"/>
      <c r="Y391" s="349"/>
    </row>
    <row r="392" spans="1:25" ht="12.75" customHeight="1" thickBot="1" x14ac:dyDescent="0.3">
      <c r="A392" s="2"/>
      <c r="B392" s="19"/>
      <c r="C392" s="19"/>
      <c r="D392" s="15"/>
      <c r="E392" s="54">
        <f t="shared" si="26"/>
        <v>10</v>
      </c>
      <c r="F392" s="2020" t="str">
        <f t="shared" si="21"/>
        <v/>
      </c>
      <c r="G392" s="2022"/>
      <c r="H392" s="2021"/>
      <c r="I392" s="2020" t="str">
        <f t="shared" si="22"/>
        <v/>
      </c>
      <c r="J392" s="2030"/>
      <c r="K392" s="2020" t="str">
        <f t="shared" si="23"/>
        <v/>
      </c>
      <c r="L392" s="2021"/>
      <c r="M392" s="2031" t="str">
        <f t="shared" si="24"/>
        <v/>
      </c>
      <c r="N392" s="2032"/>
      <c r="O392" s="6"/>
      <c r="P392" s="15"/>
      <c r="Q392" s="349"/>
      <c r="R392" s="497" t="str">
        <f>IF(F392&lt;&gt;"",ROWS($F$383:F392)-COUNTIF($F$383:F392,""),"")</f>
        <v/>
      </c>
      <c r="S392" s="497" t="str">
        <f t="shared" si="25"/>
        <v/>
      </c>
      <c r="T392" s="349"/>
      <c r="U392" s="349"/>
      <c r="V392" s="349"/>
      <c r="W392" s="349"/>
      <c r="X392" s="349"/>
      <c r="Y392" s="349"/>
    </row>
    <row r="393" spans="1:25" ht="12.75" customHeight="1" x14ac:dyDescent="0.25">
      <c r="A393" s="2"/>
      <c r="B393" s="19"/>
      <c r="C393" s="19"/>
      <c r="D393" s="15"/>
      <c r="E393" s="1687"/>
      <c r="F393" s="1687"/>
      <c r="G393" s="1687"/>
      <c r="H393" s="1687"/>
      <c r="I393" s="1687"/>
      <c r="J393" s="1687"/>
      <c r="K393" s="1687"/>
      <c r="L393" s="1687"/>
      <c r="M393" s="1687"/>
      <c r="N393" s="1687"/>
      <c r="O393" s="6"/>
      <c r="P393" s="15"/>
      <c r="Q393" s="349"/>
      <c r="R393" s="349"/>
      <c r="S393" s="349"/>
      <c r="T393" s="349"/>
      <c r="U393" s="349"/>
      <c r="V393" s="349"/>
      <c r="W393" s="349"/>
      <c r="X393" s="349"/>
      <c r="Y393" s="349"/>
    </row>
    <row r="394" spans="1:25" ht="25.5" customHeight="1" x14ac:dyDescent="0.3">
      <c r="A394" s="2"/>
      <c r="B394" s="19"/>
      <c r="C394" s="19"/>
      <c r="D394" s="15"/>
      <c r="E394" s="315" t="str">
        <f>Translations!$B$169</f>
        <v>Nr</v>
      </c>
      <c r="F394" s="2036" t="str">
        <f>Translations!$B$209</f>
        <v>Anläggningens ID-nummer i registret (NAP-nr)</v>
      </c>
      <c r="G394" s="2037"/>
      <c r="H394" s="2036" t="str">
        <f>Translations!$B$210</f>
        <v>Kontaktpersonens namn</v>
      </c>
      <c r="I394" s="2037"/>
      <c r="J394" s="2038" t="str">
        <f>Translations!$B$211</f>
        <v>e-postadress:</v>
      </c>
      <c r="K394" s="2039"/>
      <c r="L394" s="2037"/>
      <c r="M394" s="2036" t="str">
        <f>Translations!$B$212</f>
        <v>telefonnummer</v>
      </c>
      <c r="N394" s="2040"/>
      <c r="O394" s="6"/>
      <c r="P394" s="15"/>
      <c r="Q394" s="349"/>
      <c r="R394" s="349"/>
      <c r="S394" s="349"/>
      <c r="T394" s="349"/>
      <c r="U394" s="349"/>
      <c r="V394" s="349"/>
      <c r="W394" s="349"/>
      <c r="X394" s="349"/>
      <c r="Y394" s="349"/>
    </row>
    <row r="395" spans="1:25" ht="12.75" customHeight="1" x14ac:dyDescent="0.25">
      <c r="A395" s="2"/>
      <c r="B395" s="19"/>
      <c r="C395" s="19"/>
      <c r="D395" s="15"/>
      <c r="E395" s="71">
        <v>1</v>
      </c>
      <c r="F395" s="2025" t="str">
        <f t="shared" ref="F395:F404" si="27">IF(F369="",F318,F369)</f>
        <v/>
      </c>
      <c r="G395" s="2026"/>
      <c r="H395" s="2027" t="str">
        <f t="shared" ref="H395:H404" si="28">IF(H369="",H318,H369)</f>
        <v/>
      </c>
      <c r="I395" s="2028"/>
      <c r="J395" s="2027" t="str">
        <f t="shared" ref="J395:J404" si="29">IF(J369="",J318,J369)</f>
        <v/>
      </c>
      <c r="K395" s="2029"/>
      <c r="L395" s="2028"/>
      <c r="M395" s="2027" t="str">
        <f t="shared" ref="M395:M404" si="30">IF(M369="",M318,M369)</f>
        <v/>
      </c>
      <c r="N395" s="2029"/>
      <c r="O395" s="6"/>
      <c r="P395" s="15"/>
      <c r="Q395" s="349"/>
      <c r="R395" s="349"/>
      <c r="S395" s="349"/>
      <c r="T395" s="349"/>
      <c r="U395" s="349"/>
      <c r="V395" s="349"/>
      <c r="W395" s="349"/>
      <c r="X395" s="349"/>
      <c r="Y395" s="349"/>
    </row>
    <row r="396" spans="1:25" ht="12.75" customHeight="1" x14ac:dyDescent="0.25">
      <c r="A396" s="2"/>
      <c r="B396" s="19"/>
      <c r="C396" s="19"/>
      <c r="D396" s="15"/>
      <c r="E396" s="53">
        <f t="shared" ref="E396:E404" si="31">E395+1</f>
        <v>2</v>
      </c>
      <c r="F396" s="2011" t="str">
        <f t="shared" si="27"/>
        <v/>
      </c>
      <c r="G396" s="2012"/>
      <c r="H396" s="2013" t="str">
        <f t="shared" si="28"/>
        <v/>
      </c>
      <c r="I396" s="2014"/>
      <c r="J396" s="2013" t="str">
        <f t="shared" si="29"/>
        <v/>
      </c>
      <c r="K396" s="2015"/>
      <c r="L396" s="2014"/>
      <c r="M396" s="2016" t="str">
        <f t="shared" si="30"/>
        <v/>
      </c>
      <c r="N396" s="2017"/>
      <c r="O396" s="6"/>
      <c r="P396" s="15"/>
      <c r="Q396" s="349"/>
      <c r="R396" s="349"/>
      <c r="S396" s="349"/>
      <c r="T396" s="349"/>
      <c r="U396" s="349"/>
      <c r="V396" s="349"/>
      <c r="W396" s="349"/>
      <c r="X396" s="349"/>
      <c r="Y396" s="349"/>
    </row>
    <row r="397" spans="1:25" ht="12.75" customHeight="1" x14ac:dyDescent="0.25">
      <c r="A397" s="2"/>
      <c r="B397" s="19"/>
      <c r="C397" s="19"/>
      <c r="D397" s="15"/>
      <c r="E397" s="53">
        <f t="shared" si="31"/>
        <v>3</v>
      </c>
      <c r="F397" s="2011" t="str">
        <f t="shared" si="27"/>
        <v/>
      </c>
      <c r="G397" s="2012"/>
      <c r="H397" s="2013" t="str">
        <f t="shared" si="28"/>
        <v/>
      </c>
      <c r="I397" s="2014"/>
      <c r="J397" s="2013" t="str">
        <f t="shared" si="29"/>
        <v/>
      </c>
      <c r="K397" s="2015"/>
      <c r="L397" s="2014"/>
      <c r="M397" s="2016" t="str">
        <f t="shared" si="30"/>
        <v/>
      </c>
      <c r="N397" s="2017"/>
      <c r="O397" s="6"/>
      <c r="P397" s="15"/>
      <c r="Q397" s="349"/>
      <c r="R397" s="349"/>
      <c r="S397" s="349"/>
      <c r="T397" s="349"/>
      <c r="U397" s="349"/>
      <c r="V397" s="349"/>
      <c r="W397" s="349"/>
      <c r="X397" s="349"/>
      <c r="Y397" s="349"/>
    </row>
    <row r="398" spans="1:25" ht="12.75" customHeight="1" x14ac:dyDescent="0.25">
      <c r="A398" s="2"/>
      <c r="B398" s="19"/>
      <c r="C398" s="19"/>
      <c r="D398" s="15"/>
      <c r="E398" s="53">
        <f t="shared" si="31"/>
        <v>4</v>
      </c>
      <c r="F398" s="2011" t="str">
        <f t="shared" si="27"/>
        <v/>
      </c>
      <c r="G398" s="2012"/>
      <c r="H398" s="2013" t="str">
        <f t="shared" si="28"/>
        <v/>
      </c>
      <c r="I398" s="2014"/>
      <c r="J398" s="2013" t="str">
        <f t="shared" si="29"/>
        <v/>
      </c>
      <c r="K398" s="2015"/>
      <c r="L398" s="2014"/>
      <c r="M398" s="2016" t="str">
        <f t="shared" si="30"/>
        <v/>
      </c>
      <c r="N398" s="2017"/>
      <c r="O398" s="6"/>
      <c r="P398" s="15"/>
      <c r="Q398" s="349"/>
      <c r="R398" s="349"/>
      <c r="S398" s="349"/>
      <c r="T398" s="349"/>
      <c r="U398" s="349"/>
      <c r="V398" s="349"/>
      <c r="W398" s="349"/>
      <c r="X398" s="349"/>
      <c r="Y398" s="349"/>
    </row>
    <row r="399" spans="1:25" ht="12.75" customHeight="1" x14ac:dyDescent="0.25">
      <c r="A399" s="2"/>
      <c r="B399" s="19"/>
      <c r="C399" s="19"/>
      <c r="D399" s="15"/>
      <c r="E399" s="53">
        <f t="shared" si="31"/>
        <v>5</v>
      </c>
      <c r="F399" s="2011" t="str">
        <f t="shared" si="27"/>
        <v/>
      </c>
      <c r="G399" s="2012"/>
      <c r="H399" s="2013" t="str">
        <f t="shared" si="28"/>
        <v/>
      </c>
      <c r="I399" s="2014"/>
      <c r="J399" s="2013" t="str">
        <f t="shared" si="29"/>
        <v/>
      </c>
      <c r="K399" s="2015"/>
      <c r="L399" s="2014"/>
      <c r="M399" s="2016" t="str">
        <f t="shared" si="30"/>
        <v/>
      </c>
      <c r="N399" s="2017"/>
      <c r="O399" s="6"/>
      <c r="P399" s="15"/>
      <c r="Q399" s="349"/>
      <c r="R399" s="349"/>
      <c r="S399" s="349"/>
      <c r="T399" s="349"/>
      <c r="U399" s="349"/>
      <c r="V399" s="349"/>
      <c r="W399" s="349"/>
      <c r="X399" s="349"/>
      <c r="Y399" s="349"/>
    </row>
    <row r="400" spans="1:25" ht="12.75" customHeight="1" x14ac:dyDescent="0.25">
      <c r="A400" s="2"/>
      <c r="B400" s="19"/>
      <c r="C400" s="19"/>
      <c r="D400" s="15"/>
      <c r="E400" s="53">
        <f t="shared" si="31"/>
        <v>6</v>
      </c>
      <c r="F400" s="2011" t="str">
        <f t="shared" si="27"/>
        <v/>
      </c>
      <c r="G400" s="2012"/>
      <c r="H400" s="2013" t="str">
        <f t="shared" si="28"/>
        <v/>
      </c>
      <c r="I400" s="2014"/>
      <c r="J400" s="2013" t="str">
        <f t="shared" si="29"/>
        <v/>
      </c>
      <c r="K400" s="2015"/>
      <c r="L400" s="2014"/>
      <c r="M400" s="2016" t="str">
        <f t="shared" si="30"/>
        <v/>
      </c>
      <c r="N400" s="2017"/>
      <c r="O400" s="6"/>
      <c r="P400" s="15"/>
      <c r="Q400" s="349"/>
      <c r="R400" s="349"/>
      <c r="S400" s="349"/>
      <c r="T400" s="349"/>
      <c r="U400" s="349"/>
      <c r="V400" s="349"/>
      <c r="W400" s="349"/>
      <c r="X400" s="349"/>
      <c r="Y400" s="349"/>
    </row>
    <row r="401" spans="1:25" ht="12.75" customHeight="1" x14ac:dyDescent="0.25">
      <c r="A401" s="2"/>
      <c r="B401" s="19"/>
      <c r="C401" s="19"/>
      <c r="D401" s="15"/>
      <c r="E401" s="53">
        <f t="shared" si="31"/>
        <v>7</v>
      </c>
      <c r="F401" s="2011" t="str">
        <f t="shared" si="27"/>
        <v/>
      </c>
      <c r="G401" s="2012"/>
      <c r="H401" s="2013" t="str">
        <f t="shared" si="28"/>
        <v/>
      </c>
      <c r="I401" s="2014"/>
      <c r="J401" s="2013" t="str">
        <f t="shared" si="29"/>
        <v/>
      </c>
      <c r="K401" s="2015"/>
      <c r="L401" s="2014"/>
      <c r="M401" s="2016" t="str">
        <f t="shared" si="30"/>
        <v/>
      </c>
      <c r="N401" s="2017"/>
      <c r="O401" s="6"/>
      <c r="P401" s="15"/>
      <c r="Q401" s="349"/>
      <c r="R401" s="349"/>
      <c r="S401" s="349"/>
      <c r="T401" s="349"/>
      <c r="U401" s="349"/>
      <c r="V401" s="349"/>
      <c r="W401" s="349"/>
      <c r="X401" s="349"/>
      <c r="Y401" s="349"/>
    </row>
    <row r="402" spans="1:25" ht="12.75" customHeight="1" x14ac:dyDescent="0.25">
      <c r="A402" s="2"/>
      <c r="B402" s="19"/>
      <c r="C402" s="19"/>
      <c r="D402" s="15"/>
      <c r="E402" s="53">
        <f t="shared" si="31"/>
        <v>8</v>
      </c>
      <c r="F402" s="2011" t="str">
        <f t="shared" si="27"/>
        <v/>
      </c>
      <c r="G402" s="2012"/>
      <c r="H402" s="2013" t="str">
        <f t="shared" si="28"/>
        <v/>
      </c>
      <c r="I402" s="2014"/>
      <c r="J402" s="2013" t="str">
        <f t="shared" si="29"/>
        <v/>
      </c>
      <c r="K402" s="2015"/>
      <c r="L402" s="2014"/>
      <c r="M402" s="2016" t="str">
        <f t="shared" si="30"/>
        <v/>
      </c>
      <c r="N402" s="2017"/>
      <c r="O402" s="6"/>
      <c r="P402" s="15"/>
      <c r="Q402" s="349"/>
      <c r="R402" s="349"/>
      <c r="S402" s="349"/>
      <c r="T402" s="349"/>
      <c r="U402" s="349"/>
      <c r="V402" s="349"/>
      <c r="W402" s="349"/>
      <c r="X402" s="349"/>
      <c r="Y402" s="349"/>
    </row>
    <row r="403" spans="1:25" ht="12.75" customHeight="1" x14ac:dyDescent="0.25">
      <c r="A403" s="2"/>
      <c r="B403" s="19"/>
      <c r="C403" s="19"/>
      <c r="D403" s="15"/>
      <c r="E403" s="53">
        <f t="shared" si="31"/>
        <v>9</v>
      </c>
      <c r="F403" s="2011" t="str">
        <f t="shared" si="27"/>
        <v/>
      </c>
      <c r="G403" s="2012"/>
      <c r="H403" s="2013" t="str">
        <f t="shared" si="28"/>
        <v/>
      </c>
      <c r="I403" s="2014"/>
      <c r="J403" s="2013" t="str">
        <f t="shared" si="29"/>
        <v/>
      </c>
      <c r="K403" s="2015"/>
      <c r="L403" s="2014"/>
      <c r="M403" s="2016" t="str">
        <f t="shared" si="30"/>
        <v/>
      </c>
      <c r="N403" s="2017"/>
      <c r="O403" s="6"/>
      <c r="P403" s="15"/>
      <c r="Q403" s="349"/>
      <c r="R403" s="349"/>
      <c r="S403" s="349"/>
      <c r="T403" s="349"/>
      <c r="U403" s="349"/>
      <c r="V403" s="349"/>
      <c r="W403" s="349"/>
      <c r="X403" s="349"/>
      <c r="Y403" s="349"/>
    </row>
    <row r="404" spans="1:25" ht="12.75" customHeight="1" x14ac:dyDescent="0.25">
      <c r="A404" s="2"/>
      <c r="B404" s="19"/>
      <c r="C404" s="19"/>
      <c r="D404" s="15"/>
      <c r="E404" s="54">
        <f t="shared" si="31"/>
        <v>10</v>
      </c>
      <c r="F404" s="2018" t="str">
        <f t="shared" si="27"/>
        <v/>
      </c>
      <c r="G404" s="2019"/>
      <c r="H404" s="2020" t="str">
        <f t="shared" si="28"/>
        <v/>
      </c>
      <c r="I404" s="2021"/>
      <c r="J404" s="2020" t="str">
        <f t="shared" si="29"/>
        <v/>
      </c>
      <c r="K404" s="2022"/>
      <c r="L404" s="2021"/>
      <c r="M404" s="2023" t="str">
        <f t="shared" si="30"/>
        <v/>
      </c>
      <c r="N404" s="2024"/>
      <c r="O404" s="6"/>
      <c r="P404" s="15"/>
      <c r="Q404" s="349"/>
      <c r="R404" s="349"/>
      <c r="S404" s="349"/>
      <c r="T404" s="349"/>
      <c r="U404" s="349"/>
      <c r="V404" s="349"/>
      <c r="W404" s="349"/>
      <c r="X404" s="349"/>
      <c r="Y404" s="349"/>
    </row>
    <row r="405" spans="1:25" ht="5.15" customHeight="1" x14ac:dyDescent="0.25">
      <c r="A405" s="2"/>
      <c r="B405" s="19"/>
      <c r="C405" s="19"/>
      <c r="D405" s="15"/>
      <c r="E405" s="3"/>
      <c r="F405" s="3"/>
      <c r="G405" s="3"/>
      <c r="H405" s="3"/>
      <c r="I405" s="3"/>
      <c r="J405" s="3"/>
      <c r="K405" s="3"/>
      <c r="L405" s="3"/>
      <c r="M405" s="6"/>
      <c r="N405" s="6"/>
      <c r="O405" s="6"/>
      <c r="P405" s="15"/>
      <c r="Q405" s="349"/>
      <c r="R405" s="349"/>
      <c r="S405" s="349"/>
      <c r="T405" s="349"/>
      <c r="U405" s="349"/>
      <c r="V405" s="349"/>
      <c r="W405" s="349"/>
      <c r="X405" s="349"/>
      <c r="Y405" s="349"/>
    </row>
    <row r="406" spans="1:25" ht="5.15" customHeight="1" x14ac:dyDescent="0.25">
      <c r="A406" s="2"/>
      <c r="B406" s="3"/>
      <c r="C406" s="3"/>
      <c r="D406" s="5"/>
      <c r="E406" s="3"/>
      <c r="F406" s="3"/>
      <c r="G406" s="3"/>
      <c r="H406" s="3"/>
      <c r="I406" s="3"/>
      <c r="J406" s="3"/>
      <c r="K406" s="3"/>
      <c r="L406" s="3"/>
      <c r="M406" s="6"/>
      <c r="N406" s="6"/>
      <c r="O406" s="6"/>
      <c r="P406" s="15"/>
      <c r="Q406" s="343"/>
      <c r="R406" s="343"/>
      <c r="S406" s="343"/>
      <c r="T406" s="343"/>
      <c r="U406" s="349"/>
      <c r="V406" s="349"/>
      <c r="W406" s="349"/>
      <c r="X406" s="349"/>
      <c r="Y406" s="349"/>
    </row>
    <row r="407" spans="1:25" x14ac:dyDescent="0.25">
      <c r="A407" s="2"/>
      <c r="B407" s="19"/>
      <c r="C407" s="19"/>
      <c r="D407" s="1991" t="str">
        <f>Translations!$B$66</f>
        <v xml:space="preserve">&lt;&lt;&lt; Klicka här för att gå vidare till nästa blad &gt;&gt;&gt; </v>
      </c>
      <c r="E407" s="1991"/>
      <c r="F407" s="1991"/>
      <c r="G407" s="1991"/>
      <c r="H407" s="1991"/>
      <c r="I407" s="1991"/>
      <c r="J407" s="1991"/>
      <c r="K407" s="1991"/>
      <c r="L407" s="1991"/>
      <c r="M407" s="1991"/>
      <c r="N407" s="1991"/>
      <c r="O407" s="6"/>
      <c r="P407" s="15"/>
      <c r="Q407" s="349"/>
      <c r="R407" s="349"/>
      <c r="S407" s="349"/>
      <c r="T407" s="349"/>
      <c r="U407" s="349"/>
      <c r="V407" s="349"/>
      <c r="W407" s="349"/>
      <c r="X407" s="349"/>
      <c r="Y407" s="349"/>
    </row>
    <row r="408" spans="1:25" x14ac:dyDescent="0.25">
      <c r="A408" s="2"/>
      <c r="B408" s="19"/>
      <c r="C408" s="19"/>
      <c r="D408" s="19"/>
      <c r="E408" s="19"/>
      <c r="F408" s="19"/>
      <c r="G408" s="19"/>
      <c r="H408" s="19"/>
      <c r="I408" s="19"/>
      <c r="J408" s="19"/>
      <c r="K408" s="19"/>
      <c r="L408" s="19"/>
      <c r="M408" s="19"/>
      <c r="N408" s="19"/>
      <c r="O408" s="6"/>
      <c r="P408" s="15"/>
      <c r="Q408" s="349"/>
      <c r="R408" s="349"/>
      <c r="S408" s="349"/>
      <c r="T408" s="349"/>
      <c r="U408" s="349"/>
      <c r="V408" s="349"/>
      <c r="W408" s="349"/>
      <c r="X408" s="349"/>
      <c r="Y408" s="349"/>
    </row>
    <row r="409" spans="1:25" hidden="1" x14ac:dyDescent="0.25">
      <c r="A409" s="2" t="s">
        <v>346</v>
      </c>
      <c r="B409" s="2" t="s">
        <v>952</v>
      </c>
      <c r="C409" s="2" t="s">
        <v>952</v>
      </c>
      <c r="D409" s="2" t="s">
        <v>952</v>
      </c>
      <c r="E409" s="2" t="s">
        <v>952</v>
      </c>
      <c r="F409" s="2" t="s">
        <v>952</v>
      </c>
      <c r="G409" s="2" t="s">
        <v>952</v>
      </c>
      <c r="H409" s="2" t="s">
        <v>952</v>
      </c>
      <c r="I409" s="2" t="s">
        <v>952</v>
      </c>
      <c r="J409" s="2" t="s">
        <v>952</v>
      </c>
      <c r="K409" s="2" t="s">
        <v>952</v>
      </c>
      <c r="L409" s="2" t="s">
        <v>952</v>
      </c>
      <c r="M409" s="2" t="s">
        <v>952</v>
      </c>
      <c r="N409" s="2" t="s">
        <v>952</v>
      </c>
      <c r="O409" s="2" t="s">
        <v>952</v>
      </c>
      <c r="P409" s="2" t="s">
        <v>952</v>
      </c>
      <c r="Q409" s="349" t="s">
        <v>952</v>
      </c>
      <c r="R409" s="349" t="s">
        <v>952</v>
      </c>
      <c r="S409" s="349" t="s">
        <v>952</v>
      </c>
      <c r="T409" s="349" t="s">
        <v>952</v>
      </c>
      <c r="U409" s="349" t="s">
        <v>952</v>
      </c>
      <c r="V409" s="349" t="s">
        <v>952</v>
      </c>
      <c r="W409" s="349" t="s">
        <v>952</v>
      </c>
      <c r="X409" s="349" t="s">
        <v>952</v>
      </c>
      <c r="Y409" s="349" t="s">
        <v>952</v>
      </c>
    </row>
    <row r="410" spans="1:25" hidden="1" x14ac:dyDescent="0.25">
      <c r="A410" s="2" t="s">
        <v>346</v>
      </c>
      <c r="B410" s="1"/>
      <c r="C410" s="1"/>
      <c r="D410" s="1"/>
      <c r="E410" s="1"/>
      <c r="F410" s="1"/>
      <c r="G410" s="1"/>
      <c r="H410" s="1"/>
      <c r="I410" s="1"/>
      <c r="J410" s="1"/>
      <c r="K410" s="1"/>
      <c r="L410" s="1"/>
      <c r="M410" s="1"/>
      <c r="N410" s="1"/>
      <c r="O410" s="1"/>
      <c r="P410" s="1"/>
      <c r="Q410" s="349"/>
      <c r="R410" s="349"/>
      <c r="S410" s="349"/>
      <c r="T410" s="349"/>
      <c r="U410" s="349"/>
      <c r="V410" s="349"/>
      <c r="W410" s="349"/>
      <c r="X410" s="349"/>
      <c r="Y410" s="349"/>
    </row>
    <row r="411" spans="1:25" ht="13.5" hidden="1" thickBot="1" x14ac:dyDescent="0.3">
      <c r="A411" s="2" t="s">
        <v>346</v>
      </c>
      <c r="B411" s="1"/>
      <c r="C411" s="1"/>
      <c r="D411" s="41" t="s">
        <v>953</v>
      </c>
      <c r="E411" s="1"/>
      <c r="F411" s="1"/>
      <c r="G411" s="1"/>
      <c r="H411" s="1"/>
      <c r="I411" s="1" t="s">
        <v>417</v>
      </c>
      <c r="J411" s="1"/>
      <c r="K411" s="1"/>
      <c r="L411" s="1"/>
      <c r="M411" s="1"/>
      <c r="N411" s="1"/>
      <c r="O411" s="1"/>
      <c r="P411" s="1"/>
      <c r="Q411" s="349"/>
      <c r="R411" s="349"/>
      <c r="S411" s="349"/>
      <c r="T411" s="349"/>
      <c r="U411" s="349"/>
      <c r="V411" s="349"/>
      <c r="W411" s="349"/>
      <c r="X411" s="349"/>
      <c r="Y411" s="349"/>
    </row>
    <row r="412" spans="1:25" ht="13" hidden="1" x14ac:dyDescent="0.25">
      <c r="A412" s="2" t="s">
        <v>346</v>
      </c>
      <c r="B412" s="1"/>
      <c r="C412" s="1"/>
      <c r="D412" s="41"/>
      <c r="E412" s="151" t="s">
        <v>593</v>
      </c>
      <c r="F412" s="61"/>
      <c r="G412" s="61"/>
      <c r="H412" s="61"/>
      <c r="I412" s="61"/>
      <c r="J412" s="61"/>
      <c r="K412" s="61"/>
      <c r="L412" s="61"/>
      <c r="M412" s="61"/>
      <c r="N412" s="63"/>
      <c r="O412" s="1"/>
      <c r="P412" s="1"/>
      <c r="Q412" s="349"/>
      <c r="R412" s="349"/>
      <c r="S412" s="349"/>
      <c r="T412" s="349"/>
      <c r="U412" s="349"/>
      <c r="V412" s="349"/>
      <c r="W412" s="349"/>
      <c r="X412" s="349"/>
      <c r="Y412" s="349"/>
    </row>
    <row r="413" spans="1:25" hidden="1" x14ac:dyDescent="0.25">
      <c r="A413" s="2" t="s">
        <v>346</v>
      </c>
      <c r="B413" s="1"/>
      <c r="C413" s="1"/>
      <c r="D413" s="1"/>
      <c r="E413" s="93" t="s">
        <v>956</v>
      </c>
      <c r="F413" s="22"/>
      <c r="G413" s="22"/>
      <c r="H413" s="141"/>
      <c r="I413" s="141"/>
      <c r="J413" s="141">
        <v>1</v>
      </c>
      <c r="K413" s="141">
        <v>2</v>
      </c>
      <c r="L413" s="141">
        <v>3</v>
      </c>
      <c r="M413" s="141">
        <v>4</v>
      </c>
      <c r="N413" s="144">
        <v>5</v>
      </c>
      <c r="O413" s="1"/>
      <c r="P413" s="1"/>
      <c r="Q413" s="349"/>
      <c r="R413" s="349"/>
      <c r="S413" s="349"/>
      <c r="T413" s="349"/>
      <c r="U413" s="349"/>
      <c r="V413" s="349"/>
      <c r="W413" s="349"/>
      <c r="X413" s="349"/>
      <c r="Y413" s="349"/>
    </row>
    <row r="414" spans="1:25" hidden="1" x14ac:dyDescent="0.25">
      <c r="A414" s="2" t="s">
        <v>346</v>
      </c>
      <c r="B414" s="1"/>
      <c r="C414" s="1"/>
      <c r="D414" s="1"/>
      <c r="E414" s="145" t="s">
        <v>1228</v>
      </c>
      <c r="F414" s="22"/>
      <c r="G414" s="22"/>
      <c r="H414" s="141">
        <f>I414-1</f>
        <v>2019</v>
      </c>
      <c r="I414" s="141">
        <f>J414-1</f>
        <v>2020</v>
      </c>
      <c r="J414" s="141">
        <f>INDEX(EUconst_ReportingYears,J413)</f>
        <v>2021</v>
      </c>
      <c r="K414" s="141">
        <f>INDEX(EUconst_ReportingYears,K413)</f>
        <v>2022</v>
      </c>
      <c r="L414" s="141">
        <f>INDEX(EUconst_ReportingYears,L413)</f>
        <v>2023</v>
      </c>
      <c r="M414" s="141">
        <f>INDEX(EUconst_ReportingYears,M413)</f>
        <v>2024</v>
      </c>
      <c r="N414" s="144">
        <f>INDEX(EUconst_ReportingYears,N413)</f>
        <v>2025</v>
      </c>
      <c r="O414" s="1"/>
      <c r="P414" s="1"/>
      <c r="Q414" s="349"/>
      <c r="R414" s="349"/>
      <c r="S414" s="349"/>
      <c r="T414" s="349"/>
      <c r="U414" s="349"/>
      <c r="V414" s="349"/>
      <c r="W414" s="349"/>
      <c r="X414" s="349"/>
      <c r="Y414" s="349"/>
    </row>
    <row r="415" spans="1:25" hidden="1" x14ac:dyDescent="0.25">
      <c r="A415" s="2" t="s">
        <v>346</v>
      </c>
      <c r="B415" s="1"/>
      <c r="C415" s="1"/>
      <c r="D415" s="1"/>
      <c r="E415" s="145" t="s">
        <v>1227</v>
      </c>
      <c r="F415" s="142"/>
      <c r="G415" s="142"/>
      <c r="H415" s="143">
        <f>I415-1</f>
        <v>2019</v>
      </c>
      <c r="I415" s="143">
        <f>J415-1</f>
        <v>2020</v>
      </c>
      <c r="J415" s="143">
        <f>J414</f>
        <v>2021</v>
      </c>
      <c r="K415" s="143">
        <f>K414</f>
        <v>2022</v>
      </c>
      <c r="L415" s="143">
        <f>L414</f>
        <v>2023</v>
      </c>
      <c r="M415" s="143">
        <f>M414</f>
        <v>2024</v>
      </c>
      <c r="N415" s="146">
        <f>N414</f>
        <v>2025</v>
      </c>
      <c r="O415" s="1"/>
      <c r="P415" s="1"/>
      <c r="Q415" s="349"/>
      <c r="R415" s="349"/>
      <c r="S415" s="349"/>
      <c r="T415" s="349"/>
      <c r="U415" s="349"/>
      <c r="V415" s="349"/>
      <c r="W415" s="349"/>
      <c r="X415" s="349"/>
      <c r="Y415" s="349"/>
    </row>
    <row r="416" spans="1:25" hidden="1" x14ac:dyDescent="0.25">
      <c r="A416" s="2" t="s">
        <v>346</v>
      </c>
      <c r="B416" s="1"/>
      <c r="C416" s="1"/>
      <c r="D416" s="1"/>
      <c r="E416" s="145" t="s">
        <v>592</v>
      </c>
      <c r="F416" s="142"/>
      <c r="G416" s="142"/>
      <c r="H416" s="142"/>
      <c r="I416" s="142"/>
      <c r="J416" s="143">
        <v>1</v>
      </c>
      <c r="K416" s="143">
        <v>1</v>
      </c>
      <c r="L416" s="143">
        <v>1</v>
      </c>
      <c r="M416" s="143">
        <v>1</v>
      </c>
      <c r="N416" s="146">
        <v>1</v>
      </c>
      <c r="O416" s="1"/>
      <c r="P416" s="1"/>
      <c r="Q416" s="349"/>
      <c r="R416" s="349"/>
      <c r="S416" s="349"/>
      <c r="T416" s="349"/>
      <c r="U416" s="349"/>
      <c r="V416" s="349"/>
      <c r="W416" s="349"/>
      <c r="X416" s="349"/>
      <c r="Y416" s="349"/>
    </row>
    <row r="417" spans="1:25" hidden="1" x14ac:dyDescent="0.25">
      <c r="A417" s="2" t="s">
        <v>346</v>
      </c>
      <c r="B417" s="1"/>
      <c r="C417" s="1"/>
      <c r="D417" s="1"/>
      <c r="E417" s="145" t="s">
        <v>590</v>
      </c>
      <c r="F417" s="142"/>
      <c r="G417" s="142"/>
      <c r="H417" s="232" t="b">
        <v>1</v>
      </c>
      <c r="I417" s="232" t="b">
        <v>1</v>
      </c>
      <c r="J417" s="232" t="b">
        <v>1</v>
      </c>
      <c r="K417" s="232" t="b">
        <v>1</v>
      </c>
      <c r="L417" s="232" t="b">
        <v>1</v>
      </c>
      <c r="M417" s="232" t="b">
        <v>1</v>
      </c>
      <c r="N417" s="1019" t="b">
        <v>1</v>
      </c>
      <c r="O417" s="1"/>
      <c r="P417" s="1"/>
      <c r="Q417" s="349"/>
      <c r="R417" s="349"/>
      <c r="S417" s="349"/>
      <c r="T417" s="349"/>
      <c r="U417" s="349"/>
      <c r="V417" s="349"/>
      <c r="W417" s="349"/>
      <c r="X417" s="349"/>
      <c r="Y417" s="349"/>
    </row>
    <row r="418" spans="1:25" ht="13" hidden="1" thickBot="1" x14ac:dyDescent="0.3">
      <c r="A418" s="2" t="s">
        <v>346</v>
      </c>
      <c r="B418" s="1"/>
      <c r="C418" s="1"/>
      <c r="D418" s="1"/>
      <c r="E418" s="148" t="s">
        <v>591</v>
      </c>
      <c r="F418" s="149"/>
      <c r="G418" s="149"/>
      <c r="H418" s="233" t="b">
        <f t="shared" ref="H418:N418" si="32">IF(CNTR_HasEntries_A_I,H415&lt;=MAX(CNTR_ReportingYear,2021+(CNTR_SubPeriod-1)*5),TRUE)</f>
        <v>1</v>
      </c>
      <c r="I418" s="233" t="b">
        <f t="shared" si="32"/>
        <v>1</v>
      </c>
      <c r="J418" s="233" t="b">
        <f t="shared" si="32"/>
        <v>1</v>
      </c>
      <c r="K418" s="233" t="b">
        <f t="shared" si="32"/>
        <v>1</v>
      </c>
      <c r="L418" s="233" t="b">
        <f t="shared" si="32"/>
        <v>1</v>
      </c>
      <c r="M418" s="233" t="b">
        <f t="shared" si="32"/>
        <v>1</v>
      </c>
      <c r="N418" s="1020" t="b">
        <f t="shared" si="32"/>
        <v>1</v>
      </c>
      <c r="O418" s="1"/>
      <c r="P418" s="1"/>
      <c r="Q418" s="349"/>
      <c r="R418" s="349"/>
      <c r="S418" s="349"/>
      <c r="T418" s="349"/>
      <c r="U418" s="349"/>
      <c r="V418" s="349"/>
      <c r="W418" s="349"/>
      <c r="X418" s="349"/>
      <c r="Y418" s="349"/>
    </row>
    <row r="419" spans="1:25" ht="13.5" hidden="1" thickBot="1" x14ac:dyDescent="0.3">
      <c r="A419" s="2" t="s">
        <v>346</v>
      </c>
      <c r="B419" s="1"/>
      <c r="C419" s="1"/>
      <c r="D419" s="1"/>
      <c r="E419" s="1"/>
      <c r="F419" s="1"/>
      <c r="G419" s="1"/>
      <c r="H419" s="1"/>
      <c r="I419" s="41"/>
      <c r="J419" s="41"/>
      <c r="K419" s="41"/>
      <c r="L419" s="41"/>
      <c r="M419" s="41"/>
      <c r="N419" s="41"/>
      <c r="O419" s="1"/>
      <c r="P419" s="1"/>
      <c r="Q419" s="349"/>
      <c r="R419" s="349"/>
      <c r="S419" s="349"/>
      <c r="T419" s="349"/>
      <c r="U419" s="349"/>
      <c r="V419" s="349"/>
      <c r="W419" s="349"/>
      <c r="X419" s="349"/>
      <c r="Y419" s="349"/>
    </row>
    <row r="420" spans="1:25" ht="13.5" hidden="1" thickBot="1" x14ac:dyDescent="0.3">
      <c r="A420" s="2" t="s">
        <v>346</v>
      </c>
      <c r="B420" s="1"/>
      <c r="C420" s="1"/>
      <c r="D420" s="1"/>
      <c r="E420" s="41" t="s">
        <v>870</v>
      </c>
      <c r="F420" s="1"/>
      <c r="G420" s="314" t="b">
        <f>0&lt;(COUNTA(J14,J21,J31,J52))</f>
        <v>0</v>
      </c>
      <c r="H420" s="1" t="s">
        <v>871</v>
      </c>
      <c r="I420" s="41"/>
      <c r="J420" s="41"/>
      <c r="K420" s="41"/>
      <c r="L420" s="41"/>
      <c r="M420" s="41"/>
      <c r="N420" s="41"/>
      <c r="O420" s="1"/>
      <c r="P420" s="1"/>
      <c r="Q420" s="349"/>
      <c r="R420" s="349"/>
      <c r="S420" s="349"/>
      <c r="T420" s="349"/>
      <c r="U420" s="349"/>
      <c r="V420" s="349"/>
      <c r="W420" s="349"/>
      <c r="X420" s="349"/>
      <c r="Y420" s="349"/>
    </row>
    <row r="421" spans="1:25" ht="13" hidden="1" x14ac:dyDescent="0.25">
      <c r="A421" s="2" t="s">
        <v>346</v>
      </c>
      <c r="B421" s="1"/>
      <c r="C421" s="1"/>
      <c r="D421" s="1"/>
      <c r="E421" s="1"/>
      <c r="F421" s="1"/>
      <c r="G421" s="1644"/>
      <c r="H421" s="1"/>
      <c r="I421" s="41"/>
      <c r="J421" s="41"/>
      <c r="K421" s="41"/>
      <c r="L421" s="41"/>
      <c r="M421" s="41"/>
      <c r="N421" s="41"/>
      <c r="O421" s="1"/>
      <c r="P421" s="1"/>
      <c r="Q421" s="349"/>
      <c r="R421" s="349"/>
      <c r="S421" s="349"/>
      <c r="T421" s="349"/>
      <c r="U421" s="349"/>
      <c r="V421" s="349"/>
      <c r="W421" s="349"/>
      <c r="X421" s="349"/>
      <c r="Y421" s="349"/>
    </row>
    <row r="422" spans="1:25" hidden="1" x14ac:dyDescent="0.25">
      <c r="A422" s="2" t="s">
        <v>346</v>
      </c>
      <c r="B422" s="1"/>
      <c r="C422" s="1"/>
      <c r="D422" s="1"/>
      <c r="E422" s="1"/>
      <c r="F422" s="1"/>
      <c r="G422" s="1"/>
      <c r="H422" s="1"/>
      <c r="I422" s="1"/>
      <c r="J422" s="1"/>
      <c r="K422" s="1"/>
      <c r="L422" s="1"/>
      <c r="M422" s="1"/>
      <c r="N422" s="1"/>
      <c r="O422" s="1"/>
      <c r="P422" s="1"/>
      <c r="Q422" s="349"/>
      <c r="R422" s="349"/>
      <c r="S422" s="349"/>
      <c r="T422" s="349"/>
      <c r="U422" s="349"/>
      <c r="V422" s="349"/>
      <c r="W422" s="349"/>
      <c r="X422" s="349"/>
      <c r="Y422" s="349"/>
    </row>
    <row r="423" spans="1:25" ht="13.5" hidden="1" thickBot="1" x14ac:dyDescent="0.3">
      <c r="A423" s="2" t="s">
        <v>346</v>
      </c>
      <c r="B423" s="1"/>
      <c r="C423" s="1"/>
      <c r="D423" s="1"/>
      <c r="E423" s="41" t="s">
        <v>679</v>
      </c>
      <c r="F423" s="1"/>
      <c r="G423" s="1"/>
      <c r="H423" s="1"/>
      <c r="I423" s="1"/>
      <c r="J423" s="1"/>
      <c r="K423" s="1"/>
      <c r="L423" s="1"/>
      <c r="M423" s="1"/>
      <c r="N423" s="1"/>
      <c r="O423" s="1"/>
      <c r="P423" s="1"/>
      <c r="Q423" s="349"/>
      <c r="R423" s="349"/>
      <c r="S423" s="349"/>
      <c r="T423" s="349"/>
      <c r="U423" s="349"/>
      <c r="V423" s="349"/>
      <c r="W423" s="349"/>
      <c r="X423" s="349"/>
      <c r="Y423" s="349"/>
    </row>
    <row r="424" spans="1:25" hidden="1" x14ac:dyDescent="0.25">
      <c r="A424" s="2" t="s">
        <v>346</v>
      </c>
      <c r="B424" s="1"/>
      <c r="C424" s="1"/>
      <c r="D424" s="1"/>
      <c r="E424" s="79"/>
      <c r="F424" s="77" t="s">
        <v>680</v>
      </c>
      <c r="G424" s="82" t="s">
        <v>681</v>
      </c>
      <c r="H424" s="77" t="s">
        <v>682</v>
      </c>
      <c r="I424" s="77"/>
      <c r="J424" s="593" t="s">
        <v>1493</v>
      </c>
      <c r="K424" s="327" t="s">
        <v>571</v>
      </c>
      <c r="L424" s="85"/>
      <c r="M424" s="77"/>
      <c r="N424" s="78"/>
      <c r="O424" s="1"/>
      <c r="P424" s="1"/>
      <c r="Q424" s="349"/>
      <c r="R424" s="349"/>
      <c r="S424" s="349"/>
      <c r="T424" s="349"/>
      <c r="U424" s="349"/>
      <c r="V424" s="349"/>
      <c r="W424" s="349"/>
      <c r="X424" s="349"/>
      <c r="Y424" s="349"/>
    </row>
    <row r="425" spans="1:25" ht="13" hidden="1" x14ac:dyDescent="0.25">
      <c r="A425" s="2" t="s">
        <v>346</v>
      </c>
      <c r="B425" s="1"/>
      <c r="C425" s="1"/>
      <c r="D425" s="1"/>
      <c r="E425" s="93">
        <v>0</v>
      </c>
      <c r="F425" s="94"/>
      <c r="G425" s="95"/>
      <c r="H425" s="597" t="str">
        <f>EUconst_WithinInst</f>
        <v>Inom anläggningen</v>
      </c>
      <c r="I425" s="94"/>
      <c r="J425" s="22"/>
      <c r="K425" s="22"/>
      <c r="L425" s="89"/>
      <c r="M425" s="94"/>
      <c r="N425" s="96"/>
      <c r="O425" s="1"/>
      <c r="P425" s="1"/>
      <c r="Q425" s="349"/>
      <c r="R425" s="349"/>
      <c r="S425" s="349"/>
      <c r="T425" s="349"/>
      <c r="U425" s="349"/>
      <c r="V425" s="349"/>
      <c r="W425" s="349"/>
      <c r="X425" s="349"/>
      <c r="Y425" s="349"/>
    </row>
    <row r="426" spans="1:25" hidden="1" x14ac:dyDescent="0.25">
      <c r="A426" s="2" t="s">
        <v>346</v>
      </c>
      <c r="B426" s="1"/>
      <c r="C426" s="1"/>
      <c r="D426" s="1"/>
      <c r="E426" s="80">
        <v>1</v>
      </c>
      <c r="F426" s="72" t="str">
        <f>IF(ISNUMBER(MATCH($E426,A_InstallationData!$R$383:$R$392,0)),MATCH($E426,A_InstallationData!$R$383:$R$392,0),EUconst_NA)</f>
        <v>Ej tillämpligt</v>
      </c>
      <c r="G426" s="83" t="str">
        <f>IFERROR(IF(AND(ISNUMBER($F426),NOT(ISBLANK(INDEX(A_InstallationData!$K$383:$K$392,$F426)))),INDEX(EUconst_ConnectionShortTypes,MATCH(INDEX(A_InstallationData!$K$383:$K$392,$F426),EUconst_ConnectionTypes,0)),EUconst_NA),EUconst_ERR_LinkToNIMs)</f>
        <v>Ej tillämpligt</v>
      </c>
      <c r="H426" s="598" t="str">
        <f>IF(NOT(ISNUMBER(F426)),EUconst_NA,CONCATENATE(INDEX(A_InstallationData!$F$383:$F$392,$F426),": ",G426," ",IF(ISBLANK(INDEX(A_InstallationData!$M$383:$M$392,$F426)),EUconst_NA,INDEX(A_InstallationData!$M$383:$M$392,$F426))))</f>
        <v>Ej tillämpligt</v>
      </c>
      <c r="I426" s="1"/>
      <c r="J426" s="600" t="str">
        <f>IF(ISNUMBER($F426),IF(ISBLANK(INDEX(A_InstallationData!$F$395:$F$404,$F426)),"",INDEX(A_InstallationData!$F$395:$F$404,$F426)),"")</f>
        <v/>
      </c>
      <c r="K426" s="600" t="str">
        <f>IF(ISNUMBER($F426),IF(ISBLANK(INDEX(A_InstallationData!$I$383:$I$392,$F426)),"",INDEX(A_InstallationData!$I$383:$I$392,$F426)),"")</f>
        <v/>
      </c>
      <c r="L426" s="86"/>
      <c r="M426" s="1"/>
      <c r="N426" s="73"/>
      <c r="O426" s="1"/>
      <c r="P426" s="1"/>
      <c r="Q426" s="349"/>
      <c r="R426" s="349"/>
      <c r="S426" s="349"/>
      <c r="T426" s="349"/>
      <c r="U426" s="349"/>
      <c r="V426" s="349"/>
      <c r="W426" s="349"/>
      <c r="X426" s="349"/>
      <c r="Y426" s="349"/>
    </row>
    <row r="427" spans="1:25" hidden="1" x14ac:dyDescent="0.25">
      <c r="A427" s="2" t="s">
        <v>346</v>
      </c>
      <c r="B427" s="1"/>
      <c r="C427" s="1"/>
      <c r="D427" s="1"/>
      <c r="E427" s="80">
        <f>E426+1</f>
        <v>2</v>
      </c>
      <c r="F427" s="72" t="str">
        <f>IF(ISNUMBER(MATCH($E427,A_InstallationData!$R$383:$R$392,0)),MATCH($E427,A_InstallationData!$R$383:$R$392,0),EUconst_NA)</f>
        <v>Ej tillämpligt</v>
      </c>
      <c r="G427" s="83" t="str">
        <f>IFERROR(IF(AND(ISNUMBER($F427),NOT(ISBLANK(INDEX(A_InstallationData!$K$383:$K$392,$F427)))),INDEX(EUconst_ConnectionShortTypes,MATCH(INDEX(A_InstallationData!$K$383:$K$392,$F427),EUconst_ConnectionTypes,0)),EUconst_NA),EUconst_ERR_LinkToNIMs)</f>
        <v>Ej tillämpligt</v>
      </c>
      <c r="H427" s="598" t="str">
        <f>IF(NOT(ISNUMBER(F427)),EUconst_NA,CONCATENATE(INDEX(A_InstallationData!$F$383:$F$392,$F427),": ",G427," ",IF(ISBLANK(INDEX(A_InstallationData!$M$383:$M$392,$F427)),EUconst_NA,INDEX(A_InstallationData!$M$383:$M$392,$F427))))</f>
        <v>Ej tillämpligt</v>
      </c>
      <c r="I427" s="1"/>
      <c r="J427" s="600" t="str">
        <f>IF(ISNUMBER($F427),IF(ISBLANK(INDEX(A_InstallationData!$F$395:$F$404,$F427)),"",INDEX(A_InstallationData!$F$395:$F$404,$F427)),"")</f>
        <v/>
      </c>
      <c r="K427" s="600" t="str">
        <f>IF(ISNUMBER($F427),IF(ISBLANK(INDEX(A_InstallationData!$I$383:$I$392,$F427)),"",INDEX(A_InstallationData!$I$383:$I$392,$F427)),"")</f>
        <v/>
      </c>
      <c r="L427" s="86"/>
      <c r="M427" s="1"/>
      <c r="N427" s="73"/>
      <c r="O427" s="1"/>
      <c r="P427" s="1"/>
      <c r="Q427" s="349"/>
      <c r="R427" s="349"/>
      <c r="S427" s="349"/>
      <c r="T427" s="349"/>
      <c r="U427" s="349"/>
      <c r="V427" s="349"/>
      <c r="W427" s="349"/>
      <c r="X427" s="349"/>
      <c r="Y427" s="349"/>
    </row>
    <row r="428" spans="1:25" hidden="1" x14ac:dyDescent="0.25">
      <c r="A428" s="2" t="s">
        <v>346</v>
      </c>
      <c r="B428" s="1"/>
      <c r="C428" s="1"/>
      <c r="D428" s="1"/>
      <c r="E428" s="80">
        <f t="shared" ref="E428:E435" si="33">E427+1</f>
        <v>3</v>
      </c>
      <c r="F428" s="72" t="str">
        <f>IF(ISNUMBER(MATCH($E428,A_InstallationData!$R$383:$R$392,0)),MATCH($E428,A_InstallationData!$R$383:$R$392,0),EUconst_NA)</f>
        <v>Ej tillämpligt</v>
      </c>
      <c r="G428" s="83" t="str">
        <f>IFERROR(IF(AND(ISNUMBER($F428),NOT(ISBLANK(INDEX(A_InstallationData!$K$383:$K$392,$F428)))),INDEX(EUconst_ConnectionShortTypes,MATCH(INDEX(A_InstallationData!$K$383:$K$392,$F428),EUconst_ConnectionTypes,0)),EUconst_NA),EUconst_ERR_LinkToNIMs)</f>
        <v>Ej tillämpligt</v>
      </c>
      <c r="H428" s="598" t="str">
        <f>IF(NOT(ISNUMBER(F428)),EUconst_NA,CONCATENATE(INDEX(A_InstallationData!$F$383:$F$392,$F428),": ",G428," ",IF(ISBLANK(INDEX(A_InstallationData!$M$383:$M$392,$F428)),EUconst_NA,INDEX(A_InstallationData!$M$383:$M$392,$F428))))</f>
        <v>Ej tillämpligt</v>
      </c>
      <c r="I428" s="1"/>
      <c r="J428" s="600" t="str">
        <f>IF(ISNUMBER($F428),IF(ISBLANK(INDEX(A_InstallationData!$F$395:$F$404,$F428)),"",INDEX(A_InstallationData!$F$395:$F$404,$F428)),"")</f>
        <v/>
      </c>
      <c r="K428" s="600" t="str">
        <f>IF(ISNUMBER($F428),IF(ISBLANK(INDEX(A_InstallationData!$I$383:$I$392,$F428)),"",INDEX(A_InstallationData!$I$383:$I$392,$F428)),"")</f>
        <v/>
      </c>
      <c r="L428" s="86"/>
      <c r="M428" s="1"/>
      <c r="N428" s="73"/>
      <c r="O428" s="1"/>
      <c r="P428" s="1"/>
      <c r="Q428" s="349"/>
      <c r="R428" s="349"/>
      <c r="S428" s="349"/>
      <c r="T428" s="349"/>
      <c r="U428" s="349"/>
      <c r="V428" s="349"/>
      <c r="W428" s="349"/>
      <c r="X428" s="349"/>
      <c r="Y428" s="349"/>
    </row>
    <row r="429" spans="1:25" hidden="1" x14ac:dyDescent="0.25">
      <c r="A429" s="2" t="s">
        <v>346</v>
      </c>
      <c r="B429" s="1"/>
      <c r="C429" s="1"/>
      <c r="D429" s="1"/>
      <c r="E429" s="80">
        <f t="shared" si="33"/>
        <v>4</v>
      </c>
      <c r="F429" s="72" t="str">
        <f>IF(ISNUMBER(MATCH($E429,A_InstallationData!$R$383:$R$392,0)),MATCH($E429,A_InstallationData!$R$383:$R$392,0),EUconst_NA)</f>
        <v>Ej tillämpligt</v>
      </c>
      <c r="G429" s="83" t="str">
        <f>IFERROR(IF(AND(ISNUMBER($F429),NOT(ISBLANK(INDEX(A_InstallationData!$K$383:$K$392,$F429)))),INDEX(EUconst_ConnectionShortTypes,MATCH(INDEX(A_InstallationData!$K$383:$K$392,$F429),EUconst_ConnectionTypes,0)),EUconst_NA),EUconst_ERR_LinkToNIMs)</f>
        <v>Ej tillämpligt</v>
      </c>
      <c r="H429" s="598" t="str">
        <f>IF(NOT(ISNUMBER(F429)),EUconst_NA,CONCATENATE(INDEX(A_InstallationData!$F$383:$F$392,$F429),": ",G429," ",IF(ISBLANK(INDEX(A_InstallationData!$M$383:$M$392,$F429)),EUconst_NA,INDEX(A_InstallationData!$M$383:$M$392,$F429))))</f>
        <v>Ej tillämpligt</v>
      </c>
      <c r="I429" s="1"/>
      <c r="J429" s="600" t="str">
        <f>IF(ISNUMBER($F429),IF(ISBLANK(INDEX(A_InstallationData!$F$395:$F$404,$F429)),"",INDEX(A_InstallationData!$F$395:$F$404,$F429)),"")</f>
        <v/>
      </c>
      <c r="K429" s="600" t="str">
        <f>IF(ISNUMBER($F429),IF(ISBLANK(INDEX(A_InstallationData!$I$383:$I$392,$F429)),"",INDEX(A_InstallationData!$I$383:$I$392,$F429)),"")</f>
        <v/>
      </c>
      <c r="L429" s="86"/>
      <c r="M429" s="1"/>
      <c r="N429" s="73"/>
      <c r="O429" s="1"/>
      <c r="P429" s="1"/>
      <c r="Q429" s="349"/>
      <c r="R429" s="349"/>
      <c r="S429" s="349"/>
      <c r="T429" s="349"/>
      <c r="U429" s="349"/>
      <c r="V429" s="349"/>
      <c r="W429" s="349"/>
      <c r="X429" s="349"/>
      <c r="Y429" s="349"/>
    </row>
    <row r="430" spans="1:25" hidden="1" x14ac:dyDescent="0.25">
      <c r="A430" s="2" t="s">
        <v>346</v>
      </c>
      <c r="B430" s="1"/>
      <c r="C430" s="1"/>
      <c r="D430" s="1"/>
      <c r="E430" s="80">
        <f t="shared" si="33"/>
        <v>5</v>
      </c>
      <c r="F430" s="72" t="str">
        <f>IF(ISNUMBER(MATCH($E430,A_InstallationData!$R$383:$R$392,0)),MATCH($E430,A_InstallationData!$R$383:$R$392,0),EUconst_NA)</f>
        <v>Ej tillämpligt</v>
      </c>
      <c r="G430" s="83" t="str">
        <f>IFERROR(IF(AND(ISNUMBER($F430),NOT(ISBLANK(INDEX(A_InstallationData!$K$383:$K$392,$F430)))),INDEX(EUconst_ConnectionShortTypes,MATCH(INDEX(A_InstallationData!$K$383:$K$392,$F430),EUconst_ConnectionTypes,0)),EUconst_NA),EUconst_ERR_LinkToNIMs)</f>
        <v>Ej tillämpligt</v>
      </c>
      <c r="H430" s="598" t="str">
        <f>IF(NOT(ISNUMBER(F430)),EUconst_NA,CONCATENATE(INDEX(A_InstallationData!$F$383:$F$392,$F430),": ",G430," ",IF(ISBLANK(INDEX(A_InstallationData!$M$383:$M$392,$F430)),EUconst_NA,INDEX(A_InstallationData!$M$383:$M$392,$F430))))</f>
        <v>Ej tillämpligt</v>
      </c>
      <c r="I430" s="1"/>
      <c r="J430" s="600" t="str">
        <f>IF(ISNUMBER($F430),IF(ISBLANK(INDEX(A_InstallationData!$F$395:$F$404,$F430)),"",INDEX(A_InstallationData!$F$395:$F$404,$F430)),"")</f>
        <v/>
      </c>
      <c r="K430" s="600" t="str">
        <f>IF(ISNUMBER($F430),IF(ISBLANK(INDEX(A_InstallationData!$I$383:$I$392,$F430)),"",INDEX(A_InstallationData!$I$383:$I$392,$F430)),"")</f>
        <v/>
      </c>
      <c r="L430" s="86"/>
      <c r="M430" s="1"/>
      <c r="N430" s="73"/>
      <c r="O430" s="1"/>
      <c r="P430" s="1"/>
      <c r="Q430" s="349"/>
      <c r="R430" s="349"/>
      <c r="S430" s="349"/>
      <c r="T430" s="349"/>
      <c r="U430" s="349"/>
      <c r="V430" s="349"/>
      <c r="W430" s="349"/>
      <c r="X430" s="349"/>
      <c r="Y430" s="349"/>
    </row>
    <row r="431" spans="1:25" hidden="1" x14ac:dyDescent="0.25">
      <c r="A431" s="2" t="s">
        <v>346</v>
      </c>
      <c r="B431" s="1"/>
      <c r="C431" s="1"/>
      <c r="D431" s="1"/>
      <c r="E431" s="80">
        <f t="shared" si="33"/>
        <v>6</v>
      </c>
      <c r="F431" s="72" t="str">
        <f>IF(ISNUMBER(MATCH($E431,A_InstallationData!$R$383:$R$392,0)),MATCH($E431,A_InstallationData!$R$383:$R$392,0),EUconst_NA)</f>
        <v>Ej tillämpligt</v>
      </c>
      <c r="G431" s="83" t="str">
        <f>IFERROR(IF(AND(ISNUMBER($F431),NOT(ISBLANK(INDEX(A_InstallationData!$K$383:$K$392,$F431)))),INDEX(EUconst_ConnectionShortTypes,MATCH(INDEX(A_InstallationData!$K$383:$K$392,$F431),EUconst_ConnectionTypes,0)),EUconst_NA),EUconst_ERR_LinkToNIMs)</f>
        <v>Ej tillämpligt</v>
      </c>
      <c r="H431" s="598" t="str">
        <f>IF(NOT(ISNUMBER(F431)),EUconst_NA,CONCATENATE(INDEX(A_InstallationData!$F$383:$F$392,$F431),": ",G431," ",IF(ISBLANK(INDEX(A_InstallationData!$M$383:$M$392,$F431)),EUconst_NA,INDEX(A_InstallationData!$M$383:$M$392,$F431))))</f>
        <v>Ej tillämpligt</v>
      </c>
      <c r="I431" s="1"/>
      <c r="J431" s="600" t="str">
        <f>IF(ISNUMBER($F431),IF(ISBLANK(INDEX(A_InstallationData!$F$395:$F$404,$F431)),"",INDEX(A_InstallationData!$F$395:$F$404,$F431)),"")</f>
        <v/>
      </c>
      <c r="K431" s="600" t="str">
        <f>IF(ISNUMBER($F431),IF(ISBLANK(INDEX(A_InstallationData!$I$383:$I$392,$F431)),"",INDEX(A_InstallationData!$I$383:$I$392,$F431)),"")</f>
        <v/>
      </c>
      <c r="L431" s="86"/>
      <c r="M431" s="1"/>
      <c r="N431" s="73"/>
      <c r="O431" s="1"/>
      <c r="P431" s="1"/>
      <c r="Q431" s="349"/>
      <c r="R431" s="349"/>
      <c r="S431" s="349"/>
      <c r="T431" s="349"/>
      <c r="U431" s="349"/>
      <c r="V431" s="349"/>
      <c r="W431" s="349"/>
      <c r="X431" s="349"/>
      <c r="Y431" s="349"/>
    </row>
    <row r="432" spans="1:25" hidden="1" x14ac:dyDescent="0.25">
      <c r="A432" s="2" t="s">
        <v>346</v>
      </c>
      <c r="B432" s="1"/>
      <c r="C432" s="1"/>
      <c r="D432" s="1"/>
      <c r="E432" s="80">
        <f t="shared" si="33"/>
        <v>7</v>
      </c>
      <c r="F432" s="72" t="str">
        <f>IF(ISNUMBER(MATCH($E432,A_InstallationData!$R$383:$R$392,0)),MATCH($E432,A_InstallationData!$R$383:$R$392,0),EUconst_NA)</f>
        <v>Ej tillämpligt</v>
      </c>
      <c r="G432" s="83" t="str">
        <f>IFERROR(IF(AND(ISNUMBER($F432),NOT(ISBLANK(INDEX(A_InstallationData!$K$383:$K$392,$F432)))),INDEX(EUconst_ConnectionShortTypes,MATCH(INDEX(A_InstallationData!$K$383:$K$392,$F432),EUconst_ConnectionTypes,0)),EUconst_NA),EUconst_ERR_LinkToNIMs)</f>
        <v>Ej tillämpligt</v>
      </c>
      <c r="H432" s="598" t="str">
        <f>IF(NOT(ISNUMBER(F432)),EUconst_NA,CONCATENATE(INDEX(A_InstallationData!$F$383:$F$392,$F432),": ",G432," ",IF(ISBLANK(INDEX(A_InstallationData!$M$383:$M$392,$F432)),EUconst_NA,INDEX(A_InstallationData!$M$383:$M$392,$F432))))</f>
        <v>Ej tillämpligt</v>
      </c>
      <c r="I432" s="1"/>
      <c r="J432" s="600" t="str">
        <f>IF(ISNUMBER($F432),IF(ISBLANK(INDEX(A_InstallationData!$F$395:$F$404,$F432)),"",INDEX(A_InstallationData!$F$395:$F$404,$F432)),"")</f>
        <v/>
      </c>
      <c r="K432" s="600" t="str">
        <f>IF(ISNUMBER($F432),IF(ISBLANK(INDEX(A_InstallationData!$I$383:$I$392,$F432)),"",INDEX(A_InstallationData!$I$383:$I$392,$F432)),"")</f>
        <v/>
      </c>
      <c r="L432" s="86"/>
      <c r="M432" s="1"/>
      <c r="N432" s="73"/>
      <c r="O432" s="1"/>
      <c r="P432" s="1"/>
      <c r="Q432" s="349"/>
      <c r="R432" s="349"/>
      <c r="S432" s="349"/>
      <c r="T432" s="349"/>
      <c r="U432" s="349"/>
      <c r="V432" s="349"/>
      <c r="W432" s="349"/>
      <c r="X432" s="349"/>
      <c r="Y432" s="349"/>
    </row>
    <row r="433" spans="1:25" hidden="1" x14ac:dyDescent="0.25">
      <c r="A433" s="2" t="s">
        <v>346</v>
      </c>
      <c r="B433" s="1"/>
      <c r="C433" s="1"/>
      <c r="D433" s="1"/>
      <c r="E433" s="80">
        <f t="shared" si="33"/>
        <v>8</v>
      </c>
      <c r="F433" s="72" t="str">
        <f>IF(ISNUMBER(MATCH($E433,A_InstallationData!$R$383:$R$392,0)),MATCH($E433,A_InstallationData!$R$383:$R$392,0),EUconst_NA)</f>
        <v>Ej tillämpligt</v>
      </c>
      <c r="G433" s="83" t="str">
        <f>IFERROR(IF(AND(ISNUMBER($F433),NOT(ISBLANK(INDEX(A_InstallationData!$K$383:$K$392,$F433)))),INDEX(EUconst_ConnectionShortTypes,MATCH(INDEX(A_InstallationData!$K$383:$K$392,$F433),EUconst_ConnectionTypes,0)),EUconst_NA),EUconst_ERR_LinkToNIMs)</f>
        <v>Ej tillämpligt</v>
      </c>
      <c r="H433" s="598" t="str">
        <f>IF(NOT(ISNUMBER(F433)),EUconst_NA,CONCATENATE(INDEX(A_InstallationData!$F$383:$F$392,$F433),": ",G433," ",IF(ISBLANK(INDEX(A_InstallationData!$M$383:$M$392,$F433)),EUconst_NA,INDEX(A_InstallationData!$M$383:$M$392,$F433))))</f>
        <v>Ej tillämpligt</v>
      </c>
      <c r="I433" s="1"/>
      <c r="J433" s="600" t="str">
        <f>IF(ISNUMBER($F433),IF(ISBLANK(INDEX(A_InstallationData!$F$395:$F$404,$F433)),"",INDEX(A_InstallationData!$F$395:$F$404,$F433)),"")</f>
        <v/>
      </c>
      <c r="K433" s="600" t="str">
        <f>IF(ISNUMBER($F433),IF(ISBLANK(INDEX(A_InstallationData!$I$383:$I$392,$F433)),"",INDEX(A_InstallationData!$I$383:$I$392,$F433)),"")</f>
        <v/>
      </c>
      <c r="L433" s="86"/>
      <c r="M433" s="1"/>
      <c r="N433" s="73"/>
      <c r="O433" s="1"/>
      <c r="P433" s="1"/>
      <c r="Q433" s="349"/>
      <c r="R433" s="349"/>
      <c r="S433" s="349"/>
      <c r="T433" s="349"/>
      <c r="U433" s="349"/>
      <c r="V433" s="349"/>
      <c r="W433" s="349"/>
      <c r="X433" s="349"/>
      <c r="Y433" s="349"/>
    </row>
    <row r="434" spans="1:25" hidden="1" x14ac:dyDescent="0.25">
      <c r="A434" s="2" t="s">
        <v>346</v>
      </c>
      <c r="B434" s="1"/>
      <c r="C434" s="1"/>
      <c r="D434" s="1"/>
      <c r="E434" s="80">
        <f t="shared" si="33"/>
        <v>9</v>
      </c>
      <c r="F434" s="72" t="str">
        <f>IF(ISNUMBER(MATCH($E434,A_InstallationData!$R$383:$R$392,0)),MATCH($E434,A_InstallationData!$R$383:$R$392,0),EUconst_NA)</f>
        <v>Ej tillämpligt</v>
      </c>
      <c r="G434" s="83" t="str">
        <f>IFERROR(IF(AND(ISNUMBER($F434),NOT(ISBLANK(INDEX(A_InstallationData!$K$383:$K$392,$F434)))),INDEX(EUconst_ConnectionShortTypes,MATCH(INDEX(A_InstallationData!$K$383:$K$392,$F434),EUconst_ConnectionTypes,0)),EUconst_NA),EUconst_ERR_LinkToNIMs)</f>
        <v>Ej tillämpligt</v>
      </c>
      <c r="H434" s="598" t="str">
        <f>IF(NOT(ISNUMBER(F434)),EUconst_NA,CONCATENATE(INDEX(A_InstallationData!$F$383:$F$392,$F434),": ",G434," ",IF(ISBLANK(INDEX(A_InstallationData!$M$383:$M$392,$F434)),EUconst_NA,INDEX(A_InstallationData!$M$383:$M$392,$F434))))</f>
        <v>Ej tillämpligt</v>
      </c>
      <c r="I434" s="1"/>
      <c r="J434" s="600" t="str">
        <f>IF(ISNUMBER($F434),IF(ISBLANK(INDEX(A_InstallationData!$F$395:$F$404,$F434)),"",INDEX(A_InstallationData!$F$395:$F$404,$F434)),"")</f>
        <v/>
      </c>
      <c r="K434" s="600" t="str">
        <f>IF(ISNUMBER($F434),IF(ISBLANK(INDEX(A_InstallationData!$I$383:$I$392,$F434)),"",INDEX(A_InstallationData!$I$383:$I$392,$F434)),"")</f>
        <v/>
      </c>
      <c r="L434" s="86"/>
      <c r="M434" s="1"/>
      <c r="N434" s="73"/>
      <c r="O434" s="1"/>
      <c r="P434" s="1"/>
      <c r="Q434" s="349"/>
      <c r="R434" s="349"/>
      <c r="S434" s="349"/>
      <c r="T434" s="349"/>
      <c r="U434" s="349"/>
      <c r="V434" s="349"/>
      <c r="W434" s="349"/>
      <c r="X434" s="349"/>
      <c r="Y434" s="349"/>
    </row>
    <row r="435" spans="1:25" ht="13" hidden="1" thickBot="1" x14ac:dyDescent="0.3">
      <c r="A435" s="2" t="s">
        <v>346</v>
      </c>
      <c r="B435" s="1"/>
      <c r="C435" s="1"/>
      <c r="D435" s="1"/>
      <c r="E435" s="81">
        <f t="shared" si="33"/>
        <v>10</v>
      </c>
      <c r="F435" s="74" t="str">
        <f>IF(ISNUMBER(MATCH($E435,A_InstallationData!$R$383:$R$392,0)),MATCH($E435,A_InstallationData!$R$383:$R$392,0),EUconst_NA)</f>
        <v>Ej tillämpligt</v>
      </c>
      <c r="G435" s="84" t="str">
        <f>IFERROR(IF(AND(ISNUMBER($F435),NOT(ISBLANK(INDEX(A_InstallationData!$K$383:$K$392,$F435)))),INDEX(EUconst_ConnectionShortTypes,MATCH(INDEX(A_InstallationData!$K$383:$K$392,$F435),EUconst_ConnectionTypes,0)),EUconst_NA),EUconst_ERR_LinkToNIMs)</f>
        <v>Ej tillämpligt</v>
      </c>
      <c r="H435" s="599" t="str">
        <f>IF(NOT(ISNUMBER(F435)),EUconst_NA,CONCATENATE(INDEX(A_InstallationData!$F$383:$F$392,$F435),": ",G435," ",IF(ISBLANK(INDEX(A_InstallationData!$M$383:$M$392,$F435)),EUconst_NA,INDEX(A_InstallationData!$M$383:$M$392,$F435))))</f>
        <v>Ej tillämpligt</v>
      </c>
      <c r="I435" s="75"/>
      <c r="J435" s="601" t="str">
        <f>IF(ISNUMBER($F435),IF(ISBLANK(INDEX(A_InstallationData!$F$395:$F$404,$F435)),"",INDEX(A_InstallationData!$F$395:$F$404,$F435)),"")</f>
        <v/>
      </c>
      <c r="K435" s="601" t="str">
        <f>IF(ISNUMBER($F435),IF(ISBLANK(INDEX(A_InstallationData!$I$383:$I$392,$F435)),"",INDEX(A_InstallationData!$I$383:$I$392,$F435)),"")</f>
        <v/>
      </c>
      <c r="L435" s="87"/>
      <c r="M435" s="75"/>
      <c r="N435" s="76"/>
      <c r="O435" s="1"/>
      <c r="P435" s="1"/>
      <c r="Q435" s="349"/>
      <c r="R435" s="349"/>
      <c r="S435" s="349"/>
      <c r="T435" s="349"/>
      <c r="U435" s="349"/>
      <c r="V435" s="349"/>
      <c r="W435" s="349"/>
      <c r="X435" s="349"/>
      <c r="Y435" s="349"/>
    </row>
    <row r="436" spans="1:25" hidden="1" x14ac:dyDescent="0.25">
      <c r="A436" s="2" t="s">
        <v>346</v>
      </c>
      <c r="B436" s="1"/>
      <c r="C436" s="1"/>
      <c r="D436" s="1"/>
      <c r="E436" s="1"/>
      <c r="F436" s="1"/>
      <c r="G436" s="1"/>
      <c r="H436" s="1"/>
      <c r="I436" s="1"/>
      <c r="J436" s="1"/>
      <c r="K436" s="1"/>
      <c r="L436" s="1"/>
      <c r="M436" s="1"/>
      <c r="N436" s="1"/>
      <c r="O436" s="1"/>
      <c r="P436" s="1"/>
      <c r="Q436" s="349"/>
      <c r="R436" s="349"/>
      <c r="S436" s="349"/>
      <c r="T436" s="349"/>
      <c r="U436" s="349"/>
      <c r="V436" s="349"/>
      <c r="W436" s="349"/>
      <c r="X436" s="349"/>
      <c r="Y436" s="349"/>
    </row>
    <row r="437" spans="1:25" hidden="1" x14ac:dyDescent="0.25">
      <c r="A437" s="2" t="s">
        <v>346</v>
      </c>
      <c r="B437" s="1"/>
      <c r="C437" s="1"/>
      <c r="D437" s="1"/>
      <c r="E437" s="1" t="s">
        <v>865</v>
      </c>
      <c r="F437" s="1"/>
      <c r="G437" s="1"/>
      <c r="H437" s="1"/>
      <c r="I437" s="1"/>
      <c r="J437" s="1"/>
      <c r="K437" s="1"/>
      <c r="L437" s="1"/>
      <c r="M437" s="1"/>
      <c r="N437" s="1"/>
      <c r="O437" s="1"/>
      <c r="P437" s="1"/>
      <c r="Q437" s="349"/>
      <c r="R437" s="349"/>
      <c r="S437" s="349"/>
      <c r="T437" s="349"/>
      <c r="U437" s="349"/>
      <c r="V437" s="349"/>
      <c r="W437" s="349"/>
      <c r="X437" s="349"/>
      <c r="Y437" s="349"/>
    </row>
    <row r="438" spans="1:25" hidden="1" x14ac:dyDescent="0.25">
      <c r="A438" s="2" t="s">
        <v>346</v>
      </c>
      <c r="B438" s="1"/>
      <c r="C438" s="1"/>
      <c r="D438" s="1"/>
      <c r="E438" s="1" t="s">
        <v>866</v>
      </c>
      <c r="F438" s="1"/>
      <c r="G438" s="44" t="b">
        <f>COUNTA(A_InstallationData!$F$354:$F$363)&gt;0</f>
        <v>0</v>
      </c>
      <c r="H438" s="1"/>
      <c r="I438" s="1"/>
      <c r="J438" s="1"/>
      <c r="K438" s="1"/>
      <c r="L438" s="1"/>
      <c r="M438" s="1"/>
      <c r="N438" s="1"/>
      <c r="O438" s="1"/>
      <c r="P438" s="1"/>
      <c r="Q438" s="349"/>
      <c r="R438" s="349"/>
      <c r="S438" s="349"/>
      <c r="T438" s="349"/>
      <c r="U438" s="349"/>
      <c r="V438" s="349"/>
      <c r="W438" s="349"/>
      <c r="X438" s="349"/>
      <c r="Y438" s="349"/>
    </row>
    <row r="439" spans="1:25" hidden="1" x14ac:dyDescent="0.25">
      <c r="A439" s="2" t="s">
        <v>346</v>
      </c>
      <c r="B439" s="1"/>
      <c r="C439" s="1"/>
      <c r="D439" s="1"/>
      <c r="E439" s="1"/>
      <c r="F439" s="1"/>
      <c r="G439" s="1"/>
      <c r="H439" s="1"/>
      <c r="I439" s="1"/>
      <c r="J439" s="1"/>
      <c r="K439" s="1"/>
      <c r="L439" s="1"/>
      <c r="M439" s="1"/>
      <c r="N439" s="1"/>
      <c r="O439" s="1"/>
      <c r="P439" s="1"/>
      <c r="Q439" s="349"/>
      <c r="R439" s="349"/>
      <c r="S439" s="349"/>
      <c r="T439" s="349"/>
      <c r="U439" s="349"/>
      <c r="V439" s="349"/>
      <c r="W439" s="349"/>
      <c r="X439" s="349"/>
      <c r="Y439" s="349"/>
    </row>
    <row r="440" spans="1:25" hidden="1" x14ac:dyDescent="0.25">
      <c r="A440" s="2" t="s">
        <v>346</v>
      </c>
      <c r="B440" s="1"/>
      <c r="C440" s="1"/>
      <c r="D440" s="1"/>
      <c r="E440" s="1"/>
      <c r="F440" s="1"/>
      <c r="G440" s="1"/>
      <c r="H440" s="1"/>
      <c r="I440" s="1"/>
      <c r="J440" s="1"/>
      <c r="K440" s="1"/>
      <c r="L440" s="1"/>
      <c r="M440" s="1"/>
      <c r="N440" s="1"/>
      <c r="O440" s="1"/>
      <c r="P440" s="1"/>
      <c r="Q440" s="349"/>
      <c r="R440" s="349"/>
      <c r="S440" s="349"/>
      <c r="T440" s="349"/>
      <c r="U440" s="349"/>
      <c r="V440" s="349"/>
      <c r="W440" s="349"/>
      <c r="X440" s="349"/>
      <c r="Y440" s="349"/>
    </row>
    <row r="441" spans="1:25" hidden="1" x14ac:dyDescent="0.25">
      <c r="A441" s="2" t="s">
        <v>346</v>
      </c>
      <c r="B441" s="1"/>
      <c r="C441" s="1"/>
      <c r="D441" s="1"/>
      <c r="E441" s="1" t="s">
        <v>868</v>
      </c>
      <c r="F441" s="1"/>
      <c r="G441" s="1"/>
      <c r="H441" s="1"/>
      <c r="I441" s="1"/>
      <c r="J441" s="1"/>
      <c r="K441" s="1"/>
      <c r="L441" s="1"/>
      <c r="M441" s="1"/>
      <c r="N441" s="1"/>
      <c r="O441" s="1"/>
      <c r="P441" s="1"/>
      <c r="Q441" s="349"/>
      <c r="R441" s="349"/>
      <c r="S441" s="349"/>
      <c r="T441" s="349"/>
      <c r="U441" s="349"/>
      <c r="V441" s="349"/>
      <c r="W441" s="349"/>
      <c r="X441" s="349"/>
      <c r="Y441" s="349"/>
    </row>
    <row r="442" spans="1:25" hidden="1" x14ac:dyDescent="0.25">
      <c r="A442" s="2" t="s">
        <v>346</v>
      </c>
      <c r="B442" s="1"/>
      <c r="C442" s="1"/>
      <c r="D442" s="1"/>
      <c r="E442" s="1"/>
      <c r="F442" s="453" t="s">
        <v>2266</v>
      </c>
      <c r="G442" s="44" t="b">
        <f>OR(Y256,Y261,Y269,Y290)</f>
        <v>0</v>
      </c>
      <c r="H442" s="1" t="s">
        <v>971</v>
      </c>
      <c r="I442" s="1"/>
      <c r="J442" s="1"/>
      <c r="K442" s="1"/>
      <c r="L442" s="1"/>
      <c r="M442" s="1"/>
      <c r="N442" s="1"/>
      <c r="O442" s="1"/>
      <c r="P442" s="1"/>
      <c r="Q442" s="349"/>
      <c r="R442" s="349"/>
      <c r="S442" s="349"/>
      <c r="T442" s="349"/>
      <c r="U442" s="349"/>
      <c r="V442" s="349"/>
      <c r="W442" s="349"/>
      <c r="X442" s="349"/>
      <c r="Y442" s="349"/>
    </row>
    <row r="443" spans="1:25" hidden="1" x14ac:dyDescent="0.25">
      <c r="A443" s="2" t="s">
        <v>346</v>
      </c>
      <c r="B443" s="1"/>
      <c r="C443" s="1"/>
      <c r="D443" s="1"/>
      <c r="E443" s="1"/>
      <c r="F443" s="453" t="s">
        <v>2267</v>
      </c>
      <c r="G443" s="44" t="b">
        <f>IF(CNTR_HasEntries_A_I,COUNTA(J11,J14,J21)&lt;3,FALSE)</f>
        <v>0</v>
      </c>
      <c r="H443" s="1"/>
      <c r="I443" s="1"/>
      <c r="J443" s="1"/>
      <c r="K443" s="1"/>
      <c r="L443" s="1"/>
      <c r="M443" s="1"/>
      <c r="N443" s="1"/>
      <c r="O443" s="1"/>
      <c r="P443" s="1"/>
      <c r="Q443" s="349"/>
      <c r="R443" s="349"/>
      <c r="S443" s="349"/>
      <c r="T443" s="349"/>
      <c r="U443" s="349"/>
      <c r="V443" s="349"/>
      <c r="W443" s="349"/>
      <c r="X443" s="349"/>
      <c r="Y443" s="349"/>
    </row>
    <row r="444" spans="1:25" hidden="1" x14ac:dyDescent="0.25">
      <c r="A444" s="2" t="s">
        <v>346</v>
      </c>
      <c r="B444" s="1"/>
      <c r="C444" s="1"/>
      <c r="D444" s="1"/>
      <c r="E444" s="1"/>
      <c r="F444" s="453" t="s">
        <v>2268</v>
      </c>
      <c r="G444" s="44" t="b">
        <f>IF(CNTR_HasEntries_A_I,AND(Y31=FALSE,J31=""),FALSE)</f>
        <v>0</v>
      </c>
      <c r="H444" s="1"/>
      <c r="I444" s="1"/>
      <c r="J444" s="1"/>
      <c r="K444" s="1"/>
      <c r="L444" s="1"/>
      <c r="M444" s="1"/>
      <c r="N444" s="1"/>
      <c r="O444" s="1"/>
      <c r="P444" s="1"/>
      <c r="Q444" s="349"/>
      <c r="R444" s="349"/>
      <c r="S444" s="349"/>
      <c r="T444" s="349"/>
      <c r="U444" s="349"/>
      <c r="V444" s="349"/>
      <c r="W444" s="349"/>
      <c r="X444" s="349"/>
      <c r="Y444" s="349"/>
    </row>
    <row r="445" spans="1:25" hidden="1" x14ac:dyDescent="0.25">
      <c r="A445" s="2" t="s">
        <v>346</v>
      </c>
      <c r="B445" s="1"/>
      <c r="C445" s="1"/>
      <c r="D445" s="1"/>
      <c r="E445" s="1"/>
      <c r="F445" s="453" t="s">
        <v>2269</v>
      </c>
      <c r="G445" s="44" t="b">
        <f>IF(CNTR_HasEntries_A_I,OR(J53="",J53=EUconst_ERR_LinkToNIMs,CNTR_UniqueID="",J72="",J80="",J88="",J120=""),FALSE)</f>
        <v>0</v>
      </c>
      <c r="H445" s="1"/>
      <c r="I445" s="1"/>
      <c r="J445" s="1"/>
      <c r="K445" s="1"/>
      <c r="L445" s="1"/>
      <c r="M445" s="1"/>
      <c r="N445" s="1"/>
      <c r="O445" s="1"/>
      <c r="P445" s="1"/>
      <c r="Q445" s="349"/>
      <c r="R445" s="349"/>
      <c r="S445" s="349"/>
      <c r="T445" s="349"/>
      <c r="U445" s="349"/>
      <c r="V445" s="349"/>
      <c r="W445" s="349"/>
      <c r="X445" s="349"/>
      <c r="Y445" s="349"/>
    </row>
    <row r="446" spans="1:25" hidden="1" x14ac:dyDescent="0.25">
      <c r="A446" s="2" t="s">
        <v>346</v>
      </c>
      <c r="B446" s="1"/>
      <c r="C446" s="1"/>
      <c r="D446" s="1"/>
      <c r="E446" s="1"/>
      <c r="F446" s="453" t="s">
        <v>2271</v>
      </c>
      <c r="G446" s="44" t="b">
        <f>IF(CNTR_HasEntries_A_I,OR(J177="",J178="",J179=""),FALSE)</f>
        <v>0</v>
      </c>
      <c r="H446" s="1"/>
      <c r="I446" s="1"/>
      <c r="J446" s="1"/>
      <c r="K446" s="1"/>
      <c r="L446" s="1"/>
      <c r="M446" s="1"/>
      <c r="N446" s="1"/>
      <c r="O446" s="1"/>
      <c r="P446" s="1"/>
      <c r="Q446" s="349"/>
      <c r="R446" s="349"/>
      <c r="S446" s="349"/>
      <c r="T446" s="349"/>
      <c r="U446" s="349"/>
      <c r="V446" s="349"/>
      <c r="W446" s="349"/>
      <c r="X446" s="349"/>
      <c r="Y446" s="349"/>
    </row>
    <row r="447" spans="1:25" hidden="1" x14ac:dyDescent="0.25">
      <c r="A447" s="2" t="s">
        <v>346</v>
      </c>
      <c r="B447" s="1"/>
      <c r="C447" s="1"/>
      <c r="D447" s="1"/>
      <c r="E447" s="1"/>
      <c r="F447" s="453" t="s">
        <v>2272</v>
      </c>
      <c r="G447" s="44" t="b">
        <f>IF(CNTR_HasEntries_A_I,OR(J191="",J199="",J205="",J206="",J207=""),FALSE)</f>
        <v>0</v>
      </c>
      <c r="H447" s="1"/>
      <c r="I447" s="1"/>
      <c r="J447" s="1"/>
      <c r="K447" s="1"/>
      <c r="L447" s="1"/>
      <c r="M447" s="1"/>
      <c r="N447" s="1"/>
      <c r="O447" s="1"/>
      <c r="P447" s="1"/>
      <c r="Q447" s="349"/>
      <c r="R447" s="349"/>
      <c r="S447" s="349"/>
      <c r="T447" s="349"/>
      <c r="U447" s="349"/>
      <c r="V447" s="349"/>
      <c r="W447" s="349"/>
      <c r="X447" s="349"/>
      <c r="Y447" s="349"/>
    </row>
    <row r="448" spans="1:25" hidden="1" x14ac:dyDescent="0.25">
      <c r="A448" s="2" t="s">
        <v>346</v>
      </c>
      <c r="B448" s="1"/>
      <c r="C448" s="1"/>
      <c r="D448" s="1"/>
      <c r="E448" s="1"/>
      <c r="F448" s="453" t="s">
        <v>2270</v>
      </c>
      <c r="G448" s="44" t="b">
        <f>IF(CNTR_HasEntries_A_I,OR(F227="",COUNTIF(F227:N233,EUconst_ERR_LinkToNIMs)&gt;0),FALSE)</f>
        <v>0</v>
      </c>
      <c r="H448" s="1"/>
      <c r="I448" s="1"/>
      <c r="J448" s="1"/>
      <c r="K448" s="1"/>
      <c r="L448" s="1"/>
      <c r="M448" s="1"/>
      <c r="N448" s="1"/>
      <c r="O448" s="1"/>
      <c r="P448" s="1"/>
      <c r="Q448" s="349"/>
      <c r="R448" s="349"/>
      <c r="S448" s="349"/>
      <c r="T448" s="349"/>
      <c r="U448" s="349"/>
      <c r="V448" s="349"/>
      <c r="W448" s="349"/>
      <c r="X448" s="349"/>
      <c r="Y448" s="349"/>
    </row>
    <row r="449" spans="1:25" ht="13" hidden="1" thickBot="1" x14ac:dyDescent="0.3">
      <c r="A449" s="2" t="s">
        <v>346</v>
      </c>
      <c r="B449" s="1"/>
      <c r="C449" s="1"/>
      <c r="D449" s="1"/>
      <c r="E449" s="1"/>
      <c r="F449" s="453" t="s">
        <v>2273</v>
      </c>
      <c r="G449" s="44" t="b">
        <f>OR(COUNTIF(F383:N392,EUconst_ERR_LinkToNIMs)&gt;0,COUNTIF(F395:N404,EUconst_ERR_LinkToNIMs)&gt;0)</f>
        <v>0</v>
      </c>
      <c r="H449" s="1"/>
      <c r="I449" s="1"/>
      <c r="J449" s="1"/>
      <c r="K449" s="1"/>
      <c r="L449" s="1"/>
      <c r="M449" s="1"/>
      <c r="N449" s="1"/>
      <c r="O449" s="1"/>
      <c r="P449" s="1"/>
      <c r="Q449" s="349"/>
      <c r="R449" s="349"/>
      <c r="S449" s="349"/>
      <c r="T449" s="349"/>
      <c r="U449" s="349"/>
      <c r="V449" s="349"/>
      <c r="W449" s="349"/>
      <c r="X449" s="349"/>
      <c r="Y449" s="349"/>
    </row>
    <row r="450" spans="1:25" ht="13.5" hidden="1" thickBot="1" x14ac:dyDescent="0.3">
      <c r="A450" s="2" t="s">
        <v>346</v>
      </c>
      <c r="B450" s="1"/>
      <c r="C450" s="1"/>
      <c r="D450" s="1"/>
      <c r="E450" s="1"/>
      <c r="F450" s="41" t="s">
        <v>869</v>
      </c>
      <c r="G450" s="227" t="b">
        <f>OR(G442:G444)</f>
        <v>0</v>
      </c>
      <c r="H450" s="1"/>
      <c r="I450" s="1"/>
      <c r="J450" s="1"/>
      <c r="K450" s="1"/>
      <c r="L450" s="1"/>
      <c r="M450" s="1"/>
      <c r="N450" s="1"/>
      <c r="O450" s="1"/>
      <c r="P450" s="1"/>
      <c r="Q450" s="349"/>
      <c r="R450" s="349"/>
      <c r="S450" s="349"/>
      <c r="T450" s="349"/>
      <c r="U450" s="349"/>
      <c r="V450" s="349"/>
      <c r="W450" s="349"/>
      <c r="X450" s="349"/>
      <c r="Y450" s="349"/>
    </row>
    <row r="451" spans="1:25" hidden="1" x14ac:dyDescent="0.25">
      <c r="A451" s="2" t="s">
        <v>346</v>
      </c>
      <c r="B451" s="1"/>
      <c r="C451" s="1"/>
      <c r="D451" s="1"/>
      <c r="E451" s="1"/>
      <c r="F451" s="1"/>
      <c r="G451" s="1"/>
      <c r="H451" s="1"/>
      <c r="I451" s="1"/>
      <c r="J451" s="1"/>
      <c r="K451" s="1"/>
      <c r="L451" s="1"/>
      <c r="M451" s="1"/>
      <c r="N451" s="1"/>
      <c r="O451" s="1"/>
      <c r="P451" s="1"/>
      <c r="Q451" s="349"/>
      <c r="R451" s="349"/>
      <c r="S451" s="349"/>
      <c r="T451" s="349"/>
      <c r="U451" s="349"/>
      <c r="V451" s="349"/>
      <c r="W451" s="349"/>
      <c r="X451" s="349"/>
      <c r="Y451" s="349"/>
    </row>
    <row r="452" spans="1:25" hidden="1" x14ac:dyDescent="0.25">
      <c r="A452" s="2" t="s">
        <v>346</v>
      </c>
      <c r="B452" s="1"/>
      <c r="C452" s="1"/>
      <c r="D452" s="1"/>
      <c r="E452" s="1"/>
      <c r="F452" s="1"/>
      <c r="G452" s="1"/>
      <c r="H452" s="1"/>
      <c r="I452" s="1"/>
      <c r="J452" s="1"/>
      <c r="K452" s="1"/>
      <c r="L452" s="1"/>
      <c r="M452" s="1"/>
      <c r="N452" s="1"/>
      <c r="O452" s="1"/>
      <c r="P452" s="1"/>
      <c r="Q452" s="349"/>
      <c r="R452" s="349"/>
      <c r="S452" s="349"/>
      <c r="T452" s="349"/>
      <c r="U452" s="349"/>
      <c r="V452" s="349"/>
      <c r="W452" s="349"/>
      <c r="X452" s="349"/>
      <c r="Y452" s="349"/>
    </row>
    <row r="453" spans="1:25" x14ac:dyDescent="0.25">
      <c r="A453" s="2"/>
      <c r="P453" s="1"/>
      <c r="Q453" s="349"/>
      <c r="R453" s="349"/>
      <c r="S453" s="349"/>
      <c r="T453" s="349"/>
      <c r="U453" s="349"/>
      <c r="V453" s="349"/>
      <c r="W453" s="349"/>
      <c r="X453" s="349"/>
      <c r="Y453" s="349"/>
    </row>
  </sheetData>
  <sheetProtection sheet="1" objects="1" scenarios="1" formatCells="0" formatColumns="0" formatRows="0"/>
  <mergeCells count="634">
    <mergeCell ref="F41:J41"/>
    <mergeCell ref="F36:N36"/>
    <mergeCell ref="F35:M35"/>
    <mergeCell ref="F37:N37"/>
    <mergeCell ref="D6:N6"/>
    <mergeCell ref="E11:I11"/>
    <mergeCell ref="D10:N10"/>
    <mergeCell ref="D9:N9"/>
    <mergeCell ref="E19:N19"/>
    <mergeCell ref="F16:N16"/>
    <mergeCell ref="F17:N17"/>
    <mergeCell ref="E14:I14"/>
    <mergeCell ref="J64:N64"/>
    <mergeCell ref="F33:N33"/>
    <mergeCell ref="K43:L43"/>
    <mergeCell ref="E31:I31"/>
    <mergeCell ref="F218:N218"/>
    <mergeCell ref="G201:I201"/>
    <mergeCell ref="E197:N197"/>
    <mergeCell ref="J193:N193"/>
    <mergeCell ref="F217:N217"/>
    <mergeCell ref="J200:N200"/>
    <mergeCell ref="J195:N195"/>
    <mergeCell ref="E198:N198"/>
    <mergeCell ref="G205:I205"/>
    <mergeCell ref="E75:I75"/>
    <mergeCell ref="J202:N202"/>
    <mergeCell ref="J186:N186"/>
    <mergeCell ref="G191:I191"/>
    <mergeCell ref="G151:I151"/>
    <mergeCell ref="J173:N173"/>
    <mergeCell ref="J184:N184"/>
    <mergeCell ref="J71:N71"/>
    <mergeCell ref="J105:N105"/>
    <mergeCell ref="J107:N107"/>
    <mergeCell ref="F43:J43"/>
    <mergeCell ref="E81:N81"/>
    <mergeCell ref="J72:N72"/>
    <mergeCell ref="E83:N83"/>
    <mergeCell ref="J65:N65"/>
    <mergeCell ref="G199:I199"/>
    <mergeCell ref="J142:N142"/>
    <mergeCell ref="G195:I195"/>
    <mergeCell ref="J100:N100"/>
    <mergeCell ref="J161:N161"/>
    <mergeCell ref="J199:N199"/>
    <mergeCell ref="J159:N159"/>
    <mergeCell ref="J156:N156"/>
    <mergeCell ref="G184:I184"/>
    <mergeCell ref="E73:N73"/>
    <mergeCell ref="E78:N78"/>
    <mergeCell ref="J185:N185"/>
    <mergeCell ref="G193:I193"/>
    <mergeCell ref="E190:N190"/>
    <mergeCell ref="G192:I192"/>
    <mergeCell ref="D188:N188"/>
    <mergeCell ref="J136:N136"/>
    <mergeCell ref="J87:N87"/>
    <mergeCell ref="J70:N70"/>
    <mergeCell ref="E70:I70"/>
    <mergeCell ref="J61:N61"/>
    <mergeCell ref="E66:N66"/>
    <mergeCell ref="E68:N68"/>
    <mergeCell ref="E63:I63"/>
    <mergeCell ref="J63:N63"/>
    <mergeCell ref="F339:N339"/>
    <mergeCell ref="E335:N335"/>
    <mergeCell ref="F336:N336"/>
    <mergeCell ref="E302:N302"/>
    <mergeCell ref="D300:N300"/>
    <mergeCell ref="E84:N84"/>
    <mergeCell ref="J191:N191"/>
    <mergeCell ref="G186:I186"/>
    <mergeCell ref="M255:N255"/>
    <mergeCell ref="M256:N256"/>
    <mergeCell ref="E280:N280"/>
    <mergeCell ref="F223:N223"/>
    <mergeCell ref="J201:N201"/>
    <mergeCell ref="G194:I194"/>
    <mergeCell ref="J192:N192"/>
    <mergeCell ref="E166:N166"/>
    <mergeCell ref="G185:I185"/>
    <mergeCell ref="D163:N163"/>
    <mergeCell ref="E295:N295"/>
    <mergeCell ref="F351:N351"/>
    <mergeCell ref="K354:L354"/>
    <mergeCell ref="F354:H354"/>
    <mergeCell ref="E349:N349"/>
    <mergeCell ref="F347:N347"/>
    <mergeCell ref="F348:N348"/>
    <mergeCell ref="I354:J354"/>
    <mergeCell ref="M353:N353"/>
    <mergeCell ref="F353:H353"/>
    <mergeCell ref="I353:J353"/>
    <mergeCell ref="I360:J360"/>
    <mergeCell ref="M359:N359"/>
    <mergeCell ref="K361:L361"/>
    <mergeCell ref="I359:J359"/>
    <mergeCell ref="F359:H359"/>
    <mergeCell ref="I355:J355"/>
    <mergeCell ref="F357:H357"/>
    <mergeCell ref="I356:J356"/>
    <mergeCell ref="M355:N355"/>
    <mergeCell ref="M358:N358"/>
    <mergeCell ref="K356:L356"/>
    <mergeCell ref="F355:H355"/>
    <mergeCell ref="K355:L355"/>
    <mergeCell ref="M356:N356"/>
    <mergeCell ref="F356:H356"/>
    <mergeCell ref="K358:L358"/>
    <mergeCell ref="I363:J363"/>
    <mergeCell ref="K363:L363"/>
    <mergeCell ref="F370:G370"/>
    <mergeCell ref="J368:L368"/>
    <mergeCell ref="F374:G374"/>
    <mergeCell ref="F376:G376"/>
    <mergeCell ref="F373:G373"/>
    <mergeCell ref="H368:I368"/>
    <mergeCell ref="F368:G368"/>
    <mergeCell ref="H370:I370"/>
    <mergeCell ref="F369:G369"/>
    <mergeCell ref="F371:G371"/>
    <mergeCell ref="F372:G372"/>
    <mergeCell ref="M382:N382"/>
    <mergeCell ref="F384:H384"/>
    <mergeCell ref="I384:J384"/>
    <mergeCell ref="K384:L384"/>
    <mergeCell ref="M378:N378"/>
    <mergeCell ref="J371:L371"/>
    <mergeCell ref="M371:N371"/>
    <mergeCell ref="H374:I374"/>
    <mergeCell ref="J374:L374"/>
    <mergeCell ref="H373:I373"/>
    <mergeCell ref="H378:I378"/>
    <mergeCell ref="H376:I376"/>
    <mergeCell ref="J376:L376"/>
    <mergeCell ref="J372:L372"/>
    <mergeCell ref="M377:N377"/>
    <mergeCell ref="M373:N373"/>
    <mergeCell ref="M374:N374"/>
    <mergeCell ref="J375:L375"/>
    <mergeCell ref="M375:N375"/>
    <mergeCell ref="H377:I377"/>
    <mergeCell ref="J377:L377"/>
    <mergeCell ref="J373:L373"/>
    <mergeCell ref="H371:I371"/>
    <mergeCell ref="H372:I372"/>
    <mergeCell ref="E297:N297"/>
    <mergeCell ref="E294:N294"/>
    <mergeCell ref="E340:N340"/>
    <mergeCell ref="D407:N407"/>
    <mergeCell ref="M376:N376"/>
    <mergeCell ref="F375:G375"/>
    <mergeCell ref="H375:I375"/>
    <mergeCell ref="I361:J361"/>
    <mergeCell ref="J370:L370"/>
    <mergeCell ref="I362:J362"/>
    <mergeCell ref="E367:N367"/>
    <mergeCell ref="M369:N369"/>
    <mergeCell ref="E366:N366"/>
    <mergeCell ref="F362:H362"/>
    <mergeCell ref="H369:I369"/>
    <mergeCell ref="J369:L369"/>
    <mergeCell ref="F383:H383"/>
    <mergeCell ref="I383:J383"/>
    <mergeCell ref="K383:L383"/>
    <mergeCell ref="M383:N383"/>
    <mergeCell ref="F382:H382"/>
    <mergeCell ref="I382:J382"/>
    <mergeCell ref="K382:L382"/>
    <mergeCell ref="F361:H361"/>
    <mergeCell ref="E264:N264"/>
    <mergeCell ref="M254:N254"/>
    <mergeCell ref="E257:N257"/>
    <mergeCell ref="E239:N239"/>
    <mergeCell ref="E236:N236"/>
    <mergeCell ref="M263:N263"/>
    <mergeCell ref="E290:N290"/>
    <mergeCell ref="E263:L263"/>
    <mergeCell ref="E244:K244"/>
    <mergeCell ref="E282:N282"/>
    <mergeCell ref="E254:L254"/>
    <mergeCell ref="L246:N246"/>
    <mergeCell ref="E240:K240"/>
    <mergeCell ref="M260:N260"/>
    <mergeCell ref="M259:N259"/>
    <mergeCell ref="E277:N277"/>
    <mergeCell ref="E259:L259"/>
    <mergeCell ref="M261:N261"/>
    <mergeCell ref="E278:N278"/>
    <mergeCell ref="E281:N281"/>
    <mergeCell ref="E265:N265"/>
    <mergeCell ref="M268:N268"/>
    <mergeCell ref="E67:N67"/>
    <mergeCell ref="E51:I51"/>
    <mergeCell ref="J52:N52"/>
    <mergeCell ref="J57:N57"/>
    <mergeCell ref="G183:I183"/>
    <mergeCell ref="E182:N182"/>
    <mergeCell ref="J174:N174"/>
    <mergeCell ref="J155:N155"/>
    <mergeCell ref="G102:I102"/>
    <mergeCell ref="G141:I141"/>
    <mergeCell ref="J141:N141"/>
    <mergeCell ref="J139:N139"/>
    <mergeCell ref="J96:N96"/>
    <mergeCell ref="F96:I96"/>
    <mergeCell ref="J138:N138"/>
    <mergeCell ref="E130:N130"/>
    <mergeCell ref="E148:N148"/>
    <mergeCell ref="G142:I142"/>
    <mergeCell ref="E56:I56"/>
    <mergeCell ref="J88:N88"/>
    <mergeCell ref="F86:I86"/>
    <mergeCell ref="E59:N59"/>
    <mergeCell ref="E61:I61"/>
    <mergeCell ref="J56:N56"/>
    <mergeCell ref="J51:N51"/>
    <mergeCell ref="D25:N25"/>
    <mergeCell ref="E12:N12"/>
    <mergeCell ref="J11:L11"/>
    <mergeCell ref="E15:N15"/>
    <mergeCell ref="E54:N54"/>
    <mergeCell ref="E18:N18"/>
    <mergeCell ref="F42:J42"/>
    <mergeCell ref="K41:L41"/>
    <mergeCell ref="E23:N23"/>
    <mergeCell ref="D49:N49"/>
    <mergeCell ref="F44:N44"/>
    <mergeCell ref="E21:I21"/>
    <mergeCell ref="J21:L21"/>
    <mergeCell ref="E22:N22"/>
    <mergeCell ref="E40:N40"/>
    <mergeCell ref="F38:N38"/>
    <mergeCell ref="J14:L14"/>
    <mergeCell ref="F34:N34"/>
    <mergeCell ref="E28:N28"/>
    <mergeCell ref="K42:L42"/>
    <mergeCell ref="J31:L31"/>
    <mergeCell ref="E29:N29"/>
    <mergeCell ref="E32:N32"/>
    <mergeCell ref="B2:D4"/>
    <mergeCell ref="M2:N2"/>
    <mergeCell ref="E3:F3"/>
    <mergeCell ref="G3:H3"/>
    <mergeCell ref="I3:J3"/>
    <mergeCell ref="K3:L3"/>
    <mergeCell ref="G4:H4"/>
    <mergeCell ref="I4:J4"/>
    <mergeCell ref="K4:L4"/>
    <mergeCell ref="M4:N4"/>
    <mergeCell ref="I2:J2"/>
    <mergeCell ref="K2:L2"/>
    <mergeCell ref="E4:F4"/>
    <mergeCell ref="G2:H2"/>
    <mergeCell ref="M3:N3"/>
    <mergeCell ref="E2:F2"/>
    <mergeCell ref="E58:N58"/>
    <mergeCell ref="D47:N47"/>
    <mergeCell ref="J169:N169"/>
    <mergeCell ref="E85:N85"/>
    <mergeCell ref="G105:I105"/>
    <mergeCell ref="J106:N106"/>
    <mergeCell ref="G103:I103"/>
    <mergeCell ref="J102:N102"/>
    <mergeCell ref="J95:N95"/>
    <mergeCell ref="F92:I92"/>
    <mergeCell ref="F94:N94"/>
    <mergeCell ref="J86:N86"/>
    <mergeCell ref="G168:I168"/>
    <mergeCell ref="J168:N168"/>
    <mergeCell ref="J153:N153"/>
    <mergeCell ref="J157:N157"/>
    <mergeCell ref="G138:I138"/>
    <mergeCell ref="E146:N146"/>
    <mergeCell ref="G139:I139"/>
    <mergeCell ref="G144:I144"/>
    <mergeCell ref="J144:N144"/>
    <mergeCell ref="G167:I167"/>
    <mergeCell ref="G106:I106"/>
    <mergeCell ref="G136:I136"/>
    <mergeCell ref="G133:I133"/>
    <mergeCell ref="J133:N133"/>
    <mergeCell ref="G134:I134"/>
    <mergeCell ref="G116:I116"/>
    <mergeCell ref="J116:N116"/>
    <mergeCell ref="G117:I117"/>
    <mergeCell ref="J117:N117"/>
    <mergeCell ref="E80:I80"/>
    <mergeCell ref="E98:N98"/>
    <mergeCell ref="J108:N108"/>
    <mergeCell ref="J104:N104"/>
    <mergeCell ref="J101:N101"/>
    <mergeCell ref="G104:I104"/>
    <mergeCell ref="F91:I91"/>
    <mergeCell ref="E99:N99"/>
    <mergeCell ref="G100:I100"/>
    <mergeCell ref="G108:I108"/>
    <mergeCell ref="G114:I114"/>
    <mergeCell ref="J114:N114"/>
    <mergeCell ref="J111:N111"/>
    <mergeCell ref="G112:I112"/>
    <mergeCell ref="G111:I111"/>
    <mergeCell ref="G118:I118"/>
    <mergeCell ref="J118:N118"/>
    <mergeCell ref="G202:I202"/>
    <mergeCell ref="L242:N242"/>
    <mergeCell ref="F225:N225"/>
    <mergeCell ref="F215:N215"/>
    <mergeCell ref="F216:N216"/>
    <mergeCell ref="G206:I206"/>
    <mergeCell ref="E235:N235"/>
    <mergeCell ref="J206:N206"/>
    <mergeCell ref="E204:N204"/>
    <mergeCell ref="E238:N238"/>
    <mergeCell ref="L241:N241"/>
    <mergeCell ref="J205:N205"/>
    <mergeCell ref="F226:N226"/>
    <mergeCell ref="F219:N219"/>
    <mergeCell ref="F220:N220"/>
    <mergeCell ref="F221:N221"/>
    <mergeCell ref="E211:N211"/>
    <mergeCell ref="F224:N224"/>
    <mergeCell ref="F222:N222"/>
    <mergeCell ref="E213:N213"/>
    <mergeCell ref="L240:N240"/>
    <mergeCell ref="E234:N234"/>
    <mergeCell ref="F229:N229"/>
    <mergeCell ref="F231:N231"/>
    <mergeCell ref="M269:N269"/>
    <mergeCell ref="E267:L267"/>
    <mergeCell ref="D252:N252"/>
    <mergeCell ref="E247:N247"/>
    <mergeCell ref="P2:P4"/>
    <mergeCell ref="J53:N53"/>
    <mergeCell ref="F230:N230"/>
    <mergeCell ref="G173:I173"/>
    <mergeCell ref="E212:N212"/>
    <mergeCell ref="J183:N183"/>
    <mergeCell ref="G207:I207"/>
    <mergeCell ref="J194:N194"/>
    <mergeCell ref="D209:N209"/>
    <mergeCell ref="F227:N227"/>
    <mergeCell ref="G101:I101"/>
    <mergeCell ref="F90:N90"/>
    <mergeCell ref="J91:N91"/>
    <mergeCell ref="J92:N92"/>
    <mergeCell ref="G115:I115"/>
    <mergeCell ref="J115:N115"/>
    <mergeCell ref="F95:I95"/>
    <mergeCell ref="G107:I107"/>
    <mergeCell ref="J103:N103"/>
    <mergeCell ref="J112:N112"/>
    <mergeCell ref="G110:I110"/>
    <mergeCell ref="J110:N110"/>
    <mergeCell ref="G113:I113"/>
    <mergeCell ref="J113:N113"/>
    <mergeCell ref="J378:L378"/>
    <mergeCell ref="F363:H363"/>
    <mergeCell ref="M370:N370"/>
    <mergeCell ref="M368:N368"/>
    <mergeCell ref="M363:N363"/>
    <mergeCell ref="K359:L359"/>
    <mergeCell ref="F337:N337"/>
    <mergeCell ref="K353:L353"/>
    <mergeCell ref="M357:N357"/>
    <mergeCell ref="I357:J357"/>
    <mergeCell ref="I358:J358"/>
    <mergeCell ref="F341:N341"/>
    <mergeCell ref="M354:N354"/>
    <mergeCell ref="F343:N343"/>
    <mergeCell ref="F346:N346"/>
    <mergeCell ref="F350:N350"/>
    <mergeCell ref="E344:N344"/>
    <mergeCell ref="F377:G377"/>
    <mergeCell ref="M372:N372"/>
    <mergeCell ref="M362:N362"/>
    <mergeCell ref="K362:L362"/>
    <mergeCell ref="M361:N361"/>
    <mergeCell ref="E365:N365"/>
    <mergeCell ref="J134:N134"/>
    <mergeCell ref="E296:N296"/>
    <mergeCell ref="F306:H306"/>
    <mergeCell ref="F232:N232"/>
    <mergeCell ref="I306:J306"/>
    <mergeCell ref="G122:I122"/>
    <mergeCell ref="J122:N122"/>
    <mergeCell ref="G125:I125"/>
    <mergeCell ref="J125:N125"/>
    <mergeCell ref="G126:I126"/>
    <mergeCell ref="J126:N126"/>
    <mergeCell ref="G123:I123"/>
    <mergeCell ref="J123:N123"/>
    <mergeCell ref="G124:I124"/>
    <mergeCell ref="J124:N124"/>
    <mergeCell ref="G132:I132"/>
    <mergeCell ref="J132:N132"/>
    <mergeCell ref="G143:I143"/>
    <mergeCell ref="J143:N143"/>
    <mergeCell ref="J137:N137"/>
    <mergeCell ref="G137:I137"/>
    <mergeCell ref="E149:N149"/>
    <mergeCell ref="G200:I200"/>
    <mergeCell ref="J207:N207"/>
    <mergeCell ref="G120:I120"/>
    <mergeCell ref="J120:N120"/>
    <mergeCell ref="G121:I121"/>
    <mergeCell ref="J121:N121"/>
    <mergeCell ref="G127:I127"/>
    <mergeCell ref="J127:N127"/>
    <mergeCell ref="G128:I128"/>
    <mergeCell ref="J128:N128"/>
    <mergeCell ref="G131:I131"/>
    <mergeCell ref="J131:N131"/>
    <mergeCell ref="J152:N152"/>
    <mergeCell ref="E147:N147"/>
    <mergeCell ref="J175:N175"/>
    <mergeCell ref="J172:N172"/>
    <mergeCell ref="E164:N164"/>
    <mergeCell ref="J151:N151"/>
    <mergeCell ref="G150:I150"/>
    <mergeCell ref="J150:N150"/>
    <mergeCell ref="J158:N158"/>
    <mergeCell ref="J160:N160"/>
    <mergeCell ref="J167:N167"/>
    <mergeCell ref="G169:I169"/>
    <mergeCell ref="G174:I174"/>
    <mergeCell ref="G152:H161"/>
    <mergeCell ref="G170:I170"/>
    <mergeCell ref="J170:N170"/>
    <mergeCell ref="G177:I177"/>
    <mergeCell ref="J177:N177"/>
    <mergeCell ref="G172:I172"/>
    <mergeCell ref="G178:I178"/>
    <mergeCell ref="J178:N178"/>
    <mergeCell ref="G175:I175"/>
    <mergeCell ref="J154:N154"/>
    <mergeCell ref="K306:L306"/>
    <mergeCell ref="M306:N306"/>
    <mergeCell ref="G179:I179"/>
    <mergeCell ref="J179:N179"/>
    <mergeCell ref="G180:I180"/>
    <mergeCell ref="J180:N180"/>
    <mergeCell ref="F305:H305"/>
    <mergeCell ref="I305:J305"/>
    <mergeCell ref="K305:L305"/>
    <mergeCell ref="M305:N305"/>
    <mergeCell ref="E303:N303"/>
    <mergeCell ref="M267:N267"/>
    <mergeCell ref="E285:N285"/>
    <mergeCell ref="E271:N271"/>
    <mergeCell ref="E283:N283"/>
    <mergeCell ref="E275:N275"/>
    <mergeCell ref="L244:N244"/>
    <mergeCell ref="L245:N245"/>
    <mergeCell ref="E288:N288"/>
    <mergeCell ref="E237:N237"/>
    <mergeCell ref="E248:N248"/>
    <mergeCell ref="D250:N250"/>
    <mergeCell ref="E287:N287"/>
    <mergeCell ref="F228:N228"/>
    <mergeCell ref="F308:H308"/>
    <mergeCell ref="I308:J308"/>
    <mergeCell ref="K308:L308"/>
    <mergeCell ref="M308:N308"/>
    <mergeCell ref="F307:H307"/>
    <mergeCell ref="I307:J307"/>
    <mergeCell ref="K307:L307"/>
    <mergeCell ref="M307:N307"/>
    <mergeCell ref="F309:H309"/>
    <mergeCell ref="I309:J309"/>
    <mergeCell ref="K309:L309"/>
    <mergeCell ref="M309:N309"/>
    <mergeCell ref="F310:H310"/>
    <mergeCell ref="I310:J310"/>
    <mergeCell ref="K310:L310"/>
    <mergeCell ref="M310:N310"/>
    <mergeCell ref="F311:H311"/>
    <mergeCell ref="I311:J311"/>
    <mergeCell ref="K311:L311"/>
    <mergeCell ref="M311:N311"/>
    <mergeCell ref="F312:H312"/>
    <mergeCell ref="I312:J312"/>
    <mergeCell ref="K312:L312"/>
    <mergeCell ref="M312:N312"/>
    <mergeCell ref="F313:H313"/>
    <mergeCell ref="I313:J313"/>
    <mergeCell ref="K313:L313"/>
    <mergeCell ref="M313:N313"/>
    <mergeCell ref="F314:H314"/>
    <mergeCell ref="I314:J314"/>
    <mergeCell ref="K314:L314"/>
    <mergeCell ref="M314:N314"/>
    <mergeCell ref="F315:H315"/>
    <mergeCell ref="I315:J315"/>
    <mergeCell ref="K315:L315"/>
    <mergeCell ref="M315:N315"/>
    <mergeCell ref="F317:G317"/>
    <mergeCell ref="H317:I317"/>
    <mergeCell ref="J317:L317"/>
    <mergeCell ref="M317:N317"/>
    <mergeCell ref="F318:G318"/>
    <mergeCell ref="H318:I318"/>
    <mergeCell ref="J318:L318"/>
    <mergeCell ref="M318:N318"/>
    <mergeCell ref="F319:G319"/>
    <mergeCell ref="H319:I319"/>
    <mergeCell ref="J319:L319"/>
    <mergeCell ref="M319:N319"/>
    <mergeCell ref="F320:G320"/>
    <mergeCell ref="H320:I320"/>
    <mergeCell ref="J320:L320"/>
    <mergeCell ref="M320:N320"/>
    <mergeCell ref="F321:G321"/>
    <mergeCell ref="H321:I321"/>
    <mergeCell ref="J321:L321"/>
    <mergeCell ref="M321:N321"/>
    <mergeCell ref="F322:G322"/>
    <mergeCell ref="H322:I322"/>
    <mergeCell ref="J322:L322"/>
    <mergeCell ref="M322:N322"/>
    <mergeCell ref="F323:G323"/>
    <mergeCell ref="H323:I323"/>
    <mergeCell ref="J323:L323"/>
    <mergeCell ref="M323:N323"/>
    <mergeCell ref="F324:G324"/>
    <mergeCell ref="H324:I324"/>
    <mergeCell ref="J324:L324"/>
    <mergeCell ref="M324:N324"/>
    <mergeCell ref="F325:G325"/>
    <mergeCell ref="H325:I325"/>
    <mergeCell ref="J325:L325"/>
    <mergeCell ref="M325:N325"/>
    <mergeCell ref="F326:G326"/>
    <mergeCell ref="H326:I326"/>
    <mergeCell ref="J326:L326"/>
    <mergeCell ref="M326:N326"/>
    <mergeCell ref="F327:G327"/>
    <mergeCell ref="H327:I327"/>
    <mergeCell ref="J327:L327"/>
    <mergeCell ref="M327:N327"/>
    <mergeCell ref="E380:N380"/>
    <mergeCell ref="E329:N329"/>
    <mergeCell ref="E330:N330"/>
    <mergeCell ref="M360:N360"/>
    <mergeCell ref="K357:L357"/>
    <mergeCell ref="K360:L360"/>
    <mergeCell ref="E331:N331"/>
    <mergeCell ref="F360:H360"/>
    <mergeCell ref="F345:N345"/>
    <mergeCell ref="F358:H358"/>
    <mergeCell ref="F338:N338"/>
    <mergeCell ref="F342:N342"/>
    <mergeCell ref="E333:N333"/>
    <mergeCell ref="E332:N332"/>
    <mergeCell ref="E334:N334"/>
    <mergeCell ref="F378:G378"/>
    <mergeCell ref="M384:N384"/>
    <mergeCell ref="F385:H385"/>
    <mergeCell ref="I385:J385"/>
    <mergeCell ref="K385:L385"/>
    <mergeCell ref="M385:N385"/>
    <mergeCell ref="F386:H386"/>
    <mergeCell ref="I386:J386"/>
    <mergeCell ref="K386:L386"/>
    <mergeCell ref="M386:N386"/>
    <mergeCell ref="F387:H387"/>
    <mergeCell ref="I387:J387"/>
    <mergeCell ref="K387:L387"/>
    <mergeCell ref="M387:N387"/>
    <mergeCell ref="F388:H388"/>
    <mergeCell ref="I388:J388"/>
    <mergeCell ref="K388:L388"/>
    <mergeCell ref="M388:N388"/>
    <mergeCell ref="F389:H389"/>
    <mergeCell ref="I389:J389"/>
    <mergeCell ref="K389:L389"/>
    <mergeCell ref="M389:N389"/>
    <mergeCell ref="F395:G395"/>
    <mergeCell ref="H395:I395"/>
    <mergeCell ref="J395:L395"/>
    <mergeCell ref="M395:N395"/>
    <mergeCell ref="F396:G396"/>
    <mergeCell ref="H396:I396"/>
    <mergeCell ref="J396:L396"/>
    <mergeCell ref="F390:H390"/>
    <mergeCell ref="I390:J390"/>
    <mergeCell ref="K390:L390"/>
    <mergeCell ref="M390:N390"/>
    <mergeCell ref="F391:H391"/>
    <mergeCell ref="I391:J391"/>
    <mergeCell ref="K391:L391"/>
    <mergeCell ref="M391:N391"/>
    <mergeCell ref="M396:N396"/>
    <mergeCell ref="F392:H392"/>
    <mergeCell ref="I392:J392"/>
    <mergeCell ref="K392:L392"/>
    <mergeCell ref="M392:N392"/>
    <mergeCell ref="F394:G394"/>
    <mergeCell ref="H394:I394"/>
    <mergeCell ref="J394:L394"/>
    <mergeCell ref="M394:N394"/>
    <mergeCell ref="F397:G397"/>
    <mergeCell ref="H397:I397"/>
    <mergeCell ref="J397:L397"/>
    <mergeCell ref="M397:N397"/>
    <mergeCell ref="F398:G398"/>
    <mergeCell ref="H402:I402"/>
    <mergeCell ref="J402:L402"/>
    <mergeCell ref="M402:N402"/>
    <mergeCell ref="F403:G403"/>
    <mergeCell ref="H403:I403"/>
    <mergeCell ref="F399:G399"/>
    <mergeCell ref="H399:I399"/>
    <mergeCell ref="J399:L399"/>
    <mergeCell ref="M399:N399"/>
    <mergeCell ref="J403:L403"/>
    <mergeCell ref="F401:G401"/>
    <mergeCell ref="H401:I401"/>
    <mergeCell ref="J401:L401"/>
    <mergeCell ref="M401:N401"/>
    <mergeCell ref="H398:I398"/>
    <mergeCell ref="J398:L398"/>
    <mergeCell ref="M398:N398"/>
    <mergeCell ref="F404:G404"/>
    <mergeCell ref="H404:I404"/>
    <mergeCell ref="J404:L404"/>
    <mergeCell ref="M404:N404"/>
    <mergeCell ref="F402:G402"/>
    <mergeCell ref="M403:N403"/>
    <mergeCell ref="F400:G400"/>
    <mergeCell ref="H400:I400"/>
    <mergeCell ref="J400:L400"/>
    <mergeCell ref="M400:N400"/>
  </mergeCells>
  <phoneticPr fontId="34" type="noConversion"/>
  <conditionalFormatting sqref="B2:D4">
    <cfRule type="expression" dxfId="827" priority="125" stopIfTrue="1">
      <formula>CNTR_HasErrors_A</formula>
    </cfRule>
  </conditionalFormatting>
  <conditionalFormatting sqref="D27:N40 D41:K43 M41:N43 D44:N45">
    <cfRule type="expression" dxfId="826" priority="34" stopIfTrue="1">
      <formula>$Y$31</formula>
    </cfRule>
  </conditionalFormatting>
  <conditionalFormatting sqref="F369:G378">
    <cfRule type="expression" dxfId="825" priority="76" stopIfTrue="1">
      <formula>($S354=FALSE)</formula>
    </cfRule>
  </conditionalFormatting>
  <conditionalFormatting sqref="F215:N220">
    <cfRule type="expression" dxfId="824" priority="22" stopIfTrue="1">
      <formula>$Y215</formula>
    </cfRule>
  </conditionalFormatting>
  <conditionalFormatting sqref="F221:N226">
    <cfRule type="expression" dxfId="823" priority="33" stopIfTrue="1">
      <formula>$Y221</formula>
    </cfRule>
  </conditionalFormatting>
  <conditionalFormatting sqref="F227:N232">
    <cfRule type="containsText" dxfId="822" priority="21" stopIfTrue="1" operator="containsText" text="!">
      <formula>NOT(ISERROR(SEARCH("!",F227)))</formula>
    </cfRule>
  </conditionalFormatting>
  <conditionalFormatting sqref="F306:N315 F318:N327">
    <cfRule type="expression" dxfId="821" priority="26" stopIfTrue="1">
      <formula>$Y306</formula>
    </cfRule>
  </conditionalFormatting>
  <conditionalFormatting sqref="F369:N378 F354:N363">
    <cfRule type="expression" dxfId="820" priority="79" stopIfTrue="1">
      <formula>$Y354</formula>
    </cfRule>
  </conditionalFormatting>
  <conditionalFormatting sqref="F369:N378">
    <cfRule type="expression" dxfId="819" priority="41" stopIfTrue="1">
      <formula>AND(CNTR_ExistConnectionEntries,ISBLANK($F354))</formula>
    </cfRule>
  </conditionalFormatting>
  <conditionalFormatting sqref="G3:H3">
    <cfRule type="expression" dxfId="818" priority="37" stopIfTrue="1">
      <formula>$G$443</formula>
    </cfRule>
  </conditionalFormatting>
  <conditionalFormatting sqref="G4:H4">
    <cfRule type="expression" dxfId="817" priority="3" stopIfTrue="1">
      <formula>$G$447</formula>
    </cfRule>
  </conditionalFormatting>
  <conditionalFormatting sqref="H369:N378">
    <cfRule type="expression" dxfId="816" priority="78" stopIfTrue="1">
      <formula>($S354=FALSE)</formula>
    </cfRule>
  </conditionalFormatting>
  <conditionalFormatting sqref="I3:J3">
    <cfRule type="expression" dxfId="815" priority="6" stopIfTrue="1">
      <formula>$G$444</formula>
    </cfRule>
  </conditionalFormatting>
  <conditionalFormatting sqref="I4:J4">
    <cfRule type="expression" dxfId="814" priority="2" stopIfTrue="1">
      <formula>$G$448</formula>
    </cfRule>
  </conditionalFormatting>
  <conditionalFormatting sqref="I383:N392">
    <cfRule type="containsText" dxfId="813" priority="20" stopIfTrue="1" operator="containsText" text="!">
      <formula>NOT(ISERROR(SEARCH("!",I383)))</formula>
    </cfRule>
  </conditionalFormatting>
  <conditionalFormatting sqref="J57 J71 L241 M255">
    <cfRule type="expression" dxfId="812" priority="71" stopIfTrue="1">
      <formula>$Y57</formula>
    </cfRule>
  </conditionalFormatting>
  <conditionalFormatting sqref="J64">
    <cfRule type="expression" dxfId="811" priority="18" stopIfTrue="1">
      <formula>$Y64</formula>
    </cfRule>
  </conditionalFormatting>
  <conditionalFormatting sqref="J75">
    <cfRule type="expression" dxfId="810" priority="49" stopIfTrue="1">
      <formula>$Y75</formula>
    </cfRule>
  </conditionalFormatting>
  <conditionalFormatting sqref="J76">
    <cfRule type="expression" dxfId="809" priority="601" stopIfTrue="1">
      <formula>$Y$76</formula>
    </cfRule>
  </conditionalFormatting>
  <conditionalFormatting sqref="J87">
    <cfRule type="expression" dxfId="808" priority="15" stopIfTrue="1">
      <formula>$Y87</formula>
    </cfRule>
  </conditionalFormatting>
  <conditionalFormatting sqref="J110:J117">
    <cfRule type="expression" dxfId="807" priority="13" stopIfTrue="1">
      <formula>$Y110</formula>
    </cfRule>
  </conditionalFormatting>
  <conditionalFormatting sqref="J136:J138">
    <cfRule type="expression" dxfId="806" priority="12" stopIfTrue="1">
      <formula>$Y136</formula>
    </cfRule>
  </conditionalFormatting>
  <conditionalFormatting sqref="J172:J174">
    <cfRule type="expression" dxfId="805" priority="11" stopIfTrue="1">
      <formula>$Y172</formula>
    </cfRule>
  </conditionalFormatting>
  <conditionalFormatting sqref="J51:N52">
    <cfRule type="expression" dxfId="804" priority="36" stopIfTrue="1">
      <formula>$Y51</formula>
    </cfRule>
  </conditionalFormatting>
  <conditionalFormatting sqref="J53:N53">
    <cfRule type="containsText" dxfId="803" priority="7" stopIfTrue="1" operator="containsText" text="!">
      <formula>NOT(ISERROR(SEARCH("!",J53)))</formula>
    </cfRule>
  </conditionalFormatting>
  <conditionalFormatting sqref="J56:N56">
    <cfRule type="expression" dxfId="802" priority="58" stopIfTrue="1">
      <formula>$Y56</formula>
    </cfRule>
  </conditionalFormatting>
  <conditionalFormatting sqref="J63:N63">
    <cfRule type="expression" dxfId="801" priority="17" stopIfTrue="1">
      <formula>$Y63</formula>
    </cfRule>
  </conditionalFormatting>
  <conditionalFormatting sqref="J70:N70">
    <cfRule type="expression" dxfId="800" priority="57" stopIfTrue="1">
      <formula>$Y70</formula>
    </cfRule>
  </conditionalFormatting>
  <conditionalFormatting sqref="J86:N86">
    <cfRule type="expression" dxfId="799" priority="14" stopIfTrue="1">
      <formula>$Y86</formula>
    </cfRule>
  </conditionalFormatting>
  <conditionalFormatting sqref="J91:N92">
    <cfRule type="expression" dxfId="798" priority="124" stopIfTrue="1">
      <formula>(MSconst_RequirePermitInfo=FALSE)</formula>
    </cfRule>
  </conditionalFormatting>
  <conditionalFormatting sqref="J100:N108">
    <cfRule type="expression" dxfId="797" priority="10" stopIfTrue="1">
      <formula>$Y100</formula>
    </cfRule>
  </conditionalFormatting>
  <conditionalFormatting sqref="J120:N120">
    <cfRule type="expression" dxfId="796" priority="29" stopIfTrue="1">
      <formula>$Y120</formula>
    </cfRule>
  </conditionalFormatting>
  <conditionalFormatting sqref="J131:N134">
    <cfRule type="expression" dxfId="795" priority="9" stopIfTrue="1">
      <formula>$Y131</formula>
    </cfRule>
  </conditionalFormatting>
  <conditionalFormatting sqref="J141:N141">
    <cfRule type="expression" dxfId="794" priority="28" stopIfTrue="1">
      <formula>$Y141</formula>
    </cfRule>
  </conditionalFormatting>
  <conditionalFormatting sqref="J167:N170">
    <cfRule type="expression" dxfId="793" priority="8" stopIfTrue="1">
      <formula>$Y167</formula>
    </cfRule>
  </conditionalFormatting>
  <conditionalFormatting sqref="J177:N177">
    <cfRule type="expression" dxfId="792" priority="27" stopIfTrue="1">
      <formula>$Y177</formula>
    </cfRule>
  </conditionalFormatting>
  <conditionalFormatting sqref="K41">
    <cfRule type="expression" dxfId="791" priority="53" stopIfTrue="1">
      <formula>$Y41</formula>
    </cfRule>
  </conditionalFormatting>
  <conditionalFormatting sqref="K42">
    <cfRule type="expression" dxfId="790" priority="52" stopIfTrue="1">
      <formula>$Y42</formula>
    </cfRule>
  </conditionalFormatting>
  <conditionalFormatting sqref="K3:L3">
    <cfRule type="expression" dxfId="789" priority="5" stopIfTrue="1">
      <formula>$G$445</formula>
    </cfRule>
  </conditionalFormatting>
  <conditionalFormatting sqref="K4:L4">
    <cfRule type="expression" dxfId="788" priority="39" stopIfTrue="1">
      <formula>$G$442</formula>
    </cfRule>
  </conditionalFormatting>
  <conditionalFormatting sqref="L245">
    <cfRule type="expression" dxfId="787" priority="43" stopIfTrue="1">
      <formula>$Y245</formula>
    </cfRule>
  </conditionalFormatting>
  <conditionalFormatting sqref="L240:N240">
    <cfRule type="expression" dxfId="786" priority="46" stopIfTrue="1">
      <formula>$Y240</formula>
    </cfRule>
  </conditionalFormatting>
  <conditionalFormatting sqref="L244:N244">
    <cfRule type="expression" dxfId="785" priority="42" stopIfTrue="1">
      <formula>$Y244</formula>
    </cfRule>
  </conditionalFormatting>
  <conditionalFormatting sqref="M260">
    <cfRule type="expression" dxfId="784" priority="45" stopIfTrue="1">
      <formula>$Y260</formula>
    </cfRule>
  </conditionalFormatting>
  <conditionalFormatting sqref="M268">
    <cfRule type="expression" dxfId="783" priority="44" stopIfTrue="1">
      <formula>$Y268</formula>
    </cfRule>
  </conditionalFormatting>
  <conditionalFormatting sqref="M3:N3">
    <cfRule type="expression" dxfId="782" priority="4" stopIfTrue="1">
      <formula>$G$446</formula>
    </cfRule>
  </conditionalFormatting>
  <conditionalFormatting sqref="M4:N4">
    <cfRule type="expression" dxfId="781" priority="1" stopIfTrue="1">
      <formula>$G$449</formula>
    </cfRule>
  </conditionalFormatting>
  <conditionalFormatting sqref="M254:N254">
    <cfRule type="expression" dxfId="780" priority="25" stopIfTrue="1">
      <formula>$Y254</formula>
    </cfRule>
  </conditionalFormatting>
  <conditionalFormatting sqref="M259:N259">
    <cfRule type="expression" dxfId="779" priority="24" stopIfTrue="1">
      <formula>$Y259</formula>
    </cfRule>
  </conditionalFormatting>
  <conditionalFormatting sqref="M267:N267">
    <cfRule type="expression" dxfId="778" priority="23" stopIfTrue="1">
      <formula>$Y267</formula>
    </cfRule>
  </conditionalFormatting>
  <dataValidations count="15">
    <dataValidation type="list" allowBlank="1" showInputMessage="1" showErrorMessage="1" sqref="M255:N255 M260:N260 M268:N268 J14 J21" xr:uid="{A114AF07-DE7F-4A5E-A160-569910528490}">
      <formula1>Euconst_TrueFalse</formula1>
    </dataValidation>
    <dataValidation type="list" allowBlank="1" showInputMessage="1" showErrorMessage="1" sqref="E278:N278" xr:uid="{C869EBD9-9925-46DC-A904-D71AE4D8C350}">
      <formula1>EUconst_ConfirmationNotEligible</formula1>
    </dataValidation>
    <dataValidation type="list" allowBlank="1" showInputMessage="1" showErrorMessage="1" sqref="E288:N288" xr:uid="{FD91CA6F-F272-468A-8CCA-F9B6E3DE6740}">
      <formula1>EUconst_ConfirmApplicationForAlloc</formula1>
    </dataValidation>
    <dataValidation type="list" allowBlank="1" showInputMessage="1" showErrorMessage="1" sqref="F221:N226" xr:uid="{44A642D2-F312-4401-A505-30002EE5EB4D}">
      <formula1>EUconst_AnnexIActivities</formula1>
    </dataValidation>
    <dataValidation type="list" allowBlank="1" showInputMessage="1" showErrorMessage="1" sqref="J205:N205 J104:N104 J139:N139 J195:N195 J52:N52 J114:N114 J124:N124 J134:N134 J144:N144" xr:uid="{1DB8DAD9-381D-410F-94EF-A96F80E087A0}">
      <formula1>EUconst_MSlist</formula1>
    </dataValidation>
    <dataValidation type="list" allowBlank="1" showInputMessage="1" showErrorMessage="1" sqref="J11" xr:uid="{5C21AEF9-FAAD-4C2F-A61C-A38A5003B9D1}">
      <formula1>EUconst_AllYears</formula1>
    </dataValidation>
    <dataValidation type="whole" allowBlank="1" showErrorMessage="1" error="! EUTL ID as natural number !" sqref="J57:N57" xr:uid="{750F08B8-C2C9-45F3-BBF6-16AA864E76A3}">
      <formula1>0</formula1>
      <formula2>1000000000000000</formula2>
    </dataValidation>
    <dataValidation type="list" allowBlank="1" showInputMessage="1" showErrorMessage="1" sqref="J31" xr:uid="{4B8CC120-7AC2-4E9B-BAD8-09F5B57994DD}">
      <formula1>EUconst_LinkManual</formula1>
    </dataValidation>
    <dataValidation errorStyle="warning" operator="equal" allowBlank="1" showInputMessage="1" sqref="L245:N245" xr:uid="{12DFEF60-B2EB-4074-A89E-4412D2F4B30E}"/>
    <dataValidation errorStyle="warning" operator="equal" allowBlank="1" showInputMessage="1" showErrorMessage="1" sqref="L240:N240 L242 S242 L244:N244" xr:uid="{3020D75D-9995-459F-B3C8-7B052DF8D323}"/>
    <dataValidation type="list" allowBlank="1" showInputMessage="1" showErrorMessage="1" sqref="I354:J363" xr:uid="{3311B8A6-0376-4906-AEAA-220F1BED014A}">
      <formula1>EUconst_ConnectedEntityTypes</formula1>
    </dataValidation>
    <dataValidation type="list" allowBlank="1" showInputMessage="1" showErrorMessage="1" sqref="K354:L363" xr:uid="{1E7414B4-E5BD-4688-8DA7-61422F86DE24}">
      <formula1>EUconst_ConnectionTypes</formula1>
    </dataValidation>
    <dataValidation type="list" allowBlank="1" showInputMessage="1" showErrorMessage="1" sqref="M354:N363" xr:uid="{D80A0E23-5383-4BFA-81AA-5668559A089D}">
      <formula1>EUconst_ConnectionTransferTypes</formula1>
    </dataValidation>
    <dataValidation type="date" allowBlank="1" showInputMessage="1" showErrorMessage="1" error="! Date format not recognised !" sqref="J76" xr:uid="{F2ABC42D-D285-4EB9-9CDD-88FD18CC889B}">
      <formula1>1</formula1>
      <formula2>47848</formula2>
    </dataValidation>
    <dataValidation type="textLength" errorStyle="warning" operator="equal" allowBlank="1" showInputMessage="1" showErrorMessage="1" error="! NACE code should be 4-digit number !" sqref="L241:N241" xr:uid="{3A4D206E-1380-484B-A5BA-CA3F46C92A60}">
      <formula1>4</formula1>
    </dataValidation>
  </dataValidations>
  <hyperlinks>
    <hyperlink ref="E237" r:id="rId1" display="http://ec.europa.eu/eurostat/ramon/nomenclatures/index.cfm?TargetUrl=LST_CLS_DLD&amp;StrNom=NACE_REV2&amp;StrLanguageCode=EN&amp;StrLayoutCode=HIERARCHIC" xr:uid="{BE978D0C-6800-49AB-9C03-040B5EAB6786}"/>
    <hyperlink ref="G2:H2" location="JUMP_TOC_Home" display="Table of contents" xr:uid="{5F85C3AA-C9FE-4971-AB95-0008C5324421}"/>
    <hyperlink ref="M2:N2" location="JUMP_K_I" display="Summary" xr:uid="{DE293B60-2DF1-4359-BDDF-066EAE479C05}"/>
    <hyperlink ref="E3:F3" location="JUMP_A_I" display="JUMP_A_I" xr:uid="{6473B920-6CCC-4A55-9EB2-E756DEEB605C}"/>
    <hyperlink ref="E4:F4" location="JUMP_A_Bottom" display="End of sheet" xr:uid="{2B9AE74B-2A17-4BE3-BA7B-D2D3FBF6D77F}"/>
    <hyperlink ref="I2:J2" location="JUMP_Guidelines_Home" display="Previous sheet" xr:uid="{6094A229-27D2-4AE0-A261-92B7E484B23F}"/>
    <hyperlink ref="M4:N4" location="JUMP_A_V" display="JUMP_A_V" xr:uid="{09A77479-45C3-407F-A937-FB3C55D4CCF1}"/>
    <hyperlink ref="K2:L2" location="JUMP_BY1_Top" display="JUMP_BY1_Top" xr:uid="{2A0A8115-41F0-48CF-8192-3A72B68337AE}"/>
    <hyperlink ref="D407:N407" location="JUMP_BY1_Top" display="JUMP_BY1_Top" xr:uid="{357A6E74-3B39-4F70-BDA5-E53A9B782E84}"/>
    <hyperlink ref="E149" r:id="rId2" display="https://eur-lex.europa.eu/eli/dir/2013/34/oj" xr:uid="{513A3B5E-6584-481A-9E1E-004B6086057F}"/>
    <hyperlink ref="F46:N46" location="JUMP_K_III2" display="Upon entries made below, the attributable emissions are calculated in section K.III.2 of the summary sheet." xr:uid="{A4EA5E37-7D6D-47FE-A760-931D30CC406B}"/>
    <hyperlink ref="F35:M35" location="JUMP_NIMsSummary" display="Further instructions can be found in the &quot;NIMs summary&quot; sheet of this template." xr:uid="{CE8CAAEF-8017-4EB6-AF03-3717307AF005}"/>
    <hyperlink ref="J7:K7" location="JUMP_A_II2" display="Baseline period" xr:uid="{464C7A88-B25A-4099-9567-3A69B442A2FB}"/>
    <hyperlink ref="K4:L4" location="JUMP_A_II1" display="Eligibility" xr:uid="{C6EAA705-183A-47F7-AC38-94D54659BD58}"/>
    <hyperlink ref="F7:G7" location="JUMP_A_II2" display="Baseline period" xr:uid="{C1F8924D-E2FB-4FA6-AC5D-A4F69B9BBF6C}"/>
    <hyperlink ref="I4:J4" location="JUMP_A_I4" display="Further information" xr:uid="{EA3CA498-6A52-4F95-BC62-0209456448DB}"/>
    <hyperlink ref="G4:H4" location="JUMP_A_I3" display="Verifier" xr:uid="{EB24EA19-8BCD-492D-9283-A1287FB5B314}"/>
    <hyperlink ref="M3:N3" location="JUMP_A_I2" display="Contact persons" xr:uid="{22B517DA-8E28-45BB-80E1-6AD373EBCCAA}"/>
    <hyperlink ref="K3:L3" location="JUMP_A_I1" display="Installation ID" xr:uid="{E9EAF676-69BF-456E-A11A-A7158D2F8A67}"/>
    <hyperlink ref="G3:H3" location="JUMP_A_II2" display="Baseline period" xr:uid="{078F5E98-6043-4A0B-B8A0-4F13F4D388A2}"/>
    <hyperlink ref="I3:J3" location="JUMP_A_II" display="NIMs data" xr:uid="{A86C70FE-79EA-414A-AAA6-180134DD1B0F}"/>
  </hyperlinks>
  <pageMargins left="0.78740157480314965" right="0.78740157480314965" top="0.78740157480314965" bottom="0.78740157480314965" header="0.51181102362204722" footer="0.51181102362204722"/>
  <pageSetup paperSize="9" scale="48" fitToHeight="10" orientation="portrait" r:id="rId3"/>
  <headerFooter alignWithMargins="0">
    <oddHeader>&amp;L&amp;F; &amp;A&amp;R&amp;D; &amp;T</oddHeader>
    <oddFooter>&amp;C&amp;P / &amp;N</oddFooter>
  </headerFooter>
  <rowBreaks count="3" manualBreakCount="3">
    <brk id="128" min="2" max="15" man="1"/>
    <brk id="207" min="2" max="15" man="1"/>
    <brk id="299" min="2" max="15" man="1"/>
  </rowBreaks>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80DBD5-3201-4CDB-A91D-5696CA37BE04}">
  <sheetPr codeName="Tabelle5">
    <tabColor rgb="FFCCFFCC"/>
    <pageSetUpPr fitToPage="1"/>
  </sheetPr>
  <dimension ref="A1:AA177"/>
  <sheetViews>
    <sheetView zoomScaleNormal="100" zoomScaleSheetLayoutView="85" workbookViewId="0">
      <pane ySplit="4" topLeftCell="A5" activePane="bottomLeft" state="frozen"/>
      <selection pane="bottomLeft" activeCell="B2" sqref="B2:D4"/>
    </sheetView>
  </sheetViews>
  <sheetFormatPr defaultColWidth="11.453125" defaultRowHeight="12.5" x14ac:dyDescent="0.25"/>
  <cols>
    <col min="1" max="1" width="3.453125" style="521" hidden="1" customWidth="1"/>
    <col min="2" max="2" width="3.453125" style="521" customWidth="1"/>
    <col min="3" max="3" width="6.1796875" style="1521" customWidth="1"/>
    <col min="4" max="4" width="4.54296875" style="521" customWidth="1"/>
    <col min="5" max="5" width="30.7265625" style="521" customWidth="1"/>
    <col min="6" max="8" width="12.54296875" style="521" customWidth="1"/>
    <col min="9" max="13" width="12.7265625" style="521" customWidth="1"/>
    <col min="14" max="14" width="12.54296875" style="521" customWidth="1"/>
    <col min="15" max="15" width="4.54296875" style="521" customWidth="1"/>
    <col min="16" max="16" width="25.54296875" style="521" customWidth="1"/>
    <col min="17" max="27" width="11.453125" style="466" hidden="1" customWidth="1"/>
    <col min="28" max="16384" width="11.453125" style="521"/>
  </cols>
  <sheetData>
    <row r="1" spans="1:27" ht="13" hidden="1" thickBot="1" x14ac:dyDescent="0.3">
      <c r="A1" s="410" t="s">
        <v>346</v>
      </c>
      <c r="B1" s="419"/>
      <c r="C1" s="420"/>
      <c r="D1" s="419"/>
      <c r="E1" s="419"/>
      <c r="F1" s="419"/>
      <c r="G1" s="419"/>
      <c r="H1" s="419"/>
      <c r="I1" s="419"/>
      <c r="J1" s="419"/>
      <c r="K1" s="419"/>
      <c r="L1" s="419"/>
      <c r="M1" s="419"/>
      <c r="N1" s="419"/>
      <c r="O1" s="466"/>
      <c r="P1" s="466"/>
      <c r="Q1" s="466" t="s">
        <v>346</v>
      </c>
      <c r="R1" s="466" t="s">
        <v>346</v>
      </c>
      <c r="S1" s="466" t="s">
        <v>346</v>
      </c>
      <c r="T1" s="466" t="s">
        <v>346</v>
      </c>
      <c r="U1" s="466" t="s">
        <v>346</v>
      </c>
      <c r="V1" s="466" t="s">
        <v>346</v>
      </c>
      <c r="W1" s="466" t="s">
        <v>346</v>
      </c>
      <c r="X1" s="466" t="s">
        <v>346</v>
      </c>
      <c r="Y1" s="466" t="s">
        <v>346</v>
      </c>
      <c r="Z1" s="466" t="s">
        <v>346</v>
      </c>
      <c r="AA1" s="466" t="s">
        <v>346</v>
      </c>
    </row>
    <row r="2" spans="1:27" ht="13.5" customHeight="1" thickBot="1" x14ac:dyDescent="0.35">
      <c r="A2" s="466"/>
      <c r="B2" s="2315" t="str">
        <f>Translations!$B$1404</f>
        <v>B+C. Sub-installations</v>
      </c>
      <c r="C2" s="2316"/>
      <c r="D2" s="2317"/>
      <c r="E2" s="2330" t="str">
        <f>Translations!$B$2</f>
        <v>Navigeringsfält:</v>
      </c>
      <c r="F2" s="2331"/>
      <c r="G2" s="2329" t="str">
        <f>Translations!$B$16</f>
        <v>Innehållsförteckning</v>
      </c>
      <c r="H2" s="1936"/>
      <c r="I2" s="1936" t="str">
        <f>Translations!$B$17</f>
        <v>Föregående blad</v>
      </c>
      <c r="J2" s="1936"/>
      <c r="K2" s="1936" t="str">
        <f>Translations!$B$3</f>
        <v>Nästa blad</v>
      </c>
      <c r="L2" s="1936"/>
      <c r="M2" s="1936" t="str">
        <f>Translations!$B$4</f>
        <v>Sammanfattning</v>
      </c>
      <c r="N2" s="1936"/>
      <c r="O2" s="6"/>
      <c r="P2" s="2280" t="str">
        <f>Translations!$B$1362</f>
        <v>Kolumn för kommentarer 
(till exempel eventuella ändringar)</v>
      </c>
    </row>
    <row r="3" spans="1:27" ht="13.5" customHeight="1" thickBot="1" x14ac:dyDescent="0.3">
      <c r="A3" s="466"/>
      <c r="B3" s="2318"/>
      <c r="C3" s="2319"/>
      <c r="D3" s="2320"/>
      <c r="E3" s="1936" t="str">
        <f>Translations!$B$5</f>
        <v>Högst upp</v>
      </c>
      <c r="F3" s="2324"/>
      <c r="G3" s="2325" t="str">
        <f>Translations!$B$73</f>
        <v>Delanläggningar</v>
      </c>
      <c r="H3" s="2326"/>
      <c r="I3" s="2326" t="str">
        <f>Translations!$B$1405</f>
        <v>Ursprunglig tilldelning enligt nationella genomförandeåtgärder</v>
      </c>
      <c r="J3" s="2326"/>
      <c r="K3" s="2326"/>
      <c r="L3" s="2326"/>
      <c r="M3" s="2326"/>
      <c r="N3" s="2326"/>
      <c r="O3" s="6"/>
      <c r="P3" s="2281"/>
    </row>
    <row r="4" spans="1:27" ht="13.5" thickBot="1" x14ac:dyDescent="0.3">
      <c r="A4" s="466"/>
      <c r="B4" s="2321"/>
      <c r="C4" s="2322"/>
      <c r="D4" s="2323"/>
      <c r="E4" s="1936" t="str">
        <f>Translations!$B$6</f>
        <v>Längst ner</v>
      </c>
      <c r="F4" s="1936"/>
      <c r="G4" s="2327"/>
      <c r="H4" s="2328"/>
      <c r="I4" s="2328"/>
      <c r="J4" s="2328"/>
      <c r="K4" s="2468"/>
      <c r="L4" s="2469"/>
      <c r="M4" s="2328"/>
      <c r="N4" s="2328"/>
      <c r="O4" s="6"/>
      <c r="P4" s="2282"/>
    </row>
    <row r="5" spans="1:27" s="533" customFormat="1" x14ac:dyDescent="0.25">
      <c r="A5" s="2"/>
      <c r="B5" s="3"/>
      <c r="C5" s="4"/>
      <c r="D5" s="3"/>
      <c r="E5" s="3"/>
      <c r="F5" s="5"/>
      <c r="G5" s="5"/>
      <c r="H5" s="5"/>
      <c r="I5" s="3"/>
      <c r="J5" s="3"/>
      <c r="K5" s="3"/>
      <c r="L5" s="3"/>
      <c r="M5" s="6"/>
      <c r="N5" s="6"/>
      <c r="O5" s="6"/>
      <c r="P5" s="15"/>
      <c r="Q5" s="7"/>
      <c r="R5" s="7"/>
      <c r="S5" s="7"/>
      <c r="T5" s="7"/>
      <c r="U5" s="7"/>
      <c r="V5" s="7"/>
      <c r="W5" s="7"/>
      <c r="X5" s="7"/>
      <c r="Y5" s="7"/>
      <c r="Z5" s="349"/>
      <c r="AA5" s="349"/>
    </row>
    <row r="6" spans="1:27" s="533" customFormat="1" ht="23.25" customHeight="1" x14ac:dyDescent="0.25">
      <c r="A6" s="2"/>
      <c r="B6" s="3"/>
      <c r="C6" s="8" t="s">
        <v>1717</v>
      </c>
      <c r="D6" s="2004" t="str">
        <f>Translations!$B$1406</f>
        <v>Bladet ”Sub-installations” – IDENTIFIERING AV DELANLÄGGNINGAR OCH URSPRUNGLIG TILLDELNING</v>
      </c>
      <c r="E6" s="1963"/>
      <c r="F6" s="1963"/>
      <c r="G6" s="1963"/>
      <c r="H6" s="1963"/>
      <c r="I6" s="1963"/>
      <c r="J6" s="1963"/>
      <c r="K6" s="1963"/>
      <c r="L6" s="1963"/>
      <c r="M6" s="1963"/>
      <c r="N6" s="1963"/>
      <c r="O6" s="6"/>
      <c r="P6" s="15"/>
      <c r="Q6" s="9" t="s">
        <v>254</v>
      </c>
      <c r="R6" s="9" t="s">
        <v>254</v>
      </c>
      <c r="S6" s="9" t="s">
        <v>254</v>
      </c>
      <c r="T6" s="9" t="s">
        <v>254</v>
      </c>
      <c r="U6" s="9" t="s">
        <v>254</v>
      </c>
      <c r="V6" s="9" t="s">
        <v>254</v>
      </c>
      <c r="W6" s="9" t="s">
        <v>254</v>
      </c>
      <c r="X6" s="9" t="s">
        <v>254</v>
      </c>
      <c r="Y6" s="9" t="s">
        <v>254</v>
      </c>
      <c r="Z6" s="9" t="s">
        <v>254</v>
      </c>
      <c r="AA6" s="9" t="s">
        <v>254</v>
      </c>
    </row>
    <row r="7" spans="1:27" s="533" customFormat="1" ht="13" customHeight="1" x14ac:dyDescent="0.25">
      <c r="A7" s="2"/>
      <c r="B7" s="19"/>
      <c r="C7" s="115"/>
      <c r="D7" s="115"/>
      <c r="E7" s="115"/>
      <c r="F7" s="115"/>
      <c r="G7" s="115"/>
      <c r="H7" s="115"/>
      <c r="I7" s="115"/>
      <c r="J7" s="115"/>
      <c r="K7" s="115"/>
      <c r="L7" s="115"/>
      <c r="M7" s="115"/>
      <c r="N7" s="115"/>
      <c r="O7" s="19"/>
      <c r="P7" s="15"/>
      <c r="Q7" s="10" t="s">
        <v>785</v>
      </c>
      <c r="R7" s="10" t="s">
        <v>785</v>
      </c>
      <c r="S7" s="10" t="s">
        <v>785</v>
      </c>
      <c r="T7" s="10" t="s">
        <v>785</v>
      </c>
      <c r="U7" s="10" t="s">
        <v>785</v>
      </c>
      <c r="V7" s="10" t="s">
        <v>785</v>
      </c>
      <c r="W7" s="10" t="s">
        <v>785</v>
      </c>
      <c r="X7" s="10" t="s">
        <v>785</v>
      </c>
      <c r="Y7" s="10" t="s">
        <v>785</v>
      </c>
      <c r="Z7" s="10" t="s">
        <v>785</v>
      </c>
      <c r="AA7" s="10" t="s">
        <v>785</v>
      </c>
    </row>
    <row r="8" spans="1:27" s="533" customFormat="1" ht="15.5" x14ac:dyDescent="0.35">
      <c r="A8" s="2"/>
      <c r="B8" s="3"/>
      <c r="C8" s="11" t="s">
        <v>1108</v>
      </c>
      <c r="D8" s="1975" t="str">
        <f>Translations!$B$164</f>
        <v>Förteckning över delanläggningar</v>
      </c>
      <c r="E8" s="1975"/>
      <c r="F8" s="1975"/>
      <c r="G8" s="1975"/>
      <c r="H8" s="1975"/>
      <c r="I8" s="1975"/>
      <c r="J8" s="1975"/>
      <c r="K8" s="1975"/>
      <c r="L8" s="1975"/>
      <c r="M8" s="1975"/>
      <c r="N8" s="1975"/>
      <c r="O8" s="6"/>
      <c r="P8" s="15"/>
      <c r="Q8" s="410"/>
      <c r="R8" s="349"/>
      <c r="S8" s="349"/>
      <c r="T8" s="349"/>
      <c r="U8" s="349"/>
      <c r="V8" s="349"/>
      <c r="W8" s="349"/>
      <c r="X8" s="349"/>
      <c r="Y8" s="349"/>
      <c r="Z8" s="349"/>
      <c r="AA8" s="349"/>
    </row>
    <row r="9" spans="1:27" s="533" customFormat="1" ht="5.15" customHeight="1" x14ac:dyDescent="0.25">
      <c r="A9" s="2"/>
      <c r="B9" s="3"/>
      <c r="C9" s="3"/>
      <c r="D9" s="3"/>
      <c r="E9" s="3"/>
      <c r="F9" s="3"/>
      <c r="G9" s="3"/>
      <c r="H9" s="3"/>
      <c r="I9" s="3"/>
      <c r="J9" s="3"/>
      <c r="K9" s="3"/>
      <c r="L9" s="3"/>
      <c r="M9" s="6"/>
      <c r="N9" s="6"/>
      <c r="O9" s="6"/>
      <c r="P9" s="15"/>
      <c r="Q9" s="410"/>
      <c r="R9" s="349"/>
      <c r="S9" s="349"/>
      <c r="T9" s="349"/>
      <c r="U9" s="349"/>
      <c r="V9" s="349"/>
      <c r="W9" s="349"/>
      <c r="X9" s="349"/>
      <c r="Y9" s="349"/>
      <c r="Z9" s="349"/>
      <c r="AA9" s="349"/>
    </row>
    <row r="10" spans="1:27" s="533" customFormat="1" ht="14" x14ac:dyDescent="0.3">
      <c r="A10" s="2"/>
      <c r="B10" s="19"/>
      <c r="C10" s="17">
        <v>1</v>
      </c>
      <c r="D10" s="2053" t="str">
        <f>Translations!$B$165</f>
        <v>Delanläggningar med produktriktmärke</v>
      </c>
      <c r="E10" s="1963"/>
      <c r="F10" s="1963"/>
      <c r="G10" s="1963"/>
      <c r="H10" s="1963"/>
      <c r="I10" s="1963"/>
      <c r="J10" s="1963"/>
      <c r="K10" s="1963"/>
      <c r="L10" s="1963"/>
      <c r="M10" s="1963"/>
      <c r="N10" s="1963"/>
      <c r="O10" s="6"/>
      <c r="P10" s="15"/>
      <c r="Q10" s="349"/>
      <c r="R10" s="349"/>
      <c r="S10" s="349"/>
      <c r="T10" s="349"/>
      <c r="U10" s="349"/>
      <c r="V10" s="349"/>
      <c r="W10" s="349"/>
      <c r="X10" s="349"/>
      <c r="Y10" s="349"/>
      <c r="Z10" s="349"/>
      <c r="AA10" s="349"/>
    </row>
    <row r="11" spans="1:27" s="533" customFormat="1" ht="5.15" customHeight="1" x14ac:dyDescent="0.25">
      <c r="A11" s="2"/>
      <c r="B11" s="3"/>
      <c r="C11" s="3"/>
      <c r="D11" s="3"/>
      <c r="E11" s="3"/>
      <c r="F11" s="3"/>
      <c r="G11" s="3"/>
      <c r="H11" s="3"/>
      <c r="I11" s="3"/>
      <c r="J11" s="3"/>
      <c r="K11" s="3"/>
      <c r="L11" s="3"/>
      <c r="M11" s="6"/>
      <c r="N11" s="6"/>
      <c r="O11" s="6"/>
      <c r="P11" s="15"/>
      <c r="Q11" s="410"/>
      <c r="R11" s="349"/>
      <c r="S11" s="349"/>
      <c r="T11" s="349"/>
      <c r="U11" s="349"/>
      <c r="V11" s="349"/>
      <c r="W11" s="349"/>
      <c r="X11" s="349"/>
      <c r="Y11" s="349"/>
      <c r="Z11" s="349"/>
      <c r="AA11" s="349"/>
    </row>
    <row r="12" spans="1:27" s="533" customFormat="1" ht="13" x14ac:dyDescent="0.25">
      <c r="A12" s="2"/>
      <c r="B12" s="19"/>
      <c r="C12" s="19"/>
      <c r="D12" s="183"/>
      <c r="E12" s="1943" t="str">
        <f>Translations!$B$166</f>
        <v>Var god välj de delanläggningar med produktriktmärke som är relevanta för er anläggning, i förekommande fall:</v>
      </c>
      <c r="F12" s="1963"/>
      <c r="G12" s="1963"/>
      <c r="H12" s="1963"/>
      <c r="I12" s="1963"/>
      <c r="J12" s="1963"/>
      <c r="K12" s="1963"/>
      <c r="L12" s="1963"/>
      <c r="M12" s="1963"/>
      <c r="N12" s="1963"/>
      <c r="O12" s="6"/>
      <c r="P12" s="15"/>
      <c r="Q12" s="349"/>
      <c r="R12" s="349"/>
      <c r="S12" s="349"/>
      <c r="T12" s="349"/>
      <c r="U12" s="349"/>
      <c r="V12" s="349"/>
      <c r="W12" s="349"/>
      <c r="X12" s="349"/>
      <c r="Y12" s="349"/>
      <c r="Z12" s="349"/>
      <c r="AA12" s="349"/>
    </row>
    <row r="13" spans="1:27" s="533" customFormat="1" ht="12.75" customHeight="1" x14ac:dyDescent="0.25">
      <c r="A13" s="2"/>
      <c r="B13" s="19"/>
      <c r="C13" s="19"/>
      <c r="D13" s="15"/>
      <c r="E13" s="2438" t="str">
        <f>Translations!$B$167</f>
        <v>Endast en delanläggning kan väljas per produkttyp. Liknande produkter som omfattas av samma produktriktmärke i bilaga I till FAR aggregeras.</v>
      </c>
      <c r="F13" s="2438"/>
      <c r="G13" s="2438"/>
      <c r="H13" s="2438"/>
      <c r="I13" s="2438"/>
      <c r="J13" s="2438"/>
      <c r="K13" s="2438"/>
      <c r="L13" s="2438"/>
      <c r="M13" s="2438"/>
      <c r="N13" s="2438"/>
      <c r="O13" s="6"/>
      <c r="P13" s="15"/>
      <c r="Q13" s="349"/>
      <c r="R13" s="349"/>
      <c r="S13" s="349"/>
      <c r="T13" s="349"/>
      <c r="U13" s="349"/>
      <c r="V13" s="349"/>
      <c r="W13" s="349"/>
      <c r="X13" s="349"/>
      <c r="Y13" s="349"/>
      <c r="Z13" s="349"/>
      <c r="AA13" s="349"/>
    </row>
    <row r="14" spans="1:27" s="533" customFormat="1" ht="25.5" customHeight="1" x14ac:dyDescent="0.25">
      <c r="A14" s="2"/>
      <c r="B14" s="19"/>
      <c r="C14" s="19"/>
      <c r="D14" s="183"/>
      <c r="E14" s="1545" t="str">
        <f>Translations!$B$1407</f>
        <v>Delanläggningar (kolumn E)</v>
      </c>
      <c r="F14" s="1683" t="str">
        <f>Translations!$B$1408</f>
        <v>Befintlig anläggning</v>
      </c>
      <c r="G14" s="2096" t="str">
        <f>Translations!$B$1409</f>
        <v>Om du har valt att hämta in information avseende nationella genomförandeåtgärder via länken till referensdatarapporten i avsnitt A.II kommer alla relevanta delanläggningar med produktriktmärke att visas automatiskt. Annars är den här kolumnen gråmarkerad.</v>
      </c>
      <c r="H14" s="2096"/>
      <c r="I14" s="2096"/>
      <c r="J14" s="2096"/>
      <c r="K14" s="2096"/>
      <c r="L14" s="2096"/>
      <c r="M14" s="2096"/>
      <c r="N14" s="2096"/>
      <c r="O14" s="6"/>
      <c r="P14" s="15"/>
      <c r="Q14" s="349"/>
      <c r="R14" s="349"/>
      <c r="S14" s="349"/>
      <c r="T14" s="349"/>
      <c r="U14" s="349"/>
      <c r="V14" s="349"/>
      <c r="W14" s="349"/>
      <c r="X14" s="349"/>
      <c r="Y14" s="349"/>
      <c r="Z14" s="349"/>
      <c r="AA14" s="349"/>
    </row>
    <row r="15" spans="1:27" s="533" customFormat="1" ht="12.75" customHeight="1" x14ac:dyDescent="0.25">
      <c r="A15" s="2"/>
      <c r="B15" s="19"/>
      <c r="C15" s="19"/>
      <c r="D15" s="183"/>
      <c r="E15" s="1682"/>
      <c r="F15" s="1683" t="str">
        <f>Translations!$B$1410</f>
        <v>Nya deltagare</v>
      </c>
      <c r="G15" s="2096" t="str">
        <f>Translations!$B$1411</f>
        <v>Den här kolumnen är inte relevant för nya deltagare.</v>
      </c>
      <c r="H15" s="2096"/>
      <c r="I15" s="2096"/>
      <c r="J15" s="2096"/>
      <c r="K15" s="2096"/>
      <c r="L15" s="2096"/>
      <c r="M15" s="2096"/>
      <c r="N15" s="2096"/>
      <c r="O15" s="6"/>
      <c r="P15" s="15"/>
      <c r="Q15" s="349"/>
      <c r="R15" s="349"/>
      <c r="S15" s="349"/>
      <c r="T15" s="349"/>
      <c r="U15" s="349"/>
      <c r="V15" s="349"/>
      <c r="W15" s="349"/>
      <c r="X15" s="349"/>
      <c r="Y15" s="349"/>
      <c r="Z15" s="349"/>
      <c r="AA15" s="349"/>
    </row>
    <row r="16" spans="1:27" s="533" customFormat="1" ht="25.5" customHeight="1" x14ac:dyDescent="0.25">
      <c r="A16" s="2"/>
      <c r="B16" s="19"/>
      <c r="C16" s="19"/>
      <c r="D16" s="183"/>
      <c r="E16" s="1545" t="str">
        <f>Translations!$B$1412</f>
        <v>Delanläggningar (kolumn G)</v>
      </c>
      <c r="F16" s="1683" t="str">
        <f>Translations!$B$1408</f>
        <v>Befintlig anläggning</v>
      </c>
      <c r="G16" s="2096" t="str">
        <f>Translations!$B$1413</f>
        <v>Uppgifterna här är endast relevanta om du har valt antingen ”manuell inmatning” i avsnitt A.II eller har nya delanläggningar som startats efter den 30 juni 2019 (dvs. som inte har tagits med i ansökan för de nationella genomförandeåtgärderna).</v>
      </c>
      <c r="H16" s="2096"/>
      <c r="I16" s="2096"/>
      <c r="J16" s="2096"/>
      <c r="K16" s="2096"/>
      <c r="L16" s="2096"/>
      <c r="M16" s="2096"/>
      <c r="N16" s="2096"/>
      <c r="O16" s="6"/>
      <c r="P16" s="15"/>
      <c r="Q16" s="349"/>
      <c r="R16" s="349"/>
      <c r="S16" s="349"/>
      <c r="T16" s="349"/>
      <c r="U16" s="349"/>
      <c r="V16" s="349"/>
      <c r="W16" s="349"/>
      <c r="X16" s="349"/>
      <c r="Y16" s="349"/>
      <c r="Z16" s="349"/>
      <c r="AA16" s="349"/>
    </row>
    <row r="17" spans="1:27" s="533" customFormat="1" ht="12.75" customHeight="1" x14ac:dyDescent="0.25">
      <c r="A17" s="2"/>
      <c r="B17" s="19"/>
      <c r="C17" s="19"/>
      <c r="D17" s="183"/>
      <c r="E17" s="1682"/>
      <c r="F17" s="1683" t="str">
        <f>Translations!$B$1410</f>
        <v>Nya deltagare</v>
      </c>
      <c r="G17" s="2096" t="str">
        <f>Translations!$B$1414</f>
        <v>Välj alla relevanta delanläggningar vars verksamhet redan har startat.</v>
      </c>
      <c r="H17" s="2096"/>
      <c r="I17" s="2096"/>
      <c r="J17" s="2096"/>
      <c r="K17" s="2096"/>
      <c r="L17" s="2096"/>
      <c r="M17" s="2096"/>
      <c r="N17" s="2096"/>
      <c r="O17" s="6"/>
      <c r="P17" s="15"/>
      <c r="Q17" s="349"/>
      <c r="R17" s="349"/>
      <c r="S17" s="349"/>
      <c r="T17" s="349"/>
      <c r="U17" s="349"/>
      <c r="V17" s="349"/>
      <c r="W17" s="349"/>
      <c r="X17" s="349"/>
      <c r="Y17" s="349"/>
      <c r="Z17" s="349"/>
      <c r="AA17" s="349"/>
    </row>
    <row r="18" spans="1:27" s="533" customFormat="1" ht="25.5" customHeight="1" x14ac:dyDescent="0.25">
      <c r="A18" s="2"/>
      <c r="B18" s="19"/>
      <c r="C18" s="19"/>
      <c r="D18" s="183"/>
      <c r="E18" s="1545" t="str">
        <f>Translations!$B$171</f>
        <v>Start av drift</v>
      </c>
      <c r="F18" s="1683" t="str">
        <f>Translations!$B$1408</f>
        <v>Befintlig anläggning</v>
      </c>
      <c r="G18" s="2096" t="str">
        <f>Translations!$B$1415</f>
        <v>Detta är den första dagen då delanläggningen hade en verksamhetsnivå över noll. Detta datum påverkar endast tilldelningen om det infaller efter den 1 januari 2018. Uppgifterna här är alltså endast obligatoriska om delanläggningens verksamhet startade efter detta datum.</v>
      </c>
      <c r="H18" s="2096"/>
      <c r="I18" s="2096"/>
      <c r="J18" s="2096"/>
      <c r="K18" s="2096"/>
      <c r="L18" s="2096"/>
      <c r="M18" s="2096"/>
      <c r="N18" s="2096"/>
      <c r="O18" s="6"/>
      <c r="P18" s="15"/>
      <c r="Q18" s="349"/>
      <c r="R18" s="349"/>
      <c r="S18" s="349"/>
      <c r="T18" s="349"/>
      <c r="U18" s="349"/>
      <c r="V18" s="349"/>
      <c r="W18" s="349"/>
      <c r="X18" s="349"/>
      <c r="Y18" s="349"/>
      <c r="Z18" s="349"/>
      <c r="AA18" s="349"/>
    </row>
    <row r="19" spans="1:27" s="533" customFormat="1" ht="13" x14ac:dyDescent="0.25">
      <c r="A19" s="2"/>
      <c r="B19" s="19"/>
      <c r="C19" s="19"/>
      <c r="D19" s="183"/>
      <c r="E19" s="1682"/>
      <c r="F19" s="1683" t="str">
        <f>Translations!$B$1410</f>
        <v>Nya deltagare</v>
      </c>
      <c r="G19" s="2096" t="str">
        <f>Translations!$B$1416</f>
        <v xml:space="preserve">Detta är den första dagen då delanläggningen hade en verksamhetsnivå över noll. </v>
      </c>
      <c r="H19" s="2096"/>
      <c r="I19" s="2096"/>
      <c r="J19" s="2096"/>
      <c r="K19" s="2096"/>
      <c r="L19" s="2096"/>
      <c r="M19" s="2096"/>
      <c r="N19" s="2096"/>
      <c r="O19" s="6"/>
      <c r="P19" s="15"/>
      <c r="Q19" s="349"/>
      <c r="R19" s="349"/>
      <c r="S19" s="349"/>
      <c r="T19" s="349"/>
      <c r="U19" s="349"/>
      <c r="V19" s="349"/>
      <c r="W19" s="349"/>
      <c r="X19" s="349"/>
      <c r="Y19" s="349"/>
      <c r="Z19" s="349"/>
      <c r="AA19" s="349"/>
    </row>
    <row r="20" spans="1:27" s="533" customFormat="1" ht="13" x14ac:dyDescent="0.25">
      <c r="A20" s="2"/>
      <c r="B20" s="19"/>
      <c r="C20" s="19"/>
      <c r="D20" s="183"/>
      <c r="E20" s="1682" t="str">
        <f>Translations!$B$1417</f>
        <v>Datum för upphörande</v>
      </c>
      <c r="F20" s="2438" t="str">
        <f>Translations!$B$1418</f>
        <v>Om delanläggningens verksamhet har upphört är detta det sista datumet då delanläggningens verksamhetsnivå var över noll.</v>
      </c>
      <c r="G20" s="2438"/>
      <c r="H20" s="2438"/>
      <c r="I20" s="2438"/>
      <c r="J20" s="2438"/>
      <c r="K20" s="2438"/>
      <c r="L20" s="2438"/>
      <c r="M20" s="2438"/>
      <c r="N20" s="2438"/>
      <c r="O20" s="6"/>
      <c r="P20" s="15"/>
      <c r="Q20" s="349"/>
      <c r="R20" s="349"/>
      <c r="S20" s="349"/>
      <c r="T20" s="349"/>
      <c r="U20" s="349"/>
      <c r="V20" s="349"/>
      <c r="W20" s="349"/>
      <c r="X20" s="349"/>
      <c r="Y20" s="349"/>
      <c r="Z20" s="349"/>
      <c r="AA20" s="349"/>
    </row>
    <row r="21" spans="1:27" s="533" customFormat="1" ht="13" x14ac:dyDescent="0.25">
      <c r="A21" s="2"/>
      <c r="B21" s="19"/>
      <c r="C21" s="19"/>
      <c r="D21" s="183"/>
      <c r="E21" s="1682" t="str">
        <f>Translations!$B$1419</f>
        <v>Orsak till upphörande</v>
      </c>
      <c r="F21" s="2438" t="str">
        <f>Translations!$B$1420</f>
        <v>Välj orsak till upphörande om detta är relevant.</v>
      </c>
      <c r="G21" s="2438"/>
      <c r="H21" s="2438"/>
      <c r="I21" s="2438"/>
      <c r="J21" s="2438"/>
      <c r="K21" s="2438"/>
      <c r="L21" s="2438"/>
      <c r="M21" s="2438"/>
      <c r="N21" s="2438"/>
      <c r="O21" s="6"/>
      <c r="P21" s="15"/>
      <c r="Q21" s="349"/>
      <c r="R21" s="349"/>
      <c r="S21" s="349"/>
      <c r="T21" s="349"/>
      <c r="U21" s="349"/>
      <c r="V21" s="349"/>
      <c r="W21" s="349"/>
      <c r="X21" s="349"/>
      <c r="Y21" s="349"/>
      <c r="Z21" s="349"/>
      <c r="AA21" s="349"/>
    </row>
    <row r="22" spans="1:27" s="533" customFormat="1" ht="13" x14ac:dyDescent="0.25">
      <c r="A22" s="2"/>
      <c r="B22" s="19"/>
      <c r="C22" s="19"/>
      <c r="D22" s="183"/>
      <c r="E22" s="1682" t="str">
        <f>Translations!$B$1421</f>
        <v>Status för koldioxidläckage</v>
      </c>
      <c r="F22" s="2438" t="str">
        <f>Translations!$B$1422</f>
        <v>Statusen när det gäller exponeringen för avsevärd risk för koldioxidläckage (”KL”) baseras på kommissionens delegerade beslut (EU) 2019/708.</v>
      </c>
      <c r="G22" s="2438"/>
      <c r="H22" s="2438"/>
      <c r="I22" s="2438"/>
      <c r="J22" s="2438"/>
      <c r="K22" s="2438"/>
      <c r="L22" s="2438"/>
      <c r="M22" s="2438"/>
      <c r="N22" s="2438"/>
      <c r="O22" s="6"/>
      <c r="P22" s="15"/>
      <c r="Q22" s="349"/>
      <c r="R22" s="349"/>
      <c r="S22" s="349"/>
      <c r="T22" s="349"/>
      <c r="U22" s="349"/>
      <c r="V22" s="349"/>
      <c r="W22" s="349"/>
      <c r="X22" s="349"/>
      <c r="Y22" s="349"/>
      <c r="Z22" s="349"/>
      <c r="AA22" s="349"/>
    </row>
    <row r="23" spans="1:27" s="984" customFormat="1" ht="20.149999999999999" customHeight="1" x14ac:dyDescent="0.25">
      <c r="A23" s="980"/>
      <c r="B23" s="981"/>
      <c r="C23" s="981"/>
      <c r="D23" s="982"/>
      <c r="E23" s="2442" t="str">
        <f>Translations!$B$168</f>
        <v>Var god notera att posterna måste fyllas i korrekt med tanke på alla inmatningar som senare görs om delanläggningar.</v>
      </c>
      <c r="F23" s="2442"/>
      <c r="G23" s="2442"/>
      <c r="H23" s="2442"/>
      <c r="I23" s="2442"/>
      <c r="J23" s="2442"/>
      <c r="K23" s="2442"/>
      <c r="L23" s="2442"/>
      <c r="M23" s="2442"/>
      <c r="N23" s="2442"/>
      <c r="O23" s="982"/>
      <c r="P23" s="982"/>
      <c r="Q23" s="983"/>
      <c r="R23" s="983"/>
      <c r="S23" s="983"/>
      <c r="T23" s="983"/>
      <c r="U23" s="983"/>
      <c r="V23" s="983"/>
      <c r="W23" s="983"/>
      <c r="X23" s="1681"/>
      <c r="Y23" s="983"/>
      <c r="Z23" s="983"/>
      <c r="AA23" s="983"/>
    </row>
    <row r="24" spans="1:27" s="533" customFormat="1" ht="5.15" customHeight="1" thickBot="1" x14ac:dyDescent="0.3">
      <c r="A24" s="2"/>
      <c r="B24" s="3"/>
      <c r="C24" s="3"/>
      <c r="D24" s="3"/>
      <c r="E24" s="3"/>
      <c r="F24" s="3"/>
      <c r="G24" s="3"/>
      <c r="H24" s="3"/>
      <c r="I24" s="3"/>
      <c r="J24" s="3"/>
      <c r="K24" s="3"/>
      <c r="L24" s="3"/>
      <c r="M24" s="6"/>
      <c r="N24" s="6"/>
      <c r="O24" s="6"/>
      <c r="P24" s="15"/>
      <c r="Q24" s="410"/>
      <c r="R24" s="349"/>
      <c r="S24" s="349"/>
      <c r="T24" s="349"/>
      <c r="U24" s="349"/>
      <c r="V24" s="349"/>
      <c r="W24" s="349"/>
      <c r="X24" s="349"/>
      <c r="Y24" s="349"/>
      <c r="Z24" s="349"/>
      <c r="AA24" s="349"/>
    </row>
    <row r="25" spans="1:27" s="533" customFormat="1" ht="38.9" customHeight="1" thickBot="1" x14ac:dyDescent="0.35">
      <c r="A25" s="2"/>
      <c r="B25" s="19"/>
      <c r="C25" s="19"/>
      <c r="D25" s="313" t="str">
        <f>Translations!$B$169</f>
        <v>Nr</v>
      </c>
      <c r="E25" s="2417" t="str">
        <f>Translations!$B$1423</f>
        <v>Delanläggning (länk)</v>
      </c>
      <c r="F25" s="2418"/>
      <c r="G25" s="2417" t="str">
        <f>Translations!$B$1424</f>
        <v>Delanläggning (manuell)</v>
      </c>
      <c r="H25" s="2443"/>
      <c r="I25" s="1503" t="str">
        <f>Translations!$B$171</f>
        <v>Start av drift</v>
      </c>
      <c r="J25" s="1504" t="str">
        <f>Translations!$B$1425</f>
        <v>Datum för upphörande, om relevant</v>
      </c>
      <c r="K25" s="1505" t="str">
        <f>Translations!$B$1419</f>
        <v>Orsak till upphörande</v>
      </c>
      <c r="L25" s="1513" t="str">
        <f>Translations!$B$172</f>
        <v>KL-exponerad?</v>
      </c>
      <c r="M25" s="19"/>
      <c r="N25" s="113"/>
      <c r="O25" s="6"/>
      <c r="P25" s="15"/>
      <c r="Q25" s="637" t="s">
        <v>902</v>
      </c>
      <c r="R25" s="637" t="s">
        <v>321</v>
      </c>
      <c r="S25" s="637" t="s">
        <v>963</v>
      </c>
      <c r="T25" s="637" t="s">
        <v>992</v>
      </c>
      <c r="U25" s="1546" t="s">
        <v>2036</v>
      </c>
      <c r="V25" s="1656" t="s">
        <v>2157</v>
      </c>
      <c r="W25" s="603" t="s">
        <v>2043</v>
      </c>
      <c r="X25" s="603" t="s">
        <v>2039</v>
      </c>
      <c r="Y25" s="603" t="s">
        <v>2040</v>
      </c>
      <c r="Z25" s="603" t="s">
        <v>2041</v>
      </c>
      <c r="AA25" s="603" t="s">
        <v>2042</v>
      </c>
    </row>
    <row r="26" spans="1:27" s="533" customFormat="1" ht="12.75" customHeight="1" x14ac:dyDescent="0.25">
      <c r="A26" s="2"/>
      <c r="B26" s="19"/>
      <c r="C26" s="19"/>
      <c r="D26" s="288">
        <v>1</v>
      </c>
      <c r="E26" s="2422" t="str">
        <f>IFERROR(IF(CTRL_InputMethodNIMsvalues=1,INDEX(EUconst_BMlistNames,MATCH(INDEX(c_NIMsSummary!$K$479:$K$1023,MATCH(D26,c_NIMsSummary!$C$479:$C$1020,0)+3),EUconst_BMlistNumberOfBM,0)),""),"")</f>
        <v/>
      </c>
      <c r="F26" s="2423"/>
      <c r="G26" s="2430"/>
      <c r="H26" s="2431"/>
      <c r="I26" s="1500"/>
      <c r="J26" s="1501"/>
      <c r="K26" s="1502"/>
      <c r="L26" s="1512" t="str">
        <f t="shared" ref="L26:L35" si="0">IF(Q26=EUconst_NA,EUconst_NA,INDEX(EUconst_BMlistCLstatus,Q26))</f>
        <v>Ej tillämpligt</v>
      </c>
      <c r="M26" s="2473" t="str">
        <f t="shared" ref="M26:M35" si="1">IF(U26="","",IF(COUNTIF(CNTR_AnnexIActivities,INDEX(EUconst_BMlistNumberOfActivity,Q26))=0,EUconst_ERR_ActivityMissing,""))</f>
        <v/>
      </c>
      <c r="N26" s="2474"/>
      <c r="O26" s="6"/>
      <c r="P26" s="1552"/>
      <c r="Q26" s="493" t="str">
        <f t="shared" ref="Q26:Q35" si="2">IF(AND($E26="",$G26=""),EUconst_NA,MATCH(IF($G26="",$E26,$G26),EUconst_BMlistNames,0))</f>
        <v>Ej tillämpligt</v>
      </c>
      <c r="R26" s="493" t="str">
        <f>IF(ISNUMBER(Q26),COUNT(Q$26:Q26),"")</f>
        <v/>
      </c>
      <c r="S26" s="494" t="str">
        <f t="shared" ref="S26:S35" si="3">IF(Q26=EUconst_NA,EUconst_Tons,INDEX(EUconst_BMlistUnits,Q26))</f>
        <v>ton</v>
      </c>
      <c r="T26" s="493" t="str">
        <f>IF(U26="","",COUNTIF($U$26:$U$35,U26))</f>
        <v/>
      </c>
      <c r="U26" s="1547" t="str">
        <f>IF(G26="",IF(E26="","",E26),G26)</f>
        <v/>
      </c>
      <c r="V26" s="349"/>
      <c r="W26" s="1655">
        <f>IF(OR(CTRL_InputMethodNIMsvalues=2,CNTR_Incumbent=FALSE),0,2)</f>
        <v>2</v>
      </c>
      <c r="X26" s="1655">
        <f t="shared" ref="X26:X35" si="4">IF(AND(CNTR_Incumbent,CTRL_InputMethodNIMsvalues&lt;&gt;2,E26&lt;&gt;""),0,IF(AND(CNTR_Incumbent,CTRL_InputMethodNIMsvalues=1,E26=""),1,2))</f>
        <v>2</v>
      </c>
      <c r="Y26" s="1655">
        <f t="shared" ref="Y26:Y35" si="5">IF(CNTR_HasEntries_A_I,IF(AND(G26="",U26=""),0,IF(AND(CNTR_Incumbent,G26=""),1,2)),2)</f>
        <v>2</v>
      </c>
      <c r="Z26" s="1655">
        <f t="shared" ref="Z26:Z35" si="6">IF(CNTR_HasEntries_A_I,IF(AND(CNTR_Cessation,U26&lt;&gt;""),2,0),2)</f>
        <v>2</v>
      </c>
      <c r="AA26" s="546">
        <f t="shared" ref="AA26:AA35" si="7">Z26</f>
        <v>2</v>
      </c>
    </row>
    <row r="27" spans="1:27" s="533" customFormat="1" ht="12.75" customHeight="1" x14ac:dyDescent="0.25">
      <c r="A27" s="2"/>
      <c r="B27" s="19"/>
      <c r="C27" s="19"/>
      <c r="D27" s="287">
        <f t="shared" ref="D27:D35" si="8">D26+1</f>
        <v>2</v>
      </c>
      <c r="E27" s="2424" t="str">
        <f>IFERROR(IF(CTRL_InputMethodNIMsvalues=1,INDEX(EUconst_BMlistNames,MATCH(INDEX(c_NIMsSummary!$K$479:$K$1023,MATCH(D27,c_NIMsSummary!$C$479:$C$1020,0)+3),EUconst_BMlistNumberOfBM,0)),""),"")</f>
        <v/>
      </c>
      <c r="F27" s="2425"/>
      <c r="G27" s="2420"/>
      <c r="H27" s="2421"/>
      <c r="I27" s="1494"/>
      <c r="J27" s="1496"/>
      <c r="K27" s="1498"/>
      <c r="L27" s="1510" t="str">
        <f>IF(Q27=EUconst_NA,EUconst_NA,INDEX(EUconst_BMlistCLstatus,Q27))</f>
        <v>Ej tillämpligt</v>
      </c>
      <c r="M27" s="2428" t="str">
        <f t="shared" si="1"/>
        <v/>
      </c>
      <c r="N27" s="2429"/>
      <c r="O27" s="6"/>
      <c r="P27" s="1552"/>
      <c r="Q27" s="495" t="str">
        <f t="shared" si="2"/>
        <v>Ej tillämpligt</v>
      </c>
      <c r="R27" s="495" t="str">
        <f>IF(ISNUMBER(Q27),COUNT(Q$26:Q27),"")</f>
        <v/>
      </c>
      <c r="S27" s="496" t="str">
        <f t="shared" si="3"/>
        <v>ton</v>
      </c>
      <c r="T27" s="495" t="str">
        <f t="shared" ref="T27:T35" si="9">IF(U27="","",COUNTIF($U$26:$U$35,U27))</f>
        <v/>
      </c>
      <c r="U27" s="1548" t="str">
        <f t="shared" ref="U27:U35" si="10">IF(G27="",IF(E27="","",E27),G27)</f>
        <v/>
      </c>
      <c r="V27" s="349"/>
      <c r="W27" s="546">
        <f t="shared" ref="W27:W35" si="11">W26</f>
        <v>2</v>
      </c>
      <c r="X27" s="546">
        <f t="shared" si="4"/>
        <v>2</v>
      </c>
      <c r="Y27" s="546">
        <f t="shared" si="5"/>
        <v>2</v>
      </c>
      <c r="Z27" s="546">
        <f t="shared" si="6"/>
        <v>2</v>
      </c>
      <c r="AA27" s="546">
        <f t="shared" si="7"/>
        <v>2</v>
      </c>
    </row>
    <row r="28" spans="1:27" s="533" customFormat="1" x14ac:dyDescent="0.25">
      <c r="A28" s="2"/>
      <c r="B28" s="19"/>
      <c r="C28" s="19"/>
      <c r="D28" s="287">
        <f t="shared" si="8"/>
        <v>3</v>
      </c>
      <c r="E28" s="2424" t="str">
        <f>IFERROR(IF(CTRL_InputMethodNIMsvalues=1,INDEX(EUconst_BMlistNames,MATCH(INDEX(c_NIMsSummary!$K$479:$K$1023,MATCH(D28,c_NIMsSummary!$C$479:$C$1020,0)+3),EUconst_BMlistNumberOfBM,0)),""),"")</f>
        <v/>
      </c>
      <c r="F28" s="2425"/>
      <c r="G28" s="2420"/>
      <c r="H28" s="2421"/>
      <c r="I28" s="1494"/>
      <c r="J28" s="1496"/>
      <c r="K28" s="1498"/>
      <c r="L28" s="1510" t="str">
        <f t="shared" si="0"/>
        <v>Ej tillämpligt</v>
      </c>
      <c r="M28" s="2428" t="str">
        <f t="shared" si="1"/>
        <v/>
      </c>
      <c r="N28" s="2429"/>
      <c r="O28" s="6"/>
      <c r="P28" s="1552"/>
      <c r="Q28" s="495" t="str">
        <f t="shared" si="2"/>
        <v>Ej tillämpligt</v>
      </c>
      <c r="R28" s="495" t="str">
        <f>IF(ISNUMBER(Q28),COUNT(Q$26:Q28),"")</f>
        <v/>
      </c>
      <c r="S28" s="496" t="str">
        <f t="shared" si="3"/>
        <v>ton</v>
      </c>
      <c r="T28" s="495" t="str">
        <f t="shared" si="9"/>
        <v/>
      </c>
      <c r="U28" s="1548" t="str">
        <f t="shared" si="10"/>
        <v/>
      </c>
      <c r="V28" s="349"/>
      <c r="W28" s="546">
        <f t="shared" si="11"/>
        <v>2</v>
      </c>
      <c r="X28" s="546">
        <f t="shared" si="4"/>
        <v>2</v>
      </c>
      <c r="Y28" s="546">
        <f t="shared" si="5"/>
        <v>2</v>
      </c>
      <c r="Z28" s="546">
        <f t="shared" si="6"/>
        <v>2</v>
      </c>
      <c r="AA28" s="546">
        <f t="shared" si="7"/>
        <v>2</v>
      </c>
    </row>
    <row r="29" spans="1:27" s="533" customFormat="1" ht="12.75" customHeight="1" x14ac:dyDescent="0.25">
      <c r="A29" s="2"/>
      <c r="B29" s="19"/>
      <c r="C29" s="19"/>
      <c r="D29" s="287">
        <f t="shared" si="8"/>
        <v>4</v>
      </c>
      <c r="E29" s="2424" t="str">
        <f>IFERROR(IF(CTRL_InputMethodNIMsvalues=1,INDEX(EUconst_BMlistNames,MATCH(INDEX(c_NIMsSummary!$K$479:$K$1023,MATCH(D29,c_NIMsSummary!$C$479:$C$1020,0)+3),EUconst_BMlistNumberOfBM,0)),""),"")</f>
        <v/>
      </c>
      <c r="F29" s="2425"/>
      <c r="G29" s="2420"/>
      <c r="H29" s="2421"/>
      <c r="I29" s="1494"/>
      <c r="J29" s="1496"/>
      <c r="K29" s="1498"/>
      <c r="L29" s="1510" t="str">
        <f t="shared" si="0"/>
        <v>Ej tillämpligt</v>
      </c>
      <c r="M29" s="2428" t="str">
        <f t="shared" si="1"/>
        <v/>
      </c>
      <c r="N29" s="2429"/>
      <c r="O29" s="6"/>
      <c r="P29" s="1552"/>
      <c r="Q29" s="495" t="str">
        <f t="shared" si="2"/>
        <v>Ej tillämpligt</v>
      </c>
      <c r="R29" s="495" t="str">
        <f>IF(ISNUMBER(Q29),COUNT(Q$26:Q29),"")</f>
        <v/>
      </c>
      <c r="S29" s="496" t="str">
        <f t="shared" si="3"/>
        <v>ton</v>
      </c>
      <c r="T29" s="495" t="str">
        <f t="shared" si="9"/>
        <v/>
      </c>
      <c r="U29" s="1548" t="str">
        <f t="shared" si="10"/>
        <v/>
      </c>
      <c r="V29" s="349"/>
      <c r="W29" s="546">
        <f t="shared" si="11"/>
        <v>2</v>
      </c>
      <c r="X29" s="546">
        <f t="shared" si="4"/>
        <v>2</v>
      </c>
      <c r="Y29" s="546">
        <f t="shared" si="5"/>
        <v>2</v>
      </c>
      <c r="Z29" s="546">
        <f t="shared" si="6"/>
        <v>2</v>
      </c>
      <c r="AA29" s="546">
        <f t="shared" si="7"/>
        <v>2</v>
      </c>
    </row>
    <row r="30" spans="1:27" s="533" customFormat="1" x14ac:dyDescent="0.25">
      <c r="A30" s="2"/>
      <c r="B30" s="19"/>
      <c r="C30" s="19"/>
      <c r="D30" s="287">
        <f t="shared" si="8"/>
        <v>5</v>
      </c>
      <c r="E30" s="2424" t="str">
        <f>IFERROR(IF(CTRL_InputMethodNIMsvalues=1,INDEX(EUconst_BMlistNames,MATCH(INDEX(c_NIMsSummary!$K$479:$K$1023,MATCH(D30,c_NIMsSummary!$C$479:$C$1020,0)+3),EUconst_BMlistNumberOfBM,0)),""),"")</f>
        <v/>
      </c>
      <c r="F30" s="2425"/>
      <c r="G30" s="2420"/>
      <c r="H30" s="2421"/>
      <c r="I30" s="1494"/>
      <c r="J30" s="1496"/>
      <c r="K30" s="1498"/>
      <c r="L30" s="1510" t="str">
        <f t="shared" si="0"/>
        <v>Ej tillämpligt</v>
      </c>
      <c r="M30" s="2428" t="str">
        <f t="shared" si="1"/>
        <v/>
      </c>
      <c r="N30" s="2429"/>
      <c r="O30" s="6"/>
      <c r="P30" s="1552"/>
      <c r="Q30" s="495" t="str">
        <f t="shared" si="2"/>
        <v>Ej tillämpligt</v>
      </c>
      <c r="R30" s="495" t="str">
        <f>IF(ISNUMBER(Q30),COUNT(Q$26:Q30),"")</f>
        <v/>
      </c>
      <c r="S30" s="496" t="str">
        <f t="shared" si="3"/>
        <v>ton</v>
      </c>
      <c r="T30" s="495" t="str">
        <f t="shared" si="9"/>
        <v/>
      </c>
      <c r="U30" s="1548" t="str">
        <f t="shared" si="10"/>
        <v/>
      </c>
      <c r="V30" s="349"/>
      <c r="W30" s="546">
        <f t="shared" si="11"/>
        <v>2</v>
      </c>
      <c r="X30" s="546">
        <f t="shared" si="4"/>
        <v>2</v>
      </c>
      <c r="Y30" s="546">
        <f t="shared" si="5"/>
        <v>2</v>
      </c>
      <c r="Z30" s="546">
        <f t="shared" si="6"/>
        <v>2</v>
      </c>
      <c r="AA30" s="546">
        <f t="shared" si="7"/>
        <v>2</v>
      </c>
    </row>
    <row r="31" spans="1:27" s="533" customFormat="1" x14ac:dyDescent="0.25">
      <c r="A31" s="2"/>
      <c r="B31" s="19"/>
      <c r="C31" s="19"/>
      <c r="D31" s="287">
        <f t="shared" si="8"/>
        <v>6</v>
      </c>
      <c r="E31" s="2424" t="str">
        <f>IFERROR(IF(CTRL_InputMethodNIMsvalues=1,INDEX(EUconst_BMlistNames,MATCH(INDEX(c_NIMsSummary!$K$479:$K$1023,MATCH(D31,c_NIMsSummary!$C$479:$C$1020,0)+3),EUconst_BMlistNumberOfBM,0)),""),"")</f>
        <v/>
      </c>
      <c r="F31" s="2425"/>
      <c r="G31" s="2420"/>
      <c r="H31" s="2421"/>
      <c r="I31" s="1494"/>
      <c r="J31" s="1496"/>
      <c r="K31" s="1498"/>
      <c r="L31" s="1510" t="str">
        <f t="shared" si="0"/>
        <v>Ej tillämpligt</v>
      </c>
      <c r="M31" s="2428" t="str">
        <f t="shared" si="1"/>
        <v/>
      </c>
      <c r="N31" s="2429"/>
      <c r="O31" s="6"/>
      <c r="P31" s="1552"/>
      <c r="Q31" s="495" t="str">
        <f t="shared" si="2"/>
        <v>Ej tillämpligt</v>
      </c>
      <c r="R31" s="495" t="str">
        <f>IF(ISNUMBER(Q31),COUNT(Q$26:Q31),"")</f>
        <v/>
      </c>
      <c r="S31" s="496" t="str">
        <f t="shared" si="3"/>
        <v>ton</v>
      </c>
      <c r="T31" s="495" t="str">
        <f t="shared" si="9"/>
        <v/>
      </c>
      <c r="U31" s="1548" t="str">
        <f t="shared" si="10"/>
        <v/>
      </c>
      <c r="V31" s="349"/>
      <c r="W31" s="546">
        <f t="shared" si="11"/>
        <v>2</v>
      </c>
      <c r="X31" s="546">
        <f t="shared" si="4"/>
        <v>2</v>
      </c>
      <c r="Y31" s="546">
        <f t="shared" si="5"/>
        <v>2</v>
      </c>
      <c r="Z31" s="546">
        <f t="shared" si="6"/>
        <v>2</v>
      </c>
      <c r="AA31" s="546">
        <f t="shared" si="7"/>
        <v>2</v>
      </c>
    </row>
    <row r="32" spans="1:27" s="533" customFormat="1" x14ac:dyDescent="0.25">
      <c r="A32" s="2"/>
      <c r="B32" s="19"/>
      <c r="C32" s="19"/>
      <c r="D32" s="287">
        <f t="shared" si="8"/>
        <v>7</v>
      </c>
      <c r="E32" s="2424" t="str">
        <f>IFERROR(IF(CTRL_InputMethodNIMsvalues=1,INDEX(EUconst_BMlistNames,MATCH(INDEX(c_NIMsSummary!$K$479:$K$1023,MATCH(D32,c_NIMsSummary!$C$479:$C$1020,0)+3),EUconst_BMlistNumberOfBM,0)),""),"")</f>
        <v/>
      </c>
      <c r="F32" s="2425"/>
      <c r="G32" s="2420"/>
      <c r="H32" s="2421"/>
      <c r="I32" s="1494"/>
      <c r="J32" s="1496"/>
      <c r="K32" s="1498"/>
      <c r="L32" s="1510" t="str">
        <f t="shared" si="0"/>
        <v>Ej tillämpligt</v>
      </c>
      <c r="M32" s="2428" t="str">
        <f t="shared" si="1"/>
        <v/>
      </c>
      <c r="N32" s="2429"/>
      <c r="O32" s="6"/>
      <c r="P32" s="1552"/>
      <c r="Q32" s="495" t="str">
        <f t="shared" si="2"/>
        <v>Ej tillämpligt</v>
      </c>
      <c r="R32" s="495" t="str">
        <f>IF(ISNUMBER(Q32),COUNT(Q$26:Q32),"")</f>
        <v/>
      </c>
      <c r="S32" s="496" t="str">
        <f t="shared" si="3"/>
        <v>ton</v>
      </c>
      <c r="T32" s="495" t="str">
        <f t="shared" si="9"/>
        <v/>
      </c>
      <c r="U32" s="1548" t="str">
        <f t="shared" si="10"/>
        <v/>
      </c>
      <c r="V32" s="349"/>
      <c r="W32" s="546">
        <f t="shared" si="11"/>
        <v>2</v>
      </c>
      <c r="X32" s="546">
        <f t="shared" si="4"/>
        <v>2</v>
      </c>
      <c r="Y32" s="546">
        <f t="shared" si="5"/>
        <v>2</v>
      </c>
      <c r="Z32" s="546">
        <f t="shared" si="6"/>
        <v>2</v>
      </c>
      <c r="AA32" s="546">
        <f t="shared" si="7"/>
        <v>2</v>
      </c>
    </row>
    <row r="33" spans="1:27" s="533" customFormat="1" x14ac:dyDescent="0.25">
      <c r="A33" s="2"/>
      <c r="B33" s="19"/>
      <c r="C33" s="19"/>
      <c r="D33" s="287">
        <f t="shared" si="8"/>
        <v>8</v>
      </c>
      <c r="E33" s="2424" t="str">
        <f>IFERROR(IF(CTRL_InputMethodNIMsvalues=1,INDEX(EUconst_BMlistNames,MATCH(INDEX(c_NIMsSummary!$K$479:$K$1023,MATCH(D33,c_NIMsSummary!$C$479:$C$1020,0)+3),EUconst_BMlistNumberOfBM,0)),""),"")</f>
        <v/>
      </c>
      <c r="F33" s="2425"/>
      <c r="G33" s="2420"/>
      <c r="H33" s="2421"/>
      <c r="I33" s="1494"/>
      <c r="J33" s="1496"/>
      <c r="K33" s="1498"/>
      <c r="L33" s="1510" t="str">
        <f t="shared" si="0"/>
        <v>Ej tillämpligt</v>
      </c>
      <c r="M33" s="2428" t="str">
        <f t="shared" si="1"/>
        <v/>
      </c>
      <c r="N33" s="2429"/>
      <c r="O33" s="6"/>
      <c r="P33" s="1552"/>
      <c r="Q33" s="495" t="str">
        <f t="shared" si="2"/>
        <v>Ej tillämpligt</v>
      </c>
      <c r="R33" s="495" t="str">
        <f>IF(ISNUMBER(Q33),COUNT(Q$26:Q33),"")</f>
        <v/>
      </c>
      <c r="S33" s="496" t="str">
        <f t="shared" si="3"/>
        <v>ton</v>
      </c>
      <c r="T33" s="495" t="str">
        <f t="shared" si="9"/>
        <v/>
      </c>
      <c r="U33" s="1548" t="str">
        <f t="shared" si="10"/>
        <v/>
      </c>
      <c r="V33" s="349"/>
      <c r="W33" s="546">
        <f t="shared" si="11"/>
        <v>2</v>
      </c>
      <c r="X33" s="546">
        <f t="shared" si="4"/>
        <v>2</v>
      </c>
      <c r="Y33" s="546">
        <f t="shared" si="5"/>
        <v>2</v>
      </c>
      <c r="Z33" s="546">
        <f t="shared" si="6"/>
        <v>2</v>
      </c>
      <c r="AA33" s="546">
        <f t="shared" si="7"/>
        <v>2</v>
      </c>
    </row>
    <row r="34" spans="1:27" s="533" customFormat="1" x14ac:dyDescent="0.25">
      <c r="A34" s="2"/>
      <c r="B34" s="19"/>
      <c r="C34" s="19"/>
      <c r="D34" s="287">
        <f t="shared" si="8"/>
        <v>9</v>
      </c>
      <c r="E34" s="2424" t="str">
        <f>IFERROR(IF(CTRL_InputMethodNIMsvalues=1,INDEX(EUconst_BMlistNames,MATCH(INDEX(c_NIMsSummary!$K$479:$K$1023,MATCH(D34,c_NIMsSummary!$C$479:$C$1020,0)+3),EUconst_BMlistNumberOfBM,0)),""),"")</f>
        <v/>
      </c>
      <c r="F34" s="2425"/>
      <c r="G34" s="2420"/>
      <c r="H34" s="2421"/>
      <c r="I34" s="1494"/>
      <c r="J34" s="1496"/>
      <c r="K34" s="1498"/>
      <c r="L34" s="1510" t="str">
        <f t="shared" si="0"/>
        <v>Ej tillämpligt</v>
      </c>
      <c r="M34" s="2428" t="str">
        <f t="shared" si="1"/>
        <v/>
      </c>
      <c r="N34" s="2429"/>
      <c r="O34" s="6"/>
      <c r="P34" s="1552"/>
      <c r="Q34" s="495" t="str">
        <f t="shared" si="2"/>
        <v>Ej tillämpligt</v>
      </c>
      <c r="R34" s="495" t="str">
        <f>IF(ISNUMBER(Q34),COUNT(Q$26:Q34),"")</f>
        <v/>
      </c>
      <c r="S34" s="496" t="str">
        <f t="shared" si="3"/>
        <v>ton</v>
      </c>
      <c r="T34" s="495" t="str">
        <f t="shared" si="9"/>
        <v/>
      </c>
      <c r="U34" s="1548" t="str">
        <f t="shared" si="10"/>
        <v/>
      </c>
      <c r="V34" s="349"/>
      <c r="W34" s="546">
        <f t="shared" si="11"/>
        <v>2</v>
      </c>
      <c r="X34" s="546">
        <f t="shared" si="4"/>
        <v>2</v>
      </c>
      <c r="Y34" s="546">
        <f t="shared" si="5"/>
        <v>2</v>
      </c>
      <c r="Z34" s="546">
        <f t="shared" si="6"/>
        <v>2</v>
      </c>
      <c r="AA34" s="546">
        <f t="shared" si="7"/>
        <v>2</v>
      </c>
    </row>
    <row r="35" spans="1:27" s="533" customFormat="1" ht="13" thickBot="1" x14ac:dyDescent="0.3">
      <c r="A35" s="2"/>
      <c r="B35" s="19"/>
      <c r="C35" s="19"/>
      <c r="D35" s="286">
        <f t="shared" si="8"/>
        <v>10</v>
      </c>
      <c r="E35" s="2394" t="str">
        <f>IFERROR(IF(CTRL_InputMethodNIMsvalues=1,INDEX(EUconst_BMlistNames,MATCH(INDEX(c_NIMsSummary!$K$479:$K$1023,MATCH(D35,c_NIMsSummary!$C$479:$C$1020,0)+3),EUconst_BMlistNumberOfBM,0)),""),"")</f>
        <v/>
      </c>
      <c r="F35" s="2395"/>
      <c r="G35" s="2434"/>
      <c r="H35" s="2435"/>
      <c r="I35" s="1495"/>
      <c r="J35" s="1497"/>
      <c r="K35" s="1499"/>
      <c r="L35" s="1511" t="str">
        <f t="shared" si="0"/>
        <v>Ej tillämpligt</v>
      </c>
      <c r="M35" s="2432" t="str">
        <f t="shared" si="1"/>
        <v/>
      </c>
      <c r="N35" s="2433"/>
      <c r="O35" s="6"/>
      <c r="P35" s="1552"/>
      <c r="Q35" s="497" t="str">
        <f t="shared" si="2"/>
        <v>Ej tillämpligt</v>
      </c>
      <c r="R35" s="497" t="str">
        <f>IF(ISNUMBER(Q35),COUNT(Q$26:Q35),"")</f>
        <v/>
      </c>
      <c r="S35" s="498" t="str">
        <f t="shared" si="3"/>
        <v>ton</v>
      </c>
      <c r="T35" s="497" t="str">
        <f t="shared" si="9"/>
        <v/>
      </c>
      <c r="U35" s="1549" t="str">
        <f t="shared" si="10"/>
        <v/>
      </c>
      <c r="V35" s="349"/>
      <c r="W35" s="546">
        <f t="shared" si="11"/>
        <v>2</v>
      </c>
      <c r="X35" s="546">
        <f t="shared" si="4"/>
        <v>2</v>
      </c>
      <c r="Y35" s="546">
        <f t="shared" si="5"/>
        <v>2</v>
      </c>
      <c r="Z35" s="546">
        <f t="shared" si="6"/>
        <v>2</v>
      </c>
      <c r="AA35" s="546">
        <f t="shared" si="7"/>
        <v>2</v>
      </c>
    </row>
    <row r="36" spans="1:27" s="533" customFormat="1" x14ac:dyDescent="0.25">
      <c r="A36" s="2"/>
      <c r="B36" s="19"/>
      <c r="C36" s="19"/>
      <c r="D36" s="89"/>
      <c r="E36" s="2470" t="str">
        <f>IF(MAX(T26:T35)&gt;1,EUconst_ERR_DoubleBMentry,"")</f>
        <v/>
      </c>
      <c r="F36" s="2471"/>
      <c r="G36" s="2471"/>
      <c r="H36" s="2471"/>
      <c r="I36" s="2471"/>
      <c r="J36" s="2471"/>
      <c r="K36" s="2472"/>
      <c r="L36" s="19"/>
      <c r="M36" s="19"/>
      <c r="N36" s="19"/>
      <c r="O36" s="6"/>
      <c r="P36" s="15"/>
      <c r="Q36" s="349"/>
      <c r="R36" s="499"/>
      <c r="S36" s="349"/>
      <c r="T36" s="349"/>
      <c r="U36" s="349"/>
      <c r="V36" s="349"/>
      <c r="W36" s="349"/>
      <c r="X36" s="349"/>
      <c r="Y36" s="349"/>
      <c r="Z36" s="349"/>
      <c r="AA36" s="349"/>
    </row>
    <row r="37" spans="1:27" s="533" customFormat="1" ht="5.15" customHeight="1" x14ac:dyDescent="0.25">
      <c r="A37" s="2"/>
      <c r="B37" s="19"/>
      <c r="C37" s="19"/>
      <c r="D37" s="19"/>
      <c r="E37" s="19"/>
      <c r="F37" s="19"/>
      <c r="G37" s="19"/>
      <c r="H37" s="19"/>
      <c r="I37" s="19"/>
      <c r="J37" s="19"/>
      <c r="K37" s="19"/>
      <c r="L37" s="19"/>
      <c r="M37" s="19"/>
      <c r="N37" s="19"/>
      <c r="O37" s="6"/>
      <c r="P37" s="15"/>
      <c r="Q37" s="349"/>
      <c r="R37" s="500"/>
      <c r="S37" s="349"/>
      <c r="T37" s="349"/>
      <c r="U37" s="349"/>
      <c r="V37" s="349"/>
      <c r="W37" s="349"/>
      <c r="X37" s="349"/>
      <c r="Y37" s="349"/>
      <c r="Z37" s="349"/>
      <c r="AA37" s="349"/>
    </row>
    <row r="38" spans="1:27" s="533" customFormat="1" x14ac:dyDescent="0.25">
      <c r="A38" s="2"/>
      <c r="B38" s="19"/>
      <c r="C38" s="19"/>
      <c r="D38" s="2408" t="str">
        <f>IF(CNTR_HasEntries_A_I,IF(AND(A_InstallationData!E288&lt;&gt;"",MAX(R26:R63)&lt;1),EUconst_ERR_MissingSubInstEntry,""),"")</f>
        <v/>
      </c>
      <c r="E38" s="2409"/>
      <c r="F38" s="2409"/>
      <c r="G38" s="2409"/>
      <c r="H38" s="2409"/>
      <c r="I38" s="2409"/>
      <c r="J38" s="2409"/>
      <c r="K38" s="2409"/>
      <c r="L38" s="2409"/>
      <c r="M38" s="2409"/>
      <c r="N38" s="2410"/>
      <c r="O38" s="6"/>
      <c r="P38" s="15"/>
      <c r="Q38" s="349"/>
      <c r="R38" s="500"/>
      <c r="S38" s="349"/>
      <c r="T38" s="349"/>
      <c r="U38" s="349"/>
      <c r="V38" s="349"/>
      <c r="W38" s="349"/>
      <c r="X38" s="349"/>
      <c r="Y38" s="349"/>
      <c r="Z38" s="349"/>
      <c r="AA38" s="349"/>
    </row>
    <row r="39" spans="1:27" s="533" customFormat="1" x14ac:dyDescent="0.25">
      <c r="A39" s="343"/>
      <c r="B39" s="19"/>
      <c r="C39" s="19"/>
      <c r="D39" s="19"/>
      <c r="E39" s="19"/>
      <c r="F39" s="19"/>
      <c r="G39" s="19"/>
      <c r="H39" s="19"/>
      <c r="I39" s="19"/>
      <c r="J39" s="19"/>
      <c r="K39" s="19"/>
      <c r="L39" s="19"/>
      <c r="M39" s="19"/>
      <c r="N39" s="19"/>
      <c r="O39" s="6"/>
      <c r="P39" s="15"/>
      <c r="Q39" s="349"/>
      <c r="R39" s="500"/>
      <c r="S39" s="349"/>
      <c r="T39" s="349"/>
      <c r="U39" s="349"/>
      <c r="V39" s="349"/>
      <c r="W39" s="349"/>
      <c r="X39" s="349"/>
      <c r="Y39" s="349"/>
      <c r="Z39" s="349"/>
      <c r="AA39" s="349"/>
    </row>
    <row r="40" spans="1:27" s="533" customFormat="1" ht="14" x14ac:dyDescent="0.3">
      <c r="A40" s="2"/>
      <c r="B40" s="19"/>
      <c r="C40" s="17">
        <v>2</v>
      </c>
      <c r="D40" s="2053" t="str">
        <f>Translations!$B$173</f>
        <v>Delanläggningar med ”fall-back”</v>
      </c>
      <c r="E40" s="1963"/>
      <c r="F40" s="1963"/>
      <c r="G40" s="1963"/>
      <c r="H40" s="1963"/>
      <c r="I40" s="1963"/>
      <c r="J40" s="1963"/>
      <c r="K40" s="1963"/>
      <c r="L40" s="1963"/>
      <c r="M40" s="1963"/>
      <c r="N40" s="1963"/>
      <c r="O40" s="6"/>
      <c r="P40" s="15"/>
      <c r="Q40" s="349"/>
      <c r="R40" s="500"/>
      <c r="S40" s="349"/>
      <c r="T40" s="349"/>
      <c r="U40" s="349"/>
      <c r="V40" s="349"/>
      <c r="W40" s="349"/>
      <c r="X40" s="349"/>
      <c r="Y40" s="349"/>
      <c r="Z40" s="349"/>
      <c r="AA40" s="349"/>
    </row>
    <row r="41" spans="1:27" s="533" customFormat="1" ht="13" x14ac:dyDescent="0.25">
      <c r="A41" s="2"/>
      <c r="B41" s="19"/>
      <c r="C41" s="19"/>
      <c r="D41" s="183"/>
      <c r="E41" s="1943" t="str">
        <f>Translations!$B$174</f>
        <v>Var god ange vilka ”fall-back”-delanläggningar som är relevanta för er anläggning, i förekommande fall:</v>
      </c>
      <c r="F41" s="1963"/>
      <c r="G41" s="1963"/>
      <c r="H41" s="1963"/>
      <c r="I41" s="1963"/>
      <c r="J41" s="1963"/>
      <c r="K41" s="1963"/>
      <c r="L41" s="1963"/>
      <c r="M41" s="1963"/>
      <c r="N41" s="1963"/>
      <c r="O41" s="6"/>
      <c r="P41" s="15"/>
      <c r="Q41" s="349"/>
      <c r="R41" s="500"/>
      <c r="S41" s="349"/>
      <c r="T41" s="349"/>
      <c r="U41" s="349"/>
      <c r="V41" s="349"/>
      <c r="W41" s="349"/>
      <c r="X41" s="349"/>
      <c r="Y41" s="349"/>
      <c r="Z41" s="349"/>
      <c r="AA41" s="349"/>
    </row>
    <row r="42" spans="1:27" s="533" customFormat="1" ht="13" x14ac:dyDescent="0.25">
      <c r="A42" s="2"/>
      <c r="B42" s="19"/>
      <c r="C42" s="19"/>
      <c r="D42" s="15"/>
      <c r="E42" s="2070" t="str">
        <f>Translations!$B$175</f>
        <v>Var god välj ett alternativ för varje typ av delanläggning, oavsett om det är relevant för er anläggning eller inte. Lämna inte de gula fälten tomma.</v>
      </c>
      <c r="F42" s="2071"/>
      <c r="G42" s="2071"/>
      <c r="H42" s="2071"/>
      <c r="I42" s="2071"/>
      <c r="J42" s="2071"/>
      <c r="K42" s="2071"/>
      <c r="L42" s="2071"/>
      <c r="M42" s="2071"/>
      <c r="N42" s="2071"/>
      <c r="O42" s="6"/>
      <c r="P42" s="15"/>
      <c r="Q42" s="349"/>
      <c r="R42" s="500"/>
      <c r="S42" s="349"/>
      <c r="T42" s="349"/>
      <c r="U42" s="349"/>
      <c r="V42" s="349"/>
      <c r="W42" s="349"/>
      <c r="X42" s="349"/>
      <c r="Y42" s="349"/>
      <c r="Z42" s="349"/>
      <c r="AA42" s="349"/>
    </row>
    <row r="43" spans="1:27" s="533" customFormat="1" x14ac:dyDescent="0.25">
      <c r="A43" s="2"/>
      <c r="B43" s="19"/>
      <c r="C43" s="19"/>
      <c r="D43" s="15"/>
      <c r="E43" s="2061" t="str">
        <f>Translations!$B$176</f>
        <v xml:space="preserve">Notera bestämmelsen i artikel 10.3 i FAR, nämligen att ett undantag från kravet att göra åtskillnad mellan ”KL” och ”ej KL” kan beviljas i rapporteringssyfte. </v>
      </c>
      <c r="F43" s="1963"/>
      <c r="G43" s="1963"/>
      <c r="H43" s="1963"/>
      <c r="I43" s="1963"/>
      <c r="J43" s="1963"/>
      <c r="K43" s="1963"/>
      <c r="L43" s="1963"/>
      <c r="M43" s="1963"/>
      <c r="N43" s="1963"/>
      <c r="O43" s="6"/>
      <c r="P43" s="15"/>
      <c r="Q43" s="349"/>
      <c r="R43" s="500"/>
      <c r="S43" s="349"/>
      <c r="T43" s="349"/>
      <c r="U43" s="349"/>
      <c r="V43" s="349"/>
      <c r="W43" s="349"/>
      <c r="X43" s="349"/>
      <c r="Y43" s="349"/>
      <c r="Z43" s="349"/>
      <c r="AA43" s="349"/>
    </row>
    <row r="44" spans="1:27" s="533" customFormat="1" x14ac:dyDescent="0.25">
      <c r="A44" s="2"/>
      <c r="B44" s="19"/>
      <c r="C44" s="19"/>
      <c r="D44" s="15"/>
      <c r="E44" s="2061" t="str">
        <f>Translations!$B$177</f>
        <v>Ett sådant undantag är tillämpligt om minst 95 % av insatsvarorna, de utgående varorna och utsläppen har någon av statusarna ”KL” eller ”ej KL”.</v>
      </c>
      <c r="F44" s="1963"/>
      <c r="G44" s="1963"/>
      <c r="H44" s="1963"/>
      <c r="I44" s="1963"/>
      <c r="J44" s="1963"/>
      <c r="K44" s="1963"/>
      <c r="L44" s="1963"/>
      <c r="M44" s="1963"/>
      <c r="N44" s="1963"/>
      <c r="O44" s="6"/>
      <c r="P44" s="15"/>
      <c r="Q44" s="349"/>
      <c r="R44" s="500"/>
      <c r="S44" s="349"/>
      <c r="T44" s="349"/>
      <c r="U44" s="349"/>
      <c r="V44" s="349"/>
      <c r="W44" s="349"/>
      <c r="X44" s="349"/>
      <c r="Y44" s="349"/>
      <c r="Z44" s="349"/>
      <c r="AA44" s="349"/>
    </row>
    <row r="45" spans="1:27" s="533" customFormat="1" ht="25.5" customHeight="1" x14ac:dyDescent="0.25">
      <c r="A45" s="2"/>
      <c r="B45" s="19"/>
      <c r="C45" s="19"/>
      <c r="D45" s="183"/>
      <c r="E45" s="1545" t="str">
        <f>Translations!$B$1412</f>
        <v>Delanläggningar (kolumn G)</v>
      </c>
      <c r="F45" s="1683" t="str">
        <f>Translations!$B$1408</f>
        <v>Befintlig anläggning</v>
      </c>
      <c r="G45" s="2096" t="str">
        <f>Translations!$B$1409</f>
        <v>Om du har valt att hämta in information avseende nationella genomförandeåtgärder via länken till referensdatarapporten i avsnitt A.II kommer alla relevanta delanläggningar med produktriktmärke att visas automatiskt. Annars är den här kolumnen gråmarkerad.</v>
      </c>
      <c r="H45" s="2096"/>
      <c r="I45" s="2096"/>
      <c r="J45" s="2096"/>
      <c r="K45" s="2096"/>
      <c r="L45" s="2096"/>
      <c r="M45" s="2096"/>
      <c r="N45" s="2096"/>
      <c r="O45" s="6"/>
      <c r="P45" s="15"/>
      <c r="Q45" s="349"/>
      <c r="R45" s="500"/>
      <c r="S45" s="349"/>
      <c r="T45" s="349"/>
      <c r="U45" s="349"/>
      <c r="V45" s="349"/>
      <c r="W45" s="349"/>
      <c r="X45" s="349"/>
      <c r="Y45" s="349"/>
      <c r="Z45" s="349"/>
      <c r="AA45" s="349"/>
    </row>
    <row r="46" spans="1:27" s="533" customFormat="1" ht="12.75" customHeight="1" x14ac:dyDescent="0.25">
      <c r="A46" s="2"/>
      <c r="B46" s="19"/>
      <c r="C46" s="19"/>
      <c r="D46" s="183"/>
      <c r="E46" s="1682"/>
      <c r="F46" s="1683" t="str">
        <f>Translations!$B$1410</f>
        <v>Nya deltagare</v>
      </c>
      <c r="G46" s="2096" t="str">
        <f>Translations!$B$1411</f>
        <v>Den här kolumnen är inte relevant för nya deltagare.</v>
      </c>
      <c r="H46" s="2096"/>
      <c r="I46" s="2096"/>
      <c r="J46" s="2096"/>
      <c r="K46" s="2096"/>
      <c r="L46" s="2096"/>
      <c r="M46" s="2096"/>
      <c r="N46" s="2096"/>
      <c r="O46" s="6"/>
      <c r="P46" s="15"/>
      <c r="Q46" s="349"/>
      <c r="R46" s="500"/>
      <c r="S46" s="349"/>
      <c r="T46" s="349"/>
      <c r="U46" s="349"/>
      <c r="V46" s="349"/>
      <c r="W46" s="349"/>
      <c r="X46" s="349"/>
      <c r="Y46" s="349"/>
      <c r="Z46" s="349"/>
      <c r="AA46" s="349"/>
    </row>
    <row r="47" spans="1:27" s="533" customFormat="1" ht="25.5" customHeight="1" x14ac:dyDescent="0.25">
      <c r="A47" s="2"/>
      <c r="B47" s="19"/>
      <c r="C47" s="19"/>
      <c r="D47" s="183"/>
      <c r="E47" s="1545" t="str">
        <f>Translations!$B$1426</f>
        <v>Delanläggningar (kolumn H)</v>
      </c>
      <c r="F47" s="1683" t="str">
        <f>Translations!$B$1408</f>
        <v>Befintlig anläggning</v>
      </c>
      <c r="G47" s="2096" t="str">
        <f>Translations!$B$1427</f>
        <v>Uppgifterna här är endast relevanta om du har valt antingen ”manuell inmatning” i avsnitt A.II eller nya delanläggningar som startats efter den 30 juni 2019 (dvs. som inte har tagits med i ansökan för de nationella genomförandeåtgärderna). Uppgifter här kommer alltid att skriva över uppgifter i kolumn G.</v>
      </c>
      <c r="H47" s="2096"/>
      <c r="I47" s="2096"/>
      <c r="J47" s="2096"/>
      <c r="K47" s="2096"/>
      <c r="L47" s="2096"/>
      <c r="M47" s="2096"/>
      <c r="N47" s="2096"/>
      <c r="O47" s="6"/>
      <c r="P47" s="15"/>
      <c r="Q47" s="349"/>
      <c r="R47" s="500"/>
      <c r="S47" s="349"/>
      <c r="T47" s="349"/>
      <c r="U47" s="349"/>
      <c r="V47" s="349"/>
      <c r="W47" s="349"/>
      <c r="X47" s="349"/>
      <c r="Y47" s="349"/>
      <c r="Z47" s="349"/>
      <c r="AA47" s="349"/>
    </row>
    <row r="48" spans="1:27" s="533" customFormat="1" ht="12.75" customHeight="1" x14ac:dyDescent="0.25">
      <c r="A48" s="2"/>
      <c r="B48" s="19"/>
      <c r="C48" s="19"/>
      <c r="D48" s="183"/>
      <c r="E48" s="1682"/>
      <c r="F48" s="1683" t="str">
        <f>Translations!$B$1410</f>
        <v>Nya deltagare</v>
      </c>
      <c r="G48" s="2096" t="str">
        <f>Translations!$B$1414</f>
        <v>Välj alla relevanta delanläggningar vars verksamhet redan har startat.</v>
      </c>
      <c r="H48" s="2096"/>
      <c r="I48" s="2096"/>
      <c r="J48" s="2096"/>
      <c r="K48" s="2096"/>
      <c r="L48" s="2096"/>
      <c r="M48" s="2096"/>
      <c r="N48" s="2096"/>
      <c r="O48" s="6"/>
      <c r="P48" s="15"/>
      <c r="Q48" s="349"/>
      <c r="R48" s="500"/>
      <c r="S48" s="349"/>
      <c r="T48" s="349"/>
      <c r="U48" s="349"/>
      <c r="V48" s="349"/>
      <c r="W48" s="349"/>
      <c r="X48" s="349"/>
      <c r="Y48" s="349"/>
      <c r="Z48" s="349"/>
      <c r="AA48" s="349"/>
    </row>
    <row r="49" spans="1:27" s="533" customFormat="1" ht="25.5" customHeight="1" x14ac:dyDescent="0.25">
      <c r="A49" s="2"/>
      <c r="B49" s="19"/>
      <c r="C49" s="19"/>
      <c r="D49" s="183"/>
      <c r="E49" s="1545" t="str">
        <f>Translations!$B$171</f>
        <v>Start av drift</v>
      </c>
      <c r="F49" s="1683" t="str">
        <f>Translations!$B$1408</f>
        <v>Befintlig anläggning</v>
      </c>
      <c r="G49" s="2096" t="str">
        <f>Translations!$B$1415</f>
        <v>Detta är den första dagen då delanläggningen hade en verksamhetsnivå över noll. Detta datum påverkar endast tilldelningen om det infaller efter den 1 januari 2018. Uppgifterna här är alltså endast obligatoriska om delanläggningens verksamhet startade efter detta datum.</v>
      </c>
      <c r="H49" s="2096"/>
      <c r="I49" s="2096"/>
      <c r="J49" s="2096"/>
      <c r="K49" s="2096"/>
      <c r="L49" s="2096"/>
      <c r="M49" s="2096"/>
      <c r="N49" s="2096"/>
      <c r="O49" s="6"/>
      <c r="P49" s="15"/>
      <c r="Q49" s="349"/>
      <c r="R49" s="500"/>
      <c r="S49" s="349"/>
      <c r="T49" s="349"/>
      <c r="U49" s="349"/>
      <c r="V49" s="349"/>
      <c r="W49" s="349"/>
      <c r="X49" s="349"/>
      <c r="Y49" s="349"/>
      <c r="Z49" s="349"/>
      <c r="AA49" s="349"/>
    </row>
    <row r="50" spans="1:27" s="533" customFormat="1" ht="13" x14ac:dyDescent="0.25">
      <c r="A50" s="2"/>
      <c r="B50" s="19"/>
      <c r="C50" s="19"/>
      <c r="D50" s="183"/>
      <c r="E50" s="1682"/>
      <c r="F50" s="1683" t="str">
        <f>Translations!$B$1410</f>
        <v>Nya deltagare</v>
      </c>
      <c r="G50" s="2096" t="str">
        <f>Translations!$B$1416</f>
        <v xml:space="preserve">Detta är den första dagen då delanläggningen hade en verksamhetsnivå över noll. </v>
      </c>
      <c r="H50" s="2096"/>
      <c r="I50" s="2096"/>
      <c r="J50" s="2096"/>
      <c r="K50" s="2096"/>
      <c r="L50" s="2096"/>
      <c r="M50" s="2096"/>
      <c r="N50" s="2096"/>
      <c r="O50" s="6"/>
      <c r="P50" s="15"/>
      <c r="Q50" s="349"/>
      <c r="R50" s="500"/>
      <c r="S50" s="349"/>
      <c r="T50" s="349"/>
      <c r="U50" s="349"/>
      <c r="V50" s="349"/>
      <c r="W50" s="349"/>
      <c r="X50" s="349"/>
      <c r="Y50" s="349"/>
      <c r="Z50" s="349"/>
      <c r="AA50" s="349"/>
    </row>
    <row r="51" spans="1:27" s="533" customFormat="1" ht="13" x14ac:dyDescent="0.25">
      <c r="A51" s="2"/>
      <c r="B51" s="19"/>
      <c r="C51" s="19"/>
      <c r="D51" s="183"/>
      <c r="E51" s="1682" t="str">
        <f>Translations!$B$1417</f>
        <v>Datum för upphörande</v>
      </c>
      <c r="F51" s="2438" t="str">
        <f>Translations!$B$1418</f>
        <v>Om delanläggningens verksamhet har upphört är detta det sista datumet då delanläggningens verksamhetsnivå var över noll.</v>
      </c>
      <c r="G51" s="2438"/>
      <c r="H51" s="2438"/>
      <c r="I51" s="2438"/>
      <c r="J51" s="2438"/>
      <c r="K51" s="2438"/>
      <c r="L51" s="2438"/>
      <c r="M51" s="2438"/>
      <c r="N51" s="2438"/>
      <c r="O51" s="6"/>
      <c r="P51" s="15"/>
      <c r="Q51" s="349"/>
      <c r="R51" s="500"/>
      <c r="S51" s="349"/>
      <c r="T51" s="349"/>
      <c r="U51" s="349"/>
      <c r="V51" s="349"/>
      <c r="W51" s="349"/>
      <c r="X51" s="349"/>
      <c r="Y51" s="349"/>
      <c r="Z51" s="349"/>
      <c r="AA51" s="349"/>
    </row>
    <row r="52" spans="1:27" s="533" customFormat="1" ht="13" x14ac:dyDescent="0.25">
      <c r="A52" s="2"/>
      <c r="B52" s="19"/>
      <c r="C52" s="19"/>
      <c r="D52" s="183"/>
      <c r="E52" s="1682" t="str">
        <f>Translations!$B$1419</f>
        <v>Orsak till upphörande</v>
      </c>
      <c r="F52" s="2438" t="str">
        <f>Translations!$B$1420</f>
        <v>Välj orsak till upphörande om detta är relevant.</v>
      </c>
      <c r="G52" s="2438"/>
      <c r="H52" s="2438"/>
      <c r="I52" s="2438"/>
      <c r="J52" s="2438"/>
      <c r="K52" s="2438"/>
      <c r="L52" s="2438"/>
      <c r="M52" s="2438"/>
      <c r="N52" s="2438"/>
      <c r="O52" s="6"/>
      <c r="P52" s="15"/>
      <c r="Q52" s="349"/>
      <c r="R52" s="500"/>
      <c r="S52" s="349"/>
      <c r="T52" s="349"/>
      <c r="U52" s="349"/>
      <c r="V52" s="349"/>
      <c r="W52" s="349"/>
      <c r="X52" s="349"/>
      <c r="Y52" s="349"/>
      <c r="Z52" s="349"/>
      <c r="AA52" s="349"/>
    </row>
    <row r="53" spans="1:27" s="533" customFormat="1" ht="13" x14ac:dyDescent="0.25">
      <c r="A53" s="2"/>
      <c r="B53" s="19"/>
      <c r="C53" s="19"/>
      <c r="D53" s="183"/>
      <c r="E53" s="1682" t="str">
        <f>Translations!$B$1421</f>
        <v>Status för koldioxidläckage</v>
      </c>
      <c r="F53" s="2438" t="str">
        <f>Translations!$B$1422</f>
        <v>Statusen när det gäller exponeringen för avsevärd risk för koldioxidläckage (”KL”) baseras på kommissionens delegerade beslut (EU) 2019/708.</v>
      </c>
      <c r="G53" s="2438"/>
      <c r="H53" s="2438"/>
      <c r="I53" s="2438"/>
      <c r="J53" s="2438"/>
      <c r="K53" s="2438"/>
      <c r="L53" s="2438"/>
      <c r="M53" s="2438"/>
      <c r="N53" s="2438"/>
      <c r="O53" s="6"/>
      <c r="P53" s="15"/>
      <c r="Q53" s="349"/>
      <c r="R53" s="500"/>
      <c r="S53" s="349"/>
      <c r="T53" s="349"/>
      <c r="U53" s="349"/>
      <c r="V53" s="349"/>
      <c r="W53" s="349"/>
      <c r="X53" s="349"/>
      <c r="Y53" s="349"/>
      <c r="Z53" s="349"/>
      <c r="AA53" s="349"/>
    </row>
    <row r="54" spans="1:27" s="533" customFormat="1" ht="12.75" customHeight="1" x14ac:dyDescent="0.25">
      <c r="A54" s="2"/>
      <c r="B54" s="19"/>
      <c r="C54" s="19"/>
      <c r="D54" s="15"/>
      <c r="E54" s="2070" t="str">
        <f>Translations!$B$168</f>
        <v>Var god notera att posterna måste fyllas i korrekt med tanke på alla inmatningar som senare görs om delanläggningar.</v>
      </c>
      <c r="F54" s="2071"/>
      <c r="G54" s="2071"/>
      <c r="H54" s="2071"/>
      <c r="I54" s="2071"/>
      <c r="J54" s="2071"/>
      <c r="K54" s="2071"/>
      <c r="L54" s="2071"/>
      <c r="M54" s="2071"/>
      <c r="N54" s="2071"/>
      <c r="O54" s="6"/>
      <c r="P54" s="15"/>
      <c r="Q54" s="349"/>
      <c r="R54" s="500"/>
      <c r="S54" s="349"/>
      <c r="T54" s="349"/>
      <c r="U54" s="349"/>
      <c r="V54" s="349"/>
      <c r="W54" s="349"/>
      <c r="X54" s="349"/>
      <c r="Y54" s="349"/>
      <c r="Z54" s="349"/>
      <c r="AA54" s="349"/>
    </row>
    <row r="55" spans="1:27" s="533" customFormat="1" ht="5.15" customHeight="1" thickBot="1" x14ac:dyDescent="0.3">
      <c r="A55" s="2"/>
      <c r="B55" s="3"/>
      <c r="C55" s="3"/>
      <c r="D55" s="3"/>
      <c r="E55" s="3"/>
      <c r="F55" s="3"/>
      <c r="G55" s="3"/>
      <c r="H55" s="3"/>
      <c r="I55" s="3"/>
      <c r="J55" s="3"/>
      <c r="K55" s="3"/>
      <c r="L55" s="3"/>
      <c r="M55" s="6"/>
      <c r="N55" s="6"/>
      <c r="O55" s="6"/>
      <c r="P55" s="15"/>
      <c r="Q55" s="410"/>
      <c r="R55" s="500"/>
      <c r="S55" s="349"/>
      <c r="T55" s="349"/>
      <c r="U55" s="349"/>
      <c r="V55" s="349"/>
      <c r="W55" s="349"/>
      <c r="X55" s="349"/>
      <c r="Y55" s="349"/>
      <c r="Z55" s="349"/>
      <c r="AA55" s="349"/>
    </row>
    <row r="56" spans="1:27" s="533" customFormat="1" ht="38.9" customHeight="1" thickBot="1" x14ac:dyDescent="0.35">
      <c r="A56" s="2"/>
      <c r="B56" s="19"/>
      <c r="C56" s="19"/>
      <c r="D56" s="312" t="str">
        <f>Translations!$B$169</f>
        <v>Nr</v>
      </c>
      <c r="E56" s="2436" t="str">
        <f>Translations!$B$178</f>
        <v>Delanläggningens typ</v>
      </c>
      <c r="F56" s="2437"/>
      <c r="G56" s="1513" t="str">
        <f>Translations!$B$1428</f>
        <v>relevant? (länk)</v>
      </c>
      <c r="H56" s="1513" t="str">
        <f>Translations!$B$1429</f>
        <v>relevant? (manuellt)</v>
      </c>
      <c r="I56" s="1503" t="str">
        <f>Translations!$B$171</f>
        <v>Start av drift</v>
      </c>
      <c r="J56" s="1504" t="str">
        <f>Translations!$B$1425</f>
        <v>Datum för upphörande, om relevant</v>
      </c>
      <c r="K56" s="1505" t="str">
        <f>Translations!$B$1419</f>
        <v>Orsak till upphörande</v>
      </c>
      <c r="L56" s="1517" t="str">
        <f>Translations!$B$172</f>
        <v>KL-exponerad?</v>
      </c>
      <c r="M56" s="19"/>
      <c r="N56" s="19"/>
      <c r="O56" s="6"/>
      <c r="P56" s="15"/>
      <c r="Q56" s="639" t="s">
        <v>902</v>
      </c>
      <c r="R56" s="639" t="s">
        <v>321</v>
      </c>
      <c r="S56" s="639" t="s">
        <v>963</v>
      </c>
      <c r="T56" s="639" t="s">
        <v>2038</v>
      </c>
      <c r="U56" s="1546" t="s">
        <v>2036</v>
      </c>
      <c r="V56" s="1656" t="s">
        <v>2157</v>
      </c>
      <c r="W56" s="603" t="s">
        <v>2158</v>
      </c>
      <c r="X56" s="603" t="s">
        <v>2159</v>
      </c>
      <c r="Y56" s="603" t="s">
        <v>2040</v>
      </c>
      <c r="Z56" s="603" t="s">
        <v>2041</v>
      </c>
      <c r="AA56" s="603" t="s">
        <v>2042</v>
      </c>
    </row>
    <row r="57" spans="1:27" s="533" customFormat="1" ht="12.75" customHeight="1" x14ac:dyDescent="0.25">
      <c r="A57" s="2"/>
      <c r="B57" s="19"/>
      <c r="C57" s="19"/>
      <c r="D57" s="288">
        <v>11</v>
      </c>
      <c r="E57" s="2464" t="str">
        <f t="shared" ref="E57:E63" si="12">INDEX(EUconst_FallBackListNames,D57-10)</f>
        <v>Delanläggning med värmeriktmärke, KL</v>
      </c>
      <c r="F57" s="2465"/>
      <c r="G57" s="1639" t="str">
        <f>IF(OR(CTRL_InputMethodNIMsvalues&lt;&gt;1,c_NIMsSummary!M1081=""),"",SUM(c_NIMsSummary!M1084)&gt;0)</f>
        <v/>
      </c>
      <c r="H57" s="1509"/>
      <c r="I57" s="1500"/>
      <c r="J57" s="1501"/>
      <c r="K57" s="1502"/>
      <c r="L57" s="1516" t="b">
        <f t="shared" ref="L57:L63" si="13">INDEX(EUconst_FallBackListCLstatus,MATCH($E57,EUconst_FallBackListNames,0))</f>
        <v>1</v>
      </c>
      <c r="M57" s="19"/>
      <c r="N57" s="45"/>
      <c r="O57" s="6"/>
      <c r="P57" s="1552"/>
      <c r="Q57" s="502" t="str">
        <f t="shared" ref="Q57:Q63" si="14">IF(AND($H57="",$G57=""),EUconst_NA,IF(IF($H57="",IF($G57="","",$G57),$H57),INDEX(EUconst_FallBackListNumber,MATCH($E57,EUconst_FallBackListNames,0)),EUconst_NA))</f>
        <v>Ej tillämpligt</v>
      </c>
      <c r="R57" s="493" t="str">
        <f>IF(ISNUMBER(Q57),COUNT(Q$57:Q57)+MAX($R$26:$R$35),"")</f>
        <v/>
      </c>
      <c r="S57" s="502" t="str">
        <f t="shared" ref="S57:S63" si="15">INDEX(EUconst_FallBackListUnits,MATCH($E57,EUconst_FallBackListNames,0))</f>
        <v>TJ</v>
      </c>
      <c r="T57" s="502" t="str">
        <f>IF(H57="",IF(G57="","",G57),H57)</f>
        <v/>
      </c>
      <c r="U57" s="1547" t="str">
        <f>IF(E57="",IF(G57="","",G57),E57)</f>
        <v>Delanläggning med värmeriktmärke, KL</v>
      </c>
      <c r="V57" s="349"/>
      <c r="W57" s="1655">
        <f>IF(OR(CTRL_InputMethodNIMsvalues=2,CNTR_Incumbent=FALSE),0,2)</f>
        <v>2</v>
      </c>
      <c r="X57" s="1655">
        <f t="shared" ref="X57:X63" si="16">IF(AND(CNTR_Incumbent,CTRL_InputMethodNIMsvalues&lt;&gt;2,G57=TRUE),0,IF(AND(CNTR_Incumbent,CTRL_InputMethodNIMsvalues=1,G57&lt;&gt;""),1,2))</f>
        <v>2</v>
      </c>
      <c r="Y57" s="1655">
        <f t="shared" ref="Y57:Y63" si="17">IF(CNTR_HasEntries_A_I,IF(AND(H57&lt;&gt;TRUE,T57&lt;&gt;TRUE),0,IF(AND(CNTR_Incumbent,H57=""),1,2)),2)</f>
        <v>2</v>
      </c>
      <c r="Z57" s="1655">
        <f t="shared" ref="Z57:Z63" si="18">IF(CNTR_HasEntries_A_I,IF(AND(CNTR_Cessation,T57=TRUE),2,0),2)</f>
        <v>2</v>
      </c>
      <c r="AA57" s="394">
        <f t="shared" ref="AA57:AA63" si="19">Z57</f>
        <v>2</v>
      </c>
    </row>
    <row r="58" spans="1:27" s="533" customFormat="1" ht="12.75" customHeight="1" x14ac:dyDescent="0.25">
      <c r="A58" s="2"/>
      <c r="B58" s="19"/>
      <c r="C58" s="19"/>
      <c r="D58" s="287">
        <f>D57+1</f>
        <v>12</v>
      </c>
      <c r="E58" s="2426" t="str">
        <f t="shared" si="12"/>
        <v>Delanläggning med värmeriktmärke, ej KL</v>
      </c>
      <c r="F58" s="2427"/>
      <c r="G58" s="1640" t="str">
        <f>IF(OR(CTRL_InputMethodNIMsvalues&lt;&gt;1,c_NIMsSummary!M1121=""),"",SUM(c_NIMsSummary!M1124)&gt;0)</f>
        <v/>
      </c>
      <c r="H58" s="1506"/>
      <c r="I58" s="1494"/>
      <c r="J58" s="1496"/>
      <c r="K58" s="1498"/>
      <c r="L58" s="1514" t="b">
        <f t="shared" si="13"/>
        <v>0</v>
      </c>
      <c r="M58" s="19"/>
      <c r="N58" s="45"/>
      <c r="O58" s="6"/>
      <c r="P58" s="1552"/>
      <c r="Q58" s="495" t="str">
        <f t="shared" si="14"/>
        <v>Ej tillämpligt</v>
      </c>
      <c r="R58" s="495" t="str">
        <f>IF(ISNUMBER(Q58),COUNT(Q$57:Q58)+MAX($R$26:$R$35),"")</f>
        <v/>
      </c>
      <c r="S58" s="495" t="str">
        <f t="shared" si="15"/>
        <v>TJ</v>
      </c>
      <c r="T58" s="495" t="str">
        <f t="shared" ref="T58:T63" si="20">IF(H58="",IF(G58="","",G58),H58)</f>
        <v/>
      </c>
      <c r="U58" s="1548" t="str">
        <f t="shared" ref="U58:U63" si="21">IF(E58="",IF(G58="","",G58),E58)</f>
        <v>Delanläggning med värmeriktmärke, ej KL</v>
      </c>
      <c r="V58" s="349"/>
      <c r="W58" s="546">
        <f t="shared" ref="W58:W63" si="22">W57</f>
        <v>2</v>
      </c>
      <c r="X58" s="546">
        <f t="shared" si="16"/>
        <v>2</v>
      </c>
      <c r="Y58" s="546">
        <f t="shared" si="17"/>
        <v>2</v>
      </c>
      <c r="Z58" s="546">
        <f t="shared" si="18"/>
        <v>2</v>
      </c>
      <c r="AA58" s="394">
        <f t="shared" si="19"/>
        <v>2</v>
      </c>
    </row>
    <row r="59" spans="1:27" s="533" customFormat="1" ht="12.75" customHeight="1" x14ac:dyDescent="0.25">
      <c r="A59" s="2"/>
      <c r="B59" s="19"/>
      <c r="C59" s="19"/>
      <c r="D59" s="287">
        <f>D58+1</f>
        <v>13</v>
      </c>
      <c r="E59" s="2426" t="str">
        <f t="shared" si="12"/>
        <v>Fjärrvärmedelanläggning</v>
      </c>
      <c r="F59" s="2427"/>
      <c r="G59" s="1640" t="str">
        <f>IF(OR(CTRL_InputMethodNIMsvalues&lt;&gt;1,c_NIMsSummary!M1161=""),"",SUM(c_NIMsSummary!M1164)&gt;0)</f>
        <v/>
      </c>
      <c r="H59" s="1506"/>
      <c r="I59" s="1494"/>
      <c r="J59" s="1496"/>
      <c r="K59" s="1498"/>
      <c r="L59" s="1514" t="b">
        <f t="shared" si="13"/>
        <v>0</v>
      </c>
      <c r="M59" s="19"/>
      <c r="N59" s="45"/>
      <c r="O59" s="6"/>
      <c r="P59" s="1552"/>
      <c r="Q59" s="495" t="str">
        <f t="shared" si="14"/>
        <v>Ej tillämpligt</v>
      </c>
      <c r="R59" s="495" t="str">
        <f>IF(ISNUMBER(Q59),COUNT(Q$57:Q59)+MAX($R$26:$R$35),"")</f>
        <v/>
      </c>
      <c r="S59" s="495" t="str">
        <f t="shared" si="15"/>
        <v>TJ</v>
      </c>
      <c r="T59" s="495" t="str">
        <f t="shared" si="20"/>
        <v/>
      </c>
      <c r="U59" s="1548" t="str">
        <f t="shared" si="21"/>
        <v>Fjärrvärmedelanläggning</v>
      </c>
      <c r="V59" s="349"/>
      <c r="W59" s="546">
        <f t="shared" si="22"/>
        <v>2</v>
      </c>
      <c r="X59" s="546">
        <f t="shared" si="16"/>
        <v>2</v>
      </c>
      <c r="Y59" s="546">
        <f t="shared" si="17"/>
        <v>2</v>
      </c>
      <c r="Z59" s="546">
        <f t="shared" si="18"/>
        <v>2</v>
      </c>
      <c r="AA59" s="394">
        <f t="shared" si="19"/>
        <v>2</v>
      </c>
    </row>
    <row r="60" spans="1:27" s="533" customFormat="1" ht="12.75" customHeight="1" x14ac:dyDescent="0.25">
      <c r="A60" s="2"/>
      <c r="B60" s="19"/>
      <c r="C60" s="19"/>
      <c r="D60" s="287">
        <f>D59+1</f>
        <v>14</v>
      </c>
      <c r="E60" s="2426" t="str">
        <f t="shared" si="12"/>
        <v>Delanläggning med bränsleriktmärke, KL</v>
      </c>
      <c r="F60" s="2427"/>
      <c r="G60" s="1640" t="str">
        <f>IF(OR(CTRL_InputMethodNIMsvalues&lt;&gt;1,c_NIMsSummary!M1201=""),"",SUM(c_NIMsSummary!M1204)&gt;0)</f>
        <v/>
      </c>
      <c r="H60" s="1506"/>
      <c r="I60" s="1494"/>
      <c r="J60" s="1496"/>
      <c r="K60" s="1498"/>
      <c r="L60" s="1514" t="b">
        <f t="shared" si="13"/>
        <v>1</v>
      </c>
      <c r="M60" s="19"/>
      <c r="N60" s="45"/>
      <c r="O60" s="6"/>
      <c r="P60" s="1552"/>
      <c r="Q60" s="495" t="str">
        <f t="shared" si="14"/>
        <v>Ej tillämpligt</v>
      </c>
      <c r="R60" s="495" t="str">
        <f>IF(ISNUMBER(Q60),COUNT(Q$57:Q60)+MAX($R$26:$R$35),"")</f>
        <v/>
      </c>
      <c r="S60" s="495" t="str">
        <f t="shared" si="15"/>
        <v>TJ</v>
      </c>
      <c r="T60" s="495" t="str">
        <f t="shared" si="20"/>
        <v/>
      </c>
      <c r="U60" s="1548" t="str">
        <f t="shared" si="21"/>
        <v>Delanläggning med bränsleriktmärke, KL</v>
      </c>
      <c r="V60" s="349"/>
      <c r="W60" s="546">
        <f t="shared" si="22"/>
        <v>2</v>
      </c>
      <c r="X60" s="546">
        <f t="shared" si="16"/>
        <v>2</v>
      </c>
      <c r="Y60" s="546">
        <f t="shared" si="17"/>
        <v>2</v>
      </c>
      <c r="Z60" s="546">
        <f t="shared" si="18"/>
        <v>2</v>
      </c>
      <c r="AA60" s="394">
        <f t="shared" si="19"/>
        <v>2</v>
      </c>
    </row>
    <row r="61" spans="1:27" s="533" customFormat="1" ht="12.75" customHeight="1" x14ac:dyDescent="0.25">
      <c r="A61" s="2"/>
      <c r="B61" s="19"/>
      <c r="C61" s="19"/>
      <c r="D61" s="287">
        <f>D60+1</f>
        <v>15</v>
      </c>
      <c r="E61" s="2426" t="str">
        <f t="shared" si="12"/>
        <v>Delanläggning med bränsleriktmärke, ej KL</v>
      </c>
      <c r="F61" s="2427"/>
      <c r="G61" s="1640" t="str">
        <f>IF(OR(CTRL_InputMethodNIMsvalues&lt;&gt;1,c_NIMsSummary!M1231=""),"",SUM(c_NIMsSummary!M1234)&gt;0)</f>
        <v/>
      </c>
      <c r="H61" s="1506"/>
      <c r="I61" s="1494"/>
      <c r="J61" s="1496"/>
      <c r="K61" s="1498"/>
      <c r="L61" s="1514" t="b">
        <f t="shared" si="13"/>
        <v>0</v>
      </c>
      <c r="M61" s="19"/>
      <c r="N61" s="45"/>
      <c r="O61" s="6"/>
      <c r="P61" s="1552"/>
      <c r="Q61" s="495" t="str">
        <f t="shared" si="14"/>
        <v>Ej tillämpligt</v>
      </c>
      <c r="R61" s="495" t="str">
        <f>IF(ISNUMBER(Q61),COUNT(Q$57:Q61)+MAX($R$26:$R$35),"")</f>
        <v/>
      </c>
      <c r="S61" s="495" t="str">
        <f t="shared" si="15"/>
        <v>TJ</v>
      </c>
      <c r="T61" s="495" t="str">
        <f t="shared" si="20"/>
        <v/>
      </c>
      <c r="U61" s="1548" t="str">
        <f t="shared" si="21"/>
        <v>Delanläggning med bränsleriktmärke, ej KL</v>
      </c>
      <c r="V61" s="349"/>
      <c r="W61" s="546">
        <f t="shared" si="22"/>
        <v>2</v>
      </c>
      <c r="X61" s="546">
        <f t="shared" si="16"/>
        <v>2</v>
      </c>
      <c r="Y61" s="546">
        <f t="shared" si="17"/>
        <v>2</v>
      </c>
      <c r="Z61" s="546">
        <f t="shared" si="18"/>
        <v>2</v>
      </c>
      <c r="AA61" s="394">
        <f t="shared" si="19"/>
        <v>2</v>
      </c>
    </row>
    <row r="62" spans="1:27" s="533" customFormat="1" ht="12.75" customHeight="1" x14ac:dyDescent="0.25">
      <c r="A62" s="2"/>
      <c r="B62" s="19"/>
      <c r="C62" s="19"/>
      <c r="D62" s="287">
        <f>D61+1</f>
        <v>16</v>
      </c>
      <c r="E62" s="2426" t="str">
        <f t="shared" si="12"/>
        <v>Delanläggning med processutsläpp, KL</v>
      </c>
      <c r="F62" s="2427"/>
      <c r="G62" s="1641" t="str">
        <f>IF(OR(CTRL_InputMethodNIMsvalues&lt;&gt;1,c_NIMsSummary!M1261=""),"",SUM(c_NIMsSummary!M1264)&gt;0)</f>
        <v/>
      </c>
      <c r="H62" s="1507"/>
      <c r="I62" s="1494"/>
      <c r="J62" s="1496"/>
      <c r="K62" s="1498"/>
      <c r="L62" s="1514" t="b">
        <f t="shared" si="13"/>
        <v>1</v>
      </c>
      <c r="M62" s="19"/>
      <c r="N62" s="45"/>
      <c r="O62" s="6"/>
      <c r="P62" s="1552"/>
      <c r="Q62" s="495" t="str">
        <f t="shared" si="14"/>
        <v>Ej tillämpligt</v>
      </c>
      <c r="R62" s="495" t="str">
        <f>IF(ISNUMBER(Q62),COUNT(Q$57:Q62)+MAX($R$26:$R$35),"")</f>
        <v/>
      </c>
      <c r="S62" s="495" t="str">
        <f t="shared" si="15"/>
        <v>t CO2e</v>
      </c>
      <c r="T62" s="495" t="str">
        <f t="shared" si="20"/>
        <v/>
      </c>
      <c r="U62" s="1548" t="str">
        <f t="shared" si="21"/>
        <v>Delanläggning med processutsläpp, KL</v>
      </c>
      <c r="V62" s="349"/>
      <c r="W62" s="546">
        <f t="shared" si="22"/>
        <v>2</v>
      </c>
      <c r="X62" s="546">
        <f t="shared" si="16"/>
        <v>2</v>
      </c>
      <c r="Y62" s="546">
        <f t="shared" si="17"/>
        <v>2</v>
      </c>
      <c r="Z62" s="546">
        <f t="shared" si="18"/>
        <v>2</v>
      </c>
      <c r="AA62" s="394">
        <f t="shared" si="19"/>
        <v>2</v>
      </c>
    </row>
    <row r="63" spans="1:27" s="533" customFormat="1" ht="13.5" customHeight="1" thickBot="1" x14ac:dyDescent="0.3">
      <c r="A63" s="2"/>
      <c r="B63" s="19"/>
      <c r="C63" s="19"/>
      <c r="D63" s="286">
        <v>17</v>
      </c>
      <c r="E63" s="2406" t="str">
        <f t="shared" si="12"/>
        <v>Delanläggning med processutsläpp, ej KL</v>
      </c>
      <c r="F63" s="2407"/>
      <c r="G63" s="1642" t="str">
        <f>IF(OR(CTRL_InputMethodNIMsvalues&lt;&gt;1,c_NIMsSummary!M1281=""),"",SUM(c_NIMsSummary!M1284)&gt;0)</f>
        <v/>
      </c>
      <c r="H63" s="1508"/>
      <c r="I63" s="1495"/>
      <c r="J63" s="1497"/>
      <c r="K63" s="1499"/>
      <c r="L63" s="1515" t="b">
        <f t="shared" si="13"/>
        <v>0</v>
      </c>
      <c r="M63" s="19"/>
      <c r="N63" s="45"/>
      <c r="O63" s="6"/>
      <c r="P63" s="1552"/>
      <c r="Q63" s="497" t="str">
        <f t="shared" si="14"/>
        <v>Ej tillämpligt</v>
      </c>
      <c r="R63" s="497" t="str">
        <f>IF(ISNUMBER(Q63),COUNT(Q$57:Q63)+MAX($R$26:$R$35),"")</f>
        <v/>
      </c>
      <c r="S63" s="497" t="str">
        <f t="shared" si="15"/>
        <v>t CO2e</v>
      </c>
      <c r="T63" s="497" t="str">
        <f t="shared" si="20"/>
        <v/>
      </c>
      <c r="U63" s="1549" t="str">
        <f t="shared" si="21"/>
        <v>Delanläggning med processutsläpp, ej KL</v>
      </c>
      <c r="V63" s="349"/>
      <c r="W63" s="546">
        <f t="shared" si="22"/>
        <v>2</v>
      </c>
      <c r="X63" s="546">
        <f t="shared" si="16"/>
        <v>2</v>
      </c>
      <c r="Y63" s="546">
        <f t="shared" si="17"/>
        <v>2</v>
      </c>
      <c r="Z63" s="546">
        <f t="shared" si="18"/>
        <v>2</v>
      </c>
      <c r="AA63" s="394">
        <f t="shared" si="19"/>
        <v>2</v>
      </c>
    </row>
    <row r="64" spans="1:27" s="533" customFormat="1" x14ac:dyDescent="0.25">
      <c r="A64" s="2"/>
      <c r="B64" s="19"/>
      <c r="C64" s="19"/>
      <c r="D64" s="89"/>
      <c r="E64" s="2451" t="str">
        <f>IF(CNTR_HasEntries_A_I,IF(COUNTIF(CNTR_FallBackSubInstRelevant,"")&gt;0,EUconst_ERR_MissingFallBackEntry,""),"")</f>
        <v/>
      </c>
      <c r="F64" s="2452"/>
      <c r="G64" s="2452"/>
      <c r="H64" s="2452"/>
      <c r="I64" s="2452"/>
      <c r="J64" s="2452"/>
      <c r="K64" s="2453"/>
      <c r="L64" s="19"/>
      <c r="M64" s="19"/>
      <c r="N64" s="19"/>
      <c r="O64" s="6"/>
      <c r="P64" s="15"/>
      <c r="Q64" s="349"/>
      <c r="R64" s="349"/>
      <c r="S64" s="349"/>
      <c r="T64" s="349"/>
      <c r="U64" s="349"/>
      <c r="V64" s="349"/>
      <c r="W64" s="349"/>
      <c r="X64" s="349"/>
      <c r="Y64" s="349"/>
      <c r="Z64" s="349"/>
      <c r="AA64" s="349"/>
    </row>
    <row r="65" spans="1:27" s="533" customFormat="1" ht="5.15" customHeight="1" x14ac:dyDescent="0.25">
      <c r="A65" s="2"/>
      <c r="B65" s="19"/>
      <c r="C65" s="19"/>
      <c r="D65" s="19"/>
      <c r="E65" s="19"/>
      <c r="F65" s="19"/>
      <c r="G65" s="19"/>
      <c r="H65" s="19"/>
      <c r="I65" s="19"/>
      <c r="J65" s="19"/>
      <c r="K65" s="19"/>
      <c r="L65" s="19"/>
      <c r="M65" s="19"/>
      <c r="N65" s="19"/>
      <c r="O65" s="6"/>
      <c r="P65" s="15"/>
      <c r="Q65" s="349"/>
      <c r="R65" s="349"/>
      <c r="S65" s="349"/>
      <c r="T65" s="349"/>
      <c r="U65" s="349"/>
      <c r="V65" s="349"/>
      <c r="W65" s="349"/>
      <c r="X65" s="349"/>
      <c r="Y65" s="349"/>
      <c r="Z65" s="349"/>
      <c r="AA65" s="349"/>
    </row>
    <row r="66" spans="1:27" s="533" customFormat="1" x14ac:dyDescent="0.25">
      <c r="A66" s="2"/>
      <c r="B66" s="19"/>
      <c r="C66" s="19"/>
      <c r="D66" s="2408" t="str">
        <f>D38</f>
        <v/>
      </c>
      <c r="E66" s="2409"/>
      <c r="F66" s="2409"/>
      <c r="G66" s="2409"/>
      <c r="H66" s="2409"/>
      <c r="I66" s="2409"/>
      <c r="J66" s="2409"/>
      <c r="K66" s="2409"/>
      <c r="L66" s="2409"/>
      <c r="M66" s="2409"/>
      <c r="N66" s="2410"/>
      <c r="O66" s="6"/>
      <c r="P66" s="15"/>
      <c r="Q66" s="349"/>
      <c r="R66" s="349"/>
      <c r="S66" s="349"/>
      <c r="T66" s="349"/>
      <c r="U66" s="349"/>
      <c r="V66" s="349"/>
      <c r="W66" s="349"/>
      <c r="X66" s="349"/>
      <c r="Y66" s="349"/>
      <c r="Z66" s="349"/>
      <c r="AA66" s="349"/>
    </row>
    <row r="67" spans="1:27" s="533" customFormat="1" x14ac:dyDescent="0.25">
      <c r="A67" s="2"/>
      <c r="B67" s="19"/>
      <c r="C67" s="19"/>
      <c r="D67" s="19"/>
      <c r="E67" s="19"/>
      <c r="F67" s="19"/>
      <c r="G67" s="19"/>
      <c r="H67" s="19"/>
      <c r="I67" s="19"/>
      <c r="J67" s="19"/>
      <c r="K67" s="19"/>
      <c r="L67" s="19"/>
      <c r="M67" s="19"/>
      <c r="N67" s="19"/>
      <c r="O67" s="6"/>
      <c r="P67" s="15"/>
      <c r="Q67" s="349"/>
      <c r="R67" s="349"/>
      <c r="S67" s="349"/>
      <c r="T67" s="349"/>
      <c r="U67" s="349"/>
      <c r="V67" s="349"/>
      <c r="W67" s="349"/>
      <c r="X67" s="349"/>
      <c r="Y67" s="349"/>
      <c r="Z67" s="349"/>
      <c r="AA67" s="349"/>
    </row>
    <row r="68" spans="1:27" s="533" customFormat="1" ht="15.5" x14ac:dyDescent="0.35">
      <c r="A68" s="2"/>
      <c r="B68" s="3"/>
      <c r="C68" s="11" t="s">
        <v>954</v>
      </c>
      <c r="D68" s="1975" t="str">
        <f>Translations!$B$1430</f>
        <v>Ursprunglig tilldelning</v>
      </c>
      <c r="E68" s="1975"/>
      <c r="F68" s="1975"/>
      <c r="G68" s="1975"/>
      <c r="H68" s="1975"/>
      <c r="I68" s="1975"/>
      <c r="J68" s="1975"/>
      <c r="K68" s="1975"/>
      <c r="L68" s="1975"/>
      <c r="M68" s="1975"/>
      <c r="N68" s="1975"/>
      <c r="O68" s="6"/>
      <c r="P68" s="15"/>
      <c r="Q68" s="410"/>
      <c r="R68" s="349"/>
      <c r="S68" s="349"/>
      <c r="T68" s="349"/>
      <c r="U68" s="349"/>
      <c r="V68" s="349"/>
      <c r="W68" s="349"/>
      <c r="X68" s="349"/>
      <c r="Y68" s="349"/>
      <c r="Z68" s="349"/>
      <c r="AA68" s="349"/>
    </row>
    <row r="69" spans="1:27" s="534" customFormat="1" ht="5.15" customHeight="1" x14ac:dyDescent="0.3">
      <c r="A69" s="936"/>
      <c r="B69" s="3"/>
      <c r="C69" s="3"/>
      <c r="D69" s="15"/>
      <c r="E69" s="2070"/>
      <c r="F69" s="2071"/>
      <c r="G69" s="2071"/>
      <c r="H69" s="2071"/>
      <c r="I69" s="2071"/>
      <c r="J69" s="2071"/>
      <c r="K69" s="2071"/>
      <c r="L69" s="2071"/>
      <c r="M69" s="2071"/>
      <c r="N69" s="2071"/>
      <c r="O69" s="6"/>
      <c r="P69" s="15"/>
      <c r="Q69" s="349"/>
      <c r="R69" s="349"/>
      <c r="S69" s="1208"/>
      <c r="T69" s="349"/>
      <c r="U69" s="349"/>
      <c r="V69" s="349"/>
      <c r="W69" s="349"/>
      <c r="X69" s="349"/>
      <c r="Y69" s="349"/>
      <c r="Z69" s="936"/>
      <c r="AA69" s="936"/>
    </row>
    <row r="70" spans="1:27" s="533" customFormat="1" ht="13" x14ac:dyDescent="0.25">
      <c r="A70" s="2"/>
      <c r="B70" s="19"/>
      <c r="C70" s="19"/>
      <c r="D70" s="182" t="s">
        <v>442</v>
      </c>
      <c r="E70" s="1943" t="str">
        <f>Translations!$B$1431</f>
        <v>Ursprunglig tilldelning från referensdatarapportfilen för nationella genomförandeåtgärder</v>
      </c>
      <c r="F70" s="1963"/>
      <c r="G70" s="1963"/>
      <c r="H70" s="1963"/>
      <c r="I70" s="1963"/>
      <c r="J70" s="1963"/>
      <c r="K70" s="1963"/>
      <c r="L70" s="1963"/>
      <c r="M70" s="1963"/>
      <c r="N70" s="1963"/>
      <c r="O70" s="6"/>
      <c r="P70" s="15"/>
      <c r="Q70" s="349"/>
      <c r="R70" s="349"/>
      <c r="S70" s="349"/>
      <c r="T70" s="349"/>
      <c r="U70" s="349"/>
      <c r="V70" s="349"/>
      <c r="W70" s="349"/>
      <c r="X70" s="349"/>
      <c r="Y70" s="349"/>
      <c r="Z70" s="349"/>
      <c r="AA70" s="349"/>
    </row>
    <row r="71" spans="1:27" s="533" customFormat="1" x14ac:dyDescent="0.25">
      <c r="A71" s="2"/>
      <c r="B71" s="19"/>
      <c r="C71" s="19"/>
      <c r="D71" s="194"/>
      <c r="E71" s="2075" t="str">
        <f>Translations!$B$1401</f>
        <v>Observera att inga uppgifter ska lämnas i det här avsnittet. Den kommer antingen att fyllas i automatiskt eller så kommer det här avsnittet inte att vara tillämpligt beroende på ditt val i avsnitt A.II.</v>
      </c>
      <c r="F71" s="1960"/>
      <c r="G71" s="1960"/>
      <c r="H71" s="1960"/>
      <c r="I71" s="1960"/>
      <c r="J71" s="1960"/>
      <c r="K71" s="1960"/>
      <c r="L71" s="1960"/>
      <c r="M71" s="1960"/>
      <c r="N71" s="1960"/>
      <c r="O71" s="6"/>
      <c r="P71" s="15"/>
      <c r="Q71" s="349"/>
      <c r="R71" s="349"/>
      <c r="S71" s="349"/>
      <c r="T71" s="349"/>
      <c r="U71" s="349"/>
      <c r="V71" s="349"/>
      <c r="W71" s="349"/>
      <c r="X71" s="349"/>
      <c r="Y71" s="349"/>
      <c r="Z71" s="349"/>
      <c r="AA71" s="349"/>
    </row>
    <row r="72" spans="1:27" s="533" customFormat="1" ht="25.5" customHeight="1" x14ac:dyDescent="0.3">
      <c r="A72" s="343"/>
      <c r="B72" s="19"/>
      <c r="C72" s="19"/>
      <c r="D72" s="2416" t="str">
        <f>Translations!$B$169</f>
        <v>Nr</v>
      </c>
      <c r="E72" s="2414" t="str">
        <f>Translations!$B$170</f>
        <v>Produkttyp</v>
      </c>
      <c r="F72" s="2415"/>
      <c r="G72" s="2415"/>
      <c r="H72" s="2416"/>
      <c r="I72" s="1136" t="str">
        <f>Translations!$B$1432</f>
        <v>HAL</v>
      </c>
      <c r="J72" s="1136" t="str">
        <f>Translations!$B$1036</f>
        <v>Värme utanför ETS</v>
      </c>
      <c r="K72" s="1136" t="str">
        <f>Translations!$B$1433</f>
        <v>Facklad restgas</v>
      </c>
      <c r="L72" s="1136" t="s">
        <v>1526</v>
      </c>
      <c r="M72" s="1136" t="s">
        <v>2057</v>
      </c>
      <c r="N72" s="1792" t="s">
        <v>1528</v>
      </c>
      <c r="O72" s="6"/>
      <c r="P72" s="15"/>
      <c r="Q72" s="349"/>
      <c r="R72" s="349"/>
      <c r="S72" s="936"/>
      <c r="T72" s="349"/>
      <c r="U72" s="349"/>
      <c r="V72" s="349"/>
      <c r="W72" s="349"/>
      <c r="X72" s="349"/>
      <c r="Y72" s="349"/>
      <c r="Z72" s="349"/>
      <c r="AA72" s="349"/>
    </row>
    <row r="73" spans="1:27" s="533" customFormat="1" x14ac:dyDescent="0.25">
      <c r="A73" s="343"/>
      <c r="B73" s="19"/>
      <c r="C73" s="19"/>
      <c r="D73" s="2439"/>
      <c r="E73" s="2417"/>
      <c r="F73" s="2418"/>
      <c r="G73" s="2418"/>
      <c r="H73" s="2419"/>
      <c r="I73" s="1647"/>
      <c r="J73" s="1645" t="str">
        <f>EUconst_EUA</f>
        <v>EUA</v>
      </c>
      <c r="K73" s="1645" t="str">
        <f>EUconst_EUA</f>
        <v>EUA</v>
      </c>
      <c r="L73" s="1648" t="s">
        <v>1112</v>
      </c>
      <c r="M73" s="1645" t="str">
        <f>EUconst_EUA</f>
        <v>EUA</v>
      </c>
      <c r="N73" s="1648" t="s">
        <v>1112</v>
      </c>
      <c r="O73" s="978"/>
      <c r="P73" s="15"/>
      <c r="Q73" s="349"/>
      <c r="R73" s="349"/>
      <c r="S73" s="1400" t="s">
        <v>782</v>
      </c>
      <c r="T73" s="349"/>
      <c r="U73" s="349"/>
      <c r="V73" s="349"/>
      <c r="W73" s="349"/>
      <c r="X73" s="349"/>
      <c r="Y73" s="349"/>
      <c r="Z73" s="349"/>
      <c r="AA73" s="349"/>
    </row>
    <row r="74" spans="1:27" s="533" customFormat="1" x14ac:dyDescent="0.25">
      <c r="A74" s="343"/>
      <c r="B74" s="19"/>
      <c r="C74" s="19"/>
      <c r="D74" s="288">
        <v>1</v>
      </c>
      <c r="E74" s="2454" t="str">
        <f t="shared" ref="E74:E83" si="23">E26</f>
        <v/>
      </c>
      <c r="F74" s="2455"/>
      <c r="G74" s="2455"/>
      <c r="H74" s="2456"/>
      <c r="I74" s="1673" t="str">
        <f>IF(CTRL_InputMethodNIMsvalues&lt;&gt;1,"",c_NIMsSummary!$F$491)</f>
        <v/>
      </c>
      <c r="J74" s="1672" t="str">
        <f>IF(CTRL_InputMethodNIMsvalues&lt;&gt;1,"",c_NIMsSummary!$G$484)</f>
        <v/>
      </c>
      <c r="K74" s="1672" t="str">
        <f>IF(CTRL_InputMethodNIMsvalues&lt;&gt;1,"",c_NIMsSummary!$H$484)</f>
        <v/>
      </c>
      <c r="L74" s="1678" t="str">
        <f>IF(OR(E74="",CTRL_InputMethodNIMsvalues&lt;&gt;1),"",c_NIMsSummary!$I$484)</f>
        <v/>
      </c>
      <c r="M74" s="1672" t="str">
        <f>IF(CTRL_InputMethodNIMsvalues&lt;&gt;1,"",c_NIMsSummary!$J$484)</f>
        <v/>
      </c>
      <c r="N74" s="1678" t="str">
        <f>IF(CTRL_InputMethodNIMsvalues&lt;&gt;1,"",c_NIMsSummary!$K$484)</f>
        <v/>
      </c>
      <c r="O74" s="6"/>
      <c r="P74" s="1552"/>
      <c r="Q74" s="349"/>
      <c r="R74" s="349"/>
      <c r="S74" s="1196" t="b">
        <f>OR(CTRL_InputMethodNIMsvalues=2,CNTR_Incumbent=FALSE)</f>
        <v>0</v>
      </c>
      <c r="T74" s="349"/>
      <c r="U74" s="349"/>
      <c r="V74" s="349"/>
      <c r="W74" s="349"/>
      <c r="X74" s="349"/>
      <c r="Y74" s="349"/>
      <c r="Z74" s="349"/>
      <c r="AA74" s="349"/>
    </row>
    <row r="75" spans="1:27" s="533" customFormat="1" x14ac:dyDescent="0.25">
      <c r="A75" s="343"/>
      <c r="B75" s="19"/>
      <c r="C75" s="19"/>
      <c r="D75" s="287">
        <f t="shared" ref="D75:D83" si="24">D74+1</f>
        <v>2</v>
      </c>
      <c r="E75" s="2399" t="str">
        <f t="shared" si="23"/>
        <v/>
      </c>
      <c r="F75" s="2400"/>
      <c r="G75" s="2400"/>
      <c r="H75" s="2401"/>
      <c r="I75" s="1675" t="str">
        <f>IF(CTRL_InputMethodNIMsvalues&lt;&gt;1,"",c_NIMsSummary!$F$551)</f>
        <v/>
      </c>
      <c r="J75" s="1674" t="str">
        <f>IF(CTRL_InputMethodNIMsvalues&lt;&gt;1,"",c_NIMsSummary!$G$544)</f>
        <v/>
      </c>
      <c r="K75" s="1674" t="str">
        <f>IF(CTRL_InputMethodNIMsvalues&lt;&gt;1,"",c_NIMsSummary!$H$544)</f>
        <v/>
      </c>
      <c r="L75" s="1679" t="str">
        <f>IF(OR(E75="",CTRL_InputMethodNIMsvalues&lt;&gt;1),"",c_NIMsSummary!$I$544)</f>
        <v/>
      </c>
      <c r="M75" s="1674" t="str">
        <f>IF(CTRL_InputMethodNIMsvalues&lt;&gt;1,"",c_NIMsSummary!$J$544)</f>
        <v/>
      </c>
      <c r="N75" s="1679" t="str">
        <f>IF(CTRL_InputMethodNIMsvalues&lt;&gt;1,"",c_NIMsSummary!$K$544)</f>
        <v/>
      </c>
      <c r="O75" s="6"/>
      <c r="P75" s="1552"/>
      <c r="Q75" s="349"/>
      <c r="R75" s="936"/>
      <c r="S75" s="355" t="b">
        <f>S74</f>
        <v>0</v>
      </c>
      <c r="T75" s="349"/>
      <c r="U75" s="349"/>
      <c r="V75" s="349"/>
      <c r="W75" s="349"/>
      <c r="X75" s="349"/>
      <c r="Y75" s="349"/>
      <c r="Z75" s="349"/>
      <c r="AA75" s="349"/>
    </row>
    <row r="76" spans="1:27" s="533" customFormat="1" x14ac:dyDescent="0.25">
      <c r="A76" s="343"/>
      <c r="B76" s="19"/>
      <c r="C76" s="19"/>
      <c r="D76" s="287">
        <f t="shared" si="24"/>
        <v>3</v>
      </c>
      <c r="E76" s="2399" t="str">
        <f t="shared" si="23"/>
        <v/>
      </c>
      <c r="F76" s="2400"/>
      <c r="G76" s="2400"/>
      <c r="H76" s="2401"/>
      <c r="I76" s="1675" t="str">
        <f>IF(CTRL_InputMethodNIMsvalues&lt;&gt;1,"",c_NIMsSummary!$F$611)</f>
        <v/>
      </c>
      <c r="J76" s="1674" t="str">
        <f>IF(CTRL_InputMethodNIMsvalues&lt;&gt;1,"",c_NIMsSummary!$G$604)</f>
        <v/>
      </c>
      <c r="K76" s="1674" t="str">
        <f>IF(CTRL_InputMethodNIMsvalues&lt;&gt;1,"",c_NIMsSummary!$H$604)</f>
        <v/>
      </c>
      <c r="L76" s="1679" t="str">
        <f>IF(OR(E76="",CTRL_InputMethodNIMsvalues&lt;&gt;1),"",c_NIMsSummary!$I$604)</f>
        <v/>
      </c>
      <c r="M76" s="1674" t="str">
        <f>IF(CTRL_InputMethodNIMsvalues&lt;&gt;1,"",c_NIMsSummary!$J$604)</f>
        <v/>
      </c>
      <c r="N76" s="1679" t="str">
        <f>IF(CTRL_InputMethodNIMsvalues&lt;&gt;1,"",c_NIMsSummary!$K$604)</f>
        <v/>
      </c>
      <c r="O76" s="6"/>
      <c r="P76" s="1552"/>
      <c r="Q76" s="349"/>
      <c r="R76" s="936"/>
      <c r="S76" s="355" t="b">
        <f t="shared" ref="S76:S83" si="25">S75</f>
        <v>0</v>
      </c>
      <c r="T76" s="349"/>
      <c r="U76" s="349"/>
      <c r="V76" s="349"/>
      <c r="W76" s="349"/>
      <c r="X76" s="349"/>
      <c r="Y76" s="349"/>
      <c r="Z76" s="349"/>
      <c r="AA76" s="349"/>
    </row>
    <row r="77" spans="1:27" s="533" customFormat="1" x14ac:dyDescent="0.25">
      <c r="A77" s="343"/>
      <c r="B77" s="19"/>
      <c r="C77" s="19"/>
      <c r="D77" s="287">
        <f t="shared" si="24"/>
        <v>4</v>
      </c>
      <c r="E77" s="2399" t="str">
        <f t="shared" si="23"/>
        <v/>
      </c>
      <c r="F77" s="2400"/>
      <c r="G77" s="2400"/>
      <c r="H77" s="2401"/>
      <c r="I77" s="1675" t="str">
        <f>IF(CTRL_InputMethodNIMsvalues&lt;&gt;1,"",c_NIMsSummary!$F$671)</f>
        <v/>
      </c>
      <c r="J77" s="1674" t="str">
        <f>IF(CTRL_InputMethodNIMsvalues&lt;&gt;1,"",c_NIMsSummary!$G$664)</f>
        <v/>
      </c>
      <c r="K77" s="1674" t="str">
        <f>IF(CTRL_InputMethodNIMsvalues&lt;&gt;1,"",c_NIMsSummary!$H$664)</f>
        <v/>
      </c>
      <c r="L77" s="1679" t="str">
        <f>IF(OR(E77="",CTRL_InputMethodNIMsvalues&lt;&gt;1),"",c_NIMsSummary!$I$664)</f>
        <v/>
      </c>
      <c r="M77" s="1674" t="str">
        <f>IF(CTRL_InputMethodNIMsvalues&lt;&gt;1,"",c_NIMsSummary!$J$664)</f>
        <v/>
      </c>
      <c r="N77" s="1679" t="str">
        <f>IF(CTRL_InputMethodNIMsvalues&lt;&gt;1,"",c_NIMsSummary!$K$664)</f>
        <v/>
      </c>
      <c r="O77" s="6"/>
      <c r="P77" s="1552"/>
      <c r="Q77" s="349"/>
      <c r="R77" s="936"/>
      <c r="S77" s="355" t="b">
        <f t="shared" si="25"/>
        <v>0</v>
      </c>
      <c r="T77" s="349"/>
      <c r="U77" s="349"/>
      <c r="V77" s="349"/>
      <c r="W77" s="349"/>
      <c r="X77" s="349"/>
      <c r="Y77" s="349"/>
      <c r="Z77" s="349"/>
      <c r="AA77" s="349"/>
    </row>
    <row r="78" spans="1:27" s="533" customFormat="1" x14ac:dyDescent="0.25">
      <c r="A78" s="343"/>
      <c r="B78" s="19"/>
      <c r="C78" s="19"/>
      <c r="D78" s="287">
        <f t="shared" si="24"/>
        <v>5</v>
      </c>
      <c r="E78" s="2399" t="str">
        <f t="shared" si="23"/>
        <v/>
      </c>
      <c r="F78" s="2400"/>
      <c r="G78" s="2400"/>
      <c r="H78" s="2401"/>
      <c r="I78" s="1675" t="str">
        <f>IF(CTRL_InputMethodNIMsvalues&lt;&gt;1,"",c_NIMsSummary!$F$731)</f>
        <v/>
      </c>
      <c r="J78" s="1674" t="str">
        <f>IF(CTRL_InputMethodNIMsvalues&lt;&gt;1,"",c_NIMsSummary!$G$724)</f>
        <v/>
      </c>
      <c r="K78" s="1674" t="str">
        <f>IF(CTRL_InputMethodNIMsvalues&lt;&gt;1,"",c_NIMsSummary!$H$724)</f>
        <v/>
      </c>
      <c r="L78" s="1679" t="str">
        <f>IF(OR(E78="",CTRL_InputMethodNIMsvalues&lt;&gt;1),"",c_NIMsSummary!$I$724)</f>
        <v/>
      </c>
      <c r="M78" s="1674" t="str">
        <f>IF(CTRL_InputMethodNIMsvalues&lt;&gt;1,"",c_NIMsSummary!$J$724)</f>
        <v/>
      </c>
      <c r="N78" s="1679" t="str">
        <f>IF(CTRL_InputMethodNIMsvalues&lt;&gt;1,"",c_NIMsSummary!$K$724)</f>
        <v/>
      </c>
      <c r="O78" s="6"/>
      <c r="P78" s="1552"/>
      <c r="Q78" s="349"/>
      <c r="R78" s="936"/>
      <c r="S78" s="355" t="b">
        <f t="shared" si="25"/>
        <v>0</v>
      </c>
      <c r="T78" s="349"/>
      <c r="U78" s="349"/>
      <c r="V78" s="349"/>
      <c r="W78" s="349"/>
      <c r="X78" s="349"/>
      <c r="Y78" s="349"/>
      <c r="Z78" s="349"/>
      <c r="AA78" s="349"/>
    </row>
    <row r="79" spans="1:27" s="533" customFormat="1" x14ac:dyDescent="0.25">
      <c r="A79" s="343"/>
      <c r="B79" s="19"/>
      <c r="C79" s="19"/>
      <c r="D79" s="287">
        <f t="shared" si="24"/>
        <v>6</v>
      </c>
      <c r="E79" s="2399" t="str">
        <f t="shared" si="23"/>
        <v/>
      </c>
      <c r="F79" s="2400"/>
      <c r="G79" s="2400"/>
      <c r="H79" s="2401"/>
      <c r="I79" s="1675" t="str">
        <f>IF(CTRL_InputMethodNIMsvalues&lt;&gt;1,"",c_NIMsSummary!$F$791)</f>
        <v/>
      </c>
      <c r="J79" s="1674" t="str">
        <f>IF(CTRL_InputMethodNIMsvalues&lt;&gt;1,"",c_NIMsSummary!$G$784)</f>
        <v/>
      </c>
      <c r="K79" s="1674" t="str">
        <f>IF(CTRL_InputMethodNIMsvalues&lt;&gt;1,"",c_NIMsSummary!$H$784)</f>
        <v/>
      </c>
      <c r="L79" s="1679" t="str">
        <f>IF(OR(E79="",CTRL_InputMethodNIMsvalues&lt;&gt;1),"",c_NIMsSummary!$I$784)</f>
        <v/>
      </c>
      <c r="M79" s="1674" t="str">
        <f>IF(CTRL_InputMethodNIMsvalues&lt;&gt;1,"",c_NIMsSummary!$J$784)</f>
        <v/>
      </c>
      <c r="N79" s="1679" t="str">
        <f>IF(CTRL_InputMethodNIMsvalues&lt;&gt;1,"",c_NIMsSummary!$K$784)</f>
        <v/>
      </c>
      <c r="O79" s="6"/>
      <c r="P79" s="1552"/>
      <c r="Q79" s="349"/>
      <c r="R79" s="936"/>
      <c r="S79" s="355" t="b">
        <f t="shared" si="25"/>
        <v>0</v>
      </c>
      <c r="T79" s="349"/>
      <c r="U79" s="349"/>
      <c r="V79" s="349"/>
      <c r="W79" s="349"/>
      <c r="X79" s="349"/>
      <c r="Y79" s="349"/>
      <c r="Z79" s="349"/>
      <c r="AA79" s="349"/>
    </row>
    <row r="80" spans="1:27" s="533" customFormat="1" x14ac:dyDescent="0.25">
      <c r="A80" s="343"/>
      <c r="B80" s="19"/>
      <c r="C80" s="19"/>
      <c r="D80" s="287">
        <f t="shared" si="24"/>
        <v>7</v>
      </c>
      <c r="E80" s="2399" t="str">
        <f t="shared" si="23"/>
        <v/>
      </c>
      <c r="F80" s="2400"/>
      <c r="G80" s="2400"/>
      <c r="H80" s="2401"/>
      <c r="I80" s="1675" t="str">
        <f>IF(CTRL_InputMethodNIMsvalues&lt;&gt;1,"",c_NIMsSummary!$F$851)</f>
        <v/>
      </c>
      <c r="J80" s="1674" t="str">
        <f>IF(CTRL_InputMethodNIMsvalues&lt;&gt;1,"",c_NIMsSummary!$G$844)</f>
        <v/>
      </c>
      <c r="K80" s="1674" t="str">
        <f>IF(CTRL_InputMethodNIMsvalues&lt;&gt;1,"",c_NIMsSummary!$H$844)</f>
        <v/>
      </c>
      <c r="L80" s="1679" t="str">
        <f>IF(OR(E80="",CTRL_InputMethodNIMsvalues&lt;&gt;1),"",c_NIMsSummary!$I$844)</f>
        <v/>
      </c>
      <c r="M80" s="1674" t="str">
        <f>IF(CTRL_InputMethodNIMsvalues&lt;&gt;1,"",c_NIMsSummary!$J$844)</f>
        <v/>
      </c>
      <c r="N80" s="1679" t="str">
        <f>IF(CTRL_InputMethodNIMsvalues&lt;&gt;1,"",c_NIMsSummary!$K$844)</f>
        <v/>
      </c>
      <c r="O80" s="6"/>
      <c r="P80" s="1552"/>
      <c r="Q80" s="349"/>
      <c r="R80" s="936"/>
      <c r="S80" s="355" t="b">
        <f t="shared" si="25"/>
        <v>0</v>
      </c>
      <c r="T80" s="349"/>
      <c r="U80" s="349"/>
      <c r="V80" s="349"/>
      <c r="W80" s="349"/>
      <c r="X80" s="349"/>
      <c r="Y80" s="349"/>
      <c r="Z80" s="349"/>
      <c r="AA80" s="349"/>
    </row>
    <row r="81" spans="1:27" s="533" customFormat="1" x14ac:dyDescent="0.25">
      <c r="A81" s="343"/>
      <c r="B81" s="19"/>
      <c r="C81" s="19"/>
      <c r="D81" s="287">
        <f t="shared" si="24"/>
        <v>8</v>
      </c>
      <c r="E81" s="2399" t="str">
        <f t="shared" si="23"/>
        <v/>
      </c>
      <c r="F81" s="2400"/>
      <c r="G81" s="2400"/>
      <c r="H81" s="2401"/>
      <c r="I81" s="1675" t="str">
        <f>IF(CTRL_InputMethodNIMsvalues&lt;&gt;1,"",c_NIMsSummary!$F$911)</f>
        <v/>
      </c>
      <c r="J81" s="1674" t="str">
        <f>IF(CTRL_InputMethodNIMsvalues&lt;&gt;1,"",c_NIMsSummary!$G$904)</f>
        <v/>
      </c>
      <c r="K81" s="1674" t="str">
        <f>IF(CTRL_InputMethodNIMsvalues&lt;&gt;1,"",c_NIMsSummary!$H$904)</f>
        <v/>
      </c>
      <c r="L81" s="1679" t="str">
        <f>IF(OR(E81="",CTRL_InputMethodNIMsvalues&lt;&gt;1),"",c_NIMsSummary!$I$904)</f>
        <v/>
      </c>
      <c r="M81" s="1674" t="str">
        <f>IF(CTRL_InputMethodNIMsvalues&lt;&gt;1,"",c_NIMsSummary!$J$904)</f>
        <v/>
      </c>
      <c r="N81" s="1679" t="str">
        <f>IF(CTRL_InputMethodNIMsvalues&lt;&gt;1,"",c_NIMsSummary!$K$904)</f>
        <v/>
      </c>
      <c r="O81" s="6"/>
      <c r="P81" s="1552"/>
      <c r="Q81" s="349"/>
      <c r="R81" s="936"/>
      <c r="S81" s="355" t="b">
        <f t="shared" si="25"/>
        <v>0</v>
      </c>
      <c r="T81" s="349"/>
      <c r="U81" s="349"/>
      <c r="V81" s="349"/>
      <c r="W81" s="349"/>
      <c r="X81" s="349"/>
      <c r="Y81" s="349"/>
      <c r="Z81" s="349"/>
      <c r="AA81" s="349"/>
    </row>
    <row r="82" spans="1:27" s="533" customFormat="1" x14ac:dyDescent="0.25">
      <c r="A82" s="343"/>
      <c r="B82" s="19"/>
      <c r="C82" s="19"/>
      <c r="D82" s="287">
        <f t="shared" si="24"/>
        <v>9</v>
      </c>
      <c r="E82" s="2399" t="str">
        <f t="shared" si="23"/>
        <v/>
      </c>
      <c r="F82" s="2400"/>
      <c r="G82" s="2400"/>
      <c r="H82" s="2401"/>
      <c r="I82" s="1675" t="str">
        <f>IF(CTRL_InputMethodNIMsvalues&lt;&gt;1,"",c_NIMsSummary!$F$971)</f>
        <v/>
      </c>
      <c r="J82" s="1674" t="str">
        <f>IF(CTRL_InputMethodNIMsvalues&lt;&gt;1,"",c_NIMsSummary!$G$964)</f>
        <v/>
      </c>
      <c r="K82" s="1674" t="str">
        <f>IF(CTRL_InputMethodNIMsvalues&lt;&gt;1,"",c_NIMsSummary!$H$964)</f>
        <v/>
      </c>
      <c r="L82" s="1679" t="str">
        <f>IF(OR(E82="",CTRL_InputMethodNIMsvalues&lt;&gt;1),"",c_NIMsSummary!$I$964)</f>
        <v/>
      </c>
      <c r="M82" s="1674" t="str">
        <f>IF(CTRL_InputMethodNIMsvalues&lt;&gt;1,"",c_NIMsSummary!$J$964)</f>
        <v/>
      </c>
      <c r="N82" s="1679" t="str">
        <f>IF(CTRL_InputMethodNIMsvalues&lt;&gt;1,"",c_NIMsSummary!$K$964)</f>
        <v/>
      </c>
      <c r="O82" s="6"/>
      <c r="P82" s="1552"/>
      <c r="Q82" s="349"/>
      <c r="R82" s="936"/>
      <c r="S82" s="355" t="b">
        <f t="shared" si="25"/>
        <v>0</v>
      </c>
      <c r="T82" s="349"/>
      <c r="U82" s="349"/>
      <c r="V82" s="349"/>
      <c r="W82" s="349"/>
      <c r="X82" s="349"/>
      <c r="Y82" s="349"/>
      <c r="Z82" s="349"/>
      <c r="AA82" s="349"/>
    </row>
    <row r="83" spans="1:27" s="533" customFormat="1" x14ac:dyDescent="0.25">
      <c r="A83" s="343"/>
      <c r="B83" s="19"/>
      <c r="C83" s="19"/>
      <c r="D83" s="286">
        <f t="shared" si="24"/>
        <v>10</v>
      </c>
      <c r="E83" s="2457" t="str">
        <f t="shared" si="23"/>
        <v/>
      </c>
      <c r="F83" s="2458"/>
      <c r="G83" s="2458"/>
      <c r="H83" s="2446"/>
      <c r="I83" s="1677" t="str">
        <f>IF(CTRL_InputMethodNIMsvalues&lt;&gt;1,"",c_NIMsSummary!$F$1031)</f>
        <v/>
      </c>
      <c r="J83" s="1676" t="str">
        <f>IF(CTRL_InputMethodNIMsvalues&lt;&gt;1,"",c_NIMsSummary!$G$1024)</f>
        <v/>
      </c>
      <c r="K83" s="1676" t="str">
        <f>IF(CTRL_InputMethodNIMsvalues&lt;&gt;1,"",c_NIMsSummary!$H$1024)</f>
        <v/>
      </c>
      <c r="L83" s="1680" t="str">
        <f>IF(OR(E83="",CTRL_InputMethodNIMsvalues&lt;&gt;1),"",c_NIMsSummary!$I$1024)</f>
        <v/>
      </c>
      <c r="M83" s="1676" t="str">
        <f>IF(CTRL_InputMethodNIMsvalues&lt;&gt;1,"",c_NIMsSummary!$J$1024)</f>
        <v/>
      </c>
      <c r="N83" s="1680" t="str">
        <f>IF(CTRL_InputMethodNIMsvalues&lt;&gt;1,"",c_NIMsSummary!$K$1024)</f>
        <v/>
      </c>
      <c r="O83" s="6"/>
      <c r="P83" s="1552"/>
      <c r="Q83" s="349"/>
      <c r="R83" s="936"/>
      <c r="S83" s="355" t="b">
        <f t="shared" si="25"/>
        <v>0</v>
      </c>
      <c r="T83" s="349"/>
      <c r="U83" s="349"/>
      <c r="V83" s="349"/>
      <c r="W83" s="349"/>
      <c r="X83" s="349"/>
      <c r="Y83" s="349"/>
      <c r="Z83" s="349"/>
      <c r="AA83" s="349"/>
    </row>
    <row r="84" spans="1:27" s="533" customFormat="1" ht="12.75" customHeight="1" x14ac:dyDescent="0.25">
      <c r="A84" s="2"/>
      <c r="B84" s="19"/>
      <c r="C84" s="19"/>
      <c r="D84" s="288">
        <v>11</v>
      </c>
      <c r="E84" s="2448" t="str">
        <f t="shared" ref="E84:E90" si="26">INDEX(EUconst_FallBackListNames,D84-10)</f>
        <v>Delanläggning med värmeriktmärke, KL</v>
      </c>
      <c r="F84" s="2449"/>
      <c r="G84" s="2449"/>
      <c r="H84" s="2450"/>
      <c r="I84" s="1673" t="str">
        <f>IF(CTRL_InputMethodNIMsvalues&lt;&gt;1,"",c_NIMsSummary!$F$1093)</f>
        <v/>
      </c>
      <c r="J84" s="1731"/>
      <c r="K84" s="1732"/>
      <c r="L84" s="1732"/>
      <c r="M84" s="1732"/>
      <c r="N84" s="1733"/>
      <c r="O84" s="6"/>
      <c r="P84" s="1552"/>
      <c r="Q84" s="349"/>
      <c r="R84" s="936"/>
      <c r="S84" s="355" t="b">
        <f t="shared" ref="S84:S90" si="27">S83</f>
        <v>0</v>
      </c>
      <c r="T84" s="349"/>
      <c r="U84" s="349"/>
      <c r="V84" s="349"/>
      <c r="W84" s="349"/>
      <c r="X84" s="349"/>
      <c r="Y84" s="349"/>
      <c r="Z84" s="349"/>
      <c r="AA84" s="349"/>
    </row>
    <row r="85" spans="1:27" s="533" customFormat="1" ht="12.75" customHeight="1" x14ac:dyDescent="0.25">
      <c r="A85" s="2"/>
      <c r="B85" s="19"/>
      <c r="C85" s="19"/>
      <c r="D85" s="287">
        <f>D84+1</f>
        <v>12</v>
      </c>
      <c r="E85" s="2405" t="str">
        <f t="shared" si="26"/>
        <v>Delanläggning med värmeriktmärke, ej KL</v>
      </c>
      <c r="F85" s="2403"/>
      <c r="G85" s="2403"/>
      <c r="H85" s="2401"/>
      <c r="I85" s="1675" t="str">
        <f>IF(CTRL_InputMethodNIMsvalues&lt;&gt;1,"",c_NIMsSummary!$F$1133)</f>
        <v/>
      </c>
      <c r="J85" s="1734"/>
      <c r="K85" s="1735"/>
      <c r="L85" s="1735"/>
      <c r="M85" s="1735"/>
      <c r="N85" s="1736"/>
      <c r="O85" s="6"/>
      <c r="P85" s="1552"/>
      <c r="Q85" s="349"/>
      <c r="R85" s="936"/>
      <c r="S85" s="355" t="b">
        <f t="shared" si="27"/>
        <v>0</v>
      </c>
      <c r="T85" s="349"/>
      <c r="U85" s="349"/>
      <c r="V85" s="349"/>
      <c r="W85" s="349"/>
      <c r="X85" s="349"/>
      <c r="Y85" s="349"/>
      <c r="Z85" s="349"/>
      <c r="AA85" s="349"/>
    </row>
    <row r="86" spans="1:27" s="533" customFormat="1" ht="12.75" customHeight="1" x14ac:dyDescent="0.25">
      <c r="A86" s="2"/>
      <c r="B86" s="19"/>
      <c r="C86" s="19"/>
      <c r="D86" s="287">
        <f>D85+1</f>
        <v>13</v>
      </c>
      <c r="E86" s="2405" t="str">
        <f t="shared" si="26"/>
        <v>Fjärrvärmedelanläggning</v>
      </c>
      <c r="F86" s="2403"/>
      <c r="G86" s="2403"/>
      <c r="H86" s="2401"/>
      <c r="I86" s="1675" t="str">
        <f>IF(CTRL_InputMethodNIMsvalues&lt;&gt;1,"",c_NIMsSummary!$F$1173)</f>
        <v/>
      </c>
      <c r="J86" s="1734"/>
      <c r="K86" s="1735"/>
      <c r="L86" s="1735"/>
      <c r="M86" s="1735"/>
      <c r="N86" s="1736"/>
      <c r="O86" s="6"/>
      <c r="P86" s="1552"/>
      <c r="Q86" s="349"/>
      <c r="R86" s="936"/>
      <c r="S86" s="355" t="b">
        <f t="shared" si="27"/>
        <v>0</v>
      </c>
      <c r="T86" s="349"/>
      <c r="U86" s="349"/>
      <c r="V86" s="349"/>
      <c r="W86" s="349"/>
      <c r="X86" s="349"/>
      <c r="Y86" s="349"/>
      <c r="Z86" s="349"/>
      <c r="AA86" s="349"/>
    </row>
    <row r="87" spans="1:27" s="533" customFormat="1" ht="12.75" customHeight="1" x14ac:dyDescent="0.25">
      <c r="A87" s="2"/>
      <c r="B87" s="19"/>
      <c r="C87" s="19"/>
      <c r="D87" s="287">
        <f>D86+1</f>
        <v>14</v>
      </c>
      <c r="E87" s="2405" t="str">
        <f t="shared" si="26"/>
        <v>Delanläggning med bränsleriktmärke, KL</v>
      </c>
      <c r="F87" s="2403"/>
      <c r="G87" s="2403"/>
      <c r="H87" s="2401"/>
      <c r="I87" s="1675" t="str">
        <f>IF(CTRL_InputMethodNIMsvalues&lt;&gt;1,"",c_NIMsSummary!$F$1213)</f>
        <v/>
      </c>
      <c r="J87" s="1734"/>
      <c r="K87" s="1735"/>
      <c r="L87" s="1735"/>
      <c r="M87" s="1735"/>
      <c r="N87" s="1736"/>
      <c r="O87" s="6"/>
      <c r="P87" s="1552"/>
      <c r="Q87" s="349"/>
      <c r="R87" s="936"/>
      <c r="S87" s="355" t="b">
        <f t="shared" si="27"/>
        <v>0</v>
      </c>
      <c r="T87" s="349"/>
      <c r="U87" s="349"/>
      <c r="V87" s="349"/>
      <c r="W87" s="349"/>
      <c r="X87" s="349"/>
      <c r="Y87" s="349"/>
      <c r="Z87" s="349"/>
      <c r="AA87" s="349"/>
    </row>
    <row r="88" spans="1:27" s="533" customFormat="1" ht="12.75" customHeight="1" x14ac:dyDescent="0.25">
      <c r="A88" s="2"/>
      <c r="B88" s="19"/>
      <c r="C88" s="19"/>
      <c r="D88" s="287">
        <f>D87+1</f>
        <v>15</v>
      </c>
      <c r="E88" s="2405" t="str">
        <f t="shared" si="26"/>
        <v>Delanläggning med bränsleriktmärke, ej KL</v>
      </c>
      <c r="F88" s="2403"/>
      <c r="G88" s="2403"/>
      <c r="H88" s="2401"/>
      <c r="I88" s="1675" t="str">
        <f>IF(CTRL_InputMethodNIMsvalues&lt;&gt;1,"",c_NIMsSummary!$F$1243)</f>
        <v/>
      </c>
      <c r="J88" s="1734"/>
      <c r="K88" s="1735"/>
      <c r="L88" s="1735"/>
      <c r="M88" s="1735"/>
      <c r="N88" s="1736"/>
      <c r="O88" s="6"/>
      <c r="P88" s="1552"/>
      <c r="Q88" s="349"/>
      <c r="R88" s="936"/>
      <c r="S88" s="355" t="b">
        <f t="shared" si="27"/>
        <v>0</v>
      </c>
      <c r="T88" s="349"/>
      <c r="U88" s="349"/>
      <c r="V88" s="349"/>
      <c r="W88" s="349"/>
      <c r="X88" s="349"/>
      <c r="Y88" s="349"/>
      <c r="Z88" s="349"/>
      <c r="AA88" s="349"/>
    </row>
    <row r="89" spans="1:27" s="533" customFormat="1" ht="12.75" customHeight="1" x14ac:dyDescent="0.25">
      <c r="A89" s="2"/>
      <c r="B89" s="19"/>
      <c r="C89" s="19"/>
      <c r="D89" s="287">
        <f>D88+1</f>
        <v>16</v>
      </c>
      <c r="E89" s="2405" t="str">
        <f t="shared" si="26"/>
        <v>Delanläggning med processutsläpp, KL</v>
      </c>
      <c r="F89" s="2403"/>
      <c r="G89" s="2403"/>
      <c r="H89" s="2401"/>
      <c r="I89" s="1675" t="str">
        <f>IF(CTRL_InputMethodNIMsvalues&lt;&gt;1,"",c_NIMsSummary!$F$1273)</f>
        <v/>
      </c>
      <c r="J89" s="1734"/>
      <c r="K89" s="1735"/>
      <c r="L89" s="1735"/>
      <c r="M89" s="1735"/>
      <c r="N89" s="1736"/>
      <c r="O89" s="6"/>
      <c r="P89" s="1552"/>
      <c r="Q89" s="349"/>
      <c r="R89" s="936"/>
      <c r="S89" s="355" t="b">
        <f t="shared" si="27"/>
        <v>0</v>
      </c>
      <c r="T89" s="349"/>
      <c r="U89" s="349"/>
      <c r="V89" s="349"/>
      <c r="W89" s="349"/>
      <c r="X89" s="349"/>
      <c r="Y89" s="349"/>
      <c r="Z89" s="349"/>
      <c r="AA89" s="349"/>
    </row>
    <row r="90" spans="1:27" s="533" customFormat="1" ht="13.5" customHeight="1" x14ac:dyDescent="0.25">
      <c r="A90" s="2"/>
      <c r="B90" s="19"/>
      <c r="C90" s="19"/>
      <c r="D90" s="286">
        <v>17</v>
      </c>
      <c r="E90" s="2444" t="str">
        <f t="shared" si="26"/>
        <v>Delanläggning med processutsläpp, ej KL</v>
      </c>
      <c r="F90" s="2445"/>
      <c r="G90" s="2445"/>
      <c r="H90" s="2446"/>
      <c r="I90" s="1677" t="str">
        <f>IF(CTRL_InputMethodNIMsvalues&lt;&gt;1,"",c_NIMsSummary!$F$1293)</f>
        <v/>
      </c>
      <c r="J90" s="1737"/>
      <c r="K90" s="1738"/>
      <c r="L90" s="1738"/>
      <c r="M90" s="1738"/>
      <c r="N90" s="1739"/>
      <c r="O90" s="6"/>
      <c r="P90" s="1552"/>
      <c r="Q90" s="349"/>
      <c r="R90" s="936"/>
      <c r="S90" s="355" t="b">
        <f t="shared" si="27"/>
        <v>0</v>
      </c>
      <c r="T90" s="349"/>
      <c r="U90" s="349"/>
      <c r="V90" s="349"/>
      <c r="W90" s="349"/>
      <c r="X90" s="349"/>
      <c r="Y90" s="349"/>
      <c r="Z90" s="349"/>
      <c r="AA90" s="349"/>
    </row>
    <row r="91" spans="1:27" s="533" customFormat="1" ht="13" x14ac:dyDescent="0.3">
      <c r="A91" s="343"/>
      <c r="B91" s="19"/>
      <c r="C91" s="19"/>
      <c r="D91" s="19"/>
      <c r="E91" s="19"/>
      <c r="F91" s="19"/>
      <c r="G91" s="19"/>
      <c r="H91" s="19"/>
      <c r="I91" s="19"/>
      <c r="J91" s="19"/>
      <c r="K91" s="19"/>
      <c r="L91" s="19"/>
      <c r="M91" s="19"/>
      <c r="N91" s="19"/>
      <c r="O91" s="6"/>
      <c r="P91" s="15"/>
      <c r="Q91" s="349"/>
      <c r="R91" s="936"/>
      <c r="S91" s="1208"/>
      <c r="T91" s="349"/>
      <c r="U91" s="349"/>
      <c r="V91" s="349"/>
      <c r="W91" s="349"/>
      <c r="X91" s="349"/>
      <c r="Y91" s="349"/>
      <c r="Z91" s="349"/>
      <c r="AA91" s="349"/>
    </row>
    <row r="92" spans="1:27" s="533" customFormat="1" ht="13" x14ac:dyDescent="0.25">
      <c r="A92" s="2"/>
      <c r="B92" s="19"/>
      <c r="C92" s="19"/>
      <c r="D92" s="13" t="s">
        <v>955</v>
      </c>
      <c r="E92" s="1943" t="str">
        <f>Translations!$B$1434</f>
        <v>Ursprunglig tilldelning (manuell inmatning)</v>
      </c>
      <c r="F92" s="1963"/>
      <c r="G92" s="1963"/>
      <c r="H92" s="1963"/>
      <c r="I92" s="1963"/>
      <c r="J92" s="1963"/>
      <c r="K92" s="1963"/>
      <c r="L92" s="1963"/>
      <c r="M92" s="1963"/>
      <c r="N92" s="1963"/>
      <c r="O92" s="6"/>
      <c r="P92" s="15"/>
      <c r="Q92" s="349"/>
      <c r="R92" s="349"/>
      <c r="S92" s="349"/>
      <c r="T92" s="349"/>
      <c r="U92" s="349"/>
      <c r="V92" s="349"/>
      <c r="W92" s="349"/>
      <c r="X92" s="349"/>
      <c r="Y92" s="349"/>
      <c r="Z92" s="349"/>
      <c r="AA92" s="349"/>
    </row>
    <row r="93" spans="1:27" s="533" customFormat="1" x14ac:dyDescent="0.25">
      <c r="A93" s="2"/>
      <c r="B93" s="19"/>
      <c r="C93" s="19"/>
      <c r="D93" s="194"/>
      <c r="E93" s="2075" t="str">
        <f>Translations!$B$1435</f>
        <v>Om du har valt ”Manuell inmatning” i avsnitt A.II är denna uppgift obligatorisk. I annat fall är det här avsnittet valfritt om inte nya delanläggningar är relevanta.</v>
      </c>
      <c r="F93" s="1960"/>
      <c r="G93" s="1960"/>
      <c r="H93" s="1960"/>
      <c r="I93" s="1960"/>
      <c r="J93" s="1960"/>
      <c r="K93" s="1960"/>
      <c r="L93" s="1960"/>
      <c r="M93" s="1960"/>
      <c r="N93" s="1960"/>
      <c r="O93" s="6"/>
      <c r="P93" s="15"/>
      <c r="Q93" s="349"/>
      <c r="R93" s="349"/>
      <c r="S93" s="349"/>
      <c r="T93" s="349"/>
      <c r="U93" s="349"/>
      <c r="V93" s="349"/>
      <c r="W93" s="349"/>
      <c r="X93" s="349"/>
      <c r="Y93" s="349"/>
      <c r="Z93" s="349"/>
      <c r="AA93" s="349"/>
    </row>
    <row r="94" spans="1:27" s="533" customFormat="1" ht="12.75" customHeight="1" x14ac:dyDescent="0.25">
      <c r="A94" s="2"/>
      <c r="B94" s="19"/>
      <c r="C94" s="19"/>
      <c r="D94" s="194"/>
      <c r="E94" s="1621" t="str">
        <f>Translations!$B$1436</f>
        <v>Historisk verksamhetsnivå (HAL)</v>
      </c>
      <c r="F94" s="2341" t="str">
        <f>Translations!$B$1437</f>
        <v>Uppgifterna här är endast relevanta om du har valt antingen ”manuell inmatning” i avsnitt A.II eller nya delanläggningar som startats efter den 30 juni 2019.</v>
      </c>
      <c r="G94" s="2341"/>
      <c r="H94" s="2341"/>
      <c r="I94" s="2341"/>
      <c r="J94" s="2341"/>
      <c r="K94" s="2341"/>
      <c r="L94" s="2341"/>
      <c r="M94" s="2341"/>
      <c r="N94" s="2341"/>
      <c r="O94" s="6"/>
      <c r="P94" s="15"/>
      <c r="Q94" s="349"/>
      <c r="R94" s="349"/>
      <c r="S94" s="349"/>
      <c r="T94" s="349"/>
      <c r="U94" s="349"/>
      <c r="V94" s="349"/>
      <c r="W94" s="349"/>
      <c r="X94" s="349"/>
      <c r="Y94" s="349"/>
      <c r="Z94" s="349"/>
      <c r="AA94" s="349"/>
    </row>
    <row r="95" spans="1:27" s="533" customFormat="1" ht="12.75" customHeight="1" x14ac:dyDescent="0.25">
      <c r="A95" s="2"/>
      <c r="B95" s="19"/>
      <c r="C95" s="19"/>
      <c r="D95" s="194"/>
      <c r="E95" s="1545"/>
      <c r="F95" s="2075" t="str">
        <f>Translations!$B$1438</f>
        <v>Den första förekomsten av det här värdet är i referensdatarapporten för nationella genomförandeåtgärder, sammanfattningsblad K, cell F481.</v>
      </c>
      <c r="G95" s="2075"/>
      <c r="H95" s="2075"/>
      <c r="I95" s="2075"/>
      <c r="J95" s="2075"/>
      <c r="K95" s="2075"/>
      <c r="L95" s="2075"/>
      <c r="M95" s="2075"/>
      <c r="N95" s="2075"/>
      <c r="O95" s="6"/>
      <c r="P95" s="15"/>
      <c r="Q95" s="349"/>
      <c r="R95" s="349"/>
      <c r="S95" s="349"/>
      <c r="T95" s="349"/>
      <c r="U95" s="349"/>
      <c r="V95" s="349"/>
      <c r="W95" s="349"/>
      <c r="X95" s="349"/>
      <c r="Y95" s="349"/>
      <c r="Z95" s="349"/>
      <c r="AA95" s="349"/>
    </row>
    <row r="96" spans="1:27" s="533" customFormat="1" ht="12.75" customHeight="1" x14ac:dyDescent="0.25">
      <c r="A96" s="2"/>
      <c r="B96" s="19"/>
      <c r="C96" s="19"/>
      <c r="D96" s="194"/>
      <c r="E96" s="1621" t="str">
        <f>Translations!$B$1036</f>
        <v>Värme utanför ETS</v>
      </c>
      <c r="F96" s="2341" t="str">
        <f>Translations!$B$1037</f>
        <v>Mängd som ska dras av från den preliminära årliga mängden utsläppsrätter i enlighet med artikel 21 i FAR</v>
      </c>
      <c r="G96" s="2341"/>
      <c r="H96" s="2341"/>
      <c r="I96" s="2341"/>
      <c r="J96" s="2341"/>
      <c r="K96" s="2341"/>
      <c r="L96" s="2341"/>
      <c r="M96" s="2341"/>
      <c r="N96" s="2341"/>
      <c r="O96" s="6"/>
      <c r="P96" s="15"/>
      <c r="Q96" s="349"/>
      <c r="R96" s="349"/>
      <c r="S96" s="349"/>
      <c r="T96" s="349"/>
      <c r="U96" s="349"/>
      <c r="V96" s="349"/>
      <c r="W96" s="349"/>
      <c r="X96" s="349"/>
      <c r="Y96" s="349"/>
      <c r="Z96" s="349"/>
      <c r="AA96" s="349"/>
    </row>
    <row r="97" spans="1:27" s="533" customFormat="1" x14ac:dyDescent="0.25">
      <c r="A97" s="2"/>
      <c r="B97" s="19"/>
      <c r="C97" s="19"/>
      <c r="D97" s="194"/>
      <c r="E97" s="1545"/>
      <c r="F97" s="2075" t="str">
        <f>Translations!$B$1439</f>
        <v>Den första förekomsten av det här värdet är i referensdatarapporten för nationella genomförandeåtgärder, sammanfattningsblad K, cell G474.</v>
      </c>
      <c r="G97" s="2075"/>
      <c r="H97" s="2075"/>
      <c r="I97" s="2075"/>
      <c r="J97" s="2075"/>
      <c r="K97" s="2075"/>
      <c r="L97" s="2075"/>
      <c r="M97" s="2075"/>
      <c r="N97" s="2075"/>
      <c r="O97" s="6"/>
      <c r="P97" s="15"/>
      <c r="Q97" s="349"/>
      <c r="R97" s="349"/>
      <c r="S97" s="349"/>
      <c r="T97" s="349"/>
      <c r="U97" s="349"/>
      <c r="V97" s="349"/>
      <c r="W97" s="349"/>
      <c r="X97" s="349"/>
      <c r="Y97" s="349"/>
      <c r="Z97" s="349"/>
      <c r="AA97" s="349"/>
    </row>
    <row r="98" spans="1:27" s="533" customFormat="1" ht="12.75" customHeight="1" x14ac:dyDescent="0.25">
      <c r="A98" s="2"/>
      <c r="B98" s="19"/>
      <c r="C98" s="19"/>
      <c r="D98" s="194"/>
      <c r="E98" s="1621" t="str">
        <f>Translations!$B$1433</f>
        <v>Facklad restgas</v>
      </c>
      <c r="F98" s="2341" t="str">
        <f>Translations!$B$1039</f>
        <v>Mängd som ska dras av från den preliminära årliga mängden utsläppsrätter för facklade restgaser från 2026 och framåt i enlighet med artikel 16.5 andra stycket i FAR</v>
      </c>
      <c r="G98" s="2341"/>
      <c r="H98" s="2341"/>
      <c r="I98" s="2341"/>
      <c r="J98" s="2341"/>
      <c r="K98" s="2341"/>
      <c r="L98" s="2341"/>
      <c r="M98" s="2341"/>
      <c r="N98" s="2341"/>
      <c r="O98" s="6"/>
      <c r="P98" s="15"/>
      <c r="Q98" s="349"/>
      <c r="R98" s="349"/>
      <c r="S98" s="349"/>
      <c r="T98" s="349"/>
      <c r="U98" s="349"/>
      <c r="V98" s="349"/>
      <c r="W98" s="349"/>
      <c r="X98" s="349"/>
      <c r="Y98" s="349"/>
      <c r="Z98" s="349"/>
      <c r="AA98" s="349"/>
    </row>
    <row r="99" spans="1:27" s="533" customFormat="1" x14ac:dyDescent="0.25">
      <c r="A99" s="2"/>
      <c r="B99" s="19"/>
      <c r="C99" s="19"/>
      <c r="D99" s="194"/>
      <c r="E99" s="809"/>
      <c r="F99" s="2075" t="str">
        <f>Translations!$B$1440</f>
        <v>Den första förekomsten av det här värdet är i referensdatarapporten för nationella genomförandeåtgärder, sammanfattningsblad K, cell H474.</v>
      </c>
      <c r="G99" s="2075"/>
      <c r="H99" s="2075"/>
      <c r="I99" s="2075"/>
      <c r="J99" s="2075"/>
      <c r="K99" s="2075"/>
      <c r="L99" s="2075"/>
      <c r="M99" s="2075"/>
      <c r="N99" s="2075"/>
      <c r="O99" s="6"/>
      <c r="P99" s="15"/>
      <c r="Q99" s="349"/>
      <c r="R99" s="349"/>
      <c r="S99" s="349"/>
      <c r="T99" s="349"/>
      <c r="U99" s="349"/>
      <c r="V99" s="349"/>
      <c r="W99" s="349"/>
      <c r="X99" s="349"/>
      <c r="Y99" s="349"/>
      <c r="Z99" s="349"/>
      <c r="AA99" s="349"/>
    </row>
    <row r="100" spans="1:27" s="533" customFormat="1" ht="12.75" customHeight="1" x14ac:dyDescent="0.25">
      <c r="A100" s="2"/>
      <c r="B100" s="19"/>
      <c r="C100" s="19"/>
      <c r="D100" s="194"/>
      <c r="E100" s="1621" t="s">
        <v>1526</v>
      </c>
      <c r="F100" s="2341" t="str">
        <f>Translations!$B$1035</f>
        <v>Beräkningsfaktor för att beakta utbytbarheten mellan el och bränsle i enlighet med artikel 22 i FAR</v>
      </c>
      <c r="G100" s="2341"/>
      <c r="H100" s="2341"/>
      <c r="I100" s="2341"/>
      <c r="J100" s="2341"/>
      <c r="K100" s="2341"/>
      <c r="L100" s="2341"/>
      <c r="M100" s="2341"/>
      <c r="N100" s="2341"/>
      <c r="O100" s="6"/>
      <c r="P100" s="15"/>
      <c r="Q100" s="349"/>
      <c r="R100" s="349"/>
      <c r="S100" s="349"/>
      <c r="T100" s="349"/>
      <c r="U100" s="349"/>
      <c r="V100" s="349"/>
      <c r="W100" s="349"/>
      <c r="X100" s="349"/>
      <c r="Y100" s="349"/>
      <c r="Z100" s="349"/>
      <c r="AA100" s="349"/>
    </row>
    <row r="101" spans="1:27" s="533" customFormat="1" x14ac:dyDescent="0.25">
      <c r="A101" s="2"/>
      <c r="B101" s="19"/>
      <c r="C101" s="19"/>
      <c r="D101" s="194"/>
      <c r="E101" s="809"/>
      <c r="F101" s="2075" t="str">
        <f>Translations!$B$1441</f>
        <v>Den första förekomsten av det här värdet är i referensdatarapporten för nationella genomförandeåtgärder, sammanfattningsblad K, cell I474.</v>
      </c>
      <c r="G101" s="2075"/>
      <c r="H101" s="2075"/>
      <c r="I101" s="2075"/>
      <c r="J101" s="2075"/>
      <c r="K101" s="2075"/>
      <c r="L101" s="2075"/>
      <c r="M101" s="2075"/>
      <c r="N101" s="2075"/>
      <c r="O101" s="6"/>
      <c r="P101" s="15"/>
      <c r="Q101" s="349"/>
      <c r="R101" s="349"/>
      <c r="S101" s="349"/>
      <c r="T101" s="349"/>
      <c r="U101" s="349"/>
      <c r="V101" s="349"/>
      <c r="W101" s="349"/>
      <c r="X101" s="349"/>
      <c r="Y101" s="349"/>
      <c r="Z101" s="349"/>
      <c r="AA101" s="349"/>
    </row>
    <row r="102" spans="1:27" s="533" customFormat="1" ht="12.75" customHeight="1" x14ac:dyDescent="0.25">
      <c r="A102" s="2"/>
      <c r="B102" s="19"/>
      <c r="C102" s="19"/>
      <c r="D102" s="194"/>
      <c r="E102" s="1621" t="s">
        <v>2057</v>
      </c>
      <c r="F102" s="2341" t="str">
        <f>Translations!$B$1040</f>
        <v>Mängd som ska läggas till den preliminära årliga mängden utsläppsrätter för ångkrackningsdelanläggningar i enlighet med artikel 19 i FAR</v>
      </c>
      <c r="G102" s="2341"/>
      <c r="H102" s="2341"/>
      <c r="I102" s="2341"/>
      <c r="J102" s="2341"/>
      <c r="K102" s="2341"/>
      <c r="L102" s="2341"/>
      <c r="M102" s="2341"/>
      <c r="N102" s="2341"/>
      <c r="O102" s="6"/>
      <c r="P102" s="15"/>
      <c r="Q102" s="349"/>
      <c r="R102" s="349"/>
      <c r="S102" s="349"/>
      <c r="T102" s="349"/>
      <c r="U102" s="349"/>
      <c r="V102" s="349"/>
      <c r="W102" s="349"/>
      <c r="X102" s="349"/>
      <c r="Y102" s="349"/>
      <c r="Z102" s="349"/>
      <c r="AA102" s="349"/>
    </row>
    <row r="103" spans="1:27" s="533" customFormat="1" x14ac:dyDescent="0.25">
      <c r="A103" s="2"/>
      <c r="B103" s="19"/>
      <c r="C103" s="19"/>
      <c r="D103" s="194"/>
      <c r="E103" s="809"/>
      <c r="F103" s="2075" t="str">
        <f>Translations!$B$1442</f>
        <v>Den första förekomsten av det här värdet är i referensdatarapporten för nationella genomförandeåtgärder, sammanfattningsblad K, cell J474.</v>
      </c>
      <c r="G103" s="2075"/>
      <c r="H103" s="2075"/>
      <c r="I103" s="2075"/>
      <c r="J103" s="2075"/>
      <c r="K103" s="2075"/>
      <c r="L103" s="2075"/>
      <c r="M103" s="2075"/>
      <c r="N103" s="2075"/>
      <c r="O103" s="6"/>
      <c r="P103" s="15"/>
      <c r="Q103" s="349"/>
      <c r="R103" s="349"/>
      <c r="S103" s="349"/>
      <c r="T103" s="349"/>
      <c r="U103" s="349"/>
      <c r="V103" s="349"/>
      <c r="W103" s="349"/>
      <c r="X103" s="349"/>
      <c r="Y103" s="349"/>
      <c r="Z103" s="349"/>
      <c r="AA103" s="349"/>
    </row>
    <row r="104" spans="1:27" s="533" customFormat="1" ht="12.75" customHeight="1" x14ac:dyDescent="0.25">
      <c r="A104" s="2"/>
      <c r="B104" s="19"/>
      <c r="C104" s="19"/>
      <c r="D104" s="194"/>
      <c r="E104" s="1621" t="s">
        <v>1528</v>
      </c>
      <c r="F104" s="2341" t="str">
        <f>Translations!$B$1041</f>
        <v>Beräkningsfaktor för att beakta vätgasrelaterade utsläpp i delanläggningar för vinylkloridmonomer i enlighet med artikel 20 i FAR</v>
      </c>
      <c r="G104" s="2341"/>
      <c r="H104" s="2341"/>
      <c r="I104" s="2341"/>
      <c r="J104" s="2341"/>
      <c r="K104" s="2341"/>
      <c r="L104" s="2341"/>
      <c r="M104" s="2341"/>
      <c r="N104" s="2341"/>
      <c r="O104" s="6"/>
      <c r="P104" s="15"/>
      <c r="Q104" s="349"/>
      <c r="R104" s="349"/>
      <c r="S104" s="349"/>
      <c r="T104" s="349"/>
      <c r="U104" s="349"/>
      <c r="V104" s="349"/>
      <c r="W104" s="349"/>
      <c r="X104" s="349"/>
      <c r="Y104" s="349"/>
      <c r="Z104" s="349"/>
      <c r="AA104" s="349"/>
    </row>
    <row r="105" spans="1:27" s="533" customFormat="1" x14ac:dyDescent="0.25">
      <c r="A105" s="2"/>
      <c r="B105" s="19"/>
      <c r="C105" s="19"/>
      <c r="D105" s="194"/>
      <c r="E105" s="809"/>
      <c r="F105" s="2075" t="str">
        <f>Translations!$B$1443</f>
        <v>Den första förekomsten av det här värdet är i referensdatarapporten för nationella genomförandeåtgärder, sammanfattningsblad K, cell K474.</v>
      </c>
      <c r="G105" s="2075"/>
      <c r="H105" s="2075"/>
      <c r="I105" s="2075"/>
      <c r="J105" s="2075"/>
      <c r="K105" s="2075"/>
      <c r="L105" s="2075"/>
      <c r="M105" s="2075"/>
      <c r="N105" s="2075"/>
      <c r="O105" s="6"/>
      <c r="P105" s="15"/>
      <c r="Q105" s="349"/>
      <c r="R105" s="349"/>
      <c r="S105" s="349"/>
      <c r="T105" s="349"/>
      <c r="U105" s="349"/>
      <c r="V105" s="349"/>
      <c r="W105" s="349"/>
      <c r="X105" s="349"/>
      <c r="Y105" s="349"/>
      <c r="Z105" s="349"/>
      <c r="AA105" s="349"/>
    </row>
    <row r="106" spans="1:27" s="533" customFormat="1" ht="38.9" customHeight="1" x14ac:dyDescent="0.25">
      <c r="A106" s="2"/>
      <c r="B106" s="19"/>
      <c r="C106" s="19"/>
      <c r="D106" s="194"/>
      <c r="E106" s="2404" t="str">
        <f>Translations!$B$1444</f>
        <v>Om uppgifter måste lämnas här ska du försäkra dig om att avrundningen är konsekvent med värdena i din referensdatarapport för nationella genomförandeåtgärder. Observera att avrundningen i referensrapporten till närmaste ton endast gäller för tilldelningen. För samtliga andra parametrar som ska anges här är de avrundade värdena som visas där inte alltid de värden som faktiskt används. Det rekommenderas därför att ”värden” kopieras från de nationella genomförandeåtgärderna cell för cell.</v>
      </c>
      <c r="F106" s="2404"/>
      <c r="G106" s="2404"/>
      <c r="H106" s="2404"/>
      <c r="I106" s="2404"/>
      <c r="J106" s="2404"/>
      <c r="K106" s="2404"/>
      <c r="L106" s="2404"/>
      <c r="M106" s="2404"/>
      <c r="N106" s="2404"/>
      <c r="O106" s="6"/>
      <c r="P106" s="15"/>
      <c r="Q106" s="349"/>
      <c r="R106" s="349"/>
      <c r="S106" s="936"/>
      <c r="T106" s="349"/>
      <c r="U106" s="349"/>
      <c r="V106" s="349"/>
      <c r="W106" s="349"/>
      <c r="X106" s="349"/>
      <c r="Y106" s="349"/>
      <c r="Z106" s="349"/>
      <c r="AA106" s="349"/>
    </row>
    <row r="107" spans="1:27" s="533" customFormat="1" ht="12.75" customHeight="1" x14ac:dyDescent="0.3">
      <c r="A107" s="343"/>
      <c r="B107" s="19"/>
      <c r="C107" s="19"/>
      <c r="D107" s="2416" t="str">
        <f>Translations!$B$169</f>
        <v>Nr</v>
      </c>
      <c r="E107" s="2414" t="str">
        <f>Translations!$B$170</f>
        <v>Produkttyp</v>
      </c>
      <c r="F107" s="2415"/>
      <c r="G107" s="2416"/>
      <c r="H107" s="2440" t="str">
        <f>Translations!$B$1014</f>
        <v>Enhet</v>
      </c>
      <c r="I107" s="1136" t="str">
        <f>Translations!$B$1432</f>
        <v>HAL</v>
      </c>
      <c r="J107" s="1137" t="str">
        <f t="shared" ref="J107:N108" si="28">J72</f>
        <v>Värme utanför ETS</v>
      </c>
      <c r="K107" s="1137" t="str">
        <f t="shared" si="28"/>
        <v>Facklad restgas</v>
      </c>
      <c r="L107" s="1137" t="str">
        <f t="shared" si="28"/>
        <v>ElExch-F</v>
      </c>
      <c r="M107" s="1137" t="str">
        <f t="shared" si="28"/>
        <v>HVC-corr</v>
      </c>
      <c r="N107" s="1138" t="str">
        <f t="shared" si="28"/>
        <v>VCM-F</v>
      </c>
      <c r="O107" s="6"/>
      <c r="P107" s="15"/>
      <c r="Q107" s="349"/>
      <c r="R107" s="349"/>
      <c r="S107" s="1400" t="s">
        <v>782</v>
      </c>
      <c r="T107" s="355" t="s">
        <v>1918</v>
      </c>
      <c r="U107" s="355" t="s">
        <v>339</v>
      </c>
      <c r="V107" s="638" t="s">
        <v>1965</v>
      </c>
      <c r="W107" s="638" t="s">
        <v>1526</v>
      </c>
      <c r="X107" s="638" t="s">
        <v>1919</v>
      </c>
      <c r="Y107" s="638" t="s">
        <v>1528</v>
      </c>
      <c r="Z107" s="349"/>
      <c r="AA107" s="349"/>
    </row>
    <row r="108" spans="1:27" s="533" customFormat="1" ht="12.75" customHeight="1" thickBot="1" x14ac:dyDescent="0.3">
      <c r="A108" s="343"/>
      <c r="B108" s="19"/>
      <c r="C108" s="19"/>
      <c r="D108" s="2419"/>
      <c r="E108" s="2414"/>
      <c r="F108" s="2415"/>
      <c r="G108" s="2416"/>
      <c r="H108" s="2441"/>
      <c r="I108" s="1647"/>
      <c r="J108" s="1647" t="str">
        <f t="shared" si="28"/>
        <v>EUA</v>
      </c>
      <c r="K108" s="1645" t="str">
        <f t="shared" si="28"/>
        <v>EUA</v>
      </c>
      <c r="L108" s="1648" t="str">
        <f t="shared" si="28"/>
        <v>-</v>
      </c>
      <c r="M108" s="1645" t="str">
        <f t="shared" si="28"/>
        <v>EUA</v>
      </c>
      <c r="N108" s="1648" t="str">
        <f t="shared" si="28"/>
        <v>-</v>
      </c>
      <c r="O108" s="6"/>
      <c r="P108" s="15"/>
      <c r="Q108" s="349"/>
      <c r="R108" s="349"/>
      <c r="S108" s="349"/>
      <c r="T108" s="355"/>
      <c r="U108" s="355"/>
      <c r="V108" s="638"/>
      <c r="W108" s="638"/>
      <c r="X108" s="638"/>
      <c r="Y108" s="638"/>
      <c r="Z108" s="349"/>
      <c r="AA108" s="349"/>
    </row>
    <row r="109" spans="1:27" s="533" customFormat="1" x14ac:dyDescent="0.25">
      <c r="A109" s="343"/>
      <c r="B109" s="19"/>
      <c r="C109" s="19"/>
      <c r="D109" s="288">
        <v>1</v>
      </c>
      <c r="E109" s="2411" t="str">
        <f t="shared" ref="E109:E118" si="29">IF(OR(CTRL_InputMethodNIMsvalues=2,CNTR_Incumbent=FALSE),U26,"")</f>
        <v/>
      </c>
      <c r="F109" s="2412"/>
      <c r="G109" s="2413"/>
      <c r="H109" s="1550" t="str">
        <f t="shared" ref="H109:H118" si="30">IF(E109="","",INDEX(CNTR_SubInstListHALUnit,MATCH(E109,CNTR_SubInstListNames,0)))</f>
        <v/>
      </c>
      <c r="I109" s="1664"/>
      <c r="J109" s="1663"/>
      <c r="K109" s="1663"/>
      <c r="L109" s="1669"/>
      <c r="M109" s="1663"/>
      <c r="N109" s="1669"/>
      <c r="O109" s="6"/>
      <c r="P109" s="1552"/>
      <c r="Q109" s="349"/>
      <c r="R109" s="349"/>
      <c r="S109" s="349"/>
      <c r="T109" s="355" t="b">
        <f t="shared" ref="T109:T118" si="31">OR(CTRL_InputMethodNIMsvalues=1,CNTR_Incumbent=FALSE,SUM(I26)&gt;DATE(2018,1,1),AND(CNTR_ExistSubInstEntries,$E109="",$G26=""))</f>
        <v>0</v>
      </c>
      <c r="U109" s="355" t="b">
        <f>T109</f>
        <v>0</v>
      </c>
      <c r="V109" s="355" t="b">
        <f>U109</f>
        <v>0</v>
      </c>
      <c r="W109" s="603" t="b">
        <f t="shared" ref="W109:W118" si="32">IF(CNTR_ExistSubInstEntries,IF(OR(T109,E109="",CTRL_InputMethodNIMsvalues&lt;&gt;2),TRUE,INDEX(EUconst_BMlistElExchangability,MATCH($E109,EUconst_BMlistNames,0))=FALSE),FALSE)</f>
        <v>0</v>
      </c>
      <c r="X109" s="603" t="b">
        <f t="shared" ref="X109:X118" si="33">IF(CNTR_ExistSubInstEntries,IF(OR(T109,$E109="",CTRL_InputMethodNIMsvalues&lt;&gt;2),TRUE,INDEX(EUconst_BMlistNumberOfBM,MATCH(E109,EUconst_BMlistNames,0))&lt;&gt;42),FALSE)</f>
        <v>0</v>
      </c>
      <c r="Y109" s="603" t="b">
        <f t="shared" ref="Y109:Y118" si="34">IF(CNTR_ExistSubInstEntries,IF(OR(T109,$E109="",CTRL_InputMethodNIMsvalues&lt;&gt;2),TRUE,INDEX(EUconst_BMlistNumberOfBM,MATCH(E109,EUconst_BMlistNames,0))&lt;&gt;47),FALSE)</f>
        <v>0</v>
      </c>
      <c r="Z109" s="1526" t="s">
        <v>2248</v>
      </c>
      <c r="AA109" s="493" t="str">
        <f t="shared" ref="AA109:AA118" si="35">IF(AND(CNTR_ExistSubInstEntries,COUNTIFS(T109:Y109,FALSE,I109:N109,"")&gt;0),2,"")</f>
        <v/>
      </c>
    </row>
    <row r="110" spans="1:27" s="533" customFormat="1" x14ac:dyDescent="0.25">
      <c r="A110" s="343"/>
      <c r="B110" s="19"/>
      <c r="C110" s="19"/>
      <c r="D110" s="287">
        <f t="shared" ref="D110:D118" si="36">D109+1</f>
        <v>2</v>
      </c>
      <c r="E110" s="2396" t="str">
        <f t="shared" si="29"/>
        <v/>
      </c>
      <c r="F110" s="2397"/>
      <c r="G110" s="2398"/>
      <c r="H110" s="1553" t="str">
        <f t="shared" si="30"/>
        <v/>
      </c>
      <c r="I110" s="1666"/>
      <c r="J110" s="1665"/>
      <c r="K110" s="1665"/>
      <c r="L110" s="1670"/>
      <c r="M110" s="1665"/>
      <c r="N110" s="1670"/>
      <c r="O110" s="6"/>
      <c r="P110" s="1552"/>
      <c r="Q110" s="349"/>
      <c r="R110" s="349"/>
      <c r="S110" s="349"/>
      <c r="T110" s="355" t="b">
        <f t="shared" si="31"/>
        <v>0</v>
      </c>
      <c r="U110" s="355" t="b">
        <f t="shared" ref="U110:U118" si="37">T110</f>
        <v>0</v>
      </c>
      <c r="V110" s="355" t="b">
        <f t="shared" ref="V110:V118" si="38">U110</f>
        <v>0</v>
      </c>
      <c r="W110" s="603" t="b">
        <f t="shared" si="32"/>
        <v>0</v>
      </c>
      <c r="X110" s="603" t="b">
        <f t="shared" si="33"/>
        <v>0</v>
      </c>
      <c r="Y110" s="603" t="b">
        <f t="shared" si="34"/>
        <v>0</v>
      </c>
      <c r="Z110" s="1526" t="s">
        <v>2248</v>
      </c>
      <c r="AA110" s="495" t="str">
        <f t="shared" si="35"/>
        <v/>
      </c>
    </row>
    <row r="111" spans="1:27" s="533" customFormat="1" x14ac:dyDescent="0.25">
      <c r="A111" s="343"/>
      <c r="B111" s="19"/>
      <c r="C111" s="19"/>
      <c r="D111" s="287">
        <f t="shared" si="36"/>
        <v>3</v>
      </c>
      <c r="E111" s="2396" t="str">
        <f t="shared" si="29"/>
        <v/>
      </c>
      <c r="F111" s="2397"/>
      <c r="G111" s="2398"/>
      <c r="H111" s="1553" t="str">
        <f t="shared" si="30"/>
        <v/>
      </c>
      <c r="I111" s="1666"/>
      <c r="J111" s="1665"/>
      <c r="K111" s="1665"/>
      <c r="L111" s="1670"/>
      <c r="M111" s="1665"/>
      <c r="N111" s="1670"/>
      <c r="O111" s="6"/>
      <c r="P111" s="1552"/>
      <c r="Q111" s="349"/>
      <c r="R111" s="349"/>
      <c r="S111" s="349"/>
      <c r="T111" s="355" t="b">
        <f t="shared" si="31"/>
        <v>0</v>
      </c>
      <c r="U111" s="355" t="b">
        <f t="shared" si="37"/>
        <v>0</v>
      </c>
      <c r="V111" s="355" t="b">
        <f t="shared" si="38"/>
        <v>0</v>
      </c>
      <c r="W111" s="603" t="b">
        <f t="shared" si="32"/>
        <v>0</v>
      </c>
      <c r="X111" s="603" t="b">
        <f t="shared" si="33"/>
        <v>0</v>
      </c>
      <c r="Y111" s="603" t="b">
        <f t="shared" si="34"/>
        <v>0</v>
      </c>
      <c r="Z111" s="1526" t="s">
        <v>2248</v>
      </c>
      <c r="AA111" s="495" t="str">
        <f t="shared" si="35"/>
        <v/>
      </c>
    </row>
    <row r="112" spans="1:27" s="533" customFormat="1" x14ac:dyDescent="0.25">
      <c r="A112" s="343"/>
      <c r="B112" s="19"/>
      <c r="C112" s="19"/>
      <c r="D112" s="287">
        <f t="shared" si="36"/>
        <v>4</v>
      </c>
      <c r="E112" s="2396" t="str">
        <f t="shared" si="29"/>
        <v/>
      </c>
      <c r="F112" s="2397"/>
      <c r="G112" s="2398"/>
      <c r="H112" s="1553" t="str">
        <f t="shared" si="30"/>
        <v/>
      </c>
      <c r="I112" s="1666"/>
      <c r="J112" s="1665"/>
      <c r="K112" s="1665"/>
      <c r="L112" s="1670"/>
      <c r="M112" s="1665"/>
      <c r="N112" s="1670"/>
      <c r="O112" s="6"/>
      <c r="P112" s="1552"/>
      <c r="Q112" s="349"/>
      <c r="R112" s="349"/>
      <c r="S112" s="349"/>
      <c r="T112" s="355" t="b">
        <f t="shared" si="31"/>
        <v>0</v>
      </c>
      <c r="U112" s="355" t="b">
        <f t="shared" si="37"/>
        <v>0</v>
      </c>
      <c r="V112" s="355" t="b">
        <f t="shared" si="38"/>
        <v>0</v>
      </c>
      <c r="W112" s="603" t="b">
        <f t="shared" si="32"/>
        <v>0</v>
      </c>
      <c r="X112" s="603" t="b">
        <f t="shared" si="33"/>
        <v>0</v>
      </c>
      <c r="Y112" s="603" t="b">
        <f t="shared" si="34"/>
        <v>0</v>
      </c>
      <c r="Z112" s="1526" t="s">
        <v>2248</v>
      </c>
      <c r="AA112" s="495" t="str">
        <f t="shared" si="35"/>
        <v/>
      </c>
    </row>
    <row r="113" spans="1:27" s="533" customFormat="1" x14ac:dyDescent="0.25">
      <c r="A113" s="343"/>
      <c r="B113" s="19"/>
      <c r="C113" s="19"/>
      <c r="D113" s="287">
        <f t="shared" si="36"/>
        <v>5</v>
      </c>
      <c r="E113" s="2396" t="str">
        <f t="shared" si="29"/>
        <v/>
      </c>
      <c r="F113" s="2397"/>
      <c r="G113" s="2398"/>
      <c r="H113" s="1553" t="str">
        <f t="shared" si="30"/>
        <v/>
      </c>
      <c r="I113" s="1666"/>
      <c r="J113" s="1665"/>
      <c r="K113" s="1665"/>
      <c r="L113" s="1670"/>
      <c r="M113" s="1665"/>
      <c r="N113" s="1670"/>
      <c r="O113" s="6"/>
      <c r="P113" s="1552"/>
      <c r="Q113" s="349"/>
      <c r="R113" s="349"/>
      <c r="S113" s="349"/>
      <c r="T113" s="355" t="b">
        <f t="shared" si="31"/>
        <v>0</v>
      </c>
      <c r="U113" s="355" t="b">
        <f t="shared" si="37"/>
        <v>0</v>
      </c>
      <c r="V113" s="355" t="b">
        <f t="shared" si="38"/>
        <v>0</v>
      </c>
      <c r="W113" s="603" t="b">
        <f t="shared" si="32"/>
        <v>0</v>
      </c>
      <c r="X113" s="603" t="b">
        <f t="shared" si="33"/>
        <v>0</v>
      </c>
      <c r="Y113" s="603" t="b">
        <f t="shared" si="34"/>
        <v>0</v>
      </c>
      <c r="Z113" s="1526" t="s">
        <v>2248</v>
      </c>
      <c r="AA113" s="495" t="str">
        <f t="shared" si="35"/>
        <v/>
      </c>
    </row>
    <row r="114" spans="1:27" s="533" customFormat="1" x14ac:dyDescent="0.25">
      <c r="A114" s="343"/>
      <c r="B114" s="19"/>
      <c r="C114" s="19"/>
      <c r="D114" s="287">
        <f t="shared" si="36"/>
        <v>6</v>
      </c>
      <c r="E114" s="2396" t="str">
        <f t="shared" si="29"/>
        <v/>
      </c>
      <c r="F114" s="2397"/>
      <c r="G114" s="2398"/>
      <c r="H114" s="1553" t="str">
        <f t="shared" si="30"/>
        <v/>
      </c>
      <c r="I114" s="1666"/>
      <c r="J114" s="1665"/>
      <c r="K114" s="1665"/>
      <c r="L114" s="1670"/>
      <c r="M114" s="1665"/>
      <c r="N114" s="1670"/>
      <c r="O114" s="6"/>
      <c r="P114" s="1552"/>
      <c r="Q114" s="349"/>
      <c r="R114" s="349"/>
      <c r="S114" s="349"/>
      <c r="T114" s="355" t="b">
        <f t="shared" si="31"/>
        <v>0</v>
      </c>
      <c r="U114" s="355" t="b">
        <f t="shared" si="37"/>
        <v>0</v>
      </c>
      <c r="V114" s="355" t="b">
        <f t="shared" si="38"/>
        <v>0</v>
      </c>
      <c r="W114" s="603" t="b">
        <f t="shared" si="32"/>
        <v>0</v>
      </c>
      <c r="X114" s="603" t="b">
        <f t="shared" si="33"/>
        <v>0</v>
      </c>
      <c r="Y114" s="603" t="b">
        <f t="shared" si="34"/>
        <v>0</v>
      </c>
      <c r="Z114" s="1526" t="s">
        <v>2248</v>
      </c>
      <c r="AA114" s="495" t="str">
        <f t="shared" si="35"/>
        <v/>
      </c>
    </row>
    <row r="115" spans="1:27" s="533" customFormat="1" x14ac:dyDescent="0.25">
      <c r="A115" s="343"/>
      <c r="B115" s="19"/>
      <c r="C115" s="19"/>
      <c r="D115" s="287">
        <f t="shared" si="36"/>
        <v>7</v>
      </c>
      <c r="E115" s="2396" t="str">
        <f t="shared" si="29"/>
        <v/>
      </c>
      <c r="F115" s="2397"/>
      <c r="G115" s="2398"/>
      <c r="H115" s="1553" t="str">
        <f t="shared" si="30"/>
        <v/>
      </c>
      <c r="I115" s="1666"/>
      <c r="J115" s="1665"/>
      <c r="K115" s="1665"/>
      <c r="L115" s="1670"/>
      <c r="M115" s="1665"/>
      <c r="N115" s="1670"/>
      <c r="O115" s="6"/>
      <c r="P115" s="1552"/>
      <c r="Q115" s="349"/>
      <c r="R115" s="349"/>
      <c r="S115" s="349"/>
      <c r="T115" s="355" t="b">
        <f t="shared" si="31"/>
        <v>0</v>
      </c>
      <c r="U115" s="355" t="b">
        <f t="shared" si="37"/>
        <v>0</v>
      </c>
      <c r="V115" s="355" t="b">
        <f t="shared" si="38"/>
        <v>0</v>
      </c>
      <c r="W115" s="603" t="b">
        <f t="shared" si="32"/>
        <v>0</v>
      </c>
      <c r="X115" s="603" t="b">
        <f t="shared" si="33"/>
        <v>0</v>
      </c>
      <c r="Y115" s="603" t="b">
        <f t="shared" si="34"/>
        <v>0</v>
      </c>
      <c r="Z115" s="1526" t="s">
        <v>2248</v>
      </c>
      <c r="AA115" s="495" t="str">
        <f t="shared" si="35"/>
        <v/>
      </c>
    </row>
    <row r="116" spans="1:27" s="533" customFormat="1" x14ac:dyDescent="0.25">
      <c r="A116" s="343"/>
      <c r="B116" s="19"/>
      <c r="C116" s="19"/>
      <c r="D116" s="287">
        <f t="shared" si="36"/>
        <v>8</v>
      </c>
      <c r="E116" s="2396" t="str">
        <f t="shared" si="29"/>
        <v/>
      </c>
      <c r="F116" s="2397"/>
      <c r="G116" s="2398"/>
      <c r="H116" s="1553" t="str">
        <f t="shared" si="30"/>
        <v/>
      </c>
      <c r="I116" s="1666"/>
      <c r="J116" s="1665"/>
      <c r="K116" s="1665"/>
      <c r="L116" s="1670"/>
      <c r="M116" s="1665"/>
      <c r="N116" s="1670"/>
      <c r="O116" s="6"/>
      <c r="P116" s="1552"/>
      <c r="Q116" s="349"/>
      <c r="R116" s="349"/>
      <c r="S116" s="349"/>
      <c r="T116" s="355" t="b">
        <f t="shared" si="31"/>
        <v>0</v>
      </c>
      <c r="U116" s="355" t="b">
        <f t="shared" si="37"/>
        <v>0</v>
      </c>
      <c r="V116" s="355" t="b">
        <f t="shared" si="38"/>
        <v>0</v>
      </c>
      <c r="W116" s="603" t="b">
        <f t="shared" si="32"/>
        <v>0</v>
      </c>
      <c r="X116" s="603" t="b">
        <f t="shared" si="33"/>
        <v>0</v>
      </c>
      <c r="Y116" s="603" t="b">
        <f t="shared" si="34"/>
        <v>0</v>
      </c>
      <c r="Z116" s="1526" t="s">
        <v>2248</v>
      </c>
      <c r="AA116" s="495" t="str">
        <f t="shared" si="35"/>
        <v/>
      </c>
    </row>
    <row r="117" spans="1:27" s="533" customFormat="1" x14ac:dyDescent="0.25">
      <c r="A117" s="343"/>
      <c r="B117" s="19"/>
      <c r="C117" s="19"/>
      <c r="D117" s="287">
        <f t="shared" si="36"/>
        <v>9</v>
      </c>
      <c r="E117" s="2396" t="str">
        <f t="shared" si="29"/>
        <v/>
      </c>
      <c r="F117" s="2397"/>
      <c r="G117" s="2398"/>
      <c r="H117" s="1553" t="str">
        <f t="shared" si="30"/>
        <v/>
      </c>
      <c r="I117" s="1666"/>
      <c r="J117" s="1665"/>
      <c r="K117" s="1665"/>
      <c r="L117" s="1670"/>
      <c r="M117" s="1665"/>
      <c r="N117" s="1670"/>
      <c r="O117" s="6"/>
      <c r="P117" s="1552"/>
      <c r="Q117" s="349"/>
      <c r="R117" s="349"/>
      <c r="S117" s="349"/>
      <c r="T117" s="355" t="b">
        <f t="shared" si="31"/>
        <v>0</v>
      </c>
      <c r="U117" s="355" t="b">
        <f t="shared" si="37"/>
        <v>0</v>
      </c>
      <c r="V117" s="355" t="b">
        <f t="shared" si="38"/>
        <v>0</v>
      </c>
      <c r="W117" s="603" t="b">
        <f t="shared" si="32"/>
        <v>0</v>
      </c>
      <c r="X117" s="603" t="b">
        <f t="shared" si="33"/>
        <v>0</v>
      </c>
      <c r="Y117" s="603" t="b">
        <f t="shared" si="34"/>
        <v>0</v>
      </c>
      <c r="Z117" s="1526" t="s">
        <v>2248</v>
      </c>
      <c r="AA117" s="495" t="str">
        <f t="shared" si="35"/>
        <v/>
      </c>
    </row>
    <row r="118" spans="1:27" s="533" customFormat="1" ht="13" thickBot="1" x14ac:dyDescent="0.3">
      <c r="A118" s="343"/>
      <c r="B118" s="19"/>
      <c r="C118" s="19"/>
      <c r="D118" s="286">
        <f t="shared" si="36"/>
        <v>10</v>
      </c>
      <c r="E118" s="2466" t="str">
        <f t="shared" si="29"/>
        <v/>
      </c>
      <c r="F118" s="2462"/>
      <c r="G118" s="2463"/>
      <c r="H118" s="1554" t="str">
        <f t="shared" si="30"/>
        <v/>
      </c>
      <c r="I118" s="1668"/>
      <c r="J118" s="1667"/>
      <c r="K118" s="1667"/>
      <c r="L118" s="1671"/>
      <c r="M118" s="1667"/>
      <c r="N118" s="1671"/>
      <c r="O118" s="6"/>
      <c r="P118" s="1552"/>
      <c r="Q118" s="349"/>
      <c r="R118" s="349"/>
      <c r="S118" s="349"/>
      <c r="T118" s="355" t="b">
        <f t="shared" si="31"/>
        <v>0</v>
      </c>
      <c r="U118" s="355" t="b">
        <f t="shared" si="37"/>
        <v>0</v>
      </c>
      <c r="V118" s="355" t="b">
        <f t="shared" si="38"/>
        <v>0</v>
      </c>
      <c r="W118" s="603" t="b">
        <f t="shared" si="32"/>
        <v>0</v>
      </c>
      <c r="X118" s="603" t="b">
        <f t="shared" si="33"/>
        <v>0</v>
      </c>
      <c r="Y118" s="603" t="b">
        <f t="shared" si="34"/>
        <v>0</v>
      </c>
      <c r="Z118" s="1526" t="s">
        <v>2248</v>
      </c>
      <c r="AA118" s="497" t="str">
        <f t="shared" si="35"/>
        <v/>
      </c>
    </row>
    <row r="119" spans="1:27" s="533" customFormat="1" ht="12.75" customHeight="1" x14ac:dyDescent="0.25">
      <c r="A119" s="2"/>
      <c r="B119" s="19"/>
      <c r="C119" s="19"/>
      <c r="D119" s="288">
        <v>11</v>
      </c>
      <c r="E119" s="2464" t="str">
        <f t="shared" ref="E119:E125" si="39">INDEX(EUconst_FallBackListNames,D119-10)</f>
        <v>Delanläggning med värmeriktmärke, KL</v>
      </c>
      <c r="F119" s="2467"/>
      <c r="G119" s="2413"/>
      <c r="H119" s="1555" t="str">
        <f>EUconst_TJ</f>
        <v>TJ</v>
      </c>
      <c r="I119" s="1664"/>
      <c r="J119" s="1731"/>
      <c r="K119" s="1732"/>
      <c r="L119" s="1732"/>
      <c r="M119" s="1732"/>
      <c r="N119" s="1733"/>
      <c r="O119" s="6"/>
      <c r="P119" s="1552"/>
      <c r="Q119" s="349"/>
      <c r="R119" s="349"/>
      <c r="S119" s="349"/>
      <c r="T119" s="355" t="b">
        <f t="shared" ref="T119:T125" si="40">OR(CTRL_InputMethodNIMsvalues=1,CNTR_Incumbent=FALSE,SUM(I57)&gt;DATE(2018,1,1),AND(CNTR_ExistSubInstEntries,H57&lt;&gt;TRUE))</f>
        <v>0</v>
      </c>
      <c r="U119" s="349"/>
      <c r="V119" s="349"/>
      <c r="W119" s="349"/>
      <c r="X119" s="349"/>
      <c r="Y119" s="349"/>
      <c r="Z119" s="1526" t="s">
        <v>2248</v>
      </c>
      <c r="AA119" s="493" t="str">
        <f t="shared" ref="AA119:AA125" si="41">IF(AND(CNTR_ExistSubInstEntries,COUNTIFS(T119,FALSE,I119,"")&gt;0),2,"")</f>
        <v/>
      </c>
    </row>
    <row r="120" spans="1:27" s="533" customFormat="1" ht="12.75" customHeight="1" x14ac:dyDescent="0.25">
      <c r="A120" s="2"/>
      <c r="B120" s="19"/>
      <c r="C120" s="19"/>
      <c r="D120" s="287">
        <f>D119+1</f>
        <v>12</v>
      </c>
      <c r="E120" s="2426" t="str">
        <f t="shared" si="39"/>
        <v>Delanläggning med värmeriktmärke, ej KL</v>
      </c>
      <c r="F120" s="2397"/>
      <c r="G120" s="2398"/>
      <c r="H120" s="1556" t="str">
        <f>EUconst_TJ</f>
        <v>TJ</v>
      </c>
      <c r="I120" s="1666"/>
      <c r="J120" s="1734"/>
      <c r="K120" s="1735"/>
      <c r="L120" s="1735"/>
      <c r="M120" s="1735"/>
      <c r="N120" s="1736"/>
      <c r="O120" s="6"/>
      <c r="P120" s="1552"/>
      <c r="Q120" s="349"/>
      <c r="R120" s="349"/>
      <c r="S120" s="349"/>
      <c r="T120" s="355" t="b">
        <f t="shared" si="40"/>
        <v>0</v>
      </c>
      <c r="U120" s="349"/>
      <c r="V120" s="349"/>
      <c r="W120" s="349"/>
      <c r="X120" s="349"/>
      <c r="Y120" s="349"/>
      <c r="Z120" s="1526" t="s">
        <v>2248</v>
      </c>
      <c r="AA120" s="495" t="str">
        <f t="shared" si="41"/>
        <v/>
      </c>
    </row>
    <row r="121" spans="1:27" s="533" customFormat="1" ht="12.75" customHeight="1" x14ac:dyDescent="0.25">
      <c r="A121" s="2"/>
      <c r="B121" s="19"/>
      <c r="C121" s="19"/>
      <c r="D121" s="287">
        <f>D120+1</f>
        <v>13</v>
      </c>
      <c r="E121" s="2426" t="str">
        <f t="shared" si="39"/>
        <v>Fjärrvärmedelanläggning</v>
      </c>
      <c r="F121" s="2397"/>
      <c r="G121" s="2398"/>
      <c r="H121" s="1556" t="str">
        <f>EUconst_TJ</f>
        <v>TJ</v>
      </c>
      <c r="I121" s="1666"/>
      <c r="J121" s="1734"/>
      <c r="K121" s="1735"/>
      <c r="L121" s="1735"/>
      <c r="M121" s="1735"/>
      <c r="N121" s="1736"/>
      <c r="O121" s="6"/>
      <c r="P121" s="1552"/>
      <c r="Q121" s="349"/>
      <c r="R121" s="349"/>
      <c r="S121" s="349"/>
      <c r="T121" s="355" t="b">
        <f t="shared" si="40"/>
        <v>0</v>
      </c>
      <c r="U121" s="349"/>
      <c r="V121" s="349"/>
      <c r="W121" s="349"/>
      <c r="X121" s="349"/>
      <c r="Y121" s="349"/>
      <c r="Z121" s="1526" t="s">
        <v>2248</v>
      </c>
      <c r="AA121" s="495" t="str">
        <f t="shared" si="41"/>
        <v/>
      </c>
    </row>
    <row r="122" spans="1:27" s="533" customFormat="1" ht="12.75" customHeight="1" x14ac:dyDescent="0.25">
      <c r="A122" s="2"/>
      <c r="B122" s="19"/>
      <c r="C122" s="19"/>
      <c r="D122" s="287">
        <f>D121+1</f>
        <v>14</v>
      </c>
      <c r="E122" s="2426" t="str">
        <f t="shared" si="39"/>
        <v>Delanläggning med bränsleriktmärke, KL</v>
      </c>
      <c r="F122" s="2397"/>
      <c r="G122" s="2398"/>
      <c r="H122" s="1556" t="str">
        <f>EUconst_TJ</f>
        <v>TJ</v>
      </c>
      <c r="I122" s="1666"/>
      <c r="J122" s="1734"/>
      <c r="K122" s="1735"/>
      <c r="L122" s="1735"/>
      <c r="M122" s="1735"/>
      <c r="N122" s="1736"/>
      <c r="O122" s="6"/>
      <c r="P122" s="1552"/>
      <c r="Q122" s="349"/>
      <c r="R122" s="349"/>
      <c r="S122" s="349"/>
      <c r="T122" s="355" t="b">
        <f t="shared" si="40"/>
        <v>0</v>
      </c>
      <c r="U122" s="349"/>
      <c r="V122" s="349"/>
      <c r="W122" s="349"/>
      <c r="X122" s="349"/>
      <c r="Y122" s="349"/>
      <c r="Z122" s="1526" t="s">
        <v>2248</v>
      </c>
      <c r="AA122" s="495" t="str">
        <f t="shared" si="41"/>
        <v/>
      </c>
    </row>
    <row r="123" spans="1:27" s="533" customFormat="1" ht="12.75" customHeight="1" x14ac:dyDescent="0.25">
      <c r="A123" s="2"/>
      <c r="B123" s="19"/>
      <c r="C123" s="19"/>
      <c r="D123" s="287">
        <f>D122+1</f>
        <v>15</v>
      </c>
      <c r="E123" s="2426" t="str">
        <f t="shared" si="39"/>
        <v>Delanläggning med bränsleriktmärke, ej KL</v>
      </c>
      <c r="F123" s="2397"/>
      <c r="G123" s="2398"/>
      <c r="H123" s="1556" t="str">
        <f>EUconst_TJ</f>
        <v>TJ</v>
      </c>
      <c r="I123" s="1666"/>
      <c r="J123" s="1734"/>
      <c r="K123" s="1735"/>
      <c r="L123" s="1735"/>
      <c r="M123" s="1735"/>
      <c r="N123" s="1736"/>
      <c r="O123" s="6"/>
      <c r="P123" s="1552"/>
      <c r="Q123" s="349"/>
      <c r="R123" s="349"/>
      <c r="S123" s="349"/>
      <c r="T123" s="355" t="b">
        <f t="shared" si="40"/>
        <v>0</v>
      </c>
      <c r="U123" s="349"/>
      <c r="V123" s="349"/>
      <c r="W123" s="349"/>
      <c r="X123" s="349"/>
      <c r="Y123" s="349"/>
      <c r="Z123" s="1526" t="s">
        <v>2248</v>
      </c>
      <c r="AA123" s="495" t="str">
        <f t="shared" si="41"/>
        <v/>
      </c>
    </row>
    <row r="124" spans="1:27" s="533" customFormat="1" ht="12.75" customHeight="1" x14ac:dyDescent="0.25">
      <c r="A124" s="2"/>
      <c r="B124" s="19"/>
      <c r="C124" s="19"/>
      <c r="D124" s="287">
        <f>D123+1</f>
        <v>16</v>
      </c>
      <c r="E124" s="2426" t="str">
        <f t="shared" si="39"/>
        <v>Delanläggning med processutsläpp, KL</v>
      </c>
      <c r="F124" s="2397"/>
      <c r="G124" s="2398"/>
      <c r="H124" s="1556" t="str">
        <f>EUconst_tCO2e</f>
        <v>t CO2e</v>
      </c>
      <c r="I124" s="1666"/>
      <c r="J124" s="1734"/>
      <c r="K124" s="1735"/>
      <c r="L124" s="1735"/>
      <c r="M124" s="1735"/>
      <c r="N124" s="1736"/>
      <c r="O124" s="6"/>
      <c r="P124" s="1552"/>
      <c r="Q124" s="349"/>
      <c r="R124" s="349"/>
      <c r="S124" s="349"/>
      <c r="T124" s="355" t="b">
        <f t="shared" si="40"/>
        <v>0</v>
      </c>
      <c r="U124" s="349"/>
      <c r="V124" s="349"/>
      <c r="W124" s="349"/>
      <c r="X124" s="349"/>
      <c r="Y124" s="349"/>
      <c r="Z124" s="1526" t="s">
        <v>2248</v>
      </c>
      <c r="AA124" s="495" t="str">
        <f t="shared" si="41"/>
        <v/>
      </c>
    </row>
    <row r="125" spans="1:27" s="533" customFormat="1" ht="13.5" customHeight="1" thickBot="1" x14ac:dyDescent="0.3">
      <c r="A125" s="2"/>
      <c r="B125" s="19"/>
      <c r="C125" s="19"/>
      <c r="D125" s="286">
        <v>17</v>
      </c>
      <c r="E125" s="2406" t="str">
        <f t="shared" si="39"/>
        <v>Delanläggning med processutsläpp, ej KL</v>
      </c>
      <c r="F125" s="2462"/>
      <c r="G125" s="2463"/>
      <c r="H125" s="1557" t="str">
        <f>EUconst_tCO2e</f>
        <v>t CO2e</v>
      </c>
      <c r="I125" s="1668"/>
      <c r="J125" s="1737"/>
      <c r="K125" s="1738"/>
      <c r="L125" s="1738"/>
      <c r="M125" s="1738"/>
      <c r="N125" s="1739"/>
      <c r="O125" s="6"/>
      <c r="P125" s="1552"/>
      <c r="Q125" s="349"/>
      <c r="R125" s="349"/>
      <c r="S125" s="349"/>
      <c r="T125" s="355" t="b">
        <f t="shared" si="40"/>
        <v>0</v>
      </c>
      <c r="U125" s="349"/>
      <c r="V125" s="349"/>
      <c r="W125" s="349"/>
      <c r="X125" s="349"/>
      <c r="Y125" s="349"/>
      <c r="Z125" s="1526" t="s">
        <v>2248</v>
      </c>
      <c r="AA125" s="497" t="str">
        <f t="shared" si="41"/>
        <v/>
      </c>
    </row>
    <row r="126" spans="1:27" s="533" customFormat="1" x14ac:dyDescent="0.25">
      <c r="A126" s="343"/>
      <c r="B126" s="19"/>
      <c r="C126" s="19"/>
      <c r="D126" s="19"/>
      <c r="E126" s="19"/>
      <c r="F126" s="19"/>
      <c r="G126" s="19"/>
      <c r="H126" s="19"/>
      <c r="I126" s="19"/>
      <c r="J126" s="19"/>
      <c r="K126" s="19"/>
      <c r="L126" s="19"/>
      <c r="M126" s="19"/>
      <c r="N126" s="19"/>
      <c r="O126" s="6"/>
      <c r="P126" s="15"/>
      <c r="Q126" s="349"/>
      <c r="R126" s="349"/>
      <c r="S126" s="349"/>
      <c r="T126" s="349"/>
      <c r="U126" s="349"/>
      <c r="V126" s="349"/>
      <c r="W126" s="349"/>
      <c r="X126" s="349"/>
      <c r="Y126" s="349"/>
      <c r="Z126" s="349"/>
      <c r="AA126" s="349"/>
    </row>
    <row r="127" spans="1:27" s="533" customFormat="1" ht="13" x14ac:dyDescent="0.25">
      <c r="A127" s="2"/>
      <c r="B127" s="19"/>
      <c r="C127" s="19"/>
      <c r="D127" s="13" t="s">
        <v>55</v>
      </c>
      <c r="E127" s="1943" t="str">
        <f>Translations!$B$1445</f>
        <v>Resultat: Parametrar för ursprunglig tilldelning enligt nationella genomförandeåtgärder</v>
      </c>
      <c r="F127" s="1963"/>
      <c r="G127" s="1963"/>
      <c r="H127" s="1963"/>
      <c r="I127" s="1963"/>
      <c r="J127" s="1963"/>
      <c r="K127" s="1963"/>
      <c r="L127" s="1963"/>
      <c r="M127" s="1963"/>
      <c r="N127" s="1963"/>
      <c r="O127" s="6"/>
      <c r="P127" s="15"/>
      <c r="Q127" s="349"/>
      <c r="R127" s="349"/>
      <c r="S127" s="349"/>
      <c r="T127" s="349"/>
      <c r="U127" s="349"/>
      <c r="V127" s="349"/>
      <c r="W127" s="349"/>
      <c r="X127" s="349"/>
      <c r="Y127" s="349"/>
      <c r="Z127" s="349"/>
      <c r="AA127" s="349"/>
    </row>
    <row r="128" spans="1:27" s="533" customFormat="1" x14ac:dyDescent="0.25">
      <c r="A128" s="2"/>
      <c r="B128" s="19"/>
      <c r="C128" s="19"/>
      <c r="D128" s="194"/>
      <c r="E128" s="2075" t="str">
        <f>Translations!$B$1446</f>
        <v>Den här tabellen visar tilldelningsrelevanta parametrar på samma sätt som för de nationella genomförandeåtgärderna, före eventuella tilldelningsändringar till följd av bestämmelserna i verksamhetsändringsförordningen. För nya deltagare eller nya delanläggningar kommer värdena alltid att vara noll här.</v>
      </c>
      <c r="F128" s="1960"/>
      <c r="G128" s="1960"/>
      <c r="H128" s="1960"/>
      <c r="I128" s="1960"/>
      <c r="J128" s="1960"/>
      <c r="K128" s="1960"/>
      <c r="L128" s="1960"/>
      <c r="M128" s="1960"/>
      <c r="N128" s="1960"/>
      <c r="O128" s="6"/>
      <c r="P128" s="15"/>
      <c r="Q128" s="349"/>
      <c r="R128" s="349"/>
      <c r="S128" s="349"/>
      <c r="T128" s="349"/>
      <c r="U128" s="349"/>
      <c r="V128" s="349"/>
      <c r="W128" s="349"/>
      <c r="X128" s="349"/>
      <c r="Y128" s="349"/>
      <c r="Z128" s="349"/>
      <c r="AA128" s="349"/>
    </row>
    <row r="129" spans="1:27" s="533" customFormat="1" ht="12.75" customHeight="1" x14ac:dyDescent="0.3">
      <c r="A129" s="343"/>
      <c r="B129" s="19"/>
      <c r="C129" s="19"/>
      <c r="D129" s="2416" t="str">
        <f>Translations!$B$169</f>
        <v>Nr</v>
      </c>
      <c r="E129" s="2414" t="str">
        <f>Translations!$B$170</f>
        <v>Produkttyp</v>
      </c>
      <c r="F129" s="2415"/>
      <c r="G129" s="2415"/>
      <c r="H129" s="2416"/>
      <c r="I129" s="1136" t="str">
        <f t="shared" ref="I129:N129" si="42">I107</f>
        <v>HAL</v>
      </c>
      <c r="J129" s="1137" t="str">
        <f t="shared" si="42"/>
        <v>Värme utanför ETS</v>
      </c>
      <c r="K129" s="1137" t="str">
        <f t="shared" si="42"/>
        <v>Facklad restgas</v>
      </c>
      <c r="L129" s="1137" t="str">
        <f t="shared" si="42"/>
        <v>ElExch-F</v>
      </c>
      <c r="M129" s="1137" t="str">
        <f t="shared" si="42"/>
        <v>HVC-corr</v>
      </c>
      <c r="N129" s="1138" t="str">
        <f t="shared" si="42"/>
        <v>VCM-F</v>
      </c>
      <c r="O129" s="6"/>
      <c r="P129" s="15"/>
      <c r="Q129" s="349"/>
      <c r="R129" s="349"/>
      <c r="S129" s="1208" t="s">
        <v>1945</v>
      </c>
      <c r="T129" s="349"/>
      <c r="U129" s="349"/>
      <c r="V129" s="349"/>
      <c r="W129" s="349"/>
      <c r="X129" s="349"/>
      <c r="Y129" s="349"/>
      <c r="Z129" s="349"/>
      <c r="AA129" s="349"/>
    </row>
    <row r="130" spans="1:27" s="533" customFormat="1" ht="13" x14ac:dyDescent="0.3">
      <c r="A130" s="343"/>
      <c r="B130" s="19"/>
      <c r="C130" s="19"/>
      <c r="D130" s="2439"/>
      <c r="E130" s="2417"/>
      <c r="F130" s="2418"/>
      <c r="G130" s="2418"/>
      <c r="H130" s="2419"/>
      <c r="I130" s="1646"/>
      <c r="J130" s="1645" t="str">
        <f>J108</f>
        <v>EUA</v>
      </c>
      <c r="K130" s="1645" t="str">
        <f>K108</f>
        <v>EUA</v>
      </c>
      <c r="L130" s="1645" t="str">
        <f>L108</f>
        <v>-</v>
      </c>
      <c r="M130" s="1645" t="str">
        <f>M108</f>
        <v>EUA</v>
      </c>
      <c r="N130" s="1645" t="str">
        <f>N108</f>
        <v>-</v>
      </c>
      <c r="O130" s="6"/>
      <c r="P130" s="15"/>
      <c r="Q130" s="349"/>
      <c r="R130" s="349"/>
      <c r="S130" s="1208"/>
      <c r="T130" s="349"/>
      <c r="U130" s="349"/>
      <c r="V130" s="349"/>
      <c r="W130" s="349"/>
      <c r="X130" s="349"/>
      <c r="Y130" s="349"/>
      <c r="Z130" s="349"/>
      <c r="AA130" s="349"/>
    </row>
    <row r="131" spans="1:27" s="533" customFormat="1" x14ac:dyDescent="0.25">
      <c r="A131" s="343"/>
      <c r="B131" s="19"/>
      <c r="C131" s="19"/>
      <c r="D131" s="288">
        <v>1</v>
      </c>
      <c r="E131" s="2459" t="str">
        <f t="shared" ref="E131:E140" si="43">U26</f>
        <v/>
      </c>
      <c r="F131" s="2460"/>
      <c r="G131" s="2460"/>
      <c r="H131" s="2461"/>
      <c r="I131" s="1658" t="str">
        <f t="shared" ref="I131:M140" si="44">IF($E131="","",SUM(IF(I109="",I74,I109)))</f>
        <v/>
      </c>
      <c r="J131" s="1657" t="str">
        <f t="shared" si="44"/>
        <v/>
      </c>
      <c r="K131" s="1657" t="str">
        <f t="shared" si="44"/>
        <v/>
      </c>
      <c r="L131" s="1728" t="str">
        <f>IF($E131="","",SUM(IF(L109="",IF(L74="",1,L74),L109)))</f>
        <v/>
      </c>
      <c r="M131" s="1657" t="str">
        <f t="shared" si="44"/>
        <v/>
      </c>
      <c r="N131" s="1728" t="str">
        <f>IF($E131="","",SUM(IF(N109="",IF(N74="",1,N74),N109)))</f>
        <v/>
      </c>
      <c r="O131" s="6"/>
      <c r="P131" s="15"/>
      <c r="Q131" s="349"/>
      <c r="R131" s="349"/>
      <c r="S131" s="355" t="str">
        <f t="shared" ref="S131:S147" si="45">EUconst_AllocPrelim &amp; $E131</f>
        <v>AllocPrelim_</v>
      </c>
      <c r="T131" s="355" t="str">
        <f t="shared" ref="T131:T147" si="46">EUconst_CNTR_HALinitial &amp; $E131</f>
        <v>HALini_</v>
      </c>
      <c r="U131" s="355" t="str">
        <f t="shared" ref="U131:U140" si="47">EUconst_CNTR_HEATInitial &amp; $E131</f>
        <v>HEATIni_</v>
      </c>
      <c r="V131" s="355" t="str">
        <f t="shared" ref="V131:V140" si="48">EUconst_CNTR_HALinitial &amp; EUconst_CNTR_WGFlared &amp; E131</f>
        <v>HALini_WasteGasFlare_</v>
      </c>
      <c r="W131" s="355" t="str">
        <f t="shared" ref="W131:W140" si="49">EUconst_CNTR_HAL &amp; EUconst_CNTR_ELEXCHInitial &amp; $E131</f>
        <v>HAL_ELEXCHIni_</v>
      </c>
      <c r="X131" s="355" t="str">
        <f t="shared" ref="X131:X140" si="50">EUconst_CNTR_HVCInitial &amp; $E131</f>
        <v>HVCIni_</v>
      </c>
      <c r="Y131" s="355" t="str">
        <f t="shared" ref="Y131:Y140" si="51">EUconst_CNTR_VCMInitial &amp; $E131</f>
        <v>VCMIni_</v>
      </c>
      <c r="Z131" s="349"/>
      <c r="AA131" s="349"/>
    </row>
    <row r="132" spans="1:27" s="533" customFormat="1" x14ac:dyDescent="0.25">
      <c r="A132" s="343"/>
      <c r="B132" s="19"/>
      <c r="C132" s="19"/>
      <c r="D132" s="287">
        <f t="shared" ref="D132:D140" si="52">D131+1</f>
        <v>2</v>
      </c>
      <c r="E132" s="2402" t="str">
        <f t="shared" si="43"/>
        <v/>
      </c>
      <c r="F132" s="2403"/>
      <c r="G132" s="2403"/>
      <c r="H132" s="2401"/>
      <c r="I132" s="1660" t="str">
        <f t="shared" si="44"/>
        <v/>
      </c>
      <c r="J132" s="1659" t="str">
        <f t="shared" si="44"/>
        <v/>
      </c>
      <c r="K132" s="1659" t="str">
        <f t="shared" si="44"/>
        <v/>
      </c>
      <c r="L132" s="1729" t="str">
        <f t="shared" ref="L132:L140" si="53">IF($E132="","",SUM(IF(L110="",IF(L75="",1,L75),L110)))</f>
        <v/>
      </c>
      <c r="M132" s="1659" t="str">
        <f t="shared" si="44"/>
        <v/>
      </c>
      <c r="N132" s="1729" t="str">
        <f t="shared" ref="N132:N140" si="54">IF($E132="","",SUM(IF(N110="",IF(N75="",1,N75),N110)))</f>
        <v/>
      </c>
      <c r="O132" s="6"/>
      <c r="P132" s="15"/>
      <c r="Q132" s="349"/>
      <c r="R132" s="349"/>
      <c r="S132" s="355" t="str">
        <f t="shared" si="45"/>
        <v>AllocPrelim_</v>
      </c>
      <c r="T132" s="355" t="str">
        <f t="shared" si="46"/>
        <v>HALini_</v>
      </c>
      <c r="U132" s="355" t="str">
        <f t="shared" si="47"/>
        <v>HEATIni_</v>
      </c>
      <c r="V132" s="355" t="str">
        <f t="shared" si="48"/>
        <v>HALini_WasteGasFlare_</v>
      </c>
      <c r="W132" s="355" t="str">
        <f t="shared" si="49"/>
        <v>HAL_ELEXCHIni_</v>
      </c>
      <c r="X132" s="355" t="str">
        <f t="shared" si="50"/>
        <v>HVCIni_</v>
      </c>
      <c r="Y132" s="355" t="str">
        <f t="shared" si="51"/>
        <v>VCMIni_</v>
      </c>
      <c r="Z132" s="349"/>
      <c r="AA132" s="349"/>
    </row>
    <row r="133" spans="1:27" s="533" customFormat="1" x14ac:dyDescent="0.25">
      <c r="A133" s="343"/>
      <c r="B133" s="19"/>
      <c r="C133" s="19"/>
      <c r="D133" s="287">
        <f t="shared" si="52"/>
        <v>3</v>
      </c>
      <c r="E133" s="2402" t="str">
        <f t="shared" si="43"/>
        <v/>
      </c>
      <c r="F133" s="2403"/>
      <c r="G133" s="2403"/>
      <c r="H133" s="2401"/>
      <c r="I133" s="1660" t="str">
        <f t="shared" si="44"/>
        <v/>
      </c>
      <c r="J133" s="1659" t="str">
        <f t="shared" si="44"/>
        <v/>
      </c>
      <c r="K133" s="1659" t="str">
        <f t="shared" si="44"/>
        <v/>
      </c>
      <c r="L133" s="1729" t="str">
        <f t="shared" si="53"/>
        <v/>
      </c>
      <c r="M133" s="1659" t="str">
        <f t="shared" si="44"/>
        <v/>
      </c>
      <c r="N133" s="1729" t="str">
        <f t="shared" si="54"/>
        <v/>
      </c>
      <c r="O133" s="6"/>
      <c r="P133" s="15"/>
      <c r="Q133" s="349"/>
      <c r="R133" s="349"/>
      <c r="S133" s="355" t="str">
        <f t="shared" si="45"/>
        <v>AllocPrelim_</v>
      </c>
      <c r="T133" s="355" t="str">
        <f t="shared" si="46"/>
        <v>HALini_</v>
      </c>
      <c r="U133" s="355" t="str">
        <f t="shared" si="47"/>
        <v>HEATIni_</v>
      </c>
      <c r="V133" s="355" t="str">
        <f t="shared" si="48"/>
        <v>HALini_WasteGasFlare_</v>
      </c>
      <c r="W133" s="355" t="str">
        <f t="shared" si="49"/>
        <v>HAL_ELEXCHIni_</v>
      </c>
      <c r="X133" s="355" t="str">
        <f t="shared" si="50"/>
        <v>HVCIni_</v>
      </c>
      <c r="Y133" s="355" t="str">
        <f t="shared" si="51"/>
        <v>VCMIni_</v>
      </c>
      <c r="Z133" s="349"/>
      <c r="AA133" s="349"/>
    </row>
    <row r="134" spans="1:27" s="533" customFormat="1" x14ac:dyDescent="0.25">
      <c r="A134" s="343"/>
      <c r="B134" s="19"/>
      <c r="C134" s="19"/>
      <c r="D134" s="287">
        <f t="shared" si="52"/>
        <v>4</v>
      </c>
      <c r="E134" s="2402" t="str">
        <f t="shared" si="43"/>
        <v/>
      </c>
      <c r="F134" s="2403"/>
      <c r="G134" s="2403"/>
      <c r="H134" s="2401"/>
      <c r="I134" s="1660" t="str">
        <f t="shared" si="44"/>
        <v/>
      </c>
      <c r="J134" s="1659" t="str">
        <f t="shared" si="44"/>
        <v/>
      </c>
      <c r="K134" s="1659" t="str">
        <f t="shared" si="44"/>
        <v/>
      </c>
      <c r="L134" s="1729" t="str">
        <f t="shared" si="53"/>
        <v/>
      </c>
      <c r="M134" s="1659" t="str">
        <f t="shared" si="44"/>
        <v/>
      </c>
      <c r="N134" s="1729" t="str">
        <f t="shared" si="54"/>
        <v/>
      </c>
      <c r="O134" s="6"/>
      <c r="P134" s="15"/>
      <c r="Q134" s="349"/>
      <c r="R134" s="349"/>
      <c r="S134" s="355" t="str">
        <f t="shared" si="45"/>
        <v>AllocPrelim_</v>
      </c>
      <c r="T134" s="355" t="str">
        <f t="shared" si="46"/>
        <v>HALini_</v>
      </c>
      <c r="U134" s="355" t="str">
        <f t="shared" si="47"/>
        <v>HEATIni_</v>
      </c>
      <c r="V134" s="355" t="str">
        <f t="shared" si="48"/>
        <v>HALini_WasteGasFlare_</v>
      </c>
      <c r="W134" s="355" t="str">
        <f t="shared" si="49"/>
        <v>HAL_ELEXCHIni_</v>
      </c>
      <c r="X134" s="355" t="str">
        <f t="shared" si="50"/>
        <v>HVCIni_</v>
      </c>
      <c r="Y134" s="355" t="str">
        <f t="shared" si="51"/>
        <v>VCMIni_</v>
      </c>
      <c r="Z134" s="349"/>
      <c r="AA134" s="349"/>
    </row>
    <row r="135" spans="1:27" s="533" customFormat="1" x14ac:dyDescent="0.25">
      <c r="A135" s="343"/>
      <c r="B135" s="19"/>
      <c r="C135" s="19"/>
      <c r="D135" s="287">
        <f t="shared" si="52"/>
        <v>5</v>
      </c>
      <c r="E135" s="2402" t="str">
        <f t="shared" si="43"/>
        <v/>
      </c>
      <c r="F135" s="2403"/>
      <c r="G135" s="2403"/>
      <c r="H135" s="2401"/>
      <c r="I135" s="1660" t="str">
        <f t="shared" si="44"/>
        <v/>
      </c>
      <c r="J135" s="1659" t="str">
        <f t="shared" si="44"/>
        <v/>
      </c>
      <c r="K135" s="1659" t="str">
        <f t="shared" si="44"/>
        <v/>
      </c>
      <c r="L135" s="1729" t="str">
        <f t="shared" si="53"/>
        <v/>
      </c>
      <c r="M135" s="1659" t="str">
        <f t="shared" si="44"/>
        <v/>
      </c>
      <c r="N135" s="1729" t="str">
        <f t="shared" si="54"/>
        <v/>
      </c>
      <c r="O135" s="6"/>
      <c r="P135" s="15"/>
      <c r="Q135" s="349"/>
      <c r="R135" s="349"/>
      <c r="S135" s="355" t="str">
        <f t="shared" si="45"/>
        <v>AllocPrelim_</v>
      </c>
      <c r="T135" s="355" t="str">
        <f t="shared" si="46"/>
        <v>HALini_</v>
      </c>
      <c r="U135" s="355" t="str">
        <f t="shared" si="47"/>
        <v>HEATIni_</v>
      </c>
      <c r="V135" s="355" t="str">
        <f t="shared" si="48"/>
        <v>HALini_WasteGasFlare_</v>
      </c>
      <c r="W135" s="355" t="str">
        <f t="shared" si="49"/>
        <v>HAL_ELEXCHIni_</v>
      </c>
      <c r="X135" s="355" t="str">
        <f t="shared" si="50"/>
        <v>HVCIni_</v>
      </c>
      <c r="Y135" s="355" t="str">
        <f t="shared" si="51"/>
        <v>VCMIni_</v>
      </c>
      <c r="Z135" s="349"/>
      <c r="AA135" s="349"/>
    </row>
    <row r="136" spans="1:27" s="533" customFormat="1" x14ac:dyDescent="0.25">
      <c r="A136" s="343"/>
      <c r="B136" s="19"/>
      <c r="C136" s="19"/>
      <c r="D136" s="287">
        <f t="shared" si="52"/>
        <v>6</v>
      </c>
      <c r="E136" s="2402" t="str">
        <f t="shared" si="43"/>
        <v/>
      </c>
      <c r="F136" s="2403"/>
      <c r="G136" s="2403"/>
      <c r="H136" s="2401"/>
      <c r="I136" s="1660" t="str">
        <f t="shared" si="44"/>
        <v/>
      </c>
      <c r="J136" s="1659" t="str">
        <f t="shared" si="44"/>
        <v/>
      </c>
      <c r="K136" s="1659" t="str">
        <f t="shared" si="44"/>
        <v/>
      </c>
      <c r="L136" s="1729" t="str">
        <f t="shared" si="53"/>
        <v/>
      </c>
      <c r="M136" s="1659" t="str">
        <f t="shared" si="44"/>
        <v/>
      </c>
      <c r="N136" s="1729" t="str">
        <f t="shared" si="54"/>
        <v/>
      </c>
      <c r="O136" s="6"/>
      <c r="P136" s="15"/>
      <c r="Q136" s="349"/>
      <c r="R136" s="349"/>
      <c r="S136" s="355" t="str">
        <f t="shared" si="45"/>
        <v>AllocPrelim_</v>
      </c>
      <c r="T136" s="355" t="str">
        <f t="shared" si="46"/>
        <v>HALini_</v>
      </c>
      <c r="U136" s="355" t="str">
        <f t="shared" si="47"/>
        <v>HEATIni_</v>
      </c>
      <c r="V136" s="355" t="str">
        <f t="shared" si="48"/>
        <v>HALini_WasteGasFlare_</v>
      </c>
      <c r="W136" s="355" t="str">
        <f t="shared" si="49"/>
        <v>HAL_ELEXCHIni_</v>
      </c>
      <c r="X136" s="355" t="str">
        <f t="shared" si="50"/>
        <v>HVCIni_</v>
      </c>
      <c r="Y136" s="355" t="str">
        <f t="shared" si="51"/>
        <v>VCMIni_</v>
      </c>
      <c r="Z136" s="349"/>
      <c r="AA136" s="349"/>
    </row>
    <row r="137" spans="1:27" s="533" customFormat="1" x14ac:dyDescent="0.25">
      <c r="A137" s="343"/>
      <c r="B137" s="19"/>
      <c r="C137" s="19"/>
      <c r="D137" s="287">
        <f t="shared" si="52"/>
        <v>7</v>
      </c>
      <c r="E137" s="2402" t="str">
        <f t="shared" si="43"/>
        <v/>
      </c>
      <c r="F137" s="2403"/>
      <c r="G137" s="2403"/>
      <c r="H137" s="2401"/>
      <c r="I137" s="1660" t="str">
        <f t="shared" si="44"/>
        <v/>
      </c>
      <c r="J137" s="1659" t="str">
        <f t="shared" si="44"/>
        <v/>
      </c>
      <c r="K137" s="1659" t="str">
        <f t="shared" si="44"/>
        <v/>
      </c>
      <c r="L137" s="1729" t="str">
        <f t="shared" si="53"/>
        <v/>
      </c>
      <c r="M137" s="1659" t="str">
        <f t="shared" si="44"/>
        <v/>
      </c>
      <c r="N137" s="1729" t="str">
        <f t="shared" si="54"/>
        <v/>
      </c>
      <c r="O137" s="6"/>
      <c r="P137" s="15"/>
      <c r="Q137" s="349"/>
      <c r="R137" s="349"/>
      <c r="S137" s="355" t="str">
        <f t="shared" si="45"/>
        <v>AllocPrelim_</v>
      </c>
      <c r="T137" s="355" t="str">
        <f t="shared" si="46"/>
        <v>HALini_</v>
      </c>
      <c r="U137" s="355" t="str">
        <f t="shared" si="47"/>
        <v>HEATIni_</v>
      </c>
      <c r="V137" s="355" t="str">
        <f t="shared" si="48"/>
        <v>HALini_WasteGasFlare_</v>
      </c>
      <c r="W137" s="355" t="str">
        <f t="shared" si="49"/>
        <v>HAL_ELEXCHIni_</v>
      </c>
      <c r="X137" s="355" t="str">
        <f t="shared" si="50"/>
        <v>HVCIni_</v>
      </c>
      <c r="Y137" s="355" t="str">
        <f t="shared" si="51"/>
        <v>VCMIni_</v>
      </c>
      <c r="Z137" s="349"/>
      <c r="AA137" s="349"/>
    </row>
    <row r="138" spans="1:27" s="533" customFormat="1" x14ac:dyDescent="0.25">
      <c r="A138" s="343"/>
      <c r="B138" s="19"/>
      <c r="C138" s="19"/>
      <c r="D138" s="287">
        <f t="shared" si="52"/>
        <v>8</v>
      </c>
      <c r="E138" s="2402" t="str">
        <f t="shared" si="43"/>
        <v/>
      </c>
      <c r="F138" s="2403"/>
      <c r="G138" s="2403"/>
      <c r="H138" s="2401"/>
      <c r="I138" s="1660" t="str">
        <f t="shared" si="44"/>
        <v/>
      </c>
      <c r="J138" s="1659" t="str">
        <f t="shared" si="44"/>
        <v/>
      </c>
      <c r="K138" s="1659" t="str">
        <f t="shared" si="44"/>
        <v/>
      </c>
      <c r="L138" s="1729" t="str">
        <f t="shared" si="53"/>
        <v/>
      </c>
      <c r="M138" s="1659" t="str">
        <f t="shared" si="44"/>
        <v/>
      </c>
      <c r="N138" s="1729" t="str">
        <f t="shared" si="54"/>
        <v/>
      </c>
      <c r="O138" s="6"/>
      <c r="P138" s="15"/>
      <c r="Q138" s="349"/>
      <c r="R138" s="349"/>
      <c r="S138" s="355" t="str">
        <f t="shared" si="45"/>
        <v>AllocPrelim_</v>
      </c>
      <c r="T138" s="355" t="str">
        <f t="shared" si="46"/>
        <v>HALini_</v>
      </c>
      <c r="U138" s="355" t="str">
        <f t="shared" si="47"/>
        <v>HEATIni_</v>
      </c>
      <c r="V138" s="355" t="str">
        <f t="shared" si="48"/>
        <v>HALini_WasteGasFlare_</v>
      </c>
      <c r="W138" s="355" t="str">
        <f t="shared" si="49"/>
        <v>HAL_ELEXCHIni_</v>
      </c>
      <c r="X138" s="355" t="str">
        <f t="shared" si="50"/>
        <v>HVCIni_</v>
      </c>
      <c r="Y138" s="355" t="str">
        <f t="shared" si="51"/>
        <v>VCMIni_</v>
      </c>
      <c r="Z138" s="349"/>
      <c r="AA138" s="349"/>
    </row>
    <row r="139" spans="1:27" s="533" customFormat="1" x14ac:dyDescent="0.25">
      <c r="A139" s="343"/>
      <c r="B139" s="19"/>
      <c r="C139" s="19"/>
      <c r="D139" s="287">
        <f t="shared" si="52"/>
        <v>9</v>
      </c>
      <c r="E139" s="2402" t="str">
        <f t="shared" si="43"/>
        <v/>
      </c>
      <c r="F139" s="2403"/>
      <c r="G139" s="2403"/>
      <c r="H139" s="2401"/>
      <c r="I139" s="1660" t="str">
        <f t="shared" si="44"/>
        <v/>
      </c>
      <c r="J139" s="1659" t="str">
        <f t="shared" si="44"/>
        <v/>
      </c>
      <c r="K139" s="1659" t="str">
        <f t="shared" si="44"/>
        <v/>
      </c>
      <c r="L139" s="1729" t="str">
        <f t="shared" si="53"/>
        <v/>
      </c>
      <c r="M139" s="1659" t="str">
        <f t="shared" si="44"/>
        <v/>
      </c>
      <c r="N139" s="1729" t="str">
        <f t="shared" si="54"/>
        <v/>
      </c>
      <c r="O139" s="6"/>
      <c r="P139" s="15"/>
      <c r="Q139" s="349"/>
      <c r="R139" s="349"/>
      <c r="S139" s="355" t="str">
        <f t="shared" si="45"/>
        <v>AllocPrelim_</v>
      </c>
      <c r="T139" s="355" t="str">
        <f t="shared" si="46"/>
        <v>HALini_</v>
      </c>
      <c r="U139" s="355" t="str">
        <f t="shared" si="47"/>
        <v>HEATIni_</v>
      </c>
      <c r="V139" s="355" t="str">
        <f t="shared" si="48"/>
        <v>HALini_WasteGasFlare_</v>
      </c>
      <c r="W139" s="355" t="str">
        <f t="shared" si="49"/>
        <v>HAL_ELEXCHIni_</v>
      </c>
      <c r="X139" s="355" t="str">
        <f t="shared" si="50"/>
        <v>HVCIni_</v>
      </c>
      <c r="Y139" s="355" t="str">
        <f t="shared" si="51"/>
        <v>VCMIni_</v>
      </c>
      <c r="Z139" s="349"/>
      <c r="AA139" s="349"/>
    </row>
    <row r="140" spans="1:27" s="533" customFormat="1" x14ac:dyDescent="0.25">
      <c r="A140" s="343"/>
      <c r="B140" s="19"/>
      <c r="C140" s="19"/>
      <c r="D140" s="286">
        <f t="shared" si="52"/>
        <v>10</v>
      </c>
      <c r="E140" s="2447" t="str">
        <f t="shared" si="43"/>
        <v/>
      </c>
      <c r="F140" s="2445"/>
      <c r="G140" s="2445"/>
      <c r="H140" s="2446"/>
      <c r="I140" s="1662" t="str">
        <f t="shared" si="44"/>
        <v/>
      </c>
      <c r="J140" s="1661" t="str">
        <f t="shared" si="44"/>
        <v/>
      </c>
      <c r="K140" s="1661" t="str">
        <f t="shared" si="44"/>
        <v/>
      </c>
      <c r="L140" s="1730" t="str">
        <f t="shared" si="53"/>
        <v/>
      </c>
      <c r="M140" s="1661" t="str">
        <f t="shared" si="44"/>
        <v/>
      </c>
      <c r="N140" s="1730" t="str">
        <f t="shared" si="54"/>
        <v/>
      </c>
      <c r="O140" s="6"/>
      <c r="P140" s="15"/>
      <c r="Q140" s="349"/>
      <c r="R140" s="349"/>
      <c r="S140" s="355" t="str">
        <f t="shared" si="45"/>
        <v>AllocPrelim_</v>
      </c>
      <c r="T140" s="355" t="str">
        <f t="shared" si="46"/>
        <v>HALini_</v>
      </c>
      <c r="U140" s="355" t="str">
        <f t="shared" si="47"/>
        <v>HEATIni_</v>
      </c>
      <c r="V140" s="355" t="str">
        <f t="shared" si="48"/>
        <v>HALini_WasteGasFlare_</v>
      </c>
      <c r="W140" s="355" t="str">
        <f t="shared" si="49"/>
        <v>HAL_ELEXCHIni_</v>
      </c>
      <c r="X140" s="355" t="str">
        <f t="shared" si="50"/>
        <v>HVCIni_</v>
      </c>
      <c r="Y140" s="355" t="str">
        <f t="shared" si="51"/>
        <v>VCMIni_</v>
      </c>
      <c r="Z140" s="349"/>
      <c r="AA140" s="349"/>
    </row>
    <row r="141" spans="1:27" s="533" customFormat="1" ht="12.75" customHeight="1" x14ac:dyDescent="0.25">
      <c r="A141" s="2"/>
      <c r="B141" s="19"/>
      <c r="C141" s="19"/>
      <c r="D141" s="288">
        <v>11</v>
      </c>
      <c r="E141" s="2448" t="str">
        <f t="shared" ref="E141:E147" si="55">INDEX(EUconst_FallBackListNames,D141-10)</f>
        <v>Delanläggning med värmeriktmärke, KL</v>
      </c>
      <c r="F141" s="2449"/>
      <c r="G141" s="2449"/>
      <c r="H141" s="2450"/>
      <c r="I141" s="1658" t="str">
        <f t="shared" ref="I141:I147" si="56">IF(I119="",IF($T57=TRUE,SUM(I84),""),I119)</f>
        <v/>
      </c>
      <c r="J141" s="1731"/>
      <c r="K141" s="1732"/>
      <c r="L141" s="1732"/>
      <c r="M141" s="1732"/>
      <c r="N141" s="1733"/>
      <c r="O141" s="6"/>
      <c r="P141" s="15"/>
      <c r="Q141" s="349"/>
      <c r="R141" s="349"/>
      <c r="S141" s="355" t="str">
        <f t="shared" si="45"/>
        <v>AllocPrelim_Delanläggning med värmeriktmärke, KL</v>
      </c>
      <c r="T141" s="355" t="str">
        <f t="shared" si="46"/>
        <v>HALini_Delanläggning med värmeriktmärke, KL</v>
      </c>
      <c r="U141" s="349"/>
      <c r="V141" s="349"/>
      <c r="W141" s="349"/>
      <c r="X141" s="349"/>
      <c r="Y141" s="349"/>
      <c r="Z141" s="349"/>
      <c r="AA141" s="349"/>
    </row>
    <row r="142" spans="1:27" s="533" customFormat="1" ht="12.75" customHeight="1" x14ac:dyDescent="0.25">
      <c r="A142" s="2"/>
      <c r="B142" s="19"/>
      <c r="C142" s="19"/>
      <c r="D142" s="287">
        <f>D141+1</f>
        <v>12</v>
      </c>
      <c r="E142" s="2405" t="str">
        <f t="shared" si="55"/>
        <v>Delanläggning med värmeriktmärke, ej KL</v>
      </c>
      <c r="F142" s="2403"/>
      <c r="G142" s="2403"/>
      <c r="H142" s="2401"/>
      <c r="I142" s="1660" t="str">
        <f t="shared" si="56"/>
        <v/>
      </c>
      <c r="J142" s="1734"/>
      <c r="K142" s="1735"/>
      <c r="L142" s="1735"/>
      <c r="M142" s="1735"/>
      <c r="N142" s="1736"/>
      <c r="O142" s="6"/>
      <c r="P142" s="15"/>
      <c r="Q142" s="349"/>
      <c r="R142" s="349"/>
      <c r="S142" s="355" t="str">
        <f t="shared" si="45"/>
        <v>AllocPrelim_Delanläggning med värmeriktmärke, ej KL</v>
      </c>
      <c r="T142" s="355" t="str">
        <f t="shared" si="46"/>
        <v>HALini_Delanläggning med värmeriktmärke, ej KL</v>
      </c>
      <c r="U142" s="349"/>
      <c r="V142" s="349"/>
      <c r="W142" s="349"/>
      <c r="X142" s="349"/>
      <c r="Y142" s="349"/>
      <c r="Z142" s="349"/>
      <c r="AA142" s="349"/>
    </row>
    <row r="143" spans="1:27" s="533" customFormat="1" ht="12.75" customHeight="1" x14ac:dyDescent="0.25">
      <c r="A143" s="2"/>
      <c r="B143" s="19"/>
      <c r="C143" s="19"/>
      <c r="D143" s="287">
        <f>D142+1</f>
        <v>13</v>
      </c>
      <c r="E143" s="2405" t="str">
        <f t="shared" si="55"/>
        <v>Fjärrvärmedelanläggning</v>
      </c>
      <c r="F143" s="2403"/>
      <c r="G143" s="2403"/>
      <c r="H143" s="2401"/>
      <c r="I143" s="1660" t="str">
        <f t="shared" si="56"/>
        <v/>
      </c>
      <c r="J143" s="1734"/>
      <c r="K143" s="1735"/>
      <c r="L143" s="1735"/>
      <c r="M143" s="1735"/>
      <c r="N143" s="1736"/>
      <c r="O143" s="6"/>
      <c r="P143" s="15"/>
      <c r="Q143" s="349"/>
      <c r="R143" s="349"/>
      <c r="S143" s="355" t="str">
        <f t="shared" si="45"/>
        <v>AllocPrelim_Fjärrvärmedelanläggning</v>
      </c>
      <c r="T143" s="355" t="str">
        <f t="shared" si="46"/>
        <v>HALini_Fjärrvärmedelanläggning</v>
      </c>
      <c r="U143" s="349"/>
      <c r="V143" s="349"/>
      <c r="W143" s="349"/>
      <c r="X143" s="349"/>
      <c r="Y143" s="349"/>
      <c r="Z143" s="349"/>
      <c r="AA143" s="349"/>
    </row>
    <row r="144" spans="1:27" s="533" customFormat="1" ht="12.75" customHeight="1" x14ac:dyDescent="0.25">
      <c r="A144" s="2"/>
      <c r="B144" s="19"/>
      <c r="C144" s="19"/>
      <c r="D144" s="287">
        <f>D143+1</f>
        <v>14</v>
      </c>
      <c r="E144" s="2405" t="str">
        <f t="shared" si="55"/>
        <v>Delanläggning med bränsleriktmärke, KL</v>
      </c>
      <c r="F144" s="2403"/>
      <c r="G144" s="2403"/>
      <c r="H144" s="2401"/>
      <c r="I144" s="1660" t="str">
        <f t="shared" si="56"/>
        <v/>
      </c>
      <c r="J144" s="1734"/>
      <c r="K144" s="1735"/>
      <c r="L144" s="1735"/>
      <c r="M144" s="1735"/>
      <c r="N144" s="1736"/>
      <c r="O144" s="6"/>
      <c r="P144" s="15"/>
      <c r="Q144" s="349"/>
      <c r="R144" s="349"/>
      <c r="S144" s="355" t="str">
        <f t="shared" si="45"/>
        <v>AllocPrelim_Delanläggning med bränsleriktmärke, KL</v>
      </c>
      <c r="T144" s="355" t="str">
        <f t="shared" si="46"/>
        <v>HALini_Delanläggning med bränsleriktmärke, KL</v>
      </c>
      <c r="U144" s="349"/>
      <c r="V144" s="349"/>
      <c r="W144" s="349"/>
      <c r="X144" s="349"/>
      <c r="Y144" s="349"/>
      <c r="Z144" s="349"/>
      <c r="AA144" s="349"/>
    </row>
    <row r="145" spans="1:27" s="533" customFormat="1" ht="12.75" customHeight="1" x14ac:dyDescent="0.25">
      <c r="A145" s="2"/>
      <c r="B145" s="19"/>
      <c r="C145" s="19"/>
      <c r="D145" s="287">
        <f>D144+1</f>
        <v>15</v>
      </c>
      <c r="E145" s="2405" t="str">
        <f t="shared" si="55"/>
        <v>Delanläggning med bränsleriktmärke, ej KL</v>
      </c>
      <c r="F145" s="2403"/>
      <c r="G145" s="2403"/>
      <c r="H145" s="2401"/>
      <c r="I145" s="1660" t="str">
        <f t="shared" si="56"/>
        <v/>
      </c>
      <c r="J145" s="1734"/>
      <c r="K145" s="1735"/>
      <c r="L145" s="1735"/>
      <c r="M145" s="1735"/>
      <c r="N145" s="1736"/>
      <c r="O145" s="6"/>
      <c r="P145" s="15"/>
      <c r="Q145" s="349"/>
      <c r="R145" s="349"/>
      <c r="S145" s="355" t="str">
        <f t="shared" si="45"/>
        <v>AllocPrelim_Delanläggning med bränsleriktmärke, ej KL</v>
      </c>
      <c r="T145" s="355" t="str">
        <f t="shared" si="46"/>
        <v>HALini_Delanläggning med bränsleriktmärke, ej KL</v>
      </c>
      <c r="U145" s="349"/>
      <c r="V145" s="349"/>
      <c r="W145" s="349"/>
      <c r="X145" s="349"/>
      <c r="Y145" s="349"/>
      <c r="Z145" s="349"/>
      <c r="AA145" s="349"/>
    </row>
    <row r="146" spans="1:27" s="533" customFormat="1" ht="12.75" customHeight="1" x14ac:dyDescent="0.25">
      <c r="A146" s="2"/>
      <c r="B146" s="19"/>
      <c r="C146" s="19"/>
      <c r="D146" s="287">
        <f>D145+1</f>
        <v>16</v>
      </c>
      <c r="E146" s="2405" t="str">
        <f t="shared" si="55"/>
        <v>Delanläggning med processutsläpp, KL</v>
      </c>
      <c r="F146" s="2403"/>
      <c r="G146" s="2403"/>
      <c r="H146" s="2401"/>
      <c r="I146" s="1660" t="str">
        <f t="shared" si="56"/>
        <v/>
      </c>
      <c r="J146" s="1734"/>
      <c r="K146" s="1735"/>
      <c r="L146" s="1735"/>
      <c r="M146" s="1735"/>
      <c r="N146" s="1736"/>
      <c r="O146" s="6"/>
      <c r="P146" s="15"/>
      <c r="Q146" s="349"/>
      <c r="R146" s="349"/>
      <c r="S146" s="355" t="str">
        <f t="shared" si="45"/>
        <v>AllocPrelim_Delanläggning med processutsläpp, KL</v>
      </c>
      <c r="T146" s="355" t="str">
        <f t="shared" si="46"/>
        <v>HALini_Delanläggning med processutsläpp, KL</v>
      </c>
      <c r="U146" s="349"/>
      <c r="V146" s="349"/>
      <c r="W146" s="349"/>
      <c r="X146" s="349"/>
      <c r="Y146" s="349"/>
      <c r="Z146" s="349"/>
      <c r="AA146" s="349"/>
    </row>
    <row r="147" spans="1:27" s="533" customFormat="1" ht="13.5" customHeight="1" x14ac:dyDescent="0.25">
      <c r="A147" s="2"/>
      <c r="B147" s="19"/>
      <c r="C147" s="19"/>
      <c r="D147" s="286">
        <v>17</v>
      </c>
      <c r="E147" s="2444" t="str">
        <f t="shared" si="55"/>
        <v>Delanläggning med processutsläpp, ej KL</v>
      </c>
      <c r="F147" s="2445"/>
      <c r="G147" s="2445"/>
      <c r="H147" s="2446"/>
      <c r="I147" s="1662" t="str">
        <f t="shared" si="56"/>
        <v/>
      </c>
      <c r="J147" s="1737"/>
      <c r="K147" s="1738"/>
      <c r="L147" s="1738"/>
      <c r="M147" s="1738"/>
      <c r="N147" s="1739"/>
      <c r="O147" s="6"/>
      <c r="P147" s="15"/>
      <c r="Q147" s="349"/>
      <c r="R147" s="349"/>
      <c r="S147" s="355" t="str">
        <f t="shared" si="45"/>
        <v>AllocPrelim_Delanläggning med processutsläpp, ej KL</v>
      </c>
      <c r="T147" s="355" t="str">
        <f t="shared" si="46"/>
        <v>HALini_Delanläggning med processutsläpp, ej KL</v>
      </c>
      <c r="U147" s="349"/>
      <c r="V147" s="349"/>
      <c r="W147" s="349"/>
      <c r="X147" s="349"/>
      <c r="Y147" s="349"/>
      <c r="Z147" s="349"/>
      <c r="AA147" s="349"/>
    </row>
    <row r="148" spans="1:27" x14ac:dyDescent="0.25">
      <c r="A148" s="466"/>
      <c r="B148" s="3"/>
      <c r="C148" s="5"/>
      <c r="D148" s="3"/>
      <c r="E148" s="3"/>
      <c r="F148" s="3"/>
      <c r="G148" s="3"/>
      <c r="H148" s="3"/>
      <c r="I148" s="3"/>
      <c r="J148" s="3"/>
      <c r="K148" s="3"/>
      <c r="L148" s="3"/>
      <c r="M148" s="3"/>
      <c r="N148" s="3"/>
      <c r="O148" s="6"/>
    </row>
    <row r="149" spans="1:27" s="533" customFormat="1" x14ac:dyDescent="0.25">
      <c r="A149" s="2"/>
      <c r="B149" s="19"/>
      <c r="C149" s="19"/>
      <c r="D149" s="1991" t="str">
        <f>Translations!$B$66</f>
        <v xml:space="preserve">&lt;&lt;&lt; Klicka här för att gå vidare till nästa blad &gt;&gt;&gt; </v>
      </c>
      <c r="E149" s="1991"/>
      <c r="F149" s="1991"/>
      <c r="G149" s="1991"/>
      <c r="H149" s="1991"/>
      <c r="I149" s="1991"/>
      <c r="J149" s="1991"/>
      <c r="K149" s="1991"/>
      <c r="L149" s="1991"/>
      <c r="M149" s="1991"/>
      <c r="N149" s="1991"/>
      <c r="O149" s="6"/>
      <c r="P149" s="15"/>
      <c r="Q149" s="349"/>
      <c r="R149" s="349"/>
      <c r="S149" s="349"/>
      <c r="T149" s="349"/>
      <c r="U149" s="349"/>
      <c r="V149" s="349"/>
      <c r="W149" s="349"/>
      <c r="X149" s="349"/>
      <c r="Y149" s="349"/>
      <c r="Z149" s="349"/>
      <c r="AA149" s="349"/>
    </row>
    <row r="150" spans="1:27" s="533" customFormat="1" x14ac:dyDescent="0.25">
      <c r="A150" s="2"/>
      <c r="B150" s="19"/>
      <c r="C150" s="19"/>
      <c r="D150" s="19"/>
      <c r="E150" s="19"/>
      <c r="F150" s="19"/>
      <c r="G150" s="19"/>
      <c r="H150" s="19"/>
      <c r="I150" s="19"/>
      <c r="J150" s="19"/>
      <c r="K150" s="19"/>
      <c r="L150" s="19"/>
      <c r="M150" s="19"/>
      <c r="N150" s="19"/>
      <c r="O150" s="6"/>
      <c r="P150" s="15"/>
      <c r="Q150" s="349"/>
      <c r="R150" s="349"/>
      <c r="S150" s="349"/>
      <c r="T150" s="349"/>
      <c r="U150" s="349"/>
      <c r="V150" s="349"/>
      <c r="W150" s="349"/>
      <c r="X150" s="349"/>
      <c r="Y150" s="349"/>
      <c r="Z150" s="349"/>
      <c r="AA150" s="349"/>
    </row>
    <row r="151" spans="1:27" s="533" customFormat="1" hidden="1" x14ac:dyDescent="0.25">
      <c r="A151" s="2" t="s">
        <v>346</v>
      </c>
      <c r="B151" s="2" t="s">
        <v>952</v>
      </c>
      <c r="C151" s="2" t="s">
        <v>952</v>
      </c>
      <c r="D151" s="2" t="s">
        <v>952</v>
      </c>
      <c r="E151" s="2" t="s">
        <v>952</v>
      </c>
      <c r="F151" s="2" t="s">
        <v>952</v>
      </c>
      <c r="G151" s="2" t="s">
        <v>952</v>
      </c>
      <c r="H151" s="2" t="s">
        <v>952</v>
      </c>
      <c r="I151" s="2" t="s">
        <v>952</v>
      </c>
      <c r="J151" s="2" t="s">
        <v>952</v>
      </c>
      <c r="K151" s="2" t="s">
        <v>952</v>
      </c>
      <c r="L151" s="2" t="s">
        <v>952</v>
      </c>
      <c r="M151" s="2" t="s">
        <v>952</v>
      </c>
      <c r="N151" s="2" t="s">
        <v>952</v>
      </c>
      <c r="O151" s="2" t="s">
        <v>952</v>
      </c>
      <c r="P151" s="2" t="s">
        <v>952</v>
      </c>
      <c r="Q151" s="349" t="s">
        <v>952</v>
      </c>
      <c r="R151" s="349" t="s">
        <v>952</v>
      </c>
      <c r="S151" s="349" t="s">
        <v>952</v>
      </c>
      <c r="T151" s="349" t="s">
        <v>952</v>
      </c>
      <c r="U151" s="349" t="s">
        <v>952</v>
      </c>
      <c r="V151" s="349" t="s">
        <v>952</v>
      </c>
      <c r="W151" s="349" t="s">
        <v>952</v>
      </c>
      <c r="X151" s="349" t="s">
        <v>952</v>
      </c>
      <c r="Y151" s="349" t="s">
        <v>952</v>
      </c>
      <c r="Z151" s="349" t="s">
        <v>952</v>
      </c>
      <c r="AA151" s="349" t="s">
        <v>952</v>
      </c>
    </row>
    <row r="152" spans="1:27" hidden="1" x14ac:dyDescent="0.25">
      <c r="A152" s="2" t="s">
        <v>346</v>
      </c>
      <c r="B152" s="3"/>
      <c r="C152" s="5"/>
      <c r="D152" s="3"/>
      <c r="E152" s="3"/>
      <c r="F152" s="3"/>
      <c r="G152" s="3"/>
      <c r="H152" s="3"/>
      <c r="I152" s="3"/>
      <c r="J152" s="3"/>
      <c r="K152" s="3"/>
      <c r="L152" s="3"/>
      <c r="M152" s="3"/>
      <c r="N152" s="3"/>
      <c r="O152" s="3"/>
      <c r="P152" s="3"/>
      <c r="Q152" s="349"/>
      <c r="R152" s="349"/>
      <c r="S152" s="349"/>
      <c r="T152" s="349"/>
      <c r="U152" s="349"/>
      <c r="V152" s="349"/>
      <c r="W152" s="349"/>
      <c r="X152" s="349"/>
      <c r="Y152" s="349"/>
    </row>
    <row r="153" spans="1:27" s="533" customFormat="1" ht="13.5" hidden="1" thickBot="1" x14ac:dyDescent="0.3">
      <c r="A153" s="2" t="s">
        <v>346</v>
      </c>
      <c r="B153" s="1"/>
      <c r="C153" s="1"/>
      <c r="D153" s="1"/>
      <c r="E153" s="41" t="s">
        <v>565</v>
      </c>
      <c r="F153" s="1"/>
      <c r="G153" s="1"/>
      <c r="H153" s="1"/>
      <c r="I153" s="1"/>
      <c r="J153" s="1"/>
      <c r="K153" s="1"/>
      <c r="L153" s="1"/>
      <c r="M153" s="1"/>
      <c r="N153" s="1"/>
      <c r="O153" s="3"/>
      <c r="P153" s="3"/>
      <c r="Q153" s="349"/>
      <c r="R153" s="349"/>
      <c r="S153" s="349"/>
      <c r="T153" s="349"/>
      <c r="U153" s="349"/>
      <c r="V153" s="349"/>
      <c r="W153" s="349"/>
      <c r="X153" s="349"/>
      <c r="Y153" s="349"/>
      <c r="Z153" s="349"/>
      <c r="AA153" s="349"/>
    </row>
    <row r="154" spans="1:27" s="533" customFormat="1" hidden="1" x14ac:dyDescent="0.25">
      <c r="A154" s="2" t="s">
        <v>346</v>
      </c>
      <c r="B154" s="1"/>
      <c r="C154" s="1"/>
      <c r="D154" s="1"/>
      <c r="E154" s="60"/>
      <c r="F154" s="61" t="s">
        <v>307</v>
      </c>
      <c r="G154" s="61"/>
      <c r="H154" s="62" t="s">
        <v>683</v>
      </c>
      <c r="I154" s="319" t="s">
        <v>126</v>
      </c>
      <c r="J154" s="640" t="s">
        <v>1559</v>
      </c>
      <c r="K154" s="640" t="s">
        <v>1879</v>
      </c>
      <c r="L154" s="448"/>
      <c r="M154" s="63" t="s">
        <v>308</v>
      </c>
      <c r="N154" s="63" t="s">
        <v>999</v>
      </c>
      <c r="O154" s="3"/>
      <c r="P154" s="3"/>
      <c r="Q154" s="349"/>
      <c r="R154" s="349"/>
      <c r="S154" s="349"/>
      <c r="T154" s="349"/>
      <c r="U154" s="349"/>
      <c r="V154" s="349"/>
      <c r="W154" s="349"/>
      <c r="X154" s="349"/>
      <c r="Y154" s="349"/>
      <c r="Z154" s="349"/>
      <c r="AA154" s="349"/>
    </row>
    <row r="155" spans="1:27" s="533" customFormat="1" hidden="1" x14ac:dyDescent="0.25">
      <c r="A155" s="2" t="s">
        <v>346</v>
      </c>
      <c r="B155" s="1"/>
      <c r="C155" s="1"/>
      <c r="D155" s="1"/>
      <c r="E155" s="64">
        <v>1</v>
      </c>
      <c r="F155" s="726" t="str">
        <f t="shared" ref="F155:F160" si="57">IF($E155&gt;MAX($R$26:$R$63),EUconst_NA,INDEX(U$26:U$63,MATCH($E155,$R$26:$R$63,0)))</f>
        <v>Ej tillämpligt</v>
      </c>
      <c r="G155" s="57"/>
      <c r="H155" s="55" t="b">
        <f t="shared" ref="H155:H160" si="58">(E155&lt;=MAX($R$26:$R$35))</f>
        <v>0</v>
      </c>
      <c r="I155" s="727" t="str">
        <f t="shared" ref="I155:I160" si="59">IF(H155,MATCH(F155,EUconst_BMlistNames,0),"")</f>
        <v/>
      </c>
      <c r="J155" s="732" t="str">
        <f t="shared" ref="J155:K160" si="60">IF($E155&gt;MAX($R$26:$R$63),EUconst_NA,IF(ISBLANK(INDEX(I$26:I$63,MATCH($E155,$R$26:$R$63,0))),0,INDEX(I$26:I$63,MATCH($E155,$R$26:$R$63,0))))</f>
        <v>Ej tillämpligt</v>
      </c>
      <c r="K155" s="732" t="str">
        <f t="shared" si="60"/>
        <v>Ej tillämpligt</v>
      </c>
      <c r="L155" s="594"/>
      <c r="M155" s="65" t="str">
        <f t="shared" ref="M155:M160" si="61">IF($E155&gt;MAX($R$26:$R$63),EUconst_NA,INDEX(L$26:L$63,MATCH($E155,$R$26:$R$63,0)))</f>
        <v>Ej tillämpligt</v>
      </c>
      <c r="N155" s="316" t="str">
        <f t="shared" ref="N155:N160" si="62">IF($E155&gt;MAX($R$26:$R$63),EUconst_NA,INDEX(S$26:S$63,MATCH($E155,$R$26:$R$63,0)))</f>
        <v>Ej tillämpligt</v>
      </c>
      <c r="O155" s="3"/>
      <c r="P155" s="3"/>
      <c r="Q155" s="349"/>
      <c r="R155" s="349"/>
      <c r="S155" s="349"/>
      <c r="T155" s="349"/>
      <c r="U155" s="349"/>
      <c r="V155" s="349"/>
      <c r="W155" s="349"/>
      <c r="X155" s="349"/>
      <c r="Y155" s="349"/>
      <c r="Z155" s="349"/>
      <c r="AA155" s="349"/>
    </row>
    <row r="156" spans="1:27" s="533" customFormat="1" hidden="1" x14ac:dyDescent="0.25">
      <c r="A156" s="2" t="s">
        <v>346</v>
      </c>
      <c r="B156" s="1"/>
      <c r="C156" s="1"/>
      <c r="D156" s="1"/>
      <c r="E156" s="66">
        <f t="shared" ref="E156:E171" si="63">E155+1</f>
        <v>2</v>
      </c>
      <c r="F156" s="728" t="str">
        <f t="shared" si="57"/>
        <v>Ej tillämpligt</v>
      </c>
      <c r="G156" s="58"/>
      <c r="H156" s="56" t="b">
        <f t="shared" si="58"/>
        <v>0</v>
      </c>
      <c r="I156" s="729" t="str">
        <f t="shared" si="59"/>
        <v/>
      </c>
      <c r="J156" s="733" t="str">
        <f t="shared" si="60"/>
        <v>Ej tillämpligt</v>
      </c>
      <c r="K156" s="733" t="str">
        <f t="shared" si="60"/>
        <v>Ej tillämpligt</v>
      </c>
      <c r="L156" s="595"/>
      <c r="M156" s="67" t="str">
        <f t="shared" si="61"/>
        <v>Ej tillämpligt</v>
      </c>
      <c r="N156" s="317" t="str">
        <f t="shared" si="62"/>
        <v>Ej tillämpligt</v>
      </c>
      <c r="O156" s="3"/>
      <c r="P156" s="1698"/>
      <c r="Q156" s="349"/>
      <c r="R156" s="349"/>
      <c r="S156" s="349"/>
      <c r="T156" s="349"/>
      <c r="U156" s="349"/>
      <c r="V156" s="349"/>
      <c r="W156" s="349"/>
      <c r="X156" s="349"/>
      <c r="Y156" s="349"/>
      <c r="Z156" s="349"/>
      <c r="AA156" s="349"/>
    </row>
    <row r="157" spans="1:27" s="533" customFormat="1" hidden="1" x14ac:dyDescent="0.25">
      <c r="A157" s="2" t="s">
        <v>346</v>
      </c>
      <c r="B157" s="1"/>
      <c r="C157" s="1"/>
      <c r="D157" s="1"/>
      <c r="E157" s="66">
        <f t="shared" si="63"/>
        <v>3</v>
      </c>
      <c r="F157" s="728" t="str">
        <f t="shared" si="57"/>
        <v>Ej tillämpligt</v>
      </c>
      <c r="G157" s="58"/>
      <c r="H157" s="56" t="b">
        <f t="shared" si="58"/>
        <v>0</v>
      </c>
      <c r="I157" s="729" t="str">
        <f t="shared" si="59"/>
        <v/>
      </c>
      <c r="J157" s="733" t="str">
        <f t="shared" si="60"/>
        <v>Ej tillämpligt</v>
      </c>
      <c r="K157" s="733" t="str">
        <f t="shared" si="60"/>
        <v>Ej tillämpligt</v>
      </c>
      <c r="L157" s="595"/>
      <c r="M157" s="67" t="str">
        <f t="shared" si="61"/>
        <v>Ej tillämpligt</v>
      </c>
      <c r="N157" s="317" t="str">
        <f t="shared" si="62"/>
        <v>Ej tillämpligt</v>
      </c>
      <c r="O157" s="3"/>
      <c r="P157" s="3"/>
      <c r="Q157" s="349"/>
      <c r="R157" s="349"/>
      <c r="S157" s="349"/>
      <c r="T157" s="349"/>
      <c r="U157" s="349"/>
      <c r="V157" s="349"/>
      <c r="W157" s="349"/>
      <c r="X157" s="349"/>
      <c r="Y157" s="349"/>
      <c r="Z157" s="349"/>
      <c r="AA157" s="349"/>
    </row>
    <row r="158" spans="1:27" s="533" customFormat="1" hidden="1" x14ac:dyDescent="0.25">
      <c r="A158" s="2" t="s">
        <v>346</v>
      </c>
      <c r="B158" s="1"/>
      <c r="C158" s="1"/>
      <c r="D158" s="1"/>
      <c r="E158" s="66">
        <f t="shared" si="63"/>
        <v>4</v>
      </c>
      <c r="F158" s="728" t="str">
        <f t="shared" si="57"/>
        <v>Ej tillämpligt</v>
      </c>
      <c r="G158" s="58"/>
      <c r="H158" s="56" t="b">
        <f t="shared" si="58"/>
        <v>0</v>
      </c>
      <c r="I158" s="729" t="str">
        <f t="shared" si="59"/>
        <v/>
      </c>
      <c r="J158" s="733" t="str">
        <f t="shared" si="60"/>
        <v>Ej tillämpligt</v>
      </c>
      <c r="K158" s="733" t="str">
        <f t="shared" si="60"/>
        <v>Ej tillämpligt</v>
      </c>
      <c r="L158" s="595"/>
      <c r="M158" s="67" t="str">
        <f t="shared" si="61"/>
        <v>Ej tillämpligt</v>
      </c>
      <c r="N158" s="317" t="str">
        <f t="shared" si="62"/>
        <v>Ej tillämpligt</v>
      </c>
      <c r="O158" s="3"/>
      <c r="P158" s="3"/>
      <c r="Q158" s="349"/>
      <c r="R158" s="349"/>
      <c r="S158" s="349"/>
      <c r="T158" s="349"/>
      <c r="U158" s="349"/>
      <c r="V158" s="349"/>
      <c r="W158" s="349"/>
      <c r="X158" s="349"/>
      <c r="Y158" s="349"/>
      <c r="Z158" s="349"/>
      <c r="AA158" s="349"/>
    </row>
    <row r="159" spans="1:27" s="533" customFormat="1" hidden="1" x14ac:dyDescent="0.25">
      <c r="A159" s="2" t="s">
        <v>346</v>
      </c>
      <c r="B159" s="1"/>
      <c r="C159" s="1"/>
      <c r="D159" s="1"/>
      <c r="E159" s="66">
        <f t="shared" si="63"/>
        <v>5</v>
      </c>
      <c r="F159" s="728" t="str">
        <f t="shared" si="57"/>
        <v>Ej tillämpligt</v>
      </c>
      <c r="G159" s="58"/>
      <c r="H159" s="56" t="b">
        <f t="shared" si="58"/>
        <v>0</v>
      </c>
      <c r="I159" s="729" t="str">
        <f t="shared" si="59"/>
        <v/>
      </c>
      <c r="J159" s="733" t="str">
        <f t="shared" si="60"/>
        <v>Ej tillämpligt</v>
      </c>
      <c r="K159" s="733" t="str">
        <f t="shared" si="60"/>
        <v>Ej tillämpligt</v>
      </c>
      <c r="L159" s="595"/>
      <c r="M159" s="67" t="str">
        <f t="shared" si="61"/>
        <v>Ej tillämpligt</v>
      </c>
      <c r="N159" s="317" t="str">
        <f t="shared" si="62"/>
        <v>Ej tillämpligt</v>
      </c>
      <c r="O159" s="3"/>
      <c r="P159" s="3"/>
      <c r="Q159" s="349"/>
      <c r="R159" s="349"/>
      <c r="S159" s="349"/>
      <c r="T159" s="349"/>
      <c r="U159" s="349"/>
      <c r="V159" s="349"/>
      <c r="W159" s="349"/>
      <c r="X159" s="349"/>
      <c r="Y159" s="349"/>
      <c r="Z159" s="349"/>
      <c r="AA159" s="349"/>
    </row>
    <row r="160" spans="1:27" s="533" customFormat="1" hidden="1" x14ac:dyDescent="0.25">
      <c r="A160" s="2" t="s">
        <v>346</v>
      </c>
      <c r="B160" s="1"/>
      <c r="C160" s="1"/>
      <c r="D160" s="1"/>
      <c r="E160" s="66">
        <f t="shared" si="63"/>
        <v>6</v>
      </c>
      <c r="F160" s="728" t="str">
        <f t="shared" si="57"/>
        <v>Ej tillämpligt</v>
      </c>
      <c r="G160" s="58"/>
      <c r="H160" s="56" t="b">
        <f t="shared" si="58"/>
        <v>0</v>
      </c>
      <c r="I160" s="729" t="str">
        <f t="shared" si="59"/>
        <v/>
      </c>
      <c r="J160" s="733" t="str">
        <f t="shared" si="60"/>
        <v>Ej tillämpligt</v>
      </c>
      <c r="K160" s="733" t="str">
        <f t="shared" si="60"/>
        <v>Ej tillämpligt</v>
      </c>
      <c r="L160" s="595"/>
      <c r="M160" s="67" t="str">
        <f t="shared" si="61"/>
        <v>Ej tillämpligt</v>
      </c>
      <c r="N160" s="317" t="str">
        <f t="shared" si="62"/>
        <v>Ej tillämpligt</v>
      </c>
      <c r="O160" s="3"/>
      <c r="P160" s="3"/>
      <c r="Q160" s="349"/>
      <c r="R160" s="349"/>
      <c r="S160" s="349"/>
      <c r="T160" s="349"/>
      <c r="U160" s="349"/>
      <c r="V160" s="349"/>
      <c r="W160" s="349"/>
      <c r="X160" s="349"/>
      <c r="Y160" s="349"/>
      <c r="Z160" s="349"/>
      <c r="AA160" s="349"/>
    </row>
    <row r="161" spans="1:27" s="533" customFormat="1" hidden="1" x14ac:dyDescent="0.25">
      <c r="A161" s="2" t="s">
        <v>346</v>
      </c>
      <c r="B161" s="1"/>
      <c r="C161" s="1"/>
      <c r="D161" s="1"/>
      <c r="E161" s="66">
        <f t="shared" si="63"/>
        <v>7</v>
      </c>
      <c r="F161" s="728" t="str">
        <f t="shared" ref="F161:F171" si="64">IF($E161&gt;MAX($R$26:$R$63),EUconst_NA,INDEX(U$26:U$63,MATCH($E161,$R$26:$R$63,0)))</f>
        <v>Ej tillämpligt</v>
      </c>
      <c r="G161" s="58"/>
      <c r="H161" s="56" t="b">
        <f t="shared" ref="H161:H171" si="65">(E161&lt;=MAX($R$26:$R$35))</f>
        <v>0</v>
      </c>
      <c r="I161" s="729" t="str">
        <f t="shared" ref="I161:I171" si="66">IF(H161,MATCH(F161,EUconst_BMlistNames,0),"")</f>
        <v/>
      </c>
      <c r="J161" s="733" t="str">
        <f t="shared" ref="J161:J171" si="67">IF($E161&gt;MAX($R$26:$R$63),EUconst_NA,IF(ISBLANK(INDEX(I$26:I$63,MATCH($E161,$R$26:$R$63,0))),0,INDEX(I$26:I$63,MATCH($E161,$R$26:$R$63,0))))</f>
        <v>Ej tillämpligt</v>
      </c>
      <c r="K161" s="733" t="str">
        <f t="shared" ref="K161:K171" si="68">IF($E161&gt;MAX($R$26:$R$63),EUconst_NA,IF(ISBLANK(INDEX(J$26:J$63,MATCH($E161,$R$26:$R$63,0))),0,INDEX(J$26:J$63,MATCH($E161,$R$26:$R$63,0))))</f>
        <v>Ej tillämpligt</v>
      </c>
      <c r="L161" s="595"/>
      <c r="M161" s="67" t="str">
        <f t="shared" ref="M161:M171" si="69">IF($E161&gt;MAX($R$26:$R$63),EUconst_NA,INDEX(L$26:L$63,MATCH($E161,$R$26:$R$63,0)))</f>
        <v>Ej tillämpligt</v>
      </c>
      <c r="N161" s="317" t="str">
        <f t="shared" ref="N161:N171" si="70">IF($E161&gt;MAX($R$26:$R$63),EUconst_NA,INDEX(S$26:S$63,MATCH($E161,$R$26:$R$63,0)))</f>
        <v>Ej tillämpligt</v>
      </c>
      <c r="O161" s="3"/>
      <c r="P161" s="3"/>
      <c r="Q161" s="349"/>
      <c r="R161" s="349"/>
      <c r="S161" s="349"/>
      <c r="T161" s="349"/>
      <c r="U161" s="349"/>
      <c r="V161" s="349"/>
      <c r="W161" s="349"/>
      <c r="X161" s="349"/>
      <c r="Y161" s="349"/>
      <c r="Z161" s="349"/>
      <c r="AA161" s="349"/>
    </row>
    <row r="162" spans="1:27" s="533" customFormat="1" hidden="1" x14ac:dyDescent="0.25">
      <c r="A162" s="2" t="s">
        <v>346</v>
      </c>
      <c r="B162" s="1"/>
      <c r="C162" s="1"/>
      <c r="D162" s="1"/>
      <c r="E162" s="66">
        <f t="shared" si="63"/>
        <v>8</v>
      </c>
      <c r="F162" s="728" t="str">
        <f t="shared" si="64"/>
        <v>Ej tillämpligt</v>
      </c>
      <c r="G162" s="58"/>
      <c r="H162" s="56" t="b">
        <f t="shared" si="65"/>
        <v>0</v>
      </c>
      <c r="I162" s="729" t="str">
        <f t="shared" si="66"/>
        <v/>
      </c>
      <c r="J162" s="733" t="str">
        <f t="shared" si="67"/>
        <v>Ej tillämpligt</v>
      </c>
      <c r="K162" s="733" t="str">
        <f t="shared" si="68"/>
        <v>Ej tillämpligt</v>
      </c>
      <c r="L162" s="595"/>
      <c r="M162" s="67" t="str">
        <f t="shared" si="69"/>
        <v>Ej tillämpligt</v>
      </c>
      <c r="N162" s="317" t="str">
        <f t="shared" si="70"/>
        <v>Ej tillämpligt</v>
      </c>
      <c r="O162" s="3"/>
      <c r="P162" s="3"/>
      <c r="Q162" s="349"/>
      <c r="R162" s="349"/>
      <c r="S162" s="349"/>
      <c r="T162" s="349"/>
      <c r="U162" s="349"/>
      <c r="V162" s="349"/>
      <c r="W162" s="349"/>
      <c r="X162" s="349"/>
      <c r="Y162" s="349"/>
      <c r="Z162" s="349"/>
      <c r="AA162" s="349"/>
    </row>
    <row r="163" spans="1:27" s="533" customFormat="1" hidden="1" x14ac:dyDescent="0.25">
      <c r="A163" s="2" t="s">
        <v>346</v>
      </c>
      <c r="B163" s="1"/>
      <c r="C163" s="1"/>
      <c r="D163" s="1"/>
      <c r="E163" s="66">
        <f t="shared" si="63"/>
        <v>9</v>
      </c>
      <c r="F163" s="728" t="str">
        <f t="shared" si="64"/>
        <v>Ej tillämpligt</v>
      </c>
      <c r="G163" s="58"/>
      <c r="H163" s="56" t="b">
        <f t="shared" si="65"/>
        <v>0</v>
      </c>
      <c r="I163" s="729" t="str">
        <f t="shared" si="66"/>
        <v/>
      </c>
      <c r="J163" s="733" t="str">
        <f t="shared" si="67"/>
        <v>Ej tillämpligt</v>
      </c>
      <c r="K163" s="733" t="str">
        <f t="shared" si="68"/>
        <v>Ej tillämpligt</v>
      </c>
      <c r="L163" s="595"/>
      <c r="M163" s="67" t="str">
        <f t="shared" si="69"/>
        <v>Ej tillämpligt</v>
      </c>
      <c r="N163" s="317" t="str">
        <f t="shared" si="70"/>
        <v>Ej tillämpligt</v>
      </c>
      <c r="O163" s="3"/>
      <c r="P163" s="3"/>
      <c r="Q163" s="349"/>
      <c r="R163" s="349"/>
      <c r="S163" s="349"/>
      <c r="T163" s="349"/>
      <c r="U163" s="349"/>
      <c r="V163" s="349"/>
      <c r="W163" s="349"/>
      <c r="X163" s="349"/>
      <c r="Y163" s="349"/>
      <c r="Z163" s="349"/>
      <c r="AA163" s="349"/>
    </row>
    <row r="164" spans="1:27" s="533" customFormat="1" hidden="1" x14ac:dyDescent="0.25">
      <c r="A164" s="2" t="s">
        <v>346</v>
      </c>
      <c r="B164" s="1"/>
      <c r="C164" s="1"/>
      <c r="D164" s="1"/>
      <c r="E164" s="66">
        <f t="shared" si="63"/>
        <v>10</v>
      </c>
      <c r="F164" s="728" t="str">
        <f t="shared" si="64"/>
        <v>Ej tillämpligt</v>
      </c>
      <c r="G164" s="58"/>
      <c r="H164" s="56" t="b">
        <f t="shared" si="65"/>
        <v>0</v>
      </c>
      <c r="I164" s="729" t="str">
        <f t="shared" si="66"/>
        <v/>
      </c>
      <c r="J164" s="733" t="str">
        <f t="shared" si="67"/>
        <v>Ej tillämpligt</v>
      </c>
      <c r="K164" s="733" t="str">
        <f t="shared" si="68"/>
        <v>Ej tillämpligt</v>
      </c>
      <c r="L164" s="595"/>
      <c r="M164" s="67" t="str">
        <f t="shared" si="69"/>
        <v>Ej tillämpligt</v>
      </c>
      <c r="N164" s="317" t="str">
        <f t="shared" si="70"/>
        <v>Ej tillämpligt</v>
      </c>
      <c r="O164" s="3"/>
      <c r="P164" s="3"/>
      <c r="Q164" s="349"/>
      <c r="R164" s="349"/>
      <c r="S164" s="349"/>
      <c r="T164" s="349"/>
      <c r="U164" s="349"/>
      <c r="V164" s="349"/>
      <c r="W164" s="349"/>
      <c r="X164" s="349"/>
      <c r="Y164" s="349"/>
      <c r="Z164" s="349"/>
      <c r="AA164" s="349"/>
    </row>
    <row r="165" spans="1:27" s="533" customFormat="1" hidden="1" x14ac:dyDescent="0.25">
      <c r="A165" s="2" t="s">
        <v>346</v>
      </c>
      <c r="B165" s="1"/>
      <c r="C165" s="1"/>
      <c r="D165" s="1"/>
      <c r="E165" s="66">
        <f t="shared" si="63"/>
        <v>11</v>
      </c>
      <c r="F165" s="728" t="str">
        <f t="shared" si="64"/>
        <v>Ej tillämpligt</v>
      </c>
      <c r="G165" s="58"/>
      <c r="H165" s="56" t="b">
        <f t="shared" si="65"/>
        <v>0</v>
      </c>
      <c r="I165" s="729" t="str">
        <f t="shared" si="66"/>
        <v/>
      </c>
      <c r="J165" s="733" t="str">
        <f t="shared" si="67"/>
        <v>Ej tillämpligt</v>
      </c>
      <c r="K165" s="733" t="str">
        <f t="shared" si="68"/>
        <v>Ej tillämpligt</v>
      </c>
      <c r="L165" s="595"/>
      <c r="M165" s="67" t="str">
        <f t="shared" si="69"/>
        <v>Ej tillämpligt</v>
      </c>
      <c r="N165" s="317" t="str">
        <f t="shared" si="70"/>
        <v>Ej tillämpligt</v>
      </c>
      <c r="O165" s="3"/>
      <c r="P165" s="3"/>
      <c r="Q165" s="349"/>
      <c r="R165" s="349"/>
      <c r="S165" s="349"/>
      <c r="T165" s="349"/>
      <c r="U165" s="349"/>
      <c r="V165" s="349"/>
      <c r="W165" s="349"/>
      <c r="X165" s="349"/>
      <c r="Y165" s="349"/>
      <c r="Z165" s="349"/>
      <c r="AA165" s="349"/>
    </row>
    <row r="166" spans="1:27" s="533" customFormat="1" hidden="1" x14ac:dyDescent="0.25">
      <c r="A166" s="2" t="s">
        <v>346</v>
      </c>
      <c r="B166" s="1"/>
      <c r="C166" s="1"/>
      <c r="D166" s="1"/>
      <c r="E166" s="66">
        <f t="shared" si="63"/>
        <v>12</v>
      </c>
      <c r="F166" s="728" t="str">
        <f t="shared" si="64"/>
        <v>Ej tillämpligt</v>
      </c>
      <c r="G166" s="58"/>
      <c r="H166" s="56" t="b">
        <f t="shared" si="65"/>
        <v>0</v>
      </c>
      <c r="I166" s="729" t="str">
        <f t="shared" si="66"/>
        <v/>
      </c>
      <c r="J166" s="733" t="str">
        <f t="shared" si="67"/>
        <v>Ej tillämpligt</v>
      </c>
      <c r="K166" s="733" t="str">
        <f t="shared" si="68"/>
        <v>Ej tillämpligt</v>
      </c>
      <c r="L166" s="595"/>
      <c r="M166" s="67" t="str">
        <f t="shared" si="69"/>
        <v>Ej tillämpligt</v>
      </c>
      <c r="N166" s="317" t="str">
        <f t="shared" si="70"/>
        <v>Ej tillämpligt</v>
      </c>
      <c r="O166" s="3"/>
      <c r="P166" s="3"/>
      <c r="Q166" s="349"/>
      <c r="R166" s="349"/>
      <c r="S166" s="349"/>
      <c r="T166" s="349"/>
      <c r="U166" s="349"/>
      <c r="V166" s="349"/>
      <c r="W166" s="349"/>
      <c r="X166" s="349"/>
      <c r="Y166" s="349"/>
      <c r="Z166" s="349"/>
      <c r="AA166" s="349"/>
    </row>
    <row r="167" spans="1:27" s="533" customFormat="1" hidden="1" x14ac:dyDescent="0.25">
      <c r="A167" s="2" t="s">
        <v>346</v>
      </c>
      <c r="B167" s="1"/>
      <c r="C167" s="1"/>
      <c r="D167" s="1"/>
      <c r="E167" s="66">
        <f t="shared" si="63"/>
        <v>13</v>
      </c>
      <c r="F167" s="728" t="str">
        <f t="shared" si="64"/>
        <v>Ej tillämpligt</v>
      </c>
      <c r="G167" s="58"/>
      <c r="H167" s="56" t="b">
        <f t="shared" si="65"/>
        <v>0</v>
      </c>
      <c r="I167" s="729" t="str">
        <f t="shared" si="66"/>
        <v/>
      </c>
      <c r="J167" s="733" t="str">
        <f t="shared" si="67"/>
        <v>Ej tillämpligt</v>
      </c>
      <c r="K167" s="733" t="str">
        <f t="shared" si="68"/>
        <v>Ej tillämpligt</v>
      </c>
      <c r="L167" s="595"/>
      <c r="M167" s="67" t="str">
        <f t="shared" si="69"/>
        <v>Ej tillämpligt</v>
      </c>
      <c r="N167" s="317" t="str">
        <f t="shared" si="70"/>
        <v>Ej tillämpligt</v>
      </c>
      <c r="O167" s="3"/>
      <c r="P167" s="3"/>
      <c r="Q167" s="349"/>
      <c r="R167" s="349"/>
      <c r="S167" s="349"/>
      <c r="T167" s="349"/>
      <c r="U167" s="349"/>
      <c r="V167" s="349"/>
      <c r="W167" s="349"/>
      <c r="X167" s="349"/>
      <c r="Y167" s="349"/>
      <c r="Z167" s="349"/>
      <c r="AA167" s="349"/>
    </row>
    <row r="168" spans="1:27" s="533" customFormat="1" hidden="1" x14ac:dyDescent="0.25">
      <c r="A168" s="2" t="s">
        <v>346</v>
      </c>
      <c r="B168" s="1"/>
      <c r="C168" s="1"/>
      <c r="D168" s="1"/>
      <c r="E168" s="66">
        <f t="shared" si="63"/>
        <v>14</v>
      </c>
      <c r="F168" s="728" t="str">
        <f t="shared" si="64"/>
        <v>Ej tillämpligt</v>
      </c>
      <c r="G168" s="58"/>
      <c r="H168" s="56" t="b">
        <f t="shared" si="65"/>
        <v>0</v>
      </c>
      <c r="I168" s="729" t="str">
        <f t="shared" si="66"/>
        <v/>
      </c>
      <c r="J168" s="733" t="str">
        <f t="shared" si="67"/>
        <v>Ej tillämpligt</v>
      </c>
      <c r="K168" s="733" t="str">
        <f t="shared" si="68"/>
        <v>Ej tillämpligt</v>
      </c>
      <c r="L168" s="595"/>
      <c r="M168" s="67" t="str">
        <f t="shared" si="69"/>
        <v>Ej tillämpligt</v>
      </c>
      <c r="N168" s="317" t="str">
        <f t="shared" si="70"/>
        <v>Ej tillämpligt</v>
      </c>
      <c r="O168" s="3"/>
      <c r="P168" s="3"/>
      <c r="Q168" s="349"/>
      <c r="R168" s="349"/>
      <c r="S168" s="349"/>
      <c r="T168" s="349"/>
      <c r="U168" s="349"/>
      <c r="V168" s="349"/>
      <c r="W168" s="349"/>
      <c r="X168" s="349"/>
      <c r="Y168" s="349"/>
      <c r="Z168" s="349"/>
      <c r="AA168" s="349"/>
    </row>
    <row r="169" spans="1:27" s="533" customFormat="1" hidden="1" x14ac:dyDescent="0.25">
      <c r="A169" s="2" t="s">
        <v>346</v>
      </c>
      <c r="B169" s="1"/>
      <c r="C169" s="1"/>
      <c r="D169" s="1"/>
      <c r="E169" s="66">
        <f t="shared" si="63"/>
        <v>15</v>
      </c>
      <c r="F169" s="728" t="str">
        <f t="shared" si="64"/>
        <v>Ej tillämpligt</v>
      </c>
      <c r="G169" s="58"/>
      <c r="H169" s="56" t="b">
        <f t="shared" si="65"/>
        <v>0</v>
      </c>
      <c r="I169" s="729" t="str">
        <f t="shared" si="66"/>
        <v/>
      </c>
      <c r="J169" s="733" t="str">
        <f t="shared" si="67"/>
        <v>Ej tillämpligt</v>
      </c>
      <c r="K169" s="733" t="str">
        <f t="shared" si="68"/>
        <v>Ej tillämpligt</v>
      </c>
      <c r="L169" s="595"/>
      <c r="M169" s="67" t="str">
        <f t="shared" si="69"/>
        <v>Ej tillämpligt</v>
      </c>
      <c r="N169" s="317" t="str">
        <f t="shared" si="70"/>
        <v>Ej tillämpligt</v>
      </c>
      <c r="O169" s="3"/>
      <c r="P169" s="3"/>
      <c r="Q169" s="349"/>
      <c r="R169" s="349"/>
      <c r="S169" s="349"/>
      <c r="T169" s="349"/>
      <c r="U169" s="349"/>
      <c r="V169" s="349"/>
      <c r="W169" s="349"/>
      <c r="X169" s="349"/>
      <c r="Y169" s="349"/>
      <c r="Z169" s="349"/>
      <c r="AA169" s="349"/>
    </row>
    <row r="170" spans="1:27" s="533" customFormat="1" hidden="1" x14ac:dyDescent="0.25">
      <c r="A170" s="2" t="s">
        <v>346</v>
      </c>
      <c r="B170" s="1"/>
      <c r="C170" s="1"/>
      <c r="D170" s="1"/>
      <c r="E170" s="66">
        <f t="shared" si="63"/>
        <v>16</v>
      </c>
      <c r="F170" s="728" t="str">
        <f t="shared" si="64"/>
        <v>Ej tillämpligt</v>
      </c>
      <c r="G170" s="58"/>
      <c r="H170" s="56" t="b">
        <f t="shared" si="65"/>
        <v>0</v>
      </c>
      <c r="I170" s="729" t="str">
        <f t="shared" si="66"/>
        <v/>
      </c>
      <c r="J170" s="733" t="str">
        <f t="shared" si="67"/>
        <v>Ej tillämpligt</v>
      </c>
      <c r="K170" s="733" t="str">
        <f t="shared" si="68"/>
        <v>Ej tillämpligt</v>
      </c>
      <c r="L170" s="595"/>
      <c r="M170" s="67" t="str">
        <f t="shared" si="69"/>
        <v>Ej tillämpligt</v>
      </c>
      <c r="N170" s="317" t="str">
        <f t="shared" si="70"/>
        <v>Ej tillämpligt</v>
      </c>
      <c r="O170" s="3"/>
      <c r="P170" s="3"/>
      <c r="Q170" s="349"/>
      <c r="R170" s="349"/>
      <c r="S170" s="349"/>
      <c r="T170" s="349"/>
      <c r="U170" s="349"/>
      <c r="V170" s="349"/>
      <c r="W170" s="349"/>
      <c r="X170" s="349"/>
      <c r="Y170" s="349"/>
      <c r="Z170" s="349"/>
      <c r="AA170" s="349"/>
    </row>
    <row r="171" spans="1:27" s="533" customFormat="1" ht="13" hidden="1" thickBot="1" x14ac:dyDescent="0.3">
      <c r="A171" s="2" t="s">
        <v>346</v>
      </c>
      <c r="B171" s="1"/>
      <c r="C171" s="1"/>
      <c r="D171" s="1"/>
      <c r="E171" s="68">
        <f t="shared" si="63"/>
        <v>17</v>
      </c>
      <c r="F171" s="730" t="str">
        <f t="shared" si="64"/>
        <v>Ej tillämpligt</v>
      </c>
      <c r="G171" s="69"/>
      <c r="H171" s="88" t="b">
        <f t="shared" si="65"/>
        <v>0</v>
      </c>
      <c r="I171" s="731" t="str">
        <f t="shared" si="66"/>
        <v/>
      </c>
      <c r="J171" s="734" t="str">
        <f t="shared" si="67"/>
        <v>Ej tillämpligt</v>
      </c>
      <c r="K171" s="734" t="str">
        <f t="shared" si="68"/>
        <v>Ej tillämpligt</v>
      </c>
      <c r="L171" s="596"/>
      <c r="M171" s="70" t="str">
        <f t="shared" si="69"/>
        <v>Ej tillämpligt</v>
      </c>
      <c r="N171" s="318" t="str">
        <f t="shared" si="70"/>
        <v>Ej tillämpligt</v>
      </c>
      <c r="O171" s="3"/>
      <c r="P171" s="3"/>
      <c r="Q171" s="349"/>
      <c r="R171" s="349"/>
      <c r="S171" s="349"/>
      <c r="T171" s="349"/>
      <c r="U171" s="349"/>
      <c r="V171" s="349"/>
      <c r="W171" s="349"/>
      <c r="X171" s="349"/>
      <c r="Y171" s="349"/>
      <c r="Z171" s="349"/>
      <c r="AA171" s="349"/>
    </row>
    <row r="172" spans="1:27" s="533" customFormat="1" ht="13" hidden="1" x14ac:dyDescent="0.25">
      <c r="A172" s="2" t="s">
        <v>346</v>
      </c>
      <c r="B172" s="1"/>
      <c r="C172" s="1"/>
      <c r="D172" s="1"/>
      <c r="E172" s="1"/>
      <c r="F172" s="1"/>
      <c r="G172" s="1"/>
      <c r="H172" s="1"/>
      <c r="I172" s="41"/>
      <c r="J172" s="41"/>
      <c r="K172" s="41"/>
      <c r="L172" s="41"/>
      <c r="M172" s="41"/>
      <c r="N172" s="41"/>
      <c r="O172" s="3"/>
      <c r="P172" s="3"/>
      <c r="Q172" s="349"/>
      <c r="R172" s="349"/>
      <c r="S172" s="349"/>
      <c r="T172" s="349"/>
      <c r="U172" s="349"/>
      <c r="V172" s="349"/>
      <c r="W172" s="349"/>
      <c r="X172" s="349"/>
      <c r="Y172" s="349"/>
      <c r="Z172" s="349"/>
      <c r="AA172" s="349"/>
    </row>
    <row r="173" spans="1:27" s="533" customFormat="1" hidden="1" x14ac:dyDescent="0.25">
      <c r="A173" s="2" t="s">
        <v>346</v>
      </c>
      <c r="B173" s="1"/>
      <c r="C173" s="1"/>
      <c r="D173" s="1"/>
      <c r="E173" s="453" t="s">
        <v>2037</v>
      </c>
      <c r="F173" s="1"/>
      <c r="G173" s="1"/>
      <c r="H173" s="1"/>
      <c r="I173" s="1"/>
      <c r="J173" s="1"/>
      <c r="K173" s="1"/>
      <c r="L173" s="1"/>
      <c r="M173" s="1"/>
      <c r="N173" s="1"/>
      <c r="O173" s="3"/>
      <c r="P173" s="3"/>
      <c r="Q173" s="349"/>
      <c r="R173" s="349"/>
      <c r="S173" s="349"/>
      <c r="T173" s="349"/>
      <c r="U173" s="349"/>
      <c r="V173" s="349"/>
      <c r="W173" s="349"/>
      <c r="X173" s="349"/>
      <c r="Y173" s="349"/>
      <c r="Z173" s="349"/>
      <c r="AA173" s="349"/>
    </row>
    <row r="174" spans="1:27" s="533" customFormat="1" hidden="1" x14ac:dyDescent="0.25">
      <c r="A174" s="2" t="s">
        <v>346</v>
      </c>
      <c r="B174" s="1"/>
      <c r="C174" s="1"/>
      <c r="D174" s="1"/>
      <c r="E174" s="1" t="s">
        <v>864</v>
      </c>
      <c r="F174" s="1"/>
      <c r="G174" s="44" t="b">
        <f>OR(COUNTIF(E131:E140,"")&lt;10,COUNTIF(CNTR_FallBackSubInstRelevant,"")&lt;7)</f>
        <v>0</v>
      </c>
      <c r="H174" s="1"/>
      <c r="I174" s="453" t="s">
        <v>1608</v>
      </c>
      <c r="J174" s="44" t="b">
        <f>OR(CNTR_SubInstListIsProdBM)</f>
        <v>0</v>
      </c>
      <c r="K174" s="1"/>
      <c r="L174" s="1"/>
      <c r="M174" s="1"/>
      <c r="N174" s="1"/>
      <c r="O174" s="3"/>
      <c r="P174" s="3"/>
      <c r="Q174" s="349"/>
      <c r="R174" s="349"/>
      <c r="S174" s="349"/>
      <c r="T174" s="349"/>
      <c r="U174" s="349"/>
      <c r="V174" s="349"/>
      <c r="W174" s="349"/>
      <c r="X174" s="349"/>
      <c r="Y174" s="349"/>
      <c r="Z174" s="349"/>
      <c r="AA174" s="349"/>
    </row>
    <row r="175" spans="1:27" hidden="1" x14ac:dyDescent="0.25">
      <c r="A175" s="2" t="s">
        <v>346</v>
      </c>
      <c r="B175" s="3"/>
      <c r="C175" s="5"/>
      <c r="D175" s="3"/>
      <c r="E175" s="3"/>
      <c r="F175" s="3"/>
      <c r="G175" s="3"/>
      <c r="H175" s="3"/>
      <c r="I175" s="3"/>
      <c r="J175" s="3"/>
      <c r="K175" s="3"/>
      <c r="L175" s="3"/>
      <c r="M175" s="3"/>
      <c r="O175" s="3"/>
      <c r="P175" s="3"/>
    </row>
    <row r="176" spans="1:27" hidden="1" x14ac:dyDescent="0.25">
      <c r="A176" s="2" t="s">
        <v>346</v>
      </c>
      <c r="E176" s="1" t="s">
        <v>868</v>
      </c>
      <c r="F176" s="1"/>
      <c r="G176" s="1"/>
      <c r="H176" s="1"/>
    </row>
    <row r="177" spans="1:8" hidden="1" x14ac:dyDescent="0.25">
      <c r="A177" s="2" t="s">
        <v>346</v>
      </c>
      <c r="C177" s="521"/>
      <c r="E177" s="1"/>
      <c r="F177" s="453" t="s">
        <v>2232</v>
      </c>
      <c r="G177" s="44" t="b">
        <f>OR(10-COUNTIF(M26:M35,"")&gt;0,E36&lt;&gt;"",D38&lt;&gt;"",E64&lt;&gt;"",D66&lt;&gt;"")</f>
        <v>0</v>
      </c>
      <c r="H177" s="1" t="s">
        <v>971</v>
      </c>
    </row>
  </sheetData>
  <sheetProtection sheet="1" objects="1" scenarios="1" formatCells="0" formatColumns="0" formatRows="0"/>
  <mergeCells count="171">
    <mergeCell ref="E2:F2"/>
    <mergeCell ref="E121:G121"/>
    <mergeCell ref="E122:G122"/>
    <mergeCell ref="E117:G117"/>
    <mergeCell ref="E118:G118"/>
    <mergeCell ref="E119:G119"/>
    <mergeCell ref="E120:G120"/>
    <mergeCell ref="G18:N18"/>
    <mergeCell ref="G19:N19"/>
    <mergeCell ref="E13:N13"/>
    <mergeCell ref="G14:N14"/>
    <mergeCell ref="G15:N15"/>
    <mergeCell ref="F20:N20"/>
    <mergeCell ref="F21:N21"/>
    <mergeCell ref="M32:N32"/>
    <mergeCell ref="E41:N41"/>
    <mergeCell ref="G17:N17"/>
    <mergeCell ref="I3:J3"/>
    <mergeCell ref="K4:L4"/>
    <mergeCell ref="E36:K36"/>
    <mergeCell ref="M26:N26"/>
    <mergeCell ref="G45:N45"/>
    <mergeCell ref="G46:N46"/>
    <mergeCell ref="G47:N47"/>
    <mergeCell ref="G48:N48"/>
    <mergeCell ref="G49:N49"/>
    <mergeCell ref="E115:G115"/>
    <mergeCell ref="E116:G116"/>
    <mergeCell ref="F53:N53"/>
    <mergeCell ref="E54:N54"/>
    <mergeCell ref="E57:F57"/>
    <mergeCell ref="E58:F58"/>
    <mergeCell ref="G50:N50"/>
    <mergeCell ref="F51:N51"/>
    <mergeCell ref="F52:N52"/>
    <mergeCell ref="E143:H143"/>
    <mergeCell ref="E144:H144"/>
    <mergeCell ref="E107:G108"/>
    <mergeCell ref="E80:H80"/>
    <mergeCell ref="E81:H81"/>
    <mergeCell ref="E82:H82"/>
    <mergeCell ref="E83:H83"/>
    <mergeCell ref="F104:N104"/>
    <mergeCell ref="F103:N103"/>
    <mergeCell ref="E112:G112"/>
    <mergeCell ref="E133:H133"/>
    <mergeCell ref="E134:H134"/>
    <mergeCell ref="E135:H135"/>
    <mergeCell ref="E88:H88"/>
    <mergeCell ref="E137:H137"/>
    <mergeCell ref="E131:H131"/>
    <mergeCell ref="E132:H132"/>
    <mergeCell ref="E127:N127"/>
    <mergeCell ref="E113:G113"/>
    <mergeCell ref="E123:G123"/>
    <mergeCell ref="E124:G124"/>
    <mergeCell ref="E125:G125"/>
    <mergeCell ref="E145:H145"/>
    <mergeCell ref="E146:H146"/>
    <mergeCell ref="E147:H147"/>
    <mergeCell ref="E139:H139"/>
    <mergeCell ref="E140:H140"/>
    <mergeCell ref="E141:H141"/>
    <mergeCell ref="E142:H142"/>
    <mergeCell ref="E59:F59"/>
    <mergeCell ref="E60:F60"/>
    <mergeCell ref="E71:N71"/>
    <mergeCell ref="E84:H84"/>
    <mergeCell ref="F101:N101"/>
    <mergeCell ref="E90:H90"/>
    <mergeCell ref="E72:H73"/>
    <mergeCell ref="E64:K64"/>
    <mergeCell ref="E79:H79"/>
    <mergeCell ref="E92:N92"/>
    <mergeCell ref="F102:N102"/>
    <mergeCell ref="E85:H85"/>
    <mergeCell ref="E87:H87"/>
    <mergeCell ref="F95:N95"/>
    <mergeCell ref="E74:H74"/>
    <mergeCell ref="E75:H75"/>
    <mergeCell ref="E76:H76"/>
    <mergeCell ref="D107:D108"/>
    <mergeCell ref="D129:D130"/>
    <mergeCell ref="D72:D73"/>
    <mergeCell ref="H107:H108"/>
    <mergeCell ref="E70:N70"/>
    <mergeCell ref="G30:H30"/>
    <mergeCell ref="E89:H89"/>
    <mergeCell ref="F105:N105"/>
    <mergeCell ref="P2:P4"/>
    <mergeCell ref="B2:D4"/>
    <mergeCell ref="G2:H2"/>
    <mergeCell ref="I2:J2"/>
    <mergeCell ref="K2:L2"/>
    <mergeCell ref="M2:N2"/>
    <mergeCell ref="E3:F3"/>
    <mergeCell ref="K3:L3"/>
    <mergeCell ref="M3:N3"/>
    <mergeCell ref="G3:H3"/>
    <mergeCell ref="E23:N23"/>
    <mergeCell ref="D38:N38"/>
    <mergeCell ref="E31:F31"/>
    <mergeCell ref="E32:F32"/>
    <mergeCell ref="G25:H25"/>
    <mergeCell ref="M33:N33"/>
    <mergeCell ref="M27:N27"/>
    <mergeCell ref="G31:H31"/>
    <mergeCell ref="D40:N40"/>
    <mergeCell ref="G29:H29"/>
    <mergeCell ref="E34:F34"/>
    <mergeCell ref="E4:F4"/>
    <mergeCell ref="E25:F25"/>
    <mergeCell ref="E29:F29"/>
    <mergeCell ref="E30:F30"/>
    <mergeCell ref="D8:N8"/>
    <mergeCell ref="F22:N22"/>
    <mergeCell ref="G16:N16"/>
    <mergeCell ref="G4:H4"/>
    <mergeCell ref="I4:J4"/>
    <mergeCell ref="D10:N10"/>
    <mergeCell ref="M4:N4"/>
    <mergeCell ref="D6:N6"/>
    <mergeCell ref="E12:N12"/>
    <mergeCell ref="D149:N149"/>
    <mergeCell ref="G28:H28"/>
    <mergeCell ref="E26:F26"/>
    <mergeCell ref="E27:F27"/>
    <mergeCell ref="E61:F61"/>
    <mergeCell ref="E33:F33"/>
    <mergeCell ref="E62:F62"/>
    <mergeCell ref="E43:N43"/>
    <mergeCell ref="M28:N28"/>
    <mergeCell ref="M29:N29"/>
    <mergeCell ref="G32:H32"/>
    <mergeCell ref="G26:H26"/>
    <mergeCell ref="G27:H27"/>
    <mergeCell ref="M35:N35"/>
    <mergeCell ref="M30:N30"/>
    <mergeCell ref="M31:N31"/>
    <mergeCell ref="M34:N34"/>
    <mergeCell ref="G34:H34"/>
    <mergeCell ref="E28:F28"/>
    <mergeCell ref="G33:H33"/>
    <mergeCell ref="E138:H138"/>
    <mergeCell ref="E128:N128"/>
    <mergeCell ref="G35:H35"/>
    <mergeCell ref="E56:F56"/>
    <mergeCell ref="E44:N44"/>
    <mergeCell ref="E35:F35"/>
    <mergeCell ref="E114:G114"/>
    <mergeCell ref="E78:H78"/>
    <mergeCell ref="E42:N42"/>
    <mergeCell ref="E136:H136"/>
    <mergeCell ref="E106:N106"/>
    <mergeCell ref="F94:N94"/>
    <mergeCell ref="F96:N96"/>
    <mergeCell ref="F98:N98"/>
    <mergeCell ref="F100:N100"/>
    <mergeCell ref="D68:N68"/>
    <mergeCell ref="E93:N93"/>
    <mergeCell ref="E86:H86"/>
    <mergeCell ref="E63:F63"/>
    <mergeCell ref="E111:G111"/>
    <mergeCell ref="E69:N69"/>
    <mergeCell ref="D66:N66"/>
    <mergeCell ref="E77:H77"/>
    <mergeCell ref="F97:N97"/>
    <mergeCell ref="F99:N99"/>
    <mergeCell ref="E109:G109"/>
    <mergeCell ref="E110:G110"/>
    <mergeCell ref="E129:H130"/>
  </mergeCells>
  <conditionalFormatting sqref="B2:D4">
    <cfRule type="expression" dxfId="777" priority="13" stopIfTrue="1">
      <formula>$G$177</formula>
    </cfRule>
  </conditionalFormatting>
  <conditionalFormatting sqref="E74 I74:N83 E75:G83 I84:I90">
    <cfRule type="expression" dxfId="776" priority="8" stopIfTrue="1">
      <formula>$S74</formula>
    </cfRule>
  </conditionalFormatting>
  <conditionalFormatting sqref="E26:F35">
    <cfRule type="expression" dxfId="775" priority="9" stopIfTrue="1">
      <formula>$W26=0</formula>
    </cfRule>
  </conditionalFormatting>
  <conditionalFormatting sqref="G3:H3">
    <cfRule type="expression" dxfId="774" priority="2" stopIfTrue="1">
      <formula>$G$177</formula>
    </cfRule>
  </conditionalFormatting>
  <conditionalFormatting sqref="G26:H35">
    <cfRule type="expression" dxfId="773" priority="5" stopIfTrue="1">
      <formula>$X26=0</formula>
    </cfRule>
    <cfRule type="expression" dxfId="772" priority="556" stopIfTrue="1">
      <formula>$X26=1</formula>
    </cfRule>
  </conditionalFormatting>
  <conditionalFormatting sqref="G57:K63">
    <cfRule type="expression" dxfId="771" priority="3" stopIfTrue="1">
      <formula>W57=1</formula>
    </cfRule>
    <cfRule type="expression" dxfId="770" priority="557" stopIfTrue="1">
      <formula>W57=0</formula>
    </cfRule>
  </conditionalFormatting>
  <conditionalFormatting sqref="G4:L4">
    <cfRule type="expression" dxfId="769" priority="1496" stopIfTrue="1">
      <formula>#REF!</formula>
    </cfRule>
  </conditionalFormatting>
  <conditionalFormatting sqref="I3:J3">
    <cfRule type="expression" dxfId="768" priority="1" stopIfTrue="1">
      <formula>COUNTIF($AA$109:$AA$125,2)&gt;0</formula>
    </cfRule>
  </conditionalFormatting>
  <conditionalFormatting sqref="I26:K35">
    <cfRule type="expression" dxfId="767" priority="4" stopIfTrue="1">
      <formula>Y26=1</formula>
    </cfRule>
    <cfRule type="expression" dxfId="766" priority="7" stopIfTrue="1">
      <formula>Y26=0</formula>
    </cfRule>
  </conditionalFormatting>
  <conditionalFormatting sqref="I109:N118 I119:I125">
    <cfRule type="expression" dxfId="765" priority="25" stopIfTrue="1">
      <formula>T109</formula>
    </cfRule>
  </conditionalFormatting>
  <dataValidations count="6">
    <dataValidation type="list" operator="greaterThan" allowBlank="1" showInputMessage="1" showErrorMessage="1" sqref="K26:K35 K57:K63" xr:uid="{D25E600E-AB38-41A0-9F75-5CB0AA823F80}">
      <formula1>EUconst_CessationReason</formula1>
    </dataValidation>
    <dataValidation type="decimal" operator="greaterThanOrEqual" allowBlank="1" showInputMessage="1" showErrorMessage="1" sqref="M109:M118 I109:K118 I141:I147 I119:I125" xr:uid="{9320F504-0CE7-4934-86A2-BD19982472B0}">
      <formula1>0</formula1>
    </dataValidation>
    <dataValidation type="decimal" allowBlank="1" showInputMessage="1" showErrorMessage="1" sqref="L109:L118 N109:N118" xr:uid="{8E292DC3-A97D-4E45-A20B-2E8FCF622486}">
      <formula1>0</formula1>
      <formula2>1</formula2>
    </dataValidation>
    <dataValidation type="list" allowBlank="1" showInputMessage="1" showErrorMessage="1" sqref="G26:G35" xr:uid="{AF5357AA-09F7-419E-A02F-00F916513AAD}">
      <formula1>EUconst_BMlistNames</formula1>
    </dataValidation>
    <dataValidation type="list" allowBlank="1" showInputMessage="1" showErrorMessage="1" sqref="H57:H63" xr:uid="{C0E169B7-2122-4A5C-A438-A6B7625CA950}">
      <formula1>Euconst_TrueFalse</formula1>
    </dataValidation>
    <dataValidation type="date" operator="greaterThan" allowBlank="1" showInputMessage="1" showErrorMessage="1" error="! No valid date format !" sqref="I26:J35 I57:J63" xr:uid="{CC7DBC4F-95A0-48A2-BC9F-0AAA7CE45A5D}">
      <formula1>1</formula1>
    </dataValidation>
  </dataValidations>
  <hyperlinks>
    <hyperlink ref="D149:N149" location="JUMP_D_Top" display="JUMP_D_Top" xr:uid="{46C4CBB4-D962-4286-9E87-142538956176}"/>
    <hyperlink ref="G2:H2" location="JUMP_TOC_Home" display="Table of contents" xr:uid="{7C7B5F25-9642-4E08-9BC0-0B9ED452E69B}"/>
    <hyperlink ref="M2:N2" location="JUMP_K_I" display="Summary" xr:uid="{94501A69-210B-44E8-8B07-8C7AF74B6163}"/>
    <hyperlink ref="E3:F3" location="JUMP_B_I" display="JUMP_B_I" xr:uid="{0EE7B48A-DF5A-4856-80AB-119209F46609}"/>
    <hyperlink ref="E4:F4" location="JUMP_B_Bottom" display="JUMP_B_Bottom" xr:uid="{D7798DA5-44F9-45D4-A964-EF3E26C196B8}"/>
    <hyperlink ref="I2:J2" location="JUMP_A_I" display="JUMP_A_I" xr:uid="{3EACE4CF-B4C8-4E82-B79C-263FE692E7E8}"/>
    <hyperlink ref="K2:L2" location="JUMP_D_Top" display="JUMP_D_Top" xr:uid="{D0A9278A-A779-4AAF-B759-828153047CA5}"/>
    <hyperlink ref="G3:H3" location="JUMP_B_I1" display="Sub-installations" xr:uid="{853E4A78-1176-463C-BA81-BB8DED11C650}"/>
    <hyperlink ref="I3:J3" location="'B+C_SubInstallations'!JUMP_B_II" display="Initial NIMs allocation" xr:uid="{083F7A80-0E53-4112-8B3D-BCEBAEF16262}"/>
  </hyperlinks>
  <pageMargins left="0.70866141732283472" right="0.70866141732283472" top="0.78740157480314965" bottom="0.78740157480314965" header="0.31496062992125984" footer="0.31496062992125984"/>
  <pageSetup paperSize="9" scale="37" fitToWidth="20" orientation="portrait" r:id="rId1"/>
  <headerFooter>
    <oddFooter>&amp;L&amp;F; &amp;A&amp;C&amp;P / &amp;N&amp;R&amp;D; &amp;T</oddFooter>
  </headerFooter>
  <colBreaks count="1" manualBreakCount="1">
    <brk id="13"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A8EFD-185A-46CA-BB13-95683A48D566}">
  <sheetPr codeName="Tabelle6">
    <tabColor indexed="52"/>
  </sheetPr>
  <dimension ref="A1:AK286"/>
  <sheetViews>
    <sheetView tabSelected="1" zoomScaleNormal="100" zoomScaleSheetLayoutView="100" workbookViewId="0">
      <pane ySplit="4" topLeftCell="A114" activePane="bottomLeft" state="frozen"/>
      <selection pane="bottomLeft" activeCell="B2" sqref="B2:D4"/>
    </sheetView>
  </sheetViews>
  <sheetFormatPr defaultColWidth="11.453125" defaultRowHeight="12.5" x14ac:dyDescent="0.25"/>
  <cols>
    <col min="1" max="1" width="3.7265625" style="533" hidden="1" customWidth="1"/>
    <col min="2" max="2" width="2.7265625" style="533" customWidth="1"/>
    <col min="3" max="4" width="4.7265625" style="533" customWidth="1"/>
    <col min="5" max="5" width="30.7265625" style="533" customWidth="1"/>
    <col min="6" max="6" width="12.7265625" style="533" customWidth="1"/>
    <col min="7" max="8" width="14.7265625" style="533" customWidth="1"/>
    <col min="9" max="14" width="13.7265625" style="533" customWidth="1"/>
    <col min="15" max="15" width="4.7265625" style="533" customWidth="1"/>
    <col min="16" max="16" width="25.7265625" style="533" customWidth="1"/>
    <col min="17" max="17" width="12.7265625" style="533" hidden="1" customWidth="1"/>
    <col min="18" max="37" width="11.453125" style="533" hidden="1" customWidth="1"/>
    <col min="38" max="16384" width="11.453125" style="533"/>
  </cols>
  <sheetData>
    <row r="1" spans="1:37" s="2" customFormat="1" ht="13" hidden="1" thickBot="1" x14ac:dyDescent="0.3">
      <c r="A1" s="2" t="s">
        <v>346</v>
      </c>
      <c r="Q1" s="2" t="s">
        <v>346</v>
      </c>
      <c r="R1" s="2" t="s">
        <v>346</v>
      </c>
      <c r="S1" s="2" t="s">
        <v>346</v>
      </c>
      <c r="T1" s="2" t="s">
        <v>346</v>
      </c>
      <c r="U1" s="2" t="s">
        <v>346</v>
      </c>
      <c r="V1" s="2" t="s">
        <v>346</v>
      </c>
      <c r="W1" s="2" t="s">
        <v>346</v>
      </c>
      <c r="X1" s="2" t="s">
        <v>346</v>
      </c>
      <c r="Y1" s="2" t="s">
        <v>346</v>
      </c>
      <c r="Z1" s="349" t="s">
        <v>346</v>
      </c>
      <c r="AA1" s="349" t="s">
        <v>346</v>
      </c>
      <c r="AB1" s="349" t="s">
        <v>346</v>
      </c>
      <c r="AC1" s="349" t="s">
        <v>346</v>
      </c>
      <c r="AD1" s="349" t="s">
        <v>346</v>
      </c>
      <c r="AE1" s="349" t="s">
        <v>346</v>
      </c>
      <c r="AF1" s="349" t="s">
        <v>346</v>
      </c>
      <c r="AG1" s="349" t="s">
        <v>346</v>
      </c>
      <c r="AH1" s="349" t="s">
        <v>346</v>
      </c>
      <c r="AI1" s="349" t="s">
        <v>346</v>
      </c>
      <c r="AJ1" s="349" t="s">
        <v>346</v>
      </c>
      <c r="AK1" s="349" t="s">
        <v>346</v>
      </c>
    </row>
    <row r="2" spans="1:37" ht="13.5" customHeight="1" thickBot="1" x14ac:dyDescent="0.35">
      <c r="A2" s="2"/>
      <c r="B2" s="2315" t="str">
        <f>Translations!$B$214</f>
        <v>D.</v>
      </c>
      <c r="C2" s="2316"/>
      <c r="D2" s="2317"/>
      <c r="E2" s="2330" t="str">
        <f>Translations!$B$2</f>
        <v>Navigeringsfält:</v>
      </c>
      <c r="F2" s="2331"/>
      <c r="G2" s="2329" t="str">
        <f>Translations!$B$16</f>
        <v>Innehållsförteckning</v>
      </c>
      <c r="H2" s="1936"/>
      <c r="I2" s="1936" t="str">
        <f>Translations!$B$17</f>
        <v>Föregående blad</v>
      </c>
      <c r="J2" s="1936"/>
      <c r="K2" s="1936" t="str">
        <f>Translations!$B$3</f>
        <v>Nästa blad</v>
      </c>
      <c r="L2" s="1936"/>
      <c r="M2" s="1936" t="str">
        <f>Translations!$B$4</f>
        <v>Sammanfattning</v>
      </c>
      <c r="N2" s="1936"/>
      <c r="O2" s="6"/>
      <c r="P2" s="2280" t="str">
        <f>Translations!$B$1362</f>
        <v>Kolumn för kommentarer 
(till exempel eventuella ändringar)</v>
      </c>
      <c r="Q2" s="7"/>
      <c r="R2" s="7"/>
      <c r="S2" s="7"/>
      <c r="T2" s="7"/>
      <c r="U2" s="7"/>
      <c r="V2" s="7"/>
      <c r="W2" s="7"/>
      <c r="X2" s="7"/>
      <c r="Y2" s="7"/>
      <c r="Z2" s="349"/>
      <c r="AA2" s="349"/>
      <c r="AB2" s="349"/>
      <c r="AC2" s="349"/>
      <c r="AD2" s="349"/>
      <c r="AE2" s="349"/>
      <c r="AF2" s="349"/>
      <c r="AG2" s="349"/>
      <c r="AH2" s="349"/>
      <c r="AI2" s="349"/>
      <c r="AJ2" s="349"/>
      <c r="AK2" s="349"/>
    </row>
    <row r="3" spans="1:37" ht="13.5" thickBot="1" x14ac:dyDescent="0.3">
      <c r="A3" s="2"/>
      <c r="B3" s="2318"/>
      <c r="C3" s="2319"/>
      <c r="D3" s="2320"/>
      <c r="E3" s="1936" t="str">
        <f>Translations!$B$5</f>
        <v>Högst upp</v>
      </c>
      <c r="F3" s="2324"/>
      <c r="G3" s="2325" t="str">
        <f>Translations!$B$215</f>
        <v>Utsläpp och energitillflöde</v>
      </c>
      <c r="H3" s="2326"/>
      <c r="I3" s="2326" t="str">
        <f>Translations!$B$216</f>
        <v>Utsläppstilldelning</v>
      </c>
      <c r="J3" s="2326"/>
      <c r="K3" s="2326" t="str">
        <f>Translations!$B$217</f>
        <v>Kraftvärme (1)</v>
      </c>
      <c r="L3" s="2326"/>
      <c r="M3" s="2326" t="str">
        <f>Translations!$B$218</f>
        <v>Kraftvärme (2)</v>
      </c>
      <c r="N3" s="2326"/>
      <c r="O3" s="6"/>
      <c r="P3" s="2281"/>
      <c r="Q3" s="7"/>
      <c r="R3" s="7"/>
      <c r="S3" s="7"/>
      <c r="T3" s="7"/>
      <c r="U3" s="7"/>
      <c r="V3" s="7"/>
      <c r="W3" s="7"/>
      <c r="X3" s="7"/>
      <c r="Y3" s="7"/>
      <c r="Z3" s="349"/>
      <c r="AA3" s="349"/>
      <c r="AB3" s="349"/>
      <c r="AC3" s="349"/>
      <c r="AD3" s="349"/>
      <c r="AE3" s="349"/>
      <c r="AF3" s="349"/>
      <c r="AG3" s="349"/>
      <c r="AH3" s="349"/>
      <c r="AI3" s="349"/>
      <c r="AJ3" s="349"/>
      <c r="AK3" s="349"/>
    </row>
    <row r="4" spans="1:37" ht="13.5" thickBot="1" x14ac:dyDescent="0.3">
      <c r="A4" s="2"/>
      <c r="B4" s="2321"/>
      <c r="C4" s="2322"/>
      <c r="D4" s="2323"/>
      <c r="E4" s="1936" t="str">
        <f>Translations!$B$6</f>
        <v>Längst ner</v>
      </c>
      <c r="F4" s="1936"/>
      <c r="G4" s="2327" t="str">
        <f>Translations!$B$219</f>
        <v>Restgaser (1)</v>
      </c>
      <c r="H4" s="2328"/>
      <c r="I4" s="2328" t="str">
        <f>Translations!$B$220</f>
        <v>Restgaser (2)</v>
      </c>
      <c r="J4" s="2328"/>
      <c r="K4" s="2328"/>
      <c r="L4" s="2328"/>
      <c r="M4" s="2328"/>
      <c r="N4" s="2328"/>
      <c r="O4" s="6"/>
      <c r="P4" s="2282"/>
      <c r="Q4" s="7"/>
      <c r="R4" s="7"/>
      <c r="S4" s="7"/>
      <c r="T4" s="7"/>
      <c r="U4" s="7"/>
      <c r="V4" s="7"/>
      <c r="W4" s="7"/>
      <c r="X4" s="7"/>
      <c r="Y4" s="7"/>
      <c r="Z4" s="349"/>
      <c r="AA4" s="349"/>
      <c r="AB4" s="349"/>
      <c r="AC4" s="349"/>
      <c r="AD4" s="349"/>
      <c r="AE4" s="349"/>
      <c r="AF4" s="349"/>
      <c r="AG4" s="349"/>
      <c r="AH4" s="349"/>
      <c r="AI4" s="349"/>
      <c r="AJ4" s="349"/>
      <c r="AK4" s="349"/>
    </row>
    <row r="5" spans="1:37" x14ac:dyDescent="0.25">
      <c r="A5" s="2"/>
      <c r="B5" s="3"/>
      <c r="C5" s="4"/>
      <c r="D5" s="3"/>
      <c r="E5" s="3"/>
      <c r="F5" s="5"/>
      <c r="G5" s="5"/>
      <c r="H5" s="5"/>
      <c r="I5" s="3"/>
      <c r="J5" s="3"/>
      <c r="K5" s="3"/>
      <c r="L5" s="3"/>
      <c r="M5" s="6"/>
      <c r="N5" s="6"/>
      <c r="O5" s="6"/>
      <c r="P5" s="15"/>
      <c r="Q5" s="7"/>
      <c r="R5" s="7"/>
      <c r="S5" s="7"/>
      <c r="T5" s="7"/>
      <c r="U5" s="7"/>
      <c r="V5" s="7"/>
      <c r="W5" s="7"/>
      <c r="X5" s="7"/>
      <c r="Y5" s="7"/>
      <c r="Z5" s="349"/>
      <c r="AA5" s="349"/>
      <c r="AB5" s="349"/>
      <c r="AC5" s="349"/>
      <c r="AD5" s="349"/>
      <c r="AE5" s="349"/>
      <c r="AF5" s="349"/>
      <c r="AG5" s="349"/>
      <c r="AH5" s="349"/>
      <c r="AI5" s="349"/>
      <c r="AJ5" s="349"/>
      <c r="AK5" s="349"/>
    </row>
    <row r="6" spans="1:37" ht="23.25" customHeight="1" x14ac:dyDescent="0.25">
      <c r="A6" s="2"/>
      <c r="B6" s="3"/>
      <c r="C6" s="8" t="s">
        <v>739</v>
      </c>
      <c r="D6" s="2004" t="str">
        <f>Translations!$B$221</f>
        <v>Bladet ”Emissions” – TILLSKRIVNING AV UTSLÄPP</v>
      </c>
      <c r="E6" s="1963"/>
      <c r="F6" s="1963"/>
      <c r="G6" s="1963"/>
      <c r="H6" s="1963"/>
      <c r="I6" s="1963"/>
      <c r="J6" s="1963"/>
      <c r="K6" s="1963"/>
      <c r="L6" s="1963"/>
      <c r="M6" s="1963"/>
      <c r="N6" s="1963"/>
      <c r="O6" s="6"/>
      <c r="P6" s="15"/>
      <c r="Q6" s="9" t="s">
        <v>254</v>
      </c>
      <c r="R6" s="9" t="s">
        <v>254</v>
      </c>
      <c r="S6" s="9" t="s">
        <v>254</v>
      </c>
      <c r="T6" s="9" t="s">
        <v>254</v>
      </c>
      <c r="U6" s="9" t="s">
        <v>254</v>
      </c>
      <c r="V6" s="9" t="s">
        <v>254</v>
      </c>
      <c r="W6" s="9" t="s">
        <v>254</v>
      </c>
      <c r="X6" s="9" t="s">
        <v>254</v>
      </c>
      <c r="Y6" s="9" t="s">
        <v>254</v>
      </c>
      <c r="Z6" s="9" t="s">
        <v>254</v>
      </c>
      <c r="AA6" s="9" t="s">
        <v>254</v>
      </c>
      <c r="AB6" s="9" t="s">
        <v>254</v>
      </c>
      <c r="AC6" s="9" t="s">
        <v>254</v>
      </c>
      <c r="AD6" s="9" t="s">
        <v>254</v>
      </c>
      <c r="AE6" s="9" t="s">
        <v>254</v>
      </c>
      <c r="AF6" s="9" t="s">
        <v>254</v>
      </c>
      <c r="AG6" s="9" t="s">
        <v>254</v>
      </c>
      <c r="AH6" s="9" t="s">
        <v>254</v>
      </c>
      <c r="AI6" s="9" t="s">
        <v>254</v>
      </c>
      <c r="AJ6" s="9" t="s">
        <v>254</v>
      </c>
      <c r="AK6" s="9" t="s">
        <v>254</v>
      </c>
    </row>
    <row r="7" spans="1:37" ht="13" x14ac:dyDescent="0.25">
      <c r="A7" s="2"/>
      <c r="B7" s="19"/>
      <c r="C7" s="115"/>
      <c r="D7" s="115"/>
      <c r="E7" s="115"/>
      <c r="F7" s="115"/>
      <c r="G7" s="115"/>
      <c r="H7" s="115"/>
      <c r="I7" s="115"/>
      <c r="J7" s="115"/>
      <c r="K7" s="115"/>
      <c r="L7" s="115"/>
      <c r="M7" s="115"/>
      <c r="N7" s="115"/>
      <c r="O7" s="19"/>
      <c r="P7" s="15"/>
      <c r="Q7" s="10" t="s">
        <v>785</v>
      </c>
      <c r="R7" s="10" t="s">
        <v>785</v>
      </c>
      <c r="S7" s="10" t="s">
        <v>785</v>
      </c>
      <c r="T7" s="10" t="s">
        <v>785</v>
      </c>
      <c r="U7" s="10" t="s">
        <v>785</v>
      </c>
      <c r="V7" s="10" t="s">
        <v>785</v>
      </c>
      <c r="W7" s="10" t="s">
        <v>785</v>
      </c>
      <c r="X7" s="10" t="s">
        <v>785</v>
      </c>
      <c r="Y7" s="10" t="s">
        <v>785</v>
      </c>
      <c r="Z7" s="10" t="s">
        <v>785</v>
      </c>
      <c r="AA7" s="10" t="s">
        <v>785</v>
      </c>
      <c r="AB7" s="10" t="s">
        <v>785</v>
      </c>
      <c r="AC7" s="10" t="s">
        <v>785</v>
      </c>
      <c r="AD7" s="10" t="s">
        <v>785</v>
      </c>
      <c r="AE7" s="10" t="s">
        <v>785</v>
      </c>
      <c r="AF7" s="10" t="s">
        <v>785</v>
      </c>
      <c r="AG7" s="10" t="s">
        <v>785</v>
      </c>
      <c r="AH7" s="10" t="s">
        <v>785</v>
      </c>
      <c r="AI7" s="10" t="s">
        <v>785</v>
      </c>
      <c r="AJ7" s="10" t="s">
        <v>785</v>
      </c>
      <c r="AK7" s="10" t="s">
        <v>785</v>
      </c>
    </row>
    <row r="8" spans="1:37" ht="15.5" x14ac:dyDescent="0.35">
      <c r="A8" s="2"/>
      <c r="B8" s="3"/>
      <c r="C8" s="11" t="s">
        <v>1108</v>
      </c>
      <c r="D8" s="1975" t="str">
        <f>Translations!$B$222</f>
        <v>Totala direkta utsläpp av växthusgaser och energitillförsel från bränslen</v>
      </c>
      <c r="E8" s="1975"/>
      <c r="F8" s="1975"/>
      <c r="G8" s="1975"/>
      <c r="H8" s="1975"/>
      <c r="I8" s="1975"/>
      <c r="J8" s="1975"/>
      <c r="K8" s="1975"/>
      <c r="L8" s="1975"/>
      <c r="M8" s="1975"/>
      <c r="N8" s="1975"/>
      <c r="O8" s="6"/>
      <c r="P8" s="15"/>
      <c r="Q8" s="7"/>
      <c r="R8" s="7"/>
      <c r="S8" s="7"/>
      <c r="T8" s="7"/>
      <c r="U8" s="7"/>
      <c r="V8" s="7"/>
      <c r="W8" s="2"/>
      <c r="X8" s="2"/>
      <c r="Y8" s="7"/>
      <c r="Z8" s="349"/>
      <c r="AA8" s="349"/>
      <c r="AB8" s="349"/>
      <c r="AC8" s="349"/>
      <c r="AD8" s="349"/>
      <c r="AE8" s="349"/>
      <c r="AF8" s="349"/>
      <c r="AG8" s="349"/>
      <c r="AH8" s="349"/>
      <c r="AI8" s="349"/>
      <c r="AJ8" s="349"/>
      <c r="AK8" s="349"/>
    </row>
    <row r="9" spans="1:37" ht="5.15" customHeight="1" x14ac:dyDescent="0.25">
      <c r="A9" s="2"/>
      <c r="B9" s="3"/>
      <c r="C9" s="3"/>
      <c r="D9" s="3"/>
      <c r="E9" s="3"/>
      <c r="F9" s="3"/>
      <c r="G9" s="3"/>
      <c r="H9" s="3"/>
      <c r="I9" s="3"/>
      <c r="J9" s="3"/>
      <c r="K9" s="3"/>
      <c r="L9" s="3"/>
      <c r="M9" s="6"/>
      <c r="N9" s="6"/>
      <c r="O9" s="6"/>
      <c r="P9" s="15"/>
      <c r="Q9" s="7"/>
      <c r="R9" s="7"/>
      <c r="S9" s="2"/>
      <c r="T9" s="2"/>
      <c r="U9" s="2"/>
      <c r="V9" s="2"/>
      <c r="W9" s="2"/>
      <c r="X9" s="2"/>
      <c r="Y9" s="2"/>
      <c r="Z9" s="349"/>
      <c r="AA9" s="349"/>
      <c r="AB9" s="349"/>
      <c r="AC9" s="349"/>
      <c r="AD9" s="349"/>
      <c r="AE9" s="349"/>
      <c r="AF9" s="349"/>
      <c r="AG9" s="349"/>
      <c r="AH9" s="349"/>
      <c r="AI9" s="349"/>
      <c r="AJ9" s="349"/>
      <c r="AK9" s="349"/>
    </row>
    <row r="10" spans="1:37" ht="12.75" customHeight="1" x14ac:dyDescent="0.25">
      <c r="A10" s="2"/>
      <c r="B10" s="19"/>
      <c r="C10" s="19"/>
      <c r="D10" s="19"/>
      <c r="E10" s="2106" t="str">
        <f>Translations!$B$1447</f>
        <v>Ange uppgifterna nedan i linje med M&amp;R-förordningens principer.</v>
      </c>
      <c r="F10" s="2106"/>
      <c r="G10" s="2106"/>
      <c r="H10" s="2106"/>
      <c r="I10" s="2106"/>
      <c r="J10" s="2106"/>
      <c r="K10" s="2106"/>
      <c r="L10" s="2106"/>
      <c r="M10" s="2106"/>
      <c r="N10" s="2106"/>
      <c r="O10" s="6"/>
      <c r="P10" s="15"/>
      <c r="Q10" s="2"/>
      <c r="R10" s="2"/>
      <c r="S10" s="2"/>
      <c r="T10" s="2"/>
      <c r="U10" s="2"/>
      <c r="V10" s="2"/>
      <c r="W10" s="2"/>
      <c r="X10" s="2"/>
      <c r="Y10" s="2"/>
      <c r="Z10" s="349"/>
      <c r="AA10" s="349"/>
      <c r="AB10" s="349"/>
      <c r="AC10" s="349"/>
      <c r="AD10" s="349"/>
      <c r="AE10" s="349"/>
      <c r="AF10" s="349"/>
      <c r="AG10" s="349"/>
      <c r="AH10" s="349"/>
      <c r="AI10" s="349"/>
      <c r="AJ10" s="349"/>
      <c r="AK10" s="349"/>
    </row>
    <row r="11" spans="1:37" ht="12.75" customHeight="1" x14ac:dyDescent="0.25">
      <c r="A11" s="2"/>
      <c r="B11" s="19"/>
      <c r="C11" s="19"/>
      <c r="D11" s="19"/>
      <c r="E11" s="114" t="s">
        <v>1112</v>
      </c>
      <c r="F11" s="2075" t="str">
        <f>Translations!$B$232</f>
        <v>Totala koldioxidutsläpp: verifierade koldioxidutsläpp från bränsle-/materialmängder och utsläppskällor, inklusive från eventuell icke-hållbar biomassa</v>
      </c>
      <c r="G11" s="2075"/>
      <c r="H11" s="2075"/>
      <c r="I11" s="2075"/>
      <c r="J11" s="2075"/>
      <c r="K11" s="2075"/>
      <c r="L11" s="2075"/>
      <c r="M11" s="2075"/>
      <c r="N11" s="2075"/>
      <c r="O11" s="6"/>
      <c r="P11" s="15"/>
      <c r="Q11" s="2"/>
      <c r="R11" s="2"/>
      <c r="S11" s="2"/>
      <c r="T11" s="2"/>
      <c r="U11" s="2"/>
      <c r="V11" s="2"/>
      <c r="W11" s="2"/>
      <c r="X11" s="2"/>
      <c r="Y11" s="2"/>
      <c r="Z11" s="349"/>
      <c r="AA11" s="349"/>
      <c r="AB11" s="349"/>
      <c r="AC11" s="349"/>
      <c r="AD11" s="349"/>
      <c r="AE11" s="349"/>
      <c r="AF11" s="349"/>
      <c r="AG11" s="349"/>
      <c r="AH11" s="349"/>
      <c r="AI11" s="349"/>
      <c r="AJ11" s="349"/>
      <c r="AK11" s="349"/>
    </row>
    <row r="12" spans="1:37" ht="12.75" customHeight="1" x14ac:dyDescent="0.25">
      <c r="A12" s="2"/>
      <c r="B12" s="19"/>
      <c r="C12" s="19"/>
      <c r="D12" s="19"/>
      <c r="E12" s="114" t="s">
        <v>1112</v>
      </c>
      <c r="F12" s="2075" t="str">
        <f>Translations!$B$233</f>
        <v>Utsläpp från biomassa: antingen hållbara utsläpp eller biomassa där hållbarhetskriterierna inte gäller: som om den inte har utsläppsfaktor noll</v>
      </c>
      <c r="G12" s="2075"/>
      <c r="H12" s="2075"/>
      <c r="I12" s="2075"/>
      <c r="J12" s="2075"/>
      <c r="K12" s="2075"/>
      <c r="L12" s="2075"/>
      <c r="M12" s="2075"/>
      <c r="N12" s="2075"/>
      <c r="O12" s="6"/>
      <c r="P12" s="15"/>
      <c r="Q12" s="2"/>
      <c r="R12" s="2"/>
      <c r="S12" s="2"/>
      <c r="T12" s="2"/>
      <c r="U12" s="2"/>
      <c r="V12" s="2"/>
      <c r="W12" s="2"/>
      <c r="X12" s="2"/>
      <c r="Y12" s="2"/>
      <c r="Z12" s="349"/>
      <c r="AA12" s="349"/>
      <c r="AB12" s="349"/>
      <c r="AC12" s="349"/>
      <c r="AD12" s="349"/>
      <c r="AE12" s="349"/>
      <c r="AF12" s="349"/>
      <c r="AG12" s="349"/>
      <c r="AH12" s="349"/>
      <c r="AI12" s="349"/>
      <c r="AJ12" s="349"/>
      <c r="AK12" s="349"/>
    </row>
    <row r="13" spans="1:37" ht="12.75" customHeight="1" x14ac:dyDescent="0.25">
      <c r="A13" s="2"/>
      <c r="B13" s="19"/>
      <c r="C13" s="19"/>
      <c r="D13" s="19"/>
      <c r="E13" s="114" t="s">
        <v>1112</v>
      </c>
      <c r="F13" s="2075" t="str">
        <f>Translations!$B$234</f>
        <v>Totala utsläpp av dikväveoxid från utsläppskällor</v>
      </c>
      <c r="G13" s="2075"/>
      <c r="H13" s="2075"/>
      <c r="I13" s="2075"/>
      <c r="J13" s="2075"/>
      <c r="K13" s="2075"/>
      <c r="L13" s="2075"/>
      <c r="M13" s="2075"/>
      <c r="N13" s="2075"/>
      <c r="O13" s="6"/>
      <c r="P13" s="15"/>
      <c r="Q13" s="2"/>
      <c r="R13" s="2"/>
      <c r="S13" s="2"/>
      <c r="T13" s="2"/>
      <c r="U13" s="2"/>
      <c r="V13" s="2"/>
      <c r="W13" s="2"/>
      <c r="X13" s="2"/>
      <c r="Y13" s="2"/>
      <c r="Z13" s="349"/>
      <c r="AA13" s="349"/>
      <c r="AB13" s="349"/>
      <c r="AC13" s="349"/>
      <c r="AD13" s="349"/>
      <c r="AE13" s="349"/>
      <c r="AF13" s="349"/>
      <c r="AG13" s="349"/>
      <c r="AH13" s="349"/>
      <c r="AI13" s="349"/>
      <c r="AJ13" s="349"/>
      <c r="AK13" s="349"/>
    </row>
    <row r="14" spans="1:37" ht="12.75" customHeight="1" x14ac:dyDescent="0.25">
      <c r="A14" s="2"/>
      <c r="B14" s="19"/>
      <c r="C14" s="19"/>
      <c r="D14" s="19"/>
      <c r="E14" s="114" t="s">
        <v>1112</v>
      </c>
      <c r="F14" s="2075" t="str">
        <f>Translations!$B$235</f>
        <v>Totala utsläpp av perfluorkarbon från produktion av primärt aluminium</v>
      </c>
      <c r="G14" s="2075"/>
      <c r="H14" s="2075"/>
      <c r="I14" s="2075"/>
      <c r="J14" s="2075"/>
      <c r="K14" s="2075"/>
      <c r="L14" s="2075"/>
      <c r="M14" s="2075"/>
      <c r="N14" s="2075"/>
      <c r="O14" s="6"/>
      <c r="P14" s="15"/>
      <c r="Q14" s="2"/>
      <c r="R14" s="2"/>
      <c r="S14" s="2"/>
      <c r="T14" s="2"/>
      <c r="U14" s="2"/>
      <c r="V14" s="2"/>
      <c r="W14" s="2"/>
      <c r="X14" s="2"/>
      <c r="Y14" s="2"/>
      <c r="Z14" s="349"/>
      <c r="AA14" s="349"/>
      <c r="AB14" s="349"/>
      <c r="AC14" s="349"/>
      <c r="AD14" s="349"/>
      <c r="AE14" s="349"/>
      <c r="AF14" s="349"/>
      <c r="AG14" s="349"/>
      <c r="AH14" s="349"/>
      <c r="AI14" s="349"/>
      <c r="AJ14" s="349"/>
      <c r="AK14" s="349"/>
    </row>
    <row r="15" spans="1:37" ht="12.75" customHeight="1" x14ac:dyDescent="0.25">
      <c r="A15" s="2"/>
      <c r="B15" s="19"/>
      <c r="C15" s="19"/>
      <c r="D15" s="19"/>
      <c r="E15" s="114" t="s">
        <v>1112</v>
      </c>
      <c r="F15" s="2075" t="str">
        <f>Translations!$B$236</f>
        <v>Överförd mängd koldioxid som exporterats från anläggningen, angett i negativa värden</v>
      </c>
      <c r="G15" s="2075"/>
      <c r="H15" s="2075"/>
      <c r="I15" s="2075"/>
      <c r="J15" s="2075"/>
      <c r="K15" s="2075"/>
      <c r="L15" s="2075"/>
      <c r="M15" s="2075"/>
      <c r="N15" s="2075"/>
      <c r="O15" s="6"/>
      <c r="P15" s="15"/>
      <c r="Q15" s="2"/>
      <c r="R15" s="2"/>
      <c r="S15" s="2"/>
      <c r="T15" s="2"/>
      <c r="U15" s="2"/>
      <c r="V15" s="2"/>
      <c r="W15" s="2"/>
      <c r="X15" s="2"/>
      <c r="Y15" s="2"/>
      <c r="Z15" s="349"/>
      <c r="AA15" s="349"/>
      <c r="AB15" s="349"/>
      <c r="AC15" s="349"/>
      <c r="AD15" s="349"/>
      <c r="AE15" s="349"/>
      <c r="AF15" s="349"/>
      <c r="AG15" s="349"/>
      <c r="AH15" s="349"/>
      <c r="AI15" s="349"/>
      <c r="AJ15" s="349"/>
      <c r="AK15" s="349"/>
    </row>
    <row r="16" spans="1:37" ht="12.75" customHeight="1" x14ac:dyDescent="0.25">
      <c r="A16" s="2"/>
      <c r="B16" s="19"/>
      <c r="C16" s="19"/>
      <c r="D16" s="19"/>
      <c r="E16" s="114" t="s">
        <v>1112</v>
      </c>
      <c r="F16" s="2075" t="str">
        <f>Translations!$B$237</f>
        <v>Total energitillförsel från bränslen inklusive från biomassa och restgaser</v>
      </c>
      <c r="G16" s="2075"/>
      <c r="H16" s="2075"/>
      <c r="I16" s="2075"/>
      <c r="J16" s="2075"/>
      <c r="K16" s="2075"/>
      <c r="L16" s="2075"/>
      <c r="M16" s="2075"/>
      <c r="N16" s="2075"/>
      <c r="O16" s="6"/>
      <c r="P16" s="15"/>
      <c r="Q16" s="2"/>
      <c r="R16" s="2"/>
      <c r="S16" s="349"/>
      <c r="T16" s="349"/>
      <c r="U16" s="349"/>
      <c r="V16" s="349"/>
      <c r="W16" s="349"/>
      <c r="X16" s="349"/>
      <c r="Y16" s="349"/>
      <c r="Z16" s="349"/>
      <c r="AA16" s="349"/>
      <c r="AB16" s="349"/>
      <c r="AC16" s="349"/>
      <c r="AD16" s="349"/>
      <c r="AE16" s="349"/>
      <c r="AF16" s="349"/>
      <c r="AG16" s="349"/>
      <c r="AH16" s="349"/>
      <c r="AI16" s="349"/>
      <c r="AJ16" s="349"/>
      <c r="AK16" s="349"/>
    </row>
    <row r="17" spans="1:37" ht="15" customHeight="1" x14ac:dyDescent="0.25">
      <c r="A17" s="2"/>
      <c r="B17" s="19"/>
      <c r="C17" s="115"/>
      <c r="D17" s="15"/>
      <c r="E17" s="2492" t="str">
        <f>Translations!$B$1448</f>
        <v>I fall där uppgifter om utsläpp är valfria i medlemsstaten är endast den totala energitillförseln från bränslen obligatoriskt här.</v>
      </c>
      <c r="F17" s="2492"/>
      <c r="G17" s="2492"/>
      <c r="H17" s="2492"/>
      <c r="I17" s="2492"/>
      <c r="J17" s="2492"/>
      <c r="K17" s="2492"/>
      <c r="L17" s="2492"/>
      <c r="M17" s="2492"/>
      <c r="N17" s="2492"/>
      <c r="O17" s="6"/>
      <c r="P17" s="15"/>
      <c r="Q17" s="7"/>
      <c r="R17" s="2"/>
      <c r="S17" s="2"/>
      <c r="T17" s="2"/>
      <c r="U17" s="2"/>
      <c r="V17" s="2"/>
      <c r="W17" s="2"/>
      <c r="X17" s="2"/>
      <c r="Y17" s="2"/>
      <c r="Z17" s="349"/>
      <c r="AA17" s="349"/>
      <c r="AB17" s="349"/>
      <c r="AC17" s="349"/>
      <c r="AD17" s="349"/>
      <c r="AE17" s="349"/>
      <c r="AF17" s="349"/>
      <c r="AG17" s="349"/>
      <c r="AH17" s="349"/>
      <c r="AI17" s="349"/>
      <c r="AJ17" s="349"/>
      <c r="AK17" s="349"/>
    </row>
    <row r="18" spans="1:37" ht="15" customHeight="1" x14ac:dyDescent="0.25">
      <c r="A18" s="2"/>
      <c r="B18" s="19"/>
      <c r="C18" s="115"/>
      <c r="D18" s="1704"/>
      <c r="E18" s="2492" t="str">
        <f>Translations!$B$1449</f>
        <v>Om delanläggningar för processutsläpp är relevanta är uppgifterna alltid obligatoriska här.</v>
      </c>
      <c r="F18" s="2492"/>
      <c r="G18" s="2492"/>
      <c r="H18" s="2492"/>
      <c r="I18" s="2492"/>
      <c r="J18" s="2492"/>
      <c r="K18" s="2492"/>
      <c r="L18" s="2492"/>
      <c r="M18" s="2492"/>
      <c r="N18" s="2492"/>
      <c r="O18" s="6"/>
      <c r="P18" s="15"/>
      <c r="Q18" s="7"/>
      <c r="R18" s="2"/>
      <c r="S18" s="2"/>
      <c r="T18" s="2"/>
      <c r="U18" s="2"/>
      <c r="V18" s="2"/>
      <c r="W18" s="2"/>
      <c r="X18" s="2"/>
      <c r="Y18" s="2"/>
      <c r="Z18" s="349"/>
      <c r="AA18" s="349"/>
      <c r="AB18" s="349"/>
      <c r="AC18" s="349"/>
      <c r="AD18" s="349"/>
      <c r="AE18" s="349"/>
      <c r="AF18" s="349"/>
      <c r="AG18" s="349"/>
      <c r="AH18" s="349"/>
      <c r="AI18" s="349"/>
      <c r="AJ18" s="349"/>
      <c r="AK18" s="349"/>
    </row>
    <row r="19" spans="1:37" ht="5.15" customHeight="1" thickBot="1" x14ac:dyDescent="0.3">
      <c r="A19" s="2"/>
      <c r="B19" s="3"/>
      <c r="C19" s="3"/>
      <c r="D19" s="3"/>
      <c r="E19" s="3"/>
      <c r="F19" s="3"/>
      <c r="G19" s="3"/>
      <c r="H19" s="3"/>
      <c r="I19" s="3"/>
      <c r="J19" s="3"/>
      <c r="K19" s="3"/>
      <c r="L19" s="3"/>
      <c r="M19" s="6"/>
      <c r="N19" s="6"/>
      <c r="O19" s="6"/>
      <c r="P19" s="15"/>
      <c r="Q19" s="7"/>
      <c r="R19" s="7"/>
      <c r="S19" s="349"/>
      <c r="T19" s="349"/>
      <c r="U19" s="349"/>
      <c r="V19" s="349"/>
      <c r="W19" s="349"/>
      <c r="X19" s="349"/>
      <c r="Y19" s="349"/>
      <c r="Z19" s="349"/>
      <c r="AA19" s="349"/>
      <c r="AB19" s="349"/>
      <c r="AC19" s="349"/>
      <c r="AD19" s="349"/>
      <c r="AE19" s="349"/>
      <c r="AF19" s="349"/>
      <c r="AG19" s="349"/>
      <c r="AH19" s="349"/>
      <c r="AI19" s="349"/>
      <c r="AJ19" s="349"/>
      <c r="AK19" s="349"/>
    </row>
    <row r="20" spans="1:37" ht="13" customHeight="1" thickBot="1" x14ac:dyDescent="0.3">
      <c r="A20" s="2"/>
      <c r="B20" s="3"/>
      <c r="C20" s="3"/>
      <c r="D20" s="13"/>
      <c r="E20" s="2062" t="str">
        <f>Translations!$B$223</f>
        <v>Uppgifter på anläggningsnivå:</v>
      </c>
      <c r="F20" s="2062"/>
      <c r="G20" s="31" t="str">
        <f>EUconst_Unit</f>
        <v>Enhet</v>
      </c>
      <c r="H20" s="320">
        <f t="shared" ref="H20:N20" si="0">H$278</f>
        <v>2019</v>
      </c>
      <c r="I20" s="320">
        <f t="shared" si="0"/>
        <v>2020</v>
      </c>
      <c r="J20" s="320">
        <f t="shared" si="0"/>
        <v>2021</v>
      </c>
      <c r="K20" s="320">
        <f t="shared" si="0"/>
        <v>2022</v>
      </c>
      <c r="L20" s="320">
        <f t="shared" si="0"/>
        <v>2023</v>
      </c>
      <c r="M20" s="320">
        <f t="shared" si="0"/>
        <v>2024</v>
      </c>
      <c r="N20" s="320">
        <f t="shared" si="0"/>
        <v>2025</v>
      </c>
      <c r="O20" s="6"/>
      <c r="P20" s="15"/>
      <c r="Q20" s="343" t="s">
        <v>2073</v>
      </c>
      <c r="R20" s="2"/>
      <c r="S20" s="1337">
        <f t="shared" ref="S20:Y20" si="1">H$278</f>
        <v>2019</v>
      </c>
      <c r="T20" s="1337">
        <f t="shared" si="1"/>
        <v>2020</v>
      </c>
      <c r="U20" s="1337">
        <f t="shared" si="1"/>
        <v>2021</v>
      </c>
      <c r="V20" s="1337">
        <f t="shared" si="1"/>
        <v>2022</v>
      </c>
      <c r="W20" s="1337">
        <f t="shared" si="1"/>
        <v>2023</v>
      </c>
      <c r="X20" s="1337">
        <f t="shared" si="1"/>
        <v>2024</v>
      </c>
      <c r="Y20" s="1337">
        <f t="shared" si="1"/>
        <v>2025</v>
      </c>
      <c r="Z20" s="349"/>
      <c r="AA20" s="1493" t="s">
        <v>2014</v>
      </c>
      <c r="AB20" s="1333">
        <f t="shared" ref="AB20:AH20" si="2">H20</f>
        <v>2019</v>
      </c>
      <c r="AC20" s="1333">
        <f t="shared" si="2"/>
        <v>2020</v>
      </c>
      <c r="AD20" s="1333">
        <f t="shared" si="2"/>
        <v>2021</v>
      </c>
      <c r="AE20" s="1334">
        <f t="shared" si="2"/>
        <v>2022</v>
      </c>
      <c r="AF20" s="1334">
        <f t="shared" si="2"/>
        <v>2023</v>
      </c>
      <c r="AG20" s="1334">
        <f t="shared" si="2"/>
        <v>2024</v>
      </c>
      <c r="AH20" s="1335">
        <f t="shared" si="2"/>
        <v>2025</v>
      </c>
      <c r="AI20" s="349"/>
      <c r="AJ20" s="349"/>
      <c r="AK20" s="349"/>
    </row>
    <row r="21" spans="1:37" ht="12.65" customHeight="1" x14ac:dyDescent="0.25">
      <c r="A21" s="2"/>
      <c r="B21" s="19"/>
      <c r="C21" s="19"/>
      <c r="D21" s="19"/>
      <c r="E21" s="2483" t="str">
        <f>Translations!$B$224</f>
        <v>Totala koldioxidutsläpp</v>
      </c>
      <c r="F21" s="2484"/>
      <c r="G21" s="32" t="str">
        <f>EUconst_tCO2pa</f>
        <v>t CO2 / år</v>
      </c>
      <c r="H21" s="903"/>
      <c r="I21" s="903"/>
      <c r="J21" s="903"/>
      <c r="K21" s="903"/>
      <c r="L21" s="903"/>
      <c r="M21" s="903"/>
      <c r="N21" s="903"/>
      <c r="O21" s="6"/>
      <c r="P21" s="1362"/>
      <c r="Q21" s="108" t="b">
        <f>COUNTIF('B+C_SubInstallations'!T62:T63,TRUE)&gt;0</f>
        <v>0</v>
      </c>
      <c r="R21" s="2"/>
      <c r="S21" s="1343" t="str">
        <f t="shared" ref="S21:Y24" si="3">IF(ISNUMBER(H21),H21,"")</f>
        <v/>
      </c>
      <c r="T21" s="1344" t="str">
        <f t="shared" si="3"/>
        <v/>
      </c>
      <c r="U21" s="1344" t="str">
        <f t="shared" si="3"/>
        <v/>
      </c>
      <c r="V21" s="1344" t="str">
        <f t="shared" si="3"/>
        <v/>
      </c>
      <c r="W21" s="1344" t="str">
        <f t="shared" si="3"/>
        <v/>
      </c>
      <c r="X21" s="1344" t="str">
        <f t="shared" si="3"/>
        <v/>
      </c>
      <c r="Y21" s="1345" t="str">
        <f t="shared" si="3"/>
        <v/>
      </c>
      <c r="Z21" s="349"/>
      <c r="AA21" s="349"/>
      <c r="AB21" s="1336" t="b">
        <f t="shared" ref="AB21:AH21" si="4">IF(CNTR_HasEntries_A_I,OR(AB20&gt;=CNTR_ReportingYear,COUNTIF(CNTR_SubInstStartDate,"&lt;="&amp;DATE(AB20,12,31))=0),FALSE)</f>
        <v>0</v>
      </c>
      <c r="AC21" s="355" t="b">
        <f t="shared" si="4"/>
        <v>0</v>
      </c>
      <c r="AD21" s="355" t="b">
        <f t="shared" si="4"/>
        <v>0</v>
      </c>
      <c r="AE21" s="355" t="b">
        <f t="shared" si="4"/>
        <v>0</v>
      </c>
      <c r="AF21" s="355" t="b">
        <f t="shared" si="4"/>
        <v>0</v>
      </c>
      <c r="AG21" s="355" t="b">
        <f t="shared" si="4"/>
        <v>0</v>
      </c>
      <c r="AH21" s="355" t="b">
        <f t="shared" si="4"/>
        <v>0</v>
      </c>
      <c r="AI21" s="349"/>
      <c r="AJ21" s="1526" t="s">
        <v>2248</v>
      </c>
      <c r="AK21" s="394" t="str">
        <f>IF(AND(CNTR_HasEntries_A_I,OR(MSconst_RequireEmissionTotals,$Q$21),COUNTIFS($AB$21:$AH$21,FALSE,H21:N21,"")&gt;0),1,"")</f>
        <v/>
      </c>
    </row>
    <row r="22" spans="1:37" ht="13" customHeight="1" x14ac:dyDescent="0.25">
      <c r="A22" s="2"/>
      <c r="B22" s="19"/>
      <c r="C22" s="19"/>
      <c r="D22" s="19"/>
      <c r="E22" s="2475" t="str">
        <f>Translations!$B$225</f>
        <v>Utsläpp från biomassa</v>
      </c>
      <c r="F22" s="2476"/>
      <c r="G22" s="164" t="str">
        <f>EUconst_tCO2pa</f>
        <v>t CO2 / år</v>
      </c>
      <c r="H22" s="904"/>
      <c r="I22" s="904"/>
      <c r="J22" s="904"/>
      <c r="K22" s="904"/>
      <c r="L22" s="904"/>
      <c r="M22" s="904"/>
      <c r="N22" s="904"/>
      <c r="O22" s="6"/>
      <c r="P22" s="1362"/>
      <c r="Q22" s="2"/>
      <c r="R22" s="2"/>
      <c r="S22" s="1346" t="str">
        <f t="shared" si="3"/>
        <v/>
      </c>
      <c r="T22" s="1338" t="str">
        <f t="shared" si="3"/>
        <v/>
      </c>
      <c r="U22" s="1338" t="str">
        <f t="shared" si="3"/>
        <v/>
      </c>
      <c r="V22" s="1338" t="str">
        <f t="shared" si="3"/>
        <v/>
      </c>
      <c r="W22" s="1338" t="str">
        <f t="shared" si="3"/>
        <v/>
      </c>
      <c r="X22" s="1338" t="str">
        <f t="shared" si="3"/>
        <v/>
      </c>
      <c r="Y22" s="1347" t="str">
        <f t="shared" si="3"/>
        <v/>
      </c>
      <c r="Z22" s="349"/>
      <c r="AA22" s="349"/>
      <c r="AB22" s="349"/>
      <c r="AC22" s="349"/>
      <c r="AD22" s="349"/>
      <c r="AE22" s="349"/>
      <c r="AF22" s="349"/>
      <c r="AG22" s="349"/>
      <c r="AH22" s="349"/>
      <c r="AI22" s="349"/>
      <c r="AJ22" s="1526" t="s">
        <v>2248</v>
      </c>
      <c r="AK22" s="394" t="str">
        <f>IF(AND(CNTR_HasEntries_A_I,OR(MSconst_RequireEmissionTotals,$Q$21),COUNTIFS($AB$21:$AH$21,FALSE,H22:N22,"")&gt;0),1,"")</f>
        <v/>
      </c>
    </row>
    <row r="23" spans="1:37" ht="12.65" customHeight="1" x14ac:dyDescent="0.25">
      <c r="A23" s="2"/>
      <c r="B23" s="19"/>
      <c r="C23" s="19"/>
      <c r="D23" s="19"/>
      <c r="E23" s="2485" t="str">
        <f>Translations!$B$226</f>
        <v>Totala utsläpp av dikväveoxid</v>
      </c>
      <c r="F23" s="2476"/>
      <c r="G23" s="33" t="str">
        <f>EUconst_tCO2epa</f>
        <v>t CO2e/år</v>
      </c>
      <c r="H23" s="905"/>
      <c r="I23" s="905"/>
      <c r="J23" s="905"/>
      <c r="K23" s="905"/>
      <c r="L23" s="905"/>
      <c r="M23" s="905"/>
      <c r="N23" s="905"/>
      <c r="O23" s="6"/>
      <c r="P23" s="1362"/>
      <c r="Q23" s="2"/>
      <c r="R23" s="2"/>
      <c r="S23" s="1348" t="str">
        <f t="shared" si="3"/>
        <v/>
      </c>
      <c r="T23" s="1339" t="str">
        <f t="shared" si="3"/>
        <v/>
      </c>
      <c r="U23" s="1339" t="str">
        <f t="shared" si="3"/>
        <v/>
      </c>
      <c r="V23" s="1339" t="str">
        <f t="shared" si="3"/>
        <v/>
      </c>
      <c r="W23" s="1339" t="str">
        <f t="shared" si="3"/>
        <v/>
      </c>
      <c r="X23" s="1339" t="str">
        <f t="shared" si="3"/>
        <v/>
      </c>
      <c r="Y23" s="1349" t="str">
        <f t="shared" si="3"/>
        <v/>
      </c>
      <c r="Z23" s="349"/>
      <c r="AA23" s="349"/>
      <c r="AB23" s="349"/>
      <c r="AC23" s="349"/>
      <c r="AD23" s="349"/>
      <c r="AE23" s="349"/>
      <c r="AF23" s="349"/>
      <c r="AG23" s="349"/>
      <c r="AH23" s="349"/>
      <c r="AI23" s="349"/>
      <c r="AJ23" s="1526" t="s">
        <v>2248</v>
      </c>
      <c r="AK23" s="394" t="str">
        <f>IF(AND(CNTR_HasEntries_A_I,OR(MSconst_RequireEmissionTotals,$Q$21),COUNTIFS($AB$21:$AH$21,FALSE,H23:N23,"")&gt;0),1,"")</f>
        <v/>
      </c>
    </row>
    <row r="24" spans="1:37" ht="12.65" customHeight="1" thickBot="1" x14ac:dyDescent="0.3">
      <c r="A24" s="2"/>
      <c r="B24" s="19"/>
      <c r="C24" s="19"/>
      <c r="D24" s="19"/>
      <c r="E24" s="2486" t="str">
        <f>Translations!$B$227</f>
        <v>Totala utsläpp av perfluorkarbon</v>
      </c>
      <c r="F24" s="2487"/>
      <c r="G24" s="36" t="str">
        <f>EUconst_tCO2epa</f>
        <v>t CO2e/år</v>
      </c>
      <c r="H24" s="906"/>
      <c r="I24" s="906"/>
      <c r="J24" s="906"/>
      <c r="K24" s="906"/>
      <c r="L24" s="906"/>
      <c r="M24" s="906"/>
      <c r="N24" s="906"/>
      <c r="O24" s="6"/>
      <c r="P24" s="1362"/>
      <c r="Q24" s="2"/>
      <c r="R24" s="2"/>
      <c r="S24" s="1350" t="str">
        <f t="shared" si="3"/>
        <v/>
      </c>
      <c r="T24" s="1340" t="str">
        <f t="shared" si="3"/>
        <v/>
      </c>
      <c r="U24" s="1340" t="str">
        <f t="shared" si="3"/>
        <v/>
      </c>
      <c r="V24" s="1340" t="str">
        <f t="shared" si="3"/>
        <v/>
      </c>
      <c r="W24" s="1340" t="str">
        <f t="shared" si="3"/>
        <v/>
      </c>
      <c r="X24" s="1340" t="str">
        <f t="shared" si="3"/>
        <v/>
      </c>
      <c r="Y24" s="1351" t="str">
        <f t="shared" si="3"/>
        <v/>
      </c>
      <c r="Z24" s="349"/>
      <c r="AA24" s="349"/>
      <c r="AB24" s="349"/>
      <c r="AC24" s="349"/>
      <c r="AD24" s="349"/>
      <c r="AE24" s="349"/>
      <c r="AF24" s="349"/>
      <c r="AG24" s="349"/>
      <c r="AH24" s="349"/>
      <c r="AI24" s="349"/>
      <c r="AJ24" s="1526" t="s">
        <v>2248</v>
      </c>
      <c r="AK24" s="394" t="str">
        <f>IF(AND(CNTR_HasEntries_A_I,OR(MSconst_RequireEmissionTotals,$Q$21),COUNTIFS($AB$21:$AH$21,FALSE,H24:N24,"")&gt;0),1,"")</f>
        <v/>
      </c>
    </row>
    <row r="25" spans="1:37" ht="13" customHeight="1" thickBot="1" x14ac:dyDescent="0.3">
      <c r="A25" s="2"/>
      <c r="B25" s="19"/>
      <c r="C25" s="19"/>
      <c r="D25" s="19"/>
      <c r="E25" s="2129" t="str">
        <f>Translations!$B$228</f>
        <v>Summan av direkta utsläpp</v>
      </c>
      <c r="F25" s="1997"/>
      <c r="G25" s="122" t="str">
        <f>EUconst_tCO2epa</f>
        <v>t CO2e/år</v>
      </c>
      <c r="H25" s="907" t="str">
        <f t="shared" ref="H25:N25" si="5">IF(COUNT(H21,H23:H24)&gt;0,SUM(H21,H23:H24),"")</f>
        <v/>
      </c>
      <c r="I25" s="907" t="str">
        <f t="shared" si="5"/>
        <v/>
      </c>
      <c r="J25" s="907" t="str">
        <f t="shared" si="5"/>
        <v/>
      </c>
      <c r="K25" s="908" t="str">
        <f t="shared" si="5"/>
        <v/>
      </c>
      <c r="L25" s="908" t="str">
        <f t="shared" si="5"/>
        <v/>
      </c>
      <c r="M25" s="908" t="str">
        <f t="shared" si="5"/>
        <v/>
      </c>
      <c r="N25" s="908" t="str">
        <f t="shared" si="5"/>
        <v/>
      </c>
      <c r="O25" s="6"/>
      <c r="P25" s="15"/>
      <c r="Q25" s="2"/>
      <c r="R25" s="2"/>
      <c r="S25" s="1357" t="str">
        <f t="shared" ref="S25:Y25" si="6">IF(COUNT(S21,S23:S24)&gt;0,SUM(S21,S23:S24),"")</f>
        <v/>
      </c>
      <c r="T25" s="1358" t="str">
        <f t="shared" si="6"/>
        <v/>
      </c>
      <c r="U25" s="1358" t="str">
        <f t="shared" si="6"/>
        <v/>
      </c>
      <c r="V25" s="1359" t="str">
        <f t="shared" si="6"/>
        <v/>
      </c>
      <c r="W25" s="1359" t="str">
        <f t="shared" si="6"/>
        <v/>
      </c>
      <c r="X25" s="1359" t="str">
        <f t="shared" si="6"/>
        <v/>
      </c>
      <c r="Y25" s="1360" t="str">
        <f t="shared" si="6"/>
        <v/>
      </c>
      <c r="Z25" s="349"/>
      <c r="AA25" s="349"/>
      <c r="AB25" s="349"/>
      <c r="AC25" s="349"/>
      <c r="AD25" s="349"/>
      <c r="AE25" s="349"/>
      <c r="AF25" s="349"/>
      <c r="AG25" s="349"/>
      <c r="AH25" s="349"/>
      <c r="AI25" s="349"/>
      <c r="AJ25" s="349"/>
      <c r="AK25" s="501"/>
    </row>
    <row r="26" spans="1:37" ht="13" customHeight="1" thickBot="1" x14ac:dyDescent="0.3">
      <c r="A26" s="2"/>
      <c r="B26" s="19"/>
      <c r="C26" s="19"/>
      <c r="D26" s="19"/>
      <c r="E26" s="2488" t="str">
        <f>Translations!$B$229</f>
        <v>Överförd koldioxid för export</v>
      </c>
      <c r="F26" s="2489"/>
      <c r="G26" s="522" t="str">
        <f>EUconst_tCO2pa</f>
        <v>t CO2 / år</v>
      </c>
      <c r="H26" s="909"/>
      <c r="I26" s="909"/>
      <c r="J26" s="909"/>
      <c r="K26" s="909"/>
      <c r="L26" s="909"/>
      <c r="M26" s="909"/>
      <c r="N26" s="909"/>
      <c r="O26" s="6"/>
      <c r="P26" s="1362"/>
      <c r="Q26" s="2"/>
      <c r="R26" s="2"/>
      <c r="S26" s="1353" t="str">
        <f t="shared" ref="S26:Y26" si="7">IF(ISNUMBER(H26),H26,"")</f>
        <v/>
      </c>
      <c r="T26" s="1354" t="str">
        <f t="shared" si="7"/>
        <v/>
      </c>
      <c r="U26" s="1354" t="str">
        <f t="shared" si="7"/>
        <v/>
      </c>
      <c r="V26" s="1355" t="str">
        <f t="shared" si="7"/>
        <v/>
      </c>
      <c r="W26" s="1355" t="str">
        <f t="shared" si="7"/>
        <v/>
      </c>
      <c r="X26" s="1355" t="str">
        <f t="shared" si="7"/>
        <v/>
      </c>
      <c r="Y26" s="1356" t="str">
        <f t="shared" si="7"/>
        <v/>
      </c>
      <c r="Z26" s="349"/>
      <c r="AA26" s="349"/>
      <c r="AB26" s="349"/>
      <c r="AC26" s="349"/>
      <c r="AD26" s="349"/>
      <c r="AE26" s="349"/>
      <c r="AF26" s="349"/>
      <c r="AG26" s="349"/>
      <c r="AH26" s="349"/>
      <c r="AI26" s="349"/>
      <c r="AJ26" s="1526" t="s">
        <v>2248</v>
      </c>
      <c r="AK26" s="394" t="str">
        <f>IF(AND(CNTR_HasEntries_A_I,OR(MSconst_RequireEmissionTotals,$Q$21),COUNTIFS($AB$21:$AH$21,FALSE,H26:N26,"")&gt;0),1,"")</f>
        <v/>
      </c>
    </row>
    <row r="27" spans="1:37" ht="12.75" customHeight="1" thickBot="1" x14ac:dyDescent="0.3">
      <c r="A27" s="2"/>
      <c r="B27" s="19"/>
      <c r="C27" s="19"/>
      <c r="D27" s="19"/>
      <c r="E27" s="2490" t="str">
        <f>Translations!$B$531</f>
        <v>Totala direkta utsläpp</v>
      </c>
      <c r="F27" s="2491"/>
      <c r="G27" s="523" t="str">
        <f>EUconst_tCO2epa</f>
        <v>t CO2e/år</v>
      </c>
      <c r="H27" s="901" t="str">
        <f t="shared" ref="H27:N27" si="8">IF(COUNT(H25:H26)&gt;0,SUM(H25:H26),"")</f>
        <v/>
      </c>
      <c r="I27" s="901" t="str">
        <f t="shared" si="8"/>
        <v/>
      </c>
      <c r="J27" s="901" t="str">
        <f t="shared" si="8"/>
        <v/>
      </c>
      <c r="K27" s="901" t="str">
        <f t="shared" si="8"/>
        <v/>
      </c>
      <c r="L27" s="901" t="str">
        <f t="shared" si="8"/>
        <v/>
      </c>
      <c r="M27" s="901" t="str">
        <f t="shared" si="8"/>
        <v/>
      </c>
      <c r="N27" s="902" t="str">
        <f t="shared" si="8"/>
        <v/>
      </c>
      <c r="O27" s="6"/>
      <c r="P27" s="15"/>
      <c r="Q27" s="2"/>
      <c r="R27" s="2"/>
      <c r="S27" s="1352" t="str">
        <f t="shared" ref="S27:Y27" si="9">IF(COUNT(S25:S26)&gt;0,SUM(S25:S26),"")</f>
        <v/>
      </c>
      <c r="T27" s="1341" t="str">
        <f t="shared" si="9"/>
        <v/>
      </c>
      <c r="U27" s="1341" t="str">
        <f t="shared" si="9"/>
        <v/>
      </c>
      <c r="V27" s="1341" t="str">
        <f t="shared" si="9"/>
        <v/>
      </c>
      <c r="W27" s="1341" t="str">
        <f t="shared" si="9"/>
        <v/>
      </c>
      <c r="X27" s="1341" t="str">
        <f t="shared" si="9"/>
        <v/>
      </c>
      <c r="Y27" s="1342" t="str">
        <f t="shared" si="9"/>
        <v/>
      </c>
      <c r="Z27" s="349"/>
      <c r="AA27" s="349"/>
      <c r="AB27" s="349"/>
      <c r="AC27" s="349"/>
      <c r="AD27" s="349"/>
      <c r="AE27" s="349"/>
      <c r="AF27" s="349"/>
      <c r="AG27" s="349"/>
      <c r="AH27" s="349"/>
      <c r="AI27" s="349"/>
      <c r="AJ27" s="349"/>
      <c r="AK27" s="349"/>
    </row>
    <row r="28" spans="1:37" ht="12.75" customHeight="1" thickBot="1" x14ac:dyDescent="0.3">
      <c r="A28" s="2"/>
      <c r="B28" s="19"/>
      <c r="C28" s="19"/>
      <c r="D28" s="39"/>
      <c r="E28" s="2490" t="str">
        <f>Translations!$B$231</f>
        <v>Total energitillförsel från bränslen</v>
      </c>
      <c r="F28" s="2491"/>
      <c r="G28" s="523" t="str">
        <f>EUconst_TJpa</f>
        <v>TJ / år</v>
      </c>
      <c r="H28" s="910"/>
      <c r="I28" s="910"/>
      <c r="J28" s="910"/>
      <c r="K28" s="910"/>
      <c r="L28" s="910"/>
      <c r="M28" s="910"/>
      <c r="N28" s="911"/>
      <c r="O28" s="6"/>
      <c r="P28" s="1362"/>
      <c r="Q28" s="2"/>
      <c r="R28" s="2"/>
      <c r="S28" s="1352" t="str">
        <f t="shared" ref="S28:Y28" si="10">IF(ISNUMBER(H28),H28,"")</f>
        <v/>
      </c>
      <c r="T28" s="1341" t="str">
        <f t="shared" si="10"/>
        <v/>
      </c>
      <c r="U28" s="1341" t="str">
        <f t="shared" si="10"/>
        <v/>
      </c>
      <c r="V28" s="1341" t="str">
        <f t="shared" si="10"/>
        <v/>
      </c>
      <c r="W28" s="1341" t="str">
        <f t="shared" si="10"/>
        <v/>
      </c>
      <c r="X28" s="1341" t="str">
        <f t="shared" si="10"/>
        <v/>
      </c>
      <c r="Y28" s="1342" t="str">
        <f t="shared" si="10"/>
        <v/>
      </c>
      <c r="Z28" s="349"/>
      <c r="AA28" s="349"/>
      <c r="AB28" s="349"/>
      <c r="AC28" s="349"/>
      <c r="AD28" s="349"/>
      <c r="AE28" s="349"/>
      <c r="AF28" s="349"/>
      <c r="AG28" s="349"/>
      <c r="AH28" s="349"/>
      <c r="AI28" s="349"/>
      <c r="AJ28" s="349"/>
      <c r="AK28" s="349"/>
    </row>
    <row r="29" spans="1:37" ht="13" x14ac:dyDescent="0.25">
      <c r="A29" s="2"/>
      <c r="B29" s="19"/>
      <c r="C29" s="115"/>
      <c r="D29" s="115"/>
      <c r="E29" s="115"/>
      <c r="F29" s="115"/>
      <c r="G29" s="115"/>
      <c r="H29" s="115"/>
      <c r="I29" s="115"/>
      <c r="J29" s="115"/>
      <c r="K29" s="115"/>
      <c r="L29" s="115"/>
      <c r="M29" s="115"/>
      <c r="N29" s="115"/>
      <c r="O29" s="6"/>
      <c r="P29" s="15"/>
      <c r="Q29" s="7"/>
      <c r="R29" s="2"/>
      <c r="S29" s="2"/>
      <c r="T29" s="2"/>
      <c r="U29" s="2"/>
      <c r="V29" s="2"/>
      <c r="W29" s="2"/>
      <c r="X29" s="2"/>
      <c r="Y29" s="2"/>
      <c r="Z29" s="349"/>
      <c r="AA29" s="349"/>
      <c r="AB29" s="349"/>
      <c r="AC29" s="349"/>
      <c r="AD29" s="349"/>
      <c r="AE29" s="349"/>
      <c r="AF29" s="349"/>
      <c r="AG29" s="349"/>
      <c r="AH29" s="349"/>
      <c r="AI29" s="349"/>
      <c r="AJ29" s="349"/>
      <c r="AK29" s="349"/>
    </row>
    <row r="30" spans="1:37" ht="15.75" customHeight="1" x14ac:dyDescent="0.35">
      <c r="A30" s="2"/>
      <c r="B30" s="3"/>
      <c r="C30" s="11" t="s">
        <v>954</v>
      </c>
      <c r="D30" s="1975" t="str">
        <f>Translations!$B$238</f>
        <v>Tillskrivning av utsläpp till delanläggningar</v>
      </c>
      <c r="E30" s="1975"/>
      <c r="F30" s="1975"/>
      <c r="G30" s="1975"/>
      <c r="H30" s="1975"/>
      <c r="I30" s="1975"/>
      <c r="J30" s="1975"/>
      <c r="K30" s="1975"/>
      <c r="L30" s="1975"/>
      <c r="M30" s="1975"/>
      <c r="N30" s="1975"/>
      <c r="O30" s="6"/>
      <c r="P30" s="15"/>
      <c r="Q30" s="7"/>
      <c r="R30" s="2"/>
      <c r="S30" s="2"/>
      <c r="T30" s="2"/>
      <c r="U30" s="2"/>
      <c r="V30" s="2"/>
      <c r="W30" s="2"/>
      <c r="X30" s="2"/>
      <c r="Y30" s="2"/>
      <c r="Z30" s="349"/>
      <c r="AA30" s="349"/>
      <c r="AB30" s="349"/>
      <c r="AC30" s="349"/>
      <c r="AD30" s="349"/>
      <c r="AE30" s="349"/>
      <c r="AF30" s="349"/>
      <c r="AG30" s="349"/>
      <c r="AH30" s="349"/>
      <c r="AI30" s="349"/>
      <c r="AJ30" s="349"/>
      <c r="AK30" s="349"/>
    </row>
    <row r="31" spans="1:37" ht="5.15" customHeight="1" x14ac:dyDescent="0.25">
      <c r="A31" s="2"/>
      <c r="B31" s="3"/>
      <c r="C31" s="3"/>
      <c r="D31" s="3"/>
      <c r="E31" s="3"/>
      <c r="F31" s="3"/>
      <c r="G31" s="3"/>
      <c r="H31" s="3"/>
      <c r="I31" s="3"/>
      <c r="J31" s="3"/>
      <c r="K31" s="3"/>
      <c r="L31" s="3"/>
      <c r="M31" s="6"/>
      <c r="N31" s="6"/>
      <c r="O31" s="6"/>
      <c r="P31" s="15"/>
      <c r="Q31" s="7"/>
      <c r="R31" s="2"/>
      <c r="S31" s="2"/>
      <c r="T31" s="2"/>
      <c r="U31" s="2"/>
      <c r="V31" s="2"/>
      <c r="W31" s="2"/>
      <c r="X31" s="2"/>
      <c r="Y31" s="2"/>
      <c r="Z31" s="349"/>
      <c r="AA31" s="349"/>
      <c r="AB31" s="349"/>
      <c r="AC31" s="349"/>
      <c r="AD31" s="349"/>
      <c r="AE31" s="349"/>
      <c r="AF31" s="349"/>
      <c r="AG31" s="349"/>
      <c r="AH31" s="349"/>
      <c r="AI31" s="349"/>
      <c r="AJ31" s="349"/>
      <c r="AK31" s="349"/>
    </row>
    <row r="32" spans="1:37" ht="15" customHeight="1" x14ac:dyDescent="0.3">
      <c r="A32" s="2"/>
      <c r="B32" s="3"/>
      <c r="C32" s="17">
        <v>1</v>
      </c>
      <c r="D32" s="2053" t="str">
        <f>Translations!$B$1450</f>
        <v>Totala utsläpp på anläggningsnivå (utifrån avsnitt D.I)</v>
      </c>
      <c r="E32" s="2053"/>
      <c r="F32" s="2053"/>
      <c r="G32" s="2053"/>
      <c r="H32" s="2053"/>
      <c r="I32" s="2053"/>
      <c r="J32" s="2053"/>
      <c r="K32" s="2053"/>
      <c r="L32" s="2053"/>
      <c r="M32" s="2053"/>
      <c r="N32" s="2053"/>
      <c r="O32" s="6"/>
      <c r="P32" s="15"/>
      <c r="Q32" s="7"/>
      <c r="R32" s="2"/>
      <c r="S32" s="2"/>
      <c r="T32" s="2"/>
      <c r="U32" s="2"/>
      <c r="V32" s="2"/>
      <c r="W32" s="2"/>
      <c r="X32" s="2"/>
      <c r="Y32" s="2"/>
      <c r="Z32" s="349"/>
      <c r="AA32" s="349"/>
      <c r="AB32" s="349"/>
      <c r="AC32" s="349"/>
      <c r="AD32" s="349"/>
      <c r="AE32" s="349"/>
      <c r="AF32" s="349"/>
      <c r="AG32" s="349"/>
      <c r="AH32" s="349"/>
      <c r="AI32" s="349"/>
      <c r="AJ32" s="349"/>
      <c r="AK32" s="349"/>
    </row>
    <row r="33" spans="1:37" ht="5.15" customHeight="1" x14ac:dyDescent="0.25">
      <c r="A33" s="2"/>
      <c r="B33" s="3"/>
      <c r="C33" s="3"/>
      <c r="D33" s="3"/>
      <c r="E33" s="3"/>
      <c r="F33" s="3"/>
      <c r="G33" s="3"/>
      <c r="H33" s="3"/>
      <c r="I33" s="3"/>
      <c r="J33" s="3"/>
      <c r="K33" s="3"/>
      <c r="L33" s="3"/>
      <c r="M33" s="6"/>
      <c r="N33" s="6"/>
      <c r="O33" s="6"/>
      <c r="P33" s="15"/>
      <c r="Q33" s="7"/>
      <c r="R33" s="2"/>
      <c r="S33" s="2"/>
      <c r="T33" s="2"/>
      <c r="U33" s="2"/>
      <c r="V33" s="2"/>
      <c r="W33" s="2"/>
      <c r="X33" s="2"/>
      <c r="Y33" s="2"/>
      <c r="Z33" s="349"/>
      <c r="AA33" s="349"/>
      <c r="AB33" s="349"/>
      <c r="AC33" s="349"/>
      <c r="AD33" s="349"/>
      <c r="AE33" s="349"/>
      <c r="AF33" s="349"/>
      <c r="AG33" s="349"/>
      <c r="AH33" s="349"/>
      <c r="AI33" s="349"/>
      <c r="AJ33" s="349"/>
      <c r="AK33" s="349"/>
    </row>
    <row r="34" spans="1:37" ht="12.75" customHeight="1" x14ac:dyDescent="0.25">
      <c r="A34" s="2"/>
      <c r="B34" s="3"/>
      <c r="C34" s="3"/>
      <c r="D34" s="13"/>
      <c r="E34" s="914" t="str">
        <f>Translations!$B$223</f>
        <v>Uppgifter på anläggningsnivå:</v>
      </c>
      <c r="F34" s="914"/>
      <c r="G34" s="38" t="str">
        <f>EUconst_Unit</f>
        <v>Enhet</v>
      </c>
      <c r="H34" s="320">
        <f t="shared" ref="H34:N34" si="11">H$278</f>
        <v>2019</v>
      </c>
      <c r="I34" s="320">
        <f t="shared" si="11"/>
        <v>2020</v>
      </c>
      <c r="J34" s="320">
        <f t="shared" si="11"/>
        <v>2021</v>
      </c>
      <c r="K34" s="320">
        <f t="shared" si="11"/>
        <v>2022</v>
      </c>
      <c r="L34" s="320">
        <f t="shared" si="11"/>
        <v>2023</v>
      </c>
      <c r="M34" s="320">
        <f t="shared" si="11"/>
        <v>2024</v>
      </c>
      <c r="N34" s="320">
        <f t="shared" si="11"/>
        <v>2025</v>
      </c>
      <c r="O34" s="6"/>
      <c r="P34" s="15"/>
      <c r="Q34" s="7"/>
      <c r="R34" s="2"/>
      <c r="S34" s="2"/>
      <c r="T34" s="2"/>
      <c r="U34" s="2"/>
      <c r="V34" s="2"/>
      <c r="W34" s="2"/>
      <c r="X34" s="2"/>
      <c r="Y34" s="2"/>
      <c r="Z34" s="349"/>
      <c r="AA34" s="349"/>
      <c r="AB34" s="349"/>
      <c r="AC34" s="349"/>
      <c r="AD34" s="349"/>
      <c r="AE34" s="349"/>
      <c r="AF34" s="349"/>
      <c r="AG34" s="349"/>
      <c r="AH34" s="349"/>
      <c r="AI34" s="349"/>
      <c r="AJ34" s="349"/>
      <c r="AK34" s="349"/>
    </row>
    <row r="35" spans="1:37" ht="12.75" customHeight="1" x14ac:dyDescent="0.25">
      <c r="A35" s="2"/>
      <c r="B35" s="19"/>
      <c r="C35" s="19"/>
      <c r="D35" s="19"/>
      <c r="E35" s="2129" t="str">
        <f>Translations!$B$239</f>
        <v>Anläggningens totala direkta utsläpp</v>
      </c>
      <c r="F35" s="2129"/>
      <c r="G35" s="122" t="str">
        <f>EUconst_tCO2epa</f>
        <v>t CO2e/år</v>
      </c>
      <c r="H35" s="346" t="str">
        <f>IF(ISNUMBER(S$27),S$27,"")</f>
        <v/>
      </c>
      <c r="I35" s="346" t="str">
        <f t="shared" ref="I35:N35" si="12">IF(ISNUMBER(T$27),T$27,"")</f>
        <v/>
      </c>
      <c r="J35" s="346" t="str">
        <f t="shared" si="12"/>
        <v/>
      </c>
      <c r="K35" s="346" t="str">
        <f t="shared" si="12"/>
        <v/>
      </c>
      <c r="L35" s="346" t="str">
        <f t="shared" si="12"/>
        <v/>
      </c>
      <c r="M35" s="346" t="str">
        <f t="shared" si="12"/>
        <v/>
      </c>
      <c r="N35" s="346" t="str">
        <f t="shared" si="12"/>
        <v/>
      </c>
      <c r="O35" s="6"/>
      <c r="P35" s="15"/>
      <c r="Q35" s="2"/>
      <c r="R35" s="2"/>
      <c r="S35" s="2"/>
      <c r="T35" s="2"/>
      <c r="U35" s="2"/>
      <c r="V35" s="2"/>
      <c r="W35" s="2"/>
      <c r="X35" s="2"/>
      <c r="Y35" s="2"/>
      <c r="Z35" s="349"/>
      <c r="AA35" s="349"/>
      <c r="AB35" s="349"/>
      <c r="AC35" s="349"/>
      <c r="AD35" s="349"/>
      <c r="AE35" s="349"/>
      <c r="AF35" s="349"/>
      <c r="AG35" s="349"/>
      <c r="AH35" s="349"/>
      <c r="AI35" s="349"/>
      <c r="AJ35" s="349"/>
      <c r="AK35" s="349"/>
    </row>
    <row r="36" spans="1:37" ht="5.15" customHeight="1" x14ac:dyDescent="0.25">
      <c r="A36" s="2"/>
      <c r="B36" s="3"/>
      <c r="C36" s="3"/>
      <c r="D36" s="3"/>
      <c r="E36" s="3"/>
      <c r="F36" s="3"/>
      <c r="G36" s="3"/>
      <c r="H36" s="3"/>
      <c r="I36" s="3"/>
      <c r="J36" s="3"/>
      <c r="K36" s="3"/>
      <c r="L36" s="3"/>
      <c r="M36" s="6"/>
      <c r="N36" s="6"/>
      <c r="O36" s="6"/>
      <c r="P36" s="15"/>
      <c r="Q36" s="7"/>
      <c r="R36" s="2"/>
      <c r="S36" s="2"/>
      <c r="T36" s="2"/>
      <c r="U36" s="2"/>
      <c r="V36" s="2"/>
      <c r="W36" s="2"/>
      <c r="X36" s="2"/>
      <c r="Y36" s="2"/>
      <c r="Z36" s="349"/>
      <c r="AA36" s="349"/>
      <c r="AB36" s="349"/>
      <c r="AC36" s="349"/>
      <c r="AD36" s="349"/>
      <c r="AE36" s="349"/>
      <c r="AF36" s="349"/>
      <c r="AG36" s="349"/>
      <c r="AH36" s="349"/>
      <c r="AI36" s="349"/>
      <c r="AJ36" s="349"/>
      <c r="AK36" s="349"/>
    </row>
    <row r="37" spans="1:37" ht="15" customHeight="1" x14ac:dyDescent="0.3">
      <c r="A37" s="2"/>
      <c r="B37" s="3"/>
      <c r="C37" s="17">
        <v>2</v>
      </c>
      <c r="D37" s="2053" t="str">
        <f>Translations!$B$240</f>
        <v>Tillskrivning till delanläggningar</v>
      </c>
      <c r="E37" s="2053"/>
      <c r="F37" s="2053"/>
      <c r="G37" s="2053"/>
      <c r="H37" s="2053"/>
      <c r="I37" s="2053"/>
      <c r="J37" s="2053"/>
      <c r="K37" s="2053"/>
      <c r="L37" s="2053"/>
      <c r="M37" s="2053"/>
      <c r="N37" s="2053"/>
      <c r="O37" s="6"/>
      <c r="P37" s="15"/>
      <c r="Q37" s="2"/>
      <c r="R37" s="2"/>
      <c r="S37" s="2"/>
      <c r="T37" s="2"/>
      <c r="U37" s="2"/>
      <c r="V37" s="2"/>
      <c r="W37" s="2"/>
      <c r="X37" s="2"/>
      <c r="Y37" s="2"/>
      <c r="Z37" s="349"/>
      <c r="AA37" s="349"/>
      <c r="AB37" s="349"/>
      <c r="AC37" s="349"/>
      <c r="AD37" s="349"/>
      <c r="AE37" s="349"/>
      <c r="AF37" s="349"/>
      <c r="AG37" s="349"/>
      <c r="AH37" s="349"/>
      <c r="AI37" s="349"/>
      <c r="AJ37" s="349"/>
      <c r="AK37" s="349"/>
    </row>
    <row r="38" spans="1:37" ht="5.15" customHeight="1" x14ac:dyDescent="0.25">
      <c r="A38" s="2"/>
      <c r="B38" s="19"/>
      <c r="C38" s="3"/>
      <c r="D38" s="3"/>
      <c r="E38" s="3"/>
      <c r="F38" s="3"/>
      <c r="G38" s="3"/>
      <c r="H38" s="3"/>
      <c r="I38" s="3"/>
      <c r="J38" s="3"/>
      <c r="K38" s="3"/>
      <c r="L38" s="3"/>
      <c r="M38" s="3"/>
      <c r="N38" s="3"/>
      <c r="O38" s="6"/>
      <c r="P38" s="15"/>
      <c r="Q38" s="2"/>
      <c r="R38" s="2"/>
      <c r="S38" s="7"/>
      <c r="T38" s="7"/>
      <c r="U38" s="2"/>
      <c r="V38" s="2"/>
      <c r="W38" s="2"/>
      <c r="X38" s="2"/>
      <c r="Y38" s="2"/>
      <c r="Z38" s="349"/>
      <c r="AA38" s="349"/>
      <c r="AB38" s="349"/>
      <c r="AC38" s="349"/>
      <c r="AD38" s="349"/>
      <c r="AE38" s="349"/>
      <c r="AF38" s="349"/>
      <c r="AG38" s="349"/>
      <c r="AH38" s="349"/>
      <c r="AI38" s="349"/>
      <c r="AJ38" s="349"/>
      <c r="AK38" s="349"/>
    </row>
    <row r="39" spans="1:37" ht="12.75" customHeight="1" x14ac:dyDescent="0.25">
      <c r="A39" s="2"/>
      <c r="B39" s="19"/>
      <c r="C39" s="3"/>
      <c r="D39" s="3"/>
      <c r="E39" s="2061" t="str">
        <f>Translations!$B$1451</f>
        <v xml:space="preserve">Utsläppen måste tillskrivas delanläggningarna på bladen F och G för varje delanläggning om medlemsstaten gjort det obligatoriskt att rapportera detta. </v>
      </c>
      <c r="F39" s="1963"/>
      <c r="G39" s="1963"/>
      <c r="H39" s="1963"/>
      <c r="I39" s="1963"/>
      <c r="J39" s="1963"/>
      <c r="K39" s="1963"/>
      <c r="L39" s="1963"/>
      <c r="M39" s="1963"/>
      <c r="N39" s="1963"/>
      <c r="O39" s="6"/>
      <c r="P39" s="15"/>
      <c r="Q39" s="2"/>
      <c r="R39" s="2"/>
      <c r="S39" s="7"/>
      <c r="T39" s="7"/>
      <c r="U39" s="2"/>
      <c r="V39" s="2"/>
      <c r="W39" s="2"/>
      <c r="X39" s="2"/>
      <c r="Y39" s="2"/>
      <c r="Z39" s="349"/>
      <c r="AA39" s="349"/>
      <c r="AB39" s="349"/>
      <c r="AC39" s="349"/>
      <c r="AD39" s="349"/>
      <c r="AE39" s="349"/>
      <c r="AF39" s="349"/>
      <c r="AG39" s="349"/>
      <c r="AH39" s="349"/>
      <c r="AI39" s="349"/>
      <c r="AJ39" s="349"/>
      <c r="AK39" s="349"/>
    </row>
    <row r="40" spans="1:37" ht="12.75" customHeight="1" x14ac:dyDescent="0.25">
      <c r="A40" s="2"/>
      <c r="B40" s="19"/>
      <c r="C40" s="3"/>
      <c r="D40" s="3"/>
      <c r="E40" s="2061" t="str">
        <f>Translations!$B$241</f>
        <v>En sammanfattande tabell över tillskrivna utsläpp ges i det sammanfattande bladet (se länk nedan).</v>
      </c>
      <c r="F40" s="1963"/>
      <c r="G40" s="1963"/>
      <c r="H40" s="1963"/>
      <c r="I40" s="1963"/>
      <c r="J40" s="1963"/>
      <c r="K40" s="1963"/>
      <c r="L40" s="1963"/>
      <c r="M40" s="1963"/>
      <c r="N40" s="1963"/>
      <c r="O40" s="6"/>
      <c r="P40" s="15"/>
      <c r="Q40" s="2"/>
      <c r="R40" s="2"/>
      <c r="S40" s="7"/>
      <c r="T40" s="7"/>
      <c r="U40" s="2"/>
      <c r="V40" s="2"/>
      <c r="W40" s="2"/>
      <c r="X40" s="2"/>
      <c r="Y40" s="2"/>
      <c r="Z40" s="349"/>
      <c r="AA40" s="349"/>
      <c r="AB40" s="349"/>
      <c r="AC40" s="349"/>
      <c r="AD40" s="349"/>
      <c r="AE40" s="349"/>
      <c r="AF40" s="349"/>
      <c r="AG40" s="349"/>
      <c r="AH40" s="349"/>
      <c r="AI40" s="349"/>
      <c r="AJ40" s="349"/>
      <c r="AK40" s="349"/>
    </row>
    <row r="41" spans="1:37" ht="12.75" customHeight="1" x14ac:dyDescent="0.25">
      <c r="A41" s="2"/>
      <c r="B41" s="19"/>
      <c r="C41" s="19"/>
      <c r="D41" s="19"/>
      <c r="E41" s="2482" t="str">
        <f>CONCATENATE(EUconst_MsgAttrEm," (K.III.2)")</f>
        <v>Tillskrivning av utsläpp till delanläggningar anges i det sammanfattande bladet. (K.III.2)</v>
      </c>
      <c r="F41" s="2482"/>
      <c r="G41" s="2482"/>
      <c r="H41" s="2482"/>
      <c r="I41" s="2482"/>
      <c r="J41" s="2482"/>
      <c r="K41" s="2482"/>
      <c r="L41" s="2482"/>
      <c r="M41" s="2482"/>
      <c r="N41" s="2482"/>
      <c r="O41" s="6"/>
      <c r="P41" s="15"/>
      <c r="Q41" s="2"/>
      <c r="R41" s="2"/>
      <c r="S41" s="7"/>
      <c r="T41" s="7"/>
      <c r="U41" s="2"/>
      <c r="V41" s="2"/>
      <c r="W41" s="2"/>
      <c r="X41" s="2"/>
      <c r="Y41" s="2"/>
      <c r="Z41" s="349"/>
      <c r="AA41" s="349"/>
      <c r="AB41" s="349"/>
      <c r="AC41" s="349"/>
      <c r="AD41" s="349"/>
      <c r="AE41" s="349"/>
      <c r="AF41" s="349"/>
      <c r="AG41" s="349"/>
      <c r="AH41" s="349"/>
      <c r="AI41" s="349"/>
      <c r="AJ41" s="349"/>
      <c r="AK41" s="349"/>
    </row>
    <row r="42" spans="1:37" ht="12.75" customHeight="1" x14ac:dyDescent="0.25">
      <c r="A42" s="2"/>
      <c r="B42" s="19"/>
      <c r="C42" s="19"/>
      <c r="D42" s="19"/>
      <c r="E42" s="19"/>
      <c r="F42" s="19"/>
      <c r="G42" s="19"/>
      <c r="H42" s="19"/>
      <c r="I42" s="19"/>
      <c r="J42" s="19"/>
      <c r="K42" s="19"/>
      <c r="L42" s="19"/>
      <c r="M42" s="19"/>
      <c r="N42" s="19"/>
      <c r="O42" s="6"/>
      <c r="P42" s="15"/>
      <c r="Q42" s="2"/>
      <c r="R42" s="2"/>
      <c r="S42" s="7"/>
      <c r="T42" s="7"/>
      <c r="U42" s="2"/>
      <c r="V42" s="2"/>
      <c r="W42" s="2"/>
      <c r="X42" s="2"/>
      <c r="Y42" s="2"/>
      <c r="Z42" s="349"/>
      <c r="AA42" s="349"/>
      <c r="AB42" s="349"/>
      <c r="AC42" s="349"/>
      <c r="AD42" s="349"/>
      <c r="AE42" s="349"/>
      <c r="AF42" s="349"/>
      <c r="AG42" s="349"/>
      <c r="AH42" s="349"/>
      <c r="AI42" s="349"/>
      <c r="AJ42" s="349"/>
      <c r="AK42" s="349"/>
    </row>
    <row r="43" spans="1:37" ht="15.5" x14ac:dyDescent="0.35">
      <c r="A43" s="2"/>
      <c r="B43" s="3"/>
      <c r="C43" s="11" t="s">
        <v>962</v>
      </c>
      <c r="D43" s="1975" t="str">
        <f>Translations!$B$242</f>
        <v>Kraftvärmeverktyget</v>
      </c>
      <c r="E43" s="1975"/>
      <c r="F43" s="1975"/>
      <c r="G43" s="1975"/>
      <c r="H43" s="1975"/>
      <c r="I43" s="1975"/>
      <c r="J43" s="1975"/>
      <c r="K43" s="1975"/>
      <c r="L43" s="1975"/>
      <c r="M43" s="1975"/>
      <c r="N43" s="1975"/>
      <c r="O43" s="6"/>
      <c r="P43" s="15"/>
      <c r="Q43" s="7"/>
      <c r="R43" s="2"/>
      <c r="S43" s="2"/>
      <c r="T43" s="2"/>
      <c r="U43" s="2"/>
      <c r="V43" s="2"/>
      <c r="W43" s="2"/>
      <c r="X43" s="2"/>
      <c r="Y43" s="2"/>
      <c r="Z43" s="349"/>
      <c r="AA43" s="349"/>
      <c r="AB43" s="349"/>
      <c r="AC43" s="349"/>
      <c r="AD43" s="349"/>
      <c r="AE43" s="349"/>
      <c r="AF43" s="349"/>
      <c r="AG43" s="349"/>
      <c r="AH43" s="349"/>
      <c r="AI43" s="349"/>
      <c r="AJ43" s="349"/>
      <c r="AK43" s="349"/>
    </row>
    <row r="44" spans="1:37" ht="5.15" customHeight="1" x14ac:dyDescent="0.25">
      <c r="A44" s="2"/>
      <c r="B44" s="3"/>
      <c r="C44" s="3"/>
      <c r="D44" s="3"/>
      <c r="E44" s="3"/>
      <c r="F44" s="3"/>
      <c r="G44" s="3"/>
      <c r="H44" s="3"/>
      <c r="I44" s="3"/>
      <c r="J44" s="3"/>
      <c r="K44" s="3"/>
      <c r="L44" s="3"/>
      <c r="M44" s="6"/>
      <c r="N44" s="6"/>
      <c r="O44" s="6"/>
      <c r="P44" s="15"/>
      <c r="Q44" s="7"/>
      <c r="R44" s="2"/>
      <c r="S44" s="2"/>
      <c r="T44" s="2"/>
      <c r="U44" s="2"/>
      <c r="V44" s="2"/>
      <c r="W44" s="2"/>
      <c r="X44" s="2"/>
      <c r="Y44" s="2"/>
      <c r="Z44" s="349"/>
      <c r="AA44" s="349"/>
      <c r="AB44" s="349"/>
      <c r="AC44" s="349"/>
      <c r="AD44" s="349"/>
      <c r="AE44" s="349"/>
      <c r="AF44" s="349"/>
      <c r="AG44" s="349"/>
      <c r="AH44" s="349"/>
      <c r="AI44" s="349"/>
      <c r="AJ44" s="349"/>
      <c r="AK44" s="349"/>
    </row>
    <row r="45" spans="1:37" ht="12.75" customHeight="1" x14ac:dyDescent="0.25">
      <c r="A45" s="2"/>
      <c r="B45" s="3"/>
      <c r="C45" s="3"/>
      <c r="D45" s="3"/>
      <c r="E45" s="2106" t="str">
        <f>Translations!$B$243</f>
        <v>Är kraftvärmeverk relevanta?</v>
      </c>
      <c r="F45" s="2106"/>
      <c r="G45" s="2106"/>
      <c r="H45" s="2106"/>
      <c r="I45" s="2106"/>
      <c r="J45" s="2106"/>
      <c r="K45" s="2106"/>
      <c r="L45" s="2107"/>
      <c r="M45" s="1768"/>
      <c r="N45" s="6"/>
      <c r="O45" s="6"/>
      <c r="P45" s="1362"/>
      <c r="Q45" s="7"/>
      <c r="R45" s="2"/>
      <c r="S45" s="2"/>
      <c r="T45" s="2"/>
      <c r="U45" s="2"/>
      <c r="V45" s="2"/>
      <c r="W45" s="2"/>
      <c r="X45" s="2"/>
      <c r="Y45" s="2"/>
      <c r="Z45" s="349"/>
      <c r="AA45" s="349"/>
      <c r="AB45" s="349"/>
      <c r="AC45" s="349"/>
      <c r="AD45" s="349"/>
      <c r="AE45" s="349"/>
      <c r="AF45" s="349"/>
      <c r="AG45" s="349"/>
      <c r="AH45" s="349"/>
      <c r="AI45" s="349"/>
      <c r="AJ45" s="349"/>
      <c r="AK45" s="349"/>
    </row>
    <row r="46" spans="1:37" ht="12.75" customHeight="1" x14ac:dyDescent="0.25">
      <c r="A46" s="2"/>
      <c r="B46" s="3"/>
      <c r="C46" s="3"/>
      <c r="D46" s="3"/>
      <c r="E46" s="2061" t="str">
        <f>Translations!$B$244</f>
        <v>Detta är ett verktyg för att fördela bränslen och utsläpp vid kraftvärmeproduktion i syfte att uppdatera riktmärkesvärdena enligt kapitel 8 i bilaga VII.</v>
      </c>
      <c r="F46" s="1963"/>
      <c r="G46" s="1963"/>
      <c r="H46" s="1963"/>
      <c r="I46" s="1963"/>
      <c r="J46" s="1963"/>
      <c r="K46" s="1963"/>
      <c r="L46" s="1963"/>
      <c r="M46" s="1963"/>
      <c r="N46" s="1963"/>
      <c r="O46" s="6"/>
      <c r="P46" s="15"/>
      <c r="Q46" s="7"/>
      <c r="R46" s="2"/>
      <c r="S46" s="2"/>
      <c r="T46" s="2"/>
      <c r="U46" s="2"/>
      <c r="V46" s="2"/>
      <c r="W46" s="2"/>
      <c r="X46" s="2"/>
      <c r="Y46" s="2"/>
      <c r="Z46" s="349"/>
      <c r="AA46" s="349"/>
      <c r="AB46" s="349"/>
      <c r="AC46" s="349"/>
      <c r="AD46" s="349"/>
      <c r="AE46" s="349"/>
      <c r="AF46" s="349"/>
      <c r="AG46" s="349"/>
      <c r="AH46" s="349"/>
      <c r="AI46" s="349"/>
      <c r="AJ46" s="349"/>
      <c r="AK46" s="349"/>
    </row>
    <row r="47" spans="1:37" ht="12.75" customHeight="1" x14ac:dyDescent="0.25">
      <c r="A47" s="2"/>
      <c r="B47" s="3"/>
      <c r="C47" s="3"/>
      <c r="D47" s="3"/>
      <c r="E47" s="2070" t="str">
        <f>Translations!$B$245</f>
        <v>Var god ange ”FALSKT” om det inte finns någon kraftvärmeenhet på er anläggning. Om så är fallet är hela verktyget irrelevant och kommer då att gråmarkeras.</v>
      </c>
      <c r="F47" s="2071"/>
      <c r="G47" s="2071"/>
      <c r="H47" s="2071"/>
      <c r="I47" s="2071"/>
      <c r="J47" s="2071"/>
      <c r="K47" s="2071"/>
      <c r="L47" s="2071"/>
      <c r="M47" s="2071"/>
      <c r="N47" s="2071"/>
      <c r="O47" s="6"/>
      <c r="P47" s="15"/>
      <c r="Q47" s="7"/>
      <c r="R47" s="2"/>
      <c r="S47" s="2"/>
      <c r="T47" s="2"/>
      <c r="U47" s="2"/>
      <c r="V47" s="2"/>
      <c r="W47" s="2"/>
      <c r="X47" s="2"/>
      <c r="Y47" s="2"/>
      <c r="Z47" s="349"/>
      <c r="AA47" s="349"/>
      <c r="AB47" s="349"/>
      <c r="AC47" s="349"/>
      <c r="AD47" s="349"/>
      <c r="AE47" s="349"/>
      <c r="AF47" s="349"/>
      <c r="AG47" s="349"/>
      <c r="AH47" s="349"/>
      <c r="AI47" s="349"/>
      <c r="AJ47" s="349"/>
      <c r="AK47" s="349"/>
    </row>
    <row r="48" spans="1:37" ht="25.5" customHeight="1" x14ac:dyDescent="0.25">
      <c r="A48" s="2"/>
      <c r="B48" s="3"/>
      <c r="C48" s="3"/>
      <c r="D48" s="3"/>
      <c r="E48" s="2070" t="str">
        <f>Translations!$B$246</f>
        <v>Var god notera att utsläpp i samband med importerad värme också kan vara relevant för vissa delanläggningar. Om den importerade värmen produceras från kraftvärmeenheter vid andra anläggningar kan verktyget också vara relevant, om det finns ytterligare information om de relevanta uppgifterna från leverantören.</v>
      </c>
      <c r="F48" s="2071"/>
      <c r="G48" s="2071"/>
      <c r="H48" s="2071"/>
      <c r="I48" s="2071"/>
      <c r="J48" s="2071"/>
      <c r="K48" s="2071"/>
      <c r="L48" s="2071"/>
      <c r="M48" s="2071"/>
      <c r="N48" s="2071"/>
      <c r="O48" s="6"/>
      <c r="P48" s="15"/>
      <c r="Q48" s="7"/>
      <c r="R48" s="2"/>
      <c r="S48" s="2"/>
      <c r="T48" s="2"/>
      <c r="U48" s="2"/>
      <c r="V48" s="2"/>
      <c r="W48" s="2"/>
      <c r="X48" s="2"/>
      <c r="Y48" s="2"/>
      <c r="Z48" s="349"/>
      <c r="AA48" s="349"/>
      <c r="AB48" s="349"/>
      <c r="AC48" s="349"/>
      <c r="AD48" s="349"/>
      <c r="AE48" s="349"/>
      <c r="AF48" s="349"/>
      <c r="AG48" s="349"/>
      <c r="AH48" s="349"/>
      <c r="AI48" s="349"/>
      <c r="AJ48" s="349"/>
      <c r="AK48" s="349"/>
    </row>
    <row r="49" spans="1:37" ht="12.75" customHeight="1" x14ac:dyDescent="0.25">
      <c r="A49" s="2"/>
      <c r="B49" s="3"/>
      <c r="C49" s="3"/>
      <c r="D49" s="15"/>
      <c r="E49" s="2061" t="str">
        <f>Translations!$B$247</f>
        <v>Mallen innehåller två uppsättningar av verktyget, och varje uppsättning bör endast användas för en kraftvärmeenhet. Om fler kraftvärmeenheter är relevanta kan en separat mall användas för att lämna viktig information.</v>
      </c>
      <c r="F49" s="1963"/>
      <c r="G49" s="1963"/>
      <c r="H49" s="1963"/>
      <c r="I49" s="1963"/>
      <c r="J49" s="1963"/>
      <c r="K49" s="1963"/>
      <c r="L49" s="1963"/>
      <c r="M49" s="1963"/>
      <c r="N49" s="1963"/>
      <c r="O49" s="6"/>
      <c r="P49" s="15"/>
      <c r="Q49" s="7"/>
      <c r="R49" s="2"/>
      <c r="S49" s="2"/>
      <c r="T49" s="2"/>
      <c r="U49" s="2"/>
      <c r="V49" s="2"/>
      <c r="W49" s="2"/>
      <c r="X49" s="2"/>
      <c r="Y49" s="2"/>
      <c r="Z49" s="349"/>
      <c r="AA49" s="349"/>
      <c r="AB49" s="349"/>
      <c r="AC49" s="349"/>
      <c r="AD49" s="349"/>
      <c r="AE49" s="349"/>
      <c r="AF49" s="349"/>
      <c r="AG49" s="349"/>
      <c r="AH49" s="349"/>
      <c r="AI49" s="349"/>
      <c r="AJ49" s="349"/>
      <c r="AK49" s="349"/>
    </row>
    <row r="50" spans="1:37" ht="25.5" customHeight="1" x14ac:dyDescent="0.25">
      <c r="A50" s="2"/>
      <c r="B50" s="3"/>
      <c r="C50" s="3"/>
      <c r="D50" s="15"/>
      <c r="E50" s="2061" t="str">
        <f>Translations!$B$248</f>
        <v>De perioder då kraftvärmeenheten enbart används för uppvärmning eller för elalstring (dvs. perioder då endast en av de båda produkterna framställdes) bör inte tas med och fördelningen av bränslen och utsläpp bör beräknas separat i enlighet med bestämmelserna i avsnitt 10.1.2 och 10.1.3 i bilaga VII.</v>
      </c>
      <c r="F50" s="1963"/>
      <c r="G50" s="1963"/>
      <c r="H50" s="1963"/>
      <c r="I50" s="1963"/>
      <c r="J50" s="1963"/>
      <c r="K50" s="1963"/>
      <c r="L50" s="1963"/>
      <c r="M50" s="1963"/>
      <c r="N50" s="1963"/>
      <c r="O50" s="6"/>
      <c r="P50" s="15"/>
      <c r="Q50" s="7"/>
      <c r="R50" s="2"/>
      <c r="S50" s="2"/>
      <c r="T50" s="2"/>
      <c r="U50" s="2"/>
      <c r="V50" s="2"/>
      <c r="W50" s="2"/>
      <c r="X50" s="2"/>
      <c r="Y50" s="2"/>
      <c r="Z50" s="349"/>
      <c r="AA50" s="349"/>
      <c r="AB50" s="349"/>
      <c r="AC50" s="349"/>
      <c r="AD50" s="349"/>
      <c r="AE50" s="349"/>
      <c r="AF50" s="349"/>
      <c r="AG50" s="349"/>
      <c r="AH50" s="349"/>
      <c r="AI50" s="349"/>
      <c r="AJ50" s="349"/>
      <c r="AK50" s="349"/>
    </row>
    <row r="51" spans="1:37" ht="5.15" customHeight="1" x14ac:dyDescent="0.25">
      <c r="A51" s="2"/>
      <c r="B51" s="3"/>
      <c r="C51" s="3"/>
      <c r="D51" s="3"/>
      <c r="E51" s="3"/>
      <c r="F51" s="3"/>
      <c r="G51" s="3"/>
      <c r="H51" s="3"/>
      <c r="I51" s="3"/>
      <c r="J51" s="3"/>
      <c r="K51" s="3"/>
      <c r="L51" s="3"/>
      <c r="M51" s="6"/>
      <c r="N51" s="6"/>
      <c r="O51" s="6"/>
      <c r="P51" s="15"/>
      <c r="Q51" s="7"/>
      <c r="R51" s="2"/>
      <c r="S51" s="2"/>
      <c r="T51" s="2"/>
      <c r="U51" s="2"/>
      <c r="V51" s="2"/>
      <c r="W51" s="2"/>
      <c r="X51" s="2"/>
      <c r="Y51" s="2"/>
      <c r="Z51" s="349"/>
      <c r="AA51" s="349"/>
      <c r="AB51" s="349"/>
      <c r="AC51" s="349"/>
      <c r="AD51" s="349"/>
      <c r="AE51" s="349"/>
      <c r="AF51" s="349"/>
      <c r="AG51" s="349"/>
      <c r="AH51" s="349"/>
      <c r="AI51" s="349"/>
      <c r="AJ51" s="349"/>
      <c r="AK51" s="349"/>
    </row>
    <row r="52" spans="1:37" ht="14" x14ac:dyDescent="0.3">
      <c r="A52" s="2"/>
      <c r="B52" s="3"/>
      <c r="C52" s="17">
        <v>1</v>
      </c>
      <c r="D52" s="2053" t="str">
        <f>Translations!$B$249</f>
        <v>Verktyg för att beräkna utsläpp som kan tillskrivas värme vid kraftvärmeproduktion</v>
      </c>
      <c r="E52" s="1963"/>
      <c r="F52" s="1963"/>
      <c r="G52" s="1963"/>
      <c r="H52" s="1963"/>
      <c r="I52" s="1963"/>
      <c r="J52" s="1963"/>
      <c r="K52" s="1963"/>
      <c r="L52" s="1963"/>
      <c r="M52" s="1963"/>
      <c r="N52" s="1963"/>
      <c r="O52" s="6"/>
      <c r="P52" s="15"/>
      <c r="Q52" s="7"/>
      <c r="R52" s="2"/>
      <c r="S52" s="2"/>
      <c r="T52" s="2"/>
      <c r="U52" s="2"/>
      <c r="V52" s="2"/>
      <c r="W52" s="2"/>
      <c r="X52" s="2"/>
      <c r="Y52" s="2"/>
      <c r="Z52" s="349"/>
      <c r="AA52" s="349"/>
      <c r="AB52" s="349"/>
      <c r="AC52" s="349"/>
      <c r="AD52" s="349"/>
      <c r="AE52" s="349"/>
      <c r="AF52" s="349"/>
      <c r="AG52" s="349"/>
      <c r="AH52" s="349"/>
      <c r="AI52" s="349"/>
      <c r="AJ52" s="349"/>
      <c r="AK52" s="349"/>
    </row>
    <row r="53" spans="1:37" ht="5.15" customHeight="1" x14ac:dyDescent="0.25">
      <c r="A53" s="2"/>
      <c r="B53" s="3"/>
      <c r="C53" s="3"/>
      <c r="D53" s="3"/>
      <c r="E53" s="3"/>
      <c r="F53" s="3"/>
      <c r="G53" s="3"/>
      <c r="H53" s="3"/>
      <c r="I53" s="3"/>
      <c r="J53" s="3"/>
      <c r="K53" s="3"/>
      <c r="L53" s="3"/>
      <c r="M53" s="6"/>
      <c r="N53" s="6"/>
      <c r="O53" s="6"/>
      <c r="P53" s="15"/>
      <c r="Q53" s="7"/>
      <c r="R53" s="2"/>
      <c r="S53" s="2"/>
      <c r="T53" s="2"/>
      <c r="U53" s="2"/>
      <c r="V53" s="2"/>
      <c r="W53" s="2"/>
      <c r="X53" s="2"/>
      <c r="Y53" s="2"/>
      <c r="Z53" s="349"/>
      <c r="AA53" s="349"/>
      <c r="AB53" s="349"/>
      <c r="AC53" s="349"/>
      <c r="AD53" s="349"/>
      <c r="AE53" s="349"/>
      <c r="AF53" s="349"/>
      <c r="AG53" s="349"/>
      <c r="AH53" s="349"/>
      <c r="AI53" s="349"/>
      <c r="AJ53" s="349"/>
      <c r="AK53" s="349"/>
    </row>
    <row r="54" spans="1:37" ht="13" x14ac:dyDescent="0.25">
      <c r="A54" s="2"/>
      <c r="B54" s="3"/>
      <c r="C54" s="3"/>
      <c r="D54" s="13" t="s">
        <v>442</v>
      </c>
      <c r="E54" s="1943" t="str">
        <f>Translations!$B$250</f>
        <v>Total mängd insatsbränsle till kraftvärmeenheten</v>
      </c>
      <c r="F54" s="1963"/>
      <c r="G54" s="1963"/>
      <c r="H54" s="1963"/>
      <c r="I54" s="1963"/>
      <c r="J54" s="1963"/>
      <c r="K54" s="1963"/>
      <c r="L54" s="1963"/>
      <c r="M54" s="1963"/>
      <c r="N54" s="1963"/>
      <c r="O54" s="6"/>
      <c r="P54" s="15"/>
      <c r="Q54" s="7"/>
      <c r="R54" s="2"/>
      <c r="S54" s="2"/>
      <c r="T54" s="2"/>
      <c r="U54" s="2"/>
      <c r="V54" s="2"/>
      <c r="W54" s="2"/>
      <c r="X54" s="2"/>
      <c r="Y54" s="2"/>
      <c r="Z54" s="349"/>
      <c r="AA54" s="349"/>
      <c r="AB54" s="349"/>
      <c r="AC54" s="349"/>
      <c r="AD54" s="349"/>
      <c r="AE54" s="349"/>
      <c r="AF54" s="349"/>
      <c r="AG54" s="349"/>
      <c r="AH54" s="349"/>
      <c r="AI54" s="349"/>
      <c r="AJ54" s="349"/>
      <c r="AK54" s="349"/>
    </row>
    <row r="55" spans="1:37" x14ac:dyDescent="0.25">
      <c r="A55" s="2"/>
      <c r="B55" s="3"/>
      <c r="C55" s="3"/>
      <c r="D55" s="15"/>
      <c r="E55" s="2061" t="str">
        <f>Translations!$B$251</f>
        <v>Var god ange det årliga insatsbränslet till kraftvärmeenheten.</v>
      </c>
      <c r="F55" s="1963"/>
      <c r="G55" s="1963"/>
      <c r="H55" s="1963"/>
      <c r="I55" s="1963"/>
      <c r="J55" s="1963"/>
      <c r="K55" s="1963"/>
      <c r="L55" s="1963"/>
      <c r="M55" s="1963"/>
      <c r="N55" s="1963"/>
      <c r="O55" s="6"/>
      <c r="P55" s="15"/>
      <c r="Q55" s="7"/>
      <c r="R55" s="2"/>
      <c r="S55" s="2"/>
      <c r="T55" s="2"/>
      <c r="U55" s="2"/>
      <c r="V55" s="2"/>
      <c r="W55" s="2"/>
      <c r="X55" s="2"/>
      <c r="Y55" s="2"/>
      <c r="Z55" s="349"/>
      <c r="AA55" s="349"/>
      <c r="AB55" s="349"/>
      <c r="AC55" s="349"/>
      <c r="AD55" s="349"/>
      <c r="AE55" s="349"/>
      <c r="AF55" s="349"/>
      <c r="AG55" s="349"/>
      <c r="AH55" s="349"/>
      <c r="AI55" s="349"/>
      <c r="AJ55" s="349"/>
      <c r="AK55" s="349"/>
    </row>
    <row r="56" spans="1:37" ht="13.5" thickBot="1" x14ac:dyDescent="0.3">
      <c r="A56" s="2"/>
      <c r="B56" s="19"/>
      <c r="C56" s="19"/>
      <c r="D56" s="19"/>
      <c r="E56" s="914"/>
      <c r="F56" s="913"/>
      <c r="G56" s="31" t="str">
        <f>EUconst_Unit</f>
        <v>Enhet</v>
      </c>
      <c r="H56" s="320">
        <f t="shared" ref="H56:N56" si="13">H$278</f>
        <v>2019</v>
      </c>
      <c r="I56" s="320">
        <f t="shared" si="13"/>
        <v>2020</v>
      </c>
      <c r="J56" s="320">
        <f t="shared" si="13"/>
        <v>2021</v>
      </c>
      <c r="K56" s="320">
        <f t="shared" si="13"/>
        <v>2022</v>
      </c>
      <c r="L56" s="320">
        <f t="shared" si="13"/>
        <v>2023</v>
      </c>
      <c r="M56" s="320">
        <f t="shared" si="13"/>
        <v>2024</v>
      </c>
      <c r="N56" s="320">
        <f t="shared" si="13"/>
        <v>2025</v>
      </c>
      <c r="O56" s="6"/>
      <c r="P56" s="15"/>
      <c r="Q56" s="2"/>
      <c r="R56" s="2"/>
      <c r="S56" s="2"/>
      <c r="T56" s="2"/>
      <c r="U56" s="2"/>
      <c r="V56" s="2"/>
      <c r="W56" s="2"/>
      <c r="X56" s="2"/>
      <c r="Y56" s="343" t="s">
        <v>1213</v>
      </c>
      <c r="Z56" s="349"/>
      <c r="AA56" s="349"/>
      <c r="AB56" s="349"/>
      <c r="AC56" s="349"/>
      <c r="AD56" s="349"/>
      <c r="AE56" s="349"/>
      <c r="AF56" s="349"/>
      <c r="AG56" s="349"/>
      <c r="AH56" s="349"/>
      <c r="AI56" s="349"/>
      <c r="AJ56" s="349"/>
      <c r="AK56" s="349"/>
    </row>
    <row r="57" spans="1:37" ht="12.65" customHeight="1" x14ac:dyDescent="0.25">
      <c r="A57" s="2"/>
      <c r="B57" s="19"/>
      <c r="C57" s="19"/>
      <c r="D57" s="19"/>
      <c r="E57" s="2129" t="str">
        <f>Translations!$B$252</f>
        <v>Insatsbränsle till kraftvärmeenheten</v>
      </c>
      <c r="F57" s="1997"/>
      <c r="G57" s="43" t="str">
        <f>EUconst_TJpa</f>
        <v>TJ / år</v>
      </c>
      <c r="H57" s="382"/>
      <c r="I57" s="382"/>
      <c r="J57" s="382"/>
      <c r="K57" s="382"/>
      <c r="L57" s="382"/>
      <c r="M57" s="382"/>
      <c r="N57" s="382"/>
      <c r="O57" s="6"/>
      <c r="P57" s="1362"/>
      <c r="Q57" s="7"/>
      <c r="R57" s="2"/>
      <c r="S57" s="2"/>
      <c r="T57" s="2"/>
      <c r="U57" s="2"/>
      <c r="V57" s="2"/>
      <c r="W57" s="2"/>
      <c r="X57" s="2"/>
      <c r="Y57" s="587" t="b">
        <f>AND(M45&lt;&gt;"",M45=FALSE)</f>
        <v>0</v>
      </c>
      <c r="Z57" s="349"/>
      <c r="AA57" s="349"/>
      <c r="AB57" s="349"/>
      <c r="AC57" s="349"/>
      <c r="AD57" s="349"/>
      <c r="AE57" s="349"/>
      <c r="AF57" s="349"/>
      <c r="AG57" s="349"/>
      <c r="AH57" s="349"/>
      <c r="AI57" s="349"/>
      <c r="AJ57" s="1526" t="s">
        <v>2248</v>
      </c>
      <c r="AK57" s="394" t="str">
        <f>IF(AND(CNTR_HasEntries_A_I,MSconst_RequireEmissionTotals,Y57=FALSE,COUNTIFS($AB$21:$AH$21,FALSE,H57:N57,"")&gt;0),3,"")</f>
        <v/>
      </c>
    </row>
    <row r="58" spans="1:37" ht="5.15" customHeight="1" x14ac:dyDescent="0.25">
      <c r="A58" s="2"/>
      <c r="B58" s="19"/>
      <c r="C58" s="19"/>
      <c r="D58" s="19"/>
      <c r="E58" s="19"/>
      <c r="F58" s="19"/>
      <c r="G58" s="19"/>
      <c r="H58" s="19"/>
      <c r="I58" s="19"/>
      <c r="J58" s="19"/>
      <c r="K58" s="19"/>
      <c r="L58" s="19"/>
      <c r="M58" s="19"/>
      <c r="N58" s="19"/>
      <c r="O58" s="6"/>
      <c r="P58" s="15"/>
      <c r="Q58" s="2"/>
      <c r="R58" s="2"/>
      <c r="S58" s="2"/>
      <c r="T58" s="2"/>
      <c r="U58" s="2"/>
      <c r="V58" s="2"/>
      <c r="W58" s="2"/>
      <c r="X58" s="2"/>
      <c r="Y58" s="470"/>
      <c r="Z58" s="349"/>
      <c r="AA58" s="349"/>
      <c r="AB58" s="349"/>
      <c r="AC58" s="349"/>
      <c r="AD58" s="349"/>
      <c r="AE58" s="349"/>
      <c r="AF58" s="349"/>
      <c r="AG58" s="349"/>
      <c r="AH58" s="349"/>
      <c r="AI58" s="349"/>
      <c r="AJ58" s="349"/>
      <c r="AK58" s="349"/>
    </row>
    <row r="59" spans="1:37" ht="13" customHeight="1" x14ac:dyDescent="0.25">
      <c r="A59" s="2"/>
      <c r="B59" s="3"/>
      <c r="C59" s="3"/>
      <c r="D59" s="13" t="s">
        <v>955</v>
      </c>
      <c r="E59" s="2106" t="str">
        <f>Translations!$B$253</f>
        <v>Värmeproduktion vid kraftvärmeenheten</v>
      </c>
      <c r="F59" s="2106"/>
      <c r="G59" s="2106"/>
      <c r="H59" s="2106"/>
      <c r="I59" s="2106"/>
      <c r="J59" s="2106"/>
      <c r="K59" s="2106"/>
      <c r="L59" s="2106"/>
      <c r="M59" s="2106"/>
      <c r="N59" s="2106"/>
      <c r="O59" s="6"/>
      <c r="P59" s="15"/>
      <c r="Q59" s="7"/>
      <c r="R59" s="2"/>
      <c r="S59" s="2"/>
      <c r="T59" s="2"/>
      <c r="U59" s="2"/>
      <c r="V59" s="2"/>
      <c r="W59" s="2"/>
      <c r="X59" s="2"/>
      <c r="Y59" s="470"/>
      <c r="Z59" s="349"/>
      <c r="AA59" s="349"/>
      <c r="AB59" s="349"/>
      <c r="AC59" s="349"/>
      <c r="AD59" s="349"/>
      <c r="AE59" s="349"/>
      <c r="AF59" s="349"/>
      <c r="AG59" s="349"/>
      <c r="AH59" s="349"/>
      <c r="AI59" s="349"/>
      <c r="AJ59" s="349"/>
      <c r="AK59" s="349"/>
    </row>
    <row r="60" spans="1:37" ht="12.65" customHeight="1" x14ac:dyDescent="0.25">
      <c r="A60" s="2"/>
      <c r="B60" s="3"/>
      <c r="C60" s="3"/>
      <c r="D60" s="15"/>
      <c r="E60" s="2075" t="str">
        <f>Translations!$B$1452</f>
        <v>Detta är den totala nettomängden värme som produceras vid kraftvärmeenheten.</v>
      </c>
      <c r="F60" s="1960"/>
      <c r="G60" s="1960"/>
      <c r="H60" s="1960"/>
      <c r="I60" s="1960"/>
      <c r="J60" s="1960"/>
      <c r="K60" s="1960"/>
      <c r="L60" s="1960"/>
      <c r="M60" s="1960"/>
      <c r="N60" s="1960"/>
      <c r="O60" s="6"/>
      <c r="P60" s="15"/>
      <c r="Q60" s="7"/>
      <c r="R60" s="2"/>
      <c r="S60" s="2"/>
      <c r="T60" s="2"/>
      <c r="U60" s="2"/>
      <c r="V60" s="2"/>
      <c r="W60" s="2"/>
      <c r="X60" s="2"/>
      <c r="Y60" s="470"/>
      <c r="Z60" s="349"/>
      <c r="AA60" s="349"/>
      <c r="AB60" s="349"/>
      <c r="AC60" s="349"/>
      <c r="AD60" s="349"/>
      <c r="AE60" s="349"/>
      <c r="AF60" s="349"/>
      <c r="AG60" s="349"/>
      <c r="AH60" s="349"/>
      <c r="AI60" s="349"/>
      <c r="AJ60" s="349"/>
      <c r="AK60" s="349"/>
    </row>
    <row r="61" spans="1:37" ht="13" x14ac:dyDescent="0.25">
      <c r="A61" s="2"/>
      <c r="B61" s="3"/>
      <c r="C61" s="3"/>
      <c r="D61" s="15"/>
      <c r="E61" s="914"/>
      <c r="F61" s="913"/>
      <c r="G61" s="31" t="str">
        <f>EUconst_Unit</f>
        <v>Enhet</v>
      </c>
      <c r="H61" s="320">
        <f t="shared" ref="H61:N61" si="14">H$278</f>
        <v>2019</v>
      </c>
      <c r="I61" s="320">
        <f t="shared" si="14"/>
        <v>2020</v>
      </c>
      <c r="J61" s="320">
        <f t="shared" si="14"/>
        <v>2021</v>
      </c>
      <c r="K61" s="320">
        <f t="shared" si="14"/>
        <v>2022</v>
      </c>
      <c r="L61" s="320">
        <f t="shared" si="14"/>
        <v>2023</v>
      </c>
      <c r="M61" s="320">
        <f t="shared" si="14"/>
        <v>2024</v>
      </c>
      <c r="N61" s="320">
        <f t="shared" si="14"/>
        <v>2025</v>
      </c>
      <c r="O61" s="6"/>
      <c r="P61" s="15"/>
      <c r="Q61" s="7"/>
      <c r="R61" s="2"/>
      <c r="S61" s="2"/>
      <c r="T61" s="2"/>
      <c r="U61" s="2"/>
      <c r="V61" s="2"/>
      <c r="W61" s="2"/>
      <c r="X61" s="2"/>
      <c r="Y61" s="470"/>
      <c r="Z61" s="349"/>
      <c r="AA61" s="349"/>
      <c r="AB61" s="349"/>
      <c r="AC61" s="349"/>
      <c r="AD61" s="349"/>
      <c r="AE61" s="349"/>
      <c r="AF61" s="349"/>
      <c r="AG61" s="349"/>
      <c r="AH61" s="349"/>
      <c r="AI61" s="349"/>
      <c r="AJ61" s="349"/>
      <c r="AK61" s="349"/>
    </row>
    <row r="62" spans="1:37" ht="12.65" customHeight="1" x14ac:dyDescent="0.25">
      <c r="A62" s="2"/>
      <c r="B62" s="19"/>
      <c r="C62" s="19"/>
      <c r="D62" s="19"/>
      <c r="E62" s="2129" t="str">
        <f>Translations!$B$253</f>
        <v>Värmeproduktion vid kraftvärmeenheten</v>
      </c>
      <c r="F62" s="1997"/>
      <c r="G62" s="43" t="str">
        <f>EUconst_TJpa</f>
        <v>TJ / år</v>
      </c>
      <c r="H62" s="382"/>
      <c r="I62" s="382"/>
      <c r="J62" s="382"/>
      <c r="K62" s="382"/>
      <c r="L62" s="382"/>
      <c r="M62" s="382"/>
      <c r="N62" s="382"/>
      <c r="O62" s="6"/>
      <c r="P62" s="1362"/>
      <c r="Q62" s="2"/>
      <c r="R62" s="2"/>
      <c r="S62" s="2"/>
      <c r="T62" s="2"/>
      <c r="U62" s="2"/>
      <c r="V62" s="2"/>
      <c r="W62" s="2"/>
      <c r="X62" s="2"/>
      <c r="Y62" s="541" t="b">
        <f>Y57</f>
        <v>0</v>
      </c>
      <c r="Z62" s="349"/>
      <c r="AA62" s="349"/>
      <c r="AB62" s="349"/>
      <c r="AC62" s="349"/>
      <c r="AD62" s="349"/>
      <c r="AE62" s="349"/>
      <c r="AF62" s="349"/>
      <c r="AG62" s="349"/>
      <c r="AH62" s="349"/>
      <c r="AI62" s="349"/>
      <c r="AJ62" s="1526" t="s">
        <v>2248</v>
      </c>
      <c r="AK62" s="394" t="str">
        <f>IF(AND(CNTR_HasEntries_A_I,MSconst_RequireEmissionTotals,Y62=FALSE,COUNTIFS($AB$21:$AH$21,FALSE,H62:N62,"")&gt;0),3,"")</f>
        <v/>
      </c>
    </row>
    <row r="63" spans="1:37" ht="5.15" customHeight="1" x14ac:dyDescent="0.25">
      <c r="A63" s="2"/>
      <c r="B63" s="19"/>
      <c r="C63" s="19"/>
      <c r="D63" s="19"/>
      <c r="E63" s="19"/>
      <c r="F63" s="19"/>
      <c r="G63" s="19"/>
      <c r="H63" s="19"/>
      <c r="I63" s="19"/>
      <c r="J63" s="19"/>
      <c r="K63" s="19"/>
      <c r="L63" s="19"/>
      <c r="M63" s="19"/>
      <c r="N63" s="19"/>
      <c r="O63" s="6"/>
      <c r="P63" s="15"/>
      <c r="Q63" s="2"/>
      <c r="R63" s="2"/>
      <c r="S63" s="2"/>
      <c r="T63" s="2"/>
      <c r="U63" s="2"/>
      <c r="V63" s="2"/>
      <c r="W63" s="2"/>
      <c r="X63" s="2"/>
      <c r="Y63" s="470"/>
      <c r="Z63" s="349"/>
      <c r="AA63" s="349"/>
      <c r="AB63" s="349"/>
      <c r="AC63" s="349"/>
      <c r="AD63" s="349"/>
      <c r="AE63" s="349"/>
      <c r="AF63" s="349"/>
      <c r="AG63" s="349"/>
      <c r="AH63" s="349"/>
      <c r="AI63" s="349"/>
      <c r="AJ63" s="349"/>
      <c r="AK63" s="349"/>
    </row>
    <row r="64" spans="1:37" ht="13" customHeight="1" x14ac:dyDescent="0.25">
      <c r="A64" s="2"/>
      <c r="B64" s="3"/>
      <c r="C64" s="3"/>
      <c r="D64" s="13" t="s">
        <v>55</v>
      </c>
      <c r="E64" s="2106" t="str">
        <f>Translations!$B$254</f>
        <v>Elproduktion vid kraftvärmeenheten</v>
      </c>
      <c r="F64" s="1960"/>
      <c r="G64" s="1960"/>
      <c r="H64" s="1960"/>
      <c r="I64" s="1960"/>
      <c r="J64" s="1960"/>
      <c r="K64" s="1960"/>
      <c r="L64" s="1960"/>
      <c r="M64" s="1960"/>
      <c r="N64" s="1960"/>
      <c r="O64" s="6"/>
      <c r="P64" s="15"/>
      <c r="Q64" s="7"/>
      <c r="R64" s="2"/>
      <c r="S64" s="2"/>
      <c r="T64" s="2"/>
      <c r="U64" s="2"/>
      <c r="V64" s="2"/>
      <c r="W64" s="2"/>
      <c r="X64" s="2"/>
      <c r="Y64" s="470"/>
      <c r="Z64" s="349"/>
      <c r="AA64" s="349"/>
      <c r="AB64" s="349"/>
      <c r="AC64" s="349"/>
      <c r="AD64" s="349"/>
      <c r="AE64" s="349"/>
      <c r="AF64" s="349"/>
      <c r="AG64" s="349"/>
      <c r="AH64" s="349"/>
      <c r="AI64" s="349"/>
      <c r="AJ64" s="349"/>
      <c r="AK64" s="349"/>
    </row>
    <row r="65" spans="1:37" ht="12.75" customHeight="1" x14ac:dyDescent="0.25">
      <c r="A65" s="2"/>
      <c r="B65" s="3"/>
      <c r="C65" s="3"/>
      <c r="D65" s="15"/>
      <c r="E65" s="2075" t="str">
        <f>Translations!$B$1453</f>
        <v>Detta är den totala mängden el (eller mekanisk energi, i tillämpliga fall) som produceras vid kraftvärmeenheten.</v>
      </c>
      <c r="F65" s="1960"/>
      <c r="G65" s="1960"/>
      <c r="H65" s="1960"/>
      <c r="I65" s="1960"/>
      <c r="J65" s="1960"/>
      <c r="K65" s="1960"/>
      <c r="L65" s="1960"/>
      <c r="M65" s="1960"/>
      <c r="N65" s="1960"/>
      <c r="O65" s="6"/>
      <c r="P65" s="15"/>
      <c r="Q65" s="7"/>
      <c r="R65" s="2"/>
      <c r="S65" s="2"/>
      <c r="T65" s="2"/>
      <c r="U65" s="2"/>
      <c r="V65" s="2"/>
      <c r="W65" s="2"/>
      <c r="X65" s="2"/>
      <c r="Y65" s="470"/>
      <c r="Z65" s="349"/>
      <c r="AA65" s="349"/>
      <c r="AB65" s="349"/>
      <c r="AC65" s="349"/>
      <c r="AD65" s="349"/>
      <c r="AE65" s="349"/>
      <c r="AF65" s="349"/>
      <c r="AG65" s="349"/>
      <c r="AH65" s="349"/>
      <c r="AI65" s="349"/>
      <c r="AJ65" s="349"/>
      <c r="AK65" s="349"/>
    </row>
    <row r="66" spans="1:37" ht="13" x14ac:dyDescent="0.25">
      <c r="A66" s="2"/>
      <c r="B66" s="3"/>
      <c r="C66" s="3"/>
      <c r="D66" s="15"/>
      <c r="E66" s="914"/>
      <c r="F66" s="913"/>
      <c r="G66" s="31" t="str">
        <f>EUconst_Unit</f>
        <v>Enhet</v>
      </c>
      <c r="H66" s="320">
        <f t="shared" ref="H66:N66" si="15">H$278</f>
        <v>2019</v>
      </c>
      <c r="I66" s="320">
        <f t="shared" si="15"/>
        <v>2020</v>
      </c>
      <c r="J66" s="320">
        <f t="shared" si="15"/>
        <v>2021</v>
      </c>
      <c r="K66" s="320">
        <f t="shared" si="15"/>
        <v>2022</v>
      </c>
      <c r="L66" s="320">
        <f t="shared" si="15"/>
        <v>2023</v>
      </c>
      <c r="M66" s="320">
        <f t="shared" si="15"/>
        <v>2024</v>
      </c>
      <c r="N66" s="320">
        <f t="shared" si="15"/>
        <v>2025</v>
      </c>
      <c r="O66" s="6"/>
      <c r="P66" s="15"/>
      <c r="Q66" s="7"/>
      <c r="R66" s="2"/>
      <c r="S66" s="2"/>
      <c r="T66" s="2"/>
      <c r="U66" s="2"/>
      <c r="V66" s="2"/>
      <c r="W66" s="2"/>
      <c r="X66" s="2"/>
      <c r="Y66" s="470"/>
      <c r="Z66" s="349"/>
      <c r="AA66" s="349"/>
      <c r="AB66" s="349"/>
      <c r="AC66" s="349"/>
      <c r="AD66" s="349"/>
      <c r="AE66" s="349"/>
      <c r="AF66" s="349"/>
      <c r="AG66" s="349"/>
      <c r="AH66" s="349"/>
      <c r="AI66" s="349"/>
      <c r="AJ66" s="349"/>
      <c r="AK66" s="349"/>
    </row>
    <row r="67" spans="1:37" ht="12.65" customHeight="1" x14ac:dyDescent="0.25">
      <c r="A67" s="2"/>
      <c r="B67" s="3"/>
      <c r="C67" s="3"/>
      <c r="D67" s="15"/>
      <c r="E67" s="2129" t="str">
        <f>Translations!$B$255</f>
        <v>Elproduktion vid kraftvärmeenheten</v>
      </c>
      <c r="F67" s="1997"/>
      <c r="G67" s="43" t="str">
        <f>EUconst_MWhpa</f>
        <v>MWh / år</v>
      </c>
      <c r="H67" s="382"/>
      <c r="I67" s="382"/>
      <c r="J67" s="382"/>
      <c r="K67" s="382"/>
      <c r="L67" s="382"/>
      <c r="M67" s="382"/>
      <c r="N67" s="382"/>
      <c r="O67" s="6"/>
      <c r="P67" s="1362"/>
      <c r="Q67" s="7"/>
      <c r="R67" s="2"/>
      <c r="S67" s="2"/>
      <c r="T67" s="2"/>
      <c r="U67" s="2"/>
      <c r="V67" s="2"/>
      <c r="W67" s="2"/>
      <c r="X67" s="2"/>
      <c r="Y67" s="541" t="b">
        <f>Y62</f>
        <v>0</v>
      </c>
      <c r="Z67" s="349"/>
      <c r="AA67" s="349"/>
      <c r="AB67" s="349"/>
      <c r="AC67" s="349"/>
      <c r="AD67" s="349"/>
      <c r="AE67" s="349"/>
      <c r="AF67" s="349"/>
      <c r="AG67" s="349"/>
      <c r="AH67" s="349"/>
      <c r="AI67" s="349"/>
      <c r="AJ67" s="1526" t="s">
        <v>2248</v>
      </c>
      <c r="AK67" s="394" t="str">
        <f>IF(AND(CNTR_HasEntries_A_I,MSconst_RequireEmissionTotals,Y67=FALSE,COUNTIFS($AB$21:$AH$21,FALSE,H67:N67,"")&gt;0),3,"")</f>
        <v/>
      </c>
    </row>
    <row r="68" spans="1:37" ht="12.65" customHeight="1" x14ac:dyDescent="0.25">
      <c r="A68" s="2"/>
      <c r="B68" s="19"/>
      <c r="C68" s="19"/>
      <c r="D68" s="19"/>
      <c r="E68" s="2129" t="str">
        <f>Translations!$B$255</f>
        <v>Elproduktion vid kraftvärmeenheten</v>
      </c>
      <c r="F68" s="1997"/>
      <c r="G68" s="43" t="str">
        <f>EUconst_TJpa</f>
        <v>TJ / år</v>
      </c>
      <c r="H68" s="351" t="str">
        <f t="shared" ref="H68:N68" si="16">IF(ISBLANK(H67),"",H67*3.6/1000)</f>
        <v/>
      </c>
      <c r="I68" s="351" t="str">
        <f t="shared" si="16"/>
        <v/>
      </c>
      <c r="J68" s="351" t="str">
        <f t="shared" si="16"/>
        <v/>
      </c>
      <c r="K68" s="351" t="str">
        <f t="shared" si="16"/>
        <v/>
      </c>
      <c r="L68" s="351" t="str">
        <f t="shared" si="16"/>
        <v/>
      </c>
      <c r="M68" s="351" t="str">
        <f t="shared" si="16"/>
        <v/>
      </c>
      <c r="N68" s="351" t="str">
        <f t="shared" si="16"/>
        <v/>
      </c>
      <c r="O68" s="6"/>
      <c r="P68" s="15"/>
      <c r="Q68" s="2"/>
      <c r="R68" s="2"/>
      <c r="S68" s="2"/>
      <c r="T68" s="2"/>
      <c r="U68" s="2"/>
      <c r="V68" s="2"/>
      <c r="W68" s="2"/>
      <c r="X68" s="2"/>
      <c r="Y68" s="541" t="b">
        <f>Y62</f>
        <v>0</v>
      </c>
      <c r="Z68" s="349"/>
      <c r="AA68" s="349"/>
      <c r="AB68" s="349"/>
      <c r="AC68" s="349"/>
      <c r="AD68" s="349"/>
      <c r="AE68" s="349"/>
      <c r="AF68" s="349"/>
      <c r="AG68" s="349"/>
      <c r="AH68" s="349"/>
      <c r="AI68" s="349"/>
      <c r="AJ68" s="1526" t="s">
        <v>2248</v>
      </c>
      <c r="AK68" s="394" t="str">
        <f>IF(AND(CNTR_HasEntries_A_I,MSconst_RequireEmissionTotals,Y68=FALSE,COUNTIFS($AB$21:$AH$21,FALSE,H68:N68,"")&gt;0),3,"")</f>
        <v/>
      </c>
    </row>
    <row r="69" spans="1:37" ht="5.15" customHeight="1" x14ac:dyDescent="0.25">
      <c r="A69" s="2"/>
      <c r="B69" s="19"/>
      <c r="C69" s="19"/>
      <c r="D69" s="19"/>
      <c r="E69" s="19"/>
      <c r="F69" s="19"/>
      <c r="G69" s="19"/>
      <c r="H69" s="19"/>
      <c r="I69" s="19"/>
      <c r="J69" s="19"/>
      <c r="K69" s="19"/>
      <c r="L69" s="19"/>
      <c r="M69" s="19"/>
      <c r="N69" s="19"/>
      <c r="O69" s="6"/>
      <c r="P69" s="15"/>
      <c r="Q69" s="2"/>
      <c r="R69" s="2"/>
      <c r="S69" s="2"/>
      <c r="T69" s="2"/>
      <c r="U69" s="2"/>
      <c r="V69" s="2"/>
      <c r="W69" s="2"/>
      <c r="X69" s="2"/>
      <c r="Y69" s="470"/>
      <c r="Z69" s="349"/>
      <c r="AA69" s="349"/>
      <c r="AB69" s="349"/>
      <c r="AC69" s="349"/>
      <c r="AD69" s="349"/>
      <c r="AE69" s="349"/>
      <c r="AF69" s="349"/>
      <c r="AG69" s="349"/>
      <c r="AH69" s="349"/>
      <c r="AI69" s="349"/>
      <c r="AJ69" s="349"/>
      <c r="AK69" s="349"/>
    </row>
    <row r="70" spans="1:37" ht="13" customHeight="1" x14ac:dyDescent="0.25">
      <c r="A70" s="2"/>
      <c r="B70" s="3"/>
      <c r="C70" s="3"/>
      <c r="D70" s="13" t="s">
        <v>960</v>
      </c>
      <c r="E70" s="2106" t="str">
        <f>Translations!$B$256</f>
        <v>Totala utsläpp vid kraftvärmeenheten</v>
      </c>
      <c r="F70" s="1960"/>
      <c r="G70" s="1960"/>
      <c r="H70" s="1960"/>
      <c r="I70" s="1960"/>
      <c r="J70" s="1960"/>
      <c r="K70" s="1960"/>
      <c r="L70" s="1960"/>
      <c r="M70" s="1960"/>
      <c r="N70" s="1960"/>
      <c r="O70" s="6"/>
      <c r="P70" s="15"/>
      <c r="Q70" s="7"/>
      <c r="R70" s="2"/>
      <c r="S70" s="2"/>
      <c r="T70" s="2"/>
      <c r="U70" s="2"/>
      <c r="V70" s="2"/>
      <c r="W70" s="2"/>
      <c r="X70" s="2"/>
      <c r="Y70" s="470"/>
      <c r="Z70" s="349"/>
      <c r="AA70" s="349"/>
      <c r="AB70" s="349"/>
      <c r="AC70" s="349"/>
      <c r="AD70" s="349"/>
      <c r="AE70" s="349"/>
      <c r="AF70" s="349"/>
      <c r="AG70" s="349"/>
      <c r="AH70" s="349"/>
      <c r="AI70" s="349"/>
      <c r="AJ70" s="349"/>
      <c r="AK70" s="349"/>
    </row>
    <row r="71" spans="1:37" ht="12.65" customHeight="1" x14ac:dyDescent="0.25">
      <c r="A71" s="2"/>
      <c r="B71" s="3"/>
      <c r="C71" s="3"/>
      <c r="D71" s="15"/>
      <c r="E71" s="2075" t="str">
        <f>Translations!$B$257</f>
        <v>I värdena bör åtskillnad göras mellan utsläpp från insatsbränsle och utsläpp från rökgasrening.</v>
      </c>
      <c r="F71" s="1960"/>
      <c r="G71" s="1960"/>
      <c r="H71" s="1960"/>
      <c r="I71" s="1960"/>
      <c r="J71" s="1960"/>
      <c r="K71" s="1960"/>
      <c r="L71" s="1960"/>
      <c r="M71" s="1960"/>
      <c r="N71" s="1960"/>
      <c r="O71" s="6"/>
      <c r="P71" s="15"/>
      <c r="Q71" s="7"/>
      <c r="R71" s="2"/>
      <c r="S71" s="2"/>
      <c r="T71" s="2"/>
      <c r="U71" s="2"/>
      <c r="V71" s="2"/>
      <c r="W71" s="2"/>
      <c r="X71" s="2"/>
      <c r="Y71" s="470"/>
      <c r="Z71" s="349"/>
      <c r="AA71" s="349"/>
      <c r="AB71" s="349"/>
      <c r="AC71" s="349"/>
      <c r="AD71" s="349"/>
      <c r="AE71" s="349"/>
      <c r="AF71" s="349"/>
      <c r="AG71" s="349"/>
      <c r="AH71" s="349"/>
      <c r="AI71" s="349"/>
      <c r="AJ71" s="349"/>
      <c r="AK71" s="349"/>
    </row>
    <row r="72" spans="1:37" ht="13" x14ac:dyDescent="0.25">
      <c r="A72" s="2"/>
      <c r="B72" s="3"/>
      <c r="C72" s="3"/>
      <c r="D72" s="15"/>
      <c r="E72" s="914"/>
      <c r="F72" s="913"/>
      <c r="G72" s="31" t="str">
        <f>EUconst_Unit</f>
        <v>Enhet</v>
      </c>
      <c r="H72" s="320">
        <f t="shared" ref="H72:N72" si="17">H$278</f>
        <v>2019</v>
      </c>
      <c r="I72" s="320">
        <f t="shared" si="17"/>
        <v>2020</v>
      </c>
      <c r="J72" s="320">
        <f t="shared" si="17"/>
        <v>2021</v>
      </c>
      <c r="K72" s="320">
        <f t="shared" si="17"/>
        <v>2022</v>
      </c>
      <c r="L72" s="320">
        <f t="shared" si="17"/>
        <v>2023</v>
      </c>
      <c r="M72" s="320">
        <f t="shared" si="17"/>
        <v>2024</v>
      </c>
      <c r="N72" s="320">
        <f t="shared" si="17"/>
        <v>2025</v>
      </c>
      <c r="O72" s="6"/>
      <c r="P72" s="15"/>
      <c r="Q72" s="7"/>
      <c r="R72" s="2"/>
      <c r="S72" s="2"/>
      <c r="T72" s="2"/>
      <c r="U72" s="2"/>
      <c r="V72" s="2"/>
      <c r="W72" s="2"/>
      <c r="X72" s="2"/>
      <c r="Y72" s="470"/>
      <c r="Z72" s="349"/>
      <c r="AA72" s="349"/>
      <c r="AB72" s="349"/>
      <c r="AC72" s="349"/>
      <c r="AD72" s="349"/>
      <c r="AE72" s="349"/>
      <c r="AF72" s="349"/>
      <c r="AG72" s="349"/>
      <c r="AH72" s="349"/>
      <c r="AI72" s="349"/>
      <c r="AJ72" s="349"/>
      <c r="AK72" s="349"/>
    </row>
    <row r="73" spans="1:37" ht="12.65" customHeight="1" x14ac:dyDescent="0.25">
      <c r="A73" s="2"/>
      <c r="B73" s="19"/>
      <c r="C73" s="19"/>
      <c r="D73" s="19"/>
      <c r="E73" s="2129" t="str">
        <f>Translations!$B$258</f>
        <v>Från insatsbränsle till kraftvärmeenheten</v>
      </c>
      <c r="F73" s="1997"/>
      <c r="G73" s="43" t="str">
        <f>EUconst_tCO2pa</f>
        <v>t CO2 / år</v>
      </c>
      <c r="H73" s="382"/>
      <c r="I73" s="382"/>
      <c r="J73" s="382"/>
      <c r="K73" s="382"/>
      <c r="L73" s="382"/>
      <c r="M73" s="382"/>
      <c r="N73" s="382"/>
      <c r="O73" s="6"/>
      <c r="P73" s="1362"/>
      <c r="Q73" s="2"/>
      <c r="R73" s="2"/>
      <c r="S73" s="2"/>
      <c r="T73" s="2"/>
      <c r="U73" s="2"/>
      <c r="V73" s="2"/>
      <c r="W73" s="2"/>
      <c r="X73" s="2"/>
      <c r="Y73" s="541" t="b">
        <f>Y68</f>
        <v>0</v>
      </c>
      <c r="Z73" s="349"/>
      <c r="AA73" s="349"/>
      <c r="AB73" s="349"/>
      <c r="AC73" s="349"/>
      <c r="AD73" s="349"/>
      <c r="AE73" s="349"/>
      <c r="AF73" s="349"/>
      <c r="AG73" s="349"/>
      <c r="AH73" s="349"/>
      <c r="AI73" s="349"/>
      <c r="AJ73" s="1526" t="s">
        <v>2248</v>
      </c>
      <c r="AK73" s="394" t="str">
        <f>IF(AND(CNTR_HasEntries_A_I,MSconst_RequireEmissionTotals,Y73=FALSE,COUNTIFS($AB$21:$AH$21,FALSE,H73:N73,"")&gt;0),3,"")</f>
        <v/>
      </c>
    </row>
    <row r="74" spans="1:37" ht="12.65" customHeight="1" x14ac:dyDescent="0.25">
      <c r="A74" s="2"/>
      <c r="B74" s="19"/>
      <c r="C74" s="19"/>
      <c r="D74" s="19"/>
      <c r="E74" s="2129" t="str">
        <f>Translations!$B$259</f>
        <v>Från rökgasrening</v>
      </c>
      <c r="F74" s="1997"/>
      <c r="G74" s="43" t="str">
        <f>EUconst_tCO2pa</f>
        <v>t CO2 / år</v>
      </c>
      <c r="H74" s="382"/>
      <c r="I74" s="382"/>
      <c r="J74" s="382"/>
      <c r="K74" s="382"/>
      <c r="L74" s="382"/>
      <c r="M74" s="382"/>
      <c r="N74" s="382"/>
      <c r="O74" s="6"/>
      <c r="P74" s="1362"/>
      <c r="Q74" s="2"/>
      <c r="R74" s="2"/>
      <c r="S74" s="2"/>
      <c r="T74" s="2"/>
      <c r="U74" s="2"/>
      <c r="V74" s="2"/>
      <c r="W74" s="2"/>
      <c r="X74" s="2"/>
      <c r="Y74" s="541" t="b">
        <f>Y73</f>
        <v>0</v>
      </c>
      <c r="Z74" s="349"/>
      <c r="AA74" s="349"/>
      <c r="AB74" s="349"/>
      <c r="AC74" s="349"/>
      <c r="AD74" s="349"/>
      <c r="AE74" s="349"/>
      <c r="AF74" s="349"/>
      <c r="AG74" s="349"/>
      <c r="AH74" s="349"/>
      <c r="AI74" s="349"/>
      <c r="AJ74" s="1526" t="s">
        <v>2248</v>
      </c>
      <c r="AK74" s="394" t="str">
        <f>IF(AND(CNTR_HasEntries_A_I,MSconst_RequireEmissionTotals,Y74=FALSE,COUNTIFS($AB$21:$AH$21,FALSE,H74:N74,"")&gt;0),3,"")</f>
        <v/>
      </c>
    </row>
    <row r="75" spans="1:37" ht="12.65" customHeight="1" x14ac:dyDescent="0.25">
      <c r="A75" s="2"/>
      <c r="B75" s="19"/>
      <c r="C75" s="19"/>
      <c r="D75" s="19"/>
      <c r="E75" s="2129" t="str">
        <f>Translations!$B$260</f>
        <v>Totala utsläpp</v>
      </c>
      <c r="F75" s="1997"/>
      <c r="G75" s="43" t="str">
        <f>EUconst_tCO2pa</f>
        <v>t CO2 / år</v>
      </c>
      <c r="H75" s="351" t="str">
        <f t="shared" ref="H75:N75" si="18">IF(COUNT(H73:H74)&gt;0,SUM(H73:H74),"")</f>
        <v/>
      </c>
      <c r="I75" s="351" t="str">
        <f t="shared" si="18"/>
        <v/>
      </c>
      <c r="J75" s="351" t="str">
        <f t="shared" si="18"/>
        <v/>
      </c>
      <c r="K75" s="351" t="str">
        <f t="shared" si="18"/>
        <v/>
      </c>
      <c r="L75" s="351" t="str">
        <f t="shared" si="18"/>
        <v/>
      </c>
      <c r="M75" s="351" t="str">
        <f t="shared" si="18"/>
        <v/>
      </c>
      <c r="N75" s="351" t="str">
        <f t="shared" si="18"/>
        <v/>
      </c>
      <c r="O75" s="6"/>
      <c r="P75" s="15"/>
      <c r="Q75" s="2"/>
      <c r="R75" s="2"/>
      <c r="S75" s="2"/>
      <c r="T75" s="2"/>
      <c r="U75" s="2"/>
      <c r="V75" s="2"/>
      <c r="W75" s="2"/>
      <c r="X75" s="2"/>
      <c r="Y75" s="470"/>
      <c r="Z75" s="349"/>
      <c r="AA75" s="349"/>
      <c r="AB75" s="349"/>
      <c r="AC75" s="349"/>
      <c r="AD75" s="349"/>
      <c r="AE75" s="349"/>
      <c r="AF75" s="349"/>
      <c r="AG75" s="349"/>
      <c r="AH75" s="349"/>
      <c r="AI75" s="349"/>
      <c r="AJ75" s="349"/>
      <c r="AK75" s="349"/>
    </row>
    <row r="76" spans="1:37" ht="5.15" customHeight="1" x14ac:dyDescent="0.25">
      <c r="A76" s="2"/>
      <c r="B76" s="19"/>
      <c r="C76" s="19"/>
      <c r="D76" s="19"/>
      <c r="E76" s="19"/>
      <c r="F76" s="19"/>
      <c r="G76" s="19"/>
      <c r="H76" s="19"/>
      <c r="I76" s="19"/>
      <c r="J76" s="19"/>
      <c r="K76" s="19"/>
      <c r="L76" s="19"/>
      <c r="M76" s="19"/>
      <c r="N76" s="19"/>
      <c r="O76" s="6"/>
      <c r="P76" s="15"/>
      <c r="Q76" s="2"/>
      <c r="R76" s="2"/>
      <c r="S76" s="2"/>
      <c r="T76" s="2"/>
      <c r="U76" s="2"/>
      <c r="V76" s="2"/>
      <c r="W76" s="2"/>
      <c r="X76" s="2"/>
      <c r="Y76" s="470"/>
      <c r="Z76" s="349"/>
      <c r="AA76" s="349"/>
      <c r="AB76" s="349"/>
      <c r="AC76" s="349"/>
      <c r="AD76" s="349"/>
      <c r="AE76" s="349"/>
      <c r="AF76" s="349"/>
      <c r="AG76" s="349"/>
      <c r="AH76" s="349"/>
      <c r="AI76" s="349"/>
      <c r="AJ76" s="349"/>
      <c r="AK76" s="349"/>
    </row>
    <row r="77" spans="1:37" ht="12.75" customHeight="1" x14ac:dyDescent="0.25">
      <c r="A77" s="2"/>
      <c r="B77" s="19"/>
      <c r="C77" s="19"/>
      <c r="D77" s="13" t="s">
        <v>65</v>
      </c>
      <c r="E77" s="2106" t="str">
        <f>Translations!$B$261</f>
        <v>Standardeffektivitet:</v>
      </c>
      <c r="F77" s="1960"/>
      <c r="G77" s="1960"/>
      <c r="H77" s="1960"/>
      <c r="I77" s="1960"/>
      <c r="J77" s="538" t="str">
        <f>Translations!$B$262</f>
        <v>Värme:</v>
      </c>
      <c r="K77" s="586">
        <v>0.55000000000000004</v>
      </c>
      <c r="L77" s="19"/>
      <c r="M77" s="538" t="str">
        <f>Translations!$B$263</f>
        <v>El:</v>
      </c>
      <c r="N77" s="586">
        <v>0.25</v>
      </c>
      <c r="O77" s="6"/>
      <c r="P77" s="15"/>
      <c r="Q77" s="2"/>
      <c r="R77" s="2"/>
      <c r="S77" s="2"/>
      <c r="T77" s="2"/>
      <c r="U77" s="2"/>
      <c r="V77" s="2"/>
      <c r="W77" s="2"/>
      <c r="X77" s="2"/>
      <c r="Y77" s="470"/>
      <c r="Z77" s="349"/>
      <c r="AA77" s="349"/>
      <c r="AB77" s="349"/>
      <c r="AC77" s="349"/>
      <c r="AD77" s="349"/>
      <c r="AE77" s="349"/>
      <c r="AF77" s="349"/>
      <c r="AG77" s="349"/>
      <c r="AH77" s="349"/>
      <c r="AI77" s="349"/>
      <c r="AJ77" s="349"/>
      <c r="AK77" s="349"/>
    </row>
    <row r="78" spans="1:37" ht="5.15" customHeight="1" x14ac:dyDescent="0.25">
      <c r="A78" s="2"/>
      <c r="B78" s="19"/>
      <c r="C78" s="19"/>
      <c r="D78" s="19"/>
      <c r="E78" s="19"/>
      <c r="F78" s="19"/>
      <c r="G78" s="19"/>
      <c r="H78" s="19"/>
      <c r="I78" s="19"/>
      <c r="J78" s="19"/>
      <c r="K78" s="19"/>
      <c r="L78" s="19"/>
      <c r="M78" s="19"/>
      <c r="N78" s="19"/>
      <c r="O78" s="6"/>
      <c r="P78" s="15"/>
      <c r="Q78" s="2"/>
      <c r="R78" s="2"/>
      <c r="S78" s="2"/>
      <c r="T78" s="2"/>
      <c r="U78" s="2"/>
      <c r="V78" s="2"/>
      <c r="W78" s="2"/>
      <c r="X78" s="2"/>
      <c r="Y78" s="470"/>
      <c r="Z78" s="349"/>
      <c r="AA78" s="349"/>
      <c r="AB78" s="349"/>
      <c r="AC78" s="349"/>
      <c r="AD78" s="349"/>
      <c r="AE78" s="349"/>
      <c r="AF78" s="349"/>
      <c r="AG78" s="349"/>
      <c r="AH78" s="349"/>
      <c r="AI78" s="349"/>
      <c r="AJ78" s="349"/>
      <c r="AK78" s="349"/>
    </row>
    <row r="79" spans="1:37" ht="13" customHeight="1" x14ac:dyDescent="0.25">
      <c r="A79" s="2"/>
      <c r="B79" s="3"/>
      <c r="C79" s="3"/>
      <c r="D79" s="13" t="s">
        <v>66</v>
      </c>
      <c r="E79" s="2106" t="str">
        <f>Translations!$B$264</f>
        <v>Effektivitet för värme och el</v>
      </c>
      <c r="F79" s="1960"/>
      <c r="G79" s="1960"/>
      <c r="H79" s="1960"/>
      <c r="I79" s="1960"/>
      <c r="J79" s="1960"/>
      <c r="K79" s="1960"/>
      <c r="L79" s="1960"/>
      <c r="M79" s="1960"/>
      <c r="N79" s="1960"/>
      <c r="O79" s="6"/>
      <c r="P79" s="15"/>
      <c r="Q79" s="7"/>
      <c r="R79" s="2"/>
      <c r="S79" s="2"/>
      <c r="T79" s="2"/>
      <c r="U79" s="2"/>
      <c r="V79" s="2"/>
      <c r="W79" s="2"/>
      <c r="X79" s="2"/>
      <c r="Y79" s="470"/>
      <c r="Z79" s="349"/>
      <c r="AA79" s="349"/>
      <c r="AB79" s="349"/>
      <c r="AC79" s="349"/>
      <c r="AD79" s="349"/>
      <c r="AE79" s="349"/>
      <c r="AF79" s="349"/>
      <c r="AG79" s="349"/>
      <c r="AH79" s="349"/>
      <c r="AI79" s="349"/>
      <c r="AJ79" s="349"/>
      <c r="AK79" s="349"/>
    </row>
    <row r="80" spans="1:37" ht="12.75" customHeight="1" x14ac:dyDescent="0.25">
      <c r="A80" s="2"/>
      <c r="B80" s="3"/>
      <c r="C80" s="3"/>
      <c r="D80" s="15"/>
      <c r="E80" s="2075" t="str">
        <f>Translations!$B$265</f>
        <v>Dessa värden är dimensionslösa och beräknas automatiskt utifrån de inmatningar som gjorts i a–c ovan.</v>
      </c>
      <c r="F80" s="1960"/>
      <c r="G80" s="1960"/>
      <c r="H80" s="1960"/>
      <c r="I80" s="1960"/>
      <c r="J80" s="1960"/>
      <c r="K80" s="1960"/>
      <c r="L80" s="1960"/>
      <c r="M80" s="1960"/>
      <c r="N80" s="1960"/>
      <c r="O80" s="6"/>
      <c r="P80" s="15"/>
      <c r="Q80" s="7"/>
      <c r="R80" s="2"/>
      <c r="S80" s="2"/>
      <c r="T80" s="2"/>
      <c r="U80" s="2"/>
      <c r="V80" s="2"/>
      <c r="W80" s="2"/>
      <c r="X80" s="2"/>
      <c r="Y80" s="470"/>
      <c r="Z80" s="349"/>
      <c r="AA80" s="349"/>
      <c r="AB80" s="349"/>
      <c r="AC80" s="349"/>
      <c r="AD80" s="349"/>
      <c r="AE80" s="349"/>
      <c r="AF80" s="349"/>
      <c r="AG80" s="349"/>
      <c r="AH80" s="349"/>
      <c r="AI80" s="349"/>
      <c r="AJ80" s="349"/>
      <c r="AK80" s="349"/>
    </row>
    <row r="81" spans="1:37" ht="25.5" customHeight="1" x14ac:dyDescent="0.25">
      <c r="A81" s="2"/>
      <c r="B81" s="3"/>
      <c r="C81" s="3"/>
      <c r="D81" s="15"/>
      <c r="E81" s="2075" t="str">
        <f>Translations!$B$266</f>
        <v>Om inga värden anges där men om de totala utsläppen anges i d ovan kommer standardeffektiviteten i e att användas här. Var god notera att detta endast är tillåtet om ni visar att det är tekniskt ogenomförbart eller skulle medföra orimliga kostnader att fastställa effektiviteterna och om det dessutom inte finns tillgängliga värden baserade på teknisk dokumentation (konstruktionsvärden) för anläggningen.</v>
      </c>
      <c r="F81" s="1960"/>
      <c r="G81" s="1960"/>
      <c r="H81" s="1960"/>
      <c r="I81" s="1960"/>
      <c r="J81" s="1960"/>
      <c r="K81" s="1960"/>
      <c r="L81" s="1960"/>
      <c r="M81" s="1960"/>
      <c r="N81" s="1960"/>
      <c r="O81" s="6"/>
      <c r="P81" s="15"/>
      <c r="Q81" s="7"/>
      <c r="R81" s="2"/>
      <c r="S81" s="2"/>
      <c r="T81" s="2"/>
      <c r="U81" s="2"/>
      <c r="V81" s="2"/>
      <c r="W81" s="2"/>
      <c r="X81" s="2"/>
      <c r="Y81" s="470"/>
      <c r="Z81" s="349"/>
      <c r="AA81" s="349"/>
      <c r="AB81" s="349"/>
      <c r="AC81" s="349"/>
      <c r="AD81" s="349"/>
      <c r="AE81" s="349"/>
      <c r="AF81" s="349"/>
      <c r="AG81" s="349"/>
      <c r="AH81" s="349"/>
      <c r="AI81" s="349"/>
      <c r="AJ81" s="349"/>
      <c r="AK81" s="349"/>
    </row>
    <row r="82" spans="1:37" ht="13" x14ac:dyDescent="0.25">
      <c r="A82" s="2"/>
      <c r="B82" s="19"/>
      <c r="C82" s="19"/>
      <c r="D82" s="19"/>
      <c r="E82" s="914"/>
      <c r="F82" s="913"/>
      <c r="G82" s="31" t="str">
        <f>EUconst_Unit</f>
        <v>Enhet</v>
      </c>
      <c r="H82" s="320">
        <f t="shared" ref="H82:N82" si="19">H$278</f>
        <v>2019</v>
      </c>
      <c r="I82" s="320">
        <f t="shared" si="19"/>
        <v>2020</v>
      </c>
      <c r="J82" s="320">
        <f t="shared" si="19"/>
        <v>2021</v>
      </c>
      <c r="K82" s="320">
        <f t="shared" si="19"/>
        <v>2022</v>
      </c>
      <c r="L82" s="320">
        <f t="shared" si="19"/>
        <v>2023</v>
      </c>
      <c r="M82" s="320">
        <f t="shared" si="19"/>
        <v>2024</v>
      </c>
      <c r="N82" s="320">
        <f t="shared" si="19"/>
        <v>2025</v>
      </c>
      <c r="O82" s="6"/>
      <c r="P82" s="15"/>
      <c r="Q82" s="2"/>
      <c r="R82" s="2"/>
      <c r="S82" s="2"/>
      <c r="T82" s="2"/>
      <c r="U82" s="2"/>
      <c r="V82" s="2"/>
      <c r="W82" s="2"/>
      <c r="X82" s="2"/>
      <c r="Y82" s="470"/>
      <c r="Z82" s="349"/>
      <c r="AA82" s="349"/>
      <c r="AB82" s="349"/>
      <c r="AC82" s="349"/>
      <c r="AD82" s="349"/>
      <c r="AE82" s="349"/>
      <c r="AF82" s="349"/>
      <c r="AG82" s="349"/>
      <c r="AH82" s="349"/>
      <c r="AI82" s="349"/>
      <c r="AJ82" s="349"/>
      <c r="AK82" s="349"/>
    </row>
    <row r="83" spans="1:37" ht="12.75" customHeight="1" x14ac:dyDescent="0.25">
      <c r="A83" s="2"/>
      <c r="B83" s="19"/>
      <c r="C83" s="19"/>
      <c r="D83" s="19"/>
      <c r="E83" s="2129" t="str">
        <f>Translations!$B$267</f>
        <v>Värmeproduktion</v>
      </c>
      <c r="F83" s="1997"/>
      <c r="G83" s="358" t="s">
        <v>1112</v>
      </c>
      <c r="H83" s="539" t="str">
        <f>IF(AND(ISNUMBER(H57),ISNUMBER(H62)),IF(H57=0,0,H62/H57),IF(ISNUMBER(H75),$K77,""))</f>
        <v/>
      </c>
      <c r="I83" s="539" t="str">
        <f t="shared" ref="I83:N83" si="20">IF(AND(ISNUMBER(I57),ISNUMBER(I62)),IF(I57=0,0,I62/I57),IF(ISNUMBER(I75),$K77,""))</f>
        <v/>
      </c>
      <c r="J83" s="539" t="str">
        <f t="shared" si="20"/>
        <v/>
      </c>
      <c r="K83" s="539" t="str">
        <f t="shared" si="20"/>
        <v/>
      </c>
      <c r="L83" s="539" t="str">
        <f t="shared" si="20"/>
        <v/>
      </c>
      <c r="M83" s="539" t="str">
        <f t="shared" si="20"/>
        <v/>
      </c>
      <c r="N83" s="539" t="str">
        <f t="shared" si="20"/>
        <v/>
      </c>
      <c r="O83" s="6"/>
      <c r="P83" s="15"/>
      <c r="Q83" s="2"/>
      <c r="R83" s="2"/>
      <c r="S83" s="2"/>
      <c r="T83" s="2"/>
      <c r="U83" s="2"/>
      <c r="V83" s="2"/>
      <c r="W83" s="2"/>
      <c r="X83" s="2"/>
      <c r="Y83" s="470"/>
      <c r="Z83" s="349"/>
      <c r="AA83" s="349"/>
      <c r="AB83" s="349"/>
      <c r="AC83" s="349"/>
      <c r="AD83" s="349"/>
      <c r="AE83" s="349"/>
      <c r="AF83" s="349"/>
      <c r="AG83" s="349"/>
      <c r="AH83" s="349"/>
      <c r="AI83" s="349"/>
      <c r="AJ83" s="349"/>
      <c r="AK83" s="349"/>
    </row>
    <row r="84" spans="1:37" ht="12.75" customHeight="1" x14ac:dyDescent="0.25">
      <c r="A84" s="2"/>
      <c r="B84" s="19"/>
      <c r="C84" s="19"/>
      <c r="D84" s="19"/>
      <c r="E84" s="2129" t="str">
        <f>Translations!$B$268</f>
        <v>Elproduktion</v>
      </c>
      <c r="F84" s="1997"/>
      <c r="G84" s="358" t="s">
        <v>1112</v>
      </c>
      <c r="H84" s="539" t="str">
        <f>IF(AND(ISNUMBER(H57),ISNUMBER(H68)),IF(H57=0,0,H68/H57),IF(ISNUMBER(H75),$N77,""))</f>
        <v/>
      </c>
      <c r="I84" s="539" t="str">
        <f t="shared" ref="I84:N84" si="21">IF(AND(ISNUMBER(I57),ISNUMBER(I68)),IF(I57=0,0,I68/I57),IF(ISNUMBER(I75),$N77,""))</f>
        <v/>
      </c>
      <c r="J84" s="539" t="str">
        <f t="shared" si="21"/>
        <v/>
      </c>
      <c r="K84" s="539" t="str">
        <f t="shared" si="21"/>
        <v/>
      </c>
      <c r="L84" s="539" t="str">
        <f t="shared" si="21"/>
        <v/>
      </c>
      <c r="M84" s="539" t="str">
        <f t="shared" si="21"/>
        <v/>
      </c>
      <c r="N84" s="539" t="str">
        <f t="shared" si="21"/>
        <v/>
      </c>
      <c r="O84" s="6"/>
      <c r="P84" s="15"/>
      <c r="Q84" s="2"/>
      <c r="R84" s="2"/>
      <c r="S84" s="2"/>
      <c r="T84" s="2"/>
      <c r="U84" s="2"/>
      <c r="V84" s="2"/>
      <c r="W84" s="2"/>
      <c r="X84" s="2"/>
      <c r="Y84" s="470"/>
      <c r="Z84" s="349"/>
      <c r="AA84" s="349"/>
      <c r="AB84" s="349"/>
      <c r="AC84" s="349"/>
      <c r="AD84" s="349"/>
      <c r="AE84" s="349"/>
      <c r="AF84" s="349"/>
      <c r="AG84" s="349"/>
      <c r="AH84" s="349"/>
      <c r="AI84" s="349"/>
      <c r="AJ84" s="349"/>
      <c r="AK84" s="349"/>
    </row>
    <row r="85" spans="1:37" ht="5.15" customHeight="1" x14ac:dyDescent="0.25">
      <c r="A85" s="2"/>
      <c r="B85" s="19"/>
      <c r="C85" s="19"/>
      <c r="D85" s="19"/>
      <c r="E85" s="19"/>
      <c r="F85" s="19"/>
      <c r="G85" s="19"/>
      <c r="H85" s="19"/>
      <c r="I85" s="19"/>
      <c r="J85" s="19"/>
      <c r="K85" s="19"/>
      <c r="L85" s="19"/>
      <c r="M85" s="19"/>
      <c r="N85" s="19"/>
      <c r="O85" s="6"/>
      <c r="P85" s="15"/>
      <c r="Q85" s="2"/>
      <c r="R85" s="2"/>
      <c r="S85" s="2"/>
      <c r="T85" s="2"/>
      <c r="U85" s="2"/>
      <c r="V85" s="2"/>
      <c r="W85" s="2"/>
      <c r="X85" s="2"/>
      <c r="Y85" s="470"/>
      <c r="Z85" s="349"/>
      <c r="AA85" s="349"/>
      <c r="AB85" s="349"/>
      <c r="AC85" s="349"/>
      <c r="AD85" s="349"/>
      <c r="AE85" s="349"/>
      <c r="AF85" s="349"/>
      <c r="AG85" s="349"/>
      <c r="AH85" s="349"/>
      <c r="AI85" s="349"/>
      <c r="AJ85" s="349"/>
      <c r="AK85" s="349"/>
    </row>
    <row r="86" spans="1:37" ht="13" customHeight="1" x14ac:dyDescent="0.25">
      <c r="A86" s="2"/>
      <c r="B86" s="3"/>
      <c r="C86" s="3"/>
      <c r="D86" s="13" t="s">
        <v>299</v>
      </c>
      <c r="E86" s="2106" t="str">
        <f>Translations!$B$269</f>
        <v>Referenseffektiviteter</v>
      </c>
      <c r="F86" s="1960"/>
      <c r="G86" s="1960"/>
      <c r="H86" s="1960"/>
      <c r="I86" s="1960"/>
      <c r="J86" s="1960"/>
      <c r="K86" s="1960"/>
      <c r="L86" s="1960"/>
      <c r="M86" s="1960"/>
      <c r="N86" s="1960"/>
      <c r="O86" s="6"/>
      <c r="P86" s="15"/>
      <c r="Q86" s="7"/>
      <c r="R86" s="2"/>
      <c r="S86" s="2"/>
      <c r="T86" s="2"/>
      <c r="U86" s="2"/>
      <c r="V86" s="2"/>
      <c r="W86" s="2"/>
      <c r="X86" s="2"/>
      <c r="Y86" s="470"/>
      <c r="Z86" s="349"/>
      <c r="AA86" s="349"/>
      <c r="AB86" s="349"/>
      <c r="AC86" s="349"/>
      <c r="AD86" s="349"/>
      <c r="AE86" s="349"/>
      <c r="AF86" s="349"/>
      <c r="AG86" s="349"/>
      <c r="AH86" s="349"/>
      <c r="AI86" s="349"/>
      <c r="AJ86" s="349"/>
      <c r="AK86" s="349"/>
    </row>
    <row r="87" spans="1:37" ht="12.75" customHeight="1" x14ac:dyDescent="0.25">
      <c r="A87" s="2"/>
      <c r="B87" s="3"/>
      <c r="C87" s="3"/>
      <c r="D87" s="15"/>
      <c r="E87" s="2075" t="str">
        <f>Translations!$B$270</f>
        <v xml:space="preserve">Detta är referenseffektiviteter för värmeproduktion i en fristående panna och referenseffektiviteten för elproduktion utan kraftvärme. </v>
      </c>
      <c r="F87" s="1960"/>
      <c r="G87" s="1960"/>
      <c r="H87" s="1960"/>
      <c r="I87" s="1960"/>
      <c r="J87" s="1960"/>
      <c r="K87" s="1960"/>
      <c r="L87" s="1960"/>
      <c r="M87" s="1960"/>
      <c r="N87" s="1960"/>
      <c r="O87" s="6"/>
      <c r="P87" s="15"/>
      <c r="Q87" s="7"/>
      <c r="R87" s="2"/>
      <c r="S87" s="2"/>
      <c r="T87" s="2"/>
      <c r="U87" s="2"/>
      <c r="V87" s="2"/>
      <c r="W87" s="2"/>
      <c r="X87" s="2"/>
      <c r="Y87" s="470"/>
      <c r="Z87" s="349"/>
      <c r="AA87" s="349"/>
      <c r="AB87" s="349"/>
      <c r="AC87" s="349"/>
      <c r="AD87" s="349"/>
      <c r="AE87" s="349"/>
      <c r="AF87" s="349"/>
      <c r="AG87" s="349"/>
      <c r="AH87" s="349"/>
      <c r="AI87" s="349"/>
      <c r="AJ87" s="349"/>
      <c r="AK87" s="349"/>
    </row>
    <row r="88" spans="1:37" ht="25.5" customHeight="1" x14ac:dyDescent="0.25">
      <c r="A88" s="2"/>
      <c r="B88" s="3"/>
      <c r="C88" s="3"/>
      <c r="D88" s="15"/>
      <c r="E88" s="2075" t="str">
        <f>Translations!$B$271</f>
        <v>För referenseffektiviteterna ska de lämpliga bränslespecifika värdena i kommissionens delegerade förordning (EU) 2015/2402 tillämpas utan korrigeringsfaktorerna för klimatförhållanden enligt bilaga III och ej uppkomna nätförluster enligt bilaga IV till den förordningen. Förordningen kan laddas ner via följande länk:</v>
      </c>
      <c r="F88" s="1960"/>
      <c r="G88" s="1960"/>
      <c r="H88" s="1960"/>
      <c r="I88" s="1960"/>
      <c r="J88" s="1960"/>
      <c r="K88" s="1960"/>
      <c r="L88" s="1960"/>
      <c r="M88" s="1960"/>
      <c r="N88" s="1960"/>
      <c r="O88" s="6"/>
      <c r="P88" s="15"/>
      <c r="Q88" s="7"/>
      <c r="R88" s="2"/>
      <c r="S88" s="2"/>
      <c r="T88" s="2"/>
      <c r="U88" s="2"/>
      <c r="V88" s="2"/>
      <c r="W88" s="2"/>
      <c r="X88" s="2"/>
      <c r="Y88" s="470"/>
      <c r="Z88" s="349"/>
      <c r="AA88" s="349"/>
      <c r="AB88" s="349"/>
      <c r="AC88" s="349"/>
      <c r="AD88" s="349"/>
      <c r="AE88" s="349"/>
      <c r="AF88" s="349"/>
      <c r="AG88" s="349"/>
      <c r="AH88" s="349"/>
      <c r="AI88" s="349"/>
      <c r="AJ88" s="349"/>
      <c r="AK88" s="349"/>
    </row>
    <row r="89" spans="1:37" ht="12.75" customHeight="1" x14ac:dyDescent="0.25">
      <c r="A89" s="2"/>
      <c r="B89" s="3"/>
      <c r="C89" s="3"/>
      <c r="D89" s="15"/>
      <c r="E89" s="2481" t="str">
        <f>Translations!$B$272</f>
        <v>https://eur-lex.europa.eu/eli/reg_del/2015/2402/oj</v>
      </c>
      <c r="F89" s="1960"/>
      <c r="G89" s="1960"/>
      <c r="H89" s="1960"/>
      <c r="I89" s="1960"/>
      <c r="J89" s="1960"/>
      <c r="K89" s="1960"/>
      <c r="L89" s="1960"/>
      <c r="M89" s="1960"/>
      <c r="N89" s="1960"/>
      <c r="O89" s="6"/>
      <c r="P89" s="15"/>
      <c r="Q89" s="7"/>
      <c r="R89" s="2"/>
      <c r="S89" s="2"/>
      <c r="T89" s="2"/>
      <c r="U89" s="2"/>
      <c r="V89" s="2"/>
      <c r="W89" s="2"/>
      <c r="X89" s="2"/>
      <c r="Y89" s="470"/>
      <c r="Z89" s="349"/>
      <c r="AA89" s="349"/>
      <c r="AB89" s="349"/>
      <c r="AC89" s="349"/>
      <c r="AD89" s="349"/>
      <c r="AE89" s="349"/>
      <c r="AF89" s="349"/>
      <c r="AG89" s="349"/>
      <c r="AH89" s="349"/>
      <c r="AI89" s="349"/>
      <c r="AJ89" s="349"/>
      <c r="AK89" s="349"/>
    </row>
    <row r="90" spans="1:37" ht="12.75" customHeight="1" x14ac:dyDescent="0.25">
      <c r="A90" s="2"/>
      <c r="B90" s="3"/>
      <c r="C90" s="3"/>
      <c r="D90" s="15"/>
      <c r="E90" s="2075" t="str">
        <f>Translations!$B$273</f>
        <v xml:space="preserve"> </v>
      </c>
      <c r="F90" s="1960"/>
      <c r="G90" s="1960"/>
      <c r="H90" s="1960"/>
      <c r="I90" s="1960"/>
      <c r="J90" s="1960"/>
      <c r="K90" s="1960"/>
      <c r="L90" s="1960"/>
      <c r="M90" s="1960"/>
      <c r="N90" s="1960"/>
      <c r="O90" s="6"/>
      <c r="P90" s="15"/>
      <c r="Q90" s="7"/>
      <c r="R90" s="2"/>
      <c r="S90" s="2"/>
      <c r="T90" s="2"/>
      <c r="U90" s="2"/>
      <c r="V90" s="2"/>
      <c r="W90" s="2"/>
      <c r="X90" s="2"/>
      <c r="Y90" s="470"/>
      <c r="Z90" s="349"/>
      <c r="AA90" s="349"/>
      <c r="AB90" s="349"/>
      <c r="AC90" s="349"/>
      <c r="AD90" s="349"/>
      <c r="AE90" s="349"/>
      <c r="AF90" s="349"/>
      <c r="AG90" s="349"/>
      <c r="AH90" s="349"/>
      <c r="AI90" s="349"/>
      <c r="AJ90" s="349"/>
      <c r="AK90" s="349"/>
    </row>
    <row r="91" spans="1:37" ht="13" x14ac:dyDescent="0.25">
      <c r="A91" s="2"/>
      <c r="B91" s="19"/>
      <c r="C91" s="19"/>
      <c r="D91" s="19"/>
      <c r="E91" s="914"/>
      <c r="F91" s="913"/>
      <c r="G91" s="31" t="str">
        <f>EUconst_Unit</f>
        <v>Enhet</v>
      </c>
      <c r="H91" s="320">
        <f t="shared" ref="H91:N91" si="22">H$278</f>
        <v>2019</v>
      </c>
      <c r="I91" s="320">
        <f t="shared" si="22"/>
        <v>2020</v>
      </c>
      <c r="J91" s="320">
        <f t="shared" si="22"/>
        <v>2021</v>
      </c>
      <c r="K91" s="320">
        <f t="shared" si="22"/>
        <v>2022</v>
      </c>
      <c r="L91" s="320">
        <f t="shared" si="22"/>
        <v>2023</v>
      </c>
      <c r="M91" s="320">
        <f t="shared" si="22"/>
        <v>2024</v>
      </c>
      <c r="N91" s="320">
        <f t="shared" si="22"/>
        <v>2025</v>
      </c>
      <c r="O91" s="6"/>
      <c r="P91" s="15"/>
      <c r="Q91" s="2"/>
      <c r="R91" s="2"/>
      <c r="S91" s="2"/>
      <c r="T91" s="2"/>
      <c r="U91" s="2"/>
      <c r="V91" s="2"/>
      <c r="W91" s="2"/>
      <c r="X91" s="2"/>
      <c r="Y91" s="470"/>
      <c r="Z91" s="349"/>
      <c r="AA91" s="349"/>
      <c r="AB91" s="349"/>
      <c r="AC91" s="349"/>
      <c r="AD91" s="349"/>
      <c r="AE91" s="349"/>
      <c r="AF91" s="349"/>
      <c r="AG91" s="349"/>
      <c r="AH91" s="349"/>
      <c r="AI91" s="349"/>
      <c r="AJ91" s="349"/>
      <c r="AK91" s="349"/>
    </row>
    <row r="92" spans="1:37" ht="12.75" customHeight="1" x14ac:dyDescent="0.25">
      <c r="A92" s="2"/>
      <c r="B92" s="19"/>
      <c r="C92" s="19"/>
      <c r="D92" s="19"/>
      <c r="E92" s="2129" t="str">
        <f>Translations!$B$267</f>
        <v>Värmeproduktion</v>
      </c>
      <c r="F92" s="1997"/>
      <c r="G92" s="358" t="s">
        <v>1112</v>
      </c>
      <c r="H92" s="1769"/>
      <c r="I92" s="1769"/>
      <c r="J92" s="1769"/>
      <c r="K92" s="1769"/>
      <c r="L92" s="1769"/>
      <c r="M92" s="1769"/>
      <c r="N92" s="1769"/>
      <c r="O92" s="6"/>
      <c r="P92" s="1362"/>
      <c r="Q92" s="2"/>
      <c r="R92" s="2"/>
      <c r="S92" s="2"/>
      <c r="T92" s="2"/>
      <c r="U92" s="2"/>
      <c r="V92" s="2"/>
      <c r="W92" s="2"/>
      <c r="X92" s="2"/>
      <c r="Y92" s="541" t="b">
        <f>Y74</f>
        <v>0</v>
      </c>
      <c r="Z92" s="349"/>
      <c r="AA92" s="349"/>
      <c r="AB92" s="349"/>
      <c r="AC92" s="349"/>
      <c r="AD92" s="349"/>
      <c r="AE92" s="349"/>
      <c r="AF92" s="349"/>
      <c r="AG92" s="349"/>
      <c r="AH92" s="349"/>
      <c r="AI92" s="349"/>
      <c r="AJ92" s="1526" t="s">
        <v>2248</v>
      </c>
      <c r="AK92" s="394" t="str">
        <f>IF(AND(CNTR_HasEntries_A_I,MSconst_RequireEmissionTotals,Y92=FALSE,COUNTIFS($AB$21:$AH$21,FALSE,H92:N92,"")&gt;0),3,"")</f>
        <v/>
      </c>
    </row>
    <row r="93" spans="1:37" ht="12.75" customHeight="1" x14ac:dyDescent="0.25">
      <c r="A93" s="2"/>
      <c r="B93" s="19"/>
      <c r="C93" s="19"/>
      <c r="D93" s="19"/>
      <c r="E93" s="2129" t="str">
        <f>Translations!$B$268</f>
        <v>Elproduktion</v>
      </c>
      <c r="F93" s="1997"/>
      <c r="G93" s="358" t="s">
        <v>1112</v>
      </c>
      <c r="H93" s="1769"/>
      <c r="I93" s="1769"/>
      <c r="J93" s="1769"/>
      <c r="K93" s="1769"/>
      <c r="L93" s="1769"/>
      <c r="M93" s="1769"/>
      <c r="N93" s="1769"/>
      <c r="O93" s="6"/>
      <c r="P93" s="1362"/>
      <c r="Q93" s="2"/>
      <c r="R93" s="2"/>
      <c r="S93" s="2"/>
      <c r="T93" s="2"/>
      <c r="U93" s="2"/>
      <c r="V93" s="2"/>
      <c r="W93" s="2"/>
      <c r="X93" s="2"/>
      <c r="Y93" s="541" t="b">
        <f>Y92</f>
        <v>0</v>
      </c>
      <c r="Z93" s="349"/>
      <c r="AA93" s="349"/>
      <c r="AB93" s="349"/>
      <c r="AC93" s="349"/>
      <c r="AD93" s="349"/>
      <c r="AE93" s="349"/>
      <c r="AF93" s="349"/>
      <c r="AG93" s="349"/>
      <c r="AH93" s="349"/>
      <c r="AI93" s="349"/>
      <c r="AJ93" s="1526" t="s">
        <v>2248</v>
      </c>
      <c r="AK93" s="394" t="str">
        <f>IF(AND(CNTR_HasEntries_A_I,MSconst_RequireEmissionTotals,Y93=FALSE,COUNTIFS($AB$21:$AH$21,FALSE,H93:N93,"")&gt;0),3,"")</f>
        <v/>
      </c>
    </row>
    <row r="94" spans="1:37" ht="5.15" customHeight="1" x14ac:dyDescent="0.25">
      <c r="A94" s="2"/>
      <c r="B94" s="19"/>
      <c r="C94" s="19"/>
      <c r="D94" s="19"/>
      <c r="E94" s="19"/>
      <c r="F94" s="19"/>
      <c r="G94" s="19"/>
      <c r="H94" s="19"/>
      <c r="I94" s="19"/>
      <c r="J94" s="19"/>
      <c r="K94" s="19"/>
      <c r="L94" s="19"/>
      <c r="M94" s="19"/>
      <c r="N94" s="19"/>
      <c r="O94" s="6"/>
      <c r="P94" s="15"/>
      <c r="Q94" s="2"/>
      <c r="R94" s="2"/>
      <c r="S94" s="2"/>
      <c r="T94" s="2"/>
      <c r="U94" s="2"/>
      <c r="V94" s="2"/>
      <c r="W94" s="2"/>
      <c r="X94" s="2"/>
      <c r="Y94" s="470"/>
      <c r="Z94" s="349"/>
      <c r="AA94" s="349"/>
      <c r="AB94" s="349"/>
      <c r="AC94" s="349"/>
      <c r="AD94" s="349"/>
      <c r="AE94" s="349"/>
      <c r="AF94" s="349"/>
      <c r="AG94" s="349"/>
      <c r="AH94" s="349"/>
      <c r="AI94" s="349"/>
      <c r="AJ94" s="349"/>
      <c r="AK94" s="349"/>
    </row>
    <row r="95" spans="1:37" ht="13" customHeight="1" x14ac:dyDescent="0.25">
      <c r="A95" s="2"/>
      <c r="B95" s="3"/>
      <c r="C95" s="3"/>
      <c r="D95" s="13" t="s">
        <v>303</v>
      </c>
      <c r="E95" s="2106" t="str">
        <f>Translations!$B$274</f>
        <v>Utsläpp som kan tillskrivas värmeproduktion vid kraftvärmeenheten</v>
      </c>
      <c r="F95" s="1960"/>
      <c r="G95" s="1960"/>
      <c r="H95" s="1960"/>
      <c r="I95" s="1960"/>
      <c r="J95" s="1960"/>
      <c r="K95" s="1960"/>
      <c r="L95" s="1960"/>
      <c r="M95" s="1960"/>
      <c r="N95" s="1960"/>
      <c r="O95" s="6"/>
      <c r="P95" s="15"/>
      <c r="Q95" s="7"/>
      <c r="R95" s="2"/>
      <c r="S95" s="2"/>
      <c r="T95" s="2"/>
      <c r="U95" s="2"/>
      <c r="V95" s="2"/>
      <c r="W95" s="2"/>
      <c r="X95" s="2"/>
      <c r="Y95" s="470"/>
      <c r="Z95" s="349"/>
      <c r="AA95" s="349"/>
      <c r="AB95" s="349"/>
      <c r="AC95" s="349"/>
      <c r="AD95" s="349"/>
      <c r="AE95" s="349"/>
      <c r="AF95" s="349"/>
      <c r="AG95" s="349"/>
      <c r="AH95" s="349"/>
      <c r="AI95" s="349"/>
      <c r="AJ95" s="349"/>
      <c r="AK95" s="349"/>
    </row>
    <row r="96" spans="1:37" ht="12.65" customHeight="1" x14ac:dyDescent="0.25">
      <c r="A96" s="2"/>
      <c r="B96" s="3"/>
      <c r="C96" s="3"/>
      <c r="D96" s="15"/>
      <c r="E96" s="2075" t="str">
        <f>Translations!$B$275</f>
        <v>Detta är det slutresultat som verktyget leder till. De värden som visas här bör anges i bladen F eller G när det gäller de utsläpp som kan tillskrivas delanläggningen i fråga.</v>
      </c>
      <c r="F96" s="1960"/>
      <c r="G96" s="1960"/>
      <c r="H96" s="1960"/>
      <c r="I96" s="1960"/>
      <c r="J96" s="1960"/>
      <c r="K96" s="1960"/>
      <c r="L96" s="1960"/>
      <c r="M96" s="1960"/>
      <c r="N96" s="1960"/>
      <c r="O96" s="6"/>
      <c r="P96" s="15"/>
      <c r="Q96" s="7"/>
      <c r="R96" s="2"/>
      <c r="S96" s="2"/>
      <c r="T96" s="2"/>
      <c r="U96" s="2"/>
      <c r="V96" s="2"/>
      <c r="W96" s="2"/>
      <c r="X96" s="2"/>
      <c r="Y96" s="470"/>
      <c r="Z96" s="349"/>
      <c r="AA96" s="349"/>
      <c r="AB96" s="349"/>
      <c r="AC96" s="349"/>
      <c r="AD96" s="349"/>
      <c r="AE96" s="349"/>
      <c r="AF96" s="349"/>
      <c r="AG96" s="349"/>
      <c r="AH96" s="349"/>
      <c r="AI96" s="349"/>
      <c r="AJ96" s="349"/>
      <c r="AK96" s="349"/>
    </row>
    <row r="97" spans="1:37" ht="12.65" customHeight="1" x14ac:dyDescent="0.25">
      <c r="A97" s="2"/>
      <c r="B97" s="3"/>
      <c r="C97" s="3"/>
      <c r="D97" s="15"/>
      <c r="E97" s="2075" t="str">
        <f>Translations!$B$276</f>
        <v>Detta kan till exempel innebära att tillskrivningsbara utsläpp beaktas i de totala direkta utsläppen eller att utsläppsfaktorn används för eventuell importerad mätbar värme.</v>
      </c>
      <c r="F97" s="1960"/>
      <c r="G97" s="1960"/>
      <c r="H97" s="1960"/>
      <c r="I97" s="1960"/>
      <c r="J97" s="1960"/>
      <c r="K97" s="1960"/>
      <c r="L97" s="1960"/>
      <c r="M97" s="1960"/>
      <c r="N97" s="1960"/>
      <c r="O97" s="6"/>
      <c r="P97" s="15"/>
      <c r="Q97" s="7"/>
      <c r="R97" s="2"/>
      <c r="S97" s="2"/>
      <c r="T97" s="2"/>
      <c r="U97" s="2"/>
      <c r="V97" s="2"/>
      <c r="W97" s="2"/>
      <c r="X97" s="2"/>
      <c r="Y97" s="470"/>
      <c r="Z97" s="349"/>
      <c r="AA97" s="349"/>
      <c r="AB97" s="349"/>
      <c r="AC97" s="349"/>
      <c r="AD97" s="349"/>
      <c r="AE97" s="349"/>
      <c r="AF97" s="349"/>
      <c r="AG97" s="349"/>
      <c r="AH97" s="349"/>
      <c r="AI97" s="349"/>
      <c r="AJ97" s="349"/>
      <c r="AK97" s="349"/>
    </row>
    <row r="98" spans="1:37" ht="12.65" customHeight="1" x14ac:dyDescent="0.25">
      <c r="A98" s="2"/>
      <c r="B98" s="3"/>
      <c r="C98" s="3"/>
      <c r="D98" s="15"/>
      <c r="E98" s="2075" t="str">
        <f>Translations!$B$277</f>
        <v>Beräkningsresultaten kan endast anses vara korrekta om fullständiga och konsekventa uppgifter ges i avsnitten ovan.</v>
      </c>
      <c r="F98" s="1960"/>
      <c r="G98" s="1960"/>
      <c r="H98" s="1960"/>
      <c r="I98" s="1960"/>
      <c r="J98" s="1960"/>
      <c r="K98" s="1960"/>
      <c r="L98" s="1960"/>
      <c r="M98" s="1960"/>
      <c r="N98" s="1960"/>
      <c r="O98" s="6"/>
      <c r="P98" s="15"/>
      <c r="Q98" s="7"/>
      <c r="R98" s="2"/>
      <c r="S98" s="2"/>
      <c r="T98" s="2"/>
      <c r="U98" s="2"/>
      <c r="V98" s="2"/>
      <c r="W98" s="2"/>
      <c r="X98" s="2"/>
      <c r="Y98" s="470"/>
      <c r="Z98" s="349"/>
      <c r="AA98" s="349"/>
      <c r="AB98" s="349"/>
      <c r="AC98" s="349"/>
      <c r="AD98" s="349"/>
      <c r="AE98" s="349"/>
      <c r="AF98" s="349"/>
      <c r="AG98" s="349"/>
      <c r="AH98" s="349"/>
      <c r="AI98" s="349"/>
      <c r="AJ98" s="349"/>
      <c r="AK98" s="349"/>
    </row>
    <row r="99" spans="1:37" ht="13" x14ac:dyDescent="0.25">
      <c r="A99" s="2"/>
      <c r="B99" s="19"/>
      <c r="C99" s="19"/>
      <c r="D99" s="19"/>
      <c r="E99" s="914"/>
      <c r="F99" s="913"/>
      <c r="G99" s="31" t="str">
        <f>EUconst_Unit</f>
        <v>Enhet</v>
      </c>
      <c r="H99" s="320">
        <f t="shared" ref="H99:N99" si="23">H$278</f>
        <v>2019</v>
      </c>
      <c r="I99" s="320">
        <f t="shared" si="23"/>
        <v>2020</v>
      </c>
      <c r="J99" s="320">
        <f t="shared" si="23"/>
        <v>2021</v>
      </c>
      <c r="K99" s="320">
        <f t="shared" si="23"/>
        <v>2022</v>
      </c>
      <c r="L99" s="320">
        <f t="shared" si="23"/>
        <v>2023</v>
      </c>
      <c r="M99" s="320">
        <f t="shared" si="23"/>
        <v>2024</v>
      </c>
      <c r="N99" s="320">
        <f t="shared" si="23"/>
        <v>2025</v>
      </c>
      <c r="O99" s="6"/>
      <c r="P99" s="15"/>
      <c r="Q99" s="2"/>
      <c r="R99" s="2"/>
      <c r="S99" s="2"/>
      <c r="T99" s="2"/>
      <c r="U99" s="2"/>
      <c r="V99" s="2"/>
      <c r="W99" s="2"/>
      <c r="X99" s="2"/>
      <c r="Y99" s="470"/>
      <c r="Z99" s="349"/>
      <c r="AA99" s="349"/>
      <c r="AB99" s="349"/>
      <c r="AC99" s="349"/>
      <c r="AD99" s="349"/>
      <c r="AE99" s="349"/>
      <c r="AF99" s="349"/>
      <c r="AG99" s="349"/>
      <c r="AH99" s="349"/>
      <c r="AI99" s="349"/>
      <c r="AJ99" s="349"/>
      <c r="AK99" s="349"/>
    </row>
    <row r="100" spans="1:37" ht="12.65" customHeight="1" x14ac:dyDescent="0.25">
      <c r="A100" s="2"/>
      <c r="B100" s="19"/>
      <c r="C100" s="19"/>
      <c r="D100" s="19"/>
      <c r="E100" s="2129" t="str">
        <f>Translations!$B$278</f>
        <v>Utsläpp som kan tillskrivas värmeproduktion</v>
      </c>
      <c r="F100" s="1997"/>
      <c r="G100" s="43" t="str">
        <f>EUconst_tCO2pa</f>
        <v>t CO2 / år</v>
      </c>
      <c r="H100" s="258" t="str">
        <f>IF(AND(ISNUMBER(H83),ISNUMBER(H84),ISNUMBER(H92),ISNUMBER(H93)),IFERROR(H83/H92/(H83/H92+H84/H93),0)*SUM(H75),"")</f>
        <v/>
      </c>
      <c r="I100" s="258" t="str">
        <f t="shared" ref="I100:N100" si="24">IF(AND(ISNUMBER(I83),ISNUMBER(I84),ISNUMBER(I92),ISNUMBER(I93)),IFERROR(I83/I92/(I83/I92+I84/I93),0)*SUM(I75),"")</f>
        <v/>
      </c>
      <c r="J100" s="258" t="str">
        <f t="shared" si="24"/>
        <v/>
      </c>
      <c r="K100" s="258" t="str">
        <f t="shared" si="24"/>
        <v/>
      </c>
      <c r="L100" s="258" t="str">
        <f t="shared" si="24"/>
        <v/>
      </c>
      <c r="M100" s="258" t="str">
        <f t="shared" si="24"/>
        <v/>
      </c>
      <c r="N100" s="258" t="str">
        <f t="shared" si="24"/>
        <v/>
      </c>
      <c r="O100" s="6"/>
      <c r="P100" s="15"/>
      <c r="Q100" s="2"/>
      <c r="R100" s="2"/>
      <c r="S100" s="2"/>
      <c r="T100" s="2"/>
      <c r="U100" s="2"/>
      <c r="V100" s="2"/>
      <c r="W100" s="2"/>
      <c r="X100" s="2"/>
      <c r="Y100" s="470"/>
      <c r="Z100" s="349"/>
      <c r="AA100" s="349"/>
      <c r="AB100" s="349"/>
      <c r="AC100" s="349"/>
      <c r="AD100" s="349"/>
      <c r="AE100" s="349"/>
      <c r="AF100" s="349"/>
      <c r="AG100" s="349"/>
      <c r="AH100" s="349"/>
      <c r="AI100" s="349"/>
      <c r="AJ100" s="349"/>
      <c r="AK100" s="349"/>
    </row>
    <row r="101" spans="1:37" ht="12.65" customHeight="1" x14ac:dyDescent="0.25">
      <c r="A101" s="2"/>
      <c r="B101" s="19"/>
      <c r="C101" s="19"/>
      <c r="D101" s="19"/>
      <c r="E101" s="2129" t="str">
        <f>Translations!$B$279</f>
        <v>Emissionsfaktor, värme</v>
      </c>
      <c r="F101" s="1997"/>
      <c r="G101" s="43" t="str">
        <f>EUconst_tCO2pTJ</f>
        <v>t CO2 / TJ</v>
      </c>
      <c r="H101" s="258" t="str">
        <f>IF(AND(ISNUMBER(H62),ISNUMBER(H100)),IFERROR(H100/H62,""),"")</f>
        <v/>
      </c>
      <c r="I101" s="258" t="str">
        <f t="shared" ref="I101:N101" si="25">IF(AND(ISNUMBER(I62),ISNUMBER(I100)),IFERROR(I100/I62,""),"")</f>
        <v/>
      </c>
      <c r="J101" s="258" t="str">
        <f t="shared" si="25"/>
        <v/>
      </c>
      <c r="K101" s="258" t="str">
        <f t="shared" si="25"/>
        <v/>
      </c>
      <c r="L101" s="258" t="str">
        <f t="shared" si="25"/>
        <v/>
      </c>
      <c r="M101" s="258" t="str">
        <f t="shared" si="25"/>
        <v/>
      </c>
      <c r="N101" s="258" t="str">
        <f t="shared" si="25"/>
        <v/>
      </c>
      <c r="O101" s="6"/>
      <c r="P101" s="15"/>
      <c r="Q101" s="2"/>
      <c r="R101" s="2"/>
      <c r="S101" s="2"/>
      <c r="T101" s="2"/>
      <c r="U101" s="2"/>
      <c r="V101" s="2"/>
      <c r="W101" s="2"/>
      <c r="X101" s="2"/>
      <c r="Y101" s="470"/>
      <c r="Z101" s="349"/>
      <c r="AA101" s="349"/>
      <c r="AB101" s="349"/>
      <c r="AC101" s="349"/>
      <c r="AD101" s="349"/>
      <c r="AE101" s="349"/>
      <c r="AF101" s="349"/>
      <c r="AG101" s="349"/>
      <c r="AH101" s="349"/>
      <c r="AI101" s="349"/>
      <c r="AJ101" s="349"/>
      <c r="AK101" s="349"/>
    </row>
    <row r="102" spans="1:37" ht="5.15" customHeight="1" x14ac:dyDescent="0.25">
      <c r="A102" s="2"/>
      <c r="B102" s="19"/>
      <c r="C102" s="19"/>
      <c r="D102" s="19"/>
      <c r="E102" s="19"/>
      <c r="F102" s="19"/>
      <c r="G102" s="19"/>
      <c r="H102" s="19"/>
      <c r="I102" s="19"/>
      <c r="J102" s="19"/>
      <c r="K102" s="19"/>
      <c r="L102" s="19"/>
      <c r="M102" s="19"/>
      <c r="N102" s="19"/>
      <c r="O102" s="6"/>
      <c r="P102" s="15"/>
      <c r="Q102" s="2"/>
      <c r="R102" s="2"/>
      <c r="S102" s="2"/>
      <c r="T102" s="2"/>
      <c r="U102" s="2"/>
      <c r="V102" s="2"/>
      <c r="W102" s="2"/>
      <c r="X102" s="2"/>
      <c r="Y102" s="470"/>
      <c r="Z102" s="349"/>
      <c r="AA102" s="349"/>
      <c r="AB102" s="349"/>
      <c r="AC102" s="349"/>
      <c r="AD102" s="349"/>
      <c r="AE102" s="349"/>
      <c r="AF102" s="349"/>
      <c r="AG102" s="349"/>
      <c r="AH102" s="349"/>
      <c r="AI102" s="349"/>
      <c r="AJ102" s="349"/>
      <c r="AK102" s="349"/>
    </row>
    <row r="103" spans="1:37" ht="13" customHeight="1" x14ac:dyDescent="0.25">
      <c r="A103" s="2"/>
      <c r="B103" s="3"/>
      <c r="C103" s="3"/>
      <c r="D103" s="13" t="s">
        <v>305</v>
      </c>
      <c r="E103" s="2106" t="str">
        <f>Translations!$B$280</f>
        <v>Insatsbränsle som kan tillskrivas värme- och elproduktion</v>
      </c>
      <c r="F103" s="1960"/>
      <c r="G103" s="1960"/>
      <c r="H103" s="1960"/>
      <c r="I103" s="1960"/>
      <c r="J103" s="1960"/>
      <c r="K103" s="1960"/>
      <c r="L103" s="1960"/>
      <c r="M103" s="1960"/>
      <c r="N103" s="1960"/>
      <c r="O103" s="6"/>
      <c r="P103" s="15"/>
      <c r="Q103" s="7"/>
      <c r="R103" s="2"/>
      <c r="S103" s="2"/>
      <c r="T103" s="2"/>
      <c r="U103" s="2"/>
      <c r="V103" s="2"/>
      <c r="W103" s="2"/>
      <c r="X103" s="2"/>
      <c r="Y103" s="470"/>
      <c r="Z103" s="349"/>
      <c r="AA103" s="349"/>
      <c r="AB103" s="349"/>
      <c r="AC103" s="349"/>
      <c r="AD103" s="349"/>
      <c r="AE103" s="349"/>
      <c r="AF103" s="349"/>
      <c r="AG103" s="349"/>
      <c r="AH103" s="349"/>
      <c r="AI103" s="349"/>
      <c r="AJ103" s="349"/>
      <c r="AK103" s="349"/>
    </row>
    <row r="104" spans="1:37" ht="12.75" customHeight="1" x14ac:dyDescent="0.25">
      <c r="A104" s="2"/>
      <c r="B104" s="3"/>
      <c r="C104" s="3"/>
      <c r="D104" s="15"/>
      <c r="E104" s="2075" t="str">
        <f>Translations!$B$281</f>
        <v>Detta är det slutresultat som verktyget leder till. De värden som visas här bör anges i relevanta avsnitt i bladen E, F och G.</v>
      </c>
      <c r="F104" s="1960"/>
      <c r="G104" s="1960"/>
      <c r="H104" s="1960"/>
      <c r="I104" s="1960"/>
      <c r="J104" s="1960"/>
      <c r="K104" s="1960"/>
      <c r="L104" s="1960"/>
      <c r="M104" s="1960"/>
      <c r="N104" s="1960"/>
      <c r="O104" s="6"/>
      <c r="P104" s="15"/>
      <c r="Q104" s="7"/>
      <c r="R104" s="2"/>
      <c r="S104" s="2"/>
      <c r="T104" s="2"/>
      <c r="U104" s="2"/>
      <c r="V104" s="2"/>
      <c r="W104" s="2"/>
      <c r="X104" s="2"/>
      <c r="Y104" s="470"/>
      <c r="Z104" s="349"/>
      <c r="AA104" s="349"/>
      <c r="AB104" s="349"/>
      <c r="AC104" s="349"/>
      <c r="AD104" s="349"/>
      <c r="AE104" s="349"/>
      <c r="AF104" s="349"/>
      <c r="AG104" s="349"/>
      <c r="AH104" s="349"/>
      <c r="AI104" s="349"/>
      <c r="AJ104" s="349"/>
      <c r="AK104" s="349"/>
    </row>
    <row r="105" spans="1:37" ht="13" x14ac:dyDescent="0.25">
      <c r="A105" s="2"/>
      <c r="B105" s="19"/>
      <c r="C105" s="19"/>
      <c r="D105" s="19"/>
      <c r="E105" s="914"/>
      <c r="F105" s="913"/>
      <c r="G105" s="31" t="str">
        <f>EUconst_Unit</f>
        <v>Enhet</v>
      </c>
      <c r="H105" s="320">
        <f t="shared" ref="H105:N105" si="26">H$278</f>
        <v>2019</v>
      </c>
      <c r="I105" s="320">
        <f t="shared" si="26"/>
        <v>2020</v>
      </c>
      <c r="J105" s="320">
        <f t="shared" si="26"/>
        <v>2021</v>
      </c>
      <c r="K105" s="320">
        <f t="shared" si="26"/>
        <v>2022</v>
      </c>
      <c r="L105" s="320">
        <f t="shared" si="26"/>
        <v>2023</v>
      </c>
      <c r="M105" s="320">
        <f t="shared" si="26"/>
        <v>2024</v>
      </c>
      <c r="N105" s="320">
        <f t="shared" si="26"/>
        <v>2025</v>
      </c>
      <c r="O105" s="6"/>
      <c r="P105" s="15"/>
      <c r="Q105" s="2"/>
      <c r="R105" s="2"/>
      <c r="S105" s="2"/>
      <c r="T105" s="2"/>
      <c r="U105" s="2"/>
      <c r="V105" s="2"/>
      <c r="W105" s="2"/>
      <c r="X105" s="2"/>
      <c r="Y105" s="470"/>
      <c r="Z105" s="349"/>
      <c r="AA105" s="349"/>
      <c r="AB105" s="349"/>
      <c r="AC105" s="349"/>
      <c r="AD105" s="349"/>
      <c r="AE105" s="349"/>
      <c r="AF105" s="349"/>
      <c r="AG105" s="349"/>
      <c r="AH105" s="349"/>
      <c r="AI105" s="349"/>
      <c r="AJ105" s="349"/>
      <c r="AK105" s="349"/>
    </row>
    <row r="106" spans="1:37" ht="12.65" customHeight="1" x14ac:dyDescent="0.25">
      <c r="A106" s="2"/>
      <c r="B106" s="19"/>
      <c r="C106" s="19"/>
      <c r="D106" s="19"/>
      <c r="E106" s="2129" t="str">
        <f>Translations!$B$282</f>
        <v>Insatsbränsle för värme</v>
      </c>
      <c r="F106" s="1997"/>
      <c r="G106" s="43" t="str">
        <f>EUconst_TJpa</f>
        <v>TJ / år</v>
      </c>
      <c r="H106" s="258" t="str">
        <f>IF(ISNUMBER(H100),IFERROR(H83/H92/(H83/H92+H84/H93)*SUM(H57),0),"")</f>
        <v/>
      </c>
      <c r="I106" s="258" t="str">
        <f t="shared" ref="I106:N106" si="27">IF(ISNUMBER(I100),IFERROR(I83/I92/(I83/I92+I84/I93)*SUM(I57),0),"")</f>
        <v/>
      </c>
      <c r="J106" s="258" t="str">
        <f t="shared" si="27"/>
        <v/>
      </c>
      <c r="K106" s="258" t="str">
        <f t="shared" si="27"/>
        <v/>
      </c>
      <c r="L106" s="258" t="str">
        <f t="shared" si="27"/>
        <v/>
      </c>
      <c r="M106" s="258" t="str">
        <f t="shared" si="27"/>
        <v/>
      </c>
      <c r="N106" s="258" t="str">
        <f t="shared" si="27"/>
        <v/>
      </c>
      <c r="O106" s="6"/>
      <c r="P106" s="15"/>
      <c r="Q106" s="2"/>
      <c r="R106" s="2"/>
      <c r="S106" s="2"/>
      <c r="T106" s="2"/>
      <c r="U106" s="2"/>
      <c r="V106" s="2"/>
      <c r="W106" s="2"/>
      <c r="X106" s="2"/>
      <c r="Y106" s="470"/>
      <c r="Z106" s="349"/>
      <c r="AA106" s="349"/>
      <c r="AB106" s="349"/>
      <c r="AC106" s="349"/>
      <c r="AD106" s="349"/>
      <c r="AE106" s="349"/>
      <c r="AF106" s="349"/>
      <c r="AG106" s="349"/>
      <c r="AH106" s="349"/>
      <c r="AI106" s="349"/>
      <c r="AJ106" s="349"/>
      <c r="AK106" s="349"/>
    </row>
    <row r="107" spans="1:37" ht="12.65" customHeight="1" x14ac:dyDescent="0.25">
      <c r="A107" s="2"/>
      <c r="B107" s="19"/>
      <c r="C107" s="19"/>
      <c r="D107" s="19"/>
      <c r="E107" s="2129" t="str">
        <f>Translations!$B$283</f>
        <v>Insatsbränsle för el</v>
      </c>
      <c r="F107" s="1997"/>
      <c r="G107" s="43" t="str">
        <f>EUconst_TJpa</f>
        <v>TJ / år</v>
      </c>
      <c r="H107" s="258" t="str">
        <f>IF(ISNUMBER(H106),SUM(H57)-SUM(H106),"")</f>
        <v/>
      </c>
      <c r="I107" s="258" t="str">
        <f t="shared" ref="I107:N107" si="28">IF(ISNUMBER(I106),SUM(I57)-SUM(I106),"")</f>
        <v/>
      </c>
      <c r="J107" s="258" t="str">
        <f t="shared" si="28"/>
        <v/>
      </c>
      <c r="K107" s="258" t="str">
        <f t="shared" si="28"/>
        <v/>
      </c>
      <c r="L107" s="258" t="str">
        <f t="shared" si="28"/>
        <v/>
      </c>
      <c r="M107" s="258" t="str">
        <f t="shared" si="28"/>
        <v/>
      </c>
      <c r="N107" s="258" t="str">
        <f t="shared" si="28"/>
        <v/>
      </c>
      <c r="O107" s="6"/>
      <c r="P107" s="15"/>
      <c r="Q107" s="2"/>
      <c r="R107" s="2"/>
      <c r="S107" s="2"/>
      <c r="T107" s="2"/>
      <c r="U107" s="2"/>
      <c r="V107" s="2"/>
      <c r="W107" s="2"/>
      <c r="X107" s="2"/>
      <c r="Y107" s="470"/>
      <c r="Z107" s="349"/>
      <c r="AA107" s="349"/>
      <c r="AB107" s="349"/>
      <c r="AC107" s="349"/>
      <c r="AD107" s="349"/>
      <c r="AE107" s="349"/>
      <c r="AF107" s="349"/>
      <c r="AG107" s="349"/>
      <c r="AH107" s="349"/>
      <c r="AI107" s="349"/>
      <c r="AJ107" s="349"/>
      <c r="AK107" s="349"/>
    </row>
    <row r="108" spans="1:37" ht="13" x14ac:dyDescent="0.25">
      <c r="A108" s="2"/>
      <c r="B108" s="19"/>
      <c r="C108" s="19"/>
      <c r="D108" s="19"/>
      <c r="E108" s="99"/>
      <c r="F108" s="19"/>
      <c r="G108" s="19"/>
      <c r="H108" s="19"/>
      <c r="I108" s="19"/>
      <c r="J108" s="19"/>
      <c r="K108" s="19"/>
      <c r="L108" s="19"/>
      <c r="M108" s="19"/>
      <c r="N108" s="19"/>
      <c r="O108" s="6"/>
      <c r="P108" s="15"/>
      <c r="Q108" s="2"/>
      <c r="R108" s="2"/>
      <c r="S108" s="2"/>
      <c r="T108" s="2"/>
      <c r="U108" s="2"/>
      <c r="V108" s="2"/>
      <c r="W108" s="2"/>
      <c r="X108" s="2"/>
      <c r="Y108" s="470"/>
      <c r="Z108" s="349"/>
      <c r="AA108" s="349"/>
      <c r="AB108" s="349"/>
      <c r="AC108" s="349"/>
      <c r="AD108" s="349"/>
      <c r="AE108" s="349"/>
      <c r="AF108" s="349"/>
      <c r="AG108" s="349"/>
      <c r="AH108" s="349"/>
      <c r="AI108" s="349"/>
      <c r="AJ108" s="349"/>
      <c r="AK108" s="349"/>
    </row>
    <row r="109" spans="1:37" ht="14.15" customHeight="1" x14ac:dyDescent="0.3">
      <c r="A109" s="2"/>
      <c r="B109" s="3"/>
      <c r="C109" s="17">
        <v>2</v>
      </c>
      <c r="D109" s="2079" t="str">
        <f>Translations!$B$249</f>
        <v>Verktyg för att beräkna utsläpp som kan tillskrivas värme vid kraftvärmeproduktion</v>
      </c>
      <c r="E109" s="1960"/>
      <c r="F109" s="1960"/>
      <c r="G109" s="1960"/>
      <c r="H109" s="1960"/>
      <c r="I109" s="1960"/>
      <c r="J109" s="1960"/>
      <c r="K109" s="1960"/>
      <c r="L109" s="1960"/>
      <c r="M109" s="1960"/>
      <c r="N109" s="1960"/>
      <c r="O109" s="6"/>
      <c r="P109" s="15"/>
      <c r="Q109" s="7"/>
      <c r="R109" s="2"/>
      <c r="S109" s="2"/>
      <c r="T109" s="2"/>
      <c r="U109" s="2"/>
      <c r="V109" s="2"/>
      <c r="W109" s="2"/>
      <c r="X109" s="2"/>
      <c r="Y109" s="470"/>
      <c r="Z109" s="349"/>
      <c r="AA109" s="349"/>
      <c r="AB109" s="349"/>
      <c r="AC109" s="349"/>
      <c r="AD109" s="349"/>
      <c r="AE109" s="349"/>
      <c r="AF109" s="349"/>
      <c r="AG109" s="349"/>
      <c r="AH109" s="349"/>
      <c r="AI109" s="349"/>
      <c r="AJ109" s="349"/>
      <c r="AK109" s="349"/>
    </row>
    <row r="110" spans="1:37" ht="5.15" customHeight="1" x14ac:dyDescent="0.25">
      <c r="A110" s="2"/>
      <c r="B110" s="3"/>
      <c r="C110" s="3"/>
      <c r="D110" s="3"/>
      <c r="E110" s="3"/>
      <c r="F110" s="3"/>
      <c r="G110" s="3"/>
      <c r="H110" s="3"/>
      <c r="I110" s="3"/>
      <c r="J110" s="3"/>
      <c r="K110" s="3"/>
      <c r="L110" s="3"/>
      <c r="M110" s="3"/>
      <c r="N110" s="6"/>
      <c r="O110" s="6"/>
      <c r="P110" s="15"/>
      <c r="Q110" s="7"/>
      <c r="R110" s="2"/>
      <c r="S110" s="2"/>
      <c r="T110" s="2"/>
      <c r="U110" s="2"/>
      <c r="V110" s="2"/>
      <c r="W110" s="2"/>
      <c r="X110" s="2"/>
      <c r="Y110" s="470"/>
      <c r="Z110" s="349"/>
      <c r="AA110" s="349"/>
      <c r="AB110" s="349"/>
      <c r="AC110" s="349"/>
      <c r="AD110" s="349"/>
      <c r="AE110" s="349"/>
      <c r="AF110" s="349"/>
      <c r="AG110" s="349"/>
      <c r="AH110" s="349"/>
      <c r="AI110" s="349"/>
      <c r="AJ110" s="349"/>
      <c r="AK110" s="349"/>
    </row>
    <row r="111" spans="1:37" ht="13" customHeight="1" x14ac:dyDescent="0.25">
      <c r="A111" s="2"/>
      <c r="B111" s="19"/>
      <c r="C111" s="19"/>
      <c r="D111" s="19"/>
      <c r="E111" s="2482" t="str">
        <f>HYPERLINK(R111,CONCATENATE(EUconst_MsgSeeFirst," (D.III.1)"))</f>
        <v>Utförliga anvisningar för datainmatning i detta verktyg finns i den första kopian av verktyget.  (D.III.1)</v>
      </c>
      <c r="F111" s="1960"/>
      <c r="G111" s="1960"/>
      <c r="H111" s="1960"/>
      <c r="I111" s="1960"/>
      <c r="J111" s="1960"/>
      <c r="K111" s="1960"/>
      <c r="L111" s="1960"/>
      <c r="M111" s="1960"/>
      <c r="N111" s="1960"/>
      <c r="O111" s="6"/>
      <c r="P111" s="15"/>
      <c r="Q111" s="2" t="s">
        <v>484</v>
      </c>
      <c r="R111" s="294" t="str">
        <f>"#"&amp;ADDRESS(ROW(C52),COLUMN(C52))</f>
        <v>#$C$52</v>
      </c>
      <c r="S111" s="2"/>
      <c r="T111" s="2"/>
      <c r="U111" s="2"/>
      <c r="V111" s="2"/>
      <c r="W111" s="2"/>
      <c r="X111" s="2"/>
      <c r="Y111" s="470"/>
      <c r="Z111" s="349"/>
      <c r="AA111" s="349"/>
      <c r="AB111" s="349"/>
      <c r="AC111" s="349"/>
      <c r="AD111" s="349"/>
      <c r="AE111" s="349"/>
      <c r="AF111" s="349"/>
      <c r="AG111" s="349"/>
      <c r="AH111" s="349"/>
      <c r="AI111" s="349"/>
      <c r="AJ111" s="349"/>
      <c r="AK111" s="349"/>
    </row>
    <row r="112" spans="1:37" ht="5.15" customHeight="1" x14ac:dyDescent="0.25">
      <c r="A112" s="2"/>
      <c r="B112" s="3"/>
      <c r="C112" s="3"/>
      <c r="D112" s="3"/>
      <c r="E112" s="3"/>
      <c r="F112" s="3"/>
      <c r="G112" s="3"/>
      <c r="H112" s="3"/>
      <c r="I112" s="3"/>
      <c r="J112" s="3"/>
      <c r="K112" s="3"/>
      <c r="L112" s="3"/>
      <c r="M112" s="3"/>
      <c r="N112" s="6"/>
      <c r="O112" s="6"/>
      <c r="P112" s="15"/>
      <c r="Q112" s="7"/>
      <c r="R112" s="2"/>
      <c r="S112" s="2"/>
      <c r="T112" s="2"/>
      <c r="U112" s="2"/>
      <c r="V112" s="2"/>
      <c r="W112" s="2"/>
      <c r="X112" s="2"/>
      <c r="Y112" s="470"/>
      <c r="Z112" s="349"/>
      <c r="AA112" s="349"/>
      <c r="AB112" s="349"/>
      <c r="AC112" s="349"/>
      <c r="AD112" s="349"/>
      <c r="AE112" s="349"/>
      <c r="AF112" s="349"/>
      <c r="AG112" s="349"/>
      <c r="AH112" s="349"/>
      <c r="AI112" s="349"/>
      <c r="AJ112" s="349"/>
      <c r="AK112" s="349"/>
    </row>
    <row r="113" spans="1:37" ht="13" customHeight="1" x14ac:dyDescent="0.25">
      <c r="A113" s="2"/>
      <c r="B113" s="3"/>
      <c r="C113" s="3"/>
      <c r="D113" s="13" t="s">
        <v>442</v>
      </c>
      <c r="E113" s="2106" t="str">
        <f>Translations!$B$250</f>
        <v>Total mängd insatsbränsle till kraftvärmeenheten</v>
      </c>
      <c r="F113" s="1960"/>
      <c r="G113" s="1960"/>
      <c r="H113" s="1960"/>
      <c r="I113" s="1960"/>
      <c r="J113" s="1960"/>
      <c r="K113" s="1960"/>
      <c r="L113" s="1960"/>
      <c r="M113" s="1960"/>
      <c r="N113" s="1960"/>
      <c r="O113" s="6"/>
      <c r="P113" s="15"/>
      <c r="Q113" s="7"/>
      <c r="R113" s="2"/>
      <c r="S113" s="2"/>
      <c r="T113" s="2"/>
      <c r="U113" s="2"/>
      <c r="V113" s="2"/>
      <c r="W113" s="2"/>
      <c r="X113" s="2"/>
      <c r="Y113" s="470"/>
      <c r="Z113" s="349"/>
      <c r="AA113" s="349"/>
      <c r="AB113" s="349"/>
      <c r="AC113" s="349"/>
      <c r="AD113" s="349"/>
      <c r="AE113" s="349"/>
      <c r="AF113" s="349"/>
      <c r="AG113" s="349"/>
      <c r="AH113" s="349"/>
      <c r="AI113" s="349"/>
      <c r="AJ113" s="349"/>
      <c r="AK113" s="349"/>
    </row>
    <row r="114" spans="1:37" ht="13" x14ac:dyDescent="0.25">
      <c r="A114" s="2"/>
      <c r="B114" s="19"/>
      <c r="C114" s="19"/>
      <c r="D114" s="19"/>
      <c r="E114" s="914"/>
      <c r="F114" s="913"/>
      <c r="G114" s="31" t="str">
        <f>EUconst_Unit</f>
        <v>Enhet</v>
      </c>
      <c r="H114" s="320">
        <f t="shared" ref="H114:N114" si="29">H$278</f>
        <v>2019</v>
      </c>
      <c r="I114" s="320">
        <f t="shared" si="29"/>
        <v>2020</v>
      </c>
      <c r="J114" s="320">
        <f t="shared" si="29"/>
        <v>2021</v>
      </c>
      <c r="K114" s="320">
        <f t="shared" si="29"/>
        <v>2022</v>
      </c>
      <c r="L114" s="320">
        <f t="shared" si="29"/>
        <v>2023</v>
      </c>
      <c r="M114" s="320">
        <f t="shared" si="29"/>
        <v>2024</v>
      </c>
      <c r="N114" s="320">
        <f t="shared" si="29"/>
        <v>2025</v>
      </c>
      <c r="O114" s="6"/>
      <c r="P114" s="15"/>
      <c r="Q114" s="2"/>
      <c r="R114" s="2"/>
      <c r="S114" s="2"/>
      <c r="T114" s="2"/>
      <c r="U114" s="2"/>
      <c r="V114" s="2"/>
      <c r="W114" s="2"/>
      <c r="X114" s="2"/>
      <c r="Y114" s="470"/>
      <c r="Z114" s="349"/>
      <c r="AA114" s="349"/>
      <c r="AB114" s="349"/>
      <c r="AC114" s="349"/>
      <c r="AD114" s="349"/>
      <c r="AE114" s="349"/>
      <c r="AF114" s="349"/>
      <c r="AG114" s="349"/>
      <c r="AH114" s="349"/>
      <c r="AI114" s="349"/>
      <c r="AJ114" s="349"/>
      <c r="AK114" s="349"/>
    </row>
    <row r="115" spans="1:37" ht="12.65" customHeight="1" x14ac:dyDescent="0.25">
      <c r="A115" s="2"/>
      <c r="B115" s="19"/>
      <c r="C115" s="19"/>
      <c r="D115" s="19"/>
      <c r="E115" s="2129" t="str">
        <f>Translations!$B$252</f>
        <v>Insatsbränsle till kraftvärmeenheten</v>
      </c>
      <c r="F115" s="1997"/>
      <c r="G115" s="43" t="str">
        <f>EUconst_TJpa</f>
        <v>TJ / år</v>
      </c>
      <c r="H115" s="382"/>
      <c r="I115" s="382"/>
      <c r="J115" s="382"/>
      <c r="K115" s="382"/>
      <c r="L115" s="382"/>
      <c r="M115" s="382"/>
      <c r="N115" s="382"/>
      <c r="O115" s="6"/>
      <c r="P115" s="1362"/>
      <c r="Q115" s="7"/>
      <c r="R115" s="2"/>
      <c r="S115" s="2"/>
      <c r="T115" s="2"/>
      <c r="U115" s="2"/>
      <c r="V115" s="2"/>
      <c r="W115" s="2"/>
      <c r="X115" s="2"/>
      <c r="Y115" s="541" t="b">
        <f>Y93</f>
        <v>0</v>
      </c>
      <c r="Z115" s="349"/>
      <c r="AA115" s="349"/>
      <c r="AB115" s="349"/>
      <c r="AC115" s="349"/>
      <c r="AD115" s="349"/>
      <c r="AE115" s="349"/>
      <c r="AF115" s="349"/>
      <c r="AG115" s="349"/>
      <c r="AH115" s="349"/>
      <c r="AI115" s="349"/>
      <c r="AJ115" s="1526" t="s">
        <v>2248</v>
      </c>
      <c r="AK115" s="394" t="str">
        <f>IF(AND(CNTR_HasEntries_A_I,MSconst_RequireEmissionTotals,Y115=FALSE,COUNTIFS($AB$21:$AH$21,FALSE,H115:N115,"")&gt;0),3,"")</f>
        <v/>
      </c>
    </row>
    <row r="116" spans="1:37" ht="5.15" customHeight="1" x14ac:dyDescent="0.25">
      <c r="A116" s="2"/>
      <c r="B116" s="19"/>
      <c r="C116" s="19"/>
      <c r="D116" s="19"/>
      <c r="E116" s="19"/>
      <c r="F116" s="19"/>
      <c r="G116" s="19"/>
      <c r="H116" s="19"/>
      <c r="I116" s="19"/>
      <c r="J116" s="19"/>
      <c r="K116" s="19"/>
      <c r="L116" s="19"/>
      <c r="M116" s="19"/>
      <c r="N116" s="19"/>
      <c r="O116" s="6"/>
      <c r="P116" s="15"/>
      <c r="Q116" s="2"/>
      <c r="R116" s="2"/>
      <c r="S116" s="2"/>
      <c r="T116" s="2"/>
      <c r="U116" s="2"/>
      <c r="V116" s="2"/>
      <c r="W116" s="2"/>
      <c r="X116" s="2"/>
      <c r="Y116" s="470"/>
      <c r="Z116" s="349"/>
      <c r="AA116" s="349"/>
      <c r="AB116" s="349"/>
      <c r="AC116" s="349"/>
      <c r="AD116" s="349"/>
      <c r="AE116" s="349"/>
      <c r="AF116" s="349"/>
      <c r="AG116" s="349"/>
      <c r="AH116" s="349"/>
      <c r="AI116" s="349"/>
      <c r="AJ116" s="349"/>
      <c r="AK116" s="349"/>
    </row>
    <row r="117" spans="1:37" ht="13" customHeight="1" x14ac:dyDescent="0.25">
      <c r="A117" s="2"/>
      <c r="B117" s="3"/>
      <c r="C117" s="3"/>
      <c r="D117" s="13" t="s">
        <v>955</v>
      </c>
      <c r="E117" s="2106" t="str">
        <f>Translations!$B$253</f>
        <v>Värmeproduktion vid kraftvärmeenheten</v>
      </c>
      <c r="F117" s="1960"/>
      <c r="G117" s="1960"/>
      <c r="H117" s="1960"/>
      <c r="I117" s="1960"/>
      <c r="J117" s="1960"/>
      <c r="K117" s="1960"/>
      <c r="L117" s="1960"/>
      <c r="M117" s="1960"/>
      <c r="N117" s="1960"/>
      <c r="O117" s="6"/>
      <c r="P117" s="15"/>
      <c r="Q117" s="7"/>
      <c r="R117" s="2"/>
      <c r="S117" s="2"/>
      <c r="T117" s="2"/>
      <c r="U117" s="2"/>
      <c r="V117" s="2"/>
      <c r="W117" s="2"/>
      <c r="X117" s="2"/>
      <c r="Y117" s="470"/>
      <c r="Z117" s="349"/>
      <c r="AA117" s="349"/>
      <c r="AB117" s="349"/>
      <c r="AC117" s="349"/>
      <c r="AD117" s="349"/>
      <c r="AE117" s="349"/>
      <c r="AF117" s="349"/>
      <c r="AG117" s="349"/>
      <c r="AH117" s="349"/>
      <c r="AI117" s="349"/>
      <c r="AJ117" s="349"/>
      <c r="AK117" s="349"/>
    </row>
    <row r="118" spans="1:37" ht="13" x14ac:dyDescent="0.25">
      <c r="A118" s="2"/>
      <c r="B118" s="3"/>
      <c r="C118" s="3"/>
      <c r="D118" s="15"/>
      <c r="E118" s="914"/>
      <c r="F118" s="913"/>
      <c r="G118" s="31" t="str">
        <f>EUconst_Unit</f>
        <v>Enhet</v>
      </c>
      <c r="H118" s="320">
        <f t="shared" ref="H118:N118" si="30">H$278</f>
        <v>2019</v>
      </c>
      <c r="I118" s="320">
        <f t="shared" si="30"/>
        <v>2020</v>
      </c>
      <c r="J118" s="320">
        <f t="shared" si="30"/>
        <v>2021</v>
      </c>
      <c r="K118" s="320">
        <f t="shared" si="30"/>
        <v>2022</v>
      </c>
      <c r="L118" s="320">
        <f t="shared" si="30"/>
        <v>2023</v>
      </c>
      <c r="M118" s="320">
        <f t="shared" si="30"/>
        <v>2024</v>
      </c>
      <c r="N118" s="320">
        <f t="shared" si="30"/>
        <v>2025</v>
      </c>
      <c r="O118" s="6"/>
      <c r="P118" s="15"/>
      <c r="Q118" s="7"/>
      <c r="R118" s="2"/>
      <c r="S118" s="2"/>
      <c r="T118" s="2"/>
      <c r="U118" s="2"/>
      <c r="V118" s="2"/>
      <c r="W118" s="2"/>
      <c r="X118" s="2"/>
      <c r="Y118" s="470"/>
      <c r="Z118" s="349"/>
      <c r="AA118" s="349"/>
      <c r="AB118" s="349"/>
      <c r="AC118" s="349"/>
      <c r="AD118" s="349"/>
      <c r="AE118" s="349"/>
      <c r="AF118" s="349"/>
      <c r="AG118" s="349"/>
      <c r="AH118" s="349"/>
      <c r="AI118" s="349"/>
      <c r="AJ118" s="349"/>
      <c r="AK118" s="349"/>
    </row>
    <row r="119" spans="1:37" ht="12.65" customHeight="1" x14ac:dyDescent="0.25">
      <c r="A119" s="2"/>
      <c r="B119" s="19"/>
      <c r="C119" s="19"/>
      <c r="D119" s="19"/>
      <c r="E119" s="2129" t="str">
        <f>Translations!$B$253</f>
        <v>Värmeproduktion vid kraftvärmeenheten</v>
      </c>
      <c r="F119" s="1997"/>
      <c r="G119" s="43" t="str">
        <f>EUconst_TJpa</f>
        <v>TJ / år</v>
      </c>
      <c r="H119" s="382"/>
      <c r="I119" s="382"/>
      <c r="J119" s="382"/>
      <c r="K119" s="382"/>
      <c r="L119" s="382"/>
      <c r="M119" s="382"/>
      <c r="N119" s="382"/>
      <c r="O119" s="6"/>
      <c r="P119" s="1362"/>
      <c r="Q119" s="2"/>
      <c r="R119" s="2"/>
      <c r="S119" s="2"/>
      <c r="T119" s="2"/>
      <c r="U119" s="2"/>
      <c r="V119" s="2"/>
      <c r="W119" s="2"/>
      <c r="X119" s="2"/>
      <c r="Y119" s="541" t="b">
        <f>Y115</f>
        <v>0</v>
      </c>
      <c r="Z119" s="349"/>
      <c r="AA119" s="349"/>
      <c r="AB119" s="349"/>
      <c r="AC119" s="349"/>
      <c r="AD119" s="349"/>
      <c r="AE119" s="349"/>
      <c r="AF119" s="349"/>
      <c r="AG119" s="349"/>
      <c r="AH119" s="349"/>
      <c r="AI119" s="349"/>
      <c r="AJ119" s="1526" t="s">
        <v>2248</v>
      </c>
      <c r="AK119" s="394" t="str">
        <f>IF(AND(CNTR_HasEntries_A_I,MSconst_RequireEmissionTotals,Y119=FALSE,COUNTIFS($AB$21:$AH$21,FALSE,H119:N119,"")&gt;0),3,"")</f>
        <v/>
      </c>
    </row>
    <row r="120" spans="1:37" ht="5.15" customHeight="1" x14ac:dyDescent="0.25">
      <c r="A120" s="2"/>
      <c r="B120" s="19"/>
      <c r="C120" s="19"/>
      <c r="D120" s="19"/>
      <c r="E120" s="19"/>
      <c r="F120" s="19"/>
      <c r="G120" s="19"/>
      <c r="H120" s="19"/>
      <c r="I120" s="19"/>
      <c r="J120" s="19"/>
      <c r="K120" s="19"/>
      <c r="L120" s="19"/>
      <c r="M120" s="19"/>
      <c r="N120" s="19"/>
      <c r="O120" s="6"/>
      <c r="P120" s="15"/>
      <c r="Q120" s="2"/>
      <c r="R120" s="2"/>
      <c r="S120" s="2"/>
      <c r="T120" s="2"/>
      <c r="U120" s="2"/>
      <c r="V120" s="2"/>
      <c r="W120" s="2"/>
      <c r="X120" s="2"/>
      <c r="Y120" s="470"/>
      <c r="Z120" s="349"/>
      <c r="AA120" s="349"/>
      <c r="AB120" s="349"/>
      <c r="AC120" s="349"/>
      <c r="AD120" s="349"/>
      <c r="AE120" s="349"/>
      <c r="AF120" s="349"/>
      <c r="AG120" s="349"/>
      <c r="AH120" s="349"/>
      <c r="AI120" s="349"/>
      <c r="AJ120" s="349"/>
      <c r="AK120" s="349"/>
    </row>
    <row r="121" spans="1:37" ht="13" customHeight="1" x14ac:dyDescent="0.25">
      <c r="A121" s="2"/>
      <c r="B121" s="3"/>
      <c r="C121" s="3"/>
      <c r="D121" s="13" t="s">
        <v>55</v>
      </c>
      <c r="E121" s="2106" t="str">
        <f>Translations!$B$254</f>
        <v>Elproduktion vid kraftvärmeenheten</v>
      </c>
      <c r="F121" s="1960"/>
      <c r="G121" s="1960"/>
      <c r="H121" s="1960"/>
      <c r="I121" s="1960"/>
      <c r="J121" s="1960"/>
      <c r="K121" s="1960"/>
      <c r="L121" s="1960"/>
      <c r="M121" s="1960"/>
      <c r="N121" s="1960"/>
      <c r="O121" s="6"/>
      <c r="P121" s="15"/>
      <c r="Q121" s="7"/>
      <c r="R121" s="2"/>
      <c r="S121" s="2"/>
      <c r="T121" s="2"/>
      <c r="U121" s="2"/>
      <c r="V121" s="2"/>
      <c r="W121" s="2"/>
      <c r="X121" s="2"/>
      <c r="Y121" s="470"/>
      <c r="Z121" s="349"/>
      <c r="AA121" s="349"/>
      <c r="AB121" s="349"/>
      <c r="AC121" s="349"/>
      <c r="AD121" s="349"/>
      <c r="AE121" s="349"/>
      <c r="AF121" s="349"/>
      <c r="AG121" s="349"/>
      <c r="AH121" s="349"/>
      <c r="AI121" s="349"/>
      <c r="AJ121" s="349"/>
      <c r="AK121" s="349"/>
    </row>
    <row r="122" spans="1:37" ht="13" x14ac:dyDescent="0.25">
      <c r="A122" s="2"/>
      <c r="B122" s="3"/>
      <c r="C122" s="3"/>
      <c r="D122" s="15"/>
      <c r="E122" s="914"/>
      <c r="F122" s="913"/>
      <c r="G122" s="31" t="str">
        <f>EUconst_Unit</f>
        <v>Enhet</v>
      </c>
      <c r="H122" s="320">
        <f t="shared" ref="H122:N122" si="31">H$278</f>
        <v>2019</v>
      </c>
      <c r="I122" s="320">
        <f t="shared" si="31"/>
        <v>2020</v>
      </c>
      <c r="J122" s="320">
        <f t="shared" si="31"/>
        <v>2021</v>
      </c>
      <c r="K122" s="320">
        <f t="shared" si="31"/>
        <v>2022</v>
      </c>
      <c r="L122" s="320">
        <f t="shared" si="31"/>
        <v>2023</v>
      </c>
      <c r="M122" s="320">
        <f t="shared" si="31"/>
        <v>2024</v>
      </c>
      <c r="N122" s="320">
        <f t="shared" si="31"/>
        <v>2025</v>
      </c>
      <c r="O122" s="6"/>
      <c r="P122" s="15"/>
      <c r="Q122" s="7"/>
      <c r="R122" s="2"/>
      <c r="S122" s="2"/>
      <c r="T122" s="2"/>
      <c r="U122" s="2"/>
      <c r="V122" s="2"/>
      <c r="W122" s="2"/>
      <c r="X122" s="2"/>
      <c r="Y122" s="470"/>
      <c r="Z122" s="349"/>
      <c r="AA122" s="349"/>
      <c r="AB122" s="349"/>
      <c r="AC122" s="349"/>
      <c r="AD122" s="349"/>
      <c r="AE122" s="349"/>
      <c r="AF122" s="349"/>
      <c r="AG122" s="349"/>
      <c r="AH122" s="349"/>
      <c r="AI122" s="349"/>
      <c r="AJ122" s="349"/>
      <c r="AK122" s="349"/>
    </row>
    <row r="123" spans="1:37" ht="12.65" customHeight="1" x14ac:dyDescent="0.25">
      <c r="A123" s="2"/>
      <c r="B123" s="3"/>
      <c r="C123" s="3"/>
      <c r="D123" s="15"/>
      <c r="E123" s="2129" t="str">
        <f>Translations!$B$255</f>
        <v>Elproduktion vid kraftvärmeenheten</v>
      </c>
      <c r="F123" s="1997"/>
      <c r="G123" s="43" t="str">
        <f>EUconst_MWhpa</f>
        <v>MWh / år</v>
      </c>
      <c r="H123" s="382"/>
      <c r="I123" s="382"/>
      <c r="J123" s="382"/>
      <c r="K123" s="382"/>
      <c r="L123" s="382"/>
      <c r="M123" s="382"/>
      <c r="N123" s="382"/>
      <c r="O123" s="6"/>
      <c r="P123" s="1362"/>
      <c r="Q123" s="7"/>
      <c r="R123" s="2"/>
      <c r="S123" s="2"/>
      <c r="T123" s="2"/>
      <c r="U123" s="2"/>
      <c r="V123" s="2"/>
      <c r="W123" s="2"/>
      <c r="X123" s="2"/>
      <c r="Y123" s="541" t="b">
        <f>Y119</f>
        <v>0</v>
      </c>
      <c r="Z123" s="349"/>
      <c r="AA123" s="349"/>
      <c r="AB123" s="349"/>
      <c r="AC123" s="349"/>
      <c r="AD123" s="349"/>
      <c r="AE123" s="349"/>
      <c r="AF123" s="349"/>
      <c r="AG123" s="349"/>
      <c r="AH123" s="349"/>
      <c r="AI123" s="349"/>
      <c r="AJ123" s="1526" t="s">
        <v>2248</v>
      </c>
      <c r="AK123" s="394" t="str">
        <f>IF(AND(CNTR_HasEntries_A_I,MSconst_RequireEmissionTotals,Y123=FALSE,COUNTIFS($AB$21:$AH$21,FALSE,H123:N123,"")&gt;0),3,"")</f>
        <v/>
      </c>
    </row>
    <row r="124" spans="1:37" ht="12.65" customHeight="1" x14ac:dyDescent="0.25">
      <c r="A124" s="2"/>
      <c r="B124" s="19"/>
      <c r="C124" s="19"/>
      <c r="D124" s="19"/>
      <c r="E124" s="2129" t="str">
        <f>Translations!$B$254</f>
        <v>Elproduktion vid kraftvärmeenheten</v>
      </c>
      <c r="F124" s="1997"/>
      <c r="G124" s="43" t="str">
        <f>EUconst_TJpa</f>
        <v>TJ / år</v>
      </c>
      <c r="H124" s="351" t="str">
        <f t="shared" ref="H124:N124" si="32">IF(ISBLANK(H123),"",H123*3.6/1000)</f>
        <v/>
      </c>
      <c r="I124" s="351" t="str">
        <f t="shared" si="32"/>
        <v/>
      </c>
      <c r="J124" s="351" t="str">
        <f t="shared" si="32"/>
        <v/>
      </c>
      <c r="K124" s="351" t="str">
        <f t="shared" si="32"/>
        <v/>
      </c>
      <c r="L124" s="351" t="str">
        <f t="shared" si="32"/>
        <v/>
      </c>
      <c r="M124" s="351" t="str">
        <f t="shared" si="32"/>
        <v/>
      </c>
      <c r="N124" s="351" t="str">
        <f t="shared" si="32"/>
        <v/>
      </c>
      <c r="O124" s="6"/>
      <c r="P124" s="15"/>
      <c r="Q124" s="2"/>
      <c r="R124" s="2"/>
      <c r="S124" s="2"/>
      <c r="T124" s="2"/>
      <c r="U124" s="2"/>
      <c r="V124" s="2"/>
      <c r="W124" s="2"/>
      <c r="X124" s="2"/>
      <c r="Y124" s="541" t="b">
        <f>Y119</f>
        <v>0</v>
      </c>
      <c r="Z124" s="349"/>
      <c r="AA124" s="349"/>
      <c r="AB124" s="349"/>
      <c r="AC124" s="349"/>
      <c r="AD124" s="349"/>
      <c r="AE124" s="349"/>
      <c r="AF124" s="349"/>
      <c r="AG124" s="349"/>
      <c r="AH124" s="349"/>
      <c r="AI124" s="349"/>
      <c r="AJ124" s="1526" t="s">
        <v>2248</v>
      </c>
      <c r="AK124" s="394" t="str">
        <f>IF(AND(CNTR_HasEntries_A_I,MSconst_RequireEmissionTotals,Y124=FALSE,COUNTIFS($AB$21:$AH$21,FALSE,H124:N124,"")&gt;0),3,"")</f>
        <v/>
      </c>
    </row>
    <row r="125" spans="1:37" ht="5.15" customHeight="1" x14ac:dyDescent="0.25">
      <c r="A125" s="2"/>
      <c r="B125" s="19"/>
      <c r="C125" s="19"/>
      <c r="D125" s="19"/>
      <c r="E125" s="19"/>
      <c r="F125" s="19"/>
      <c r="G125" s="19"/>
      <c r="H125" s="19"/>
      <c r="I125" s="19"/>
      <c r="J125" s="19"/>
      <c r="K125" s="19"/>
      <c r="L125" s="19"/>
      <c r="M125" s="19"/>
      <c r="N125" s="19"/>
      <c r="O125" s="6"/>
      <c r="P125" s="15"/>
      <c r="Q125" s="2"/>
      <c r="R125" s="2"/>
      <c r="S125" s="2"/>
      <c r="T125" s="2"/>
      <c r="U125" s="2"/>
      <c r="V125" s="2"/>
      <c r="W125" s="2"/>
      <c r="X125" s="2"/>
      <c r="Y125" s="470"/>
      <c r="Z125" s="349"/>
      <c r="AA125" s="349"/>
      <c r="AB125" s="349"/>
      <c r="AC125" s="349"/>
      <c r="AD125" s="349"/>
      <c r="AE125" s="349"/>
      <c r="AF125" s="349"/>
      <c r="AG125" s="349"/>
      <c r="AH125" s="349"/>
      <c r="AI125" s="349"/>
      <c r="AJ125" s="349"/>
      <c r="AK125" s="349"/>
    </row>
    <row r="126" spans="1:37" ht="13" customHeight="1" x14ac:dyDescent="0.25">
      <c r="A126" s="2"/>
      <c r="B126" s="3"/>
      <c r="C126" s="3"/>
      <c r="D126" s="13" t="s">
        <v>960</v>
      </c>
      <c r="E126" s="2106" t="str">
        <f>Translations!$B$256</f>
        <v>Totala utsläpp vid kraftvärmeenheten</v>
      </c>
      <c r="F126" s="1960"/>
      <c r="G126" s="1960"/>
      <c r="H126" s="1960"/>
      <c r="I126" s="1960"/>
      <c r="J126" s="1960"/>
      <c r="K126" s="1960"/>
      <c r="L126" s="1960"/>
      <c r="M126" s="1960"/>
      <c r="N126" s="1960"/>
      <c r="O126" s="6"/>
      <c r="P126" s="15"/>
      <c r="Q126" s="7"/>
      <c r="R126" s="2"/>
      <c r="S126" s="2"/>
      <c r="T126" s="2"/>
      <c r="U126" s="2"/>
      <c r="V126" s="2"/>
      <c r="W126" s="2"/>
      <c r="X126" s="2"/>
      <c r="Y126" s="470"/>
      <c r="Z126" s="349"/>
      <c r="AA126" s="349"/>
      <c r="AB126" s="349"/>
      <c r="AC126" s="349"/>
      <c r="AD126" s="349"/>
      <c r="AE126" s="349"/>
      <c r="AF126" s="349"/>
      <c r="AG126" s="349"/>
      <c r="AH126" s="349"/>
      <c r="AI126" s="349"/>
      <c r="AJ126" s="349"/>
      <c r="AK126" s="349"/>
    </row>
    <row r="127" spans="1:37" ht="13" x14ac:dyDescent="0.25">
      <c r="A127" s="2"/>
      <c r="B127" s="3"/>
      <c r="C127" s="3"/>
      <c r="D127" s="15"/>
      <c r="E127" s="914"/>
      <c r="F127" s="913"/>
      <c r="G127" s="31" t="str">
        <f>EUconst_Unit</f>
        <v>Enhet</v>
      </c>
      <c r="H127" s="320">
        <f t="shared" ref="H127:N127" si="33">H$278</f>
        <v>2019</v>
      </c>
      <c r="I127" s="320">
        <f t="shared" si="33"/>
        <v>2020</v>
      </c>
      <c r="J127" s="320">
        <f t="shared" si="33"/>
        <v>2021</v>
      </c>
      <c r="K127" s="320">
        <f t="shared" si="33"/>
        <v>2022</v>
      </c>
      <c r="L127" s="320">
        <f t="shared" si="33"/>
        <v>2023</v>
      </c>
      <c r="M127" s="320">
        <f t="shared" si="33"/>
        <v>2024</v>
      </c>
      <c r="N127" s="320">
        <f t="shared" si="33"/>
        <v>2025</v>
      </c>
      <c r="O127" s="6"/>
      <c r="P127" s="15"/>
      <c r="Q127" s="7"/>
      <c r="R127" s="2"/>
      <c r="S127" s="2"/>
      <c r="T127" s="2"/>
      <c r="U127" s="2"/>
      <c r="V127" s="2"/>
      <c r="W127" s="2"/>
      <c r="X127" s="2"/>
      <c r="Y127" s="470"/>
      <c r="Z127" s="349"/>
      <c r="AA127" s="349"/>
      <c r="AB127" s="349"/>
      <c r="AC127" s="349"/>
      <c r="AD127" s="349"/>
      <c r="AE127" s="349"/>
      <c r="AF127" s="349"/>
      <c r="AG127" s="349"/>
      <c r="AH127" s="349"/>
      <c r="AI127" s="349"/>
      <c r="AJ127" s="349"/>
      <c r="AK127" s="349"/>
    </row>
    <row r="128" spans="1:37" ht="12.65" customHeight="1" x14ac:dyDescent="0.25">
      <c r="A128" s="2"/>
      <c r="B128" s="19"/>
      <c r="C128" s="19"/>
      <c r="D128" s="289" t="s">
        <v>8</v>
      </c>
      <c r="E128" s="2129" t="str">
        <f>Translations!$B$258</f>
        <v>Från insatsbränsle till kraftvärmeenheten</v>
      </c>
      <c r="F128" s="1997"/>
      <c r="G128" s="43" t="str">
        <f>EUconst_tCO2pa</f>
        <v>t CO2 / år</v>
      </c>
      <c r="H128" s="382"/>
      <c r="I128" s="382"/>
      <c r="J128" s="382"/>
      <c r="K128" s="382"/>
      <c r="L128" s="382"/>
      <c r="M128" s="382"/>
      <c r="N128" s="382"/>
      <c r="O128" s="6"/>
      <c r="P128" s="1362"/>
      <c r="Q128" s="2"/>
      <c r="R128" s="2"/>
      <c r="S128" s="2"/>
      <c r="T128" s="2"/>
      <c r="U128" s="2"/>
      <c r="V128" s="2"/>
      <c r="W128" s="2"/>
      <c r="X128" s="2"/>
      <c r="Y128" s="541" t="b">
        <f>Y124</f>
        <v>0</v>
      </c>
      <c r="Z128" s="349"/>
      <c r="AA128" s="349"/>
      <c r="AB128" s="349"/>
      <c r="AC128" s="349"/>
      <c r="AD128" s="349"/>
      <c r="AE128" s="349"/>
      <c r="AF128" s="349"/>
      <c r="AG128" s="349"/>
      <c r="AH128" s="349"/>
      <c r="AI128" s="349"/>
      <c r="AJ128" s="1526" t="s">
        <v>2248</v>
      </c>
      <c r="AK128" s="394" t="str">
        <f>IF(AND(CNTR_HasEntries_A_I,MSconst_RequireEmissionTotals,Y128=FALSE,COUNTIFS($AB$21:$AH$21,FALSE,H128:N128,"")&gt;0),3,"")</f>
        <v/>
      </c>
    </row>
    <row r="129" spans="1:37" ht="12.65" customHeight="1" x14ac:dyDescent="0.25">
      <c r="A129" s="2"/>
      <c r="B129" s="19"/>
      <c r="C129" s="19"/>
      <c r="D129" s="289" t="s">
        <v>9</v>
      </c>
      <c r="E129" s="2129" t="str">
        <f>Translations!$B$259</f>
        <v>Från rökgasrening</v>
      </c>
      <c r="F129" s="1997"/>
      <c r="G129" s="43" t="str">
        <f>EUconst_tCO2pa</f>
        <v>t CO2 / år</v>
      </c>
      <c r="H129" s="382"/>
      <c r="I129" s="382"/>
      <c r="J129" s="382"/>
      <c r="K129" s="382"/>
      <c r="L129" s="382"/>
      <c r="M129" s="382"/>
      <c r="N129" s="382"/>
      <c r="O129" s="6"/>
      <c r="P129" s="1362"/>
      <c r="Q129" s="2"/>
      <c r="R129" s="2"/>
      <c r="S129" s="2"/>
      <c r="T129" s="2"/>
      <c r="U129" s="2"/>
      <c r="V129" s="2"/>
      <c r="W129" s="2"/>
      <c r="X129" s="2"/>
      <c r="Y129" s="541" t="b">
        <f>Y128</f>
        <v>0</v>
      </c>
      <c r="Z129" s="349"/>
      <c r="AA129" s="349"/>
      <c r="AB129" s="349"/>
      <c r="AC129" s="349"/>
      <c r="AD129" s="349"/>
      <c r="AE129" s="349"/>
      <c r="AF129" s="349"/>
      <c r="AG129" s="349"/>
      <c r="AH129" s="349"/>
      <c r="AI129" s="349"/>
      <c r="AJ129" s="1526" t="s">
        <v>2248</v>
      </c>
      <c r="AK129" s="394" t="str">
        <f>IF(AND(CNTR_HasEntries_A_I,MSconst_RequireEmissionTotals,Y129=FALSE,COUNTIFS($AB$21:$AH$21,FALSE,H129:N129,"")&gt;0),3,"")</f>
        <v/>
      </c>
    </row>
    <row r="130" spans="1:37" ht="12.65" customHeight="1" x14ac:dyDescent="0.25">
      <c r="A130" s="2"/>
      <c r="B130" s="19"/>
      <c r="C130" s="19"/>
      <c r="D130" s="289" t="s">
        <v>10</v>
      </c>
      <c r="E130" s="2129" t="str">
        <f>Translations!$B$260</f>
        <v>Totala utsläpp</v>
      </c>
      <c r="F130" s="1997"/>
      <c r="G130" s="43" t="str">
        <f>EUconst_tCO2pa</f>
        <v>t CO2 / år</v>
      </c>
      <c r="H130" s="351" t="str">
        <f t="shared" ref="H130:N130" si="34">IF(COUNT(H128:H129)&gt;0,SUM(H128:H129),"")</f>
        <v/>
      </c>
      <c r="I130" s="351" t="str">
        <f t="shared" si="34"/>
        <v/>
      </c>
      <c r="J130" s="351" t="str">
        <f t="shared" si="34"/>
        <v/>
      </c>
      <c r="K130" s="351" t="str">
        <f t="shared" si="34"/>
        <v/>
      </c>
      <c r="L130" s="351" t="str">
        <f t="shared" si="34"/>
        <v/>
      </c>
      <c r="M130" s="351" t="str">
        <f t="shared" si="34"/>
        <v/>
      </c>
      <c r="N130" s="351" t="str">
        <f t="shared" si="34"/>
        <v/>
      </c>
      <c r="O130" s="6"/>
      <c r="P130" s="15"/>
      <c r="Q130" s="2"/>
      <c r="R130" s="2"/>
      <c r="S130" s="2"/>
      <c r="T130" s="2"/>
      <c r="U130" s="2"/>
      <c r="V130" s="2"/>
      <c r="W130" s="2"/>
      <c r="X130" s="2"/>
      <c r="Y130" s="470"/>
      <c r="Z130" s="349"/>
      <c r="AA130" s="349"/>
      <c r="AB130" s="349"/>
      <c r="AC130" s="349"/>
      <c r="AD130" s="349"/>
      <c r="AE130" s="349"/>
      <c r="AF130" s="349"/>
      <c r="AG130" s="349"/>
      <c r="AH130" s="349"/>
      <c r="AI130" s="349"/>
      <c r="AJ130" s="349"/>
      <c r="AK130" s="349"/>
    </row>
    <row r="131" spans="1:37" ht="5.15" customHeight="1" x14ac:dyDescent="0.25">
      <c r="A131" s="2"/>
      <c r="B131" s="19"/>
      <c r="C131" s="19"/>
      <c r="D131" s="19"/>
      <c r="E131" s="19"/>
      <c r="F131" s="19"/>
      <c r="G131" s="19"/>
      <c r="H131" s="19"/>
      <c r="I131" s="19"/>
      <c r="J131" s="19"/>
      <c r="K131" s="19"/>
      <c r="L131" s="19"/>
      <c r="M131" s="19"/>
      <c r="N131" s="19"/>
      <c r="O131" s="6"/>
      <c r="P131" s="15"/>
      <c r="Q131" s="2"/>
      <c r="R131" s="2"/>
      <c r="S131" s="2"/>
      <c r="T131" s="2"/>
      <c r="U131" s="2"/>
      <c r="V131" s="2"/>
      <c r="W131" s="2"/>
      <c r="X131" s="2"/>
      <c r="Y131" s="470"/>
      <c r="Z131" s="349"/>
      <c r="AA131" s="349"/>
      <c r="AB131" s="349"/>
      <c r="AC131" s="349"/>
      <c r="AD131" s="349"/>
      <c r="AE131" s="349"/>
      <c r="AF131" s="349"/>
      <c r="AG131" s="349"/>
      <c r="AH131" s="349"/>
      <c r="AI131" s="349"/>
      <c r="AJ131" s="349"/>
      <c r="AK131" s="349"/>
    </row>
    <row r="132" spans="1:37" ht="12.75" customHeight="1" x14ac:dyDescent="0.25">
      <c r="A132" s="2"/>
      <c r="B132" s="19"/>
      <c r="C132" s="19"/>
      <c r="D132" s="13" t="s">
        <v>65</v>
      </c>
      <c r="E132" s="2106" t="str">
        <f>Translations!$B$261</f>
        <v>Standardeffektivitet:</v>
      </c>
      <c r="F132" s="1960"/>
      <c r="G132" s="1960"/>
      <c r="H132" s="1960"/>
      <c r="I132" s="1960"/>
      <c r="J132" s="538" t="str">
        <f>Translations!$B$262</f>
        <v>Värme:</v>
      </c>
      <c r="K132" s="586">
        <v>0.55000000000000004</v>
      </c>
      <c r="L132" s="19"/>
      <c r="M132" s="538" t="str">
        <f>Translations!$B$263</f>
        <v>El:</v>
      </c>
      <c r="N132" s="586">
        <v>0.25</v>
      </c>
      <c r="O132" s="6"/>
      <c r="P132" s="15"/>
      <c r="Q132" s="2"/>
      <c r="R132" s="2"/>
      <c r="S132" s="2"/>
      <c r="T132" s="2"/>
      <c r="U132" s="2"/>
      <c r="V132" s="2"/>
      <c r="W132" s="2"/>
      <c r="X132" s="2"/>
      <c r="Y132" s="470"/>
      <c r="Z132" s="349"/>
      <c r="AA132" s="349"/>
      <c r="AB132" s="349"/>
      <c r="AC132" s="349"/>
      <c r="AD132" s="349"/>
      <c r="AE132" s="349"/>
      <c r="AF132" s="349"/>
      <c r="AG132" s="349"/>
      <c r="AH132" s="349"/>
      <c r="AI132" s="349"/>
      <c r="AJ132" s="349"/>
      <c r="AK132" s="349"/>
    </row>
    <row r="133" spans="1:37" ht="5.15" customHeight="1" x14ac:dyDescent="0.25">
      <c r="A133" s="2"/>
      <c r="B133" s="19"/>
      <c r="C133" s="19"/>
      <c r="D133" s="19"/>
      <c r="E133" s="19"/>
      <c r="F133" s="19"/>
      <c r="G133" s="19"/>
      <c r="H133" s="19"/>
      <c r="I133" s="19"/>
      <c r="J133" s="19"/>
      <c r="K133" s="19"/>
      <c r="L133" s="19"/>
      <c r="M133" s="19"/>
      <c r="N133" s="19"/>
      <c r="O133" s="6"/>
      <c r="P133" s="15"/>
      <c r="Q133" s="2"/>
      <c r="R133" s="2"/>
      <c r="S133" s="2"/>
      <c r="T133" s="2"/>
      <c r="U133" s="2"/>
      <c r="V133" s="2"/>
      <c r="W133" s="2"/>
      <c r="X133" s="2"/>
      <c r="Y133" s="470"/>
      <c r="Z133" s="349"/>
      <c r="AA133" s="349"/>
      <c r="AB133" s="349"/>
      <c r="AC133" s="349"/>
      <c r="AD133" s="349"/>
      <c r="AE133" s="349"/>
      <c r="AF133" s="349"/>
      <c r="AG133" s="349"/>
      <c r="AH133" s="349"/>
      <c r="AI133" s="349"/>
      <c r="AJ133" s="349"/>
      <c r="AK133" s="349"/>
    </row>
    <row r="134" spans="1:37" ht="13" customHeight="1" x14ac:dyDescent="0.25">
      <c r="A134" s="2"/>
      <c r="B134" s="3"/>
      <c r="C134" s="3"/>
      <c r="D134" s="13" t="s">
        <v>66</v>
      </c>
      <c r="E134" s="2106" t="str">
        <f>Translations!$B$264</f>
        <v>Effektivitet för värme och el</v>
      </c>
      <c r="F134" s="1960"/>
      <c r="G134" s="1960"/>
      <c r="H134" s="1960"/>
      <c r="I134" s="1960"/>
      <c r="J134" s="1960"/>
      <c r="K134" s="1960"/>
      <c r="L134" s="1960"/>
      <c r="M134" s="1960"/>
      <c r="N134" s="1960"/>
      <c r="O134" s="6"/>
      <c r="P134" s="15"/>
      <c r="Q134" s="7"/>
      <c r="R134" s="2"/>
      <c r="S134" s="2"/>
      <c r="T134" s="2"/>
      <c r="U134" s="2"/>
      <c r="V134" s="2"/>
      <c r="W134" s="2"/>
      <c r="X134" s="2"/>
      <c r="Y134" s="470"/>
      <c r="Z134" s="349"/>
      <c r="AA134" s="349"/>
      <c r="AB134" s="349"/>
      <c r="AC134" s="349"/>
      <c r="AD134" s="349"/>
      <c r="AE134" s="349"/>
      <c r="AF134" s="349"/>
      <c r="AG134" s="349"/>
      <c r="AH134" s="349"/>
      <c r="AI134" s="349"/>
      <c r="AJ134" s="349"/>
      <c r="AK134" s="349"/>
    </row>
    <row r="135" spans="1:37" ht="13" x14ac:dyDescent="0.25">
      <c r="A135" s="2"/>
      <c r="B135" s="19"/>
      <c r="C135" s="19"/>
      <c r="D135" s="19"/>
      <c r="E135" s="914"/>
      <c r="F135" s="913"/>
      <c r="G135" s="31" t="str">
        <f>EUconst_Unit</f>
        <v>Enhet</v>
      </c>
      <c r="H135" s="320">
        <f t="shared" ref="H135:N135" si="35">H$278</f>
        <v>2019</v>
      </c>
      <c r="I135" s="320">
        <f t="shared" si="35"/>
        <v>2020</v>
      </c>
      <c r="J135" s="320">
        <f t="shared" si="35"/>
        <v>2021</v>
      </c>
      <c r="K135" s="320">
        <f t="shared" si="35"/>
        <v>2022</v>
      </c>
      <c r="L135" s="320">
        <f t="shared" si="35"/>
        <v>2023</v>
      </c>
      <c r="M135" s="320">
        <f t="shared" si="35"/>
        <v>2024</v>
      </c>
      <c r="N135" s="320">
        <f t="shared" si="35"/>
        <v>2025</v>
      </c>
      <c r="O135" s="6"/>
      <c r="P135" s="15"/>
      <c r="Q135" s="2"/>
      <c r="R135" s="2"/>
      <c r="S135" s="2"/>
      <c r="T135" s="2"/>
      <c r="U135" s="2"/>
      <c r="V135" s="2"/>
      <c r="W135" s="2"/>
      <c r="X135" s="2"/>
      <c r="Y135" s="470"/>
      <c r="Z135" s="349"/>
      <c r="AA135" s="349"/>
      <c r="AB135" s="349"/>
      <c r="AC135" s="349"/>
      <c r="AD135" s="349"/>
      <c r="AE135" s="349"/>
      <c r="AF135" s="349"/>
      <c r="AG135" s="349"/>
      <c r="AH135" s="349"/>
      <c r="AI135" s="349"/>
      <c r="AJ135" s="349"/>
      <c r="AK135" s="349"/>
    </row>
    <row r="136" spans="1:37" ht="12.75" customHeight="1" x14ac:dyDescent="0.25">
      <c r="A136" s="2"/>
      <c r="B136" s="19"/>
      <c r="C136" s="19"/>
      <c r="D136" s="289" t="s">
        <v>8</v>
      </c>
      <c r="E136" s="2129" t="str">
        <f>Translations!$B$267</f>
        <v>Värmeproduktion</v>
      </c>
      <c r="F136" s="1997"/>
      <c r="G136" s="358" t="s">
        <v>1112</v>
      </c>
      <c r="H136" s="539" t="str">
        <f>IF(AND(ISNUMBER(H115),ISNUMBER(H119)),IF(H115=0,0,H119/H115),IF(ISNUMBER(H130),$K132,""))</f>
        <v/>
      </c>
      <c r="I136" s="539" t="str">
        <f t="shared" ref="I136:N136" si="36">IF(AND(ISNUMBER(I115),ISNUMBER(I119)),IF(I115=0,0,I119/I115),IF(ISNUMBER(I130),$K132,""))</f>
        <v/>
      </c>
      <c r="J136" s="539" t="str">
        <f t="shared" si="36"/>
        <v/>
      </c>
      <c r="K136" s="539" t="str">
        <f t="shared" si="36"/>
        <v/>
      </c>
      <c r="L136" s="539" t="str">
        <f t="shared" si="36"/>
        <v/>
      </c>
      <c r="M136" s="539" t="str">
        <f t="shared" si="36"/>
        <v/>
      </c>
      <c r="N136" s="539" t="str">
        <f t="shared" si="36"/>
        <v/>
      </c>
      <c r="O136" s="6"/>
      <c r="P136" s="15"/>
      <c r="Q136" s="2"/>
      <c r="R136" s="2"/>
      <c r="S136" s="2"/>
      <c r="T136" s="2"/>
      <c r="U136" s="2"/>
      <c r="V136" s="2"/>
      <c r="W136" s="2"/>
      <c r="X136" s="2"/>
      <c r="Y136" s="470"/>
      <c r="Z136" s="349"/>
      <c r="AA136" s="349"/>
      <c r="AB136" s="349"/>
      <c r="AC136" s="349"/>
      <c r="AD136" s="349"/>
      <c r="AE136" s="349"/>
      <c r="AF136" s="349"/>
      <c r="AG136" s="349"/>
      <c r="AH136" s="349"/>
      <c r="AI136" s="349"/>
      <c r="AJ136" s="349"/>
      <c r="AK136" s="349"/>
    </row>
    <row r="137" spans="1:37" ht="12.75" customHeight="1" x14ac:dyDescent="0.25">
      <c r="A137" s="2"/>
      <c r="B137" s="19"/>
      <c r="C137" s="19"/>
      <c r="D137" s="289" t="s">
        <v>9</v>
      </c>
      <c r="E137" s="2129" t="str">
        <f>Translations!$B$268</f>
        <v>Elproduktion</v>
      </c>
      <c r="F137" s="1997"/>
      <c r="G137" s="358" t="s">
        <v>1112</v>
      </c>
      <c r="H137" s="539" t="str">
        <f>IF(AND(ISNUMBER(H115),ISNUMBER(H124)),IF(H115=0,0,H124/H115),IF(ISNUMBER(H130),$N132,""))</f>
        <v/>
      </c>
      <c r="I137" s="539" t="str">
        <f t="shared" ref="I137:N137" si="37">IF(AND(ISNUMBER(I115),ISNUMBER(I124)),IF(I115=0,0,I124/I115),IF(ISNUMBER(I130),$N132,""))</f>
        <v/>
      </c>
      <c r="J137" s="539" t="str">
        <f t="shared" si="37"/>
        <v/>
      </c>
      <c r="K137" s="539" t="str">
        <f t="shared" si="37"/>
        <v/>
      </c>
      <c r="L137" s="539" t="str">
        <f t="shared" si="37"/>
        <v/>
      </c>
      <c r="M137" s="539" t="str">
        <f t="shared" si="37"/>
        <v/>
      </c>
      <c r="N137" s="539" t="str">
        <f t="shared" si="37"/>
        <v/>
      </c>
      <c r="O137" s="6"/>
      <c r="P137" s="15"/>
      <c r="Q137" s="2"/>
      <c r="R137" s="2"/>
      <c r="S137" s="2"/>
      <c r="T137" s="2"/>
      <c r="U137" s="2"/>
      <c r="V137" s="2"/>
      <c r="W137" s="2"/>
      <c r="X137" s="2"/>
      <c r="Y137" s="470"/>
      <c r="Z137" s="349"/>
      <c r="AA137" s="349"/>
      <c r="AB137" s="349"/>
      <c r="AC137" s="349"/>
      <c r="AD137" s="349"/>
      <c r="AE137" s="349"/>
      <c r="AF137" s="349"/>
      <c r="AG137" s="349"/>
      <c r="AH137" s="349"/>
      <c r="AI137" s="349"/>
      <c r="AJ137" s="349"/>
      <c r="AK137" s="349"/>
    </row>
    <row r="138" spans="1:37" ht="5.15" customHeight="1" x14ac:dyDescent="0.25">
      <c r="A138" s="2"/>
      <c r="B138" s="19"/>
      <c r="C138" s="19"/>
      <c r="D138" s="19"/>
      <c r="E138" s="19"/>
      <c r="F138" s="19"/>
      <c r="G138" s="19"/>
      <c r="H138" s="19"/>
      <c r="I138" s="19"/>
      <c r="J138" s="19"/>
      <c r="K138" s="19"/>
      <c r="L138" s="19"/>
      <c r="M138" s="19"/>
      <c r="N138" s="19"/>
      <c r="O138" s="6"/>
      <c r="P138" s="15"/>
      <c r="Q138" s="2"/>
      <c r="R138" s="2"/>
      <c r="S138" s="2"/>
      <c r="T138" s="2"/>
      <c r="U138" s="2"/>
      <c r="V138" s="2"/>
      <c r="W138" s="2"/>
      <c r="X138" s="2"/>
      <c r="Y138" s="470"/>
      <c r="Z138" s="349"/>
      <c r="AA138" s="349"/>
      <c r="AB138" s="349"/>
      <c r="AC138" s="349"/>
      <c r="AD138" s="349"/>
      <c r="AE138" s="349"/>
      <c r="AF138" s="349"/>
      <c r="AG138" s="349"/>
      <c r="AH138" s="349"/>
      <c r="AI138" s="349"/>
      <c r="AJ138" s="349"/>
      <c r="AK138" s="349"/>
    </row>
    <row r="139" spans="1:37" ht="13" customHeight="1" x14ac:dyDescent="0.25">
      <c r="A139" s="2"/>
      <c r="B139" s="3"/>
      <c r="C139" s="3"/>
      <c r="D139" s="13" t="s">
        <v>299</v>
      </c>
      <c r="E139" s="2106" t="str">
        <f>Translations!$B$269</f>
        <v>Referenseffektiviteter</v>
      </c>
      <c r="F139" s="1960"/>
      <c r="G139" s="1960"/>
      <c r="H139" s="1960"/>
      <c r="I139" s="1960"/>
      <c r="J139" s="1960"/>
      <c r="K139" s="1960"/>
      <c r="L139" s="1960"/>
      <c r="M139" s="1960"/>
      <c r="N139" s="1960"/>
      <c r="O139" s="6"/>
      <c r="P139" s="15"/>
      <c r="Q139" s="7"/>
      <c r="R139" s="2"/>
      <c r="S139" s="2"/>
      <c r="T139" s="2"/>
      <c r="U139" s="2"/>
      <c r="V139" s="2"/>
      <c r="W139" s="2"/>
      <c r="X139" s="2"/>
      <c r="Y139" s="470"/>
      <c r="Z139" s="349"/>
      <c r="AA139" s="349"/>
      <c r="AB139" s="349"/>
      <c r="AC139" s="349"/>
      <c r="AD139" s="349"/>
      <c r="AE139" s="349"/>
      <c r="AF139" s="349"/>
      <c r="AG139" s="349"/>
      <c r="AH139" s="349"/>
      <c r="AI139" s="349"/>
      <c r="AJ139" s="349"/>
      <c r="AK139" s="349"/>
    </row>
    <row r="140" spans="1:37" ht="13" x14ac:dyDescent="0.25">
      <c r="A140" s="2"/>
      <c r="B140" s="19"/>
      <c r="C140" s="19"/>
      <c r="D140" s="19"/>
      <c r="E140" s="914"/>
      <c r="F140" s="913"/>
      <c r="G140" s="31" t="str">
        <f>EUconst_Unit</f>
        <v>Enhet</v>
      </c>
      <c r="H140" s="320">
        <f t="shared" ref="H140:N140" si="38">H$278</f>
        <v>2019</v>
      </c>
      <c r="I140" s="320">
        <f t="shared" si="38"/>
        <v>2020</v>
      </c>
      <c r="J140" s="320">
        <f t="shared" si="38"/>
        <v>2021</v>
      </c>
      <c r="K140" s="320">
        <f t="shared" si="38"/>
        <v>2022</v>
      </c>
      <c r="L140" s="320">
        <f t="shared" si="38"/>
        <v>2023</v>
      </c>
      <c r="M140" s="320">
        <f t="shared" si="38"/>
        <v>2024</v>
      </c>
      <c r="N140" s="320">
        <f t="shared" si="38"/>
        <v>2025</v>
      </c>
      <c r="O140" s="6"/>
      <c r="P140" s="15"/>
      <c r="Q140" s="2"/>
      <c r="R140" s="2"/>
      <c r="S140" s="2"/>
      <c r="T140" s="2"/>
      <c r="U140" s="2"/>
      <c r="V140" s="2"/>
      <c r="W140" s="2"/>
      <c r="X140" s="2"/>
      <c r="Y140" s="470"/>
      <c r="Z140" s="349"/>
      <c r="AA140" s="349"/>
      <c r="AB140" s="349"/>
      <c r="AC140" s="349"/>
      <c r="AD140" s="349"/>
      <c r="AE140" s="349"/>
      <c r="AF140" s="349"/>
      <c r="AG140" s="349"/>
      <c r="AH140" s="349"/>
      <c r="AI140" s="349"/>
      <c r="AJ140" s="349"/>
      <c r="AK140" s="349"/>
    </row>
    <row r="141" spans="1:37" ht="12.75" customHeight="1" x14ac:dyDescent="0.25">
      <c r="A141" s="2"/>
      <c r="B141" s="19"/>
      <c r="C141" s="19"/>
      <c r="D141" s="289" t="s">
        <v>8</v>
      </c>
      <c r="E141" s="2129" t="str">
        <f>Translations!$B$267</f>
        <v>Värmeproduktion</v>
      </c>
      <c r="F141" s="1997"/>
      <c r="G141" s="358" t="s">
        <v>1112</v>
      </c>
      <c r="H141" s="1769"/>
      <c r="I141" s="1769"/>
      <c r="J141" s="1769"/>
      <c r="K141" s="1769"/>
      <c r="L141" s="1769"/>
      <c r="M141" s="1769"/>
      <c r="N141" s="1769"/>
      <c r="O141" s="6"/>
      <c r="P141" s="1362"/>
      <c r="Q141" s="2"/>
      <c r="R141" s="2"/>
      <c r="S141" s="2"/>
      <c r="T141" s="2"/>
      <c r="U141" s="2"/>
      <c r="V141" s="2"/>
      <c r="W141" s="2"/>
      <c r="X141" s="2"/>
      <c r="Y141" s="541" t="b">
        <f>Y129</f>
        <v>0</v>
      </c>
      <c r="Z141" s="349"/>
      <c r="AA141" s="349"/>
      <c r="AB141" s="349"/>
      <c r="AC141" s="349"/>
      <c r="AD141" s="349"/>
      <c r="AE141" s="349"/>
      <c r="AF141" s="349"/>
      <c r="AG141" s="349"/>
      <c r="AH141" s="349"/>
      <c r="AI141" s="349"/>
      <c r="AJ141" s="1526" t="s">
        <v>2248</v>
      </c>
      <c r="AK141" s="394" t="str">
        <f>IF(AND(CNTR_HasEntries_A_I,MSconst_RequireEmissionTotals,Y141=FALSE,COUNTIFS($AB$21:$AH$21,FALSE,H141:N141,"")&gt;0),3,"")</f>
        <v/>
      </c>
    </row>
    <row r="142" spans="1:37" ht="12.75" customHeight="1" thickBot="1" x14ac:dyDescent="0.3">
      <c r="A142" s="2"/>
      <c r="B142" s="19"/>
      <c r="C142" s="19"/>
      <c r="D142" s="289" t="s">
        <v>9</v>
      </c>
      <c r="E142" s="2129" t="str">
        <f>Translations!$B$268</f>
        <v>Elproduktion</v>
      </c>
      <c r="F142" s="1997"/>
      <c r="G142" s="358" t="s">
        <v>1112</v>
      </c>
      <c r="H142" s="1769"/>
      <c r="I142" s="1769"/>
      <c r="J142" s="1769"/>
      <c r="K142" s="1769"/>
      <c r="L142" s="1769"/>
      <c r="M142" s="1769"/>
      <c r="N142" s="1769"/>
      <c r="O142" s="6"/>
      <c r="P142" s="1362"/>
      <c r="Q142" s="2"/>
      <c r="R142" s="2"/>
      <c r="S142" s="2"/>
      <c r="T142" s="2"/>
      <c r="U142" s="2"/>
      <c r="V142" s="2"/>
      <c r="W142" s="2"/>
      <c r="X142" s="2"/>
      <c r="Y142" s="542" t="b">
        <f>Y141</f>
        <v>0</v>
      </c>
      <c r="Z142" s="349"/>
      <c r="AA142" s="349"/>
      <c r="AB142" s="349"/>
      <c r="AC142" s="349"/>
      <c r="AD142" s="349"/>
      <c r="AE142" s="349"/>
      <c r="AF142" s="349"/>
      <c r="AG142" s="349"/>
      <c r="AH142" s="349"/>
      <c r="AI142" s="349"/>
      <c r="AJ142" s="1526" t="s">
        <v>2248</v>
      </c>
      <c r="AK142" s="394" t="str">
        <f>IF(AND(CNTR_HasEntries_A_I,MSconst_RequireEmissionTotals,Y142=FALSE,COUNTIFS($AB$21:$AH$21,FALSE,H142:N142,"")&gt;0),3,"")</f>
        <v/>
      </c>
    </row>
    <row r="143" spans="1:37" ht="5.15" customHeight="1" x14ac:dyDescent="0.25">
      <c r="A143" s="2"/>
      <c r="B143" s="19"/>
      <c r="C143" s="19"/>
      <c r="D143" s="19"/>
      <c r="E143" s="19"/>
      <c r="F143" s="19"/>
      <c r="G143" s="19"/>
      <c r="H143" s="19"/>
      <c r="I143" s="19"/>
      <c r="J143" s="19"/>
      <c r="K143" s="19"/>
      <c r="L143" s="19"/>
      <c r="M143" s="19"/>
      <c r="N143" s="19"/>
      <c r="O143" s="6"/>
      <c r="P143" s="15"/>
      <c r="Q143" s="2"/>
      <c r="R143" s="2"/>
      <c r="S143" s="2"/>
      <c r="T143" s="2"/>
      <c r="U143" s="2"/>
      <c r="V143" s="2"/>
      <c r="W143" s="2"/>
      <c r="X143" s="2"/>
      <c r="Y143" s="2"/>
      <c r="Z143" s="349"/>
      <c r="AA143" s="349"/>
      <c r="AB143" s="349"/>
      <c r="AC143" s="349"/>
      <c r="AD143" s="349"/>
      <c r="AE143" s="349"/>
      <c r="AF143" s="349"/>
      <c r="AG143" s="349"/>
      <c r="AH143" s="349"/>
      <c r="AI143" s="349"/>
      <c r="AJ143" s="349"/>
      <c r="AK143" s="349"/>
    </row>
    <row r="144" spans="1:37" ht="13" customHeight="1" x14ac:dyDescent="0.25">
      <c r="A144" s="2"/>
      <c r="B144" s="3"/>
      <c r="C144" s="3"/>
      <c r="D144" s="13" t="s">
        <v>303</v>
      </c>
      <c r="E144" s="2106" t="str">
        <f>Translations!$B$274</f>
        <v>Utsläpp som kan tillskrivas värmeproduktion vid kraftvärmeenheten</v>
      </c>
      <c r="F144" s="1960"/>
      <c r="G144" s="1960"/>
      <c r="H144" s="1960"/>
      <c r="I144" s="1960"/>
      <c r="J144" s="1960"/>
      <c r="K144" s="1960"/>
      <c r="L144" s="1960"/>
      <c r="M144" s="1960"/>
      <c r="N144" s="1960"/>
      <c r="O144" s="6"/>
      <c r="P144" s="15"/>
      <c r="Q144" s="7"/>
      <c r="R144" s="2"/>
      <c r="S144" s="2"/>
      <c r="T144" s="2"/>
      <c r="U144" s="2"/>
      <c r="V144" s="2"/>
      <c r="W144" s="2"/>
      <c r="X144" s="2"/>
      <c r="Y144" s="2"/>
      <c r="Z144" s="349"/>
      <c r="AA144" s="349"/>
      <c r="AB144" s="349"/>
      <c r="AC144" s="349"/>
      <c r="AD144" s="349"/>
      <c r="AE144" s="349"/>
      <c r="AF144" s="349"/>
      <c r="AG144" s="349"/>
      <c r="AH144" s="349"/>
      <c r="AI144" s="349"/>
      <c r="AJ144" s="349"/>
      <c r="AK144" s="349"/>
    </row>
    <row r="145" spans="1:37" ht="13" x14ac:dyDescent="0.25">
      <c r="A145" s="2"/>
      <c r="B145" s="19"/>
      <c r="C145" s="19"/>
      <c r="D145" s="19"/>
      <c r="E145" s="914"/>
      <c r="F145" s="913"/>
      <c r="G145" s="31" t="str">
        <f>EUconst_Unit</f>
        <v>Enhet</v>
      </c>
      <c r="H145" s="320">
        <f t="shared" ref="H145:N145" si="39">H$278</f>
        <v>2019</v>
      </c>
      <c r="I145" s="320">
        <f t="shared" si="39"/>
        <v>2020</v>
      </c>
      <c r="J145" s="320">
        <f t="shared" si="39"/>
        <v>2021</v>
      </c>
      <c r="K145" s="320">
        <f t="shared" si="39"/>
        <v>2022</v>
      </c>
      <c r="L145" s="320">
        <f t="shared" si="39"/>
        <v>2023</v>
      </c>
      <c r="M145" s="320">
        <f t="shared" si="39"/>
        <v>2024</v>
      </c>
      <c r="N145" s="320">
        <f t="shared" si="39"/>
        <v>2025</v>
      </c>
      <c r="O145" s="6"/>
      <c r="P145" s="15"/>
      <c r="Q145" s="2"/>
      <c r="R145" s="2"/>
      <c r="S145" s="2"/>
      <c r="T145" s="2"/>
      <c r="U145" s="2"/>
      <c r="V145" s="2"/>
      <c r="W145" s="2"/>
      <c r="X145" s="2"/>
      <c r="Y145" s="2"/>
      <c r="Z145" s="349"/>
      <c r="AA145" s="349"/>
      <c r="AB145" s="349"/>
      <c r="AC145" s="349"/>
      <c r="AD145" s="349"/>
      <c r="AE145" s="349"/>
      <c r="AF145" s="349"/>
      <c r="AG145" s="349"/>
      <c r="AH145" s="349"/>
      <c r="AI145" s="349"/>
      <c r="AJ145" s="349"/>
      <c r="AK145" s="349"/>
    </row>
    <row r="146" spans="1:37" ht="12.65" customHeight="1" x14ac:dyDescent="0.25">
      <c r="A146" s="2"/>
      <c r="B146" s="19"/>
      <c r="C146" s="19"/>
      <c r="D146" s="289" t="s">
        <v>8</v>
      </c>
      <c r="E146" s="2129" t="str">
        <f>Translations!$B$278</f>
        <v>Utsläpp som kan tillskrivas värmeproduktion</v>
      </c>
      <c r="F146" s="1997"/>
      <c r="G146" s="43" t="str">
        <f>EUconst_tCO2pa</f>
        <v>t CO2 / år</v>
      </c>
      <c r="H146" s="258" t="str">
        <f>IF(AND(ISNUMBER(H136),ISNUMBER(H137),ISNUMBER(H141),ISNUMBER(H142)),IFERROR(H136/H141/(H136/H141+H137/H142)*H130,0),"")</f>
        <v/>
      </c>
      <c r="I146" s="258" t="str">
        <f t="shared" ref="I146:N146" si="40">IF(AND(ISNUMBER(I136),ISNUMBER(I137),ISNUMBER(I141),ISNUMBER(I142)),IFERROR(I136/I141/(I136/I141+I137/I142)*I130,0),"")</f>
        <v/>
      </c>
      <c r="J146" s="258" t="str">
        <f t="shared" si="40"/>
        <v/>
      </c>
      <c r="K146" s="258" t="str">
        <f t="shared" si="40"/>
        <v/>
      </c>
      <c r="L146" s="258" t="str">
        <f t="shared" si="40"/>
        <v/>
      </c>
      <c r="M146" s="258" t="str">
        <f t="shared" si="40"/>
        <v/>
      </c>
      <c r="N146" s="258" t="str">
        <f t="shared" si="40"/>
        <v/>
      </c>
      <c r="O146" s="6"/>
      <c r="P146" s="15"/>
      <c r="Q146" s="2"/>
      <c r="R146" s="2"/>
      <c r="S146" s="2"/>
      <c r="T146" s="2"/>
      <c r="U146" s="2"/>
      <c r="V146" s="2"/>
      <c r="W146" s="2"/>
      <c r="X146" s="2"/>
      <c r="Y146" s="2"/>
      <c r="Z146" s="349"/>
      <c r="AA146" s="349"/>
      <c r="AB146" s="349"/>
      <c r="AC146" s="349"/>
      <c r="AD146" s="349"/>
      <c r="AE146" s="349"/>
      <c r="AF146" s="349"/>
      <c r="AG146" s="349"/>
      <c r="AH146" s="349"/>
      <c r="AI146" s="349"/>
      <c r="AJ146" s="349"/>
      <c r="AK146" s="349"/>
    </row>
    <row r="147" spans="1:37" ht="12.65" customHeight="1" x14ac:dyDescent="0.25">
      <c r="A147" s="2"/>
      <c r="B147" s="19"/>
      <c r="C147" s="19"/>
      <c r="D147" s="289" t="s">
        <v>9</v>
      </c>
      <c r="E147" s="2129" t="str">
        <f>Translations!$B$279</f>
        <v>Emissionsfaktor, värme</v>
      </c>
      <c r="F147" s="1997"/>
      <c r="G147" s="43" t="str">
        <f>EUconst_tCO2pTJ</f>
        <v>t CO2 / TJ</v>
      </c>
      <c r="H147" s="258" t="str">
        <f>IF(AND(ISNUMBER(H119),ISNUMBER(H146)),IFERROR(H146/H119,""),"")</f>
        <v/>
      </c>
      <c r="I147" s="258" t="str">
        <f t="shared" ref="I147:N147" si="41">IF(AND(ISNUMBER(I119),ISNUMBER(I146)),IFERROR(I146/I119,""),"")</f>
        <v/>
      </c>
      <c r="J147" s="258" t="str">
        <f t="shared" si="41"/>
        <v/>
      </c>
      <c r="K147" s="258" t="str">
        <f t="shared" si="41"/>
        <v/>
      </c>
      <c r="L147" s="258" t="str">
        <f t="shared" si="41"/>
        <v/>
      </c>
      <c r="M147" s="258" t="str">
        <f t="shared" si="41"/>
        <v/>
      </c>
      <c r="N147" s="258" t="str">
        <f t="shared" si="41"/>
        <v/>
      </c>
      <c r="O147" s="6"/>
      <c r="P147" s="15"/>
      <c r="Q147" s="2"/>
      <c r="R147" s="2"/>
      <c r="S147" s="2"/>
      <c r="T147" s="2"/>
      <c r="U147" s="2"/>
      <c r="V147" s="2"/>
      <c r="W147" s="2"/>
      <c r="X147" s="2"/>
      <c r="Y147" s="2"/>
      <c r="Z147" s="2"/>
      <c r="AA147" s="2"/>
      <c r="AB147" s="349"/>
      <c r="AC147" s="349"/>
      <c r="AD147" s="349"/>
      <c r="AE147" s="349"/>
      <c r="AF147" s="349"/>
      <c r="AG147" s="349"/>
      <c r="AH147" s="349"/>
      <c r="AI147" s="349"/>
      <c r="AJ147" s="349"/>
      <c r="AK147" s="349"/>
    </row>
    <row r="148" spans="1:37" ht="5.15" customHeight="1" x14ac:dyDescent="0.25">
      <c r="A148" s="2"/>
      <c r="B148" s="19"/>
      <c r="C148" s="19"/>
      <c r="D148" s="19"/>
      <c r="E148" s="19"/>
      <c r="F148" s="19"/>
      <c r="G148" s="19"/>
      <c r="H148" s="19"/>
      <c r="I148" s="19"/>
      <c r="J148" s="19"/>
      <c r="K148" s="19"/>
      <c r="L148" s="19"/>
      <c r="M148" s="19"/>
      <c r="N148" s="19"/>
      <c r="O148" s="6"/>
      <c r="P148" s="15"/>
      <c r="Q148" s="2"/>
      <c r="R148" s="2"/>
      <c r="S148" s="2"/>
      <c r="T148" s="2"/>
      <c r="U148" s="2"/>
      <c r="V148" s="2"/>
      <c r="W148" s="2"/>
      <c r="X148" s="2"/>
      <c r="Y148" s="2"/>
      <c r="Z148" s="2"/>
      <c r="AA148" s="2"/>
      <c r="AB148" s="349"/>
      <c r="AC148" s="349"/>
      <c r="AD148" s="349"/>
      <c r="AE148" s="349"/>
      <c r="AF148" s="349"/>
      <c r="AG148" s="349"/>
      <c r="AH148" s="349"/>
      <c r="AI148" s="349"/>
      <c r="AJ148" s="349"/>
      <c r="AK148" s="349"/>
    </row>
    <row r="149" spans="1:37" ht="13" customHeight="1" x14ac:dyDescent="0.25">
      <c r="A149" s="2"/>
      <c r="B149" s="3"/>
      <c r="C149" s="3"/>
      <c r="D149" s="13" t="s">
        <v>305</v>
      </c>
      <c r="E149" s="2106" t="str">
        <f>Translations!$B$280</f>
        <v>Insatsbränsle som kan tillskrivas värme- och elproduktion</v>
      </c>
      <c r="F149" s="1960"/>
      <c r="G149" s="1960"/>
      <c r="H149" s="1960"/>
      <c r="I149" s="1960"/>
      <c r="J149" s="1960"/>
      <c r="K149" s="1960"/>
      <c r="L149" s="1960"/>
      <c r="M149" s="1960"/>
      <c r="N149" s="1960"/>
      <c r="O149" s="6"/>
      <c r="P149" s="15"/>
      <c r="Q149" s="7"/>
      <c r="R149" s="2"/>
      <c r="S149" s="2"/>
      <c r="T149" s="2"/>
      <c r="U149" s="2"/>
      <c r="V149" s="2"/>
      <c r="W149" s="2"/>
      <c r="X149" s="2"/>
      <c r="Y149" s="2"/>
      <c r="Z149" s="2"/>
      <c r="AA149" s="2"/>
      <c r="AB149" s="349"/>
      <c r="AC149" s="349"/>
      <c r="AD149" s="349"/>
      <c r="AE149" s="349"/>
      <c r="AF149" s="349"/>
      <c r="AG149" s="349"/>
      <c r="AH149" s="349"/>
      <c r="AI149" s="349"/>
      <c r="AJ149" s="349"/>
      <c r="AK149" s="349"/>
    </row>
    <row r="150" spans="1:37" ht="13" x14ac:dyDescent="0.25">
      <c r="A150" s="2"/>
      <c r="B150" s="19"/>
      <c r="C150" s="19"/>
      <c r="D150" s="19"/>
      <c r="E150" s="914"/>
      <c r="F150" s="913"/>
      <c r="G150" s="31" t="str">
        <f>EUconst_Unit</f>
        <v>Enhet</v>
      </c>
      <c r="H150" s="320">
        <f t="shared" ref="H150:N150" si="42">H$278</f>
        <v>2019</v>
      </c>
      <c r="I150" s="320">
        <f t="shared" si="42"/>
        <v>2020</v>
      </c>
      <c r="J150" s="320">
        <f t="shared" si="42"/>
        <v>2021</v>
      </c>
      <c r="K150" s="320">
        <f t="shared" si="42"/>
        <v>2022</v>
      </c>
      <c r="L150" s="320">
        <f t="shared" si="42"/>
        <v>2023</v>
      </c>
      <c r="M150" s="320">
        <f t="shared" si="42"/>
        <v>2024</v>
      </c>
      <c r="N150" s="320">
        <f t="shared" si="42"/>
        <v>2025</v>
      </c>
      <c r="O150" s="6"/>
      <c r="P150" s="15"/>
      <c r="Q150" s="2"/>
      <c r="R150" s="2"/>
      <c r="S150" s="2"/>
      <c r="T150" s="2"/>
      <c r="U150" s="2"/>
      <c r="V150" s="2"/>
      <c r="W150" s="2"/>
      <c r="X150" s="2"/>
      <c r="Y150" s="2"/>
      <c r="Z150" s="2"/>
      <c r="AA150" s="2"/>
      <c r="AB150" s="349"/>
      <c r="AC150" s="349"/>
      <c r="AD150" s="349"/>
      <c r="AE150" s="349"/>
      <c r="AF150" s="349"/>
      <c r="AG150" s="349"/>
      <c r="AH150" s="349"/>
      <c r="AI150" s="349"/>
      <c r="AJ150" s="349"/>
      <c r="AK150" s="349"/>
    </row>
    <row r="151" spans="1:37" ht="12.65" customHeight="1" x14ac:dyDescent="0.25">
      <c r="A151" s="2"/>
      <c r="B151" s="19"/>
      <c r="C151" s="19"/>
      <c r="D151" s="289" t="s">
        <v>8</v>
      </c>
      <c r="E151" s="2129" t="str">
        <f>Translations!$B$282</f>
        <v>Insatsbränsle för värme</v>
      </c>
      <c r="F151" s="1997"/>
      <c r="G151" s="43" t="str">
        <f>EUconst_TJpa</f>
        <v>TJ / år</v>
      </c>
      <c r="H151" s="258" t="str">
        <f>IF(ISNUMBER(H146),IFERROR(H136/H141/(H136/H141+H137/H142)*H115,0),"")</f>
        <v/>
      </c>
      <c r="I151" s="258" t="str">
        <f t="shared" ref="I151:N151" si="43">IF(ISNUMBER(I146),IFERROR(I136/I141/(I136/I141+I137/I142)*I115,0),"")</f>
        <v/>
      </c>
      <c r="J151" s="258" t="str">
        <f t="shared" si="43"/>
        <v/>
      </c>
      <c r="K151" s="258" t="str">
        <f t="shared" si="43"/>
        <v/>
      </c>
      <c r="L151" s="258" t="str">
        <f t="shared" si="43"/>
        <v/>
      </c>
      <c r="M151" s="258" t="str">
        <f t="shared" si="43"/>
        <v/>
      </c>
      <c r="N151" s="258" t="str">
        <f t="shared" si="43"/>
        <v/>
      </c>
      <c r="O151" s="6"/>
      <c r="P151" s="15"/>
      <c r="Q151" s="2"/>
      <c r="R151" s="2"/>
      <c r="S151" s="2"/>
      <c r="T151" s="2"/>
      <c r="U151" s="2"/>
      <c r="V151" s="2"/>
      <c r="W151" s="2"/>
      <c r="X151" s="2"/>
      <c r="Y151" s="2"/>
      <c r="Z151" s="2"/>
      <c r="AA151" s="2"/>
      <c r="AB151" s="349"/>
      <c r="AC151" s="349"/>
      <c r="AD151" s="349"/>
      <c r="AE151" s="349"/>
      <c r="AF151" s="349"/>
      <c r="AG151" s="349"/>
      <c r="AH151" s="349"/>
      <c r="AI151" s="349"/>
      <c r="AJ151" s="349"/>
      <c r="AK151" s="349"/>
    </row>
    <row r="152" spans="1:37" ht="12.65" customHeight="1" x14ac:dyDescent="0.25">
      <c r="A152" s="2"/>
      <c r="B152" s="19"/>
      <c r="C152" s="19"/>
      <c r="D152" s="289" t="s">
        <v>9</v>
      </c>
      <c r="E152" s="2129" t="str">
        <f>Translations!$B$283</f>
        <v>Insatsbränsle för el</v>
      </c>
      <c r="F152" s="1997"/>
      <c r="G152" s="43" t="str">
        <f>EUconst_TJpa</f>
        <v>TJ / år</v>
      </c>
      <c r="H152" s="258" t="str">
        <f>IF(ISNUMBER(H151),SUM(H115)-SUM(H151),"")</f>
        <v/>
      </c>
      <c r="I152" s="258" t="str">
        <f t="shared" ref="I152:N152" si="44">IF(ISNUMBER(I151),SUM(I115)-SUM(I151),"")</f>
        <v/>
      </c>
      <c r="J152" s="258" t="str">
        <f t="shared" si="44"/>
        <v/>
      </c>
      <c r="K152" s="258" t="str">
        <f t="shared" si="44"/>
        <v/>
      </c>
      <c r="L152" s="258" t="str">
        <f t="shared" si="44"/>
        <v/>
      </c>
      <c r="M152" s="258" t="str">
        <f t="shared" si="44"/>
        <v/>
      </c>
      <c r="N152" s="258" t="str">
        <f t="shared" si="44"/>
        <v/>
      </c>
      <c r="O152" s="6"/>
      <c r="P152" s="15"/>
      <c r="Q152" s="2"/>
      <c r="R152" s="2"/>
      <c r="S152" s="2"/>
      <c r="T152" s="2"/>
      <c r="U152" s="2"/>
      <c r="V152" s="2"/>
      <c r="W152" s="2"/>
      <c r="X152" s="2"/>
      <c r="Y152" s="2"/>
      <c r="Z152" s="2"/>
      <c r="AA152" s="2"/>
      <c r="AB152" s="349"/>
      <c r="AC152" s="349"/>
      <c r="AD152" s="349"/>
      <c r="AE152" s="349"/>
      <c r="AF152" s="349"/>
      <c r="AG152" s="349"/>
      <c r="AH152" s="349"/>
      <c r="AI152" s="349"/>
      <c r="AJ152" s="349"/>
      <c r="AK152" s="349"/>
    </row>
    <row r="153" spans="1:37" ht="13" x14ac:dyDescent="0.25">
      <c r="A153" s="2"/>
      <c r="B153" s="19"/>
      <c r="C153" s="19"/>
      <c r="D153" s="19"/>
      <c r="E153" s="99"/>
      <c r="F153" s="19"/>
      <c r="G153" s="19"/>
      <c r="H153" s="19"/>
      <c r="I153" s="19"/>
      <c r="J153" s="19"/>
      <c r="K153" s="19"/>
      <c r="L153" s="19"/>
      <c r="M153" s="19"/>
      <c r="N153" s="19"/>
      <c r="O153" s="6"/>
      <c r="P153" s="15"/>
      <c r="Q153" s="2"/>
      <c r="R153" s="2"/>
      <c r="S153" s="2"/>
      <c r="T153" s="2"/>
      <c r="U153" s="2"/>
      <c r="V153" s="2"/>
      <c r="W153" s="2"/>
      <c r="X153" s="2"/>
      <c r="Y153" s="2"/>
      <c r="Z153" s="2"/>
      <c r="AA153" s="2"/>
      <c r="AB153" s="349"/>
      <c r="AC153" s="349"/>
      <c r="AD153" s="349"/>
      <c r="AE153" s="349"/>
      <c r="AF153" s="349"/>
      <c r="AG153" s="349"/>
      <c r="AH153" s="349"/>
      <c r="AI153" s="349"/>
      <c r="AJ153" s="349"/>
      <c r="AK153" s="349"/>
    </row>
    <row r="154" spans="1:37" ht="15.5" x14ac:dyDescent="0.35">
      <c r="A154" s="2"/>
      <c r="B154" s="3"/>
      <c r="C154" s="11" t="s">
        <v>12</v>
      </c>
      <c r="D154" s="1975" t="str">
        <f>Translations!$B$284</f>
        <v>Verktyg för restgaser</v>
      </c>
      <c r="E154" s="1975"/>
      <c r="F154" s="1975"/>
      <c r="G154" s="1975"/>
      <c r="H154" s="1975"/>
      <c r="I154" s="1975"/>
      <c r="J154" s="1975"/>
      <c r="K154" s="1975"/>
      <c r="L154" s="1975"/>
      <c r="M154" s="1975"/>
      <c r="N154" s="1975"/>
      <c r="O154" s="6"/>
      <c r="P154" s="15"/>
      <c r="Q154" s="7"/>
      <c r="R154" s="2"/>
      <c r="S154" s="2"/>
      <c r="T154" s="2"/>
      <c r="U154" s="2"/>
      <c r="V154" s="2"/>
      <c r="W154" s="2"/>
      <c r="X154" s="2"/>
      <c r="Y154" s="2"/>
      <c r="Z154" s="2"/>
      <c r="AA154" s="2"/>
      <c r="AB154" s="349"/>
      <c r="AC154" s="349"/>
      <c r="AD154" s="349"/>
      <c r="AE154" s="349"/>
      <c r="AF154" s="349"/>
      <c r="AG154" s="349"/>
      <c r="AH154" s="349"/>
      <c r="AI154" s="349"/>
      <c r="AJ154" s="349"/>
      <c r="AK154" s="349"/>
    </row>
    <row r="155" spans="1:37" ht="5.15" customHeight="1" x14ac:dyDescent="0.25">
      <c r="A155" s="2"/>
      <c r="B155" s="3"/>
      <c r="C155" s="3"/>
      <c r="D155" s="3"/>
      <c r="E155" s="3"/>
      <c r="F155" s="3"/>
      <c r="G155" s="3"/>
      <c r="H155" s="3"/>
      <c r="I155" s="3"/>
      <c r="J155" s="3"/>
      <c r="K155" s="3"/>
      <c r="L155" s="3"/>
      <c r="M155" s="6"/>
      <c r="N155" s="6"/>
      <c r="O155" s="6"/>
      <c r="P155" s="15"/>
      <c r="Q155" s="7"/>
      <c r="R155" s="2"/>
      <c r="S155" s="2"/>
      <c r="T155" s="2"/>
      <c r="U155" s="2"/>
      <c r="V155" s="2"/>
      <c r="W155" s="2"/>
      <c r="X155" s="2"/>
      <c r="Y155" s="2"/>
      <c r="Z155" s="349"/>
      <c r="AA155" s="349"/>
      <c r="AB155" s="349"/>
      <c r="AC155" s="349"/>
      <c r="AD155" s="349"/>
      <c r="AE155" s="349"/>
      <c r="AF155" s="349"/>
      <c r="AG155" s="349"/>
      <c r="AH155" s="349"/>
      <c r="AI155" s="349"/>
      <c r="AJ155" s="349"/>
      <c r="AK155" s="349"/>
    </row>
    <row r="156" spans="1:37" ht="12.75" customHeight="1" x14ac:dyDescent="0.25">
      <c r="A156" s="2"/>
      <c r="B156" s="3"/>
      <c r="C156" s="3"/>
      <c r="D156" s="547"/>
      <c r="E156" s="2106" t="str">
        <f>Translations!$B$285</f>
        <v>Förbrukar anläggningen restgaser som produceras utanför gränserna för ett produktriktmärke?</v>
      </c>
      <c r="F156" s="2106"/>
      <c r="G156" s="2106"/>
      <c r="H156" s="2106"/>
      <c r="I156" s="2106"/>
      <c r="J156" s="2106"/>
      <c r="K156" s="2106"/>
      <c r="L156" s="2107"/>
      <c r="M156" s="417"/>
      <c r="N156" s="6"/>
      <c r="O156" s="6"/>
      <c r="P156" s="1362"/>
      <c r="Q156" s="7"/>
      <c r="R156" s="2"/>
      <c r="S156" s="2"/>
      <c r="T156" s="2"/>
      <c r="U156" s="2"/>
      <c r="V156" s="2"/>
      <c r="W156" s="2"/>
      <c r="X156" s="2"/>
      <c r="Y156" s="2"/>
      <c r="Z156" s="349"/>
      <c r="AA156" s="349"/>
      <c r="AB156" s="349"/>
      <c r="AC156" s="349"/>
      <c r="AD156" s="349"/>
      <c r="AE156" s="349"/>
      <c r="AF156" s="349"/>
      <c r="AG156" s="349"/>
      <c r="AH156" s="349"/>
      <c r="AI156" s="349"/>
      <c r="AJ156" s="349"/>
      <c r="AK156" s="349"/>
    </row>
    <row r="157" spans="1:37" x14ac:dyDescent="0.25">
      <c r="A157" s="2"/>
      <c r="B157" s="3"/>
      <c r="C157" s="3"/>
      <c r="D157" s="15"/>
      <c r="E157" s="2061" t="str">
        <f>Translations!$B$286</f>
        <v>Enligt den definition som ges i artikel 2.10 och 2.11 i FAR betraktas processutsläpp som (förbränningsbara) restgaser som uppstår utanför gränserna för ett produktriktmärke.</v>
      </c>
      <c r="F157" s="1963"/>
      <c r="G157" s="1963"/>
      <c r="H157" s="1963"/>
      <c r="I157" s="1963"/>
      <c r="J157" s="1963"/>
      <c r="K157" s="1963"/>
      <c r="L157" s="1963"/>
      <c r="M157" s="1963"/>
      <c r="N157" s="1963"/>
      <c r="O157" s="6"/>
      <c r="P157" s="15"/>
      <c r="Q157" s="7"/>
      <c r="R157" s="2"/>
      <c r="S157" s="2"/>
      <c r="T157" s="2"/>
      <c r="U157" s="2"/>
      <c r="V157" s="2"/>
      <c r="W157" s="2"/>
      <c r="X157" s="2"/>
      <c r="Y157" s="2"/>
      <c r="Z157" s="349"/>
      <c r="AA157" s="349"/>
      <c r="AB157" s="349"/>
      <c r="AC157" s="349"/>
      <c r="AD157" s="349"/>
      <c r="AE157" s="349"/>
      <c r="AF157" s="349"/>
      <c r="AG157" s="349"/>
      <c r="AH157" s="349"/>
      <c r="AI157" s="349"/>
      <c r="AJ157" s="349"/>
      <c r="AK157" s="349"/>
    </row>
    <row r="158" spans="1:37" x14ac:dyDescent="0.25">
      <c r="A158" s="2"/>
      <c r="B158" s="3"/>
      <c r="C158" s="3"/>
      <c r="D158" s="15"/>
      <c r="E158" s="2061" t="str">
        <f>Translations!$B$287</f>
        <v>När det gäller restgaser ska dock en koldioxidmängd motsvarande den naturgas som används för det ”tekniskt användbara energiinnehållet” dras av från de totala processutsläppen.</v>
      </c>
      <c r="F158" s="1963"/>
      <c r="G158" s="1963"/>
      <c r="H158" s="1963"/>
      <c r="I158" s="1963"/>
      <c r="J158" s="1963"/>
      <c r="K158" s="1963"/>
      <c r="L158" s="1963"/>
      <c r="M158" s="1963"/>
      <c r="N158" s="1963"/>
      <c r="O158" s="6"/>
      <c r="P158" s="15"/>
      <c r="Q158" s="7"/>
      <c r="R158" s="2"/>
      <c r="S158" s="2"/>
      <c r="T158" s="2"/>
      <c r="U158" s="2"/>
      <c r="V158" s="2"/>
      <c r="W158" s="2"/>
      <c r="X158" s="2"/>
      <c r="Y158" s="2"/>
      <c r="Z158" s="349"/>
      <c r="AA158" s="349"/>
      <c r="AB158" s="349"/>
      <c r="AC158" s="349"/>
      <c r="AD158" s="349"/>
      <c r="AE158" s="349"/>
      <c r="AF158" s="349"/>
      <c r="AG158" s="349"/>
      <c r="AH158" s="349"/>
      <c r="AI158" s="349"/>
      <c r="AJ158" s="349"/>
      <c r="AK158" s="349"/>
    </row>
    <row r="159" spans="1:37" x14ac:dyDescent="0.25">
      <c r="A159" s="2"/>
      <c r="B159" s="3"/>
      <c r="C159" s="3"/>
      <c r="D159" s="15"/>
      <c r="E159" s="2061" t="str">
        <f>Translations!$B$288</f>
        <v>En mängd processutsläpp för vilken inget sådant avdrag har gjorts kallas för ”okorrigerade processutsläpp” nedan.</v>
      </c>
      <c r="F159" s="1963"/>
      <c r="G159" s="1963"/>
      <c r="H159" s="1963"/>
      <c r="I159" s="1963"/>
      <c r="J159" s="1963"/>
      <c r="K159" s="1963"/>
      <c r="L159" s="1963"/>
      <c r="M159" s="1963"/>
      <c r="N159" s="1963"/>
      <c r="O159" s="6"/>
      <c r="P159" s="15"/>
      <c r="Q159" s="7"/>
      <c r="R159" s="2"/>
      <c r="S159" s="2"/>
      <c r="T159" s="2"/>
      <c r="U159" s="2"/>
      <c r="V159" s="2"/>
      <c r="W159" s="2"/>
      <c r="X159" s="2"/>
      <c r="Y159" s="2"/>
      <c r="Z159" s="349"/>
      <c r="AA159" s="349"/>
      <c r="AB159" s="349"/>
      <c r="AC159" s="349"/>
      <c r="AD159" s="349"/>
      <c r="AE159" s="349"/>
      <c r="AF159" s="349"/>
      <c r="AG159" s="349"/>
      <c r="AH159" s="349"/>
      <c r="AI159" s="349"/>
      <c r="AJ159" s="349"/>
      <c r="AK159" s="349"/>
    </row>
    <row r="160" spans="1:37" x14ac:dyDescent="0.25">
      <c r="A160" s="2"/>
      <c r="B160" s="3"/>
      <c r="C160" s="3"/>
      <c r="D160" s="15"/>
      <c r="E160" s="2061" t="str">
        <f>Translations!$B$289</f>
        <v>För att fastställa det ”tekniskt användbara energiinnehållet” krävs följande information:</v>
      </c>
      <c r="F160" s="1963"/>
      <c r="G160" s="1963"/>
      <c r="H160" s="1963"/>
      <c r="I160" s="1963"/>
      <c r="J160" s="1963"/>
      <c r="K160" s="1963"/>
      <c r="L160" s="1963"/>
      <c r="M160" s="1963"/>
      <c r="N160" s="1963"/>
      <c r="O160" s="6"/>
      <c r="P160" s="15"/>
      <c r="Q160" s="7"/>
      <c r="R160" s="2"/>
      <c r="S160" s="2"/>
      <c r="T160" s="2"/>
      <c r="U160" s="2"/>
      <c r="V160" s="2"/>
      <c r="W160" s="2"/>
      <c r="X160" s="2"/>
      <c r="Y160" s="2"/>
      <c r="Z160" s="349"/>
      <c r="AA160" s="349"/>
      <c r="AB160" s="349"/>
      <c r="AC160" s="349"/>
      <c r="AD160" s="349"/>
      <c r="AE160" s="349"/>
      <c r="AF160" s="349"/>
      <c r="AG160" s="349"/>
      <c r="AH160" s="349"/>
      <c r="AI160" s="349"/>
      <c r="AJ160" s="349"/>
      <c r="AK160" s="349"/>
    </row>
    <row r="161" spans="1:37" ht="25.5" customHeight="1" x14ac:dyDescent="0.25">
      <c r="A161" s="2"/>
      <c r="B161" s="3"/>
      <c r="C161" s="3"/>
      <c r="D161" s="15"/>
      <c r="E161" s="114" t="s">
        <v>1112</v>
      </c>
      <c r="F161" s="2075" t="str">
        <f>Translations!$B$290</f>
        <v>Den mängd restgaser som används för elproduktion och för produktion av mätbar värme eller annan värme utanför delanläggningar med produktriktmärke eller som exporteras från anläggningen.</v>
      </c>
      <c r="G161" s="2311"/>
      <c r="H161" s="2311"/>
      <c r="I161" s="2311"/>
      <c r="J161" s="2311"/>
      <c r="K161" s="2311"/>
      <c r="L161" s="2311"/>
      <c r="M161" s="2311"/>
      <c r="N161" s="2311"/>
      <c r="O161" s="6"/>
      <c r="P161" s="15"/>
      <c r="Q161" s="7"/>
      <c r="R161" s="2"/>
      <c r="S161" s="2"/>
      <c r="T161" s="2"/>
      <c r="U161" s="2"/>
      <c r="V161" s="2"/>
      <c r="W161" s="2"/>
      <c r="X161" s="2"/>
      <c r="Y161" s="2"/>
      <c r="Z161" s="349"/>
      <c r="AA161" s="349"/>
      <c r="AB161" s="349"/>
      <c r="AC161" s="349"/>
      <c r="AD161" s="349"/>
      <c r="AE161" s="349"/>
      <c r="AF161" s="349"/>
      <c r="AG161" s="349"/>
      <c r="AH161" s="349"/>
      <c r="AI161" s="349"/>
      <c r="AJ161" s="349"/>
      <c r="AK161" s="349"/>
    </row>
    <row r="162" spans="1:37" x14ac:dyDescent="0.25">
      <c r="A162" s="2"/>
      <c r="B162" s="3"/>
      <c r="C162" s="3"/>
      <c r="D162" s="15"/>
      <c r="E162" s="114" t="s">
        <v>1112</v>
      </c>
      <c r="F162" s="2061" t="str">
        <f>Translations!$B$291</f>
        <v>Man kan välja om man (i konsekvenskontrollsyfte) vill rapportera processutsläppen i samband med dessa restgasmängder.</v>
      </c>
      <c r="G162" s="1963"/>
      <c r="H162" s="1963"/>
      <c r="I162" s="1963"/>
      <c r="J162" s="1963"/>
      <c r="K162" s="1963"/>
      <c r="L162" s="1963"/>
      <c r="M162" s="1963"/>
      <c r="N162" s="1963"/>
      <c r="O162" s="6"/>
      <c r="P162" s="15"/>
      <c r="Q162" s="7"/>
      <c r="R162" s="2"/>
      <c r="S162" s="2"/>
      <c r="T162" s="2"/>
      <c r="U162" s="2"/>
      <c r="V162" s="2"/>
      <c r="W162" s="2"/>
      <c r="X162" s="2"/>
      <c r="Y162" s="2"/>
      <c r="Z162" s="349"/>
      <c r="AA162" s="349"/>
      <c r="AB162" s="349"/>
      <c r="AC162" s="349"/>
      <c r="AD162" s="349"/>
      <c r="AE162" s="349"/>
      <c r="AF162" s="349"/>
      <c r="AG162" s="349"/>
      <c r="AH162" s="349"/>
      <c r="AI162" s="349"/>
      <c r="AJ162" s="349"/>
      <c r="AK162" s="349"/>
    </row>
    <row r="163" spans="1:37" x14ac:dyDescent="0.25">
      <c r="A163" s="2"/>
      <c r="B163" s="3"/>
      <c r="C163" s="3"/>
      <c r="D163" s="15"/>
      <c r="E163" s="114" t="s">
        <v>1112</v>
      </c>
      <c r="F163" s="2061" t="str">
        <f>Translations!$B$292</f>
        <v>Restgasens effektiva värmevärde.</v>
      </c>
      <c r="G163" s="1963"/>
      <c r="H163" s="1963"/>
      <c r="I163" s="1963"/>
      <c r="J163" s="1963"/>
      <c r="K163" s="1963"/>
      <c r="L163" s="1963"/>
      <c r="M163" s="1963"/>
      <c r="N163" s="1963"/>
      <c r="O163" s="6"/>
      <c r="P163" s="15"/>
      <c r="Q163" s="7"/>
      <c r="R163" s="2"/>
      <c r="S163" s="2"/>
      <c r="T163" s="2"/>
      <c r="U163" s="2"/>
      <c r="V163" s="2"/>
      <c r="W163" s="2"/>
      <c r="X163" s="2"/>
      <c r="Y163" s="2"/>
      <c r="Z163" s="349"/>
      <c r="AA163" s="349"/>
      <c r="AB163" s="349"/>
      <c r="AC163" s="349"/>
      <c r="AD163" s="349"/>
      <c r="AE163" s="349"/>
      <c r="AF163" s="349"/>
      <c r="AG163" s="349"/>
      <c r="AH163" s="349"/>
      <c r="AI163" s="349"/>
      <c r="AJ163" s="349"/>
      <c r="AK163" s="349"/>
    </row>
    <row r="164" spans="1:37" ht="25.5" customHeight="1" x14ac:dyDescent="0.25">
      <c r="A164" s="2"/>
      <c r="B164" s="3"/>
      <c r="C164" s="3"/>
      <c r="D164" s="15"/>
      <c r="E164" s="114" t="s">
        <v>1112</v>
      </c>
      <c r="F164" s="2075" t="str">
        <f>Translations!$B$293</f>
        <v>Antaganden om den varierande effektiviteten i användningen av restgaser och naturgas. Dessa antaganden är följande: effektiviteten i elproduktion med naturgas är 52,5 % och med restgaser 35 %.</v>
      </c>
      <c r="G164" s="2311"/>
      <c r="H164" s="2311"/>
      <c r="I164" s="2311"/>
      <c r="J164" s="2311"/>
      <c r="K164" s="2311"/>
      <c r="L164" s="2311"/>
      <c r="M164" s="2311"/>
      <c r="N164" s="2311"/>
      <c r="O164" s="6"/>
      <c r="P164" s="15"/>
      <c r="Q164" s="7"/>
      <c r="R164" s="2"/>
      <c r="S164" s="2"/>
      <c r="T164" s="2"/>
      <c r="U164" s="2"/>
      <c r="V164" s="2"/>
      <c r="W164" s="2"/>
      <c r="X164" s="2"/>
      <c r="Y164" s="2"/>
      <c r="Z164" s="349"/>
      <c r="AA164" s="349"/>
      <c r="AB164" s="349"/>
      <c r="AC164" s="349"/>
      <c r="AD164" s="349"/>
      <c r="AE164" s="349"/>
      <c r="AF164" s="349"/>
      <c r="AG164" s="349"/>
      <c r="AH164" s="349"/>
      <c r="AI164" s="349"/>
      <c r="AJ164" s="349"/>
      <c r="AK164" s="349"/>
    </row>
    <row r="165" spans="1:37" x14ac:dyDescent="0.25">
      <c r="A165" s="2"/>
      <c r="B165" s="3"/>
      <c r="C165" s="3"/>
      <c r="D165" s="15"/>
      <c r="E165" s="114" t="s">
        <v>1112</v>
      </c>
      <c r="F165" s="2061" t="str">
        <f>Translations!$B$294</f>
        <v>Utsläppsfaktorn för naturgas: 56,1 ton CO2/TJ.</v>
      </c>
      <c r="G165" s="1963"/>
      <c r="H165" s="1963"/>
      <c r="I165" s="1963"/>
      <c r="J165" s="1963"/>
      <c r="K165" s="1963"/>
      <c r="L165" s="1963"/>
      <c r="M165" s="1963"/>
      <c r="N165" s="1963"/>
      <c r="O165" s="6"/>
      <c r="P165" s="15"/>
      <c r="Q165" s="7"/>
      <c r="R165" s="2"/>
      <c r="S165" s="2"/>
      <c r="T165" s="2"/>
      <c r="U165" s="2"/>
      <c r="V165" s="2"/>
      <c r="W165" s="2"/>
      <c r="X165" s="2"/>
      <c r="Y165" s="2"/>
      <c r="Z165" s="349"/>
      <c r="AA165" s="349"/>
      <c r="AB165" s="349"/>
      <c r="AC165" s="349"/>
      <c r="AD165" s="349"/>
      <c r="AE165" s="349"/>
      <c r="AF165" s="349"/>
      <c r="AG165" s="349"/>
      <c r="AH165" s="349"/>
      <c r="AI165" s="349"/>
      <c r="AJ165" s="349"/>
      <c r="AK165" s="349"/>
    </row>
    <row r="166" spans="1:37" x14ac:dyDescent="0.25">
      <c r="A166" s="2"/>
      <c r="B166" s="19"/>
      <c r="C166" s="19"/>
      <c r="D166" s="19"/>
      <c r="E166" s="2061" t="str">
        <f>Translations!$B$295</f>
        <v>Eftersom båda eventuella delanläggningar kan beröras vid en och samma anläggning eller eftersom olika restgaser kan uppstå innehåller mallen två uppsättningar av ”restgasverktyget”.</v>
      </c>
      <c r="F166" s="1963"/>
      <c r="G166" s="1963"/>
      <c r="H166" s="1963"/>
      <c r="I166" s="1963"/>
      <c r="J166" s="1963"/>
      <c r="K166" s="1963"/>
      <c r="L166" s="1963"/>
      <c r="M166" s="1963"/>
      <c r="N166" s="1963"/>
      <c r="O166" s="6"/>
      <c r="P166" s="15"/>
      <c r="Q166" s="2"/>
      <c r="R166" s="2"/>
      <c r="S166" s="2"/>
      <c r="T166" s="2"/>
      <c r="U166" s="2"/>
      <c r="V166" s="2"/>
      <c r="W166" s="2"/>
      <c r="X166" s="2"/>
      <c r="Y166" s="2"/>
      <c r="Z166" s="349"/>
      <c r="AA166" s="349"/>
      <c r="AB166" s="349"/>
      <c r="AC166" s="349"/>
      <c r="AD166" s="349"/>
      <c r="AE166" s="349"/>
      <c r="AF166" s="349"/>
      <c r="AG166" s="349"/>
      <c r="AH166" s="349"/>
      <c r="AI166" s="349"/>
      <c r="AJ166" s="349"/>
      <c r="AK166" s="349"/>
    </row>
    <row r="167" spans="1:37" ht="5.15" customHeight="1" x14ac:dyDescent="0.25">
      <c r="A167" s="2"/>
      <c r="B167" s="3"/>
      <c r="C167" s="3"/>
      <c r="D167" s="3"/>
      <c r="E167" s="3"/>
      <c r="F167" s="3"/>
      <c r="G167" s="3"/>
      <c r="H167" s="3"/>
      <c r="I167" s="3"/>
      <c r="J167" s="3"/>
      <c r="K167" s="3"/>
      <c r="L167" s="3"/>
      <c r="M167" s="6"/>
      <c r="N167" s="6"/>
      <c r="O167" s="6"/>
      <c r="P167" s="15"/>
      <c r="Q167" s="7"/>
      <c r="R167" s="2"/>
      <c r="S167" s="2"/>
      <c r="T167" s="2"/>
      <c r="U167" s="2"/>
      <c r="V167" s="2"/>
      <c r="W167" s="2"/>
      <c r="X167" s="2"/>
      <c r="Y167" s="2"/>
      <c r="Z167" s="349"/>
      <c r="AA167" s="349"/>
      <c r="AB167" s="349"/>
      <c r="AC167" s="349"/>
      <c r="AD167" s="349"/>
      <c r="AE167" s="349"/>
      <c r="AF167" s="349"/>
      <c r="AG167" s="349"/>
      <c r="AH167" s="349"/>
      <c r="AI167" s="349"/>
      <c r="AJ167" s="349"/>
      <c r="AK167" s="349"/>
    </row>
    <row r="168" spans="1:37" ht="15" customHeight="1" x14ac:dyDescent="0.3">
      <c r="A168" s="2"/>
      <c r="B168" s="3"/>
      <c r="C168" s="17">
        <v>1</v>
      </c>
      <c r="D168" s="2053" t="str">
        <f>Translations!$B$296</f>
        <v>Verktyg för att beräkna mängden processutsläpp om restgaser produceras utanför produktriktmärken</v>
      </c>
      <c r="E168" s="1963"/>
      <c r="F168" s="1963"/>
      <c r="G168" s="1963"/>
      <c r="H168" s="1963"/>
      <c r="I168" s="1963"/>
      <c r="J168" s="1963"/>
      <c r="K168" s="1963"/>
      <c r="L168" s="1963"/>
      <c r="M168" s="1963"/>
      <c r="N168" s="1963"/>
      <c r="O168" s="6"/>
      <c r="P168" s="15"/>
      <c r="Q168" s="7"/>
      <c r="R168" s="2"/>
      <c r="S168" s="2"/>
      <c r="T168" s="2"/>
      <c r="U168" s="2"/>
      <c r="V168" s="2"/>
      <c r="W168" s="2"/>
      <c r="X168" s="2"/>
      <c r="Y168" s="343" t="s">
        <v>1213</v>
      </c>
      <c r="Z168" s="349"/>
      <c r="AA168" s="349"/>
      <c r="AB168" s="349"/>
      <c r="AC168" s="349"/>
      <c r="AD168" s="349"/>
      <c r="AE168" s="349"/>
      <c r="AF168" s="349"/>
      <c r="AG168" s="349"/>
      <c r="AH168" s="349"/>
      <c r="AI168" s="349"/>
      <c r="AJ168" s="349"/>
      <c r="AK168" s="349"/>
    </row>
    <row r="169" spans="1:37" ht="5.15" customHeight="1" thickBot="1" x14ac:dyDescent="0.3">
      <c r="A169" s="2"/>
      <c r="B169" s="3"/>
      <c r="C169" s="3"/>
      <c r="D169" s="3"/>
      <c r="E169" s="3"/>
      <c r="F169" s="3"/>
      <c r="G169" s="3"/>
      <c r="H169" s="3"/>
      <c r="I169" s="3"/>
      <c r="J169" s="3"/>
      <c r="K169" s="3"/>
      <c r="L169" s="3"/>
      <c r="M169" s="6"/>
      <c r="N169" s="6"/>
      <c r="O169" s="6"/>
      <c r="P169" s="15"/>
      <c r="Q169" s="7"/>
      <c r="R169" s="2"/>
      <c r="S169" s="2"/>
      <c r="T169" s="2"/>
      <c r="U169" s="2"/>
      <c r="V169" s="2"/>
      <c r="W169" s="2"/>
      <c r="X169" s="2"/>
      <c r="Y169" s="2"/>
      <c r="Z169" s="349"/>
      <c r="AA169" s="349"/>
      <c r="AB169" s="349"/>
      <c r="AC169" s="349"/>
      <c r="AD169" s="349"/>
      <c r="AE169" s="349"/>
      <c r="AF169" s="349"/>
      <c r="AG169" s="349"/>
      <c r="AH169" s="349"/>
      <c r="AI169" s="349"/>
      <c r="AJ169" s="349"/>
      <c r="AK169" s="349"/>
    </row>
    <row r="170" spans="1:37" ht="14" x14ac:dyDescent="0.3">
      <c r="A170" s="2"/>
      <c r="B170" s="3"/>
      <c r="C170" s="3"/>
      <c r="D170" s="13" t="s">
        <v>442</v>
      </c>
      <c r="E170" s="1943" t="str">
        <f>Translations!$B$297</f>
        <v>Detta avsnitt handlar om följande typer av delanläggningar med processutsläpp:</v>
      </c>
      <c r="F170" s="1943"/>
      <c r="G170" s="1943"/>
      <c r="H170" s="1943"/>
      <c r="I170" s="1943"/>
      <c r="J170" s="1943"/>
      <c r="K170" s="2067"/>
      <c r="L170" s="2478"/>
      <c r="M170" s="2479"/>
      <c r="N170" s="2480"/>
      <c r="O170" s="6"/>
      <c r="P170" s="1362"/>
      <c r="Q170" s="7"/>
      <c r="R170" s="2"/>
      <c r="S170" s="2"/>
      <c r="T170" s="2"/>
      <c r="U170" s="2"/>
      <c r="V170" s="2"/>
      <c r="W170" s="2"/>
      <c r="X170" s="2"/>
      <c r="Y170" s="587" t="b">
        <f>AND(M156&lt;&gt;"",M156=FALSE)</f>
        <v>0</v>
      </c>
      <c r="Z170" s="349"/>
      <c r="AA170" s="349"/>
      <c r="AB170" s="349"/>
      <c r="AC170" s="349"/>
      <c r="AD170" s="349"/>
      <c r="AE170" s="349"/>
      <c r="AF170" s="349"/>
      <c r="AG170" s="349"/>
      <c r="AH170" s="349"/>
      <c r="AI170" s="349"/>
      <c r="AJ170" s="1526" t="s">
        <v>2248</v>
      </c>
      <c r="AK170" s="394" t="str">
        <f>IF(AND(CNTR_HasEntries_A_I,Y170=FALSE,L170=""),4,"")</f>
        <v/>
      </c>
    </row>
    <row r="171" spans="1:37" x14ac:dyDescent="0.25">
      <c r="A171" s="2"/>
      <c r="B171" s="19"/>
      <c r="C171" s="19"/>
      <c r="D171" s="19"/>
      <c r="E171" s="2061" t="str">
        <f>Translations!$B$298</f>
        <v>Var god välj vilken av de båda delanläggningarna med processutsläpp som uppgifterna i verktyget avser.</v>
      </c>
      <c r="F171" s="1963"/>
      <c r="G171" s="1963"/>
      <c r="H171" s="1963"/>
      <c r="I171" s="1963"/>
      <c r="J171" s="1963"/>
      <c r="K171" s="1963"/>
      <c r="L171" s="1963"/>
      <c r="M171" s="1963"/>
      <c r="N171" s="1963"/>
      <c r="O171" s="6"/>
      <c r="P171" s="15"/>
      <c r="Q171" s="2"/>
      <c r="R171" s="2"/>
      <c r="S171" s="2"/>
      <c r="T171" s="2"/>
      <c r="U171" s="2"/>
      <c r="V171" s="2"/>
      <c r="W171" s="2"/>
      <c r="X171" s="2"/>
      <c r="Y171" s="470"/>
      <c r="Z171" s="349"/>
      <c r="AA171" s="349"/>
      <c r="AB171" s="349"/>
      <c r="AC171" s="349"/>
      <c r="AD171" s="349"/>
      <c r="AE171" s="349"/>
      <c r="AF171" s="349"/>
      <c r="AG171" s="349"/>
      <c r="AH171" s="349"/>
      <c r="AI171" s="349"/>
      <c r="AJ171" s="349"/>
      <c r="AK171" s="349"/>
    </row>
    <row r="172" spans="1:37" x14ac:dyDescent="0.25">
      <c r="A172" s="2"/>
      <c r="B172" s="19"/>
      <c r="C172" s="19"/>
      <c r="D172" s="19"/>
      <c r="E172" s="2061" t="str">
        <f>Translations!$B$299</f>
        <v>Produktionen och inte användningen av restgaser är relevant för att fastställa rätt delanläggning.</v>
      </c>
      <c r="F172" s="1963"/>
      <c r="G172" s="1963"/>
      <c r="H172" s="1963"/>
      <c r="I172" s="1963"/>
      <c r="J172" s="1963"/>
      <c r="K172" s="1963"/>
      <c r="L172" s="1963"/>
      <c r="M172" s="1963"/>
      <c r="N172" s="1963"/>
      <c r="O172" s="6"/>
      <c r="P172" s="15"/>
      <c r="Q172" s="2"/>
      <c r="R172" s="2"/>
      <c r="S172" s="2"/>
      <c r="T172" s="2"/>
      <c r="U172" s="2"/>
      <c r="V172" s="2"/>
      <c r="W172" s="2"/>
      <c r="X172" s="2"/>
      <c r="Y172" s="470"/>
      <c r="Z172" s="349"/>
      <c r="AA172" s="349"/>
      <c r="AB172" s="349"/>
      <c r="AC172" s="349"/>
      <c r="AD172" s="349"/>
      <c r="AE172" s="349"/>
      <c r="AF172" s="349"/>
      <c r="AG172" s="349"/>
      <c r="AH172" s="349"/>
      <c r="AI172" s="349"/>
      <c r="AJ172" s="349"/>
      <c r="AK172" s="349"/>
    </row>
    <row r="173" spans="1:37" ht="5.15" customHeight="1" x14ac:dyDescent="0.25">
      <c r="A173" s="2"/>
      <c r="B173" s="3"/>
      <c r="C173" s="3"/>
      <c r="D173" s="3"/>
      <c r="E173" s="3"/>
      <c r="F173" s="3"/>
      <c r="G173" s="3"/>
      <c r="H173" s="3"/>
      <c r="I173" s="3"/>
      <c r="J173" s="3"/>
      <c r="K173" s="3"/>
      <c r="L173" s="3"/>
      <c r="M173" s="6"/>
      <c r="N173" s="6"/>
      <c r="O173" s="6"/>
      <c r="P173" s="15"/>
      <c r="Q173" s="7"/>
      <c r="R173" s="2"/>
      <c r="S173" s="2"/>
      <c r="T173" s="2"/>
      <c r="U173" s="2"/>
      <c r="V173" s="2"/>
      <c r="W173" s="2"/>
      <c r="X173" s="2"/>
      <c r="Y173" s="470"/>
      <c r="Z173" s="349"/>
      <c r="AA173" s="349"/>
      <c r="AB173" s="349"/>
      <c r="AC173" s="349"/>
      <c r="AD173" s="349"/>
      <c r="AE173" s="349"/>
      <c r="AF173" s="349"/>
      <c r="AG173" s="349"/>
      <c r="AH173" s="349"/>
      <c r="AI173" s="349"/>
      <c r="AJ173" s="349"/>
      <c r="AK173" s="349"/>
    </row>
    <row r="174" spans="1:37" ht="14" x14ac:dyDescent="0.3">
      <c r="A174" s="2"/>
      <c r="B174" s="3"/>
      <c r="C174" s="3"/>
      <c r="D174" s="13" t="s">
        <v>955</v>
      </c>
      <c r="E174" s="1943" t="str">
        <f>Translations!$B$300</f>
        <v>Var god bekräfta om restgaser är relevanta för delanläggningen:</v>
      </c>
      <c r="F174" s="1943"/>
      <c r="G174" s="1943"/>
      <c r="H174" s="1943"/>
      <c r="I174" s="1943"/>
      <c r="J174" s="1943"/>
      <c r="K174" s="2067"/>
      <c r="L174" s="2493"/>
      <c r="M174" s="2494"/>
      <c r="N174" s="2495"/>
      <c r="O174" s="6"/>
      <c r="P174" s="1362"/>
      <c r="Q174" s="7"/>
      <c r="R174" s="2"/>
      <c r="S174" s="2"/>
      <c r="T174" s="2"/>
      <c r="U174" s="2"/>
      <c r="V174" s="2"/>
      <c r="W174" s="2"/>
      <c r="X174" s="2"/>
      <c r="Y174" s="293" t="b">
        <f>Y170</f>
        <v>0</v>
      </c>
      <c r="Z174" s="349"/>
      <c r="AA174" s="349"/>
      <c r="AB174" s="349"/>
      <c r="AC174" s="349"/>
      <c r="AD174" s="349"/>
      <c r="AE174" s="349"/>
      <c r="AF174" s="349"/>
      <c r="AG174" s="349"/>
      <c r="AH174" s="349"/>
      <c r="AI174" s="349"/>
      <c r="AJ174" s="1526" t="s">
        <v>2248</v>
      </c>
      <c r="AK174" s="394" t="str">
        <f>IF(AND(CNTR_HasEntries_A_I,Y174=FALSE,L174=""),4,"")</f>
        <v/>
      </c>
    </row>
    <row r="175" spans="1:37" ht="5.15" customHeight="1" x14ac:dyDescent="0.25">
      <c r="A175" s="2"/>
      <c r="B175" s="3"/>
      <c r="C175" s="3"/>
      <c r="D175" s="3"/>
      <c r="E175" s="3"/>
      <c r="F175" s="3"/>
      <c r="G175" s="3"/>
      <c r="H175" s="3"/>
      <c r="I175" s="3"/>
      <c r="J175" s="3"/>
      <c r="K175" s="3"/>
      <c r="L175" s="3"/>
      <c r="M175" s="6"/>
      <c r="N175" s="6"/>
      <c r="O175" s="6"/>
      <c r="P175" s="15"/>
      <c r="Q175" s="7"/>
      <c r="R175" s="2"/>
      <c r="S175" s="2"/>
      <c r="T175" s="2"/>
      <c r="U175" s="2"/>
      <c r="V175" s="2"/>
      <c r="W175" s="2"/>
      <c r="X175" s="2"/>
      <c r="Y175" s="470"/>
      <c r="Z175" s="349"/>
      <c r="AA175" s="349"/>
      <c r="AB175" s="349"/>
      <c r="AC175" s="349"/>
      <c r="AD175" s="349"/>
      <c r="AE175" s="349"/>
      <c r="AF175" s="349"/>
      <c r="AG175" s="349"/>
      <c r="AH175" s="349"/>
      <c r="AI175" s="349"/>
      <c r="AJ175" s="349"/>
      <c r="AK175" s="349"/>
    </row>
    <row r="176" spans="1:37" ht="13" x14ac:dyDescent="0.25">
      <c r="A176" s="2"/>
      <c r="B176" s="3"/>
      <c r="C176" s="3"/>
      <c r="D176" s="13" t="s">
        <v>55</v>
      </c>
      <c r="E176" s="1943" t="str">
        <f>Translations!$B$301</f>
        <v>Restgastyp:</v>
      </c>
      <c r="F176" s="1963"/>
      <c r="G176" s="2060"/>
      <c r="H176" s="2500"/>
      <c r="I176" s="2501"/>
      <c r="J176" s="2501"/>
      <c r="K176" s="2501"/>
      <c r="L176" s="2501"/>
      <c r="M176" s="2501"/>
      <c r="N176" s="2502"/>
      <c r="O176" s="6"/>
      <c r="P176" s="1362"/>
      <c r="Q176" s="7"/>
      <c r="R176" s="2"/>
      <c r="S176" s="2"/>
      <c r="T176" s="2"/>
      <c r="U176" s="2"/>
      <c r="V176" s="2"/>
      <c r="W176" s="2"/>
      <c r="X176" s="2"/>
      <c r="Y176" s="293" t="b">
        <f>Y174</f>
        <v>0</v>
      </c>
      <c r="Z176" s="349"/>
      <c r="AA176" s="349"/>
      <c r="AB176" s="349"/>
      <c r="AC176" s="349"/>
      <c r="AD176" s="349"/>
      <c r="AE176" s="349"/>
      <c r="AF176" s="349"/>
      <c r="AG176" s="349"/>
      <c r="AH176" s="349"/>
      <c r="AI176" s="349"/>
      <c r="AJ176" s="1526" t="s">
        <v>2248</v>
      </c>
      <c r="AK176" s="394" t="str">
        <f>IF(AND(CNTR_HasEntries_A_I,Y176=FALSE,H176=""),4,"")</f>
        <v/>
      </c>
    </row>
    <row r="177" spans="1:37" x14ac:dyDescent="0.25">
      <c r="A177" s="2"/>
      <c r="B177" s="19"/>
      <c r="C177" s="19"/>
      <c r="D177" s="19"/>
      <c r="E177" s="2061" t="str">
        <f>Translations!$B$302</f>
        <v>Var god ange restgastyp och vilken process som restgasen produceras från. Ange ovan en beteckning för avgasströmmen och ge en kort redogörelse av processen nedan.</v>
      </c>
      <c r="F177" s="1963"/>
      <c r="G177" s="1963"/>
      <c r="H177" s="1963"/>
      <c r="I177" s="1963"/>
      <c r="J177" s="1963"/>
      <c r="K177" s="1963"/>
      <c r="L177" s="1963"/>
      <c r="M177" s="1963"/>
      <c r="N177" s="1963"/>
      <c r="O177" s="6"/>
      <c r="P177" s="15"/>
      <c r="Q177" s="2"/>
      <c r="R177" s="2"/>
      <c r="S177" s="2"/>
      <c r="T177" s="2"/>
      <c r="U177" s="2"/>
      <c r="V177" s="2"/>
      <c r="W177" s="2"/>
      <c r="X177" s="2"/>
      <c r="Y177" s="470"/>
      <c r="Z177" s="349"/>
      <c r="AA177" s="349"/>
      <c r="AB177" s="349"/>
      <c r="AC177" s="349"/>
      <c r="AD177" s="349"/>
      <c r="AE177" s="349"/>
      <c r="AF177" s="349"/>
      <c r="AG177" s="349"/>
      <c r="AH177" s="349"/>
      <c r="AI177" s="349"/>
      <c r="AJ177" s="349"/>
      <c r="AK177" s="349"/>
    </row>
    <row r="178" spans="1:37" x14ac:dyDescent="0.25">
      <c r="A178" s="2"/>
      <c r="B178" s="19"/>
      <c r="C178" s="19"/>
      <c r="D178" s="19"/>
      <c r="E178" s="1999" t="str">
        <f>Translations!$B$303</f>
        <v>Om flera olika restgaser är relevanta för er anläggning, var god lämna uppgifter i separata filer med hjälp av detta verktyg för mer komplexa fall.</v>
      </c>
      <c r="F178" s="2000"/>
      <c r="G178" s="2000"/>
      <c r="H178" s="2000"/>
      <c r="I178" s="2000"/>
      <c r="J178" s="2000"/>
      <c r="K178" s="2000"/>
      <c r="L178" s="2000"/>
      <c r="M178" s="2000"/>
      <c r="N178" s="2000"/>
      <c r="O178" s="6"/>
      <c r="P178" s="15"/>
      <c r="Q178" s="2"/>
      <c r="R178" s="2"/>
      <c r="S178" s="2"/>
      <c r="T178" s="2"/>
      <c r="U178" s="2"/>
      <c r="V178" s="2"/>
      <c r="W178" s="2"/>
      <c r="X178" s="2"/>
      <c r="Y178" s="470"/>
      <c r="Z178" s="349"/>
      <c r="AA178" s="349"/>
      <c r="AB178" s="349"/>
      <c r="AC178" s="349"/>
      <c r="AD178" s="349"/>
      <c r="AE178" s="349"/>
      <c r="AF178" s="349"/>
      <c r="AG178" s="349"/>
      <c r="AH178" s="349"/>
      <c r="AI178" s="349"/>
      <c r="AJ178" s="349"/>
      <c r="AK178" s="349"/>
    </row>
    <row r="179" spans="1:37" ht="13" x14ac:dyDescent="0.25">
      <c r="A179" s="2"/>
      <c r="B179" s="3"/>
      <c r="C179" s="3"/>
      <c r="D179" s="13"/>
      <c r="E179" s="2503"/>
      <c r="F179" s="2504"/>
      <c r="G179" s="2504"/>
      <c r="H179" s="2504"/>
      <c r="I179" s="2504"/>
      <c r="J179" s="2504"/>
      <c r="K179" s="2504"/>
      <c r="L179" s="2504"/>
      <c r="M179" s="2504"/>
      <c r="N179" s="2505"/>
      <c r="O179" s="6"/>
      <c r="P179" s="1362"/>
      <c r="Q179" s="7"/>
      <c r="R179" s="2"/>
      <c r="S179" s="2"/>
      <c r="T179" s="2"/>
      <c r="U179" s="2"/>
      <c r="V179" s="2"/>
      <c r="W179" s="2"/>
      <c r="X179" s="2"/>
      <c r="Y179" s="293" t="b">
        <f>Y176</f>
        <v>0</v>
      </c>
      <c r="Z179" s="349"/>
      <c r="AA179" s="349"/>
      <c r="AB179" s="349"/>
      <c r="AC179" s="349"/>
      <c r="AD179" s="349"/>
      <c r="AE179" s="349"/>
      <c r="AF179" s="349"/>
      <c r="AG179" s="349"/>
      <c r="AH179" s="349"/>
      <c r="AI179" s="349"/>
      <c r="AJ179" s="349"/>
      <c r="AK179" s="349"/>
    </row>
    <row r="180" spans="1:37" ht="13" x14ac:dyDescent="0.25">
      <c r="A180" s="2"/>
      <c r="B180" s="3"/>
      <c r="C180" s="3"/>
      <c r="D180" s="13"/>
      <c r="E180" s="2506"/>
      <c r="F180" s="2507"/>
      <c r="G180" s="2507"/>
      <c r="H180" s="2507"/>
      <c r="I180" s="2507"/>
      <c r="J180" s="2507"/>
      <c r="K180" s="2507"/>
      <c r="L180" s="2507"/>
      <c r="M180" s="2507"/>
      <c r="N180" s="2508"/>
      <c r="O180" s="6"/>
      <c r="P180" s="15"/>
      <c r="Q180" s="7"/>
      <c r="R180" s="2"/>
      <c r="S180" s="2"/>
      <c r="T180" s="2"/>
      <c r="U180" s="2"/>
      <c r="V180" s="2"/>
      <c r="W180" s="2"/>
      <c r="X180" s="2"/>
      <c r="Y180" s="293" t="b">
        <f>Y179</f>
        <v>0</v>
      </c>
      <c r="Z180" s="349"/>
      <c r="AA180" s="349"/>
      <c r="AB180" s="349"/>
      <c r="AC180" s="349"/>
      <c r="AD180" s="349"/>
      <c r="AE180" s="349"/>
      <c r="AF180" s="349"/>
      <c r="AG180" s="349"/>
      <c r="AH180" s="349"/>
      <c r="AI180" s="349"/>
      <c r="AJ180" s="349"/>
      <c r="AK180" s="349"/>
    </row>
    <row r="181" spans="1:37" ht="5.15" customHeight="1" x14ac:dyDescent="0.25">
      <c r="A181" s="2"/>
      <c r="B181" s="3"/>
      <c r="C181" s="3"/>
      <c r="D181" s="3"/>
      <c r="E181" s="3"/>
      <c r="F181" s="3"/>
      <c r="G181" s="3"/>
      <c r="H181" s="3"/>
      <c r="I181" s="3"/>
      <c r="J181" s="3"/>
      <c r="K181" s="3"/>
      <c r="L181" s="3"/>
      <c r="M181" s="6"/>
      <c r="N181" s="6"/>
      <c r="O181" s="6"/>
      <c r="P181" s="15"/>
      <c r="Q181" s="7"/>
      <c r="R181" s="2"/>
      <c r="S181" s="2"/>
      <c r="T181" s="2"/>
      <c r="U181" s="2"/>
      <c r="V181" s="2"/>
      <c r="W181" s="2"/>
      <c r="X181" s="2"/>
      <c r="Y181" s="470"/>
      <c r="Z181" s="349"/>
      <c r="AA181" s="349"/>
      <c r="AB181" s="349"/>
      <c r="AC181" s="349"/>
      <c r="AD181" s="349"/>
      <c r="AE181" s="349"/>
      <c r="AF181" s="349"/>
      <c r="AG181" s="349"/>
      <c r="AH181" s="349"/>
      <c r="AI181" s="349"/>
      <c r="AJ181" s="349"/>
      <c r="AK181" s="349"/>
    </row>
    <row r="182" spans="1:37" ht="13" x14ac:dyDescent="0.25">
      <c r="A182" s="2"/>
      <c r="B182" s="3"/>
      <c r="C182" s="3"/>
      <c r="D182" s="13" t="s">
        <v>960</v>
      </c>
      <c r="E182" s="1943" t="str">
        <f>Translations!$B$304</f>
        <v>Total mängd processutsläpp före avdrag för motsvarande tekniskt användbara energiinnehåll:</v>
      </c>
      <c r="F182" s="1963"/>
      <c r="G182" s="1963"/>
      <c r="H182" s="1963"/>
      <c r="I182" s="1963"/>
      <c r="J182" s="1963"/>
      <c r="K182" s="1963"/>
      <c r="L182" s="1963"/>
      <c r="M182" s="1963"/>
      <c r="N182" s="1963"/>
      <c r="O182" s="6"/>
      <c r="P182" s="15"/>
      <c r="Q182" s="7"/>
      <c r="R182" s="2"/>
      <c r="S182" s="2"/>
      <c r="T182" s="2"/>
      <c r="U182" s="2"/>
      <c r="V182" s="2"/>
      <c r="W182" s="2"/>
      <c r="X182" s="2"/>
      <c r="Y182" s="470"/>
      <c r="Z182" s="349"/>
      <c r="AA182" s="349"/>
      <c r="AB182" s="349"/>
      <c r="AC182" s="349"/>
      <c r="AD182" s="349"/>
      <c r="AE182" s="349"/>
      <c r="AF182" s="349"/>
      <c r="AG182" s="349"/>
      <c r="AH182" s="349"/>
      <c r="AI182" s="349"/>
      <c r="AJ182" s="349"/>
      <c r="AK182" s="349"/>
    </row>
    <row r="183" spans="1:37" x14ac:dyDescent="0.25">
      <c r="A183" s="2"/>
      <c r="B183" s="3"/>
      <c r="C183" s="3"/>
      <c r="D183" s="15"/>
      <c r="E183" s="2061" t="str">
        <f>Translations!$B$305</f>
        <v>Denna mängd måste överensstämma med den KL-status som valts i punkt a ovan.</v>
      </c>
      <c r="F183" s="1963"/>
      <c r="G183" s="1963"/>
      <c r="H183" s="1963"/>
      <c r="I183" s="1963"/>
      <c r="J183" s="1963"/>
      <c r="K183" s="1963"/>
      <c r="L183" s="1963"/>
      <c r="M183" s="1963"/>
      <c r="N183" s="1963"/>
      <c r="O183" s="6"/>
      <c r="P183" s="15"/>
      <c r="Q183" s="7"/>
      <c r="R183" s="2"/>
      <c r="S183" s="2"/>
      <c r="T183" s="2"/>
      <c r="U183" s="2"/>
      <c r="V183" s="2"/>
      <c r="W183" s="2"/>
      <c r="X183" s="2"/>
      <c r="Y183" s="470"/>
      <c r="Z183" s="349"/>
      <c r="AA183" s="349"/>
      <c r="AB183" s="349"/>
      <c r="AC183" s="349"/>
      <c r="AD183" s="349"/>
      <c r="AE183" s="349"/>
      <c r="AF183" s="349"/>
      <c r="AG183" s="349"/>
      <c r="AH183" s="349"/>
      <c r="AI183" s="349"/>
      <c r="AJ183" s="349"/>
      <c r="AK183" s="349"/>
    </row>
    <row r="184" spans="1:37" ht="13" x14ac:dyDescent="0.25">
      <c r="A184" s="2"/>
      <c r="B184" s="19"/>
      <c r="C184" s="19"/>
      <c r="D184" s="13"/>
      <c r="E184" s="24"/>
      <c r="F184" s="21"/>
      <c r="G184" s="31" t="str">
        <f>EUconst_Unit</f>
        <v>Enhet</v>
      </c>
      <c r="H184" s="320">
        <f t="shared" ref="H184:N184" si="45">H$278</f>
        <v>2019</v>
      </c>
      <c r="I184" s="320">
        <f t="shared" si="45"/>
        <v>2020</v>
      </c>
      <c r="J184" s="320">
        <f t="shared" si="45"/>
        <v>2021</v>
      </c>
      <c r="K184" s="320">
        <f t="shared" si="45"/>
        <v>2022</v>
      </c>
      <c r="L184" s="320">
        <f t="shared" si="45"/>
        <v>2023</v>
      </c>
      <c r="M184" s="320">
        <f t="shared" si="45"/>
        <v>2024</v>
      </c>
      <c r="N184" s="320">
        <f t="shared" si="45"/>
        <v>2025</v>
      </c>
      <c r="O184" s="6"/>
      <c r="P184" s="15"/>
      <c r="Q184" s="2"/>
      <c r="R184" s="2"/>
      <c r="S184" s="2"/>
      <c r="T184" s="2"/>
      <c r="U184" s="2"/>
      <c r="V184" s="2"/>
      <c r="W184" s="2"/>
      <c r="X184" s="2"/>
      <c r="Y184" s="470"/>
      <c r="Z184" s="349"/>
      <c r="AA184" s="349"/>
      <c r="AB184" s="349"/>
      <c r="AC184" s="349"/>
      <c r="AD184" s="349"/>
      <c r="AE184" s="349"/>
      <c r="AF184" s="349"/>
      <c r="AG184" s="349"/>
      <c r="AH184" s="349"/>
      <c r="AI184" s="349"/>
      <c r="AJ184" s="349"/>
      <c r="AK184" s="349"/>
    </row>
    <row r="185" spans="1:37" ht="12.65" customHeight="1" x14ac:dyDescent="0.25">
      <c r="A185" s="2"/>
      <c r="B185" s="19"/>
      <c r="C185" s="19"/>
      <c r="D185" s="19"/>
      <c r="E185" s="2496" t="str">
        <f>Translations!$B$306</f>
        <v>Okorrigerade processutsläpp</v>
      </c>
      <c r="F185" s="1997"/>
      <c r="G185" s="43" t="str">
        <f>EUconst_tCO2epa</f>
        <v>t CO2e/år</v>
      </c>
      <c r="H185" s="260"/>
      <c r="I185" s="260"/>
      <c r="J185" s="260"/>
      <c r="K185" s="260"/>
      <c r="L185" s="260"/>
      <c r="M185" s="260"/>
      <c r="N185" s="260"/>
      <c r="O185" s="6"/>
      <c r="P185" s="1362"/>
      <c r="Q185" s="2"/>
      <c r="R185" s="2"/>
      <c r="S185" s="2"/>
      <c r="T185" s="2"/>
      <c r="U185" s="2"/>
      <c r="V185" s="2"/>
      <c r="W185" s="2"/>
      <c r="X185" s="2"/>
      <c r="Y185" s="293" t="b">
        <f>Y180</f>
        <v>0</v>
      </c>
      <c r="Z185" s="349"/>
      <c r="AA185" s="349"/>
      <c r="AB185" s="349"/>
      <c r="AC185" s="349"/>
      <c r="AD185" s="349"/>
      <c r="AE185" s="349"/>
      <c r="AF185" s="349"/>
      <c r="AG185" s="349"/>
      <c r="AH185" s="349"/>
      <c r="AI185" s="349"/>
      <c r="AJ185" s="1526" t="s">
        <v>2248</v>
      </c>
      <c r="AK185" s="394" t="str">
        <f>IF(AND(CNTR_HasEntries_A_I,Y185=FALSE,COUNTIFS($AB$21:$AH$21,FALSE,H185:N185,"")&gt;0),4,"")</f>
        <v/>
      </c>
    </row>
    <row r="186" spans="1:37" ht="5.15" customHeight="1" x14ac:dyDescent="0.25">
      <c r="A186" s="2"/>
      <c r="B186" s="3"/>
      <c r="C186" s="3"/>
      <c r="D186" s="3"/>
      <c r="E186" s="3"/>
      <c r="F186" s="3"/>
      <c r="G186" s="3"/>
      <c r="H186" s="3"/>
      <c r="I186" s="3"/>
      <c r="J186" s="3"/>
      <c r="K186" s="3"/>
      <c r="L186" s="3"/>
      <c r="M186" s="3"/>
      <c r="N186" s="6"/>
      <c r="O186" s="6"/>
      <c r="P186" s="15"/>
      <c r="Q186" s="7"/>
      <c r="R186" s="2"/>
      <c r="S186" s="2"/>
      <c r="T186" s="2"/>
      <c r="U186" s="2"/>
      <c r="V186" s="2"/>
      <c r="W186" s="2"/>
      <c r="X186" s="2"/>
      <c r="Y186" s="470"/>
      <c r="Z186" s="349"/>
      <c r="AA186" s="349"/>
      <c r="AB186" s="349"/>
      <c r="AC186" s="349"/>
      <c r="AD186" s="349"/>
      <c r="AE186" s="349"/>
      <c r="AF186" s="349"/>
      <c r="AG186" s="349"/>
      <c r="AH186" s="349"/>
      <c r="AI186" s="349"/>
      <c r="AJ186" s="349"/>
      <c r="AK186" s="349"/>
    </row>
    <row r="187" spans="1:37" ht="13" customHeight="1" x14ac:dyDescent="0.25">
      <c r="A187" s="2"/>
      <c r="B187" s="3"/>
      <c r="C187" s="3"/>
      <c r="D187" s="13" t="s">
        <v>65</v>
      </c>
      <c r="E187" s="2106" t="str">
        <f>Translations!$B$307</f>
        <v>Uppskattning av restgasutsläpp</v>
      </c>
      <c r="F187" s="1960"/>
      <c r="G187" s="1960"/>
      <c r="H187" s="1960"/>
      <c r="I187" s="1960"/>
      <c r="J187" s="1960"/>
      <c r="K187" s="1960"/>
      <c r="L187" s="1960"/>
      <c r="M187" s="1960"/>
      <c r="N187" s="1960"/>
      <c r="O187" s="6"/>
      <c r="P187" s="15"/>
      <c r="Q187" s="7"/>
      <c r="R187" s="2"/>
      <c r="S187" s="2"/>
      <c r="T187" s="2"/>
      <c r="U187" s="2"/>
      <c r="V187" s="2"/>
      <c r="W187" s="2"/>
      <c r="X187" s="2"/>
      <c r="Y187" s="470"/>
      <c r="Z187" s="349"/>
      <c r="AA187" s="349"/>
      <c r="AB187" s="349"/>
      <c r="AC187" s="349"/>
      <c r="AD187" s="349"/>
      <c r="AE187" s="349"/>
      <c r="AF187" s="349"/>
      <c r="AG187" s="349"/>
      <c r="AH187" s="349"/>
      <c r="AI187" s="349"/>
      <c r="AJ187" s="349"/>
      <c r="AK187" s="349"/>
    </row>
    <row r="188" spans="1:37" ht="12.65" customHeight="1" x14ac:dyDescent="0.25">
      <c r="A188" s="2"/>
      <c r="B188" s="3"/>
      <c r="C188" s="3"/>
      <c r="D188" s="15"/>
      <c r="E188" s="2075" t="str">
        <f>Translations!$B$308</f>
        <v>Var god lämna en uppskattning av den mängd utsläpp som avser använda eller exporterade restgaser. Detta är valfritt och görs endast i konsekvenskontrollsyfte.</v>
      </c>
      <c r="F188" s="1960"/>
      <c r="G188" s="1960"/>
      <c r="H188" s="1960"/>
      <c r="I188" s="1960"/>
      <c r="J188" s="1960"/>
      <c r="K188" s="1960"/>
      <c r="L188" s="1960"/>
      <c r="M188" s="1960"/>
      <c r="N188" s="1960"/>
      <c r="O188" s="6"/>
      <c r="P188" s="15"/>
      <c r="Q188" s="7"/>
      <c r="R188" s="2"/>
      <c r="S188" s="2"/>
      <c r="T188" s="2"/>
      <c r="U188" s="2"/>
      <c r="V188" s="2"/>
      <c r="W188" s="2"/>
      <c r="X188" s="2"/>
      <c r="Y188" s="470"/>
      <c r="Z188" s="349"/>
      <c r="AA188" s="349"/>
      <c r="AB188" s="349"/>
      <c r="AC188" s="349"/>
      <c r="AD188" s="349"/>
      <c r="AE188" s="349"/>
      <c r="AF188" s="349"/>
      <c r="AG188" s="349"/>
      <c r="AH188" s="349"/>
      <c r="AI188" s="349"/>
      <c r="AJ188" s="349"/>
      <c r="AK188" s="349"/>
    </row>
    <row r="189" spans="1:37" ht="12.65" customHeight="1" x14ac:dyDescent="0.25">
      <c r="A189" s="2"/>
      <c r="B189" s="3"/>
      <c r="C189" s="3"/>
      <c r="D189" s="15"/>
      <c r="E189" s="2075" t="str">
        <f>Translations!$B$309</f>
        <v>Denna mängd måste överensstämma med den restgasmängd som anges i punkt f nedan.</v>
      </c>
      <c r="F189" s="1960"/>
      <c r="G189" s="1960"/>
      <c r="H189" s="1960"/>
      <c r="I189" s="1960"/>
      <c r="J189" s="1960"/>
      <c r="K189" s="1960"/>
      <c r="L189" s="1960"/>
      <c r="M189" s="1960"/>
      <c r="N189" s="1960"/>
      <c r="O189" s="6"/>
      <c r="P189" s="15"/>
      <c r="Q189" s="7"/>
      <c r="R189" s="2"/>
      <c r="S189" s="2"/>
      <c r="T189" s="2"/>
      <c r="U189" s="2"/>
      <c r="V189" s="2"/>
      <c r="W189" s="2"/>
      <c r="X189" s="2"/>
      <c r="Y189" s="470"/>
      <c r="Z189" s="349"/>
      <c r="AA189" s="349"/>
      <c r="AB189" s="349"/>
      <c r="AC189" s="349"/>
      <c r="AD189" s="349"/>
      <c r="AE189" s="349"/>
      <c r="AF189" s="349"/>
      <c r="AG189" s="349"/>
      <c r="AH189" s="349"/>
      <c r="AI189" s="349"/>
      <c r="AJ189" s="349"/>
      <c r="AK189" s="349"/>
    </row>
    <row r="190" spans="1:37" ht="13" customHeight="1" x14ac:dyDescent="0.25">
      <c r="A190" s="2"/>
      <c r="B190" s="19"/>
      <c r="C190" s="19"/>
      <c r="D190" s="13"/>
      <c r="E190" s="2062" t="str">
        <f>Translations!$B$310</f>
        <v>Restgasutsläpp</v>
      </c>
      <c r="F190" s="2497"/>
      <c r="G190" s="31" t="str">
        <f>EUconst_Unit</f>
        <v>Enhet</v>
      </c>
      <c r="H190" s="320">
        <f t="shared" ref="H190:N190" si="46">H$278</f>
        <v>2019</v>
      </c>
      <c r="I190" s="320">
        <f t="shared" si="46"/>
        <v>2020</v>
      </c>
      <c r="J190" s="320">
        <f t="shared" si="46"/>
        <v>2021</v>
      </c>
      <c r="K190" s="320">
        <f t="shared" si="46"/>
        <v>2022</v>
      </c>
      <c r="L190" s="320">
        <f t="shared" si="46"/>
        <v>2023</v>
      </c>
      <c r="M190" s="320">
        <f t="shared" si="46"/>
        <v>2024</v>
      </c>
      <c r="N190" s="320">
        <f t="shared" si="46"/>
        <v>2025</v>
      </c>
      <c r="O190" s="6"/>
      <c r="P190" s="15"/>
      <c r="Q190" s="2"/>
      <c r="R190" s="2"/>
      <c r="S190" s="2"/>
      <c r="T190" s="2"/>
      <c r="U190" s="2"/>
      <c r="V190" s="2"/>
      <c r="W190" s="2"/>
      <c r="X190" s="2"/>
      <c r="Y190" s="470"/>
      <c r="Z190" s="349"/>
      <c r="AA190" s="349"/>
      <c r="AB190" s="349"/>
      <c r="AC190" s="349"/>
      <c r="AD190" s="349"/>
      <c r="AE190" s="349"/>
      <c r="AF190" s="349"/>
      <c r="AG190" s="349"/>
      <c r="AH190" s="349"/>
      <c r="AI190" s="349"/>
      <c r="AJ190" s="349"/>
      <c r="AK190" s="349"/>
    </row>
    <row r="191" spans="1:37" ht="12.65" customHeight="1" x14ac:dyDescent="0.25">
      <c r="A191" s="2"/>
      <c r="B191" s="19"/>
      <c r="C191" s="19"/>
      <c r="D191" s="19"/>
      <c r="E191" s="2496" t="str">
        <f>Translations!$B$311</f>
        <v>utanför produktriktmärken</v>
      </c>
      <c r="F191" s="1997"/>
      <c r="G191" s="43" t="str">
        <f>EUconst_tCO2epa</f>
        <v>t CO2e/år</v>
      </c>
      <c r="H191" s="259"/>
      <c r="I191" s="259"/>
      <c r="J191" s="259"/>
      <c r="K191" s="259"/>
      <c r="L191" s="259"/>
      <c r="M191" s="259"/>
      <c r="N191" s="259"/>
      <c r="O191" s="6"/>
      <c r="P191" s="1362"/>
      <c r="Q191" s="2"/>
      <c r="R191" s="2"/>
      <c r="S191" s="2"/>
      <c r="T191" s="2"/>
      <c r="U191" s="2"/>
      <c r="V191" s="2"/>
      <c r="W191" s="2"/>
      <c r="X191" s="2"/>
      <c r="Y191" s="293" t="b">
        <f>Y185</f>
        <v>0</v>
      </c>
      <c r="Z191" s="349"/>
      <c r="AA191" s="349"/>
      <c r="AB191" s="349"/>
      <c r="AC191" s="349"/>
      <c r="AD191" s="349"/>
      <c r="AE191" s="349"/>
      <c r="AF191" s="349"/>
      <c r="AG191" s="349"/>
      <c r="AH191" s="349"/>
      <c r="AI191" s="349"/>
      <c r="AJ191" s="349"/>
      <c r="AK191" s="349"/>
    </row>
    <row r="192" spans="1:37" ht="5.15" customHeight="1" x14ac:dyDescent="0.25">
      <c r="A192" s="2"/>
      <c r="B192" s="3"/>
      <c r="C192" s="3"/>
      <c r="D192" s="3"/>
      <c r="E192" s="3"/>
      <c r="F192" s="3"/>
      <c r="G192" s="3"/>
      <c r="H192" s="3"/>
      <c r="I192" s="3"/>
      <c r="J192" s="3"/>
      <c r="K192" s="3"/>
      <c r="L192" s="3"/>
      <c r="M192" s="3"/>
      <c r="N192" s="6"/>
      <c r="O192" s="6"/>
      <c r="P192" s="15"/>
      <c r="Q192" s="7"/>
      <c r="R192" s="2"/>
      <c r="S192" s="2"/>
      <c r="T192" s="2"/>
      <c r="U192" s="2"/>
      <c r="V192" s="2"/>
      <c r="W192" s="2"/>
      <c r="X192" s="2"/>
      <c r="Y192" s="470"/>
      <c r="Z192" s="349"/>
      <c r="AA192" s="349"/>
      <c r="AB192" s="349"/>
      <c r="AC192" s="349"/>
      <c r="AD192" s="349"/>
      <c r="AE192" s="349"/>
      <c r="AF192" s="349"/>
      <c r="AG192" s="349"/>
      <c r="AH192" s="349"/>
      <c r="AI192" s="349"/>
      <c r="AJ192" s="349"/>
      <c r="AK192" s="349"/>
    </row>
    <row r="193" spans="1:37" ht="13" customHeight="1" x14ac:dyDescent="0.25">
      <c r="A193" s="2"/>
      <c r="B193" s="3"/>
      <c r="C193" s="3"/>
      <c r="D193" s="13" t="s">
        <v>66</v>
      </c>
      <c r="E193" s="2106" t="str">
        <f>Translations!$B$312</f>
        <v>Mängden restgaser som produceras utanför delanläggningar med produktriktmärke, inklusive för export:</v>
      </c>
      <c r="F193" s="1960"/>
      <c r="G193" s="1960"/>
      <c r="H193" s="1960"/>
      <c r="I193" s="1960"/>
      <c r="J193" s="1960"/>
      <c r="K193" s="1960"/>
      <c r="L193" s="1960"/>
      <c r="M193" s="1960"/>
      <c r="N193" s="1960"/>
      <c r="O193" s="6"/>
      <c r="P193" s="15"/>
      <c r="Q193" s="7"/>
      <c r="R193" s="2"/>
      <c r="S193" s="2"/>
      <c r="T193" s="2"/>
      <c r="U193" s="2"/>
      <c r="V193" s="2"/>
      <c r="W193" s="2"/>
      <c r="X193" s="2"/>
      <c r="Y193" s="470"/>
      <c r="Z193" s="349"/>
      <c r="AA193" s="349"/>
      <c r="AB193" s="349"/>
      <c r="AC193" s="349"/>
      <c r="AD193" s="349"/>
      <c r="AE193" s="349"/>
      <c r="AF193" s="349"/>
      <c r="AG193" s="349"/>
      <c r="AH193" s="349"/>
      <c r="AI193" s="349"/>
      <c r="AJ193" s="349"/>
      <c r="AK193" s="349"/>
    </row>
    <row r="194" spans="1:37" ht="12.75" customHeight="1" x14ac:dyDescent="0.25">
      <c r="A194" s="2"/>
      <c r="B194" s="3"/>
      <c r="C194" s="3"/>
      <c r="D194" s="15"/>
      <c r="E194" s="2075" t="str">
        <f>Translations!$B$305</f>
        <v>Denna mängd måste överensstämma med den KL-status som valts i punkt a ovan.</v>
      </c>
      <c r="F194" s="1960"/>
      <c r="G194" s="1960"/>
      <c r="H194" s="1960"/>
      <c r="I194" s="1960"/>
      <c r="J194" s="1960"/>
      <c r="K194" s="1960"/>
      <c r="L194" s="1960"/>
      <c r="M194" s="1960"/>
      <c r="N194" s="1960"/>
      <c r="O194" s="6"/>
      <c r="P194" s="15"/>
      <c r="Q194" s="7"/>
      <c r="R194" s="2"/>
      <c r="S194" s="2"/>
      <c r="T194" s="2"/>
      <c r="U194" s="2"/>
      <c r="V194" s="2"/>
      <c r="W194" s="2"/>
      <c r="X194" s="2"/>
      <c r="Y194" s="470"/>
      <c r="Z194" s="349"/>
      <c r="AA194" s="349"/>
      <c r="AB194" s="349"/>
      <c r="AC194" s="349"/>
      <c r="AD194" s="349"/>
      <c r="AE194" s="349"/>
      <c r="AF194" s="349"/>
      <c r="AG194" s="349"/>
      <c r="AH194" s="349"/>
      <c r="AI194" s="349"/>
      <c r="AJ194" s="349"/>
      <c r="AK194" s="349"/>
    </row>
    <row r="195" spans="1:37" ht="12.65" customHeight="1" x14ac:dyDescent="0.25">
      <c r="A195" s="2"/>
      <c r="B195" s="3"/>
      <c r="C195" s="3"/>
      <c r="D195" s="15"/>
      <c r="E195" s="2075" t="str">
        <f>Translations!$B$313</f>
        <v>Endast restgaser som används för produktion av värme eller el är relevanta. Om det rör sig om facklade restgaser är endast den mängd som avser säkerhetsfackling relevant.</v>
      </c>
      <c r="F195" s="1960"/>
      <c r="G195" s="1960"/>
      <c r="H195" s="1960"/>
      <c r="I195" s="1960"/>
      <c r="J195" s="1960"/>
      <c r="K195" s="1960"/>
      <c r="L195" s="1960"/>
      <c r="M195" s="1960"/>
      <c r="N195" s="1960"/>
      <c r="O195" s="6"/>
      <c r="P195" s="15"/>
      <c r="Q195" s="7"/>
      <c r="R195" s="2"/>
      <c r="S195" s="2"/>
      <c r="T195" s="2"/>
      <c r="U195" s="2"/>
      <c r="V195" s="2"/>
      <c r="W195" s="2"/>
      <c r="X195" s="2"/>
      <c r="Y195" s="470"/>
      <c r="Z195" s="349"/>
      <c r="AA195" s="349"/>
      <c r="AB195" s="349"/>
      <c r="AC195" s="349"/>
      <c r="AD195" s="349"/>
      <c r="AE195" s="349"/>
      <c r="AF195" s="349"/>
      <c r="AG195" s="349"/>
      <c r="AH195" s="349"/>
      <c r="AI195" s="349"/>
      <c r="AJ195" s="349"/>
      <c r="AK195" s="349"/>
    </row>
    <row r="196" spans="1:37" ht="12.65" customHeight="1" x14ac:dyDescent="0.25">
      <c r="A196" s="2"/>
      <c r="B196" s="3"/>
      <c r="C196" s="3"/>
      <c r="D196" s="15"/>
      <c r="E196" s="2075" t="str">
        <f>Translations!$B$314</f>
        <v>Ni kan välja att rapportera i ton eller i 1 000 Nm3 (kubikmeter under standardförhållanden). Enheterna måste stämma överens med de som används för effektivt värmevärde nedan.</v>
      </c>
      <c r="F196" s="1960"/>
      <c r="G196" s="1960"/>
      <c r="H196" s="1960"/>
      <c r="I196" s="1960"/>
      <c r="J196" s="1960"/>
      <c r="K196" s="1960"/>
      <c r="L196" s="1960"/>
      <c r="M196" s="1960"/>
      <c r="N196" s="1960"/>
      <c r="O196" s="6"/>
      <c r="P196" s="15"/>
      <c r="Q196" s="7"/>
      <c r="R196" s="2"/>
      <c r="S196" s="2"/>
      <c r="T196" s="2"/>
      <c r="U196" s="2"/>
      <c r="V196" s="2"/>
      <c r="W196" s="2"/>
      <c r="X196" s="2"/>
      <c r="Y196" s="470"/>
      <c r="Z196" s="349"/>
      <c r="AA196" s="349"/>
      <c r="AB196" s="349"/>
      <c r="AC196" s="349"/>
      <c r="AD196" s="349"/>
      <c r="AE196" s="349"/>
      <c r="AF196" s="349"/>
      <c r="AG196" s="349"/>
      <c r="AH196" s="349"/>
      <c r="AI196" s="349"/>
      <c r="AJ196" s="349"/>
      <c r="AK196" s="349"/>
    </row>
    <row r="197" spans="1:37" ht="13" customHeight="1" x14ac:dyDescent="0.25">
      <c r="A197" s="2"/>
      <c r="B197" s="19"/>
      <c r="C197" s="19"/>
      <c r="D197" s="13"/>
      <c r="E197" s="2062" t="str">
        <f>Translations!$B$315</f>
        <v>Mängden restgaser per år</v>
      </c>
      <c r="F197" s="2497"/>
      <c r="G197" s="31" t="str">
        <f>EUconst_Unit</f>
        <v>Enhet</v>
      </c>
      <c r="H197" s="320">
        <f t="shared" ref="H197:N197" si="47">H$278</f>
        <v>2019</v>
      </c>
      <c r="I197" s="320">
        <f t="shared" si="47"/>
        <v>2020</v>
      </c>
      <c r="J197" s="320">
        <f t="shared" si="47"/>
        <v>2021</v>
      </c>
      <c r="K197" s="320">
        <f t="shared" si="47"/>
        <v>2022</v>
      </c>
      <c r="L197" s="320">
        <f t="shared" si="47"/>
        <v>2023</v>
      </c>
      <c r="M197" s="320">
        <f t="shared" si="47"/>
        <v>2024</v>
      </c>
      <c r="N197" s="320">
        <f t="shared" si="47"/>
        <v>2025</v>
      </c>
      <c r="O197" s="6"/>
      <c r="P197" s="15"/>
      <c r="Q197" s="2"/>
      <c r="R197" s="2"/>
      <c r="S197" s="2"/>
      <c r="T197" s="2"/>
      <c r="U197" s="2"/>
      <c r="V197" s="2"/>
      <c r="W197" s="2"/>
      <c r="X197" s="2"/>
      <c r="Y197" s="470"/>
      <c r="Z197" s="349"/>
      <c r="AA197" s="349"/>
      <c r="AB197" s="349"/>
      <c r="AC197" s="349"/>
      <c r="AD197" s="349"/>
      <c r="AE197" s="349"/>
      <c r="AF197" s="349"/>
      <c r="AG197" s="349"/>
      <c r="AH197" s="349"/>
      <c r="AI197" s="349"/>
      <c r="AJ197" s="349"/>
      <c r="AK197" s="349"/>
    </row>
    <row r="198" spans="1:37" ht="12.65" customHeight="1" x14ac:dyDescent="0.25">
      <c r="A198" s="2"/>
      <c r="B198" s="19"/>
      <c r="C198" s="19"/>
      <c r="D198" s="19"/>
      <c r="E198" s="2496" t="str">
        <f>Translations!$B$311</f>
        <v>utanför produktriktmärken</v>
      </c>
      <c r="F198" s="1997"/>
      <c r="G198" s="195"/>
      <c r="H198" s="260"/>
      <c r="I198" s="260"/>
      <c r="J198" s="260"/>
      <c r="K198" s="260"/>
      <c r="L198" s="260"/>
      <c r="M198" s="260"/>
      <c r="N198" s="260"/>
      <c r="O198" s="6"/>
      <c r="P198" s="1362"/>
      <c r="Q198" s="2"/>
      <c r="R198" s="2"/>
      <c r="S198" s="2"/>
      <c r="T198" s="2"/>
      <c r="U198" s="2"/>
      <c r="V198" s="2"/>
      <c r="W198" s="2"/>
      <c r="X198" s="2"/>
      <c r="Y198" s="293" t="b">
        <f>Y191</f>
        <v>0</v>
      </c>
      <c r="Z198" s="349"/>
      <c r="AA198" s="349"/>
      <c r="AB198" s="349"/>
      <c r="AC198" s="349"/>
      <c r="AD198" s="349"/>
      <c r="AE198" s="349"/>
      <c r="AF198" s="349"/>
      <c r="AG198" s="349"/>
      <c r="AH198" s="349"/>
      <c r="AI198" s="349"/>
      <c r="AJ198" s="1526" t="s">
        <v>2248</v>
      </c>
      <c r="AK198" s="394" t="str">
        <f>IF(AND(CNTR_HasEntries_A_I,Y198=FALSE,COUNTIFS($AB$21:$AH$21,FALSE,H198:N198,"")&gt;0),4,"")</f>
        <v/>
      </c>
    </row>
    <row r="199" spans="1:37" ht="5.15" customHeight="1" x14ac:dyDescent="0.25">
      <c r="A199" s="2"/>
      <c r="B199" s="3"/>
      <c r="C199" s="3"/>
      <c r="D199" s="3"/>
      <c r="E199" s="3"/>
      <c r="F199" s="3"/>
      <c r="G199" s="3"/>
      <c r="H199" s="3"/>
      <c r="I199" s="3"/>
      <c r="J199" s="3"/>
      <c r="K199" s="3"/>
      <c r="L199" s="3"/>
      <c r="M199" s="3"/>
      <c r="N199" s="6"/>
      <c r="O199" s="6"/>
      <c r="P199" s="15"/>
      <c r="Q199" s="7"/>
      <c r="R199" s="2"/>
      <c r="S199" s="2"/>
      <c r="T199" s="2"/>
      <c r="U199" s="2"/>
      <c r="V199" s="2"/>
      <c r="W199" s="2"/>
      <c r="X199" s="2"/>
      <c r="Y199" s="470"/>
      <c r="Z199" s="349"/>
      <c r="AA199" s="349"/>
      <c r="AB199" s="349"/>
      <c r="AC199" s="349"/>
      <c r="AD199" s="349"/>
      <c r="AE199" s="349"/>
      <c r="AF199" s="349"/>
      <c r="AG199" s="349"/>
      <c r="AH199" s="349"/>
      <c r="AI199" s="349"/>
      <c r="AJ199" s="349"/>
      <c r="AK199" s="349"/>
    </row>
    <row r="200" spans="1:37" ht="13" customHeight="1" x14ac:dyDescent="0.25">
      <c r="A200" s="2"/>
      <c r="B200" s="3"/>
      <c r="C200" s="3"/>
      <c r="D200" s="13" t="s">
        <v>299</v>
      </c>
      <c r="E200" s="2106" t="str">
        <f>Translations!$B$316</f>
        <v>Restgasens effektiva värmevärde</v>
      </c>
      <c r="F200" s="1960"/>
      <c r="G200" s="1960"/>
      <c r="H200" s="1960"/>
      <c r="I200" s="1960"/>
      <c r="J200" s="1960"/>
      <c r="K200" s="1960"/>
      <c r="L200" s="1960"/>
      <c r="M200" s="1960"/>
      <c r="N200" s="1960"/>
      <c r="O200" s="6"/>
      <c r="P200" s="15"/>
      <c r="Q200" s="7"/>
      <c r="R200" s="2"/>
      <c r="S200" s="2"/>
      <c r="T200" s="2"/>
      <c r="U200" s="2"/>
      <c r="V200" s="2"/>
      <c r="W200" s="2"/>
      <c r="X200" s="2"/>
      <c r="Y200" s="470"/>
      <c r="Z200" s="349"/>
      <c r="AA200" s="349"/>
      <c r="AB200" s="349"/>
      <c r="AC200" s="349"/>
      <c r="AD200" s="349"/>
      <c r="AE200" s="349"/>
      <c r="AF200" s="349"/>
      <c r="AG200" s="349"/>
      <c r="AH200" s="349"/>
      <c r="AI200" s="349"/>
      <c r="AJ200" s="349"/>
      <c r="AK200" s="349"/>
    </row>
    <row r="201" spans="1:37" ht="12.65" customHeight="1" x14ac:dyDescent="0.25">
      <c r="A201" s="2"/>
      <c r="B201" s="3"/>
      <c r="C201" s="3"/>
      <c r="D201" s="15"/>
      <c r="E201" s="2075" t="str">
        <f>Translations!$B$317</f>
        <v>Ni kan välja att rapportera i GJ/t eller i GJ/1 000 Nm3. Enheterna måste stämma överens med de som används för mängderna ovan.</v>
      </c>
      <c r="F201" s="1960"/>
      <c r="G201" s="1960"/>
      <c r="H201" s="1960"/>
      <c r="I201" s="1960"/>
      <c r="J201" s="1960"/>
      <c r="K201" s="1960"/>
      <c r="L201" s="1960"/>
      <c r="M201" s="1960"/>
      <c r="N201" s="1960"/>
      <c r="O201" s="6"/>
      <c r="P201" s="15"/>
      <c r="Q201" s="7"/>
      <c r="R201" s="715" t="s">
        <v>1462</v>
      </c>
      <c r="S201" s="2"/>
      <c r="T201" s="2"/>
      <c r="U201" s="2"/>
      <c r="V201" s="2"/>
      <c r="W201" s="2"/>
      <c r="X201" s="2"/>
      <c r="Y201" s="470"/>
      <c r="Z201" s="349"/>
      <c r="AA201" s="349"/>
      <c r="AB201" s="349"/>
      <c r="AC201" s="349"/>
      <c r="AD201" s="349"/>
      <c r="AE201" s="349"/>
      <c r="AF201" s="349"/>
      <c r="AG201" s="349"/>
      <c r="AH201" s="349"/>
      <c r="AI201" s="349"/>
      <c r="AJ201" s="349"/>
      <c r="AK201" s="349"/>
    </row>
    <row r="202" spans="1:37" ht="13" x14ac:dyDescent="0.25">
      <c r="A202" s="2"/>
      <c r="B202" s="19"/>
      <c r="C202" s="19"/>
      <c r="D202" s="13"/>
      <c r="E202" s="21"/>
      <c r="F202" s="21"/>
      <c r="G202" s="31" t="str">
        <f>EUconst_Unit</f>
        <v>Enhet</v>
      </c>
      <c r="H202" s="320">
        <f t="shared" ref="H202:N202" si="48">H$278</f>
        <v>2019</v>
      </c>
      <c r="I202" s="320">
        <f t="shared" si="48"/>
        <v>2020</v>
      </c>
      <c r="J202" s="320">
        <f t="shared" si="48"/>
        <v>2021</v>
      </c>
      <c r="K202" s="320">
        <f t="shared" si="48"/>
        <v>2022</v>
      </c>
      <c r="L202" s="320">
        <f t="shared" si="48"/>
        <v>2023</v>
      </c>
      <c r="M202" s="320">
        <f t="shared" si="48"/>
        <v>2024</v>
      </c>
      <c r="N202" s="320">
        <f t="shared" si="48"/>
        <v>2025</v>
      </c>
      <c r="O202" s="6"/>
      <c r="P202" s="15"/>
      <c r="Q202" s="2"/>
      <c r="R202" s="40">
        <f t="shared" ref="R202:X202" si="49">H202</f>
        <v>2019</v>
      </c>
      <c r="S202" s="40">
        <f t="shared" si="49"/>
        <v>2020</v>
      </c>
      <c r="T202" s="40">
        <f t="shared" si="49"/>
        <v>2021</v>
      </c>
      <c r="U202" s="40">
        <f t="shared" si="49"/>
        <v>2022</v>
      </c>
      <c r="V202" s="40">
        <f t="shared" si="49"/>
        <v>2023</v>
      </c>
      <c r="W202" s="40">
        <f t="shared" si="49"/>
        <v>2024</v>
      </c>
      <c r="X202" s="40">
        <f t="shared" si="49"/>
        <v>2025</v>
      </c>
      <c r="Y202" s="470"/>
      <c r="Z202" s="349"/>
      <c r="AA202" s="349"/>
      <c r="AB202" s="349"/>
      <c r="AC202" s="349"/>
      <c r="AD202" s="349"/>
      <c r="AE202" s="349"/>
      <c r="AF202" s="349"/>
      <c r="AG202" s="349"/>
      <c r="AH202" s="349"/>
      <c r="AI202" s="349"/>
      <c r="AJ202" s="349"/>
      <c r="AK202" s="349"/>
    </row>
    <row r="203" spans="1:37" ht="13" customHeight="1" x14ac:dyDescent="0.25">
      <c r="A203" s="2"/>
      <c r="B203" s="19"/>
      <c r="C203" s="19"/>
      <c r="D203" s="19"/>
      <c r="E203" s="2496" t="str">
        <f>Translations!$B$318</f>
        <v>Effektivt värmevärde</v>
      </c>
      <c r="F203" s="1997"/>
      <c r="G203" s="91" t="str">
        <f>IF(ISBLANK(G198),EUconst_GJperUnit,INDEX(EUconst_GJperTorKNm3,MATCH(G198,EUconst_TonnesOrkNm3pa,0)))</f>
        <v>GJ / Enhet</v>
      </c>
      <c r="H203" s="260"/>
      <c r="I203" s="260"/>
      <c r="J203" s="260"/>
      <c r="K203" s="260"/>
      <c r="L203" s="260"/>
      <c r="M203" s="260"/>
      <c r="N203" s="260"/>
      <c r="O203" s="6"/>
      <c r="P203" s="1362"/>
      <c r="Q203" s="355" t="str">
        <f>EUconst_CNTR_WGProduced &amp; C168</f>
        <v>WasteGasProd_1</v>
      </c>
      <c r="R203" s="108" t="str">
        <f t="shared" ref="R203:X203" si="50">IF(COUNT(H198,H203)&gt;0,H198*H203/1000,"")</f>
        <v/>
      </c>
      <c r="S203" s="108" t="str">
        <f t="shared" si="50"/>
        <v/>
      </c>
      <c r="T203" s="108" t="str">
        <f t="shared" si="50"/>
        <v/>
      </c>
      <c r="U203" s="108" t="str">
        <f t="shared" si="50"/>
        <v/>
      </c>
      <c r="V203" s="108" t="str">
        <f t="shared" si="50"/>
        <v/>
      </c>
      <c r="W203" s="108" t="str">
        <f t="shared" si="50"/>
        <v/>
      </c>
      <c r="X203" s="152" t="str">
        <f t="shared" si="50"/>
        <v/>
      </c>
      <c r="Y203" s="293" t="b">
        <f>Y198</f>
        <v>0</v>
      </c>
      <c r="Z203" s="349"/>
      <c r="AA203" s="349"/>
      <c r="AB203" s="349"/>
      <c r="AC203" s="349"/>
      <c r="AD203" s="349"/>
      <c r="AE203" s="349"/>
      <c r="AF203" s="349"/>
      <c r="AG203" s="349"/>
      <c r="AH203" s="349"/>
      <c r="AI203" s="349"/>
      <c r="AJ203" s="1526" t="s">
        <v>2248</v>
      </c>
      <c r="AK203" s="394" t="str">
        <f>IF(AND(CNTR_HasEntries_A_I,Y203=FALSE,COUNTIFS($AB$21:$AH$21,FALSE,H203:N203,"")&gt;0),4,"")</f>
        <v/>
      </c>
    </row>
    <row r="204" spans="1:37" ht="5.15" customHeight="1" x14ac:dyDescent="0.25">
      <c r="A204" s="2"/>
      <c r="B204" s="3"/>
      <c r="C204" s="3"/>
      <c r="D204" s="3"/>
      <c r="E204" s="3"/>
      <c r="F204" s="3"/>
      <c r="G204" s="3"/>
      <c r="H204" s="3"/>
      <c r="I204" s="3"/>
      <c r="J204" s="3"/>
      <c r="K204" s="3"/>
      <c r="L204" s="3"/>
      <c r="M204" s="6"/>
      <c r="N204" s="6"/>
      <c r="O204" s="6"/>
      <c r="P204" s="15"/>
      <c r="Q204" s="7"/>
      <c r="R204" s="2"/>
      <c r="S204" s="2"/>
      <c r="T204" s="2"/>
      <c r="U204" s="2"/>
      <c r="V204" s="2"/>
      <c r="W204" s="2"/>
      <c r="X204" s="2"/>
      <c r="Y204" s="470"/>
      <c r="Z204" s="349"/>
      <c r="AA204" s="349"/>
      <c r="AB204" s="349"/>
      <c r="AC204" s="349"/>
      <c r="AD204" s="349"/>
      <c r="AE204" s="349"/>
      <c r="AF204" s="349"/>
      <c r="AG204" s="349"/>
      <c r="AH204" s="349"/>
      <c r="AI204" s="349"/>
      <c r="AJ204" s="349"/>
      <c r="AK204" s="349"/>
    </row>
    <row r="205" spans="1:37" ht="13" customHeight="1" x14ac:dyDescent="0.25">
      <c r="A205" s="2"/>
      <c r="B205" s="3"/>
      <c r="C205" s="3"/>
      <c r="D205" s="13" t="s">
        <v>303</v>
      </c>
      <c r="E205" s="2106" t="str">
        <f>Translations!$B$319</f>
        <v>Nödvändiga antaganden:</v>
      </c>
      <c r="F205" s="1960"/>
      <c r="G205" s="1960"/>
      <c r="H205" s="1960"/>
      <c r="I205" s="1960"/>
      <c r="J205" s="1960"/>
      <c r="K205" s="1960"/>
      <c r="L205" s="1960"/>
      <c r="M205" s="1960"/>
      <c r="N205" s="1960"/>
      <c r="O205" s="6"/>
      <c r="P205" s="15"/>
      <c r="Q205" s="7"/>
      <c r="R205" s="2"/>
      <c r="S205" s="2"/>
      <c r="T205" s="2"/>
      <c r="U205" s="2"/>
      <c r="V205" s="2"/>
      <c r="W205" s="2"/>
      <c r="X205" s="2"/>
      <c r="Y205" s="470"/>
      <c r="Z205" s="349"/>
      <c r="AA205" s="349"/>
      <c r="AB205" s="349"/>
      <c r="AC205" s="349"/>
      <c r="AD205" s="349"/>
      <c r="AE205" s="349"/>
      <c r="AF205" s="349"/>
      <c r="AG205" s="349"/>
      <c r="AH205" s="349"/>
      <c r="AI205" s="349"/>
      <c r="AJ205" s="349"/>
      <c r="AK205" s="349"/>
    </row>
    <row r="206" spans="1:37" ht="12.65" customHeight="1" x14ac:dyDescent="0.25">
      <c r="A206" s="2"/>
      <c r="B206" s="19"/>
      <c r="C206" s="19"/>
      <c r="D206" s="19"/>
      <c r="E206" s="1032" t="str">
        <f>Translations!$B$320</f>
        <v>Referenseffektivitet för produktion av el:</v>
      </c>
      <c r="F206" s="1032"/>
      <c r="G206" s="1032"/>
      <c r="H206" s="1032"/>
      <c r="I206" s="116"/>
      <c r="J206" s="116" t="str">
        <f>Translations!$B$321</f>
        <v>med naturgas:</v>
      </c>
      <c r="K206" s="196">
        <v>0.52500000000000002</v>
      </c>
      <c r="L206" s="28"/>
      <c r="M206" s="116" t="str">
        <f>Translations!$B$322</f>
        <v>med restgaser:</v>
      </c>
      <c r="N206" s="196">
        <v>0.35</v>
      </c>
      <c r="O206" s="6"/>
      <c r="P206" s="1362"/>
      <c r="Q206" s="2"/>
      <c r="R206" s="2"/>
      <c r="S206" s="2"/>
      <c r="T206" s="2"/>
      <c r="U206" s="2"/>
      <c r="V206" s="2"/>
      <c r="W206" s="2"/>
      <c r="X206" s="2"/>
      <c r="Y206" s="470"/>
      <c r="Z206" s="349"/>
      <c r="AA206" s="349"/>
      <c r="AB206" s="349"/>
      <c r="AC206" s="349"/>
      <c r="AD206" s="349"/>
      <c r="AE206" s="349"/>
      <c r="AF206" s="349"/>
      <c r="AG206" s="349"/>
      <c r="AH206" s="349"/>
      <c r="AI206" s="349"/>
      <c r="AJ206" s="1526" t="s">
        <v>2248</v>
      </c>
      <c r="AK206" s="394" t="str">
        <f>IF(AND(CNTR_HasEntries_A_I,COUNT(H212:N212)&gt;0,OR(K206="",N206="")),4,"")</f>
        <v/>
      </c>
    </row>
    <row r="207" spans="1:37" ht="12.65" customHeight="1" x14ac:dyDescent="0.25">
      <c r="A207" s="2"/>
      <c r="B207" s="19"/>
      <c r="C207" s="19"/>
      <c r="D207" s="19"/>
      <c r="E207" s="2498" t="str">
        <f>Translations!$B$323</f>
        <v>Utsläppsfaktorn för naturgas:</v>
      </c>
      <c r="F207" s="2498"/>
      <c r="G207" s="2499"/>
      <c r="H207" s="23">
        <f>EUconst_NGEFvalue</f>
        <v>56.1</v>
      </c>
      <c r="I207" s="28" t="str">
        <f>EUconst_tCO2pTJ</f>
        <v>t CO2 / TJ</v>
      </c>
      <c r="J207" s="19"/>
      <c r="K207" s="19"/>
      <c r="L207" s="19"/>
      <c r="M207" s="19"/>
      <c r="N207" s="19"/>
      <c r="O207" s="6"/>
      <c r="P207" s="15"/>
      <c r="Q207" s="2"/>
      <c r="R207" s="2"/>
      <c r="S207" s="2"/>
      <c r="T207" s="2"/>
      <c r="U207" s="2"/>
      <c r="V207" s="2"/>
      <c r="W207" s="2"/>
      <c r="X207" s="2"/>
      <c r="Y207" s="470"/>
      <c r="Z207" s="349"/>
      <c r="AA207" s="349"/>
      <c r="AB207" s="349"/>
      <c r="AC207" s="349"/>
      <c r="AD207" s="349"/>
      <c r="AE207" s="349"/>
      <c r="AF207" s="349"/>
      <c r="AG207" s="349"/>
      <c r="AH207" s="349"/>
      <c r="AI207" s="349"/>
      <c r="AJ207" s="349"/>
      <c r="AK207" s="349"/>
    </row>
    <row r="208" spans="1:37" ht="5.15" customHeight="1" x14ac:dyDescent="0.25">
      <c r="A208" s="2"/>
      <c r="B208" s="3"/>
      <c r="C208" s="3"/>
      <c r="D208" s="3"/>
      <c r="E208" s="3"/>
      <c r="F208" s="3"/>
      <c r="G208" s="3"/>
      <c r="H208" s="3"/>
      <c r="I208" s="3"/>
      <c r="J208" s="3"/>
      <c r="K208" s="3"/>
      <c r="L208" s="3"/>
      <c r="M208" s="6"/>
      <c r="N208" s="6"/>
      <c r="O208" s="6"/>
      <c r="P208" s="15"/>
      <c r="Q208" s="7"/>
      <c r="R208" s="2"/>
      <c r="S208" s="2"/>
      <c r="T208" s="2"/>
      <c r="U208" s="2"/>
      <c r="V208" s="2"/>
      <c r="W208" s="2"/>
      <c r="X208" s="2"/>
      <c r="Y208" s="470"/>
      <c r="Z208" s="349"/>
      <c r="AA208" s="349"/>
      <c r="AB208" s="349"/>
      <c r="AC208" s="349"/>
      <c r="AD208" s="349"/>
      <c r="AE208" s="349"/>
      <c r="AF208" s="349"/>
      <c r="AG208" s="349"/>
      <c r="AH208" s="349"/>
      <c r="AI208" s="349"/>
      <c r="AJ208" s="349"/>
      <c r="AK208" s="349"/>
    </row>
    <row r="209" spans="1:37" ht="13" customHeight="1" x14ac:dyDescent="0.25">
      <c r="A209" s="2"/>
      <c r="B209" s="3"/>
      <c r="C209" s="3"/>
      <c r="D209" s="13" t="s">
        <v>305</v>
      </c>
      <c r="E209" s="2106" t="str">
        <f>Translations!$B$324</f>
        <v>Utsläpp som ska dras av för beaktande av tekniskt användbart energiinnehåll</v>
      </c>
      <c r="F209" s="2106"/>
      <c r="G209" s="2106"/>
      <c r="H209" s="2106"/>
      <c r="I209" s="2106"/>
      <c r="J209" s="2106"/>
      <c r="K209" s="2106"/>
      <c r="L209" s="2106"/>
      <c r="M209" s="2106"/>
      <c r="N209" s="2106"/>
      <c r="O209" s="6"/>
      <c r="P209" s="15"/>
      <c r="Q209" s="7"/>
      <c r="R209" s="2"/>
      <c r="S209" s="2"/>
      <c r="T209" s="2"/>
      <c r="U209" s="2"/>
      <c r="V209" s="2"/>
      <c r="W209" s="2"/>
      <c r="X209" s="2"/>
      <c r="Y209" s="470"/>
      <c r="Z209" s="349"/>
      <c r="AA209" s="349"/>
      <c r="AB209" s="349"/>
      <c r="AC209" s="349"/>
      <c r="AD209" s="349"/>
      <c r="AE209" s="349"/>
      <c r="AF209" s="349"/>
      <c r="AG209" s="349"/>
      <c r="AH209" s="349"/>
      <c r="AI209" s="349"/>
      <c r="AJ209" s="349"/>
      <c r="AK209" s="349"/>
    </row>
    <row r="210" spans="1:37" ht="12.65" customHeight="1" x14ac:dyDescent="0.25">
      <c r="A210" s="2"/>
      <c r="B210" s="3"/>
      <c r="C210" s="3"/>
      <c r="D210" s="15"/>
      <c r="E210" s="2075" t="str">
        <f>Translations!$B$325</f>
        <v>Dessa siffror beräknas automatiskt utifrån de som angetts ovan. Formeln anges i vägledning 8.</v>
      </c>
      <c r="F210" s="1960"/>
      <c r="G210" s="1960"/>
      <c r="H210" s="1960"/>
      <c r="I210" s="1960"/>
      <c r="J210" s="1960"/>
      <c r="K210" s="1960"/>
      <c r="L210" s="1960"/>
      <c r="M210" s="1960"/>
      <c r="N210" s="1960"/>
      <c r="O210" s="6"/>
      <c r="P210" s="15"/>
      <c r="Q210" s="7"/>
      <c r="R210" s="2"/>
      <c r="S210" s="2"/>
      <c r="T210" s="2"/>
      <c r="U210" s="2"/>
      <c r="V210" s="2"/>
      <c r="W210" s="2"/>
      <c r="X210" s="2"/>
      <c r="Y210" s="470"/>
      <c r="Z210" s="349"/>
      <c r="AA210" s="349"/>
      <c r="AB210" s="349"/>
      <c r="AC210" s="349"/>
      <c r="AD210" s="349"/>
      <c r="AE210" s="349"/>
      <c r="AF210" s="349"/>
      <c r="AG210" s="349"/>
      <c r="AH210" s="349"/>
      <c r="AI210" s="349"/>
      <c r="AJ210" s="349"/>
      <c r="AK210" s="349"/>
    </row>
    <row r="211" spans="1:37" ht="13" customHeight="1" x14ac:dyDescent="0.25">
      <c r="A211" s="2"/>
      <c r="B211" s="19"/>
      <c r="C211" s="19"/>
      <c r="D211" s="13"/>
      <c r="E211" s="2062" t="str">
        <f>Translations!$B$326</f>
        <v>Avdrag för restgaser</v>
      </c>
      <c r="F211" s="2497"/>
      <c r="G211" s="31" t="str">
        <f>EUconst_Unit</f>
        <v>Enhet</v>
      </c>
      <c r="H211" s="320">
        <f t="shared" ref="H211:N211" si="51">H$278</f>
        <v>2019</v>
      </c>
      <c r="I211" s="320">
        <f t="shared" si="51"/>
        <v>2020</v>
      </c>
      <c r="J211" s="320">
        <f t="shared" si="51"/>
        <v>2021</v>
      </c>
      <c r="K211" s="320">
        <f t="shared" si="51"/>
        <v>2022</v>
      </c>
      <c r="L211" s="320">
        <f t="shared" si="51"/>
        <v>2023</v>
      </c>
      <c r="M211" s="320">
        <f t="shared" si="51"/>
        <v>2024</v>
      </c>
      <c r="N211" s="320">
        <f t="shared" si="51"/>
        <v>2025</v>
      </c>
      <c r="O211" s="6"/>
      <c r="P211" s="15"/>
      <c r="Q211" s="2"/>
      <c r="R211" s="2"/>
      <c r="S211" s="2"/>
      <c r="T211" s="2"/>
      <c r="U211" s="2"/>
      <c r="V211" s="2"/>
      <c r="W211" s="2"/>
      <c r="X211" s="2"/>
      <c r="Y211" s="470"/>
      <c r="Z211" s="349"/>
      <c r="AA211" s="349"/>
      <c r="AB211" s="349"/>
      <c r="AC211" s="349"/>
      <c r="AD211" s="349"/>
      <c r="AE211" s="349"/>
      <c r="AF211" s="349"/>
      <c r="AG211" s="349"/>
      <c r="AH211" s="349"/>
      <c r="AI211" s="349"/>
      <c r="AJ211" s="349"/>
      <c r="AK211" s="349"/>
    </row>
    <row r="212" spans="1:37" ht="12.65" customHeight="1" x14ac:dyDescent="0.25">
      <c r="A212" s="2"/>
      <c r="B212" s="19"/>
      <c r="C212" s="19"/>
      <c r="D212" s="19"/>
      <c r="E212" s="2496" t="str">
        <f>Translations!$B$311</f>
        <v>utanför produktriktmärken</v>
      </c>
      <c r="F212" s="1997"/>
      <c r="G212" s="43" t="str">
        <f>EUconst_tCO2pa</f>
        <v>t CO2 / år</v>
      </c>
      <c r="H212" s="258" t="str">
        <f>IF(AND(ISNUMBER(H198),ISNUMBER(H203)),IFERROR((H198*H203/1000)*$H207*$N206/$K206,0),"")</f>
        <v/>
      </c>
      <c r="I212" s="258" t="str">
        <f t="shared" ref="I212:N212" si="52">IF(AND(ISNUMBER(I198),ISNUMBER(I203)),IFERROR((I198*I203/1000)*$H207*$N206/$K206,0),"")</f>
        <v/>
      </c>
      <c r="J212" s="258" t="str">
        <f t="shared" si="52"/>
        <v/>
      </c>
      <c r="K212" s="258" t="str">
        <f t="shared" si="52"/>
        <v/>
      </c>
      <c r="L212" s="258" t="str">
        <f t="shared" si="52"/>
        <v/>
      </c>
      <c r="M212" s="258" t="str">
        <f t="shared" si="52"/>
        <v/>
      </c>
      <c r="N212" s="258" t="str">
        <f t="shared" si="52"/>
        <v/>
      </c>
      <c r="O212" s="6"/>
      <c r="P212" s="15"/>
      <c r="Q212" s="2"/>
      <c r="R212" s="2"/>
      <c r="S212" s="2"/>
      <c r="T212" s="2"/>
      <c r="U212" s="2"/>
      <c r="V212" s="2"/>
      <c r="W212" s="2"/>
      <c r="X212" s="2"/>
      <c r="Y212" s="470"/>
      <c r="Z212" s="349"/>
      <c r="AA212" s="349"/>
      <c r="AB212" s="349"/>
      <c r="AC212" s="349"/>
      <c r="AD212" s="349"/>
      <c r="AE212" s="349"/>
      <c r="AF212" s="349"/>
      <c r="AG212" s="349"/>
      <c r="AH212" s="349"/>
      <c r="AI212" s="349"/>
      <c r="AJ212" s="349"/>
      <c r="AK212" s="349"/>
    </row>
    <row r="213" spans="1:37" x14ac:dyDescent="0.25">
      <c r="A213" s="2"/>
      <c r="B213" s="19"/>
      <c r="C213" s="19"/>
      <c r="D213" s="19"/>
      <c r="E213" s="19"/>
      <c r="F213" s="19"/>
      <c r="G213" s="19"/>
      <c r="H213" s="19"/>
      <c r="I213" s="19"/>
      <c r="J213" s="19"/>
      <c r="K213" s="19"/>
      <c r="L213" s="19"/>
      <c r="M213" s="19"/>
      <c r="N213" s="19"/>
      <c r="O213" s="6"/>
      <c r="P213" s="15"/>
      <c r="Q213" s="2"/>
      <c r="R213" s="2"/>
      <c r="S213" s="2"/>
      <c r="T213" s="2"/>
      <c r="U213" s="2"/>
      <c r="V213" s="2"/>
      <c r="W213" s="2"/>
      <c r="X213" s="2"/>
      <c r="Y213" s="470"/>
      <c r="Z213" s="349"/>
      <c r="AA213" s="349"/>
      <c r="AB213" s="349"/>
      <c r="AC213" s="349"/>
      <c r="AD213" s="349"/>
      <c r="AE213" s="349"/>
      <c r="AF213" s="349"/>
      <c r="AG213" s="349"/>
      <c r="AH213" s="349"/>
      <c r="AI213" s="349"/>
      <c r="AJ213" s="349"/>
      <c r="AK213" s="349"/>
    </row>
    <row r="214" spans="1:37" ht="13" customHeight="1" x14ac:dyDescent="0.25">
      <c r="A214" s="2"/>
      <c r="B214" s="3"/>
      <c r="C214" s="3"/>
      <c r="D214" s="13" t="s">
        <v>523</v>
      </c>
      <c r="E214" s="2106" t="str">
        <f>Translations!$B$327</f>
        <v>Processutsläpp beräknat med beaktande av korrigeringen för restgaser (= d – i)</v>
      </c>
      <c r="F214" s="1960"/>
      <c r="G214" s="1960"/>
      <c r="H214" s="1960"/>
      <c r="I214" s="1960"/>
      <c r="J214" s="1960"/>
      <c r="K214" s="1960"/>
      <c r="L214" s="1960"/>
      <c r="M214" s="1960"/>
      <c r="N214" s="1960"/>
      <c r="O214" s="6"/>
      <c r="P214" s="15"/>
      <c r="Q214" s="7"/>
      <c r="R214" s="2"/>
      <c r="S214" s="2"/>
      <c r="T214" s="2"/>
      <c r="U214" s="2"/>
      <c r="V214" s="2"/>
      <c r="W214" s="2"/>
      <c r="X214" s="2"/>
      <c r="Y214" s="470"/>
      <c r="Z214" s="349"/>
      <c r="AA214" s="349"/>
      <c r="AB214" s="349"/>
      <c r="AC214" s="349"/>
      <c r="AD214" s="349"/>
      <c r="AE214" s="349"/>
      <c r="AF214" s="349"/>
      <c r="AG214" s="349"/>
      <c r="AH214" s="349"/>
      <c r="AI214" s="349"/>
      <c r="AJ214" s="349"/>
      <c r="AK214" s="349"/>
    </row>
    <row r="215" spans="1:37" ht="13" customHeight="1" x14ac:dyDescent="0.25">
      <c r="A215" s="2"/>
      <c r="B215" s="3"/>
      <c r="C215" s="3"/>
      <c r="D215" s="15"/>
      <c r="E215" s="2168" t="str">
        <f>Translations!$B$328</f>
        <v>Detta är det slutresultat som verktyget ger. De värden som visas här bör anges i blad G för relevant delanläggning med processutsläpp.</v>
      </c>
      <c r="F215" s="1960"/>
      <c r="G215" s="1960"/>
      <c r="H215" s="1960"/>
      <c r="I215" s="1960"/>
      <c r="J215" s="1960"/>
      <c r="K215" s="1960"/>
      <c r="L215" s="1960"/>
      <c r="M215" s="1960"/>
      <c r="N215" s="1960"/>
      <c r="O215" s="6"/>
      <c r="P215" s="15"/>
      <c r="Q215" s="7"/>
      <c r="R215" s="2"/>
      <c r="S215" s="2"/>
      <c r="T215" s="2"/>
      <c r="U215" s="2"/>
      <c r="V215" s="2"/>
      <c r="W215" s="2"/>
      <c r="X215" s="2"/>
      <c r="Y215" s="470"/>
      <c r="Z215" s="349"/>
      <c r="AA215" s="349"/>
      <c r="AB215" s="349"/>
      <c r="AC215" s="349"/>
      <c r="AD215" s="349"/>
      <c r="AE215" s="349"/>
      <c r="AF215" s="349"/>
      <c r="AG215" s="349"/>
      <c r="AH215" s="349"/>
      <c r="AI215" s="349"/>
      <c r="AJ215" s="349"/>
      <c r="AK215" s="349"/>
    </row>
    <row r="216" spans="1:37" ht="12.65" customHeight="1" x14ac:dyDescent="0.25">
      <c r="A216" s="2"/>
      <c r="B216" s="3"/>
      <c r="C216" s="3"/>
      <c r="D216" s="15"/>
      <c r="E216" s="2075" t="str">
        <f>Translations!$B$277</f>
        <v>Beräkningsresultaten kan endast anses vara korrekta om fullständiga och konsekventa uppgifter ges i avsnitten ovan.</v>
      </c>
      <c r="F216" s="1960"/>
      <c r="G216" s="1960"/>
      <c r="H216" s="1960"/>
      <c r="I216" s="1960"/>
      <c r="J216" s="1960"/>
      <c r="K216" s="1960"/>
      <c r="L216" s="1960"/>
      <c r="M216" s="1960"/>
      <c r="N216" s="1960"/>
      <c r="O216" s="6"/>
      <c r="P216" s="15"/>
      <c r="Q216" s="7"/>
      <c r="R216" s="2"/>
      <c r="S216" s="2"/>
      <c r="T216" s="2"/>
      <c r="U216" s="2"/>
      <c r="V216" s="2"/>
      <c r="W216" s="2"/>
      <c r="X216" s="2"/>
      <c r="Y216" s="470"/>
      <c r="Z216" s="349"/>
      <c r="AA216" s="349"/>
      <c r="AB216" s="349"/>
      <c r="AC216" s="349"/>
      <c r="AD216" s="349"/>
      <c r="AE216" s="349"/>
      <c r="AF216" s="349"/>
      <c r="AG216" s="349"/>
      <c r="AH216" s="349"/>
      <c r="AI216" s="349"/>
      <c r="AJ216" s="349"/>
      <c r="AK216" s="349"/>
    </row>
    <row r="217" spans="1:37" ht="12.65" customHeight="1" x14ac:dyDescent="0.25">
      <c r="A217" s="2"/>
      <c r="B217" s="3"/>
      <c r="C217" s="3"/>
      <c r="D217" s="15"/>
      <c r="E217" s="2075" t="str">
        <f>Translations!$B$329</f>
        <v>Om resultatet är negativt ska värdet noll anges.</v>
      </c>
      <c r="F217" s="1960"/>
      <c r="G217" s="1960"/>
      <c r="H217" s="1960"/>
      <c r="I217" s="1960"/>
      <c r="J217" s="1960"/>
      <c r="K217" s="1960"/>
      <c r="L217" s="1960"/>
      <c r="M217" s="1960"/>
      <c r="N217" s="1960"/>
      <c r="O217" s="6"/>
      <c r="P217" s="15"/>
      <c r="Q217" s="7"/>
      <c r="R217" s="2"/>
      <c r="S217" s="2"/>
      <c r="T217" s="2"/>
      <c r="U217" s="2"/>
      <c r="V217" s="2"/>
      <c r="W217" s="2"/>
      <c r="X217" s="2"/>
      <c r="Y217" s="470"/>
      <c r="Z217" s="349"/>
      <c r="AA217" s="349"/>
      <c r="AB217" s="349"/>
      <c r="AC217" s="349"/>
      <c r="AD217" s="349"/>
      <c r="AE217" s="349"/>
      <c r="AF217" s="349"/>
      <c r="AG217" s="349"/>
      <c r="AH217" s="349"/>
      <c r="AI217" s="349"/>
      <c r="AJ217" s="349"/>
      <c r="AK217" s="349"/>
    </row>
    <row r="218" spans="1:37" ht="13" x14ac:dyDescent="0.25">
      <c r="A218" s="2"/>
      <c r="B218" s="19"/>
      <c r="C218" s="19"/>
      <c r="D218" s="13"/>
      <c r="E218" s="21"/>
      <c r="F218" s="21"/>
      <c r="G218" s="31" t="str">
        <f>EUconst_Unit</f>
        <v>Enhet</v>
      </c>
      <c r="H218" s="320">
        <f t="shared" ref="H218:N218" si="53">H$278</f>
        <v>2019</v>
      </c>
      <c r="I218" s="320">
        <f t="shared" si="53"/>
        <v>2020</v>
      </c>
      <c r="J218" s="320">
        <f t="shared" si="53"/>
        <v>2021</v>
      </c>
      <c r="K218" s="320">
        <f t="shared" si="53"/>
        <v>2022</v>
      </c>
      <c r="L218" s="320">
        <f t="shared" si="53"/>
        <v>2023</v>
      </c>
      <c r="M218" s="320">
        <f t="shared" si="53"/>
        <v>2024</v>
      </c>
      <c r="N218" s="320">
        <f t="shared" si="53"/>
        <v>2025</v>
      </c>
      <c r="O218" s="6"/>
      <c r="P218" s="15"/>
      <c r="Q218" s="2"/>
      <c r="R218" s="2"/>
      <c r="S218" s="2"/>
      <c r="T218" s="2"/>
      <c r="U218" s="2"/>
      <c r="V218" s="2"/>
      <c r="W218" s="2"/>
      <c r="X218" s="2"/>
      <c r="Y218" s="470"/>
      <c r="Z218" s="349"/>
      <c r="AA218" s="349"/>
      <c r="AB218" s="349"/>
      <c r="AC218" s="349"/>
      <c r="AD218" s="349"/>
      <c r="AE218" s="349"/>
      <c r="AF218" s="349"/>
      <c r="AG218" s="349"/>
      <c r="AH218" s="349"/>
      <c r="AI218" s="349"/>
      <c r="AJ218" s="349"/>
      <c r="AK218" s="349"/>
    </row>
    <row r="219" spans="1:37" ht="12.65" customHeight="1" x14ac:dyDescent="0.25">
      <c r="A219" s="2"/>
      <c r="B219" s="19"/>
      <c r="C219" s="19"/>
      <c r="D219" s="19"/>
      <c r="E219" s="2496" t="str">
        <f>Translations!$B$330</f>
        <v>Resultatet av verktyget för restgaser:</v>
      </c>
      <c r="F219" s="1997"/>
      <c r="G219" s="47" t="str">
        <f>EUconst_tCO2pa</f>
        <v>t CO2 / år</v>
      </c>
      <c r="H219" s="258" t="str">
        <f t="shared" ref="H219:N219" si="54">IF(ISNUMBER(H212),IF((IF(ISNUMBER(H185),H185,0)-SUM(H212))&lt;0,0,IF(ISNUMBER(H185),H185,0)-SUM(H212)),"")</f>
        <v/>
      </c>
      <c r="I219" s="258" t="str">
        <f t="shared" si="54"/>
        <v/>
      </c>
      <c r="J219" s="258" t="str">
        <f t="shared" si="54"/>
        <v/>
      </c>
      <c r="K219" s="258" t="str">
        <f t="shared" si="54"/>
        <v/>
      </c>
      <c r="L219" s="258" t="str">
        <f t="shared" si="54"/>
        <v/>
      </c>
      <c r="M219" s="258" t="str">
        <f t="shared" si="54"/>
        <v/>
      </c>
      <c r="N219" s="258" t="str">
        <f t="shared" si="54"/>
        <v/>
      </c>
      <c r="O219" s="6"/>
      <c r="P219" s="15"/>
      <c r="Q219" s="2"/>
      <c r="R219" s="2"/>
      <c r="S219" s="2"/>
      <c r="T219" s="2"/>
      <c r="U219" s="2"/>
      <c r="V219" s="2"/>
      <c r="W219" s="2"/>
      <c r="X219" s="2"/>
      <c r="Y219" s="470"/>
      <c r="Z219" s="349"/>
      <c r="AA219" s="349"/>
      <c r="AB219" s="349"/>
      <c r="AC219" s="349"/>
      <c r="AD219" s="349"/>
      <c r="AE219" s="349"/>
      <c r="AF219" s="349"/>
      <c r="AG219" s="349"/>
      <c r="AH219" s="349"/>
      <c r="AI219" s="349"/>
      <c r="AJ219" s="349"/>
      <c r="AK219" s="349"/>
    </row>
    <row r="220" spans="1:37" x14ac:dyDescent="0.25">
      <c r="A220" s="2"/>
      <c r="B220" s="19"/>
      <c r="C220" s="19"/>
      <c r="D220" s="19"/>
      <c r="E220" s="19"/>
      <c r="F220" s="19"/>
      <c r="G220" s="19"/>
      <c r="H220" s="19"/>
      <c r="I220" s="19"/>
      <c r="J220" s="19"/>
      <c r="K220" s="19"/>
      <c r="L220" s="19"/>
      <c r="M220" s="19"/>
      <c r="N220" s="19"/>
      <c r="O220" s="6"/>
      <c r="P220" s="15"/>
      <c r="Q220" s="2"/>
      <c r="R220" s="2"/>
      <c r="S220" s="2"/>
      <c r="T220" s="2"/>
      <c r="U220" s="2"/>
      <c r="V220" s="2"/>
      <c r="W220" s="2"/>
      <c r="X220" s="2"/>
      <c r="Y220" s="470"/>
      <c r="Z220" s="349"/>
      <c r="AA220" s="349"/>
      <c r="AB220" s="349"/>
      <c r="AC220" s="349"/>
      <c r="AD220" s="349"/>
      <c r="AE220" s="349"/>
      <c r="AF220" s="349"/>
      <c r="AG220" s="349"/>
      <c r="AH220" s="349"/>
      <c r="AI220" s="349"/>
      <c r="AJ220" s="349"/>
      <c r="AK220" s="349"/>
    </row>
    <row r="221" spans="1:37" ht="5.15" customHeight="1" x14ac:dyDescent="0.25">
      <c r="A221" s="2"/>
      <c r="B221" s="3"/>
      <c r="C221" s="3"/>
      <c r="D221" s="3"/>
      <c r="E221" s="3"/>
      <c r="F221" s="3"/>
      <c r="G221" s="3"/>
      <c r="H221" s="3"/>
      <c r="I221" s="3"/>
      <c r="J221" s="3"/>
      <c r="K221" s="3"/>
      <c r="L221" s="3"/>
      <c r="M221" s="6"/>
      <c r="N221" s="6"/>
      <c r="O221" s="6"/>
      <c r="P221" s="15"/>
      <c r="Q221" s="7"/>
      <c r="R221" s="2"/>
      <c r="S221" s="2"/>
      <c r="T221" s="2"/>
      <c r="U221" s="2"/>
      <c r="V221" s="2"/>
      <c r="W221" s="2"/>
      <c r="X221" s="2"/>
      <c r="Y221" s="470"/>
      <c r="Z221" s="349"/>
      <c r="AA221" s="349"/>
      <c r="AB221" s="349"/>
      <c r="AC221" s="349"/>
      <c r="AD221" s="349"/>
      <c r="AE221" s="349"/>
      <c r="AF221" s="349"/>
      <c r="AG221" s="349"/>
      <c r="AH221" s="349"/>
      <c r="AI221" s="349"/>
      <c r="AJ221" s="349"/>
      <c r="AK221" s="349"/>
    </row>
    <row r="222" spans="1:37" ht="14.15" customHeight="1" x14ac:dyDescent="0.3">
      <c r="A222" s="2"/>
      <c r="B222" s="3"/>
      <c r="C222" s="17">
        <v>2</v>
      </c>
      <c r="D222" s="2079" t="str">
        <f>Translations!$B$296</f>
        <v>Verktyg för att beräkna mängden processutsläpp om restgaser produceras utanför produktriktmärken</v>
      </c>
      <c r="E222" s="1960"/>
      <c r="F222" s="1960"/>
      <c r="G222" s="1960"/>
      <c r="H222" s="1960"/>
      <c r="I222" s="1960"/>
      <c r="J222" s="1960"/>
      <c r="K222" s="1960"/>
      <c r="L222" s="1960"/>
      <c r="M222" s="1960"/>
      <c r="N222" s="1960"/>
      <c r="O222" s="6"/>
      <c r="P222" s="15"/>
      <c r="Q222" s="7"/>
      <c r="R222" s="2"/>
      <c r="S222" s="2"/>
      <c r="T222" s="2"/>
      <c r="U222" s="2"/>
      <c r="V222" s="2"/>
      <c r="W222" s="2"/>
      <c r="X222" s="2"/>
      <c r="Y222" s="470"/>
      <c r="Z222" s="349"/>
      <c r="AA222" s="349"/>
      <c r="AB222" s="349"/>
      <c r="AC222" s="349"/>
      <c r="AD222" s="349"/>
      <c r="AE222" s="349"/>
      <c r="AF222" s="349"/>
      <c r="AG222" s="349"/>
      <c r="AH222" s="349"/>
      <c r="AI222" s="349"/>
      <c r="AJ222" s="349"/>
      <c r="AK222" s="349"/>
    </row>
    <row r="223" spans="1:37" ht="5.15" customHeight="1" x14ac:dyDescent="0.25">
      <c r="A223" s="2"/>
      <c r="B223" s="3"/>
      <c r="C223" s="3"/>
      <c r="D223" s="3"/>
      <c r="E223" s="3"/>
      <c r="F223" s="3"/>
      <c r="G223" s="3"/>
      <c r="H223" s="3"/>
      <c r="I223" s="3"/>
      <c r="J223" s="3"/>
      <c r="K223" s="3"/>
      <c r="L223" s="3"/>
      <c r="M223" s="6"/>
      <c r="N223" s="6"/>
      <c r="O223" s="6"/>
      <c r="P223" s="15"/>
      <c r="Q223" s="7"/>
      <c r="R223" s="2"/>
      <c r="S223" s="2"/>
      <c r="T223" s="2"/>
      <c r="U223" s="2"/>
      <c r="V223" s="2"/>
      <c r="W223" s="2"/>
      <c r="X223" s="2"/>
      <c r="Y223" s="470"/>
      <c r="Z223" s="349"/>
      <c r="AA223" s="349"/>
      <c r="AB223" s="349"/>
      <c r="AC223" s="349"/>
      <c r="AD223" s="349"/>
      <c r="AE223" s="349"/>
      <c r="AF223" s="349"/>
      <c r="AG223" s="349"/>
      <c r="AH223" s="349"/>
      <c r="AI223" s="349"/>
      <c r="AJ223" s="349"/>
      <c r="AK223" s="349"/>
    </row>
    <row r="224" spans="1:37" ht="13" customHeight="1" x14ac:dyDescent="0.25">
      <c r="A224" s="2"/>
      <c r="B224" s="19"/>
      <c r="C224" s="19"/>
      <c r="D224" s="19"/>
      <c r="E224" s="2482" t="str">
        <f>HYPERLINK($R224,CONCATENATE(EUconst_MsgSeeFirst," (D.IV.1)"))</f>
        <v>Utförliga anvisningar för datainmatning i detta verktyg finns i den första kopian av verktyget.  (D.IV.1)</v>
      </c>
      <c r="F224" s="1960"/>
      <c r="G224" s="1960"/>
      <c r="H224" s="1960"/>
      <c r="I224" s="1960"/>
      <c r="J224" s="1960"/>
      <c r="K224" s="1960"/>
      <c r="L224" s="1960"/>
      <c r="M224" s="1960"/>
      <c r="N224" s="1960"/>
      <c r="O224" s="6"/>
      <c r="P224" s="15"/>
      <c r="Q224" s="2" t="s">
        <v>484</v>
      </c>
      <c r="R224" s="294" t="str">
        <f>"#"&amp;ADDRESS(ROW(C168),COLUMN(C168))</f>
        <v>#$C$168</v>
      </c>
      <c r="S224" s="2"/>
      <c r="T224" s="2"/>
      <c r="U224" s="2"/>
      <c r="V224" s="2"/>
      <c r="W224" s="2"/>
      <c r="X224" s="2"/>
      <c r="Y224" s="470"/>
      <c r="Z224" s="349"/>
      <c r="AA224" s="349"/>
      <c r="AB224" s="349"/>
      <c r="AC224" s="349"/>
      <c r="AD224" s="349"/>
      <c r="AE224" s="349"/>
      <c r="AF224" s="349"/>
      <c r="AG224" s="349"/>
      <c r="AH224" s="349"/>
      <c r="AI224" s="349"/>
      <c r="AJ224" s="349"/>
      <c r="AK224" s="349"/>
    </row>
    <row r="225" spans="1:37" ht="5.15" customHeight="1" x14ac:dyDescent="0.25">
      <c r="A225" s="2"/>
      <c r="B225" s="3"/>
      <c r="C225" s="3"/>
      <c r="D225" s="3"/>
      <c r="E225" s="3"/>
      <c r="F225" s="3"/>
      <c r="G225" s="3"/>
      <c r="H225" s="3"/>
      <c r="I225" s="3"/>
      <c r="J225" s="3"/>
      <c r="K225" s="3"/>
      <c r="L225" s="3"/>
      <c r="M225" s="6"/>
      <c r="N225" s="6"/>
      <c r="O225" s="6"/>
      <c r="P225" s="15"/>
      <c r="Q225" s="7"/>
      <c r="R225" s="2"/>
      <c r="S225" s="2"/>
      <c r="T225" s="2"/>
      <c r="U225" s="2"/>
      <c r="V225" s="2"/>
      <c r="W225" s="2"/>
      <c r="X225" s="2"/>
      <c r="Y225" s="470"/>
      <c r="Z225" s="349"/>
      <c r="AA225" s="349"/>
      <c r="AB225" s="349"/>
      <c r="AC225" s="349"/>
      <c r="AD225" s="349"/>
      <c r="AE225" s="349"/>
      <c r="AF225" s="349"/>
      <c r="AG225" s="349"/>
      <c r="AH225" s="349"/>
      <c r="AI225" s="349"/>
      <c r="AJ225" s="349"/>
      <c r="AK225" s="349"/>
    </row>
    <row r="226" spans="1:37" ht="14.15" customHeight="1" x14ac:dyDescent="0.25">
      <c r="A226" s="2"/>
      <c r="B226" s="3"/>
      <c r="C226" s="3"/>
      <c r="D226" s="13" t="s">
        <v>442</v>
      </c>
      <c r="E226" s="2106" t="str">
        <f>Translations!$B$297</f>
        <v>Detta avsnitt handlar om följande typer av delanläggningar med processutsläpp:</v>
      </c>
      <c r="F226" s="1960"/>
      <c r="G226" s="1960"/>
      <c r="H226" s="1960"/>
      <c r="I226" s="1960"/>
      <c r="J226" s="1960"/>
      <c r="K226" s="2520"/>
      <c r="L226" s="2521"/>
      <c r="M226" s="2510"/>
      <c r="N226" s="2511"/>
      <c r="O226" s="6"/>
      <c r="P226" s="1362"/>
      <c r="Q226" s="7"/>
      <c r="R226" s="2"/>
      <c r="S226" s="2"/>
      <c r="T226" s="2"/>
      <c r="U226" s="2"/>
      <c r="V226" s="2"/>
      <c r="W226" s="2"/>
      <c r="X226" s="2"/>
      <c r="Y226" s="293" t="b">
        <f>Y203</f>
        <v>0</v>
      </c>
      <c r="Z226" s="349"/>
      <c r="AA226" s="349"/>
      <c r="AB226" s="349"/>
      <c r="AC226" s="349"/>
      <c r="AD226" s="349"/>
      <c r="AE226" s="349"/>
      <c r="AF226" s="349"/>
      <c r="AG226" s="349"/>
      <c r="AH226" s="349"/>
      <c r="AI226" s="349"/>
      <c r="AJ226" s="349"/>
      <c r="AK226" s="349"/>
    </row>
    <row r="227" spans="1:37" ht="5.15" customHeight="1" x14ac:dyDescent="0.25">
      <c r="A227" s="2"/>
      <c r="B227" s="3"/>
      <c r="C227" s="3"/>
      <c r="D227" s="3"/>
      <c r="E227" s="3"/>
      <c r="F227" s="3"/>
      <c r="G227" s="3"/>
      <c r="H227" s="3"/>
      <c r="I227" s="3"/>
      <c r="J227" s="3"/>
      <c r="K227" s="3"/>
      <c r="L227" s="3"/>
      <c r="M227" s="6"/>
      <c r="N227" s="6"/>
      <c r="O227" s="6"/>
      <c r="P227" s="15"/>
      <c r="Q227" s="7"/>
      <c r="R227" s="2"/>
      <c r="S227" s="2"/>
      <c r="T227" s="2"/>
      <c r="U227" s="2"/>
      <c r="V227" s="2"/>
      <c r="W227" s="2"/>
      <c r="X227" s="2"/>
      <c r="Y227" s="470"/>
      <c r="Z227" s="349"/>
      <c r="AA227" s="349"/>
      <c r="AB227" s="349"/>
      <c r="AC227" s="349"/>
      <c r="AD227" s="349"/>
      <c r="AE227" s="349"/>
      <c r="AF227" s="349"/>
      <c r="AG227" s="349"/>
      <c r="AH227" s="349"/>
      <c r="AI227" s="349"/>
      <c r="AJ227" s="349"/>
      <c r="AK227" s="349"/>
    </row>
    <row r="228" spans="1:37" ht="14.15" customHeight="1" x14ac:dyDescent="0.25">
      <c r="A228" s="2"/>
      <c r="B228" s="3"/>
      <c r="C228" s="3"/>
      <c r="D228" s="13" t="s">
        <v>955</v>
      </c>
      <c r="E228" s="2106" t="str">
        <f>Translations!$B$300</f>
        <v>Var god bekräfta om restgaser är relevanta för delanläggningen:</v>
      </c>
      <c r="F228" s="1960"/>
      <c r="G228" s="1960"/>
      <c r="H228" s="1960"/>
      <c r="I228" s="1960"/>
      <c r="J228" s="1960"/>
      <c r="K228" s="2520"/>
      <c r="L228" s="2509"/>
      <c r="M228" s="2510"/>
      <c r="N228" s="2511"/>
      <c r="O228" s="6"/>
      <c r="P228" s="1362"/>
      <c r="Q228" s="7"/>
      <c r="R228" s="2"/>
      <c r="S228" s="2"/>
      <c r="T228" s="2"/>
      <c r="U228" s="2"/>
      <c r="V228" s="2"/>
      <c r="W228" s="2"/>
      <c r="X228" s="2"/>
      <c r="Y228" s="293" t="b">
        <f>Y226</f>
        <v>0</v>
      </c>
      <c r="Z228" s="349"/>
      <c r="AA228" s="349"/>
      <c r="AB228" s="349"/>
      <c r="AC228" s="349"/>
      <c r="AD228" s="349"/>
      <c r="AE228" s="349"/>
      <c r="AF228" s="349"/>
      <c r="AG228" s="349"/>
      <c r="AH228" s="349"/>
      <c r="AI228" s="349"/>
      <c r="AJ228" s="349"/>
      <c r="AK228" s="349"/>
    </row>
    <row r="229" spans="1:37" ht="5.15" customHeight="1" x14ac:dyDescent="0.25">
      <c r="A229" s="2"/>
      <c r="B229" s="3"/>
      <c r="C229" s="3"/>
      <c r="D229" s="3"/>
      <c r="E229" s="3"/>
      <c r="F229" s="3"/>
      <c r="G229" s="3"/>
      <c r="H229" s="3"/>
      <c r="I229" s="3"/>
      <c r="J229" s="3"/>
      <c r="K229" s="3"/>
      <c r="L229" s="3"/>
      <c r="M229" s="6"/>
      <c r="N229" s="6"/>
      <c r="O229" s="6"/>
      <c r="P229" s="15"/>
      <c r="Q229" s="7"/>
      <c r="R229" s="2"/>
      <c r="S229" s="2"/>
      <c r="T229" s="2"/>
      <c r="U229" s="2"/>
      <c r="V229" s="2"/>
      <c r="W229" s="2"/>
      <c r="X229" s="2"/>
      <c r="Y229" s="470"/>
      <c r="Z229" s="349"/>
      <c r="AA229" s="349"/>
      <c r="AB229" s="349"/>
      <c r="AC229" s="349"/>
      <c r="AD229" s="349"/>
      <c r="AE229" s="349"/>
      <c r="AF229" s="349"/>
      <c r="AG229" s="349"/>
      <c r="AH229" s="349"/>
      <c r="AI229" s="349"/>
      <c r="AJ229" s="349"/>
      <c r="AK229" s="349"/>
    </row>
    <row r="230" spans="1:37" ht="13" customHeight="1" x14ac:dyDescent="0.25">
      <c r="A230" s="2"/>
      <c r="B230" s="3"/>
      <c r="C230" s="3"/>
      <c r="D230" s="13" t="s">
        <v>55</v>
      </c>
      <c r="E230" s="1028" t="str">
        <f>Translations!$B$301</f>
        <v>Restgastyp:</v>
      </c>
      <c r="F230" s="356"/>
      <c r="G230" s="1031"/>
      <c r="H230" s="2354"/>
      <c r="I230" s="2510"/>
      <c r="J230" s="2510"/>
      <c r="K230" s="2510"/>
      <c r="L230" s="2510"/>
      <c r="M230" s="2510"/>
      <c r="N230" s="2511"/>
      <c r="O230" s="6"/>
      <c r="P230" s="1362"/>
      <c r="Q230" s="7"/>
      <c r="R230" s="2"/>
      <c r="S230" s="2"/>
      <c r="T230" s="2"/>
      <c r="U230" s="2"/>
      <c r="V230" s="2"/>
      <c r="W230" s="2"/>
      <c r="X230" s="2"/>
      <c r="Y230" s="293" t="b">
        <f>Y228</f>
        <v>0</v>
      </c>
      <c r="Z230" s="349"/>
      <c r="AA230" s="349"/>
      <c r="AB230" s="349"/>
      <c r="AC230" s="349"/>
      <c r="AD230" s="349"/>
      <c r="AE230" s="349"/>
      <c r="AF230" s="349"/>
      <c r="AG230" s="349"/>
      <c r="AH230" s="349"/>
      <c r="AI230" s="349"/>
      <c r="AJ230" s="349"/>
      <c r="AK230" s="349"/>
    </row>
    <row r="231" spans="1:37" ht="5.15" customHeight="1" x14ac:dyDescent="0.25">
      <c r="A231" s="2"/>
      <c r="B231" s="3"/>
      <c r="C231" s="3"/>
      <c r="D231" s="3"/>
      <c r="E231" s="3"/>
      <c r="F231" s="3"/>
      <c r="G231" s="3"/>
      <c r="H231" s="3"/>
      <c r="I231" s="3"/>
      <c r="J231" s="3"/>
      <c r="K231" s="3"/>
      <c r="L231" s="3"/>
      <c r="M231" s="6"/>
      <c r="N231" s="6"/>
      <c r="O231" s="6"/>
      <c r="P231" s="15"/>
      <c r="Q231" s="7"/>
      <c r="R231" s="2"/>
      <c r="S231" s="2"/>
      <c r="T231" s="2"/>
      <c r="U231" s="2"/>
      <c r="V231" s="2"/>
      <c r="W231" s="2"/>
      <c r="X231" s="2"/>
      <c r="Y231" s="470"/>
      <c r="Z231" s="349"/>
      <c r="AA231" s="349"/>
      <c r="AB231" s="349"/>
      <c r="AC231" s="349"/>
      <c r="AD231" s="349"/>
      <c r="AE231" s="349"/>
      <c r="AF231" s="349"/>
      <c r="AG231" s="349"/>
      <c r="AH231" s="349"/>
      <c r="AI231" s="349"/>
      <c r="AJ231" s="349"/>
      <c r="AK231" s="349"/>
    </row>
    <row r="232" spans="1:37" ht="13" x14ac:dyDescent="0.25">
      <c r="A232" s="2"/>
      <c r="B232" s="3"/>
      <c r="C232" s="3"/>
      <c r="D232" s="13"/>
      <c r="E232" s="2503"/>
      <c r="F232" s="2512"/>
      <c r="G232" s="2512"/>
      <c r="H232" s="2512"/>
      <c r="I232" s="2512"/>
      <c r="J232" s="2512"/>
      <c r="K232" s="2512"/>
      <c r="L232" s="2512"/>
      <c r="M232" s="2512"/>
      <c r="N232" s="2513"/>
      <c r="O232" s="6"/>
      <c r="P232" s="1362"/>
      <c r="Q232" s="7"/>
      <c r="R232" s="2"/>
      <c r="S232" s="2"/>
      <c r="T232" s="2"/>
      <c r="U232" s="2"/>
      <c r="V232" s="2"/>
      <c r="W232" s="2"/>
      <c r="X232" s="2"/>
      <c r="Y232" s="293" t="b">
        <f>Y230</f>
        <v>0</v>
      </c>
      <c r="Z232" s="349"/>
      <c r="AA232" s="349"/>
      <c r="AB232" s="349"/>
      <c r="AC232" s="349"/>
      <c r="AD232" s="349"/>
      <c r="AE232" s="349"/>
      <c r="AF232" s="349"/>
      <c r="AG232" s="349"/>
      <c r="AH232" s="349"/>
      <c r="AI232" s="349"/>
      <c r="AJ232" s="349"/>
      <c r="AK232" s="349"/>
    </row>
    <row r="233" spans="1:37" ht="13" x14ac:dyDescent="0.25">
      <c r="A233" s="2"/>
      <c r="B233" s="3"/>
      <c r="C233" s="3"/>
      <c r="D233" s="13"/>
      <c r="E233" s="2514"/>
      <c r="F233" s="2515"/>
      <c r="G233" s="2515"/>
      <c r="H233" s="2515"/>
      <c r="I233" s="2515"/>
      <c r="J233" s="2515"/>
      <c r="K233" s="2515"/>
      <c r="L233" s="2515"/>
      <c r="M233" s="2515"/>
      <c r="N233" s="2516"/>
      <c r="O233" s="6"/>
      <c r="P233" s="15"/>
      <c r="Q233" s="7"/>
      <c r="R233" s="2"/>
      <c r="S233" s="2"/>
      <c r="T233" s="2"/>
      <c r="U233" s="2"/>
      <c r="V233" s="2"/>
      <c r="W233" s="2"/>
      <c r="X233" s="2"/>
      <c r="Y233" s="293" t="b">
        <f>Y232</f>
        <v>0</v>
      </c>
      <c r="Z233" s="349"/>
      <c r="AA233" s="349"/>
      <c r="AB233" s="349"/>
      <c r="AC233" s="349"/>
      <c r="AD233" s="349"/>
      <c r="AE233" s="349"/>
      <c r="AF233" s="349"/>
      <c r="AG233" s="349"/>
      <c r="AH233" s="349"/>
      <c r="AI233" s="349"/>
      <c r="AJ233" s="349"/>
      <c r="AK233" s="349"/>
    </row>
    <row r="234" spans="1:37" ht="5.15" customHeight="1" x14ac:dyDescent="0.25">
      <c r="A234" s="2"/>
      <c r="B234" s="3"/>
      <c r="C234" s="3"/>
      <c r="D234" s="3"/>
      <c r="E234" s="3"/>
      <c r="F234" s="3"/>
      <c r="G234" s="3"/>
      <c r="H234" s="3"/>
      <c r="I234" s="3"/>
      <c r="J234" s="3"/>
      <c r="K234" s="3"/>
      <c r="L234" s="3"/>
      <c r="M234" s="6"/>
      <c r="N234" s="6"/>
      <c r="O234" s="6"/>
      <c r="P234" s="15"/>
      <c r="Q234" s="7"/>
      <c r="R234" s="2"/>
      <c r="S234" s="2"/>
      <c r="T234" s="2"/>
      <c r="U234" s="2"/>
      <c r="V234" s="2"/>
      <c r="W234" s="2"/>
      <c r="X234" s="2"/>
      <c r="Y234" s="470"/>
      <c r="Z234" s="349"/>
      <c r="AA234" s="349"/>
      <c r="AB234" s="349"/>
      <c r="AC234" s="349"/>
      <c r="AD234" s="349"/>
      <c r="AE234" s="349"/>
      <c r="AF234" s="349"/>
      <c r="AG234" s="349"/>
      <c r="AH234" s="349"/>
      <c r="AI234" s="349"/>
      <c r="AJ234" s="349"/>
      <c r="AK234" s="349"/>
    </row>
    <row r="235" spans="1:37" ht="13" customHeight="1" x14ac:dyDescent="0.25">
      <c r="A235" s="2"/>
      <c r="B235" s="3"/>
      <c r="C235" s="3"/>
      <c r="D235" s="13" t="s">
        <v>960</v>
      </c>
      <c r="E235" s="2106" t="str">
        <f>Translations!$B$304</f>
        <v>Total mängd processutsläpp före avdrag för motsvarande tekniskt användbara energiinnehåll:</v>
      </c>
      <c r="F235" s="1960"/>
      <c r="G235" s="1960"/>
      <c r="H235" s="1960"/>
      <c r="I235" s="1960"/>
      <c r="J235" s="1960"/>
      <c r="K235" s="1960"/>
      <c r="L235" s="1960"/>
      <c r="M235" s="1960"/>
      <c r="N235" s="1960"/>
      <c r="O235" s="6"/>
      <c r="P235" s="15"/>
      <c r="Q235" s="7"/>
      <c r="R235" s="2"/>
      <c r="S235" s="2"/>
      <c r="T235" s="2"/>
      <c r="U235" s="2"/>
      <c r="V235" s="2"/>
      <c r="W235" s="2"/>
      <c r="X235" s="2"/>
      <c r="Y235" s="470"/>
      <c r="Z235" s="349"/>
      <c r="AA235" s="349"/>
      <c r="AB235" s="349"/>
      <c r="AC235" s="349"/>
      <c r="AD235" s="349"/>
      <c r="AE235" s="349"/>
      <c r="AF235" s="349"/>
      <c r="AG235" s="349"/>
      <c r="AH235" s="349"/>
      <c r="AI235" s="349"/>
      <c r="AJ235" s="349"/>
      <c r="AK235" s="349"/>
    </row>
    <row r="236" spans="1:37" ht="5.15" customHeight="1" x14ac:dyDescent="0.25">
      <c r="A236" s="2"/>
      <c r="B236" s="3"/>
      <c r="C236" s="3"/>
      <c r="D236" s="3"/>
      <c r="E236" s="3"/>
      <c r="F236" s="3"/>
      <c r="G236" s="3"/>
      <c r="H236" s="3"/>
      <c r="I236" s="3"/>
      <c r="J236" s="3"/>
      <c r="K236" s="3"/>
      <c r="L236" s="3"/>
      <c r="M236" s="6"/>
      <c r="N236" s="6"/>
      <c r="O236" s="6"/>
      <c r="P236" s="15"/>
      <c r="Q236" s="7"/>
      <c r="R236" s="2"/>
      <c r="S236" s="2"/>
      <c r="T236" s="2"/>
      <c r="U236" s="2"/>
      <c r="V236" s="2"/>
      <c r="W236" s="2"/>
      <c r="X236" s="2"/>
      <c r="Y236" s="470"/>
      <c r="Z236" s="349"/>
      <c r="AA236" s="349"/>
      <c r="AB236" s="349"/>
      <c r="AC236" s="349"/>
      <c r="AD236" s="349"/>
      <c r="AE236" s="349"/>
      <c r="AF236" s="349"/>
      <c r="AG236" s="349"/>
      <c r="AH236" s="349"/>
      <c r="AI236" s="349"/>
      <c r="AJ236" s="349"/>
      <c r="AK236" s="349"/>
    </row>
    <row r="237" spans="1:37" ht="13" x14ac:dyDescent="0.25">
      <c r="A237" s="2"/>
      <c r="B237" s="19"/>
      <c r="C237" s="19"/>
      <c r="D237" s="13"/>
      <c r="E237" s="24"/>
      <c r="F237" s="21"/>
      <c r="G237" s="31" t="str">
        <f>EUconst_Unit</f>
        <v>Enhet</v>
      </c>
      <c r="H237" s="320">
        <f t="shared" ref="H237:N237" si="55">H$278</f>
        <v>2019</v>
      </c>
      <c r="I237" s="320">
        <f t="shared" si="55"/>
        <v>2020</v>
      </c>
      <c r="J237" s="320">
        <f t="shared" si="55"/>
        <v>2021</v>
      </c>
      <c r="K237" s="320">
        <f t="shared" si="55"/>
        <v>2022</v>
      </c>
      <c r="L237" s="320">
        <f t="shared" si="55"/>
        <v>2023</v>
      </c>
      <c r="M237" s="320">
        <f t="shared" si="55"/>
        <v>2024</v>
      </c>
      <c r="N237" s="320">
        <f t="shared" si="55"/>
        <v>2025</v>
      </c>
      <c r="O237" s="6"/>
      <c r="P237" s="15"/>
      <c r="Q237" s="2"/>
      <c r="R237" s="2"/>
      <c r="S237" s="2"/>
      <c r="T237" s="2"/>
      <c r="U237" s="2"/>
      <c r="V237" s="2"/>
      <c r="W237" s="2"/>
      <c r="X237" s="2"/>
      <c r="Y237" s="470"/>
      <c r="Z237" s="349"/>
      <c r="AA237" s="349"/>
      <c r="AB237" s="349"/>
      <c r="AC237" s="349"/>
      <c r="AD237" s="349"/>
      <c r="AE237" s="349"/>
      <c r="AF237" s="349"/>
      <c r="AG237" s="349"/>
      <c r="AH237" s="349"/>
      <c r="AI237" s="349"/>
      <c r="AJ237" s="349"/>
      <c r="AK237" s="349"/>
    </row>
    <row r="238" spans="1:37" ht="12.65" customHeight="1" x14ac:dyDescent="0.25">
      <c r="A238" s="2"/>
      <c r="B238" s="19"/>
      <c r="C238" s="19"/>
      <c r="D238" s="19"/>
      <c r="E238" s="2496" t="str">
        <f>Translations!$B$306</f>
        <v>Okorrigerade processutsläpp</v>
      </c>
      <c r="F238" s="1997"/>
      <c r="G238" s="43" t="str">
        <f>EUconst_tCO2epa</f>
        <v>t CO2e/år</v>
      </c>
      <c r="H238" s="260"/>
      <c r="I238" s="260"/>
      <c r="J238" s="260"/>
      <c r="K238" s="260"/>
      <c r="L238" s="260"/>
      <c r="M238" s="260"/>
      <c r="N238" s="260"/>
      <c r="O238" s="6"/>
      <c r="P238" s="1362"/>
      <c r="Q238" s="2"/>
      <c r="R238" s="2"/>
      <c r="S238" s="2"/>
      <c r="T238" s="2"/>
      <c r="U238" s="2"/>
      <c r="V238" s="2"/>
      <c r="W238" s="2"/>
      <c r="X238" s="2"/>
      <c r="Y238" s="293" t="b">
        <f>Y233</f>
        <v>0</v>
      </c>
      <c r="Z238" s="349"/>
      <c r="AA238" s="349"/>
      <c r="AB238" s="349"/>
      <c r="AC238" s="349"/>
      <c r="AD238" s="349"/>
      <c r="AE238" s="349"/>
      <c r="AF238" s="349"/>
      <c r="AG238" s="349"/>
      <c r="AH238" s="349"/>
      <c r="AI238" s="349"/>
      <c r="AJ238" s="349"/>
      <c r="AK238" s="349"/>
    </row>
    <row r="239" spans="1:37" ht="5.15" customHeight="1" x14ac:dyDescent="0.25">
      <c r="A239" s="2"/>
      <c r="B239" s="3"/>
      <c r="C239" s="3"/>
      <c r="D239" s="3"/>
      <c r="E239" s="3"/>
      <c r="F239" s="3"/>
      <c r="G239" s="3"/>
      <c r="H239" s="1"/>
      <c r="I239" s="1"/>
      <c r="J239" s="3"/>
      <c r="K239" s="3"/>
      <c r="L239" s="3"/>
      <c r="M239" s="3"/>
      <c r="N239" s="6"/>
      <c r="O239" s="6"/>
      <c r="P239" s="15"/>
      <c r="Q239" s="7"/>
      <c r="R239" s="2"/>
      <c r="S239" s="2"/>
      <c r="T239" s="2"/>
      <c r="U239" s="2"/>
      <c r="V239" s="2"/>
      <c r="W239" s="2"/>
      <c r="X239" s="2"/>
      <c r="Y239" s="470"/>
      <c r="Z239" s="349"/>
      <c r="AA239" s="349"/>
      <c r="AB239" s="349"/>
      <c r="AC239" s="349"/>
      <c r="AD239" s="349"/>
      <c r="AE239" s="349"/>
      <c r="AF239" s="349"/>
      <c r="AG239" s="349"/>
      <c r="AH239" s="349"/>
      <c r="AI239" s="349"/>
      <c r="AJ239" s="349"/>
      <c r="AK239" s="349"/>
    </row>
    <row r="240" spans="1:37" ht="13" customHeight="1" x14ac:dyDescent="0.25">
      <c r="A240" s="2"/>
      <c r="B240" s="3"/>
      <c r="C240" s="3"/>
      <c r="D240" s="13" t="s">
        <v>65</v>
      </c>
      <c r="E240" s="2106" t="str">
        <f>Translations!$B$307</f>
        <v>Uppskattning av restgasutsläpp</v>
      </c>
      <c r="F240" s="1960"/>
      <c r="G240" s="1960"/>
      <c r="H240" s="1960"/>
      <c r="I240" s="1960"/>
      <c r="J240" s="1960"/>
      <c r="K240" s="1960"/>
      <c r="L240" s="1960"/>
      <c r="M240" s="1960"/>
      <c r="N240" s="1960"/>
      <c r="O240" s="6"/>
      <c r="P240" s="15"/>
      <c r="Q240" s="7"/>
      <c r="R240" s="2"/>
      <c r="S240" s="2"/>
      <c r="T240" s="2"/>
      <c r="U240" s="2"/>
      <c r="V240" s="2"/>
      <c r="W240" s="2"/>
      <c r="X240" s="2"/>
      <c r="Y240" s="470"/>
      <c r="Z240" s="349"/>
      <c r="AA240" s="349"/>
      <c r="AB240" s="349"/>
      <c r="AC240" s="349"/>
      <c r="AD240" s="349"/>
      <c r="AE240" s="349"/>
      <c r="AF240" s="349"/>
      <c r="AG240" s="349"/>
      <c r="AH240" s="349"/>
      <c r="AI240" s="349"/>
      <c r="AJ240" s="349"/>
      <c r="AK240" s="349"/>
    </row>
    <row r="241" spans="1:37" ht="5.15" customHeight="1" x14ac:dyDescent="0.25">
      <c r="A241" s="2"/>
      <c r="B241" s="3"/>
      <c r="C241" s="3"/>
      <c r="D241" s="3"/>
      <c r="E241" s="3"/>
      <c r="F241" s="3"/>
      <c r="G241" s="3"/>
      <c r="H241" s="1"/>
      <c r="I241" s="1"/>
      <c r="J241" s="3"/>
      <c r="K241" s="3"/>
      <c r="L241" s="3"/>
      <c r="M241" s="3"/>
      <c r="N241" s="6"/>
      <c r="O241" s="6"/>
      <c r="P241" s="15"/>
      <c r="Q241" s="7"/>
      <c r="R241" s="2"/>
      <c r="S241" s="2"/>
      <c r="T241" s="2"/>
      <c r="U241" s="2"/>
      <c r="V241" s="2"/>
      <c r="W241" s="2"/>
      <c r="X241" s="2"/>
      <c r="Y241" s="470"/>
      <c r="Z241" s="349"/>
      <c r="AA241" s="349"/>
      <c r="AB241" s="349"/>
      <c r="AC241" s="349"/>
      <c r="AD241" s="349"/>
      <c r="AE241" s="349"/>
      <c r="AF241" s="349"/>
      <c r="AG241" s="349"/>
      <c r="AH241" s="349"/>
      <c r="AI241" s="349"/>
      <c r="AJ241" s="349"/>
      <c r="AK241" s="349"/>
    </row>
    <row r="242" spans="1:37" ht="13" customHeight="1" x14ac:dyDescent="0.25">
      <c r="A242" s="2"/>
      <c r="B242" s="19"/>
      <c r="C242" s="19"/>
      <c r="D242" s="13"/>
      <c r="E242" s="2062" t="str">
        <f>Translations!$B$310</f>
        <v>Restgasutsläpp</v>
      </c>
      <c r="F242" s="2497"/>
      <c r="G242" s="31" t="str">
        <f>EUconst_Unit</f>
        <v>Enhet</v>
      </c>
      <c r="H242" s="320">
        <f t="shared" ref="H242:N242" si="56">H$278</f>
        <v>2019</v>
      </c>
      <c r="I242" s="320">
        <f t="shared" si="56"/>
        <v>2020</v>
      </c>
      <c r="J242" s="320">
        <f t="shared" si="56"/>
        <v>2021</v>
      </c>
      <c r="K242" s="320">
        <f t="shared" si="56"/>
        <v>2022</v>
      </c>
      <c r="L242" s="320">
        <f t="shared" si="56"/>
        <v>2023</v>
      </c>
      <c r="M242" s="320">
        <f t="shared" si="56"/>
        <v>2024</v>
      </c>
      <c r="N242" s="320">
        <f t="shared" si="56"/>
        <v>2025</v>
      </c>
      <c r="O242" s="6"/>
      <c r="P242" s="15"/>
      <c r="Q242" s="2"/>
      <c r="R242" s="2"/>
      <c r="S242" s="2"/>
      <c r="T242" s="2"/>
      <c r="U242" s="2"/>
      <c r="V242" s="2"/>
      <c r="W242" s="2"/>
      <c r="X242" s="2"/>
      <c r="Y242" s="470"/>
      <c r="Z242" s="349"/>
      <c r="AA242" s="349"/>
      <c r="AB242" s="349"/>
      <c r="AC242" s="349"/>
      <c r="AD242" s="349"/>
      <c r="AE242" s="349"/>
      <c r="AF242" s="349"/>
      <c r="AG242" s="349"/>
      <c r="AH242" s="349"/>
      <c r="AI242" s="349"/>
      <c r="AJ242" s="349"/>
      <c r="AK242" s="349"/>
    </row>
    <row r="243" spans="1:37" ht="12.65" customHeight="1" x14ac:dyDescent="0.25">
      <c r="A243" s="2"/>
      <c r="B243" s="19"/>
      <c r="C243" s="19"/>
      <c r="D243" s="19"/>
      <c r="E243" s="2496" t="str">
        <f>Translations!$B$311</f>
        <v>utanför produktriktmärken</v>
      </c>
      <c r="F243" s="1997"/>
      <c r="G243" s="43" t="str">
        <f>EUconst_tCO2epa</f>
        <v>t CO2e/år</v>
      </c>
      <c r="H243" s="582"/>
      <c r="I243" s="582"/>
      <c r="J243" s="582"/>
      <c r="K243" s="259"/>
      <c r="L243" s="259"/>
      <c r="M243" s="259"/>
      <c r="N243" s="259"/>
      <c r="O243" s="6"/>
      <c r="P243" s="1362"/>
      <c r="Q243" s="2"/>
      <c r="R243" s="2"/>
      <c r="S243" s="2"/>
      <c r="T243" s="2"/>
      <c r="U243" s="2"/>
      <c r="V243" s="2"/>
      <c r="W243" s="2"/>
      <c r="X243" s="2"/>
      <c r="Y243" s="293" t="b">
        <f>Y238</f>
        <v>0</v>
      </c>
      <c r="Z243" s="349"/>
      <c r="AA243" s="349"/>
      <c r="AB243" s="349"/>
      <c r="AC243" s="349"/>
      <c r="AD243" s="349"/>
      <c r="AE243" s="349"/>
      <c r="AF243" s="349"/>
      <c r="AG243" s="349"/>
      <c r="AH243" s="349"/>
      <c r="AI243" s="349"/>
      <c r="AJ243" s="349"/>
      <c r="AK243" s="349"/>
    </row>
    <row r="244" spans="1:37" ht="5.15" customHeight="1" x14ac:dyDescent="0.25">
      <c r="A244" s="2"/>
      <c r="B244" s="3"/>
      <c r="C244" s="3"/>
      <c r="D244" s="3"/>
      <c r="E244" s="3"/>
      <c r="F244" s="3"/>
      <c r="G244" s="3"/>
      <c r="H244" s="1"/>
      <c r="I244" s="1"/>
      <c r="J244" s="3"/>
      <c r="K244" s="3"/>
      <c r="L244" s="3"/>
      <c r="M244" s="3"/>
      <c r="N244" s="6"/>
      <c r="O244" s="6"/>
      <c r="P244" s="15"/>
      <c r="Q244" s="7"/>
      <c r="R244" s="2"/>
      <c r="S244" s="2"/>
      <c r="T244" s="2"/>
      <c r="U244" s="2"/>
      <c r="V244" s="2"/>
      <c r="W244" s="2"/>
      <c r="X244" s="2"/>
      <c r="Y244" s="470"/>
      <c r="Z244" s="349"/>
      <c r="AA244" s="349"/>
      <c r="AB244" s="349"/>
      <c r="AC244" s="349"/>
      <c r="AD244" s="349"/>
      <c r="AE244" s="349"/>
      <c r="AF244" s="349"/>
      <c r="AG244" s="349"/>
      <c r="AH244" s="349"/>
      <c r="AI244" s="349"/>
      <c r="AJ244" s="349"/>
      <c r="AK244" s="349"/>
    </row>
    <row r="245" spans="1:37" ht="13" customHeight="1" x14ac:dyDescent="0.25">
      <c r="A245" s="2"/>
      <c r="B245" s="3"/>
      <c r="C245" s="3"/>
      <c r="D245" s="13" t="s">
        <v>66</v>
      </c>
      <c r="E245" s="2106" t="str">
        <f>Translations!$B$312</f>
        <v>Mängden restgaser som produceras utanför delanläggningar med produktriktmärke, inklusive för export:</v>
      </c>
      <c r="F245" s="1960"/>
      <c r="G245" s="1960"/>
      <c r="H245" s="1960"/>
      <c r="I245" s="1960"/>
      <c r="J245" s="1960"/>
      <c r="K245" s="1960"/>
      <c r="L245" s="1960"/>
      <c r="M245" s="1960"/>
      <c r="N245" s="1960"/>
      <c r="O245" s="6"/>
      <c r="P245" s="15"/>
      <c r="Q245" s="7"/>
      <c r="R245" s="2"/>
      <c r="S245" s="2"/>
      <c r="T245" s="2"/>
      <c r="U245" s="2"/>
      <c r="V245" s="2"/>
      <c r="W245" s="2"/>
      <c r="X245" s="2"/>
      <c r="Y245" s="470"/>
      <c r="Z245" s="349"/>
      <c r="AA245" s="349"/>
      <c r="AB245" s="349"/>
      <c r="AC245" s="349"/>
      <c r="AD245" s="349"/>
      <c r="AE245" s="349"/>
      <c r="AF245" s="349"/>
      <c r="AG245" s="349"/>
      <c r="AH245" s="349"/>
      <c r="AI245" s="349"/>
      <c r="AJ245" s="349"/>
      <c r="AK245" s="349"/>
    </row>
    <row r="246" spans="1:37" ht="5.15" customHeight="1" x14ac:dyDescent="0.25">
      <c r="A246" s="2"/>
      <c r="B246" s="3"/>
      <c r="C246" s="3"/>
      <c r="D246" s="3"/>
      <c r="E246" s="3"/>
      <c r="F246" s="3"/>
      <c r="G246" s="3"/>
      <c r="H246" s="1"/>
      <c r="I246" s="1"/>
      <c r="J246" s="3"/>
      <c r="K246" s="3"/>
      <c r="L246" s="3"/>
      <c r="M246" s="3"/>
      <c r="N246" s="6"/>
      <c r="O246" s="6"/>
      <c r="P246" s="15"/>
      <c r="Q246" s="7"/>
      <c r="R246" s="2"/>
      <c r="S246" s="2"/>
      <c r="T246" s="2"/>
      <c r="U246" s="2"/>
      <c r="V246" s="2"/>
      <c r="W246" s="2"/>
      <c r="X246" s="2"/>
      <c r="Y246" s="470"/>
      <c r="Z246" s="349"/>
      <c r="AA246" s="349"/>
      <c r="AB246" s="349"/>
      <c r="AC246" s="349"/>
      <c r="AD246" s="349"/>
      <c r="AE246" s="349"/>
      <c r="AF246" s="349"/>
      <c r="AG246" s="349"/>
      <c r="AH246" s="349"/>
      <c r="AI246" s="349"/>
      <c r="AJ246" s="349"/>
      <c r="AK246" s="349"/>
    </row>
    <row r="247" spans="1:37" ht="13" customHeight="1" x14ac:dyDescent="0.25">
      <c r="A247" s="2"/>
      <c r="B247" s="19"/>
      <c r="C247" s="19"/>
      <c r="D247" s="13"/>
      <c r="E247" s="2062" t="str">
        <f>Translations!$B$315</f>
        <v>Mängden restgaser per år</v>
      </c>
      <c r="F247" s="2497"/>
      <c r="G247" s="31" t="str">
        <f>EUconst_Unit</f>
        <v>Enhet</v>
      </c>
      <c r="H247" s="320">
        <f t="shared" ref="H247:N247" si="57">H$278</f>
        <v>2019</v>
      </c>
      <c r="I247" s="320">
        <f t="shared" si="57"/>
        <v>2020</v>
      </c>
      <c r="J247" s="320">
        <f t="shared" si="57"/>
        <v>2021</v>
      </c>
      <c r="K247" s="320">
        <f t="shared" si="57"/>
        <v>2022</v>
      </c>
      <c r="L247" s="320">
        <f t="shared" si="57"/>
        <v>2023</v>
      </c>
      <c r="M247" s="320">
        <f t="shared" si="57"/>
        <v>2024</v>
      </c>
      <c r="N247" s="320">
        <f t="shared" si="57"/>
        <v>2025</v>
      </c>
      <c r="O247" s="6"/>
      <c r="P247" s="15"/>
      <c r="Q247" s="2"/>
      <c r="R247" s="2"/>
      <c r="S247" s="2"/>
      <c r="T247" s="2"/>
      <c r="U247" s="2"/>
      <c r="V247" s="2"/>
      <c r="W247" s="2"/>
      <c r="X247" s="2"/>
      <c r="Y247" s="470"/>
      <c r="Z247" s="349"/>
      <c r="AA247" s="349"/>
      <c r="AB247" s="349"/>
      <c r="AC247" s="349"/>
      <c r="AD247" s="349"/>
      <c r="AE247" s="349"/>
      <c r="AF247" s="349"/>
      <c r="AG247" s="349"/>
      <c r="AH247" s="349"/>
      <c r="AI247" s="349"/>
      <c r="AJ247" s="349"/>
      <c r="AK247" s="349"/>
    </row>
    <row r="248" spans="1:37" ht="12.65" customHeight="1" x14ac:dyDescent="0.25">
      <c r="A248" s="2"/>
      <c r="B248" s="19"/>
      <c r="C248" s="19"/>
      <c r="D248" s="19"/>
      <c r="E248" s="2496" t="str">
        <f>Translations!$B$311</f>
        <v>utanför produktriktmärken</v>
      </c>
      <c r="F248" s="1997"/>
      <c r="G248" s="195"/>
      <c r="H248" s="260"/>
      <c r="I248" s="260"/>
      <c r="J248" s="260"/>
      <c r="K248" s="260"/>
      <c r="L248" s="260"/>
      <c r="M248" s="260"/>
      <c r="N248" s="260"/>
      <c r="O248" s="6"/>
      <c r="P248" s="1362"/>
      <c r="Q248" s="2"/>
      <c r="R248" s="2"/>
      <c r="S248" s="2"/>
      <c r="T248" s="2"/>
      <c r="U248" s="2"/>
      <c r="V248" s="2"/>
      <c r="W248" s="2"/>
      <c r="X248" s="2"/>
      <c r="Y248" s="293" t="b">
        <f>Y243</f>
        <v>0</v>
      </c>
      <c r="Z248" s="349"/>
      <c r="AA248" s="349"/>
      <c r="AB248" s="349"/>
      <c r="AC248" s="349"/>
      <c r="AD248" s="349"/>
      <c r="AE248" s="349"/>
      <c r="AF248" s="349"/>
      <c r="AG248" s="349"/>
      <c r="AH248" s="349"/>
      <c r="AI248" s="349"/>
      <c r="AJ248" s="349"/>
      <c r="AK248" s="349"/>
    </row>
    <row r="249" spans="1:37" ht="5.15" customHeight="1" x14ac:dyDescent="0.25">
      <c r="A249" s="2"/>
      <c r="B249" s="3"/>
      <c r="C249" s="3"/>
      <c r="D249" s="3"/>
      <c r="E249" s="3"/>
      <c r="F249" s="3"/>
      <c r="G249" s="3"/>
      <c r="H249" s="1"/>
      <c r="I249" s="1"/>
      <c r="J249" s="3"/>
      <c r="K249" s="3"/>
      <c r="L249" s="3"/>
      <c r="M249" s="3"/>
      <c r="N249" s="6"/>
      <c r="O249" s="6"/>
      <c r="P249" s="15"/>
      <c r="Q249" s="7"/>
      <c r="R249" s="715"/>
      <c r="S249" s="2"/>
      <c r="T249" s="2"/>
      <c r="U249" s="2"/>
      <c r="V249" s="2"/>
      <c r="W249" s="2"/>
      <c r="X249" s="2"/>
      <c r="Y249" s="470"/>
      <c r="Z249" s="349"/>
      <c r="AA249" s="349"/>
      <c r="AB249" s="349"/>
      <c r="AC249" s="349"/>
      <c r="AD249" s="349"/>
      <c r="AE249" s="349"/>
      <c r="AF249" s="349"/>
      <c r="AG249" s="349"/>
      <c r="AH249" s="349"/>
      <c r="AI249" s="349"/>
      <c r="AJ249" s="349"/>
      <c r="AK249" s="349"/>
    </row>
    <row r="250" spans="1:37" ht="13" customHeight="1" x14ac:dyDescent="0.25">
      <c r="A250" s="2"/>
      <c r="B250" s="3"/>
      <c r="C250" s="3"/>
      <c r="D250" s="13" t="s">
        <v>299</v>
      </c>
      <c r="E250" s="2106" t="str">
        <f>Translations!$B$316</f>
        <v>Restgasens effektiva värmevärde</v>
      </c>
      <c r="F250" s="1960"/>
      <c r="G250" s="1960"/>
      <c r="H250" s="1960"/>
      <c r="I250" s="1960"/>
      <c r="J250" s="1960"/>
      <c r="K250" s="1960"/>
      <c r="L250" s="1960"/>
      <c r="M250" s="1960"/>
      <c r="N250" s="1960"/>
      <c r="O250" s="6"/>
      <c r="P250" s="15"/>
      <c r="Q250" s="7"/>
      <c r="R250" s="2"/>
      <c r="S250" s="2"/>
      <c r="T250" s="2"/>
      <c r="U250" s="2"/>
      <c r="V250" s="2"/>
      <c r="W250" s="2"/>
      <c r="X250" s="2"/>
      <c r="Y250" s="470"/>
      <c r="Z250" s="349"/>
      <c r="AA250" s="349"/>
      <c r="AB250" s="349"/>
      <c r="AC250" s="349"/>
      <c r="AD250" s="349"/>
      <c r="AE250" s="349"/>
      <c r="AF250" s="349"/>
      <c r="AG250" s="349"/>
      <c r="AH250" s="349"/>
      <c r="AI250" s="349"/>
      <c r="AJ250" s="349"/>
      <c r="AK250" s="349"/>
    </row>
    <row r="251" spans="1:37" ht="13" x14ac:dyDescent="0.25">
      <c r="A251" s="2"/>
      <c r="B251" s="19"/>
      <c r="C251" s="19"/>
      <c r="D251" s="13"/>
      <c r="E251" s="21"/>
      <c r="F251" s="21"/>
      <c r="G251" s="31" t="str">
        <f>EUconst_Unit</f>
        <v>Enhet</v>
      </c>
      <c r="H251" s="320">
        <f t="shared" ref="H251:N251" si="58">H$278</f>
        <v>2019</v>
      </c>
      <c r="I251" s="320">
        <f t="shared" si="58"/>
        <v>2020</v>
      </c>
      <c r="J251" s="320">
        <f t="shared" si="58"/>
        <v>2021</v>
      </c>
      <c r="K251" s="320">
        <f t="shared" si="58"/>
        <v>2022</v>
      </c>
      <c r="L251" s="320">
        <f t="shared" si="58"/>
        <v>2023</v>
      </c>
      <c r="M251" s="320">
        <f t="shared" si="58"/>
        <v>2024</v>
      </c>
      <c r="N251" s="320">
        <f t="shared" si="58"/>
        <v>2025</v>
      </c>
      <c r="O251" s="6"/>
      <c r="P251" s="15"/>
      <c r="Q251" s="2"/>
      <c r="R251" s="40">
        <f t="shared" ref="R251:X251" si="59">H251</f>
        <v>2019</v>
      </c>
      <c r="S251" s="40">
        <f t="shared" si="59"/>
        <v>2020</v>
      </c>
      <c r="T251" s="40">
        <f t="shared" si="59"/>
        <v>2021</v>
      </c>
      <c r="U251" s="40">
        <f t="shared" si="59"/>
        <v>2022</v>
      </c>
      <c r="V251" s="40">
        <f t="shared" si="59"/>
        <v>2023</v>
      </c>
      <c r="W251" s="40">
        <f t="shared" si="59"/>
        <v>2024</v>
      </c>
      <c r="X251" s="40">
        <f t="shared" si="59"/>
        <v>2025</v>
      </c>
      <c r="Y251" s="470"/>
      <c r="Z251" s="349"/>
      <c r="AA251" s="349"/>
      <c r="AB251" s="349"/>
      <c r="AC251" s="349"/>
      <c r="AD251" s="349"/>
      <c r="AE251" s="349"/>
      <c r="AF251" s="349"/>
      <c r="AG251" s="349"/>
      <c r="AH251" s="349"/>
      <c r="AI251" s="349"/>
      <c r="AJ251" s="349"/>
      <c r="AK251" s="349"/>
    </row>
    <row r="252" spans="1:37" ht="13.5" customHeight="1" thickBot="1" x14ac:dyDescent="0.3">
      <c r="A252" s="2"/>
      <c r="B252" s="19"/>
      <c r="C252" s="19"/>
      <c r="D252" s="19"/>
      <c r="E252" s="2496" t="str">
        <f>Translations!$B$318</f>
        <v>Effektivt värmevärde</v>
      </c>
      <c r="F252" s="1997"/>
      <c r="G252" s="91" t="str">
        <f>IF(ISBLANK(G248),EUconst_GJperUnit,INDEX(EUconst_GJperTorKNm3,MATCH(G248,EUconst_TonnesOrkNm3pa,0)))</f>
        <v>GJ / Enhet</v>
      </c>
      <c r="H252" s="260"/>
      <c r="I252" s="260"/>
      <c r="J252" s="260"/>
      <c r="K252" s="260"/>
      <c r="L252" s="260"/>
      <c r="M252" s="260"/>
      <c r="N252" s="260"/>
      <c r="O252" s="6"/>
      <c r="P252" s="1362"/>
      <c r="Q252" s="355" t="str">
        <f>EUconst_CNTR_WGProduced &amp; C222</f>
        <v>WasteGasProd_2</v>
      </c>
      <c r="R252" s="108" t="str">
        <f t="shared" ref="R252:X252" si="60">IF(COUNT(H248,H252)&gt;0,H248*H252/1000,"")</f>
        <v/>
      </c>
      <c r="S252" s="108" t="str">
        <f t="shared" si="60"/>
        <v/>
      </c>
      <c r="T252" s="108" t="str">
        <f t="shared" si="60"/>
        <v/>
      </c>
      <c r="U252" s="108" t="str">
        <f t="shared" si="60"/>
        <v/>
      </c>
      <c r="V252" s="108" t="str">
        <f t="shared" si="60"/>
        <v/>
      </c>
      <c r="W252" s="108" t="str">
        <f t="shared" si="60"/>
        <v/>
      </c>
      <c r="X252" s="152" t="str">
        <f t="shared" si="60"/>
        <v/>
      </c>
      <c r="Y252" s="155" t="b">
        <f>Y248</f>
        <v>0</v>
      </c>
      <c r="Z252" s="349"/>
      <c r="AA252" s="349"/>
      <c r="AB252" s="349"/>
      <c r="AC252" s="349"/>
      <c r="AD252" s="349"/>
      <c r="AE252" s="349"/>
      <c r="AF252" s="349"/>
      <c r="AG252" s="349"/>
      <c r="AH252" s="349"/>
      <c r="AI252" s="349"/>
      <c r="AJ252" s="349"/>
      <c r="AK252" s="349"/>
    </row>
    <row r="253" spans="1:37" ht="5.15" customHeight="1" x14ac:dyDescent="0.25">
      <c r="A253" s="2"/>
      <c r="B253" s="3"/>
      <c r="C253" s="3"/>
      <c r="D253" s="3"/>
      <c r="E253" s="3"/>
      <c r="F253" s="3"/>
      <c r="G253" s="3"/>
      <c r="H253" s="3"/>
      <c r="I253" s="3"/>
      <c r="J253" s="3"/>
      <c r="K253" s="3"/>
      <c r="L253" s="3"/>
      <c r="M253" s="6"/>
      <c r="N253" s="6"/>
      <c r="O253" s="6"/>
      <c r="P253" s="15"/>
      <c r="Q253" s="7"/>
      <c r="R253" s="2"/>
      <c r="S253" s="2"/>
      <c r="T253" s="2"/>
      <c r="U253" s="2"/>
      <c r="V253" s="2"/>
      <c r="W253" s="2"/>
      <c r="X253" s="2"/>
      <c r="Y253" s="2"/>
      <c r="Z253" s="349"/>
      <c r="AA253" s="349"/>
      <c r="AB253" s="349"/>
      <c r="AC253" s="349"/>
      <c r="AD253" s="349"/>
      <c r="AE253" s="349"/>
      <c r="AF253" s="349"/>
      <c r="AG253" s="349"/>
      <c r="AH253" s="349"/>
      <c r="AI253" s="349"/>
      <c r="AJ253" s="349"/>
      <c r="AK253" s="349"/>
    </row>
    <row r="254" spans="1:37" ht="13" customHeight="1" x14ac:dyDescent="0.25">
      <c r="A254" s="2"/>
      <c r="B254" s="3"/>
      <c r="C254" s="3"/>
      <c r="D254" s="13" t="s">
        <v>303</v>
      </c>
      <c r="E254" s="2106" t="str">
        <f>Translations!$B$319</f>
        <v>Nödvändiga antaganden:</v>
      </c>
      <c r="F254" s="1960"/>
      <c r="G254" s="1960"/>
      <c r="H254" s="1960"/>
      <c r="I254" s="1960"/>
      <c r="J254" s="1960"/>
      <c r="K254" s="1960"/>
      <c r="L254" s="1960"/>
      <c r="M254" s="1960"/>
      <c r="N254" s="1960"/>
      <c r="O254" s="6"/>
      <c r="P254" s="15"/>
      <c r="Q254" s="7"/>
      <c r="R254" s="2"/>
      <c r="S254" s="2"/>
      <c r="T254" s="2"/>
      <c r="U254" s="2"/>
      <c r="V254" s="2"/>
      <c r="W254" s="2"/>
      <c r="X254" s="2"/>
      <c r="Y254" s="2"/>
      <c r="Z254" s="349"/>
      <c r="AA254" s="349"/>
      <c r="AB254" s="349"/>
      <c r="AC254" s="349"/>
      <c r="AD254" s="349"/>
      <c r="AE254" s="349"/>
      <c r="AF254" s="349"/>
      <c r="AG254" s="349"/>
      <c r="AH254" s="349"/>
      <c r="AI254" s="349"/>
      <c r="AJ254" s="349"/>
      <c r="AK254" s="349"/>
    </row>
    <row r="255" spans="1:37" ht="5.15" customHeight="1" x14ac:dyDescent="0.25">
      <c r="A255" s="2"/>
      <c r="B255" s="3"/>
      <c r="C255" s="3"/>
      <c r="D255" s="3"/>
      <c r="E255" s="3"/>
      <c r="F255" s="3"/>
      <c r="G255" s="3"/>
      <c r="H255" s="3"/>
      <c r="I255" s="3"/>
      <c r="J255" s="3"/>
      <c r="K255" s="3"/>
      <c r="L255" s="3"/>
      <c r="M255" s="6"/>
      <c r="N255" s="6"/>
      <c r="O255" s="6"/>
      <c r="P255" s="15"/>
      <c r="Q255" s="7"/>
      <c r="R255" s="2"/>
      <c r="S255" s="2"/>
      <c r="T255" s="2"/>
      <c r="U255" s="2"/>
      <c r="V255" s="2"/>
      <c r="W255" s="2"/>
      <c r="X255" s="2"/>
      <c r="Y255" s="2"/>
      <c r="Z255" s="349"/>
      <c r="AA255" s="349"/>
      <c r="AB255" s="349"/>
      <c r="AC255" s="349"/>
      <c r="AD255" s="349"/>
      <c r="AE255" s="349"/>
      <c r="AF255" s="349"/>
      <c r="AG255" s="349"/>
      <c r="AH255" s="349"/>
      <c r="AI255" s="349"/>
      <c r="AJ255" s="349"/>
      <c r="AK255" s="349"/>
    </row>
    <row r="256" spans="1:37" ht="12.65" customHeight="1" x14ac:dyDescent="0.25">
      <c r="A256" s="2"/>
      <c r="B256" s="19"/>
      <c r="C256" s="19"/>
      <c r="D256" s="19"/>
      <c r="E256" s="1032" t="str">
        <f>Translations!$B$320</f>
        <v>Referenseffektivitet för produktion av el:</v>
      </c>
      <c r="F256" s="1032"/>
      <c r="G256" s="1032"/>
      <c r="H256" s="1032"/>
      <c r="I256" s="116"/>
      <c r="J256" s="116" t="str">
        <f>Translations!$B$321</f>
        <v>med naturgas:</v>
      </c>
      <c r="K256" s="196">
        <v>0.52500000000000002</v>
      </c>
      <c r="L256" s="28"/>
      <c r="M256" s="116" t="str">
        <f>Translations!$B$322</f>
        <v>med restgaser:</v>
      </c>
      <c r="N256" s="196">
        <v>0.35</v>
      </c>
      <c r="O256" s="6"/>
      <c r="P256" s="1362"/>
      <c r="Q256" s="2"/>
      <c r="R256" s="2"/>
      <c r="S256" s="2"/>
      <c r="T256" s="2"/>
      <c r="U256" s="2"/>
      <c r="V256" s="2"/>
      <c r="W256" s="2"/>
      <c r="X256" s="2"/>
      <c r="Y256" s="2"/>
      <c r="Z256" s="349"/>
      <c r="AA256" s="349"/>
      <c r="AB256" s="349"/>
      <c r="AC256" s="349"/>
      <c r="AD256" s="349"/>
      <c r="AE256" s="349"/>
      <c r="AF256" s="349"/>
      <c r="AG256" s="349"/>
      <c r="AH256" s="349"/>
      <c r="AI256" s="349"/>
      <c r="AJ256" s="349"/>
      <c r="AK256" s="349"/>
    </row>
    <row r="257" spans="1:37" ht="12.65" customHeight="1" x14ac:dyDescent="0.25">
      <c r="A257" s="2"/>
      <c r="B257" s="19"/>
      <c r="C257" s="19"/>
      <c r="D257" s="19"/>
      <c r="E257" s="2517" t="str">
        <f>Translations!$B$323</f>
        <v>Utsläppsfaktorn för naturgas:</v>
      </c>
      <c r="F257" s="2518"/>
      <c r="G257" s="2519"/>
      <c r="H257" s="23">
        <f>EUconst_NGEFvalue</f>
        <v>56.1</v>
      </c>
      <c r="I257" s="28" t="str">
        <f>EUconst_tCO2pTJ</f>
        <v>t CO2 / TJ</v>
      </c>
      <c r="J257" s="19"/>
      <c r="K257" s="19"/>
      <c r="L257" s="19"/>
      <c r="M257" s="19"/>
      <c r="N257" s="19"/>
      <c r="O257" s="6"/>
      <c r="P257" s="15"/>
      <c r="Q257" s="2"/>
      <c r="R257" s="2"/>
      <c r="S257" s="2"/>
      <c r="T257" s="2"/>
      <c r="U257" s="2"/>
      <c r="V257" s="2"/>
      <c r="W257" s="2"/>
      <c r="X257" s="2"/>
      <c r="Y257" s="2"/>
      <c r="Z257" s="349"/>
      <c r="AA257" s="349"/>
      <c r="AB257" s="349"/>
      <c r="AC257" s="349"/>
      <c r="AD257" s="349"/>
      <c r="AE257" s="349"/>
      <c r="AF257" s="349"/>
      <c r="AG257" s="349"/>
      <c r="AH257" s="349"/>
      <c r="AI257" s="349"/>
      <c r="AJ257" s="349"/>
      <c r="AK257" s="349"/>
    </row>
    <row r="258" spans="1:37" ht="5.15" customHeight="1" x14ac:dyDescent="0.25">
      <c r="A258" s="2"/>
      <c r="B258" s="3"/>
      <c r="C258" s="3"/>
      <c r="D258" s="3"/>
      <c r="E258" s="3"/>
      <c r="F258" s="3"/>
      <c r="G258" s="3"/>
      <c r="H258" s="3"/>
      <c r="I258" s="3"/>
      <c r="J258" s="3"/>
      <c r="K258" s="3"/>
      <c r="L258" s="3"/>
      <c r="M258" s="6"/>
      <c r="N258" s="6"/>
      <c r="O258" s="6"/>
      <c r="P258" s="15"/>
      <c r="Q258" s="7"/>
      <c r="R258" s="2"/>
      <c r="S258" s="2"/>
      <c r="T258" s="2"/>
      <c r="U258" s="2"/>
      <c r="V258" s="2"/>
      <c r="W258" s="2"/>
      <c r="X258" s="2"/>
      <c r="Y258" s="2"/>
      <c r="Z258" s="349"/>
      <c r="AA258" s="349"/>
      <c r="AB258" s="349"/>
      <c r="AC258" s="349"/>
      <c r="AD258" s="349"/>
      <c r="AE258" s="349"/>
      <c r="AF258" s="349"/>
      <c r="AG258" s="349"/>
      <c r="AH258" s="349"/>
      <c r="AI258" s="349"/>
      <c r="AJ258" s="349"/>
      <c r="AK258" s="349"/>
    </row>
    <row r="259" spans="1:37" ht="13" customHeight="1" x14ac:dyDescent="0.25">
      <c r="A259" s="2"/>
      <c r="B259" s="3"/>
      <c r="C259" s="3"/>
      <c r="D259" s="13" t="s">
        <v>305</v>
      </c>
      <c r="E259" s="2106" t="str">
        <f>Translations!$B$324</f>
        <v>Utsläpp som ska dras av för beaktande av tekniskt användbart energiinnehåll</v>
      </c>
      <c r="F259" s="1960"/>
      <c r="G259" s="1960"/>
      <c r="H259" s="1960"/>
      <c r="I259" s="1960"/>
      <c r="J259" s="1960"/>
      <c r="K259" s="1960"/>
      <c r="L259" s="1960"/>
      <c r="M259" s="1960"/>
      <c r="N259" s="1960"/>
      <c r="O259" s="6"/>
      <c r="P259" s="15"/>
      <c r="Q259" s="7"/>
      <c r="R259" s="2"/>
      <c r="S259" s="2"/>
      <c r="T259" s="2"/>
      <c r="U259" s="2"/>
      <c r="V259" s="2"/>
      <c r="W259" s="2"/>
      <c r="X259" s="2"/>
      <c r="Y259" s="2"/>
      <c r="Z259" s="349"/>
      <c r="AA259" s="349"/>
      <c r="AB259" s="349"/>
      <c r="AC259" s="349"/>
      <c r="AD259" s="349"/>
      <c r="AE259" s="349"/>
      <c r="AF259" s="349"/>
      <c r="AG259" s="349"/>
      <c r="AH259" s="349"/>
      <c r="AI259" s="349"/>
      <c r="AJ259" s="349"/>
      <c r="AK259" s="349"/>
    </row>
    <row r="260" spans="1:37" ht="5.15" customHeight="1" x14ac:dyDescent="0.25">
      <c r="A260" s="2"/>
      <c r="B260" s="3"/>
      <c r="C260" s="3"/>
      <c r="D260" s="3"/>
      <c r="E260" s="3"/>
      <c r="F260" s="3"/>
      <c r="G260" s="3"/>
      <c r="H260" s="3"/>
      <c r="I260" s="3"/>
      <c r="J260" s="3"/>
      <c r="K260" s="3"/>
      <c r="L260" s="3"/>
      <c r="M260" s="6"/>
      <c r="N260" s="6"/>
      <c r="O260" s="6"/>
      <c r="P260" s="15"/>
      <c r="Q260" s="7"/>
      <c r="R260" s="2"/>
      <c r="S260" s="2"/>
      <c r="T260" s="2"/>
      <c r="U260" s="2"/>
      <c r="V260" s="2"/>
      <c r="W260" s="2"/>
      <c r="X260" s="2"/>
      <c r="Y260" s="2"/>
      <c r="Z260" s="349"/>
      <c r="AA260" s="349"/>
      <c r="AB260" s="349"/>
      <c r="AC260" s="349"/>
      <c r="AD260" s="349"/>
      <c r="AE260" s="349"/>
      <c r="AF260" s="349"/>
      <c r="AG260" s="349"/>
      <c r="AH260" s="349"/>
      <c r="AI260" s="349"/>
      <c r="AJ260" s="349"/>
      <c r="AK260" s="349"/>
    </row>
    <row r="261" spans="1:37" ht="13" customHeight="1" x14ac:dyDescent="0.25">
      <c r="A261" s="2"/>
      <c r="B261" s="19"/>
      <c r="C261" s="19"/>
      <c r="D261" s="13"/>
      <c r="E261" s="2062" t="str">
        <f>Translations!$B$326</f>
        <v>Avdrag för restgaser</v>
      </c>
      <c r="F261" s="2497"/>
      <c r="G261" s="31" t="str">
        <f>EUconst_Unit</f>
        <v>Enhet</v>
      </c>
      <c r="H261" s="320">
        <f t="shared" ref="H261:N261" si="61">H$278</f>
        <v>2019</v>
      </c>
      <c r="I261" s="320">
        <f t="shared" si="61"/>
        <v>2020</v>
      </c>
      <c r="J261" s="320">
        <f t="shared" si="61"/>
        <v>2021</v>
      </c>
      <c r="K261" s="320">
        <f t="shared" si="61"/>
        <v>2022</v>
      </c>
      <c r="L261" s="320">
        <f t="shared" si="61"/>
        <v>2023</v>
      </c>
      <c r="M261" s="320">
        <f t="shared" si="61"/>
        <v>2024</v>
      </c>
      <c r="N261" s="320">
        <f t="shared" si="61"/>
        <v>2025</v>
      </c>
      <c r="O261" s="6"/>
      <c r="P261" s="15"/>
      <c r="Q261" s="2"/>
      <c r="R261" s="2"/>
      <c r="S261" s="2"/>
      <c r="T261" s="2"/>
      <c r="U261" s="2"/>
      <c r="V261" s="2"/>
      <c r="W261" s="2"/>
      <c r="X261" s="2"/>
      <c r="Y261" s="2"/>
      <c r="Z261" s="349"/>
      <c r="AA261" s="349"/>
      <c r="AB261" s="349"/>
      <c r="AC261" s="349"/>
      <c r="AD261" s="349"/>
      <c r="AE261" s="349"/>
      <c r="AF261" s="349"/>
      <c r="AG261" s="349"/>
      <c r="AH261" s="349"/>
      <c r="AI261" s="349"/>
      <c r="AJ261" s="349"/>
      <c r="AK261" s="349"/>
    </row>
    <row r="262" spans="1:37" ht="12.65" customHeight="1" x14ac:dyDescent="0.25">
      <c r="A262" s="2"/>
      <c r="B262" s="19"/>
      <c r="C262" s="19"/>
      <c r="D262" s="19"/>
      <c r="E262" s="2496" t="str">
        <f>Translations!$B$311</f>
        <v>utanför produktriktmärken</v>
      </c>
      <c r="F262" s="1997"/>
      <c r="G262" s="43" t="str">
        <f>EUconst_tCO2pa</f>
        <v>t CO2 / år</v>
      </c>
      <c r="H262" s="258" t="str">
        <f>IF(AND(ISNUMBER(H248),ISNUMBER(H252)),IFERROR((H248*H252/1000)*$H257*$N256/$K256,0),"")</f>
        <v/>
      </c>
      <c r="I262" s="258" t="str">
        <f t="shared" ref="I262:N262" si="62">IF(AND(ISNUMBER(I248),ISNUMBER(I252)),IFERROR((I248*I252/1000)*$H257*$N256/$K256,0),"")</f>
        <v/>
      </c>
      <c r="J262" s="258" t="str">
        <f t="shared" si="62"/>
        <v/>
      </c>
      <c r="K262" s="258" t="str">
        <f t="shared" si="62"/>
        <v/>
      </c>
      <c r="L262" s="258" t="str">
        <f t="shared" si="62"/>
        <v/>
      </c>
      <c r="M262" s="258" t="str">
        <f t="shared" si="62"/>
        <v/>
      </c>
      <c r="N262" s="258" t="str">
        <f t="shared" si="62"/>
        <v/>
      </c>
      <c r="O262" s="6"/>
      <c r="P262" s="15"/>
      <c r="Q262" s="2"/>
      <c r="R262" s="2"/>
      <c r="S262" s="2"/>
      <c r="T262" s="2"/>
      <c r="U262" s="2"/>
      <c r="V262" s="2"/>
      <c r="W262" s="2"/>
      <c r="X262" s="2"/>
      <c r="Y262" s="2"/>
      <c r="Z262" s="349"/>
      <c r="AA262" s="349"/>
      <c r="AB262" s="349"/>
      <c r="AC262" s="349"/>
      <c r="AD262" s="349"/>
      <c r="AE262" s="349"/>
      <c r="AF262" s="349"/>
      <c r="AG262" s="349"/>
      <c r="AH262" s="349"/>
      <c r="AI262" s="349"/>
      <c r="AJ262" s="349"/>
      <c r="AK262" s="349"/>
    </row>
    <row r="263" spans="1:37" ht="5.15" customHeight="1" x14ac:dyDescent="0.25">
      <c r="A263" s="2"/>
      <c r="B263" s="3"/>
      <c r="C263" s="3"/>
      <c r="D263" s="3"/>
      <c r="E263" s="3"/>
      <c r="F263" s="3"/>
      <c r="G263" s="3"/>
      <c r="H263" s="1"/>
      <c r="I263" s="1"/>
      <c r="J263" s="3"/>
      <c r="K263" s="3"/>
      <c r="L263" s="3"/>
      <c r="M263" s="3"/>
      <c r="N263" s="6"/>
      <c r="O263" s="6"/>
      <c r="P263" s="15"/>
      <c r="Q263" s="7"/>
      <c r="R263" s="2"/>
      <c r="S263" s="2"/>
      <c r="T263" s="2"/>
      <c r="U263" s="2"/>
      <c r="V263" s="2"/>
      <c r="W263" s="2"/>
      <c r="X263" s="2"/>
      <c r="Y263" s="2"/>
      <c r="Z263" s="349"/>
      <c r="AA263" s="349"/>
      <c r="AB263" s="349"/>
      <c r="AC263" s="349"/>
      <c r="AD263" s="349"/>
      <c r="AE263" s="349"/>
      <c r="AF263" s="349"/>
      <c r="AG263" s="349"/>
      <c r="AH263" s="349"/>
      <c r="AI263" s="349"/>
      <c r="AJ263" s="349"/>
      <c r="AK263" s="349"/>
    </row>
    <row r="264" spans="1:37" ht="13" customHeight="1" x14ac:dyDescent="0.25">
      <c r="A264" s="2"/>
      <c r="B264" s="3"/>
      <c r="C264" s="3"/>
      <c r="D264" s="13" t="s">
        <v>523</v>
      </c>
      <c r="E264" s="2106" t="str">
        <f>Translations!$B$327</f>
        <v>Processutsläpp beräknat med beaktande av korrigeringen för restgaser (= d – i)</v>
      </c>
      <c r="F264" s="1960"/>
      <c r="G264" s="1960"/>
      <c r="H264" s="1960"/>
      <c r="I264" s="1960"/>
      <c r="J264" s="1960"/>
      <c r="K264" s="1960"/>
      <c r="L264" s="1960"/>
      <c r="M264" s="1960"/>
      <c r="N264" s="1960"/>
      <c r="O264" s="6"/>
      <c r="P264" s="15"/>
      <c r="Q264" s="7"/>
      <c r="R264" s="2"/>
      <c r="S264" s="2"/>
      <c r="T264" s="2"/>
      <c r="U264" s="2"/>
      <c r="V264" s="2"/>
      <c r="W264" s="2"/>
      <c r="X264" s="2"/>
      <c r="Y264" s="2"/>
      <c r="Z264" s="349"/>
      <c r="AA264" s="349"/>
      <c r="AB264" s="349"/>
      <c r="AC264" s="349"/>
      <c r="AD264" s="349"/>
      <c r="AE264" s="349"/>
      <c r="AF264" s="349"/>
      <c r="AG264" s="349"/>
      <c r="AH264" s="349"/>
      <c r="AI264" s="349"/>
      <c r="AJ264" s="349"/>
      <c r="AK264" s="349"/>
    </row>
    <row r="265" spans="1:37" ht="5.15" customHeight="1" x14ac:dyDescent="0.25">
      <c r="A265" s="2"/>
      <c r="B265" s="3"/>
      <c r="C265" s="3"/>
      <c r="D265" s="3"/>
      <c r="E265" s="3"/>
      <c r="F265" s="3"/>
      <c r="G265" s="3"/>
      <c r="H265" s="1"/>
      <c r="I265" s="1"/>
      <c r="J265" s="3"/>
      <c r="K265" s="3"/>
      <c r="L265" s="3"/>
      <c r="M265" s="3"/>
      <c r="N265" s="6"/>
      <c r="O265" s="6"/>
      <c r="P265" s="15"/>
      <c r="Q265" s="7"/>
      <c r="R265" s="2"/>
      <c r="S265" s="2"/>
      <c r="T265" s="2"/>
      <c r="U265" s="2"/>
      <c r="V265" s="2"/>
      <c r="W265" s="2"/>
      <c r="X265" s="2"/>
      <c r="Y265" s="2"/>
      <c r="Z265" s="349"/>
      <c r="AA265" s="349"/>
      <c r="AB265" s="349"/>
      <c r="AC265" s="349"/>
      <c r="AD265" s="349"/>
      <c r="AE265" s="349"/>
      <c r="AF265" s="349"/>
      <c r="AG265" s="349"/>
      <c r="AH265" s="349"/>
      <c r="AI265" s="349"/>
      <c r="AJ265" s="349"/>
      <c r="AK265" s="349"/>
    </row>
    <row r="266" spans="1:37" ht="13" x14ac:dyDescent="0.25">
      <c r="A266" s="2"/>
      <c r="B266" s="19"/>
      <c r="C266" s="19"/>
      <c r="D266" s="13"/>
      <c r="E266" s="21"/>
      <c r="F266" s="21"/>
      <c r="G266" s="31" t="str">
        <f>EUconst_Unit</f>
        <v>Enhet</v>
      </c>
      <c r="H266" s="320">
        <f t="shared" ref="H266:N266" si="63">H$278</f>
        <v>2019</v>
      </c>
      <c r="I266" s="320">
        <f t="shared" si="63"/>
        <v>2020</v>
      </c>
      <c r="J266" s="320">
        <f t="shared" si="63"/>
        <v>2021</v>
      </c>
      <c r="K266" s="320">
        <f t="shared" si="63"/>
        <v>2022</v>
      </c>
      <c r="L266" s="320">
        <f t="shared" si="63"/>
        <v>2023</v>
      </c>
      <c r="M266" s="320">
        <f t="shared" si="63"/>
        <v>2024</v>
      </c>
      <c r="N266" s="320">
        <f t="shared" si="63"/>
        <v>2025</v>
      </c>
      <c r="O266" s="6"/>
      <c r="P266" s="15"/>
      <c r="Q266" s="2"/>
      <c r="R266" s="2"/>
      <c r="S266" s="2"/>
      <c r="T266" s="2"/>
      <c r="U266" s="2"/>
      <c r="V266" s="2"/>
      <c r="W266" s="2"/>
      <c r="X266" s="2"/>
      <c r="Y266" s="2"/>
      <c r="Z266" s="349"/>
      <c r="AA266" s="349"/>
      <c r="AB266" s="349"/>
      <c r="AC266" s="349"/>
      <c r="AD266" s="349"/>
      <c r="AE266" s="349"/>
      <c r="AF266" s="349"/>
      <c r="AG266" s="349"/>
      <c r="AH266" s="349"/>
      <c r="AI266" s="349"/>
      <c r="AJ266" s="349"/>
      <c r="AK266" s="349"/>
    </row>
    <row r="267" spans="1:37" ht="12.65" customHeight="1" x14ac:dyDescent="0.25">
      <c r="A267" s="2"/>
      <c r="B267" s="19"/>
      <c r="C267" s="19"/>
      <c r="D267" s="19"/>
      <c r="E267" s="2496" t="str">
        <f>Translations!$B$330</f>
        <v>Resultatet av verktyget för restgaser:</v>
      </c>
      <c r="F267" s="1997"/>
      <c r="G267" s="47" t="str">
        <f>EUconst_tCO2pa</f>
        <v>t CO2 / år</v>
      </c>
      <c r="H267" s="258" t="str">
        <f t="shared" ref="H267:N267" si="64">IF(ISNUMBER(H262),IF((IF(ISNUMBER(H238),H238,0)-SUM(H262))&lt;0,0,IF(ISNUMBER(H238),H238,0)-SUM(H262)),"")</f>
        <v/>
      </c>
      <c r="I267" s="258" t="str">
        <f t="shared" si="64"/>
        <v/>
      </c>
      <c r="J267" s="258" t="str">
        <f t="shared" si="64"/>
        <v/>
      </c>
      <c r="K267" s="258" t="str">
        <f t="shared" si="64"/>
        <v/>
      </c>
      <c r="L267" s="258" t="str">
        <f t="shared" si="64"/>
        <v/>
      </c>
      <c r="M267" s="258" t="str">
        <f t="shared" si="64"/>
        <v/>
      </c>
      <c r="N267" s="258" t="str">
        <f t="shared" si="64"/>
        <v/>
      </c>
      <c r="O267" s="6"/>
      <c r="P267" s="15"/>
      <c r="Q267" s="2"/>
      <c r="R267" s="2"/>
      <c r="S267" s="2"/>
      <c r="T267" s="2"/>
      <c r="U267" s="2"/>
      <c r="V267" s="2"/>
      <c r="W267" s="2"/>
      <c r="X267" s="2"/>
      <c r="Y267" s="2"/>
      <c r="Z267" s="349"/>
      <c r="AA267" s="349"/>
      <c r="AB267" s="349"/>
      <c r="AC267" s="349"/>
      <c r="AD267" s="349"/>
      <c r="AE267" s="349"/>
      <c r="AF267" s="349"/>
      <c r="AG267" s="349"/>
      <c r="AH267" s="349"/>
      <c r="AI267" s="349"/>
      <c r="AJ267" s="349"/>
      <c r="AK267" s="349"/>
    </row>
    <row r="268" spans="1:37" x14ac:dyDescent="0.25">
      <c r="A268" s="2"/>
      <c r="B268" s="19"/>
      <c r="C268" s="19"/>
      <c r="D268" s="19"/>
      <c r="E268" s="19"/>
      <c r="F268" s="19"/>
      <c r="G268" s="19"/>
      <c r="H268" s="19"/>
      <c r="I268" s="19"/>
      <c r="J268" s="19"/>
      <c r="K268" s="19"/>
      <c r="L268" s="19"/>
      <c r="M268" s="19"/>
      <c r="N268" s="19"/>
      <c r="O268" s="6"/>
      <c r="P268" s="15"/>
      <c r="Q268" s="2"/>
      <c r="R268" s="2"/>
      <c r="S268" s="2"/>
      <c r="T268" s="2"/>
      <c r="U268" s="2"/>
      <c r="V268" s="2"/>
      <c r="W268" s="2"/>
      <c r="X268" s="2"/>
      <c r="Y268" s="2"/>
      <c r="Z268" s="349"/>
      <c r="AA268" s="349"/>
      <c r="AB268" s="349"/>
      <c r="AC268" s="349"/>
      <c r="AD268" s="349"/>
      <c r="AE268" s="349"/>
      <c r="AF268" s="349"/>
      <c r="AG268" s="349"/>
      <c r="AH268" s="349"/>
      <c r="AI268" s="349"/>
      <c r="AJ268" s="349"/>
      <c r="AK268" s="349"/>
    </row>
    <row r="269" spans="1:37" ht="13" x14ac:dyDescent="0.25">
      <c r="A269" s="2"/>
      <c r="B269" s="19"/>
      <c r="C269" s="19"/>
      <c r="D269" s="2477" t="str">
        <f>Translations!$B$66</f>
        <v xml:space="preserve">&lt;&lt;&lt; Klicka här för att gå vidare till nästa blad &gt;&gt;&gt; </v>
      </c>
      <c r="E269" s="2477"/>
      <c r="F269" s="2477"/>
      <c r="G269" s="2477"/>
      <c r="H269" s="2477"/>
      <c r="I269" s="2477"/>
      <c r="J269" s="2477"/>
      <c r="K269" s="2477"/>
      <c r="L269" s="2477"/>
      <c r="M269" s="2477"/>
      <c r="N269" s="2477"/>
      <c r="O269" s="6"/>
      <c r="P269" s="15"/>
      <c r="Q269" s="2"/>
      <c r="R269" s="2"/>
      <c r="S269" s="2"/>
      <c r="T269" s="2"/>
      <c r="U269" s="2"/>
      <c r="V269" s="2"/>
      <c r="W269" s="2"/>
      <c r="X269" s="2"/>
      <c r="Y269" s="2"/>
      <c r="Z269" s="349"/>
      <c r="AA269" s="349"/>
      <c r="AB269" s="349"/>
      <c r="AC269" s="349"/>
      <c r="AD269" s="349"/>
      <c r="AE269" s="349"/>
      <c r="AF269" s="349"/>
      <c r="AG269" s="349"/>
      <c r="AH269" s="349"/>
      <c r="AI269" s="349"/>
      <c r="AJ269" s="349"/>
      <c r="AK269" s="349"/>
    </row>
    <row r="270" spans="1:37" x14ac:dyDescent="0.25">
      <c r="A270" s="2"/>
      <c r="B270" s="19"/>
      <c r="C270" s="19"/>
      <c r="D270" s="19"/>
      <c r="E270" s="19"/>
      <c r="F270" s="19"/>
      <c r="G270" s="19"/>
      <c r="H270" s="19"/>
      <c r="I270" s="19"/>
      <c r="J270" s="19"/>
      <c r="K270" s="19"/>
      <c r="L270" s="19"/>
      <c r="M270" s="19"/>
      <c r="N270" s="19"/>
      <c r="O270" s="6"/>
      <c r="P270" s="15"/>
      <c r="Q270" s="2"/>
      <c r="R270" s="2"/>
      <c r="S270" s="2"/>
      <c r="T270" s="2"/>
      <c r="U270" s="2"/>
      <c r="V270" s="2"/>
      <c r="W270" s="2"/>
      <c r="X270" s="2"/>
      <c r="Y270" s="2"/>
      <c r="Z270" s="349"/>
      <c r="AA270" s="349"/>
      <c r="AB270" s="349"/>
      <c r="AC270" s="349"/>
      <c r="AD270" s="349"/>
      <c r="AE270" s="349"/>
      <c r="AF270" s="349"/>
      <c r="AG270" s="349"/>
      <c r="AH270" s="349"/>
      <c r="AI270" s="349"/>
      <c r="AJ270" s="349"/>
      <c r="AK270" s="349"/>
    </row>
    <row r="271" spans="1:37" hidden="1" x14ac:dyDescent="0.25">
      <c r="A271" s="2" t="s">
        <v>346</v>
      </c>
      <c r="B271" s="2" t="s">
        <v>952</v>
      </c>
      <c r="C271" s="2" t="s">
        <v>952</v>
      </c>
      <c r="D271" s="2" t="s">
        <v>952</v>
      </c>
      <c r="E271" s="2" t="s">
        <v>952</v>
      </c>
      <c r="F271" s="2" t="s">
        <v>952</v>
      </c>
      <c r="G271" s="2" t="s">
        <v>952</v>
      </c>
      <c r="H271" s="2" t="s">
        <v>952</v>
      </c>
      <c r="I271" s="2" t="s">
        <v>952</v>
      </c>
      <c r="J271" s="2" t="s">
        <v>952</v>
      </c>
      <c r="K271" s="2" t="s">
        <v>952</v>
      </c>
      <c r="L271" s="2" t="s">
        <v>952</v>
      </c>
      <c r="M271" s="2" t="s">
        <v>952</v>
      </c>
      <c r="N271" s="2" t="s">
        <v>952</v>
      </c>
      <c r="O271" s="2" t="s">
        <v>952</v>
      </c>
      <c r="P271" s="2" t="s">
        <v>952</v>
      </c>
      <c r="Q271" s="2" t="s">
        <v>952</v>
      </c>
      <c r="R271" s="2" t="s">
        <v>952</v>
      </c>
      <c r="S271" s="2" t="s">
        <v>952</v>
      </c>
      <c r="T271" s="2" t="s">
        <v>952</v>
      </c>
      <c r="U271" s="2" t="s">
        <v>952</v>
      </c>
      <c r="V271" s="2" t="s">
        <v>952</v>
      </c>
      <c r="W271" s="2" t="s">
        <v>952</v>
      </c>
      <c r="X271" s="2" t="s">
        <v>952</v>
      </c>
      <c r="Y271" s="2" t="s">
        <v>952</v>
      </c>
      <c r="Z271" s="349"/>
      <c r="AA271" s="349"/>
      <c r="AB271" s="349"/>
      <c r="AC271" s="349"/>
      <c r="AD271" s="349"/>
      <c r="AE271" s="349"/>
      <c r="AF271" s="349"/>
      <c r="AG271" s="349"/>
      <c r="AH271" s="349"/>
      <c r="AI271" s="349"/>
      <c r="AJ271" s="349"/>
      <c r="AK271" s="349"/>
    </row>
    <row r="272" spans="1:37" hidden="1" x14ac:dyDescent="0.25">
      <c r="A272" s="2" t="s">
        <v>346</v>
      </c>
      <c r="B272" s="1"/>
      <c r="C272" s="1"/>
      <c r="D272" s="1"/>
      <c r="E272" s="1"/>
      <c r="F272" s="1"/>
      <c r="G272" s="1"/>
      <c r="H272" s="1"/>
      <c r="I272" s="1"/>
      <c r="J272" s="1"/>
      <c r="K272" s="1"/>
      <c r="L272" s="1"/>
      <c r="M272" s="1"/>
      <c r="N272" s="1"/>
      <c r="O272" s="1"/>
      <c r="P272" s="15"/>
      <c r="Q272" s="2"/>
      <c r="R272" s="2"/>
      <c r="S272" s="2"/>
      <c r="T272" s="2"/>
      <c r="U272" s="2"/>
      <c r="V272" s="2"/>
      <c r="W272" s="2"/>
      <c r="X272" s="2"/>
      <c r="Y272" s="2"/>
      <c r="Z272" s="349"/>
      <c r="AA272" s="349"/>
      <c r="AB272" s="349"/>
      <c r="AC272" s="349"/>
      <c r="AD272" s="349"/>
      <c r="AE272" s="349"/>
      <c r="AF272" s="349"/>
      <c r="AG272" s="349"/>
      <c r="AH272" s="349"/>
      <c r="AI272" s="349"/>
      <c r="AJ272" s="349"/>
      <c r="AK272" s="349"/>
    </row>
    <row r="273" spans="1:37" ht="13" hidden="1" x14ac:dyDescent="0.25">
      <c r="A273" s="2" t="s">
        <v>346</v>
      </c>
      <c r="B273" s="2"/>
      <c r="C273" s="2"/>
      <c r="D273" s="40" t="s">
        <v>953</v>
      </c>
      <c r="E273" s="2"/>
      <c r="F273" s="2"/>
      <c r="G273" s="2"/>
      <c r="H273" s="2"/>
      <c r="I273" s="2"/>
      <c r="J273" s="2"/>
      <c r="K273" s="2"/>
      <c r="L273" s="2"/>
      <c r="M273" s="2"/>
      <c r="N273" s="2"/>
      <c r="O273" s="2"/>
      <c r="P273" s="15"/>
      <c r="Q273" s="2"/>
      <c r="R273" s="2"/>
      <c r="S273" s="2"/>
      <c r="T273" s="2"/>
      <c r="U273" s="2"/>
      <c r="V273" s="2"/>
      <c r="W273" s="2"/>
      <c r="X273" s="2"/>
      <c r="Y273" s="2"/>
      <c r="Z273" s="349"/>
      <c r="AA273" s="349"/>
      <c r="AB273" s="349"/>
      <c r="AC273" s="349"/>
      <c r="AD273" s="349"/>
      <c r="AE273" s="349"/>
      <c r="AF273" s="349"/>
      <c r="AG273" s="349"/>
      <c r="AH273" s="349"/>
      <c r="AI273" s="349"/>
      <c r="AJ273" s="349"/>
      <c r="AK273" s="349"/>
    </row>
    <row r="274" spans="1:37" ht="13" hidden="1" thickBot="1" x14ac:dyDescent="0.3">
      <c r="A274" s="2" t="s">
        <v>346</v>
      </c>
      <c r="B274" s="1"/>
      <c r="C274" s="1"/>
      <c r="D274" s="1"/>
      <c r="E274" s="1"/>
      <c r="F274" s="1"/>
      <c r="G274" s="1"/>
      <c r="H274" s="1"/>
      <c r="I274" s="1"/>
      <c r="J274" s="1"/>
      <c r="K274" s="1"/>
      <c r="L274" s="1"/>
      <c r="M274" s="1"/>
      <c r="N274" s="1"/>
      <c r="O274" s="1"/>
      <c r="P274" s="15"/>
      <c r="Q274" s="2"/>
      <c r="R274" s="2"/>
      <c r="S274" s="2"/>
      <c r="T274" s="2"/>
      <c r="U274" s="2"/>
      <c r="V274" s="2"/>
      <c r="W274" s="2"/>
      <c r="X274" s="2"/>
      <c r="Y274" s="2"/>
      <c r="Z274" s="349"/>
      <c r="AA274" s="349"/>
      <c r="AB274" s="349"/>
      <c r="AC274" s="349"/>
      <c r="AD274" s="349"/>
      <c r="AE274" s="349"/>
      <c r="AF274" s="349"/>
      <c r="AG274" s="349"/>
      <c r="AH274" s="349"/>
      <c r="AI274" s="349"/>
      <c r="AJ274" s="349"/>
      <c r="AK274" s="349"/>
    </row>
    <row r="275" spans="1:37" ht="13" hidden="1" x14ac:dyDescent="0.25">
      <c r="A275" s="2" t="s">
        <v>346</v>
      </c>
      <c r="B275" s="1"/>
      <c r="C275" s="1"/>
      <c r="D275" s="1"/>
      <c r="E275" s="151" t="s">
        <v>593</v>
      </c>
      <c r="F275" s="61"/>
      <c r="G275" s="61"/>
      <c r="H275" s="61"/>
      <c r="I275" s="61"/>
      <c r="J275" s="61"/>
      <c r="K275" s="61"/>
      <c r="L275" s="61"/>
      <c r="M275" s="61"/>
      <c r="N275" s="63"/>
      <c r="O275" s="1"/>
      <c r="P275" s="15"/>
      <c r="Q275" s="2"/>
      <c r="R275" s="2"/>
      <c r="S275" s="2"/>
      <c r="T275" s="2"/>
      <c r="U275" s="2"/>
      <c r="V275" s="2"/>
      <c r="W275" s="2"/>
      <c r="X275" s="2"/>
      <c r="Y275" s="2"/>
      <c r="Z275" s="349"/>
      <c r="AA275" s="349"/>
      <c r="AB275" s="349"/>
      <c r="AC275" s="349"/>
      <c r="AD275" s="349"/>
      <c r="AE275" s="349"/>
      <c r="AF275" s="349"/>
      <c r="AG275" s="349"/>
      <c r="AH275" s="349"/>
      <c r="AI275" s="349"/>
      <c r="AJ275" s="349"/>
      <c r="AK275" s="349"/>
    </row>
    <row r="276" spans="1:37" hidden="1" x14ac:dyDescent="0.25">
      <c r="A276" s="2" t="s">
        <v>346</v>
      </c>
      <c r="B276" s="1"/>
      <c r="C276" s="1"/>
      <c r="D276" s="1"/>
      <c r="E276" s="93" t="s">
        <v>956</v>
      </c>
      <c r="F276" s="22"/>
      <c r="G276" s="22"/>
      <c r="H276" s="141">
        <f>A_InstallationData!H413</f>
        <v>0</v>
      </c>
      <c r="I276" s="141">
        <f>A_InstallationData!I413</f>
        <v>0</v>
      </c>
      <c r="J276" s="141">
        <f>A_InstallationData!J413</f>
        <v>1</v>
      </c>
      <c r="K276" s="141">
        <f>A_InstallationData!K413</f>
        <v>2</v>
      </c>
      <c r="L276" s="141">
        <f>A_InstallationData!L413</f>
        <v>3</v>
      </c>
      <c r="M276" s="141">
        <f>A_InstallationData!M413</f>
        <v>4</v>
      </c>
      <c r="N276" s="144">
        <f>A_InstallationData!N413</f>
        <v>5</v>
      </c>
      <c r="O276" s="1"/>
      <c r="P276" s="15"/>
      <c r="Q276" s="2"/>
      <c r="R276" s="2"/>
      <c r="S276" s="2"/>
      <c r="T276" s="2"/>
      <c r="U276" s="2"/>
      <c r="V276" s="2"/>
      <c r="W276" s="2"/>
      <c r="X276" s="2"/>
      <c r="Y276" s="2"/>
      <c r="Z276" s="349"/>
      <c r="AA276" s="349"/>
      <c r="AB276" s="349"/>
      <c r="AC276" s="349"/>
      <c r="AD276" s="349"/>
      <c r="AE276" s="349"/>
      <c r="AF276" s="349"/>
      <c r="AG276" s="349"/>
      <c r="AH276" s="349"/>
      <c r="AI276" s="349"/>
      <c r="AJ276" s="349"/>
      <c r="AK276" s="349"/>
    </row>
    <row r="277" spans="1:37" hidden="1" x14ac:dyDescent="0.25">
      <c r="A277" s="2" t="s">
        <v>346</v>
      </c>
      <c r="B277" s="1"/>
      <c r="C277" s="1"/>
      <c r="D277" s="1"/>
      <c r="E277" s="145" t="s">
        <v>1228</v>
      </c>
      <c r="F277" s="22"/>
      <c r="G277" s="22"/>
      <c r="H277" s="141">
        <f>A_InstallationData!H414</f>
        <v>2019</v>
      </c>
      <c r="I277" s="141">
        <f>A_InstallationData!I414</f>
        <v>2020</v>
      </c>
      <c r="J277" s="141">
        <f>A_InstallationData!J414</f>
        <v>2021</v>
      </c>
      <c r="K277" s="141">
        <f>A_InstallationData!K414</f>
        <v>2022</v>
      </c>
      <c r="L277" s="141">
        <f>A_InstallationData!L414</f>
        <v>2023</v>
      </c>
      <c r="M277" s="141">
        <f>A_InstallationData!M414</f>
        <v>2024</v>
      </c>
      <c r="N277" s="144">
        <f>A_InstallationData!N414</f>
        <v>2025</v>
      </c>
      <c r="O277" s="1"/>
      <c r="P277" s="15"/>
      <c r="Q277" s="2"/>
      <c r="R277" s="2"/>
      <c r="S277" s="2"/>
      <c r="T277" s="2"/>
      <c r="U277" s="2"/>
      <c r="V277" s="2"/>
      <c r="W277" s="2"/>
      <c r="X277" s="2"/>
      <c r="Y277" s="2"/>
      <c r="Z277" s="349"/>
      <c r="AA277" s="349"/>
      <c r="AB277" s="349"/>
      <c r="AC277" s="349"/>
      <c r="AD277" s="349"/>
      <c r="AE277" s="349"/>
      <c r="AF277" s="349"/>
      <c r="AG277" s="349"/>
      <c r="AH277" s="349"/>
      <c r="AI277" s="349"/>
      <c r="AJ277" s="349"/>
      <c r="AK277" s="349"/>
    </row>
    <row r="278" spans="1:37" hidden="1" x14ac:dyDescent="0.25">
      <c r="A278" s="2" t="s">
        <v>346</v>
      </c>
      <c r="B278" s="1"/>
      <c r="C278" s="1"/>
      <c r="D278" s="1"/>
      <c r="E278" s="145" t="s">
        <v>1227</v>
      </c>
      <c r="F278" s="142"/>
      <c r="G278" s="142"/>
      <c r="H278" s="143">
        <f>A_InstallationData!H415</f>
        <v>2019</v>
      </c>
      <c r="I278" s="143">
        <f>A_InstallationData!I415</f>
        <v>2020</v>
      </c>
      <c r="J278" s="143">
        <f>A_InstallationData!J415</f>
        <v>2021</v>
      </c>
      <c r="K278" s="143">
        <f>A_InstallationData!K415</f>
        <v>2022</v>
      </c>
      <c r="L278" s="143">
        <f>A_InstallationData!L415</f>
        <v>2023</v>
      </c>
      <c r="M278" s="143">
        <f>A_InstallationData!M415</f>
        <v>2024</v>
      </c>
      <c r="N278" s="146">
        <f>A_InstallationData!N415</f>
        <v>2025</v>
      </c>
      <c r="O278" s="19"/>
      <c r="P278" s="15"/>
      <c r="Q278" s="2"/>
      <c r="R278" s="2"/>
      <c r="S278" s="2"/>
      <c r="T278" s="2"/>
      <c r="U278" s="2"/>
      <c r="V278" s="2"/>
      <c r="W278" s="2"/>
      <c r="X278" s="2"/>
      <c r="Y278" s="2"/>
      <c r="Z278" s="349"/>
      <c r="AA278" s="349"/>
      <c r="AB278" s="349"/>
      <c r="AC278" s="349"/>
      <c r="AD278" s="349"/>
      <c r="AE278" s="349"/>
      <c r="AF278" s="349"/>
      <c r="AG278" s="349"/>
      <c r="AH278" s="349"/>
      <c r="AI278" s="349"/>
      <c r="AJ278" s="349"/>
      <c r="AK278" s="349"/>
    </row>
    <row r="279" spans="1:37" hidden="1" x14ac:dyDescent="0.25">
      <c r="A279" s="2" t="s">
        <v>346</v>
      </c>
      <c r="B279" s="1"/>
      <c r="C279" s="1"/>
      <c r="D279" s="1"/>
      <c r="E279" s="145" t="s">
        <v>592</v>
      </c>
      <c r="F279" s="142"/>
      <c r="G279" s="142"/>
      <c r="H279" s="143">
        <f>A_InstallationData!H416</f>
        <v>0</v>
      </c>
      <c r="I279" s="143">
        <f>A_InstallationData!I416</f>
        <v>0</v>
      </c>
      <c r="J279" s="143">
        <f>A_InstallationData!J416</f>
        <v>1</v>
      </c>
      <c r="K279" s="143">
        <f>A_InstallationData!K416</f>
        <v>1</v>
      </c>
      <c r="L279" s="143">
        <f>A_InstallationData!L416</f>
        <v>1</v>
      </c>
      <c r="M279" s="143">
        <f>A_InstallationData!M416</f>
        <v>1</v>
      </c>
      <c r="N279" s="146">
        <f>A_InstallationData!N416</f>
        <v>1</v>
      </c>
      <c r="O279" s="1"/>
      <c r="P279" s="15"/>
      <c r="Q279" s="2"/>
      <c r="R279" s="2"/>
      <c r="S279" s="2"/>
      <c r="T279" s="2"/>
      <c r="U279" s="2"/>
      <c r="V279" s="2"/>
      <c r="W279" s="2"/>
      <c r="X279" s="2"/>
      <c r="Y279" s="2"/>
      <c r="Z279" s="349"/>
      <c r="AA279" s="349"/>
      <c r="AB279" s="349"/>
      <c r="AC279" s="349"/>
      <c r="AD279" s="349"/>
      <c r="AE279" s="349"/>
      <c r="AF279" s="349"/>
      <c r="AG279" s="349"/>
      <c r="AH279" s="349"/>
      <c r="AI279" s="349"/>
      <c r="AJ279" s="349"/>
      <c r="AK279" s="349"/>
    </row>
    <row r="280" spans="1:37" hidden="1" x14ac:dyDescent="0.25">
      <c r="A280" s="2" t="s">
        <v>346</v>
      </c>
      <c r="B280" s="1"/>
      <c r="C280" s="1"/>
      <c r="D280" s="1"/>
      <c r="E280" s="145" t="s">
        <v>590</v>
      </c>
      <c r="F280" s="142"/>
      <c r="G280" s="142"/>
      <c r="H280" s="142" t="b">
        <f>A_InstallationData!H417</f>
        <v>1</v>
      </c>
      <c r="I280" s="142" t="b">
        <f>A_InstallationData!I417</f>
        <v>1</v>
      </c>
      <c r="J280" s="142" t="b">
        <f>A_InstallationData!J417</f>
        <v>1</v>
      </c>
      <c r="K280" s="142" t="b">
        <f>A_InstallationData!K417</f>
        <v>1</v>
      </c>
      <c r="L280" s="142" t="b">
        <f>A_InstallationData!L417</f>
        <v>1</v>
      </c>
      <c r="M280" s="142" t="b">
        <f>A_InstallationData!M417</f>
        <v>1</v>
      </c>
      <c r="N280" s="147" t="b">
        <f>A_InstallationData!N417</f>
        <v>1</v>
      </c>
      <c r="O280" s="1"/>
      <c r="P280" s="15"/>
      <c r="Q280" s="2"/>
      <c r="R280" s="2"/>
      <c r="S280" s="2"/>
      <c r="T280" s="2"/>
      <c r="U280" s="2"/>
      <c r="V280" s="2"/>
      <c r="W280" s="2"/>
      <c r="X280" s="2"/>
      <c r="Y280" s="2"/>
      <c r="Z280" s="349"/>
      <c r="AA280" s="349"/>
      <c r="AB280" s="349"/>
      <c r="AC280" s="349"/>
      <c r="AD280" s="349"/>
      <c r="AE280" s="349"/>
      <c r="AF280" s="349"/>
      <c r="AG280" s="349"/>
      <c r="AH280" s="349"/>
      <c r="AI280" s="349"/>
      <c r="AJ280" s="349"/>
      <c r="AK280" s="349"/>
    </row>
    <row r="281" spans="1:37" ht="13" hidden="1" thickBot="1" x14ac:dyDescent="0.3">
      <c r="A281" s="2" t="s">
        <v>346</v>
      </c>
      <c r="B281" s="1"/>
      <c r="C281" s="1"/>
      <c r="D281" s="1"/>
      <c r="E281" s="148" t="s">
        <v>591</v>
      </c>
      <c r="F281" s="149"/>
      <c r="G281" s="149"/>
      <c r="H281" s="149" t="b">
        <f>A_InstallationData!H418</f>
        <v>1</v>
      </c>
      <c r="I281" s="149" t="b">
        <f>A_InstallationData!I418</f>
        <v>1</v>
      </c>
      <c r="J281" s="149" t="b">
        <f>A_InstallationData!J418</f>
        <v>1</v>
      </c>
      <c r="K281" s="149" t="b">
        <f>A_InstallationData!K418</f>
        <v>1</v>
      </c>
      <c r="L281" s="149" t="b">
        <f>A_InstallationData!L418</f>
        <v>1</v>
      </c>
      <c r="M281" s="149" t="b">
        <f>A_InstallationData!M418</f>
        <v>1</v>
      </c>
      <c r="N281" s="150" t="b">
        <f>A_InstallationData!N418</f>
        <v>1</v>
      </c>
      <c r="O281" s="1"/>
      <c r="P281" s="15"/>
      <c r="Q281" s="2"/>
      <c r="R281" s="2"/>
      <c r="S281" s="2"/>
      <c r="T281" s="2"/>
      <c r="U281" s="2"/>
      <c r="V281" s="2"/>
      <c r="W281" s="2"/>
      <c r="X281" s="2"/>
      <c r="Y281" s="2"/>
      <c r="Z281" s="349"/>
      <c r="AA281" s="349"/>
      <c r="AB281" s="349"/>
      <c r="AC281" s="349"/>
      <c r="AD281" s="349"/>
      <c r="AE281" s="349"/>
      <c r="AF281" s="349"/>
      <c r="AG281" s="349"/>
      <c r="AH281" s="349"/>
      <c r="AI281" s="349"/>
      <c r="AJ281" s="349"/>
      <c r="AK281" s="349"/>
    </row>
    <row r="282" spans="1:37" hidden="1" x14ac:dyDescent="0.25">
      <c r="A282" s="2" t="s">
        <v>346</v>
      </c>
      <c r="B282" s="1"/>
      <c r="C282" s="1"/>
      <c r="D282" s="1"/>
      <c r="E282" s="1"/>
      <c r="F282" s="1"/>
      <c r="G282" s="1"/>
      <c r="H282" s="1"/>
      <c r="I282" s="1"/>
      <c r="J282" s="1"/>
      <c r="K282" s="1"/>
      <c r="L282" s="1"/>
      <c r="M282" s="1"/>
      <c r="N282" s="1"/>
      <c r="O282" s="1"/>
      <c r="P282" s="15"/>
      <c r="Q282" s="2"/>
      <c r="R282" s="2"/>
      <c r="S282" s="2"/>
      <c r="T282" s="2"/>
      <c r="U282" s="2"/>
      <c r="V282" s="2"/>
      <c r="W282" s="2"/>
      <c r="X282" s="2"/>
      <c r="Y282" s="2"/>
      <c r="Z282" s="349"/>
      <c r="AA282" s="349"/>
      <c r="AB282" s="349"/>
      <c r="AC282" s="349"/>
      <c r="AD282" s="349"/>
      <c r="AE282" s="349"/>
      <c r="AF282" s="349"/>
      <c r="AG282" s="349"/>
      <c r="AH282" s="349"/>
      <c r="AI282" s="349"/>
      <c r="AJ282" s="349"/>
      <c r="AK282" s="349"/>
    </row>
    <row r="283" spans="1:37" ht="13" hidden="1" thickBot="1" x14ac:dyDescent="0.3">
      <c r="A283" s="2" t="s">
        <v>346</v>
      </c>
      <c r="B283" s="1"/>
      <c r="C283" s="1"/>
      <c r="D283" s="1"/>
      <c r="E283" s="1" t="s">
        <v>125</v>
      </c>
      <c r="F283" s="1"/>
      <c r="G283" s="1"/>
      <c r="H283" s="1"/>
      <c r="I283" s="1"/>
      <c r="J283" s="1"/>
      <c r="K283" s="1"/>
      <c r="L283" s="1"/>
      <c r="M283" s="1"/>
      <c r="N283" s="1"/>
      <c r="O283" s="1"/>
      <c r="P283" s="15"/>
      <c r="Q283" s="2"/>
      <c r="R283" s="2"/>
      <c r="S283" s="2"/>
      <c r="T283" s="2"/>
      <c r="U283" s="2"/>
      <c r="V283" s="2"/>
      <c r="W283" s="2"/>
      <c r="X283" s="2"/>
      <c r="Y283" s="2"/>
      <c r="Z283" s="349"/>
      <c r="AA283" s="349"/>
      <c r="AB283" s="349"/>
      <c r="AC283" s="349"/>
      <c r="AD283" s="349"/>
      <c r="AE283" s="349"/>
      <c r="AF283" s="349"/>
      <c r="AG283" s="349"/>
      <c r="AH283" s="349"/>
      <c r="AI283" s="349"/>
      <c r="AJ283" s="349"/>
      <c r="AK283" s="349"/>
    </row>
    <row r="284" spans="1:37" ht="13" hidden="1" x14ac:dyDescent="0.25">
      <c r="A284" s="2" t="s">
        <v>346</v>
      </c>
      <c r="B284" s="1"/>
      <c r="C284" s="1"/>
      <c r="D284" s="1">
        <v>6</v>
      </c>
      <c r="E284" s="107" t="str">
        <f>INDEX(EUconst_FallBackListNames,D284)</f>
        <v>Delanläggning med processutsläpp, KL</v>
      </c>
      <c r="F284" s="106"/>
      <c r="G284" s="157" t="str">
        <f>EUconst_tCO2epa</f>
        <v>t CO2e/år</v>
      </c>
      <c r="H284" s="103" t="str">
        <f>IF(ISNUMBER(K_Summary!H107),INDEX(K_Summary!G$91:G$129,MATCH(EUconst_CNTR_HAL&amp;$E284,K_Summary!$P$91:$P$129,0)),"")</f>
        <v/>
      </c>
      <c r="I284" s="103" t="str">
        <f>IF(ISNUMBER(K_Summary!I107),INDEX(K_Summary!H$91:H$129,MATCH(EUconst_CNTR_HAL&amp;$E284,K_Summary!$P$91:$P$129,0)),"")</f>
        <v/>
      </c>
      <c r="J284" s="103" t="str">
        <f>IF(ISNUMBER(K_Summary!J107),INDEX(K_Summary!I$91:I$129,MATCH(EUconst_CNTR_HAL&amp;$E284,K_Summary!$P$91:$P$129,0)),"")</f>
        <v/>
      </c>
      <c r="K284" s="103" t="str">
        <f>IF(ISNUMBER(K_Summary!K107),INDEX(K_Summary!J$91:J$129,MATCH(EUconst_CNTR_HAL&amp;$E284,K_Summary!$P$91:$P$129,0)),"")</f>
        <v/>
      </c>
      <c r="L284" s="103" t="str">
        <f>IF(ISNUMBER(K_Summary!L107),INDEX(K_Summary!K$91:K$129,MATCH(EUconst_CNTR_HAL&amp;$E284,K_Summary!$P$91:$P$129,0)),"")</f>
        <v/>
      </c>
      <c r="M284" s="103" t="str">
        <f>IF(ISNUMBER(K_Summary!M107),INDEX(K_Summary!L$91:L$129,MATCH(EUconst_CNTR_HAL&amp;$E284,K_Summary!$P$91:$P$129,0)),"")</f>
        <v/>
      </c>
      <c r="N284" s="102" t="str">
        <f>IF(ISNUMBER(K_Summary!N107),INDEX(K_Summary!M$91:M$129,MATCH(EUconst_CNTR_HAL&amp;$E284,K_Summary!$P$91:$P$129,0)),"")</f>
        <v/>
      </c>
      <c r="O284" s="1"/>
      <c r="P284" s="15"/>
      <c r="Q284" s="2"/>
      <c r="R284" s="2"/>
      <c r="S284" s="2"/>
      <c r="T284" s="2"/>
      <c r="U284" s="2"/>
      <c r="V284" s="2"/>
      <c r="W284" s="2"/>
      <c r="X284" s="2"/>
      <c r="Y284" s="2"/>
      <c r="Z284" s="349"/>
      <c r="AA284" s="349"/>
      <c r="AB284" s="349"/>
      <c r="AC284" s="349"/>
      <c r="AD284" s="349"/>
      <c r="AE284" s="349"/>
      <c r="AF284" s="349"/>
      <c r="AG284" s="349"/>
      <c r="AH284" s="349"/>
      <c r="AI284" s="349"/>
      <c r="AJ284" s="349"/>
      <c r="AK284" s="349"/>
    </row>
    <row r="285" spans="1:37" ht="13.5" hidden="1" thickBot="1" x14ac:dyDescent="0.3">
      <c r="A285" s="2" t="s">
        <v>346</v>
      </c>
      <c r="B285" s="1"/>
      <c r="C285" s="1"/>
      <c r="D285" s="1">
        <v>7</v>
      </c>
      <c r="E285" s="105" t="str">
        <f>INDEX(EUconst_FallBackListNames,D285)</f>
        <v>Delanläggning med processutsläpp, ej KL</v>
      </c>
      <c r="F285" s="104"/>
      <c r="G285" s="158" t="str">
        <f>EUconst_tCO2epa</f>
        <v>t CO2e/år</v>
      </c>
      <c r="H285" s="101" t="str">
        <f>IF(ISNUMBER(K_Summary!H108),INDEX(K_Summary!G$91:G$129,MATCH(EUconst_CNTR_HAL&amp;$E285,K_Summary!$P$91:$P$129,0)),"")</f>
        <v/>
      </c>
      <c r="I285" s="101" t="str">
        <f>IF(ISNUMBER(K_Summary!I108),INDEX(K_Summary!H$91:H$129,MATCH(EUconst_CNTR_HAL&amp;$E285,K_Summary!$P$91:$P$129,0)),"")</f>
        <v/>
      </c>
      <c r="J285" s="101" t="str">
        <f>IF(ISNUMBER(K_Summary!J108),INDEX(K_Summary!I$91:I$129,MATCH(EUconst_CNTR_HAL&amp;$E285,K_Summary!$P$91:$P$129,0)),"")</f>
        <v/>
      </c>
      <c r="K285" s="101" t="str">
        <f>IF(ISNUMBER(K_Summary!K108),INDEX(K_Summary!J$91:J$129,MATCH(EUconst_CNTR_HAL&amp;$E285,K_Summary!$P$91:$P$129,0)),"")</f>
        <v/>
      </c>
      <c r="L285" s="101" t="str">
        <f>IF(ISNUMBER(K_Summary!L108),INDEX(K_Summary!K$91:K$129,MATCH(EUconst_CNTR_HAL&amp;$E285,K_Summary!$P$91:$P$129,0)),"")</f>
        <v/>
      </c>
      <c r="M285" s="101" t="str">
        <f>IF(ISNUMBER(K_Summary!M108),INDEX(K_Summary!L$91:L$129,MATCH(EUconst_CNTR_HAL&amp;$E285,K_Summary!$P$91:$P$129,0)),"")</f>
        <v/>
      </c>
      <c r="N285" s="100" t="str">
        <f>IF(ISNUMBER(K_Summary!N108),INDEX(K_Summary!M$91:M$129,MATCH(EUconst_CNTR_HAL&amp;$E285,K_Summary!$P$91:$P$129,0)),"")</f>
        <v/>
      </c>
      <c r="O285" s="1"/>
      <c r="P285" s="15"/>
      <c r="Q285" s="2"/>
      <c r="R285" s="2"/>
      <c r="S285" s="2"/>
      <c r="T285" s="2"/>
      <c r="U285" s="2"/>
      <c r="V285" s="2"/>
      <c r="W285" s="2"/>
      <c r="X285" s="2"/>
      <c r="Y285" s="2"/>
      <c r="Z285" s="349"/>
      <c r="AA285" s="349"/>
      <c r="AB285" s="349"/>
      <c r="AC285" s="349"/>
      <c r="AD285" s="349"/>
      <c r="AE285" s="349"/>
      <c r="AF285" s="349"/>
      <c r="AG285" s="349"/>
      <c r="AH285" s="349"/>
      <c r="AI285" s="349"/>
      <c r="AJ285" s="349"/>
      <c r="AK285" s="349"/>
    </row>
    <row r="286" spans="1:37" hidden="1" x14ac:dyDescent="0.25">
      <c r="A286" s="2" t="s">
        <v>346</v>
      </c>
      <c r="B286" s="1"/>
      <c r="C286" s="1"/>
      <c r="D286" s="1"/>
      <c r="E286" s="1"/>
      <c r="F286" s="1"/>
      <c r="G286" s="1"/>
      <c r="H286" s="1"/>
      <c r="I286" s="1"/>
      <c r="J286" s="1"/>
      <c r="K286" s="1"/>
      <c r="L286" s="1"/>
      <c r="M286" s="1"/>
      <c r="N286" s="1"/>
      <c r="O286" s="1"/>
      <c r="P286" s="15"/>
      <c r="Q286" s="2"/>
      <c r="R286" s="2"/>
      <c r="S286" s="2"/>
      <c r="T286" s="2"/>
      <c r="U286" s="2"/>
      <c r="V286" s="2"/>
      <c r="W286" s="2"/>
      <c r="X286" s="2"/>
      <c r="Y286" s="2"/>
      <c r="Z286" s="349"/>
      <c r="AA286" s="349"/>
      <c r="AB286" s="349"/>
      <c r="AC286" s="349"/>
      <c r="AD286" s="349"/>
      <c r="AE286" s="349"/>
      <c r="AF286" s="349"/>
      <c r="AG286" s="349"/>
      <c r="AH286" s="349"/>
      <c r="AI286" s="349"/>
      <c r="AJ286" s="349"/>
      <c r="AK286" s="349"/>
    </row>
  </sheetData>
  <sheetProtection sheet="1" objects="1" scenarios="1" formatCells="0" formatColumns="0" formatRows="0"/>
  <mergeCells count="194">
    <mergeCell ref="H230:N230"/>
    <mergeCell ref="E232:N233"/>
    <mergeCell ref="E235:N235"/>
    <mergeCell ref="E238:F238"/>
    <mergeCell ref="E240:N240"/>
    <mergeCell ref="E242:F242"/>
    <mergeCell ref="D222:N222"/>
    <mergeCell ref="E267:F267"/>
    <mergeCell ref="E254:N254"/>
    <mergeCell ref="E257:G257"/>
    <mergeCell ref="E259:N259"/>
    <mergeCell ref="E261:F261"/>
    <mergeCell ref="E262:F262"/>
    <mergeCell ref="E264:N264"/>
    <mergeCell ref="E243:F243"/>
    <mergeCell ref="E245:N245"/>
    <mergeCell ref="E247:F247"/>
    <mergeCell ref="E248:F248"/>
    <mergeCell ref="E250:N250"/>
    <mergeCell ref="E252:F252"/>
    <mergeCell ref="E224:N224"/>
    <mergeCell ref="E226:K226"/>
    <mergeCell ref="E228:K228"/>
    <mergeCell ref="L226:N226"/>
    <mergeCell ref="E203:F203"/>
    <mergeCell ref="E205:N205"/>
    <mergeCell ref="E209:N209"/>
    <mergeCell ref="E210:N210"/>
    <mergeCell ref="E207:G207"/>
    <mergeCell ref="E187:N187"/>
    <mergeCell ref="H176:N176"/>
    <mergeCell ref="E179:N180"/>
    <mergeCell ref="L228:N228"/>
    <mergeCell ref="E212:F212"/>
    <mergeCell ref="E214:N214"/>
    <mergeCell ref="E215:N215"/>
    <mergeCell ref="E216:N216"/>
    <mergeCell ref="E217:N217"/>
    <mergeCell ref="E219:F219"/>
    <mergeCell ref="E211:F211"/>
    <mergeCell ref="E195:N195"/>
    <mergeCell ref="E196:N196"/>
    <mergeCell ref="E197:F197"/>
    <mergeCell ref="E198:F198"/>
    <mergeCell ref="E200:N200"/>
    <mergeCell ref="L174:N174"/>
    <mergeCell ref="E166:N166"/>
    <mergeCell ref="E201:N201"/>
    <mergeCell ref="E188:N188"/>
    <mergeCell ref="E189:N189"/>
    <mergeCell ref="E191:F191"/>
    <mergeCell ref="E190:F190"/>
    <mergeCell ref="E147:F147"/>
    <mergeCell ref="E149:N149"/>
    <mergeCell ref="E151:F151"/>
    <mergeCell ref="E152:F152"/>
    <mergeCell ref="E185:F185"/>
    <mergeCell ref="F162:N162"/>
    <mergeCell ref="E183:N183"/>
    <mergeCell ref="E172:N172"/>
    <mergeCell ref="E174:K174"/>
    <mergeCell ref="E193:N193"/>
    <mergeCell ref="E194:N194"/>
    <mergeCell ref="E137:F137"/>
    <mergeCell ref="E139:N139"/>
    <mergeCell ref="E141:F141"/>
    <mergeCell ref="E142:F142"/>
    <mergeCell ref="E144:N144"/>
    <mergeCell ref="E146:F146"/>
    <mergeCell ref="E128:F128"/>
    <mergeCell ref="E129:F129"/>
    <mergeCell ref="E130:F130"/>
    <mergeCell ref="E132:I132"/>
    <mergeCell ref="E134:N134"/>
    <mergeCell ref="E136:F136"/>
    <mergeCell ref="E84:F84"/>
    <mergeCell ref="E71:N71"/>
    <mergeCell ref="E77:I77"/>
    <mergeCell ref="E117:N117"/>
    <mergeCell ref="E119:F119"/>
    <mergeCell ref="E121:N121"/>
    <mergeCell ref="E123:F123"/>
    <mergeCell ref="E124:F124"/>
    <mergeCell ref="E126:N126"/>
    <mergeCell ref="E106:F106"/>
    <mergeCell ref="E107:F107"/>
    <mergeCell ref="D109:N109"/>
    <mergeCell ref="E111:N111"/>
    <mergeCell ref="E113:N113"/>
    <mergeCell ref="E115:F115"/>
    <mergeCell ref="E70:N70"/>
    <mergeCell ref="E45:L45"/>
    <mergeCell ref="D43:N43"/>
    <mergeCell ref="E97:N97"/>
    <mergeCell ref="E98:N98"/>
    <mergeCell ref="E100:F100"/>
    <mergeCell ref="E101:F101"/>
    <mergeCell ref="E103:N103"/>
    <mergeCell ref="E104:N104"/>
    <mergeCell ref="E95:N95"/>
    <mergeCell ref="E96:N96"/>
    <mergeCell ref="E57:F57"/>
    <mergeCell ref="E62:F62"/>
    <mergeCell ref="E67:F67"/>
    <mergeCell ref="E68:F68"/>
    <mergeCell ref="E73:F73"/>
    <mergeCell ref="E74:F74"/>
    <mergeCell ref="E75:F75"/>
    <mergeCell ref="E87:N87"/>
    <mergeCell ref="E93:F93"/>
    <mergeCell ref="E79:N79"/>
    <mergeCell ref="E80:N80"/>
    <mergeCell ref="E81:N81"/>
    <mergeCell ref="E83:F83"/>
    <mergeCell ref="F15:N15"/>
    <mergeCell ref="D37:N37"/>
    <mergeCell ref="D30:N30"/>
    <mergeCell ref="D32:N32"/>
    <mergeCell ref="E20:F20"/>
    <mergeCell ref="E41:N41"/>
    <mergeCell ref="E21:F21"/>
    <mergeCell ref="E23:F23"/>
    <mergeCell ref="E10:N10"/>
    <mergeCell ref="F14:N14"/>
    <mergeCell ref="F16:N16"/>
    <mergeCell ref="F11:N11"/>
    <mergeCell ref="F13:N13"/>
    <mergeCell ref="F12:N12"/>
    <mergeCell ref="E24:F24"/>
    <mergeCell ref="E25:F25"/>
    <mergeCell ref="E26:F26"/>
    <mergeCell ref="E27:F27"/>
    <mergeCell ref="E28:F28"/>
    <mergeCell ref="E17:N17"/>
    <mergeCell ref="E18:N18"/>
    <mergeCell ref="E3:F3"/>
    <mergeCell ref="G3:H3"/>
    <mergeCell ref="D6:N6"/>
    <mergeCell ref="D8:N8"/>
    <mergeCell ref="B2:D4"/>
    <mergeCell ref="G2:H2"/>
    <mergeCell ref="K2:L2"/>
    <mergeCell ref="I2:J2"/>
    <mergeCell ref="M2:N2"/>
    <mergeCell ref="K4:L4"/>
    <mergeCell ref="E2:F2"/>
    <mergeCell ref="D269:N269"/>
    <mergeCell ref="F164:N164"/>
    <mergeCell ref="F161:N161"/>
    <mergeCell ref="L170:N170"/>
    <mergeCell ref="D168:N168"/>
    <mergeCell ref="E50:N50"/>
    <mergeCell ref="E159:N159"/>
    <mergeCell ref="E157:N157"/>
    <mergeCell ref="E59:N59"/>
    <mergeCell ref="E171:N171"/>
    <mergeCell ref="E176:G176"/>
    <mergeCell ref="E177:N177"/>
    <mergeCell ref="E178:N178"/>
    <mergeCell ref="E182:N182"/>
    <mergeCell ref="E156:L156"/>
    <mergeCell ref="D52:N52"/>
    <mergeCell ref="E88:N88"/>
    <mergeCell ref="E89:N89"/>
    <mergeCell ref="E90:N90"/>
    <mergeCell ref="E92:F92"/>
    <mergeCell ref="E86:N86"/>
    <mergeCell ref="E60:N60"/>
    <mergeCell ref="E64:N64"/>
    <mergeCell ref="E65:N65"/>
    <mergeCell ref="P2:P4"/>
    <mergeCell ref="E170:K170"/>
    <mergeCell ref="E158:N158"/>
    <mergeCell ref="E54:N54"/>
    <mergeCell ref="M4:N4"/>
    <mergeCell ref="K3:L3"/>
    <mergeCell ref="E4:F4"/>
    <mergeCell ref="E160:N160"/>
    <mergeCell ref="G4:H4"/>
    <mergeCell ref="I4:J4"/>
    <mergeCell ref="E35:F35"/>
    <mergeCell ref="F163:N163"/>
    <mergeCell ref="F165:N165"/>
    <mergeCell ref="E55:N55"/>
    <mergeCell ref="D154:N154"/>
    <mergeCell ref="E40:N40"/>
    <mergeCell ref="M3:N3"/>
    <mergeCell ref="I3:J3"/>
    <mergeCell ref="E22:F22"/>
    <mergeCell ref="E49:N49"/>
    <mergeCell ref="E39:N39"/>
    <mergeCell ref="E47:N47"/>
    <mergeCell ref="E46:N46"/>
    <mergeCell ref="E48:N48"/>
  </mergeCells>
  <phoneticPr fontId="34" type="noConversion"/>
  <conditionalFormatting sqref="G3:H3">
    <cfRule type="expression" dxfId="764" priority="3" stopIfTrue="1">
      <formula>COUNTIF($AK:$AK,1)&gt;0</formula>
    </cfRule>
  </conditionalFormatting>
  <conditionalFormatting sqref="G4:H4">
    <cfRule type="expression" dxfId="763" priority="1" stopIfTrue="1">
      <formula>COUNTIF($AK:$AK,4)&gt;0</formula>
    </cfRule>
  </conditionalFormatting>
  <conditionalFormatting sqref="H21:N28 H62:N62 H67:N67 H73:N74 H92:N93 H115:N115 H119:N119 H123:N123 H128:N129 H141:N142 H185:N185 H191:N191 H198:N198 H203:N203 H238:N238 H243:N243 H248:N248 H252:N252">
    <cfRule type="expression" dxfId="762" priority="6" stopIfTrue="1">
      <formula>AB$21</formula>
    </cfRule>
  </conditionalFormatting>
  <conditionalFormatting sqref="H57:N57 H62:N62 H73:N74 H92:N93 H115:N115 H119:N119 H128:N129 H141:N142 H67:N67 H123:N123 H21:N24 H26:N26 M45">
    <cfRule type="expression" dxfId="761" priority="22" stopIfTrue="1">
      <formula>AND((MSconst_RequireEmissionTotals=FALSE),$Q$21=FALSE)</formula>
    </cfRule>
  </conditionalFormatting>
  <conditionalFormatting sqref="H57:N57">
    <cfRule type="expression" dxfId="760" priority="4" stopIfTrue="1">
      <formula>AB$21</formula>
    </cfRule>
  </conditionalFormatting>
  <conditionalFormatting sqref="H62:N62 H73:N74 H92:N93 H115:N115 H119:N119 H185:N185 H191:N191 H198:N198 H203:N203 H238:N238 H243:N243 H248:N248 H57:N57 L170:N170 L174:N174 H176:N176 E179:N180 L226 L228 H230 E232">
    <cfRule type="expression" dxfId="759" priority="19" stopIfTrue="1">
      <formula>$Y57</formula>
    </cfRule>
  </conditionalFormatting>
  <conditionalFormatting sqref="H67:N68">
    <cfRule type="expression" dxfId="758" priority="11" stopIfTrue="1">
      <formula>$Y67</formula>
    </cfRule>
  </conditionalFormatting>
  <conditionalFormatting sqref="H75:N75 H130:N130">
    <cfRule type="expression" dxfId="757" priority="495" stopIfTrue="1">
      <formula>AND(NOT(MSconst_RequireAllYears),NOT(INDEX(CNTR_BaselineHighlight,H$278-2004)))</formula>
    </cfRule>
  </conditionalFormatting>
  <conditionalFormatting sqref="H123:N124">
    <cfRule type="expression" dxfId="756" priority="8" stopIfTrue="1">
      <formula>$Y123</formula>
    </cfRule>
  </conditionalFormatting>
  <conditionalFormatting sqref="H128:N129">
    <cfRule type="expression" dxfId="755" priority="17" stopIfTrue="1">
      <formula>$Y128</formula>
    </cfRule>
  </conditionalFormatting>
  <conditionalFormatting sqref="H141:N142">
    <cfRule type="expression" dxfId="754" priority="12" stopIfTrue="1">
      <formula>$Y141</formula>
    </cfRule>
  </conditionalFormatting>
  <conditionalFormatting sqref="H252:N252">
    <cfRule type="expression" dxfId="753" priority="16" stopIfTrue="1">
      <formula>$Y252</formula>
    </cfRule>
  </conditionalFormatting>
  <conditionalFormatting sqref="K3:N3">
    <cfRule type="expression" dxfId="752" priority="2" stopIfTrue="1">
      <formula>COUNTIF($AK:$AK,3)&gt;0</formula>
    </cfRule>
  </conditionalFormatting>
  <conditionalFormatting sqref="S21:Y25 S28:Y28">
    <cfRule type="expression" dxfId="751" priority="516" stopIfTrue="1">
      <formula>AND(ISNUMBER(#REF!),ISNUMBER(H21))</formula>
    </cfRule>
  </conditionalFormatting>
  <conditionalFormatting sqref="S26:Y26">
    <cfRule type="expression" dxfId="750" priority="518" stopIfTrue="1">
      <formula>AND(ISNUMBER(#REF!),ISNUMBER(H25))</formula>
    </cfRule>
  </conditionalFormatting>
  <dataValidations count="8">
    <dataValidation type="list" allowBlank="1" showInputMessage="1" showErrorMessage="1" sqref="G248 G198" xr:uid="{99EC03F2-7233-439F-A1AC-1761B2E2E24D}">
      <formula1>EUconst_TonnesOrkNm3pa</formula1>
    </dataValidation>
    <dataValidation type="list" allowBlank="1" showInputMessage="1" showErrorMessage="1" sqref="L174:N174 L228" xr:uid="{FB30EBA7-42CE-4B3B-8CB0-4F8DEE2FBA21}">
      <formula1>EUconst_RelevantNotRelevant</formula1>
    </dataValidation>
    <dataValidation type="list" allowBlank="1" showInputMessage="1" showErrorMessage="1" sqref="L170:N170 L226" xr:uid="{2533EE68-12A1-4914-BBE1-57E9011622E5}">
      <formula1>EUconst_CLnonCL</formula1>
    </dataValidation>
    <dataValidation type="list" allowBlank="1" showInputMessage="1" showErrorMessage="1" sqref="M45 M156" xr:uid="{89A71326-DDFF-4C1E-94FA-219B9872EC98}">
      <formula1>Euconst_TrueFalse</formula1>
    </dataValidation>
    <dataValidation type="decimal" allowBlank="1" showInputMessage="1" showErrorMessage="1" errorTitle="0 &lt; value &lt; 1" error="Values should be between 0 and 1" sqref="H92:N93 H141:N142" xr:uid="{4D4D1188-33DC-41EE-B167-F5B3AAE4C13C}">
      <formula1>0</formula1>
      <formula2>1</formula2>
    </dataValidation>
    <dataValidation type="decimal" operator="lessThanOrEqual" allowBlank="1" showInputMessage="1" showErrorMessage="1" errorTitle="Data error!" error="Exported amounts should be reported as negative values." sqref="H26:N26" xr:uid="{F14D0BEA-1BE7-482E-9900-C19B5D366F4F}">
      <formula1>0</formula1>
    </dataValidation>
    <dataValidation type="decimal" operator="lessThanOrEqual" allowBlank="1" showInputMessage="1" showErrorMessage="1" sqref="S26:Y26" xr:uid="{F35AFA7C-E373-4B5F-8C8B-6DFB6D2BB5E7}">
      <formula1>0</formula1>
    </dataValidation>
    <dataValidation type="decimal" operator="greaterThanOrEqual" allowBlank="1" showInputMessage="1" showErrorMessage="1" error="! Numeric value &gt; 0 !" sqref="H21:N24 H28:N28" xr:uid="{7DF1E41C-4694-4181-A3E6-CAD3BFE6F003}">
      <formula1>0</formula1>
    </dataValidation>
  </dataValidations>
  <hyperlinks>
    <hyperlink ref="G2:H2" location="JUMP_TOC_Home" display="Table of contents" xr:uid="{EECEAA70-F180-4AD8-800F-AF0CEDE99E3C}"/>
    <hyperlink ref="M2:N2" location="JUMP_K_I" display="Summary" xr:uid="{BB4ED5C9-D1A7-46B4-B9C7-5FEB8F02A23F}"/>
    <hyperlink ref="I2:J2" location="JUMP_B_I" display="JUMP_B_I" xr:uid="{80204D45-2D81-4796-A104-C5E7933FEF9F}"/>
    <hyperlink ref="E3:F3" location="JUMP_D_Top" display="Top of sheet" xr:uid="{33DF6020-7D91-4B84-81F1-C8B61CBDFCD0}"/>
    <hyperlink ref="E4:F4" location="JUMP_D_Bottom" display="End of sheet" xr:uid="{01116391-614C-4845-84FA-75CE19C063C8}"/>
    <hyperlink ref="K2:L2" location="JUMP_E_Top" display="Next sheet" xr:uid="{93C6B373-95EC-4FE6-93E9-CB5F66EA9586}"/>
    <hyperlink ref="D269:N269" location="JUMP_E_Top" display="&lt;&lt;&lt; Click here to proceed to next sheet &gt;&gt;&gt; " xr:uid="{22D915B2-CAC3-43AC-89AF-8AD2DDE3B786}"/>
    <hyperlink ref="G3:H3" location="JUMP_D_I" display="Emissions and Energy Input" xr:uid="{C009D885-5229-4A0B-ABDB-DEAFCFFA1296}"/>
    <hyperlink ref="I3:J3" location="JUMP_D_II" display="Emissions Attribution" xr:uid="{B0798234-D5D5-42BF-B7B2-9C16DC1ED70F}"/>
    <hyperlink ref="G4:H4" location="JUMP_D_IV" display="JUMP_D_IV" xr:uid="{F0C48134-9D07-4106-B4EC-617AEA3A4500}"/>
    <hyperlink ref="I4:J4" location="JUMP_D_IV2" display="JUMP_D_IV2" xr:uid="{1F678B92-143E-43B9-914C-99CA6CD1B616}"/>
    <hyperlink ref="E89" r:id="rId1" display="https://eur-lex.europa.eu/eli/reg_del/2015/2402/oj" xr:uid="{3A956299-7308-4433-823B-49AAE39767F8}"/>
    <hyperlink ref="K3:L3" location="JUMP_D_III" display="Cogeneration (1)" xr:uid="{1AFBA576-F0AD-4149-8423-331CCD6BC64E}"/>
    <hyperlink ref="M3:N3" location="JUMP_D_III2" display="Cogeneration (2)" xr:uid="{7453CFB5-9276-43B6-839D-7FBDC20E356A}"/>
    <hyperlink ref="E41:M41" location="JUMP_K_III2" display="JUMP_K_III2" xr:uid="{5083423A-268E-4E4E-ACB5-0CF78ECDDBCB}"/>
  </hyperlinks>
  <pageMargins left="0.78740157480314965" right="0.78740157480314965" top="0.78740157480314965" bottom="0.78740157480314965" header="0.51181102362204722" footer="0.51181102362204722"/>
  <pageSetup paperSize="9" scale="41" fitToHeight="10" orientation="portrait" r:id="rId2"/>
  <headerFooter alignWithMargins="0">
    <oddHeader>&amp;L&amp;F; &amp;A&amp;R&amp;D; &amp;T</oddHeader>
    <oddFooter>&amp;C&amp;P / &amp;N</oddFooter>
  </headerFooter>
  <rowBreaks count="1" manualBreakCount="1">
    <brk id="152" min="2" max="1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DF614-1A96-44E4-BCEF-E72D3A2A3551}">
  <sheetPr codeName="Tabelle7">
    <tabColor indexed="52"/>
    <pageSetUpPr fitToPage="1"/>
  </sheetPr>
  <dimension ref="A1:AE436"/>
  <sheetViews>
    <sheetView zoomScaleNormal="100" zoomScaleSheetLayoutView="100" workbookViewId="0">
      <pane ySplit="4" topLeftCell="A18" activePane="bottomLeft" state="frozen"/>
      <selection pane="bottomLeft" activeCell="B2" sqref="B2:D4"/>
    </sheetView>
  </sheetViews>
  <sheetFormatPr defaultColWidth="11.453125" defaultRowHeight="12.5" x14ac:dyDescent="0.25"/>
  <cols>
    <col min="1" max="1" width="4.7265625" style="533" hidden="1" customWidth="1"/>
    <col min="2" max="2" width="2.7265625" style="533" customWidth="1"/>
    <col min="3" max="4" width="4.7265625" style="533" customWidth="1"/>
    <col min="5" max="5" width="30.7265625" style="533" customWidth="1"/>
    <col min="6" max="14" width="12.7265625" style="533" customWidth="1"/>
    <col min="15" max="15" width="4.7265625" style="533" customWidth="1"/>
    <col min="16" max="16" width="25.7265625" style="533" customWidth="1"/>
    <col min="17" max="17" width="12.7265625" style="533" hidden="1" customWidth="1"/>
    <col min="18" max="31" width="11.453125" style="533" hidden="1" customWidth="1"/>
    <col min="32" max="16384" width="11.453125" style="533"/>
  </cols>
  <sheetData>
    <row r="1" spans="1:31" s="2" customFormat="1" ht="13" hidden="1" thickBot="1" x14ac:dyDescent="0.3">
      <c r="A1" s="349" t="s">
        <v>346</v>
      </c>
      <c r="Q1" s="349" t="s">
        <v>346</v>
      </c>
      <c r="R1" s="349" t="s">
        <v>346</v>
      </c>
      <c r="S1" s="349" t="s">
        <v>346</v>
      </c>
      <c r="T1" s="349" t="s">
        <v>346</v>
      </c>
      <c r="U1" s="349" t="s">
        <v>346</v>
      </c>
      <c r="V1" s="349" t="s">
        <v>346</v>
      </c>
      <c r="W1" s="349" t="s">
        <v>346</v>
      </c>
      <c r="X1" s="349" t="s">
        <v>346</v>
      </c>
      <c r="Y1" s="349" t="s">
        <v>346</v>
      </c>
      <c r="Z1" s="349" t="s">
        <v>346</v>
      </c>
      <c r="AA1" s="349" t="s">
        <v>346</v>
      </c>
      <c r="AB1" s="349" t="s">
        <v>346</v>
      </c>
      <c r="AC1" s="349" t="s">
        <v>346</v>
      </c>
      <c r="AD1" s="349" t="s">
        <v>346</v>
      </c>
      <c r="AE1" s="349" t="s">
        <v>346</v>
      </c>
    </row>
    <row r="2" spans="1:31" ht="13.5" thickBot="1" x14ac:dyDescent="0.35">
      <c r="A2" s="349"/>
      <c r="B2" s="2315" t="str">
        <f>Translations!$B$331</f>
        <v>E.</v>
      </c>
      <c r="C2" s="2316"/>
      <c r="D2" s="2317"/>
      <c r="E2" s="2330" t="str">
        <f>Translations!$B$2</f>
        <v>Navigeringsfält:</v>
      </c>
      <c r="F2" s="2331"/>
      <c r="G2" s="2329" t="str">
        <f>Translations!$B$16</f>
        <v>Innehållsförteckning</v>
      </c>
      <c r="H2" s="1936"/>
      <c r="I2" s="1936" t="str">
        <f>Translations!$B$17</f>
        <v>Föregående blad</v>
      </c>
      <c r="J2" s="1936"/>
      <c r="K2" s="1936" t="str">
        <f>Translations!$B$3</f>
        <v>Nästa blad</v>
      </c>
      <c r="L2" s="1936"/>
      <c r="M2" s="1936" t="str">
        <f>Translations!$B$4</f>
        <v>Sammanfattning</v>
      </c>
      <c r="N2" s="1936"/>
      <c r="O2" s="6"/>
      <c r="P2" s="2280" t="str">
        <f>Translations!$B$1362</f>
        <v>Kolumn för kommentarer 
(till exempel eventuella ändringar)</v>
      </c>
      <c r="Q2" s="410"/>
      <c r="R2" s="349"/>
      <c r="S2" s="349"/>
      <c r="T2" s="349"/>
      <c r="U2" s="349"/>
      <c r="V2" s="349"/>
      <c r="W2" s="349"/>
      <c r="X2" s="349"/>
      <c r="Y2" s="349"/>
      <c r="Z2" s="349"/>
      <c r="AA2" s="349"/>
      <c r="AB2" s="349"/>
      <c r="AC2" s="349"/>
      <c r="AD2" s="349"/>
      <c r="AE2" s="349"/>
    </row>
    <row r="3" spans="1:31" ht="13.5" customHeight="1" thickBot="1" x14ac:dyDescent="0.3">
      <c r="A3" s="349"/>
      <c r="B3" s="2318"/>
      <c r="C3" s="2319"/>
      <c r="D3" s="2320"/>
      <c r="E3" s="1936" t="str">
        <f>Translations!$B$5</f>
        <v>Högst upp</v>
      </c>
      <c r="F3" s="2324"/>
      <c r="G3" s="2553" t="str">
        <f>Translations!$B$332</f>
        <v>Tillskrivning av bränslen</v>
      </c>
      <c r="H3" s="2552"/>
      <c r="I3" s="2552" t="str">
        <f>Translations!$B$195</f>
        <v>Mätbar värme</v>
      </c>
      <c r="J3" s="2552"/>
      <c r="K3" s="2552" t="str">
        <f>Translations!$B$333</f>
        <v>Värme (slutresultat)</v>
      </c>
      <c r="L3" s="2552"/>
      <c r="M3" s="2552" t="str">
        <f>Translations!$B$334</f>
        <v>Restgaser</v>
      </c>
      <c r="N3" s="2552"/>
      <c r="O3" s="6"/>
      <c r="P3" s="2281"/>
      <c r="Q3" s="410"/>
      <c r="R3" s="349"/>
      <c r="S3" s="349"/>
      <c r="T3" s="349"/>
      <c r="U3" s="349"/>
      <c r="V3" s="349"/>
      <c r="W3" s="349"/>
      <c r="X3" s="349"/>
      <c r="Y3" s="349"/>
      <c r="Z3" s="349"/>
      <c r="AA3" s="349"/>
      <c r="AB3" s="349"/>
      <c r="AC3" s="349"/>
      <c r="AD3" s="349"/>
      <c r="AE3" s="349"/>
    </row>
    <row r="4" spans="1:31" ht="13.5" customHeight="1" thickBot="1" x14ac:dyDescent="0.3">
      <c r="A4" s="349"/>
      <c r="B4" s="2321"/>
      <c r="C4" s="2322"/>
      <c r="D4" s="2323"/>
      <c r="E4" s="1936" t="str">
        <f>Translations!$B$6</f>
        <v>Längst ner</v>
      </c>
      <c r="F4" s="1936"/>
      <c r="G4" s="2327" t="str">
        <f>Translations!$B$335</f>
        <v>Elektricitet</v>
      </c>
      <c r="H4" s="2328"/>
      <c r="I4" s="2328"/>
      <c r="J4" s="2328"/>
      <c r="K4" s="2328"/>
      <c r="L4" s="2328"/>
      <c r="M4" s="2554"/>
      <c r="N4" s="2554"/>
      <c r="O4" s="6"/>
      <c r="P4" s="2282"/>
      <c r="Q4" s="410"/>
      <c r="R4" s="349"/>
      <c r="S4" s="349"/>
      <c r="T4" s="349"/>
      <c r="U4" s="349"/>
      <c r="V4" s="349"/>
      <c r="W4" s="349"/>
      <c r="X4" s="349"/>
      <c r="Y4" s="349"/>
      <c r="Z4" s="349"/>
      <c r="AA4" s="349"/>
      <c r="AB4" s="349"/>
      <c r="AC4" s="349"/>
      <c r="AD4" s="349"/>
      <c r="AE4" s="349"/>
    </row>
    <row r="5" spans="1:31" x14ac:dyDescent="0.25">
      <c r="A5" s="349"/>
      <c r="B5" s="3"/>
      <c r="C5" s="4"/>
      <c r="D5" s="3"/>
      <c r="E5" s="3"/>
      <c r="F5" s="5"/>
      <c r="G5" s="5"/>
      <c r="H5" s="5"/>
      <c r="I5" s="3"/>
      <c r="J5" s="3"/>
      <c r="K5" s="3"/>
      <c r="L5" s="3"/>
      <c r="M5" s="6"/>
      <c r="N5" s="6"/>
      <c r="O5" s="6"/>
      <c r="P5" s="15"/>
      <c r="Q5" s="410"/>
      <c r="R5" s="349"/>
      <c r="S5" s="349"/>
      <c r="T5" s="349"/>
      <c r="U5" s="349"/>
      <c r="V5" s="349"/>
      <c r="W5" s="349"/>
      <c r="X5" s="349"/>
      <c r="Y5" s="349"/>
      <c r="Z5" s="349"/>
      <c r="AA5" s="349"/>
      <c r="AB5" s="349"/>
      <c r="AC5" s="349"/>
      <c r="AD5" s="349"/>
      <c r="AE5" s="349"/>
    </row>
    <row r="6" spans="1:31" ht="23.25" customHeight="1" x14ac:dyDescent="0.25">
      <c r="A6" s="349"/>
      <c r="B6" s="3"/>
      <c r="C6" s="8" t="s">
        <v>741</v>
      </c>
      <c r="D6" s="2004" t="str">
        <f>Translations!$B$336</f>
        <v>Bladet ”EnergyFlows” – UPPGIFTER OM ENERGITILLFÖRSEL, MÄTBAR VÄRME OCH EL</v>
      </c>
      <c r="E6" s="1963"/>
      <c r="F6" s="1963"/>
      <c r="G6" s="1963"/>
      <c r="H6" s="1963"/>
      <c r="I6" s="1963"/>
      <c r="J6" s="1963"/>
      <c r="K6" s="1963"/>
      <c r="L6" s="1963"/>
      <c r="M6" s="1963"/>
      <c r="N6" s="1963"/>
      <c r="O6" s="6"/>
      <c r="P6" s="15"/>
      <c r="Q6" s="487" t="s">
        <v>254</v>
      </c>
      <c r="R6" s="487" t="s">
        <v>254</v>
      </c>
      <c r="S6" s="487" t="s">
        <v>254</v>
      </c>
      <c r="T6" s="487" t="s">
        <v>254</v>
      </c>
      <c r="U6" s="487" t="s">
        <v>254</v>
      </c>
      <c r="V6" s="487" t="s">
        <v>254</v>
      </c>
      <c r="W6" s="487" t="s">
        <v>254</v>
      </c>
      <c r="X6" s="487" t="s">
        <v>254</v>
      </c>
      <c r="Y6" s="487" t="s">
        <v>254</v>
      </c>
      <c r="Z6" s="487" t="s">
        <v>254</v>
      </c>
      <c r="AA6" s="487" t="s">
        <v>254</v>
      </c>
      <c r="AB6" s="487" t="s">
        <v>254</v>
      </c>
      <c r="AC6" s="487" t="s">
        <v>254</v>
      </c>
      <c r="AD6" s="487" t="s">
        <v>254</v>
      </c>
      <c r="AE6" s="487" t="s">
        <v>254</v>
      </c>
    </row>
    <row r="7" spans="1:31" x14ac:dyDescent="0.25">
      <c r="A7" s="349"/>
      <c r="B7" s="3"/>
      <c r="C7" s="3"/>
      <c r="D7" s="3"/>
      <c r="E7" s="3"/>
      <c r="F7" s="3"/>
      <c r="G7" s="3"/>
      <c r="H7" s="3"/>
      <c r="I7" s="3"/>
      <c r="J7" s="3"/>
      <c r="K7" s="3"/>
      <c r="L7" s="3"/>
      <c r="M7" s="6"/>
      <c r="N7" s="6"/>
      <c r="O7" s="6"/>
      <c r="P7" s="15"/>
      <c r="Q7" s="488" t="s">
        <v>785</v>
      </c>
      <c r="R7" s="488" t="s">
        <v>785</v>
      </c>
      <c r="S7" s="488" t="s">
        <v>785</v>
      </c>
      <c r="T7" s="488" t="s">
        <v>785</v>
      </c>
      <c r="U7" s="488" t="s">
        <v>785</v>
      </c>
      <c r="V7" s="488" t="s">
        <v>785</v>
      </c>
      <c r="W7" s="488" t="s">
        <v>785</v>
      </c>
      <c r="X7" s="488" t="s">
        <v>785</v>
      </c>
      <c r="Y7" s="488" t="s">
        <v>785</v>
      </c>
      <c r="Z7" s="488" t="s">
        <v>785</v>
      </c>
      <c r="AA7" s="488" t="s">
        <v>785</v>
      </c>
      <c r="AB7" s="488" t="s">
        <v>785</v>
      </c>
      <c r="AC7" s="488" t="s">
        <v>785</v>
      </c>
      <c r="AD7" s="488" t="s">
        <v>785</v>
      </c>
      <c r="AE7" s="488" t="s">
        <v>785</v>
      </c>
    </row>
    <row r="8" spans="1:31" ht="15.5" x14ac:dyDescent="0.35">
      <c r="A8" s="349"/>
      <c r="B8" s="3"/>
      <c r="C8" s="11" t="s">
        <v>1108</v>
      </c>
      <c r="D8" s="1975" t="str">
        <f>Translations!$B$337</f>
        <v>Energitillförsel från bränslen</v>
      </c>
      <c r="E8" s="1975"/>
      <c r="F8" s="1975"/>
      <c r="G8" s="1975"/>
      <c r="H8" s="1975"/>
      <c r="I8" s="1975"/>
      <c r="J8" s="1975"/>
      <c r="K8" s="1975"/>
      <c r="L8" s="1975"/>
      <c r="M8" s="1975"/>
      <c r="N8" s="1975"/>
      <c r="O8" s="6"/>
      <c r="P8" s="15"/>
      <c r="Q8" s="410"/>
      <c r="R8" s="349"/>
      <c r="S8" s="349"/>
      <c r="T8" s="349"/>
      <c r="U8" s="349"/>
      <c r="V8" s="349"/>
      <c r="W8" s="349"/>
      <c r="X8" s="349"/>
      <c r="Y8" s="349"/>
      <c r="Z8" s="349"/>
      <c r="AA8" s="349"/>
      <c r="AB8" s="349"/>
      <c r="AC8" s="349"/>
      <c r="AD8" s="349"/>
      <c r="AE8" s="349"/>
    </row>
    <row r="9" spans="1:31" ht="5.15" customHeight="1" x14ac:dyDescent="0.25">
      <c r="A9" s="349"/>
      <c r="B9" s="3"/>
      <c r="C9" s="3"/>
      <c r="D9" s="3"/>
      <c r="E9" s="3"/>
      <c r="F9" s="3"/>
      <c r="G9" s="3"/>
      <c r="H9" s="3"/>
      <c r="I9" s="3"/>
      <c r="J9" s="3"/>
      <c r="K9" s="3"/>
      <c r="L9" s="3"/>
      <c r="M9" s="6"/>
      <c r="N9" s="6"/>
      <c r="O9" s="6"/>
      <c r="P9" s="15"/>
      <c r="Q9" s="410"/>
      <c r="R9" s="349"/>
      <c r="S9" s="349"/>
      <c r="T9" s="349"/>
      <c r="U9" s="349"/>
      <c r="V9" s="349"/>
      <c r="W9" s="349"/>
      <c r="X9" s="349"/>
      <c r="Y9" s="349"/>
      <c r="Z9" s="349"/>
      <c r="AA9" s="349"/>
      <c r="AB9" s="349"/>
      <c r="AC9" s="349"/>
      <c r="AD9" s="349"/>
      <c r="AE9" s="349"/>
    </row>
    <row r="10" spans="1:31" ht="14" x14ac:dyDescent="0.3">
      <c r="A10" s="349"/>
      <c r="B10" s="3"/>
      <c r="C10" s="17">
        <v>1</v>
      </c>
      <c r="D10" s="2053" t="str">
        <f>Translations!$B$338</f>
        <v>Översikt och indelning i användningskategorier</v>
      </c>
      <c r="E10" s="1963"/>
      <c r="F10" s="1963"/>
      <c r="G10" s="1963"/>
      <c r="H10" s="1963"/>
      <c r="I10" s="1963"/>
      <c r="J10" s="1963"/>
      <c r="K10" s="1963"/>
      <c r="L10" s="1963"/>
      <c r="M10" s="1963"/>
      <c r="N10" s="1963"/>
      <c r="O10" s="6"/>
      <c r="P10" s="15"/>
      <c r="Q10" s="410"/>
      <c r="R10" s="349"/>
      <c r="S10" s="349"/>
      <c r="T10" s="349"/>
      <c r="U10" s="349"/>
      <c r="V10" s="349"/>
      <c r="W10" s="349"/>
      <c r="X10" s="349"/>
      <c r="Y10" s="349"/>
      <c r="Z10" s="349"/>
      <c r="AA10" s="349"/>
      <c r="AB10" s="349"/>
      <c r="AC10" s="349"/>
      <c r="AD10" s="349"/>
      <c r="AE10" s="349"/>
    </row>
    <row r="11" spans="1:31" ht="5.15" customHeight="1" x14ac:dyDescent="0.25">
      <c r="A11" s="349"/>
      <c r="B11" s="3"/>
      <c r="C11" s="3"/>
      <c r="D11" s="3"/>
      <c r="E11" s="3"/>
      <c r="F11" s="3"/>
      <c r="G11" s="3"/>
      <c r="H11" s="3"/>
      <c r="I11" s="3"/>
      <c r="J11" s="3"/>
      <c r="K11" s="3"/>
      <c r="L11" s="3"/>
      <c r="M11" s="3"/>
      <c r="N11" s="3"/>
      <c r="O11" s="6"/>
      <c r="P11" s="15"/>
      <c r="Q11" s="410"/>
      <c r="R11" s="349"/>
      <c r="S11" s="349"/>
      <c r="T11" s="349"/>
      <c r="U11" s="349"/>
      <c r="V11" s="349"/>
      <c r="W11" s="349"/>
      <c r="X11" s="349"/>
      <c r="Y11" s="349"/>
      <c r="Z11" s="349"/>
      <c r="AA11" s="349"/>
      <c r="AB11" s="349"/>
      <c r="AC11" s="349"/>
      <c r="AD11" s="349"/>
      <c r="AE11" s="349"/>
    </row>
    <row r="12" spans="1:31" ht="5.15" customHeight="1" x14ac:dyDescent="0.25">
      <c r="A12" s="349"/>
      <c r="B12" s="3"/>
      <c r="C12" s="3"/>
      <c r="D12" s="3"/>
      <c r="E12" s="3"/>
      <c r="F12" s="3"/>
      <c r="G12" s="3"/>
      <c r="H12" s="3"/>
      <c r="I12" s="3"/>
      <c r="J12" s="3"/>
      <c r="K12" s="3"/>
      <c r="L12" s="3"/>
      <c r="M12" s="3"/>
      <c r="N12" s="3"/>
      <c r="O12" s="6"/>
      <c r="P12" s="15"/>
      <c r="Q12" s="410"/>
      <c r="R12" s="349"/>
      <c r="S12" s="349"/>
      <c r="T12" s="349"/>
      <c r="U12" s="349"/>
      <c r="V12" s="349"/>
      <c r="W12" s="349"/>
      <c r="X12" s="349"/>
      <c r="Y12" s="349"/>
      <c r="Z12" s="349"/>
      <c r="AA12" s="349"/>
      <c r="AB12" s="349"/>
      <c r="AC12" s="349"/>
      <c r="AD12" s="349"/>
      <c r="AE12" s="349"/>
    </row>
    <row r="13" spans="1:31" ht="13" x14ac:dyDescent="0.25">
      <c r="A13" s="349"/>
      <c r="B13" s="3"/>
      <c r="C13" s="3"/>
      <c r="D13" s="13" t="s">
        <v>442</v>
      </c>
      <c r="E13" s="1943" t="str">
        <f>Translations!$B$339</f>
        <v>Energitillförsel från bränslen, totalt för anläggningen (utifrån blad ”D_Emissions”, avsnitt I):</v>
      </c>
      <c r="F13" s="1963"/>
      <c r="G13" s="1963"/>
      <c r="H13" s="1963"/>
      <c r="I13" s="1963"/>
      <c r="J13" s="1963"/>
      <c r="K13" s="1963"/>
      <c r="L13" s="1963"/>
      <c r="M13" s="1963"/>
      <c r="N13" s="1963"/>
      <c r="O13" s="6"/>
      <c r="P13" s="15"/>
      <c r="Q13" s="410"/>
      <c r="R13" s="349"/>
      <c r="S13" s="349"/>
      <c r="T13" s="349"/>
      <c r="U13" s="349"/>
      <c r="V13" s="349"/>
      <c r="W13" s="349"/>
      <c r="X13" s="349"/>
      <c r="Y13" s="349"/>
      <c r="Z13" s="349"/>
      <c r="AA13" s="349"/>
      <c r="AB13" s="349"/>
      <c r="AC13" s="349"/>
      <c r="AD13" s="349"/>
      <c r="AE13" s="349"/>
    </row>
    <row r="14" spans="1:31" ht="5.15" customHeight="1" x14ac:dyDescent="0.25">
      <c r="A14" s="349"/>
      <c r="B14" s="3"/>
      <c r="C14" s="3"/>
      <c r="D14" s="3"/>
      <c r="E14" s="3"/>
      <c r="F14" s="3"/>
      <c r="G14" s="3"/>
      <c r="H14" s="3"/>
      <c r="I14" s="3"/>
      <c r="J14" s="3"/>
      <c r="K14" s="3"/>
      <c r="L14" s="3"/>
      <c r="M14" s="3"/>
      <c r="N14" s="3"/>
      <c r="O14" s="6"/>
      <c r="P14" s="15"/>
      <c r="Q14" s="410"/>
      <c r="R14" s="349"/>
      <c r="S14" s="349"/>
      <c r="T14" s="349"/>
      <c r="U14" s="349"/>
      <c r="V14" s="349"/>
      <c r="W14" s="349"/>
      <c r="X14" s="349"/>
      <c r="Y14" s="349"/>
      <c r="Z14" s="349"/>
      <c r="AA14" s="349"/>
      <c r="AB14" s="349"/>
      <c r="AC14" s="349"/>
      <c r="AD14" s="349"/>
      <c r="AE14" s="349"/>
    </row>
    <row r="15" spans="1:31" ht="13" x14ac:dyDescent="0.25">
      <c r="A15" s="349"/>
      <c r="B15" s="19"/>
      <c r="C15" s="19"/>
      <c r="D15" s="19"/>
      <c r="E15" s="24"/>
      <c r="F15" s="21"/>
      <c r="G15" s="30" t="str">
        <f>EUconst_Unit</f>
        <v>Enhet</v>
      </c>
      <c r="H15" s="320">
        <f t="shared" ref="H15:N15" si="0">H$393</f>
        <v>2019</v>
      </c>
      <c r="I15" s="320">
        <f t="shared" si="0"/>
        <v>2020</v>
      </c>
      <c r="J15" s="320">
        <f t="shared" si="0"/>
        <v>2021</v>
      </c>
      <c r="K15" s="320">
        <f t="shared" si="0"/>
        <v>2022</v>
      </c>
      <c r="L15" s="320">
        <f t="shared" si="0"/>
        <v>2023</v>
      </c>
      <c r="M15" s="320">
        <f t="shared" si="0"/>
        <v>2024</v>
      </c>
      <c r="N15" s="320">
        <f t="shared" si="0"/>
        <v>2025</v>
      </c>
      <c r="O15" s="6"/>
      <c r="P15" s="15"/>
      <c r="Q15" s="349"/>
      <c r="R15" s="349"/>
      <c r="S15" s="349"/>
      <c r="T15" s="349"/>
      <c r="U15" s="1493" t="s">
        <v>2014</v>
      </c>
      <c r="V15" s="1701">
        <f>H15</f>
        <v>2019</v>
      </c>
      <c r="W15" s="1701">
        <f t="shared" ref="W15:AB15" si="1">I15</f>
        <v>2020</v>
      </c>
      <c r="X15" s="1701">
        <f t="shared" si="1"/>
        <v>2021</v>
      </c>
      <c r="Y15" s="1701">
        <f t="shared" si="1"/>
        <v>2022</v>
      </c>
      <c r="Z15" s="1701">
        <f t="shared" si="1"/>
        <v>2023</v>
      </c>
      <c r="AA15" s="1701">
        <f t="shared" si="1"/>
        <v>2024</v>
      </c>
      <c r="AB15" s="1701">
        <f t="shared" si="1"/>
        <v>2025</v>
      </c>
      <c r="AC15" s="349"/>
      <c r="AD15" s="349"/>
      <c r="AE15" s="349"/>
    </row>
    <row r="16" spans="1:31" ht="12.65" customHeight="1" x14ac:dyDescent="0.25">
      <c r="A16" s="349"/>
      <c r="B16" s="19"/>
      <c r="C16" s="19"/>
      <c r="D16" s="19"/>
      <c r="E16" s="2544" t="str">
        <f>Translations!$B$231</f>
        <v>Total energitillförsel från bränslen</v>
      </c>
      <c r="F16" s="2545"/>
      <c r="G16" s="43" t="str">
        <f>EUconst_TJpa</f>
        <v>TJ / år</v>
      </c>
      <c r="H16" s="258" t="str">
        <f>IF(ISNUMBER(D_Emissions!S$28),D_Emissions!S$28,"")</f>
        <v/>
      </c>
      <c r="I16" s="258" t="str">
        <f>IF(ISNUMBER(D_Emissions!T$28),D_Emissions!T$28,"")</f>
        <v/>
      </c>
      <c r="J16" s="258" t="str">
        <f>IF(ISNUMBER(D_Emissions!U$28),D_Emissions!U$28,"")</f>
        <v/>
      </c>
      <c r="K16" s="258" t="str">
        <f>IF(ISNUMBER(D_Emissions!V$28),D_Emissions!V$28,"")</f>
        <v/>
      </c>
      <c r="L16" s="258" t="str">
        <f>IF(ISNUMBER(D_Emissions!W$28),D_Emissions!W$28,"")</f>
        <v/>
      </c>
      <c r="M16" s="258" t="str">
        <f>IF(ISNUMBER(D_Emissions!X$28),D_Emissions!X$28,"")</f>
        <v/>
      </c>
      <c r="N16" s="258" t="str">
        <f>IF(ISNUMBER(D_Emissions!Y$28),D_Emissions!Y$28,"")</f>
        <v/>
      </c>
      <c r="O16" s="6"/>
      <c r="P16" s="15"/>
      <c r="Q16" s="349"/>
      <c r="R16" s="349"/>
      <c r="S16" s="349"/>
      <c r="T16" s="349"/>
      <c r="U16" s="349"/>
      <c r="V16" s="1699" t="b">
        <f t="shared" ref="V16:AB16" si="2">IF(CNTR_HasEntries_A_I,OR(V15&gt;=CNTR_ReportingYear,COUNTIF(CNTR_SubInstStartDate,"&lt;="&amp;DATE(V15,12,31))=0),FALSE)</f>
        <v>0</v>
      </c>
      <c r="W16" s="1700" t="b">
        <f t="shared" si="2"/>
        <v>0</v>
      </c>
      <c r="X16" s="1700" t="b">
        <f t="shared" si="2"/>
        <v>0</v>
      </c>
      <c r="Y16" s="1700" t="b">
        <f t="shared" si="2"/>
        <v>0</v>
      </c>
      <c r="Z16" s="1700" t="b">
        <f t="shared" si="2"/>
        <v>0</v>
      </c>
      <c r="AA16" s="1700" t="b">
        <f t="shared" si="2"/>
        <v>0</v>
      </c>
      <c r="AB16" s="1700" t="b">
        <f t="shared" si="2"/>
        <v>0</v>
      </c>
      <c r="AC16" s="349"/>
      <c r="AD16" s="349"/>
      <c r="AE16" s="349"/>
    </row>
    <row r="17" spans="1:31" s="534" customFormat="1" ht="5.15" customHeight="1" thickBot="1" x14ac:dyDescent="0.3">
      <c r="A17" s="936"/>
      <c r="B17" s="3"/>
      <c r="C17" s="3"/>
      <c r="D17" s="3"/>
      <c r="E17" s="3"/>
      <c r="F17" s="3"/>
      <c r="G17" s="3"/>
      <c r="H17" s="3"/>
      <c r="I17" s="3"/>
      <c r="J17" s="3"/>
      <c r="K17" s="3"/>
      <c r="L17" s="3"/>
      <c r="M17" s="3"/>
      <c r="N17" s="3"/>
      <c r="O17" s="6"/>
      <c r="P17" s="15"/>
      <c r="Q17" s="410"/>
      <c r="R17" s="936"/>
      <c r="S17" s="936"/>
      <c r="T17" s="936"/>
      <c r="U17" s="936"/>
      <c r="V17" s="936"/>
      <c r="W17" s="936"/>
      <c r="X17" s="936"/>
      <c r="Y17" s="936"/>
      <c r="Z17" s="936"/>
      <c r="AA17" s="936"/>
      <c r="AB17" s="936"/>
      <c r="AC17" s="936"/>
      <c r="AD17" s="936"/>
      <c r="AE17" s="936"/>
    </row>
    <row r="18" spans="1:31" s="534" customFormat="1" ht="13.5" thickBot="1" x14ac:dyDescent="0.35">
      <c r="A18" s="936"/>
      <c r="B18" s="3"/>
      <c r="C18" s="3"/>
      <c r="D18" s="13" t="s">
        <v>955</v>
      </c>
      <c r="E18" s="1943" t="str">
        <f>Translations!$B$340</f>
        <v>Inmatningsmetod:</v>
      </c>
      <c r="F18" s="1943"/>
      <c r="G18" s="1943"/>
      <c r="H18" s="2067"/>
      <c r="I18" s="2525"/>
      <c r="J18" s="2526"/>
      <c r="K18" s="166" t="str">
        <f>IF(AND(ISBLANK(I18),COUNT(J35:N38)&gt;0),EUconst_Incomplete,"")</f>
        <v/>
      </c>
      <c r="L18" s="3"/>
      <c r="M18" s="3"/>
      <c r="N18" s="3"/>
      <c r="O18" s="6"/>
      <c r="P18" s="15"/>
      <c r="Q18" s="504" t="str">
        <f>IF(ISBLANK($I$18),EUconst_NA,MATCH($I$18,EUconst_AbsRel,0))</f>
        <v>Ej tillämpligt</v>
      </c>
      <c r="R18" s="936"/>
      <c r="S18" s="936"/>
      <c r="T18" s="936"/>
      <c r="U18" s="936"/>
      <c r="V18" s="936"/>
      <c r="W18" s="936"/>
      <c r="X18" s="936"/>
      <c r="Y18" s="936"/>
      <c r="Z18" s="936"/>
      <c r="AA18" s="936"/>
      <c r="AB18" s="936"/>
      <c r="AC18" s="936"/>
      <c r="AD18" s="936"/>
      <c r="AE18" s="936"/>
    </row>
    <row r="19" spans="1:31" s="534" customFormat="1" x14ac:dyDescent="0.25">
      <c r="A19" s="936"/>
      <c r="B19" s="3"/>
      <c r="C19" s="3"/>
      <c r="D19" s="15"/>
      <c r="E19" s="2061" t="str">
        <f>Translations!$B$341</f>
        <v>Ni kan välja metod för att ange värdena i tabellen nedan i punkt c. Tillgängliga alternativ är ”Absoluta värden” (ange TJ/år) eller ”Procentvärden”.</v>
      </c>
      <c r="F19" s="1963"/>
      <c r="G19" s="1963"/>
      <c r="H19" s="1963"/>
      <c r="I19" s="1963"/>
      <c r="J19" s="1963"/>
      <c r="K19" s="1963"/>
      <c r="L19" s="1963"/>
      <c r="M19" s="1963"/>
      <c r="N19" s="1963"/>
      <c r="O19" s="6"/>
      <c r="P19" s="15"/>
      <c r="Q19" s="410" t="s">
        <v>1480</v>
      </c>
      <c r="R19" s="936"/>
      <c r="S19" s="936"/>
      <c r="T19" s="936"/>
      <c r="U19" s="936"/>
      <c r="V19" s="936"/>
      <c r="W19" s="936"/>
      <c r="X19" s="936"/>
      <c r="Y19" s="936"/>
      <c r="Z19" s="936"/>
      <c r="AA19" s="936"/>
      <c r="AB19" s="936"/>
      <c r="AC19" s="936"/>
      <c r="AD19" s="936"/>
      <c r="AE19" s="936"/>
    </row>
    <row r="20" spans="1:31" s="534" customFormat="1" x14ac:dyDescent="0.25">
      <c r="A20" s="936"/>
      <c r="B20" s="3"/>
      <c r="C20" s="3"/>
      <c r="D20" s="15"/>
      <c r="E20" s="2061" t="str">
        <f>Translations!$B$342</f>
        <v>Procentvärden är att föredra för snabbinmatning i enkla fall, där oftast ”100 %” eller noll ska anges.</v>
      </c>
      <c r="F20" s="1963"/>
      <c r="G20" s="1963"/>
      <c r="H20" s="1963"/>
      <c r="I20" s="1963"/>
      <c r="J20" s="1963"/>
      <c r="K20" s="1963"/>
      <c r="L20" s="1963"/>
      <c r="M20" s="1963"/>
      <c r="N20" s="1963"/>
      <c r="O20" s="6"/>
      <c r="P20" s="15"/>
      <c r="Q20" s="410"/>
      <c r="R20" s="936"/>
      <c r="S20" s="936"/>
      <c r="T20" s="936"/>
      <c r="U20" s="936"/>
      <c r="V20" s="936"/>
      <c r="W20" s="936"/>
      <c r="X20" s="936"/>
      <c r="Y20" s="936"/>
      <c r="Z20" s="936"/>
      <c r="AA20" s="936"/>
      <c r="AB20" s="936"/>
      <c r="AC20" s="936"/>
      <c r="AD20" s="936"/>
      <c r="AE20" s="936"/>
    </row>
    <row r="21" spans="1:31" s="534" customFormat="1" ht="5.15" customHeight="1" x14ac:dyDescent="0.25">
      <c r="A21" s="936"/>
      <c r="B21" s="3"/>
      <c r="C21" s="3"/>
      <c r="D21" s="3"/>
      <c r="E21" s="3"/>
      <c r="F21" s="3"/>
      <c r="G21" s="3"/>
      <c r="H21" s="3"/>
      <c r="I21" s="3"/>
      <c r="J21" s="3"/>
      <c r="K21" s="3"/>
      <c r="L21" s="3"/>
      <c r="M21" s="3"/>
      <c r="N21" s="3"/>
      <c r="O21" s="6"/>
      <c r="P21" s="15"/>
      <c r="Q21" s="410"/>
      <c r="R21" s="936"/>
      <c r="S21" s="936"/>
      <c r="T21" s="936"/>
      <c r="U21" s="936"/>
      <c r="V21" s="936"/>
      <c r="W21" s="936"/>
      <c r="X21" s="936"/>
      <c r="Y21" s="936"/>
      <c r="Z21" s="936"/>
      <c r="AA21" s="936"/>
      <c r="AB21" s="936"/>
      <c r="AC21" s="936"/>
      <c r="AD21" s="936"/>
      <c r="AE21" s="936"/>
    </row>
    <row r="22" spans="1:31" s="534" customFormat="1" ht="13" x14ac:dyDescent="0.25">
      <c r="A22" s="936"/>
      <c r="B22" s="3"/>
      <c r="C22" s="3"/>
      <c r="D22" s="13" t="s">
        <v>55</v>
      </c>
      <c r="E22" s="2101" t="str">
        <f>Translations!$B$343</f>
        <v>Allokering av insatsbränsle för olika användningsområden</v>
      </c>
      <c r="F22" s="2102"/>
      <c r="G22" s="2102"/>
      <c r="H22" s="2102"/>
      <c r="I22" s="2102"/>
      <c r="J22" s="2102"/>
      <c r="K22" s="2102"/>
      <c r="L22" s="2102"/>
      <c r="M22" s="2102"/>
      <c r="N22" s="2102"/>
      <c r="O22" s="6"/>
      <c r="P22" s="15"/>
      <c r="Q22" s="410"/>
      <c r="R22" s="936"/>
      <c r="S22" s="936"/>
      <c r="T22" s="936"/>
      <c r="U22" s="936"/>
      <c r="V22" s="936"/>
      <c r="W22" s="936"/>
      <c r="X22" s="936"/>
      <c r="Y22" s="936"/>
      <c r="Z22" s="936"/>
      <c r="AA22" s="936"/>
      <c r="AB22" s="936"/>
      <c r="AC22" s="936"/>
      <c r="AD22" s="936"/>
      <c r="AE22" s="936"/>
    </row>
    <row r="23" spans="1:31" s="534" customFormat="1" x14ac:dyDescent="0.25">
      <c r="A23" s="936"/>
      <c r="B23" s="3"/>
      <c r="C23" s="3"/>
      <c r="D23" s="15"/>
      <c r="E23" s="2061" t="str">
        <f>Translations!$B$344</f>
        <v>Var god ange i tabellen nedan den mängd energi som förbrukas för varje användningstyp eller – beroende på tillförselmetod (b) – i procent av mängden (a).</v>
      </c>
      <c r="F23" s="1963"/>
      <c r="G23" s="1963"/>
      <c r="H23" s="1963"/>
      <c r="I23" s="1963"/>
      <c r="J23" s="1963"/>
      <c r="K23" s="1963"/>
      <c r="L23" s="1963"/>
      <c r="M23" s="1963"/>
      <c r="N23" s="1963"/>
      <c r="O23" s="6"/>
      <c r="P23" s="15"/>
      <c r="Q23" s="410"/>
      <c r="R23" s="936"/>
      <c r="S23" s="936"/>
      <c r="T23" s="936"/>
      <c r="U23" s="936"/>
      <c r="V23" s="936"/>
      <c r="W23" s="936"/>
      <c r="X23" s="936"/>
      <c r="Y23" s="936"/>
      <c r="Z23" s="936"/>
      <c r="AA23" s="936"/>
      <c r="AB23" s="936"/>
      <c r="AC23" s="936"/>
      <c r="AD23" s="936"/>
      <c r="AE23" s="936"/>
    </row>
    <row r="24" spans="1:31" s="534" customFormat="1" x14ac:dyDescent="0.25">
      <c r="A24" s="936"/>
      <c r="B24" s="3"/>
      <c r="C24" s="3"/>
      <c r="D24" s="15"/>
      <c r="E24" s="114" t="s">
        <v>1112</v>
      </c>
      <c r="F24" s="2075" t="str">
        <f>Translations!$B$345</f>
        <v>Insatsbränsle för produktriktmärke är summan av det direkta insatsbränslet och insatsbränslet för mätbar värme som förbrukas av delanläggningen.</v>
      </c>
      <c r="G24" s="2075"/>
      <c r="H24" s="2075"/>
      <c r="I24" s="2075"/>
      <c r="J24" s="2075"/>
      <c r="K24" s="2075"/>
      <c r="L24" s="2075"/>
      <c r="M24" s="2075"/>
      <c r="N24" s="2075"/>
      <c r="O24" s="6"/>
      <c r="P24" s="15"/>
      <c r="Q24" s="410"/>
      <c r="R24" s="936"/>
      <c r="S24" s="936"/>
      <c r="T24" s="936"/>
      <c r="U24" s="936"/>
      <c r="V24" s="936"/>
      <c r="W24" s="936"/>
      <c r="X24" s="936"/>
      <c r="Y24" s="936"/>
      <c r="Z24" s="936"/>
      <c r="AA24" s="936"/>
      <c r="AB24" s="936"/>
      <c r="AC24" s="936"/>
      <c r="AD24" s="936"/>
      <c r="AE24" s="936"/>
    </row>
    <row r="25" spans="1:31" s="534" customFormat="1" x14ac:dyDescent="0.25">
      <c r="A25" s="936"/>
      <c r="B25" s="3"/>
      <c r="C25" s="3"/>
      <c r="D25" s="15"/>
      <c r="E25" s="114" t="s">
        <v>1112</v>
      </c>
      <c r="F25" s="2075" t="str">
        <f>Translations!$B$346</f>
        <v>Insatsbränsle för produktion av mätbar värme som inte används för produktriktmärke eller elproduktion.</v>
      </c>
      <c r="G25" s="2075"/>
      <c r="H25" s="2075"/>
      <c r="I25" s="2075"/>
      <c r="J25" s="2075"/>
      <c r="K25" s="2075"/>
      <c r="L25" s="2075"/>
      <c r="M25" s="2075"/>
      <c r="N25" s="2075"/>
      <c r="O25" s="6"/>
      <c r="P25" s="15"/>
      <c r="Q25" s="410"/>
      <c r="R25" s="936"/>
      <c r="S25" s="936"/>
      <c r="T25" s="936"/>
      <c r="U25" s="936"/>
      <c r="V25" s="936"/>
      <c r="W25" s="936"/>
      <c r="X25" s="936"/>
      <c r="Y25" s="936"/>
      <c r="Z25" s="936"/>
      <c r="AA25" s="936"/>
      <c r="AB25" s="936"/>
      <c r="AC25" s="936"/>
      <c r="AD25" s="936"/>
      <c r="AE25" s="936"/>
    </row>
    <row r="26" spans="1:31" s="534" customFormat="1" x14ac:dyDescent="0.25">
      <c r="A26" s="936"/>
      <c r="B26" s="3"/>
      <c r="C26" s="3"/>
      <c r="D26" s="15"/>
      <c r="E26" s="114" t="s">
        <v>1112</v>
      </c>
      <c r="F26" s="2075" t="str">
        <f>Translations!$B$347</f>
        <v>Insatsbränsle för delanläggningar med bränsleriktmärke</v>
      </c>
      <c r="G26" s="2075"/>
      <c r="H26" s="2075"/>
      <c r="I26" s="2075"/>
      <c r="J26" s="2075"/>
      <c r="K26" s="2075"/>
      <c r="L26" s="2075"/>
      <c r="M26" s="2075"/>
      <c r="N26" s="2075"/>
      <c r="O26" s="6"/>
      <c r="P26" s="15"/>
      <c r="Q26" s="410"/>
      <c r="R26" s="936"/>
      <c r="S26" s="936"/>
      <c r="T26" s="936"/>
      <c r="U26" s="936"/>
      <c r="V26" s="936"/>
      <c r="W26" s="936"/>
      <c r="X26" s="936"/>
      <c r="Y26" s="936"/>
      <c r="Z26" s="936"/>
      <c r="AA26" s="936"/>
      <c r="AB26" s="936"/>
      <c r="AC26" s="936"/>
      <c r="AD26" s="936"/>
      <c r="AE26" s="936"/>
    </row>
    <row r="27" spans="1:31" s="534" customFormat="1" ht="25.5" customHeight="1" x14ac:dyDescent="0.25">
      <c r="A27" s="936"/>
      <c r="B27" s="3"/>
      <c r="C27" s="3"/>
      <c r="D27" s="15"/>
      <c r="E27" s="114"/>
      <c r="F27" s="2075" t="str">
        <f>Translations!$B$1454</f>
        <v>Om värme återvinns från delanläggningar med bränsleriktmärke måste den återvunna mängden mätbar värme delat med en virtuell effektivitet på 90 % dras av från insatsbränslet här och tillskrivas ”insatsbränsle för produktion av mätbar värme” ovan för att undvika dubbel bokföring.</v>
      </c>
      <c r="G27" s="2075"/>
      <c r="H27" s="2075"/>
      <c r="I27" s="2075"/>
      <c r="J27" s="2075"/>
      <c r="K27" s="2075"/>
      <c r="L27" s="2075"/>
      <c r="M27" s="2075"/>
      <c r="N27" s="2075"/>
      <c r="O27" s="6"/>
      <c r="P27" s="15"/>
      <c r="Q27" s="410"/>
      <c r="R27" s="936"/>
      <c r="S27" s="936"/>
      <c r="T27" s="936"/>
      <c r="U27" s="936"/>
      <c r="V27" s="936"/>
      <c r="W27" s="936"/>
      <c r="X27" s="936"/>
      <c r="Y27" s="936"/>
      <c r="Z27" s="936"/>
      <c r="AA27" s="936"/>
      <c r="AB27" s="936"/>
      <c r="AC27" s="936"/>
      <c r="AD27" s="936"/>
      <c r="AE27" s="936"/>
    </row>
    <row r="28" spans="1:31" s="534" customFormat="1" x14ac:dyDescent="0.25">
      <c r="A28" s="936"/>
      <c r="B28" s="3"/>
      <c r="C28" s="3"/>
      <c r="D28" s="15"/>
      <c r="E28" s="114" t="s">
        <v>1112</v>
      </c>
      <c r="F28" s="2075" t="str">
        <f>Translations!$B$348</f>
        <v>Insatsbränsle för elproduktion</v>
      </c>
      <c r="G28" s="2075"/>
      <c r="H28" s="2075"/>
      <c r="I28" s="2075"/>
      <c r="J28" s="2075"/>
      <c r="K28" s="2075"/>
      <c r="L28" s="2075"/>
      <c r="M28" s="2075"/>
      <c r="N28" s="2075"/>
      <c r="O28" s="6"/>
      <c r="P28" s="15"/>
      <c r="Q28" s="410"/>
      <c r="R28" s="936"/>
      <c r="S28" s="936"/>
      <c r="T28" s="936"/>
      <c r="U28" s="936"/>
      <c r="V28" s="936"/>
      <c r="W28" s="936"/>
      <c r="X28" s="936"/>
      <c r="Y28" s="936"/>
      <c r="Z28" s="936"/>
      <c r="AA28" s="936"/>
      <c r="AB28" s="936"/>
      <c r="AC28" s="936"/>
      <c r="AD28" s="936"/>
      <c r="AE28" s="936"/>
    </row>
    <row r="29" spans="1:31" ht="12.75" customHeight="1" x14ac:dyDescent="0.25">
      <c r="A29" s="349"/>
      <c r="B29" s="3"/>
      <c r="C29" s="3"/>
      <c r="D29" s="15"/>
      <c r="E29" s="2556" t="str">
        <f>Translations!$B$349</f>
        <v>Kraftvärmeverktyget i avsnitt D.III måste användas för att tillskriva insatsbränsle för kraftvärme till produktion av mätbar värme och el.</v>
      </c>
      <c r="F29" s="2556"/>
      <c r="G29" s="2556"/>
      <c r="H29" s="2556"/>
      <c r="I29" s="2556"/>
      <c r="J29" s="2556"/>
      <c r="K29" s="2556"/>
      <c r="L29" s="2556"/>
      <c r="M29" s="2556"/>
      <c r="N29" s="2556"/>
      <c r="O29" s="6"/>
      <c r="P29" s="15"/>
      <c r="Q29" s="410"/>
      <c r="R29" s="349"/>
      <c r="S29" s="349"/>
      <c r="T29" s="349"/>
      <c r="U29" s="349"/>
      <c r="V29" s="349"/>
      <c r="W29" s="349"/>
      <c r="X29" s="349"/>
      <c r="Y29" s="349"/>
      <c r="Z29" s="349"/>
      <c r="AA29" s="349"/>
      <c r="AB29" s="349"/>
      <c r="AC29" s="349"/>
      <c r="AD29" s="349"/>
      <c r="AE29" s="349"/>
    </row>
    <row r="30" spans="1:31" s="534" customFormat="1" ht="13" x14ac:dyDescent="0.25">
      <c r="A30" s="936"/>
      <c r="B30" s="3"/>
      <c r="C30" s="3"/>
      <c r="D30" s="15"/>
      <c r="E30" s="2070" t="str">
        <f>Translations!$B$350</f>
        <v xml:space="preserve">Man måste vara särskilt noga med att tillskriva energitillförsel till de båda delanläggningar som är relevanta i tilldelningssyfte: </v>
      </c>
      <c r="F30" s="2071"/>
      <c r="G30" s="2071"/>
      <c r="H30" s="2071"/>
      <c r="I30" s="2071"/>
      <c r="J30" s="2071"/>
      <c r="K30" s="2071"/>
      <c r="L30" s="2071"/>
      <c r="M30" s="2071"/>
      <c r="N30" s="2071"/>
      <c r="O30" s="6"/>
      <c r="P30" s="15"/>
      <c r="Q30" s="410"/>
      <c r="R30" s="936"/>
      <c r="S30" s="936"/>
      <c r="T30" s="936"/>
      <c r="U30" s="936"/>
      <c r="V30" s="936"/>
      <c r="W30" s="936"/>
      <c r="X30" s="936"/>
      <c r="Y30" s="936"/>
      <c r="Z30" s="936"/>
      <c r="AA30" s="936"/>
      <c r="AB30" s="936"/>
      <c r="AC30" s="936"/>
      <c r="AD30" s="936"/>
      <c r="AE30" s="936"/>
    </row>
    <row r="31" spans="1:31" s="534" customFormat="1" x14ac:dyDescent="0.25">
      <c r="A31" s="936"/>
      <c r="B31" s="3"/>
      <c r="C31" s="3"/>
      <c r="D31" s="15"/>
      <c r="E31" s="2061" t="str">
        <f>Translations!$B$351</f>
        <v>Delanläggning med bränsleriktmärke med status ”KL” (löper avsevärd risk för koldioxidläckage) och ”ej KL” (löper inte avsevärd risk för koldioxidläckage).</v>
      </c>
      <c r="F31" s="1963"/>
      <c r="G31" s="1963"/>
      <c r="H31" s="1963"/>
      <c r="I31" s="1963"/>
      <c r="J31" s="1963"/>
      <c r="K31" s="1963"/>
      <c r="L31" s="1963"/>
      <c r="M31" s="1963"/>
      <c r="N31" s="1963"/>
      <c r="O31" s="6"/>
      <c r="P31" s="15"/>
      <c r="Q31" s="410"/>
      <c r="R31" s="936"/>
      <c r="S31" s="936"/>
      <c r="T31" s="936"/>
      <c r="U31" s="936"/>
      <c r="V31" s="936"/>
      <c r="W31" s="936"/>
      <c r="X31" s="936"/>
      <c r="Y31" s="936"/>
      <c r="Z31" s="936"/>
      <c r="AA31" s="936"/>
      <c r="AB31" s="936"/>
      <c r="AC31" s="936"/>
      <c r="AD31" s="936"/>
      <c r="AE31" s="936"/>
    </row>
    <row r="32" spans="1:31" s="534" customFormat="1" x14ac:dyDescent="0.25">
      <c r="A32" s="936"/>
      <c r="B32" s="3"/>
      <c r="C32" s="3"/>
      <c r="D32" s="15"/>
      <c r="E32" s="2061" t="str">
        <f>Translations!$B$352</f>
        <v>Återstoden (100 % minus den totala tillförseln) visas på raden längst ner i kontrollsyfte. Detta avser den energitillförsel som inte berättigar till tilldelning.</v>
      </c>
      <c r="F32" s="1963"/>
      <c r="G32" s="1963"/>
      <c r="H32" s="1963"/>
      <c r="I32" s="1963"/>
      <c r="J32" s="1963"/>
      <c r="K32" s="1963"/>
      <c r="L32" s="1963"/>
      <c r="M32" s="1963"/>
      <c r="N32" s="1963"/>
      <c r="O32" s="6"/>
      <c r="P32" s="15"/>
      <c r="Q32" s="410"/>
      <c r="R32" s="936"/>
      <c r="S32" s="936"/>
      <c r="T32" s="936"/>
      <c r="U32" s="936"/>
      <c r="V32" s="936"/>
      <c r="W32" s="936"/>
      <c r="X32" s="936"/>
      <c r="Y32" s="936"/>
      <c r="Z32" s="936"/>
      <c r="AA32" s="936"/>
      <c r="AB32" s="936"/>
      <c r="AC32" s="936"/>
      <c r="AD32" s="936"/>
      <c r="AE32" s="936"/>
    </row>
    <row r="33" spans="1:31" s="534" customFormat="1" ht="5.15" customHeight="1" x14ac:dyDescent="0.25">
      <c r="A33" s="936"/>
      <c r="B33" s="3"/>
      <c r="C33" s="3"/>
      <c r="D33" s="3"/>
      <c r="E33" s="3"/>
      <c r="F33" s="3"/>
      <c r="G33" s="3"/>
      <c r="H33" s="3"/>
      <c r="I33" s="3"/>
      <c r="J33" s="3"/>
      <c r="K33" s="3"/>
      <c r="L33" s="3"/>
      <c r="M33" s="3"/>
      <c r="N33" s="3"/>
      <c r="O33" s="6"/>
      <c r="P33" s="15"/>
      <c r="Q33" s="410"/>
      <c r="R33" s="936"/>
      <c r="S33" s="936"/>
      <c r="T33" s="936"/>
      <c r="U33" s="936"/>
      <c r="V33" s="936"/>
      <c r="W33" s="936"/>
      <c r="X33" s="936"/>
      <c r="Y33" s="936"/>
      <c r="Z33" s="936"/>
      <c r="AA33" s="936"/>
      <c r="AB33" s="936"/>
      <c r="AC33" s="936"/>
      <c r="AD33" s="936"/>
      <c r="AE33" s="936"/>
    </row>
    <row r="34" spans="1:31" s="534" customFormat="1" ht="13.5" customHeight="1" thickBot="1" x14ac:dyDescent="0.3">
      <c r="A34" s="936"/>
      <c r="B34" s="15"/>
      <c r="C34" s="15"/>
      <c r="D34" s="15"/>
      <c r="E34" s="2528" t="str">
        <f>Translations!$B$353</f>
        <v>Användningstyper för insatsbränsle</v>
      </c>
      <c r="F34" s="2528"/>
      <c r="G34" s="13" t="str">
        <f>EUconst_Unit</f>
        <v>Enhet</v>
      </c>
      <c r="H34" s="320">
        <f t="shared" ref="H34:N34" si="3">H$393</f>
        <v>2019</v>
      </c>
      <c r="I34" s="320">
        <f t="shared" si="3"/>
        <v>2020</v>
      </c>
      <c r="J34" s="320">
        <f t="shared" si="3"/>
        <v>2021</v>
      </c>
      <c r="K34" s="320">
        <f t="shared" si="3"/>
        <v>2022</v>
      </c>
      <c r="L34" s="320">
        <f t="shared" si="3"/>
        <v>2023</v>
      </c>
      <c r="M34" s="320">
        <f t="shared" si="3"/>
        <v>2024</v>
      </c>
      <c r="N34" s="320">
        <f t="shared" si="3"/>
        <v>2025</v>
      </c>
      <c r="O34" s="6"/>
      <c r="P34" s="15"/>
      <c r="Q34" s="936"/>
      <c r="R34" s="936"/>
      <c r="S34" s="936"/>
      <c r="T34" s="936" t="s">
        <v>1213</v>
      </c>
      <c r="U34" s="936"/>
      <c r="V34" s="936"/>
      <c r="W34" s="936"/>
      <c r="X34" s="936"/>
      <c r="Y34" s="936"/>
      <c r="Z34" s="936"/>
      <c r="AA34" s="936"/>
      <c r="AB34" s="936"/>
      <c r="AC34" s="936"/>
      <c r="AD34" s="936"/>
      <c r="AE34" s="936"/>
    </row>
    <row r="35" spans="1:31" s="534" customFormat="1" ht="12.75" customHeight="1" x14ac:dyDescent="0.25">
      <c r="A35" s="936"/>
      <c r="B35" s="15"/>
      <c r="C35" s="15"/>
      <c r="D35" s="289" t="s">
        <v>8</v>
      </c>
      <c r="E35" s="2546" t="str">
        <f>Translations!$B$354</f>
        <v>Insatsbränsle för delanläggningar med produktriktmärke</v>
      </c>
      <c r="F35" s="2560"/>
      <c r="G35" s="563" t="str">
        <f t="shared" ref="G35:G40" si="4">IF(CTRL_InputMethodFuelDistribution=EUconst_NA,EUconst_relOrTJpa,IF(CTRL_InputMethodFuelDistribution=1,EUconst_TJpa,"%"))</f>
        <v>% eller TJ / år</v>
      </c>
      <c r="H35" s="564"/>
      <c r="I35" s="564"/>
      <c r="J35" s="564"/>
      <c r="K35" s="564"/>
      <c r="L35" s="564"/>
      <c r="M35" s="564"/>
      <c r="N35" s="564"/>
      <c r="O35" s="6"/>
      <c r="P35" s="1552"/>
      <c r="Q35" s="936"/>
      <c r="R35" s="936"/>
      <c r="S35" s="936"/>
      <c r="T35" s="587" t="b">
        <f>IF(CNTR_HasEntries_A_I,NOT(OR(CNTR_SubInstListIsProdBM)),FALSE)</f>
        <v>0</v>
      </c>
      <c r="U35" s="936"/>
      <c r="V35" s="936"/>
      <c r="W35" s="936"/>
      <c r="X35" s="936"/>
      <c r="Y35" s="936"/>
      <c r="Z35" s="936"/>
      <c r="AA35" s="936"/>
      <c r="AB35" s="936"/>
      <c r="AC35" s="936"/>
      <c r="AD35" s="1526" t="s">
        <v>2248</v>
      </c>
      <c r="AE35" s="394" t="str">
        <f>IF(AND(CNTR_HasEntries_A_I,T35=FALSE,COUNTIFS($V$16:$AB$16,FALSE,H35:N35,"")&gt;0),1,"")</f>
        <v/>
      </c>
    </row>
    <row r="36" spans="1:31" s="534" customFormat="1" ht="13" customHeight="1" thickBot="1" x14ac:dyDescent="0.3">
      <c r="A36" s="936"/>
      <c r="B36" s="15"/>
      <c r="C36" s="15"/>
      <c r="D36" s="289" t="s">
        <v>9</v>
      </c>
      <c r="E36" s="2561" t="str">
        <f>Translations!$B$355</f>
        <v>Insatsbränsle för produktion av mätbar värme</v>
      </c>
      <c r="F36" s="2562"/>
      <c r="G36" s="563" t="str">
        <f t="shared" si="4"/>
        <v>% eller TJ / år</v>
      </c>
      <c r="H36" s="564"/>
      <c r="I36" s="564"/>
      <c r="J36" s="564"/>
      <c r="K36" s="564"/>
      <c r="L36" s="564"/>
      <c r="M36" s="564"/>
      <c r="N36" s="564"/>
      <c r="O36" s="6"/>
      <c r="P36" s="1552"/>
      <c r="Q36" s="936"/>
      <c r="R36" s="936"/>
      <c r="S36" s="936"/>
      <c r="T36" s="579"/>
      <c r="U36" s="936"/>
      <c r="V36" s="936"/>
      <c r="W36" s="936"/>
      <c r="X36" s="936"/>
      <c r="Y36" s="936"/>
      <c r="Z36" s="936"/>
      <c r="AA36" s="936"/>
      <c r="AB36" s="936"/>
      <c r="AC36" s="936"/>
      <c r="AD36" s="1526" t="s">
        <v>2248</v>
      </c>
      <c r="AE36" s="394" t="str">
        <f>IF(AND(CNTR_HasEntries_A_I,COUNTIFS($V$16:$AB$16,FALSE,H36:N36,"")&gt;0),1,"")</f>
        <v/>
      </c>
    </row>
    <row r="37" spans="1:31" s="534" customFormat="1" ht="13" customHeight="1" x14ac:dyDescent="0.25">
      <c r="A37" s="936"/>
      <c r="B37" s="15"/>
      <c r="C37" s="15"/>
      <c r="D37" s="289" t="s">
        <v>10</v>
      </c>
      <c r="E37" s="2563" t="str">
        <f>INDEX(EUconst_FallBackListNames,R37)</f>
        <v>Delanläggning med bränsleriktmärke, KL</v>
      </c>
      <c r="F37" s="2564"/>
      <c r="G37" s="569" t="str">
        <f t="shared" si="4"/>
        <v>% eller TJ / år</v>
      </c>
      <c r="H37" s="570"/>
      <c r="I37" s="570"/>
      <c r="J37" s="570"/>
      <c r="K37" s="570"/>
      <c r="L37" s="570"/>
      <c r="M37" s="570"/>
      <c r="N37" s="571"/>
      <c r="O37" s="6"/>
      <c r="P37" s="1552"/>
      <c r="Q37" s="587" t="str">
        <f>IF(CTRL_InputMethodFuelDistribution=1,EUconst_CNTR_HAL&amp;E37,"")</f>
        <v/>
      </c>
      <c r="R37" s="702">
        <v>4</v>
      </c>
      <c r="S37" s="936"/>
      <c r="T37" s="587" t="b">
        <f>IF(INDEX(CNTR_FallBackSubInstRelevant,R37)="",FALSE,IF(INDEX(CNTR_FallBackSubInstRelevant,R37),FALSE,TRUE))</f>
        <v>0</v>
      </c>
      <c r="U37" s="936"/>
      <c r="V37" s="936"/>
      <c r="W37" s="936"/>
      <c r="X37" s="936"/>
      <c r="Y37" s="936"/>
      <c r="Z37" s="936"/>
      <c r="AA37" s="936"/>
      <c r="AB37" s="936"/>
      <c r="AC37" s="936"/>
      <c r="AD37" s="1526" t="s">
        <v>2248</v>
      </c>
      <c r="AE37" s="394" t="str">
        <f>IF(AND(CNTR_HasEntries_A_I,T37=FALSE,COUNTIFS($V$16:$AB$16,FALSE,H37:N37,"")&gt;0),1,"")</f>
        <v/>
      </c>
    </row>
    <row r="38" spans="1:31" s="534" customFormat="1" ht="13.5" customHeight="1" thickBot="1" x14ac:dyDescent="0.3">
      <c r="A38" s="936"/>
      <c r="B38" s="15"/>
      <c r="C38" s="15"/>
      <c r="D38" s="289" t="s">
        <v>23</v>
      </c>
      <c r="E38" s="2565" t="str">
        <f>INDEX(EUconst_FallBackListNames,R38)</f>
        <v>Delanläggning med bränsleriktmärke, ej KL</v>
      </c>
      <c r="F38" s="2566"/>
      <c r="G38" s="572" t="str">
        <f t="shared" si="4"/>
        <v>% eller TJ / år</v>
      </c>
      <c r="H38" s="573"/>
      <c r="I38" s="573"/>
      <c r="J38" s="573"/>
      <c r="K38" s="573"/>
      <c r="L38" s="573"/>
      <c r="M38" s="573"/>
      <c r="N38" s="574"/>
      <c r="O38" s="6"/>
      <c r="P38" s="1552"/>
      <c r="Q38" s="588" t="str">
        <f>IF(CTRL_InputMethodFuelDistribution=1,EUconst_CNTR_HAL&amp;E38,"")</f>
        <v/>
      </c>
      <c r="R38" s="703">
        <v>5</v>
      </c>
      <c r="S38" s="936"/>
      <c r="T38" s="588" t="b">
        <f>IF(INDEX(CNTR_FallBackSubInstRelevant,R38)="",FALSE,IF(INDEX(CNTR_FallBackSubInstRelevant,R38),FALSE,TRUE))</f>
        <v>0</v>
      </c>
      <c r="U38" s="936"/>
      <c r="V38" s="936"/>
      <c r="W38" s="936"/>
      <c r="X38" s="936"/>
      <c r="Y38" s="936"/>
      <c r="Z38" s="936"/>
      <c r="AA38" s="936"/>
      <c r="AB38" s="936"/>
      <c r="AC38" s="936"/>
      <c r="AD38" s="1526" t="s">
        <v>2248</v>
      </c>
      <c r="AE38" s="394" t="str">
        <f>IF(AND(CNTR_HasEntries_A_I,T38=FALSE,COUNTIFS($V$16:$AB$16,FALSE,H38:N38,"")&gt;0),1,"")</f>
        <v/>
      </c>
    </row>
    <row r="39" spans="1:31" s="534" customFormat="1" ht="12.65" customHeight="1" x14ac:dyDescent="0.25">
      <c r="A39" s="936"/>
      <c r="B39" s="15"/>
      <c r="C39" s="15"/>
      <c r="D39" s="289" t="s">
        <v>859</v>
      </c>
      <c r="E39" s="2567" t="str">
        <f>Translations!$B$348</f>
        <v>Insatsbränsle för elproduktion</v>
      </c>
      <c r="F39" s="2568"/>
      <c r="G39" s="704" t="str">
        <f t="shared" si="4"/>
        <v>% eller TJ / år</v>
      </c>
      <c r="H39" s="706"/>
      <c r="I39" s="706"/>
      <c r="J39" s="706"/>
      <c r="K39" s="706"/>
      <c r="L39" s="706"/>
      <c r="M39" s="706"/>
      <c r="N39" s="706"/>
      <c r="O39" s="6"/>
      <c r="P39" s="1552"/>
      <c r="Q39" s="579"/>
      <c r="R39" s="936"/>
      <c r="S39" s="936"/>
      <c r="T39" s="936"/>
      <c r="U39" s="936"/>
      <c r="V39" s="936"/>
      <c r="W39" s="936"/>
      <c r="X39" s="936"/>
      <c r="Y39" s="936"/>
      <c r="Z39" s="936"/>
      <c r="AA39" s="936"/>
      <c r="AB39" s="936"/>
      <c r="AC39" s="936"/>
      <c r="AD39" s="1526" t="s">
        <v>2248</v>
      </c>
      <c r="AE39" s="394" t="str">
        <f>IF(AND(CNTR_HasEntries_A_I,COUNTIFS($V$16:$AB$16,FALSE,H39:N39,"")&gt;0),1,"")</f>
        <v/>
      </c>
    </row>
    <row r="40" spans="1:31" s="534" customFormat="1" x14ac:dyDescent="0.25">
      <c r="A40" s="936"/>
      <c r="B40" s="15"/>
      <c r="C40" s="15"/>
      <c r="D40" s="289" t="s">
        <v>860</v>
      </c>
      <c r="E40" s="2546" t="str">
        <f>Translations!$B$356</f>
        <v>Övrigt</v>
      </c>
      <c r="F40" s="2545"/>
      <c r="G40" s="565" t="str">
        <f t="shared" si="4"/>
        <v>% eller TJ / år</v>
      </c>
      <c r="H40" s="575" t="str">
        <f t="shared" ref="H40:N40" si="5">IF(AND(COUNT(H35:H39,H16)&gt;0,ISNUMBER(CTRL_InputMethodFuelDistribution)),IF(CTRL_InputMethodFuelDistribution=1,H16-SUM(H35:H39),100-SUM(H35:H39)),"")</f>
        <v/>
      </c>
      <c r="I40" s="575" t="str">
        <f t="shared" si="5"/>
        <v/>
      </c>
      <c r="J40" s="575" t="str">
        <f t="shared" si="5"/>
        <v/>
      </c>
      <c r="K40" s="575" t="str">
        <f t="shared" si="5"/>
        <v/>
      </c>
      <c r="L40" s="575" t="str">
        <f t="shared" si="5"/>
        <v/>
      </c>
      <c r="M40" s="575" t="str">
        <f t="shared" si="5"/>
        <v/>
      </c>
      <c r="N40" s="575" t="str">
        <f t="shared" si="5"/>
        <v/>
      </c>
      <c r="O40" s="6"/>
      <c r="P40" s="15"/>
      <c r="Q40" s="579"/>
      <c r="R40" s="936"/>
      <c r="S40" s="936"/>
      <c r="T40" s="936"/>
      <c r="U40" s="936"/>
      <c r="V40" s="936"/>
      <c r="W40" s="936"/>
      <c r="X40" s="936"/>
      <c r="Y40" s="936"/>
      <c r="Z40" s="936"/>
      <c r="AA40" s="936"/>
      <c r="AB40" s="936"/>
      <c r="AC40" s="936"/>
      <c r="AD40" s="936"/>
      <c r="AE40" s="936"/>
    </row>
    <row r="41" spans="1:31" s="534" customFormat="1" x14ac:dyDescent="0.25">
      <c r="A41" s="936"/>
      <c r="B41" s="15"/>
      <c r="C41" s="15"/>
      <c r="D41" s="15"/>
      <c r="E41" s="15"/>
      <c r="F41" s="15"/>
      <c r="G41" s="15"/>
      <c r="H41" s="15"/>
      <c r="I41" s="15"/>
      <c r="J41" s="15"/>
      <c r="K41" s="15"/>
      <c r="L41" s="15"/>
      <c r="M41" s="15"/>
      <c r="N41" s="15"/>
      <c r="O41" s="6"/>
      <c r="P41" s="15"/>
      <c r="Q41" s="579"/>
      <c r="R41" s="936"/>
      <c r="S41" s="936"/>
      <c r="T41" s="936"/>
      <c r="U41" s="936"/>
      <c r="V41" s="936"/>
      <c r="W41" s="936"/>
      <c r="X41" s="936"/>
      <c r="Y41" s="936"/>
      <c r="Z41" s="936"/>
      <c r="AA41" s="936"/>
      <c r="AB41" s="936"/>
      <c r="AC41" s="936"/>
      <c r="AD41" s="936"/>
      <c r="AE41" s="936"/>
    </row>
    <row r="42" spans="1:31" s="534" customFormat="1" ht="12.65" customHeight="1" x14ac:dyDescent="0.25">
      <c r="A42" s="936"/>
      <c r="B42" s="3"/>
      <c r="C42" s="3"/>
      <c r="D42" s="15"/>
      <c r="E42" s="2533" t="str">
        <f>Translations!$B$357</f>
        <v>I kontrollsyfte visas allokeringen här i den enhet som ni inte har valt:</v>
      </c>
      <c r="F42" s="2531"/>
      <c r="G42" s="2531"/>
      <c r="H42" s="2531"/>
      <c r="I42" s="2531"/>
      <c r="J42" s="2531"/>
      <c r="K42" s="2531"/>
      <c r="L42" s="2531"/>
      <c r="M42" s="2531"/>
      <c r="N42" s="2531"/>
      <c r="O42" s="6"/>
      <c r="P42" s="15"/>
      <c r="Q42" s="580"/>
      <c r="R42" s="936"/>
      <c r="S42" s="936"/>
      <c r="T42" s="936"/>
      <c r="U42" s="936"/>
      <c r="V42" s="936"/>
      <c r="W42" s="936"/>
      <c r="X42" s="936"/>
      <c r="Y42" s="936"/>
      <c r="Z42" s="936"/>
      <c r="AA42" s="936"/>
      <c r="AB42" s="936"/>
      <c r="AC42" s="936"/>
      <c r="AD42" s="936"/>
      <c r="AE42" s="936"/>
    </row>
    <row r="43" spans="1:31" s="534" customFormat="1" ht="5.15" customHeight="1" x14ac:dyDescent="0.25">
      <c r="A43" s="936"/>
      <c r="B43" s="3"/>
      <c r="C43" s="3"/>
      <c r="D43" s="3"/>
      <c r="E43" s="3"/>
      <c r="F43" s="3"/>
      <c r="G43" s="3"/>
      <c r="H43" s="3"/>
      <c r="I43" s="3"/>
      <c r="J43" s="3"/>
      <c r="K43" s="3"/>
      <c r="L43" s="3"/>
      <c r="M43" s="3"/>
      <c r="N43" s="3"/>
      <c r="O43" s="6"/>
      <c r="P43" s="15"/>
      <c r="Q43" s="580"/>
      <c r="R43" s="936"/>
      <c r="S43" s="936"/>
      <c r="T43" s="936"/>
      <c r="U43" s="936"/>
      <c r="V43" s="936"/>
      <c r="W43" s="936"/>
      <c r="X43" s="936"/>
      <c r="Y43" s="936"/>
      <c r="Z43" s="936"/>
      <c r="AA43" s="936"/>
      <c r="AB43" s="936"/>
      <c r="AC43" s="936"/>
      <c r="AD43" s="936"/>
      <c r="AE43" s="936"/>
    </row>
    <row r="44" spans="1:31" s="534" customFormat="1" ht="13" customHeight="1" x14ac:dyDescent="0.25">
      <c r="A44" s="936"/>
      <c r="B44" s="15"/>
      <c r="C44" s="15"/>
      <c r="D44" s="15"/>
      <c r="E44" s="2528" t="str">
        <f t="shared" ref="E44:E50" si="6">E34</f>
        <v>Användningstyper för insatsbränsle</v>
      </c>
      <c r="F44" s="2529"/>
      <c r="G44" s="13" t="str">
        <f>EUconst_Unit</f>
        <v>Enhet</v>
      </c>
      <c r="H44" s="320">
        <f t="shared" ref="H44:N44" si="7">H$393</f>
        <v>2019</v>
      </c>
      <c r="I44" s="320">
        <f t="shared" si="7"/>
        <v>2020</v>
      </c>
      <c r="J44" s="320">
        <f t="shared" si="7"/>
        <v>2021</v>
      </c>
      <c r="K44" s="320">
        <f t="shared" si="7"/>
        <v>2022</v>
      </c>
      <c r="L44" s="320">
        <f t="shared" si="7"/>
        <v>2023</v>
      </c>
      <c r="M44" s="320">
        <f t="shared" si="7"/>
        <v>2024</v>
      </c>
      <c r="N44" s="320">
        <f t="shared" si="7"/>
        <v>2025</v>
      </c>
      <c r="O44" s="6"/>
      <c r="P44" s="15"/>
      <c r="Q44" s="579"/>
      <c r="R44" s="936"/>
      <c r="S44" s="936"/>
      <c r="T44" s="936"/>
      <c r="U44" s="936"/>
      <c r="V44" s="936"/>
      <c r="W44" s="936"/>
      <c r="X44" s="936"/>
      <c r="Y44" s="936"/>
      <c r="Z44" s="936"/>
      <c r="AA44" s="936"/>
      <c r="AB44" s="936"/>
      <c r="AC44" s="936"/>
      <c r="AD44" s="936"/>
      <c r="AE44" s="936"/>
    </row>
    <row r="45" spans="1:31" s="534" customFormat="1" ht="13.5" customHeight="1" x14ac:dyDescent="0.25">
      <c r="A45" s="936"/>
      <c r="B45" s="15"/>
      <c r="C45" s="15"/>
      <c r="D45" s="289" t="s">
        <v>861</v>
      </c>
      <c r="E45" s="2569" t="str">
        <f t="shared" si="6"/>
        <v>Insatsbränsle för delanläggningar med produktriktmärke</v>
      </c>
      <c r="F45" s="2545"/>
      <c r="G45" s="563" t="str">
        <f t="shared" ref="G45:G50" si="8">IF(CTRL_InputMethodFuelDistribution=EUconst_NA,EUconst_relOrTJpa,IF(CTRL_InputMethodFuelDistribution=2,EUconst_TJpa,"%"))</f>
        <v>% eller TJ / år</v>
      </c>
      <c r="H45" s="381" t="str">
        <f t="shared" ref="H45:N50" si="9">IF(AND(ISNUMBER(H$16),ISNUMBER(H35),CTRL_InputMethodFuelDistribution&lt;&gt;EUconst_NA),IF(CTRL_InputMethodFuelDistribution=1,H35/H$16*100,H35*H$16/100),"")</f>
        <v/>
      </c>
      <c r="I45" s="381" t="str">
        <f t="shared" si="9"/>
        <v/>
      </c>
      <c r="J45" s="381" t="str">
        <f t="shared" si="9"/>
        <v/>
      </c>
      <c r="K45" s="381" t="str">
        <f t="shared" si="9"/>
        <v/>
      </c>
      <c r="L45" s="381" t="str">
        <f t="shared" si="9"/>
        <v/>
      </c>
      <c r="M45" s="381" t="str">
        <f t="shared" si="9"/>
        <v/>
      </c>
      <c r="N45" s="381" t="str">
        <f t="shared" si="9"/>
        <v/>
      </c>
      <c r="O45" s="6"/>
      <c r="P45" s="15"/>
      <c r="Q45" s="579"/>
      <c r="R45" s="936"/>
      <c r="S45" s="936"/>
      <c r="T45" s="936"/>
      <c r="U45" s="936"/>
      <c r="V45" s="936"/>
      <c r="W45" s="936"/>
      <c r="X45" s="936"/>
      <c r="Y45" s="936"/>
      <c r="Z45" s="936"/>
      <c r="AA45" s="936"/>
      <c r="AB45" s="936"/>
      <c r="AC45" s="936"/>
      <c r="AD45" s="936"/>
      <c r="AE45" s="936"/>
    </row>
    <row r="46" spans="1:31" s="534" customFormat="1" ht="13" customHeight="1" thickBot="1" x14ac:dyDescent="0.3">
      <c r="A46" s="936"/>
      <c r="B46" s="15"/>
      <c r="C46" s="15"/>
      <c r="D46" s="289" t="s">
        <v>862</v>
      </c>
      <c r="E46" s="2561" t="str">
        <f t="shared" si="6"/>
        <v>Insatsbränsle för produktion av mätbar värme</v>
      </c>
      <c r="F46" s="2572"/>
      <c r="G46" s="563" t="str">
        <f t="shared" si="8"/>
        <v>% eller TJ / år</v>
      </c>
      <c r="H46" s="381" t="str">
        <f t="shared" si="9"/>
        <v/>
      </c>
      <c r="I46" s="381" t="str">
        <f t="shared" si="9"/>
        <v/>
      </c>
      <c r="J46" s="381" t="str">
        <f t="shared" si="9"/>
        <v/>
      </c>
      <c r="K46" s="381" t="str">
        <f t="shared" si="9"/>
        <v/>
      </c>
      <c r="L46" s="381" t="str">
        <f t="shared" si="9"/>
        <v/>
      </c>
      <c r="M46" s="381" t="str">
        <f t="shared" si="9"/>
        <v/>
      </c>
      <c r="N46" s="381" t="str">
        <f t="shared" si="9"/>
        <v/>
      </c>
      <c r="O46" s="6"/>
      <c r="P46" s="15"/>
      <c r="Q46" s="579"/>
      <c r="R46" s="936"/>
      <c r="S46" s="936"/>
      <c r="T46" s="936"/>
      <c r="U46" s="936"/>
      <c r="V46" s="936"/>
      <c r="W46" s="936"/>
      <c r="X46" s="936"/>
      <c r="Y46" s="936"/>
      <c r="Z46" s="936"/>
      <c r="AA46" s="936"/>
      <c r="AB46" s="936"/>
      <c r="AC46" s="936"/>
      <c r="AD46" s="936"/>
      <c r="AE46" s="936"/>
    </row>
    <row r="47" spans="1:31" s="534" customFormat="1" ht="13" customHeight="1" x14ac:dyDescent="0.25">
      <c r="A47" s="936"/>
      <c r="B47" s="15"/>
      <c r="C47" s="15"/>
      <c r="D47" s="289" t="s">
        <v>863</v>
      </c>
      <c r="E47" s="2563" t="str">
        <f t="shared" si="6"/>
        <v>Delanläggning med bränsleriktmärke, KL</v>
      </c>
      <c r="F47" s="2570"/>
      <c r="G47" s="569" t="str">
        <f t="shared" si="8"/>
        <v>% eller TJ / år</v>
      </c>
      <c r="H47" s="576" t="str">
        <f t="shared" si="9"/>
        <v/>
      </c>
      <c r="I47" s="576" t="str">
        <f t="shared" si="9"/>
        <v/>
      </c>
      <c r="J47" s="576" t="str">
        <f t="shared" si="9"/>
        <v/>
      </c>
      <c r="K47" s="576" t="str">
        <f t="shared" si="9"/>
        <v/>
      </c>
      <c r="L47" s="576" t="str">
        <f t="shared" si="9"/>
        <v/>
      </c>
      <c r="M47" s="576" t="str">
        <f t="shared" si="9"/>
        <v/>
      </c>
      <c r="N47" s="577" t="str">
        <f t="shared" si="9"/>
        <v/>
      </c>
      <c r="O47" s="6"/>
      <c r="P47" s="15"/>
      <c r="Q47" s="566" t="str">
        <f>IF(CTRL_InputMethodFuelDistribution=2,EUconst_CNTR_HAL&amp;E47,"")</f>
        <v/>
      </c>
      <c r="R47" s="936"/>
      <c r="S47" s="936"/>
      <c r="T47" s="936"/>
      <c r="U47" s="936"/>
      <c r="V47" s="936"/>
      <c r="W47" s="936"/>
      <c r="X47" s="936"/>
      <c r="Y47" s="936"/>
      <c r="Z47" s="936"/>
      <c r="AA47" s="936"/>
      <c r="AB47" s="936"/>
      <c r="AC47" s="936"/>
      <c r="AD47" s="936"/>
      <c r="AE47" s="936"/>
    </row>
    <row r="48" spans="1:31" s="534" customFormat="1" ht="13.5" customHeight="1" thickBot="1" x14ac:dyDescent="0.3">
      <c r="A48" s="936"/>
      <c r="B48" s="15"/>
      <c r="C48" s="15"/>
      <c r="D48" s="289" t="s">
        <v>72</v>
      </c>
      <c r="E48" s="2565" t="str">
        <f t="shared" si="6"/>
        <v>Delanläggning med bränsleriktmärke, ej KL</v>
      </c>
      <c r="F48" s="2574"/>
      <c r="G48" s="572" t="str">
        <f t="shared" si="8"/>
        <v>% eller TJ / år</v>
      </c>
      <c r="H48" s="261" t="str">
        <f t="shared" si="9"/>
        <v/>
      </c>
      <c r="I48" s="261" t="str">
        <f t="shared" si="9"/>
        <v/>
      </c>
      <c r="J48" s="261" t="str">
        <f t="shared" si="9"/>
        <v/>
      </c>
      <c r="K48" s="261" t="str">
        <f t="shared" si="9"/>
        <v/>
      </c>
      <c r="L48" s="261" t="str">
        <f t="shared" si="9"/>
        <v/>
      </c>
      <c r="M48" s="261" t="str">
        <f t="shared" si="9"/>
        <v/>
      </c>
      <c r="N48" s="578" t="str">
        <f t="shared" si="9"/>
        <v/>
      </c>
      <c r="O48" s="6"/>
      <c r="P48" s="15"/>
      <c r="Q48" s="568" t="str">
        <f>IF(CTRL_InputMethodFuelDistribution=2,EUconst_CNTR_HAL&amp;E48,"")</f>
        <v/>
      </c>
      <c r="R48" s="936"/>
      <c r="S48" s="936"/>
      <c r="T48" s="936"/>
      <c r="U48" s="936"/>
      <c r="V48" s="936"/>
      <c r="W48" s="936"/>
      <c r="X48" s="936"/>
      <c r="Y48" s="936"/>
      <c r="Z48" s="936"/>
      <c r="AA48" s="936"/>
      <c r="AB48" s="936"/>
      <c r="AC48" s="936"/>
      <c r="AD48" s="936"/>
      <c r="AE48" s="936"/>
    </row>
    <row r="49" spans="1:31" s="534" customFormat="1" ht="12.65" customHeight="1" x14ac:dyDescent="0.25">
      <c r="A49" s="936"/>
      <c r="B49" s="15"/>
      <c r="C49" s="15"/>
      <c r="D49" s="289" t="s">
        <v>73</v>
      </c>
      <c r="E49" s="2567" t="str">
        <f t="shared" si="6"/>
        <v>Insatsbränsle för elproduktion</v>
      </c>
      <c r="F49" s="2571"/>
      <c r="G49" s="704" t="str">
        <f t="shared" si="8"/>
        <v>% eller TJ / år</v>
      </c>
      <c r="H49" s="705" t="str">
        <f t="shared" si="9"/>
        <v/>
      </c>
      <c r="I49" s="705" t="str">
        <f t="shared" si="9"/>
        <v/>
      </c>
      <c r="J49" s="705" t="str">
        <f t="shared" si="9"/>
        <v/>
      </c>
      <c r="K49" s="705" t="str">
        <f t="shared" si="9"/>
        <v/>
      </c>
      <c r="L49" s="705" t="str">
        <f t="shared" si="9"/>
        <v/>
      </c>
      <c r="M49" s="705" t="str">
        <f t="shared" si="9"/>
        <v/>
      </c>
      <c r="N49" s="705" t="str">
        <f t="shared" si="9"/>
        <v/>
      </c>
      <c r="O49" s="6"/>
      <c r="P49" s="15"/>
      <c r="Q49" s="936"/>
      <c r="R49" s="936"/>
      <c r="S49" s="936"/>
      <c r="T49" s="936"/>
      <c r="U49" s="936"/>
      <c r="V49" s="936"/>
      <c r="W49" s="936"/>
      <c r="X49" s="936"/>
      <c r="Y49" s="936"/>
      <c r="Z49" s="936"/>
      <c r="AA49" s="936"/>
      <c r="AB49" s="936"/>
      <c r="AC49" s="936"/>
      <c r="AD49" s="936"/>
      <c r="AE49" s="936"/>
    </row>
    <row r="50" spans="1:31" s="534" customFormat="1" x14ac:dyDescent="0.25">
      <c r="A50" s="936"/>
      <c r="B50" s="15"/>
      <c r="C50" s="15"/>
      <c r="D50" s="289" t="s">
        <v>74</v>
      </c>
      <c r="E50" s="2546" t="str">
        <f t="shared" si="6"/>
        <v>Övrigt</v>
      </c>
      <c r="F50" s="2545"/>
      <c r="G50" s="565" t="str">
        <f t="shared" si="8"/>
        <v>% eller TJ / år</v>
      </c>
      <c r="H50" s="575" t="str">
        <f t="shared" si="9"/>
        <v/>
      </c>
      <c r="I50" s="575" t="str">
        <f t="shared" si="9"/>
        <v/>
      </c>
      <c r="J50" s="575" t="str">
        <f t="shared" si="9"/>
        <v/>
      </c>
      <c r="K50" s="575" t="str">
        <f t="shared" si="9"/>
        <v/>
      </c>
      <c r="L50" s="575" t="str">
        <f t="shared" si="9"/>
        <v/>
      </c>
      <c r="M50" s="575" t="str">
        <f t="shared" si="9"/>
        <v/>
      </c>
      <c r="N50" s="575" t="str">
        <f t="shared" si="9"/>
        <v/>
      </c>
      <c r="O50" s="6"/>
      <c r="P50" s="15"/>
      <c r="Q50" s="936"/>
      <c r="R50" s="936"/>
      <c r="S50" s="936"/>
      <c r="T50" s="936"/>
      <c r="U50" s="936"/>
      <c r="V50" s="936"/>
      <c r="W50" s="936"/>
      <c r="X50" s="936"/>
      <c r="Y50" s="936"/>
      <c r="Z50" s="936"/>
      <c r="AA50" s="936"/>
      <c r="AB50" s="936"/>
      <c r="AC50" s="936"/>
      <c r="AD50" s="936"/>
      <c r="AE50" s="936"/>
    </row>
    <row r="51" spans="1:31" ht="5.15" customHeight="1" x14ac:dyDescent="0.25">
      <c r="A51" s="349"/>
      <c r="B51" s="19"/>
      <c r="C51" s="19"/>
      <c r="D51" s="19"/>
      <c r="E51" s="19"/>
      <c r="F51" s="19"/>
      <c r="G51" s="19"/>
      <c r="H51" s="19"/>
      <c r="I51" s="19"/>
      <c r="J51" s="19"/>
      <c r="K51" s="19"/>
      <c r="L51" s="19"/>
      <c r="M51" s="19"/>
      <c r="N51" s="19"/>
      <c r="O51" s="6"/>
      <c r="P51" s="15"/>
      <c r="Q51" s="349"/>
      <c r="R51" s="349"/>
      <c r="S51" s="349"/>
      <c r="T51" s="349"/>
      <c r="U51" s="349"/>
      <c r="V51" s="349"/>
      <c r="W51" s="349"/>
      <c r="X51" s="349"/>
      <c r="Y51" s="349"/>
      <c r="Z51" s="349"/>
      <c r="AA51" s="349"/>
      <c r="AB51" s="349"/>
      <c r="AC51" s="349"/>
      <c r="AD51" s="349"/>
      <c r="AE51" s="349"/>
    </row>
    <row r="52" spans="1:31" s="534" customFormat="1" ht="13" x14ac:dyDescent="0.25">
      <c r="A52" s="936"/>
      <c r="B52" s="3"/>
      <c r="C52" s="3"/>
      <c r="D52" s="13" t="s">
        <v>960</v>
      </c>
      <c r="E52" s="2101" t="str">
        <f>Translations!$B$1455</f>
        <v>Emissionsfaktor för bränsle som används för produktion av mätbar värme och el</v>
      </c>
      <c r="F52" s="2102"/>
      <c r="G52" s="2102"/>
      <c r="H52" s="2102"/>
      <c r="I52" s="2102"/>
      <c r="J52" s="2102"/>
      <c r="K52" s="2102"/>
      <c r="L52" s="2102"/>
      <c r="M52" s="2102"/>
      <c r="N52" s="2102"/>
      <c r="O52" s="6"/>
      <c r="P52" s="15"/>
      <c r="Q52" s="410"/>
      <c r="R52" s="936"/>
      <c r="S52" s="936"/>
      <c r="T52" s="936"/>
      <c r="U52" s="936"/>
      <c r="V52" s="936"/>
      <c r="W52" s="936"/>
      <c r="X52" s="936"/>
      <c r="Y52" s="936"/>
      <c r="Z52" s="936"/>
      <c r="AA52" s="936"/>
      <c r="AB52" s="936"/>
      <c r="AC52" s="936"/>
      <c r="AD52" s="936"/>
      <c r="AE52" s="936"/>
    </row>
    <row r="53" spans="1:31" s="534" customFormat="1" ht="25.5" customHeight="1" x14ac:dyDescent="0.25">
      <c r="A53" s="936"/>
      <c r="B53" s="3"/>
      <c r="C53" s="3"/>
      <c r="D53" s="15"/>
      <c r="E53" s="2061" t="str">
        <f>Translations!$B$1456</f>
        <v>Ange den vägda genomsnittsemissionsfaktorn för alla bränslen och för bränslen som används för att producera mätbar värme och el. Värden som anges här har inte någon direkt inverkan på tilldelningen eller de tillskrivna utsläppen. De används endast för att kontrollera rimligheten.</v>
      </c>
      <c r="F53" s="1963"/>
      <c r="G53" s="1963"/>
      <c r="H53" s="1963"/>
      <c r="I53" s="1963"/>
      <c r="J53" s="1963"/>
      <c r="K53" s="1963"/>
      <c r="L53" s="1963"/>
      <c r="M53" s="1963"/>
      <c r="N53" s="1963"/>
      <c r="O53" s="6"/>
      <c r="P53" s="15"/>
      <c r="Q53" s="410"/>
      <c r="R53" s="936"/>
      <c r="S53" s="936"/>
      <c r="T53" s="936"/>
      <c r="U53" s="936"/>
      <c r="V53" s="936"/>
      <c r="W53" s="936"/>
      <c r="X53" s="936"/>
      <c r="Y53" s="936"/>
      <c r="Z53" s="936"/>
      <c r="AA53" s="936"/>
      <c r="AB53" s="936"/>
      <c r="AC53" s="936"/>
      <c r="AD53" s="936"/>
      <c r="AE53" s="936"/>
    </row>
    <row r="54" spans="1:31" ht="12.75" customHeight="1" x14ac:dyDescent="0.25">
      <c r="A54" s="349"/>
      <c r="B54" s="3"/>
      <c r="C54" s="3"/>
      <c r="D54" s="15"/>
      <c r="E54" s="2556" t="str">
        <f>Translations!$B$1457</f>
        <v>Resultat från kraftvärmeverktyget i avsnitt D.III kan användas för att tillskriva insatsbränsle för kraftvärme till produktion av mätbar värme och el.</v>
      </c>
      <c r="F54" s="2556"/>
      <c r="G54" s="2556"/>
      <c r="H54" s="2556"/>
      <c r="I54" s="2556"/>
      <c r="J54" s="2556"/>
      <c r="K54" s="2556"/>
      <c r="L54" s="2556"/>
      <c r="M54" s="2556"/>
      <c r="N54" s="2556"/>
      <c r="O54" s="6"/>
      <c r="P54" s="15"/>
      <c r="Q54" s="410"/>
      <c r="R54" s="349"/>
      <c r="S54" s="349"/>
      <c r="T54" s="349"/>
      <c r="U54" s="349"/>
      <c r="V54" s="349"/>
      <c r="W54" s="349"/>
      <c r="X54" s="349"/>
      <c r="Y54" s="349"/>
      <c r="Z54" s="349"/>
      <c r="AA54" s="349"/>
      <c r="AB54" s="349"/>
      <c r="AC54" s="349"/>
      <c r="AD54" s="349"/>
      <c r="AE54" s="349"/>
    </row>
    <row r="55" spans="1:31" s="534" customFormat="1" ht="5.15" customHeight="1" x14ac:dyDescent="0.25">
      <c r="A55" s="936"/>
      <c r="B55" s="3"/>
      <c r="C55" s="3"/>
      <c r="D55" s="3"/>
      <c r="E55" s="3"/>
      <c r="F55" s="3"/>
      <c r="G55" s="3"/>
      <c r="H55" s="3"/>
      <c r="I55" s="3"/>
      <c r="J55" s="3"/>
      <c r="K55" s="3"/>
      <c r="L55" s="3"/>
      <c r="M55" s="3"/>
      <c r="N55" s="3"/>
      <c r="O55" s="6"/>
      <c r="P55" s="15"/>
      <c r="Q55" s="410"/>
      <c r="R55" s="936"/>
      <c r="S55" s="936"/>
      <c r="T55" s="936"/>
      <c r="U55" s="936"/>
      <c r="V55" s="936"/>
      <c r="W55" s="936"/>
      <c r="X55" s="936"/>
      <c r="Y55" s="936"/>
      <c r="Z55" s="936"/>
      <c r="AA55" s="936"/>
      <c r="AB55" s="936"/>
      <c r="AC55" s="936"/>
      <c r="AD55" s="936"/>
      <c r="AE55" s="936"/>
    </row>
    <row r="56" spans="1:31" s="534" customFormat="1" ht="13.5" customHeight="1" x14ac:dyDescent="0.25">
      <c r="A56" s="936"/>
      <c r="B56" s="15"/>
      <c r="C56" s="15"/>
      <c r="D56" s="15"/>
      <c r="E56" s="2528" t="str">
        <f>Translations!$B$1458</f>
        <v>Emissionsfaktor (EF)</v>
      </c>
      <c r="F56" s="2528"/>
      <c r="G56" s="13" t="str">
        <f>EUconst_Unit</f>
        <v>Enhet</v>
      </c>
      <c r="H56" s="320">
        <f t="shared" ref="H56:N56" si="10">H$393</f>
        <v>2019</v>
      </c>
      <c r="I56" s="320">
        <f t="shared" si="10"/>
        <v>2020</v>
      </c>
      <c r="J56" s="320">
        <f t="shared" si="10"/>
        <v>2021</v>
      </c>
      <c r="K56" s="320">
        <f t="shared" si="10"/>
        <v>2022</v>
      </c>
      <c r="L56" s="320">
        <f t="shared" si="10"/>
        <v>2023</v>
      </c>
      <c r="M56" s="320">
        <f t="shared" si="10"/>
        <v>2024</v>
      </c>
      <c r="N56" s="320">
        <f t="shared" si="10"/>
        <v>2025</v>
      </c>
      <c r="O56" s="6"/>
      <c r="P56" s="15"/>
      <c r="Q56" s="936"/>
      <c r="R56" s="936"/>
      <c r="S56" s="936"/>
      <c r="T56" s="936"/>
      <c r="U56" s="936"/>
      <c r="V56" s="936"/>
      <c r="W56" s="936"/>
      <c r="X56" s="936"/>
      <c r="Y56" s="936"/>
      <c r="Z56" s="936"/>
      <c r="AA56" s="936"/>
      <c r="AB56" s="936"/>
      <c r="AC56" s="936"/>
      <c r="AD56" s="936"/>
      <c r="AE56" s="936"/>
    </row>
    <row r="57" spans="1:31" s="534" customFormat="1" ht="13.5" customHeight="1" x14ac:dyDescent="0.25">
      <c r="A57" s="936"/>
      <c r="B57" s="15"/>
      <c r="C57" s="15"/>
      <c r="D57" s="289" t="s">
        <v>8</v>
      </c>
      <c r="E57" s="2594" t="str">
        <f>Translations!$B$1459</f>
        <v>Bränsleemissionsfaktor för totalt insatsbränsle</v>
      </c>
      <c r="F57" s="2594"/>
      <c r="G57" s="1491" t="str">
        <f>EUconst_tCO2pTJ</f>
        <v>t CO2 / TJ</v>
      </c>
      <c r="H57" s="1815"/>
      <c r="I57" s="1815"/>
      <c r="J57" s="1815"/>
      <c r="K57" s="1815"/>
      <c r="L57" s="1815"/>
      <c r="M57" s="1815"/>
      <c r="N57" s="1815"/>
      <c r="O57" s="6"/>
      <c r="P57" s="1552"/>
      <c r="Q57" s="936"/>
      <c r="R57" s="936"/>
      <c r="S57" s="936"/>
      <c r="T57" s="936"/>
      <c r="U57" s="936"/>
      <c r="V57" s="936"/>
      <c r="W57" s="936"/>
      <c r="X57" s="936"/>
      <c r="Y57" s="936"/>
      <c r="Z57" s="936"/>
      <c r="AA57" s="936"/>
      <c r="AB57" s="936"/>
      <c r="AC57" s="936"/>
      <c r="AD57" s="1526" t="s">
        <v>2248</v>
      </c>
      <c r="AE57" s="394" t="str">
        <f>IF(AND(CNTR_HasEntries_A_I,COUNTIFS($V$16:$AB$16,FALSE,H57:N57,"")&gt;0),1,"")</f>
        <v/>
      </c>
    </row>
    <row r="58" spans="1:31" s="534" customFormat="1" ht="12.75" customHeight="1" x14ac:dyDescent="0.25">
      <c r="A58" s="936"/>
      <c r="B58" s="15"/>
      <c r="C58" s="15"/>
      <c r="D58" s="289" t="s">
        <v>9</v>
      </c>
      <c r="E58" s="2555" t="str">
        <f>Translations!$B$1460</f>
        <v>Bränsleemissionsfaktor för mätbar värme</v>
      </c>
      <c r="F58" s="2555"/>
      <c r="G58" s="1653" t="str">
        <f>EUconst_tCO2pTJ</f>
        <v>t CO2 / TJ</v>
      </c>
      <c r="H58" s="1816"/>
      <c r="I58" s="1816"/>
      <c r="J58" s="1816"/>
      <c r="K58" s="1816"/>
      <c r="L58" s="1816"/>
      <c r="M58" s="1816"/>
      <c r="N58" s="1816"/>
      <c r="O58" s="6"/>
      <c r="P58" s="1552"/>
      <c r="Q58" s="936"/>
      <c r="R58" s="936"/>
      <c r="S58" s="936"/>
      <c r="T58" s="936"/>
      <c r="U58" s="936"/>
      <c r="V58" s="936"/>
      <c r="W58" s="936"/>
      <c r="X58" s="936"/>
      <c r="Y58" s="936"/>
      <c r="Z58" s="936"/>
      <c r="AA58" s="936"/>
      <c r="AB58" s="936"/>
      <c r="AC58" s="936"/>
      <c r="AD58" s="1526" t="s">
        <v>2248</v>
      </c>
      <c r="AE58" s="394" t="str">
        <f>IF(AND(CNTR_HasEntries_A_I,COUNTIFS($V$16:$AB$16,FALSE,H58:N58,"")&gt;0),1,"")</f>
        <v/>
      </c>
    </row>
    <row r="59" spans="1:31" x14ac:dyDescent="0.25">
      <c r="A59" s="349"/>
      <c r="B59" s="19"/>
      <c r="C59" s="19"/>
      <c r="D59" s="289" t="s">
        <v>10</v>
      </c>
      <c r="E59" s="2573" t="str">
        <f>Translations!$B$1461</f>
        <v>Bränsleemissionsfaktor för el</v>
      </c>
      <c r="F59" s="2543"/>
      <c r="G59" s="1492" t="str">
        <f>EUconst_tCO2pTJ</f>
        <v>t CO2 / TJ</v>
      </c>
      <c r="H59" s="1817"/>
      <c r="I59" s="1817"/>
      <c r="J59" s="1817"/>
      <c r="K59" s="1817"/>
      <c r="L59" s="1817"/>
      <c r="M59" s="1817"/>
      <c r="N59" s="1817"/>
      <c r="O59" s="6"/>
      <c r="P59" s="1552"/>
      <c r="Q59" s="349"/>
      <c r="R59" s="349"/>
      <c r="S59" s="349"/>
      <c r="T59" s="349"/>
      <c r="U59" s="349"/>
      <c r="V59" s="349"/>
      <c r="W59" s="349"/>
      <c r="X59" s="349"/>
      <c r="Y59" s="349"/>
      <c r="Z59" s="349"/>
      <c r="AA59" s="349"/>
      <c r="AB59" s="349"/>
      <c r="AC59" s="349"/>
      <c r="AD59" s="1526" t="s">
        <v>2248</v>
      </c>
      <c r="AE59" s="394" t="str">
        <f>IF(AND(CNTR_HasEntries_A_I,COUNTIFS($V$16:$AB$16,FALSE,H59:N59,"")&gt;0),1,"")</f>
        <v/>
      </c>
    </row>
    <row r="60" spans="1:31" x14ac:dyDescent="0.25">
      <c r="A60" s="349"/>
      <c r="B60" s="19"/>
      <c r="C60" s="19"/>
      <c r="D60" s="19"/>
      <c r="E60" s="19"/>
      <c r="F60" s="19"/>
      <c r="G60" s="19"/>
      <c r="H60" s="19"/>
      <c r="I60" s="19"/>
      <c r="J60" s="19"/>
      <c r="K60" s="19"/>
      <c r="L60" s="19"/>
      <c r="M60" s="19"/>
      <c r="N60" s="19"/>
      <c r="O60" s="6"/>
      <c r="P60" s="15"/>
      <c r="Q60" s="349"/>
      <c r="R60" s="349"/>
      <c r="S60" s="349"/>
      <c r="T60" s="349"/>
      <c r="U60" s="349"/>
      <c r="V60" s="349"/>
      <c r="W60" s="349"/>
      <c r="X60" s="349"/>
      <c r="Y60" s="349"/>
      <c r="Z60" s="349"/>
      <c r="AA60" s="349"/>
      <c r="AB60" s="349"/>
      <c r="AC60" s="349"/>
      <c r="AD60" s="349"/>
      <c r="AE60" s="349"/>
    </row>
    <row r="61" spans="1:31" ht="15.5" x14ac:dyDescent="0.35">
      <c r="A61" s="349"/>
      <c r="B61" s="3"/>
      <c r="C61" s="11" t="s">
        <v>954</v>
      </c>
      <c r="D61" s="2523" t="str">
        <f>Translations!$B$195</f>
        <v>Mätbar värme</v>
      </c>
      <c r="E61" s="2523"/>
      <c r="F61" s="2523"/>
      <c r="G61" s="2523"/>
      <c r="H61" s="2523"/>
      <c r="I61" s="2523"/>
      <c r="J61" s="2523"/>
      <c r="K61" s="2523"/>
      <c r="L61" s="2523"/>
      <c r="M61" s="2523"/>
      <c r="N61" s="2523"/>
      <c r="O61" s="6"/>
      <c r="P61" s="15"/>
      <c r="Q61" s="410"/>
      <c r="R61" s="349"/>
      <c r="S61" s="349"/>
      <c r="T61" s="349"/>
      <c r="U61" s="349"/>
      <c r="V61" s="349"/>
      <c r="W61" s="349"/>
      <c r="X61" s="349"/>
      <c r="Y61" s="349"/>
      <c r="Z61" s="349"/>
      <c r="AA61" s="349"/>
      <c r="AB61" s="349"/>
      <c r="AC61" s="349"/>
      <c r="AD61" s="349"/>
      <c r="AE61" s="349"/>
    </row>
    <row r="62" spans="1:31" ht="5.15" customHeight="1" x14ac:dyDescent="0.25">
      <c r="A62" s="349"/>
      <c r="B62" s="3"/>
      <c r="C62" s="3"/>
      <c r="D62" s="3"/>
      <c r="E62" s="3"/>
      <c r="F62" s="3"/>
      <c r="G62" s="3"/>
      <c r="H62" s="3"/>
      <c r="I62" s="3"/>
      <c r="J62" s="3"/>
      <c r="K62" s="3"/>
      <c r="L62" s="3"/>
      <c r="M62" s="6"/>
      <c r="N62" s="6"/>
      <c r="O62" s="6"/>
      <c r="P62" s="15"/>
      <c r="Q62" s="410"/>
      <c r="R62" s="349"/>
      <c r="S62" s="349"/>
      <c r="T62" s="349"/>
      <c r="U62" s="349"/>
      <c r="V62" s="349"/>
      <c r="W62" s="349"/>
      <c r="X62" s="349"/>
      <c r="Y62" s="349"/>
      <c r="Z62" s="349"/>
      <c r="AA62" s="349"/>
      <c r="AB62" s="349"/>
      <c r="AC62" s="349"/>
      <c r="AD62" s="349"/>
      <c r="AE62" s="349"/>
    </row>
    <row r="63" spans="1:31" ht="14" x14ac:dyDescent="0.3">
      <c r="A63" s="349"/>
      <c r="B63" s="3"/>
      <c r="C63" s="17"/>
      <c r="D63" s="2053" t="str">
        <f>Translations!$B$358</f>
        <v>Komplett balans av mätbar värme vid anläggningen</v>
      </c>
      <c r="E63" s="1963"/>
      <c r="F63" s="1963"/>
      <c r="G63" s="1963"/>
      <c r="H63" s="1963"/>
      <c r="I63" s="1963"/>
      <c r="J63" s="1963"/>
      <c r="K63" s="1963"/>
      <c r="L63" s="1963"/>
      <c r="M63" s="1963"/>
      <c r="N63" s="1963"/>
      <c r="O63" s="6"/>
      <c r="P63" s="15"/>
      <c r="Q63" s="410"/>
      <c r="R63" s="349"/>
      <c r="S63" s="349"/>
      <c r="T63" s="349"/>
      <c r="U63" s="349"/>
      <c r="V63" s="349"/>
      <c r="W63" s="349"/>
      <c r="X63" s="349"/>
      <c r="Y63" s="349"/>
      <c r="Z63" s="349"/>
      <c r="AA63" s="349"/>
      <c r="AB63" s="349"/>
      <c r="AC63" s="349"/>
      <c r="AD63" s="349"/>
      <c r="AE63" s="349"/>
    </row>
    <row r="64" spans="1:31" ht="5.15" customHeight="1" x14ac:dyDescent="0.25">
      <c r="A64" s="349"/>
      <c r="B64" s="3"/>
      <c r="C64" s="3"/>
      <c r="D64" s="3"/>
      <c r="E64" s="3"/>
      <c r="F64" s="3"/>
      <c r="G64" s="3"/>
      <c r="H64" s="3"/>
      <c r="I64" s="3"/>
      <c r="J64" s="3"/>
      <c r="K64" s="3"/>
      <c r="L64" s="3"/>
      <c r="M64" s="3"/>
      <c r="N64" s="3"/>
      <c r="O64" s="6"/>
      <c r="P64" s="15"/>
      <c r="Q64" s="410"/>
      <c r="R64" s="349"/>
      <c r="S64" s="349"/>
      <c r="T64" s="349"/>
      <c r="U64" s="349"/>
      <c r="V64" s="349"/>
      <c r="W64" s="349"/>
      <c r="X64" s="349"/>
      <c r="Y64" s="349"/>
      <c r="Z64" s="349"/>
      <c r="AA64" s="349"/>
      <c r="AB64" s="349"/>
      <c r="AC64" s="349"/>
      <c r="AD64" s="349"/>
      <c r="AE64" s="349"/>
    </row>
    <row r="65" spans="1:31" ht="12.75" customHeight="1" x14ac:dyDescent="0.25">
      <c r="A65" s="2"/>
      <c r="B65" s="3"/>
      <c r="C65" s="3"/>
      <c r="D65" s="547"/>
      <c r="E65" s="2106" t="str">
        <f>Translations!$B$359</f>
        <v>Har anläggningen en delanläggning med värmeriktmärke eller en fjärrvärmedelanläggning?</v>
      </c>
      <c r="F65" s="2106"/>
      <c r="G65" s="2106"/>
      <c r="H65" s="2106"/>
      <c r="I65" s="2106"/>
      <c r="J65" s="2106"/>
      <c r="K65" s="2106"/>
      <c r="L65" s="2107"/>
      <c r="M65" s="1789" t="b">
        <f>COUNTIF('B+C_SubInstallations'!$T$57:$T$59,TRUE)&gt;0</f>
        <v>0</v>
      </c>
      <c r="N65" s="6"/>
      <c r="O65" s="6"/>
      <c r="P65" s="15"/>
      <c r="Q65" s="7"/>
      <c r="R65" s="2"/>
      <c r="S65" s="349"/>
      <c r="T65" s="349"/>
      <c r="U65" s="349"/>
      <c r="V65" s="349"/>
      <c r="W65" s="349"/>
      <c r="X65" s="349"/>
      <c r="Y65" s="349"/>
      <c r="Z65" s="349"/>
      <c r="AA65" s="349"/>
      <c r="AB65" s="349"/>
      <c r="AC65" s="349"/>
      <c r="AD65" s="349"/>
      <c r="AE65" s="349"/>
    </row>
    <row r="66" spans="1:31" ht="12.75" customHeight="1" x14ac:dyDescent="0.25">
      <c r="A66" s="349"/>
      <c r="B66" s="3"/>
      <c r="C66" s="15"/>
      <c r="D66" s="114"/>
      <c r="E66" s="2061" t="str">
        <f>Translations!$B$360</f>
        <v>Namnet på delanläggningen med produktriktmärke visas automatiskt i inmatningsfälten i blad ”A_InstallationData”.</v>
      </c>
      <c r="F66" s="1963"/>
      <c r="G66" s="1963"/>
      <c r="H66" s="1963"/>
      <c r="I66" s="1963"/>
      <c r="J66" s="1963"/>
      <c r="K66" s="1963"/>
      <c r="L66" s="1963"/>
      <c r="M66" s="1963"/>
      <c r="N66" s="1940"/>
      <c r="O66" s="6"/>
      <c r="P66" s="15"/>
      <c r="Q66" s="410"/>
      <c r="R66" s="349"/>
      <c r="S66" s="349"/>
      <c r="T66" s="349"/>
      <c r="U66" s="349"/>
      <c r="V66" s="349"/>
      <c r="W66" s="349"/>
      <c r="X66" s="349"/>
      <c r="Y66" s="349"/>
      <c r="Z66" s="349"/>
      <c r="AA66" s="349"/>
      <c r="AB66" s="349"/>
      <c r="AC66" s="349"/>
      <c r="AD66" s="349"/>
      <c r="AE66" s="349"/>
    </row>
    <row r="67" spans="1:31" ht="12.75" customHeight="1" x14ac:dyDescent="0.25">
      <c r="A67" s="349"/>
      <c r="B67" s="3"/>
      <c r="C67" s="15"/>
      <c r="D67" s="114"/>
      <c r="E67" s="2061" t="str">
        <f>Translations!$B$361</f>
        <v>Om ”SANT” visas är inmatningarna i avsnittet fortfarande relevanta. Frågan nedan måste endast besvaras om ingen av dessa delanläggningar är relevant.</v>
      </c>
      <c r="F67" s="1963"/>
      <c r="G67" s="1963"/>
      <c r="H67" s="1963"/>
      <c r="I67" s="1963"/>
      <c r="J67" s="1963"/>
      <c r="K67" s="1963"/>
      <c r="L67" s="1963"/>
      <c r="M67" s="1963"/>
      <c r="N67" s="1940"/>
      <c r="O67" s="6"/>
      <c r="P67" s="15"/>
      <c r="Q67" s="410"/>
      <c r="R67" s="349"/>
      <c r="S67" s="349"/>
      <c r="T67" s="349"/>
      <c r="U67" s="349"/>
      <c r="V67" s="349"/>
      <c r="W67" s="349"/>
      <c r="X67" s="349"/>
      <c r="Y67" s="349"/>
      <c r="Z67" s="349"/>
      <c r="AA67" s="349"/>
      <c r="AB67" s="349"/>
      <c r="AC67" s="349"/>
      <c r="AD67" s="349"/>
      <c r="AE67" s="349"/>
    </row>
    <row r="68" spans="1:31" ht="5.15" customHeight="1" x14ac:dyDescent="0.25">
      <c r="A68" s="349"/>
      <c r="B68" s="3"/>
      <c r="C68" s="3"/>
      <c r="D68" s="3"/>
      <c r="E68" s="3"/>
      <c r="F68" s="3"/>
      <c r="G68" s="3"/>
      <c r="H68" s="3"/>
      <c r="I68" s="3"/>
      <c r="J68" s="3"/>
      <c r="K68" s="3"/>
      <c r="L68" s="3"/>
      <c r="M68" s="3"/>
      <c r="N68" s="3"/>
      <c r="O68" s="6"/>
      <c r="P68" s="15"/>
      <c r="Q68" s="410"/>
      <c r="R68" s="349"/>
      <c r="S68" s="349"/>
      <c r="T68" s="349"/>
      <c r="U68" s="349"/>
      <c r="V68" s="349"/>
      <c r="W68" s="349"/>
      <c r="X68" s="349"/>
      <c r="Y68" s="349"/>
      <c r="Z68" s="349"/>
      <c r="AA68" s="349"/>
      <c r="AB68" s="349"/>
      <c r="AC68" s="349"/>
      <c r="AD68" s="349"/>
      <c r="AE68" s="349"/>
    </row>
    <row r="69" spans="1:31" ht="12.75" customHeight="1" x14ac:dyDescent="0.25">
      <c r="A69" s="2"/>
      <c r="B69" s="3"/>
      <c r="C69" s="3"/>
      <c r="D69" s="547"/>
      <c r="E69" s="2106" t="str">
        <f>Translations!$B$362</f>
        <v>Finns eventuella värmeflöden som produceras eller förbrukas i, importeras till eller exporteras från anläggningen?</v>
      </c>
      <c r="F69" s="2106"/>
      <c r="G69" s="2106"/>
      <c r="H69" s="2106"/>
      <c r="I69" s="2106"/>
      <c r="J69" s="2106"/>
      <c r="K69" s="2106"/>
      <c r="L69" s="2107"/>
      <c r="M69" s="707"/>
      <c r="N69" s="6"/>
      <c r="O69" s="6"/>
      <c r="P69" s="15"/>
      <c r="Q69" s="7"/>
      <c r="R69" s="2"/>
      <c r="S69" s="349"/>
      <c r="T69" s="1537" t="s">
        <v>2274</v>
      </c>
      <c r="U69" s="349"/>
      <c r="V69" s="349"/>
      <c r="W69" s="349"/>
      <c r="X69" s="349"/>
      <c r="Y69" s="349"/>
      <c r="Z69" s="349"/>
      <c r="AA69" s="349"/>
      <c r="AB69" s="349"/>
      <c r="AC69" s="349"/>
      <c r="AD69" s="349"/>
      <c r="AE69" s="349"/>
    </row>
    <row r="70" spans="1:31" ht="12.75" customHeight="1" x14ac:dyDescent="0.25">
      <c r="A70" s="349"/>
      <c r="B70" s="3"/>
      <c r="C70" s="3"/>
      <c r="D70" s="3"/>
      <c r="E70" s="2557" t="str">
        <f>IF(AND(M69&lt;&gt;"",M69=FALSE),HYPERLINK(R70,EUconst_MsgGoOn),HYPERLINK("",EUconst_MsgEnterThisSection))</f>
        <v>Var god fyll i uppgifter i detta avsnitt!</v>
      </c>
      <c r="F70" s="2558"/>
      <c r="G70" s="2558"/>
      <c r="H70" s="2558"/>
      <c r="I70" s="2558"/>
      <c r="J70" s="2558"/>
      <c r="K70" s="2558"/>
      <c r="L70" s="2558"/>
      <c r="M70" s="2559"/>
      <c r="N70" s="3"/>
      <c r="O70" s="6"/>
      <c r="P70" s="15"/>
      <c r="Q70" s="2" t="s">
        <v>484</v>
      </c>
      <c r="R70" s="294" t="str">
        <f>"#"&amp;ADDRESS(ROW(C248),COLUMN(C248))</f>
        <v>#$C$248</v>
      </c>
      <c r="S70" s="349"/>
      <c r="T70" s="355"/>
      <c r="U70" s="349"/>
      <c r="V70" s="349"/>
      <c r="W70" s="349"/>
      <c r="X70" s="349"/>
      <c r="Y70" s="349"/>
      <c r="Z70" s="349"/>
      <c r="AA70" s="349"/>
      <c r="AB70" s="349"/>
      <c r="AC70" s="349"/>
      <c r="AD70" s="349"/>
      <c r="AE70" s="349"/>
    </row>
    <row r="71" spans="1:31" ht="5.15" customHeight="1" x14ac:dyDescent="0.25">
      <c r="A71" s="349"/>
      <c r="B71" s="3"/>
      <c r="C71" s="3"/>
      <c r="D71" s="3"/>
      <c r="E71" s="3"/>
      <c r="F71" s="3"/>
      <c r="G71" s="3"/>
      <c r="H71" s="3"/>
      <c r="I71" s="3"/>
      <c r="J71" s="3"/>
      <c r="K71" s="3"/>
      <c r="L71" s="3"/>
      <c r="M71" s="6"/>
      <c r="N71" s="6"/>
      <c r="O71" s="6"/>
      <c r="P71" s="15"/>
      <c r="Q71" s="410"/>
      <c r="R71" s="349"/>
      <c r="S71" s="349"/>
      <c r="T71" s="349"/>
      <c r="U71" s="349"/>
      <c r="V71" s="349"/>
      <c r="W71" s="349"/>
      <c r="X71" s="349"/>
      <c r="Y71" s="349"/>
      <c r="Z71" s="349"/>
      <c r="AA71" s="349"/>
      <c r="AB71" s="349"/>
      <c r="AC71" s="349"/>
      <c r="AD71" s="349"/>
      <c r="AE71" s="349"/>
    </row>
    <row r="72" spans="1:31" x14ac:dyDescent="0.25">
      <c r="A72" s="349"/>
      <c r="B72" s="3"/>
      <c r="C72" s="3"/>
      <c r="D72" s="2522" t="str">
        <f>Translations!$B$363</f>
        <v>Alla värmerelaterade uppgifter bör avse ”nettomängden mätbar värme” (dvs. värmeinnehållet i värmeflödet till användaren minus värmeinnehållet i återflödet).</v>
      </c>
      <c r="E72" s="2102"/>
      <c r="F72" s="2102"/>
      <c r="G72" s="2102"/>
      <c r="H72" s="2102"/>
      <c r="I72" s="2102"/>
      <c r="J72" s="2102"/>
      <c r="K72" s="2102"/>
      <c r="L72" s="2102"/>
      <c r="M72" s="2102"/>
      <c r="N72" s="2102"/>
      <c r="O72" s="6"/>
      <c r="P72" s="15"/>
      <c r="Q72" s="410"/>
      <c r="R72" s="349"/>
      <c r="S72" s="349"/>
      <c r="T72" s="349"/>
      <c r="U72" s="349"/>
      <c r="V72" s="349"/>
      <c r="W72" s="349"/>
      <c r="X72" s="349"/>
      <c r="Y72" s="349"/>
      <c r="Z72" s="349"/>
      <c r="AA72" s="349"/>
      <c r="AB72" s="349"/>
      <c r="AC72" s="349"/>
      <c r="AD72" s="349"/>
      <c r="AE72" s="349"/>
    </row>
    <row r="73" spans="1:31" ht="5.15" customHeight="1" x14ac:dyDescent="0.25">
      <c r="A73" s="349"/>
      <c r="B73" s="3"/>
      <c r="C73" s="3"/>
      <c r="D73" s="3"/>
      <c r="E73" s="3"/>
      <c r="F73" s="3"/>
      <c r="G73" s="3"/>
      <c r="H73" s="3"/>
      <c r="I73" s="3"/>
      <c r="J73" s="3"/>
      <c r="K73" s="3"/>
      <c r="L73" s="6"/>
      <c r="M73" s="6"/>
      <c r="N73" s="3"/>
      <c r="O73" s="6"/>
      <c r="P73" s="15"/>
      <c r="Q73" s="410"/>
      <c r="R73" s="349"/>
      <c r="S73" s="349"/>
      <c r="T73" s="349"/>
      <c r="U73" s="349"/>
      <c r="V73" s="349"/>
      <c r="W73" s="349"/>
      <c r="X73" s="349"/>
      <c r="Y73" s="349"/>
      <c r="Z73" s="349"/>
      <c r="AA73" s="349"/>
      <c r="AB73" s="349"/>
      <c r="AC73" s="349"/>
      <c r="AD73" s="349"/>
      <c r="AE73" s="349"/>
    </row>
    <row r="74" spans="1:31" x14ac:dyDescent="0.25">
      <c r="A74" s="349"/>
      <c r="B74" s="3"/>
      <c r="C74" s="15"/>
      <c r="D74" s="2522" t="str">
        <f>Translations!$B$364</f>
        <v>Beskrivning av använd beräkningsmetod:</v>
      </c>
      <c r="E74" s="2102"/>
      <c r="F74" s="2102"/>
      <c r="G74" s="2102"/>
      <c r="H74" s="2102"/>
      <c r="I74" s="2102"/>
      <c r="J74" s="2102"/>
      <c r="K74" s="2102"/>
      <c r="L74" s="2102"/>
      <c r="M74" s="2102"/>
      <c r="N74" s="2102"/>
      <c r="O74" s="6"/>
      <c r="P74" s="15"/>
      <c r="Q74" s="410"/>
      <c r="R74" s="349"/>
      <c r="S74" s="349"/>
      <c r="T74" s="349"/>
      <c r="U74" s="349"/>
      <c r="V74" s="349"/>
      <c r="W74" s="349"/>
      <c r="X74" s="349"/>
      <c r="Y74" s="349"/>
      <c r="Z74" s="349"/>
      <c r="AA74" s="349"/>
      <c r="AB74" s="349"/>
      <c r="AC74" s="349"/>
      <c r="AD74" s="349"/>
      <c r="AE74" s="349"/>
    </row>
    <row r="75" spans="1:31" ht="37" customHeight="1" x14ac:dyDescent="0.25">
      <c r="A75" s="349"/>
      <c r="B75" s="3"/>
      <c r="C75" s="15"/>
      <c r="D75" s="2061" t="str">
        <f>Translations!$B$365</f>
        <v>Mätbar värme behöver öronmärkas utifrån om den berättigar tilldelning eller inte, både utifrån ursprung, ”berättigande” (egenproducerad och/eller importerad från ETS-anläggningar) och ”icke-berättigande” (importerade från anläggningar eller enheter utanför ETS eller producerade av en delanläggning för salpetersyra) OCH utifrån användning, dvs. ”berättigande” (intern användning och/eller export till anläggningar utanför ETS) och ”icke-berättigande” (export till ETS-anläggningar).</v>
      </c>
      <c r="E75" s="1963"/>
      <c r="F75" s="1963"/>
      <c r="G75" s="1963"/>
      <c r="H75" s="1963"/>
      <c r="I75" s="1963"/>
      <c r="J75" s="1963"/>
      <c r="K75" s="1963"/>
      <c r="L75" s="1963"/>
      <c r="M75" s="1963"/>
      <c r="N75" s="1940"/>
      <c r="O75" s="6"/>
      <c r="P75" s="15"/>
      <c r="Q75" s="410"/>
      <c r="R75" s="349"/>
      <c r="S75" s="349"/>
      <c r="T75" s="349"/>
      <c r="U75" s="349"/>
      <c r="V75" s="349"/>
      <c r="W75" s="349"/>
      <c r="X75" s="349"/>
      <c r="Y75" s="349"/>
      <c r="Z75" s="349"/>
      <c r="AA75" s="349"/>
      <c r="AB75" s="349"/>
      <c r="AC75" s="349"/>
      <c r="AD75" s="349"/>
      <c r="AE75" s="349"/>
    </row>
    <row r="76" spans="1:31" x14ac:dyDescent="0.25">
      <c r="A76" s="349"/>
      <c r="B76" s="3"/>
      <c r="C76" s="15"/>
      <c r="D76" s="2524" t="str">
        <f>Translations!$B$366</f>
        <v>Det föreslås att metoderna rangordnas för denna öronmärkning:</v>
      </c>
      <c r="E76" s="2102"/>
      <c r="F76" s="2102"/>
      <c r="G76" s="2102"/>
      <c r="H76" s="2102"/>
      <c r="I76" s="2102"/>
      <c r="J76" s="2102"/>
      <c r="K76" s="2102"/>
      <c r="L76" s="2102"/>
      <c r="M76" s="2102"/>
      <c r="N76" s="2102"/>
      <c r="O76" s="6"/>
      <c r="P76" s="15"/>
      <c r="Q76" s="410"/>
      <c r="R76" s="349"/>
      <c r="S76" s="349"/>
      <c r="T76" s="349"/>
      <c r="U76" s="349"/>
      <c r="V76" s="349"/>
      <c r="W76" s="349"/>
      <c r="X76" s="349"/>
      <c r="Y76" s="349"/>
      <c r="Z76" s="349"/>
      <c r="AA76" s="349"/>
      <c r="AB76" s="349"/>
      <c r="AC76" s="349"/>
      <c r="AD76" s="349"/>
      <c r="AE76" s="349"/>
    </row>
    <row r="77" spans="1:31" ht="25.5" customHeight="1" x14ac:dyDescent="0.25">
      <c r="A77" s="349"/>
      <c r="B77" s="3"/>
      <c r="C77" s="15"/>
      <c r="D77" s="114" t="s">
        <v>1112</v>
      </c>
      <c r="E77" s="2061" t="str">
        <f>Translations!$B$367</f>
        <v>Om värmemängderna kan öronmärkas på ett tydligt sätt (eftersom värmenätanslutningarna är tydligt angivna eller på grund av ångtrycksnivåerna osv.) ska berättigande och icke-berättigande värmemängder rapporteras utifrån denna faktiska situation.</v>
      </c>
      <c r="F77" s="1963"/>
      <c r="G77" s="1963"/>
      <c r="H77" s="1963"/>
      <c r="I77" s="1963"/>
      <c r="J77" s="1963"/>
      <c r="K77" s="1963"/>
      <c r="L77" s="1963"/>
      <c r="M77" s="1963"/>
      <c r="N77" s="1940"/>
      <c r="O77" s="6"/>
      <c r="P77" s="15"/>
      <c r="Q77" s="410"/>
      <c r="R77" s="349"/>
      <c r="S77" s="349"/>
      <c r="T77" s="349"/>
      <c r="U77" s="349"/>
      <c r="V77" s="349"/>
      <c r="W77" s="349"/>
      <c r="X77" s="349"/>
      <c r="Y77" s="349"/>
      <c r="Z77" s="349"/>
      <c r="AA77" s="349"/>
      <c r="AB77" s="349"/>
      <c r="AC77" s="349"/>
      <c r="AD77" s="349"/>
      <c r="AE77" s="349"/>
    </row>
    <row r="78" spans="1:31" x14ac:dyDescent="0.25">
      <c r="A78" s="349"/>
      <c r="B78" s="3"/>
      <c r="C78" s="15"/>
      <c r="D78" s="114" t="s">
        <v>1112</v>
      </c>
      <c r="E78" s="2527" t="str">
        <f>Translations!$B$368</f>
        <v>Om detta inte går ska all användning viktas enligt tillförselkvoten (ETS-tillförsel: total tillförsel) enligt ovan.</v>
      </c>
      <c r="F78" s="1940"/>
      <c r="G78" s="1940"/>
      <c r="H78" s="1940"/>
      <c r="I78" s="1940"/>
      <c r="J78" s="1940"/>
      <c r="K78" s="1940"/>
      <c r="L78" s="1940"/>
      <c r="M78" s="1940"/>
      <c r="N78" s="1940"/>
      <c r="O78" s="6"/>
      <c r="P78" s="15"/>
      <c r="Q78" s="410"/>
      <c r="R78" s="349"/>
      <c r="S78" s="349"/>
      <c r="T78" s="349"/>
      <c r="U78" s="349"/>
      <c r="V78" s="349"/>
      <c r="W78" s="349"/>
      <c r="X78" s="349"/>
      <c r="Y78" s="349"/>
      <c r="Z78" s="349"/>
      <c r="AA78" s="349"/>
      <c r="AB78" s="349"/>
      <c r="AC78" s="349"/>
      <c r="AD78" s="349"/>
      <c r="AE78" s="349"/>
    </row>
    <row r="79" spans="1:31" x14ac:dyDescent="0.25">
      <c r="A79" s="349"/>
      <c r="B79" s="3"/>
      <c r="C79" s="15"/>
      <c r="D79" s="2522" t="str">
        <f>Translations!$B$369</f>
        <v>För denna mall ska följande steg för steg-metod användas:</v>
      </c>
      <c r="E79" s="2102"/>
      <c r="F79" s="2102"/>
      <c r="G79" s="2102"/>
      <c r="H79" s="2102"/>
      <c r="I79" s="2102"/>
      <c r="J79" s="2102"/>
      <c r="K79" s="2102"/>
      <c r="L79" s="2102"/>
      <c r="M79" s="2102"/>
      <c r="N79" s="2102"/>
      <c r="O79" s="6"/>
      <c r="P79" s="15"/>
      <c r="Q79" s="410"/>
      <c r="R79" s="349"/>
      <c r="S79" s="349"/>
      <c r="T79" s="349"/>
      <c r="U79" s="349"/>
      <c r="V79" s="349"/>
      <c r="W79" s="349"/>
      <c r="X79" s="349"/>
      <c r="Y79" s="349"/>
      <c r="Z79" s="349"/>
      <c r="AA79" s="349"/>
      <c r="AB79" s="349"/>
      <c r="AC79" s="349"/>
      <c r="AD79" s="349"/>
      <c r="AE79" s="349"/>
    </row>
    <row r="80" spans="1:31" x14ac:dyDescent="0.25">
      <c r="A80" s="349"/>
      <c r="B80" s="3"/>
      <c r="C80" s="15"/>
      <c r="D80" s="114" t="s">
        <v>1112</v>
      </c>
      <c r="E80" s="2524" t="str">
        <f>Translations!$B$370</f>
        <v>Beräkning görs av en separat balans för förbrukning av ”berättigande” och ”icke-berättigande” värme.</v>
      </c>
      <c r="F80" s="2102"/>
      <c r="G80" s="2102"/>
      <c r="H80" s="2102"/>
      <c r="I80" s="2102"/>
      <c r="J80" s="2102"/>
      <c r="K80" s="2102"/>
      <c r="L80" s="2102"/>
      <c r="M80" s="2102"/>
      <c r="N80" s="2102"/>
      <c r="O80" s="6"/>
      <c r="P80" s="15"/>
      <c r="Q80" s="410"/>
      <c r="R80" s="349"/>
      <c r="S80" s="349"/>
      <c r="T80" s="349"/>
      <c r="U80" s="349"/>
      <c r="V80" s="349"/>
      <c r="W80" s="349"/>
      <c r="X80" s="349"/>
      <c r="Y80" s="349"/>
      <c r="Z80" s="349"/>
      <c r="AA80" s="349"/>
      <c r="AB80" s="349"/>
      <c r="AC80" s="349"/>
      <c r="AD80" s="349"/>
      <c r="AE80" s="349"/>
    </row>
    <row r="81" spans="1:31" ht="25.5" customHeight="1" x14ac:dyDescent="0.25">
      <c r="A81" s="349"/>
      <c r="B81" s="3"/>
      <c r="C81" s="15"/>
      <c r="D81" s="114" t="s">
        <v>1112</v>
      </c>
      <c r="E81" s="2061" t="str">
        <f>Translations!$B$371</f>
        <v>När det gäller elproduktion ska värmeförbrukningen delas utifrån den kvot som anges i punkt f, om inte mängden värme från icke-berättigande källor förs in manuellt i punkt g iii.</v>
      </c>
      <c r="F81" s="2575"/>
      <c r="G81" s="2575"/>
      <c r="H81" s="2575"/>
      <c r="I81" s="2575"/>
      <c r="J81" s="2575"/>
      <c r="K81" s="2575"/>
      <c r="L81" s="2575"/>
      <c r="M81" s="2575"/>
      <c r="N81" s="2575"/>
      <c r="O81" s="6"/>
      <c r="P81" s="15"/>
      <c r="Q81" s="410"/>
      <c r="R81" s="349"/>
      <c r="S81" s="349"/>
      <c r="T81" s="349"/>
      <c r="U81" s="349"/>
      <c r="V81" s="349"/>
      <c r="W81" s="349"/>
      <c r="X81" s="349"/>
      <c r="Y81" s="349"/>
      <c r="Z81" s="349"/>
      <c r="AA81" s="349"/>
      <c r="AB81" s="349"/>
      <c r="AC81" s="349"/>
      <c r="AD81" s="349"/>
      <c r="AE81" s="349"/>
    </row>
    <row r="82" spans="1:31" ht="25.5" customHeight="1" x14ac:dyDescent="0.25">
      <c r="A82" s="349"/>
      <c r="B82" s="3"/>
      <c r="C82" s="15"/>
      <c r="D82" s="114" t="s">
        <v>1112</v>
      </c>
      <c r="E82" s="2061" t="str">
        <f>Translations!$B$372</f>
        <v>När det gäller produktriktmärken ska den totala mängden mätbar värme anges i punkt g nedan. Mängden ”icke-berättigande” värme betraktas som summan av införda mängder i blad ”F_ProductBM”, avsnitt f iii för varje delanläggning (visas här nedan i punkt h xii).</v>
      </c>
      <c r="F82" s="2548"/>
      <c r="G82" s="2548"/>
      <c r="H82" s="2548"/>
      <c r="I82" s="2548"/>
      <c r="J82" s="2548"/>
      <c r="K82" s="2548"/>
      <c r="L82" s="2548"/>
      <c r="M82" s="2548"/>
      <c r="N82" s="2549"/>
      <c r="O82" s="6"/>
      <c r="P82" s="15"/>
      <c r="Q82" s="410"/>
      <c r="R82" s="349"/>
      <c r="S82" s="349"/>
      <c r="T82" s="349"/>
      <c r="U82" s="349"/>
      <c r="V82" s="349"/>
      <c r="W82" s="349"/>
      <c r="X82" s="349"/>
      <c r="Y82" s="349"/>
      <c r="Z82" s="349"/>
      <c r="AA82" s="349"/>
      <c r="AB82" s="349"/>
      <c r="AC82" s="349"/>
      <c r="AD82" s="349"/>
      <c r="AE82" s="349"/>
    </row>
    <row r="83" spans="1:31" ht="40" customHeight="1" x14ac:dyDescent="0.25">
      <c r="A83" s="349"/>
      <c r="B83" s="3"/>
      <c r="C83" s="15"/>
      <c r="D83" s="114" t="s">
        <v>1112</v>
      </c>
      <c r="E83" s="2061" t="str">
        <f>Translations!$B$373</f>
        <v>Värmeexport till anläggningar som omfattas av ETS (avsnitt i nedan) ska alltid betraktas som värme från berättigande källor, eftersom värmekonsumenten inte kommer att ha information om huruvida den värme som producerats i tidigare led är berättigande eller inte. För att undvika dubbelräkning måste värmen dras av från den berättigande mängden vid anläggningen. Mängden får inte överskrida anläggningens totala tillgängliga ”berättigande” värme.</v>
      </c>
      <c r="F83" s="1963"/>
      <c r="G83" s="1963"/>
      <c r="H83" s="1963"/>
      <c r="I83" s="1963"/>
      <c r="J83" s="1963"/>
      <c r="K83" s="1963"/>
      <c r="L83" s="1963"/>
      <c r="M83" s="1963"/>
      <c r="N83" s="1940"/>
      <c r="O83" s="6"/>
      <c r="P83" s="15"/>
      <c r="Q83" s="410"/>
      <c r="R83" s="349"/>
      <c r="S83" s="349"/>
      <c r="T83" s="349"/>
      <c r="U83" s="349"/>
      <c r="V83" s="349"/>
      <c r="W83" s="349"/>
      <c r="X83" s="349"/>
      <c r="Y83" s="349"/>
      <c r="Z83" s="349"/>
      <c r="AA83" s="349"/>
      <c r="AB83" s="349"/>
      <c r="AC83" s="349"/>
      <c r="AD83" s="349"/>
      <c r="AE83" s="349"/>
    </row>
    <row r="84" spans="1:31" ht="25.5" customHeight="1" x14ac:dyDescent="0.25">
      <c r="A84" s="349"/>
      <c r="B84" s="3"/>
      <c r="C84" s="15"/>
      <c r="D84" s="114" t="s">
        <v>1112</v>
      </c>
      <c r="E84" s="2061" t="str">
        <f>Translations!$B$374</f>
        <v>Utifrån den återstående mängden mätbar värme måste det fastställas hur mycket som förbrukas inom anläggningen (utom för elproduktion och för delanläggningar med produktriktmärke). Den mängd ”berättigande” värme som återstår efter föregående steg är den övre gränsen.</v>
      </c>
      <c r="F84" s="1963"/>
      <c r="G84" s="1963"/>
      <c r="H84" s="1963"/>
      <c r="I84" s="1963"/>
      <c r="J84" s="1963"/>
      <c r="K84" s="1963"/>
      <c r="L84" s="1963"/>
      <c r="M84" s="1963"/>
      <c r="N84" s="1940"/>
      <c r="O84" s="6"/>
      <c r="P84" s="15"/>
      <c r="Q84" s="410"/>
      <c r="R84" s="349"/>
      <c r="S84" s="349"/>
      <c r="T84" s="349"/>
      <c r="U84" s="349"/>
      <c r="V84" s="349"/>
      <c r="W84" s="349"/>
      <c r="X84" s="349"/>
      <c r="Y84" s="349"/>
      <c r="Z84" s="349"/>
      <c r="AA84" s="349"/>
      <c r="AB84" s="349"/>
      <c r="AC84" s="349"/>
      <c r="AD84" s="349"/>
      <c r="AE84" s="349"/>
    </row>
    <row r="85" spans="1:31" x14ac:dyDescent="0.25">
      <c r="A85" s="349"/>
      <c r="B85" s="3"/>
      <c r="C85" s="15"/>
      <c r="D85" s="114" t="s">
        <v>1112</v>
      </c>
      <c r="E85" s="2061" t="str">
        <f>Translations!$B$375</f>
        <v>Efter att sådan värme dragits av från den tillgängliga mängden beräknas en ny ”berättigandekvot” (punkt k).</v>
      </c>
      <c r="F85" s="1963"/>
      <c r="G85" s="1963"/>
      <c r="H85" s="1963"/>
      <c r="I85" s="1963"/>
      <c r="J85" s="1963"/>
      <c r="K85" s="1963"/>
      <c r="L85" s="1963"/>
      <c r="M85" s="1963"/>
      <c r="N85" s="1940"/>
      <c r="O85" s="6"/>
      <c r="P85" s="15"/>
      <c r="Q85" s="410"/>
      <c r="R85" s="349"/>
      <c r="S85" s="349"/>
      <c r="T85" s="349"/>
      <c r="U85" s="349"/>
      <c r="V85" s="349"/>
      <c r="W85" s="349"/>
      <c r="X85" s="349"/>
      <c r="Y85" s="349"/>
      <c r="Z85" s="349"/>
      <c r="AA85" s="349"/>
      <c r="AB85" s="349"/>
      <c r="AC85" s="349"/>
      <c r="AD85" s="349"/>
      <c r="AE85" s="349"/>
    </row>
    <row r="86" spans="1:31" x14ac:dyDescent="0.25">
      <c r="A86" s="349"/>
      <c r="B86" s="3"/>
      <c r="C86" s="15"/>
      <c r="D86" s="114" t="s">
        <v>1112</v>
      </c>
      <c r="E86" s="2527" t="str">
        <f>Translations!$B$376</f>
        <v>Den återstående berättigande mängden kan sedan tillskrivas delanläggningarna med värmeriktmärke.</v>
      </c>
      <c r="F86" s="1940"/>
      <c r="G86" s="1940"/>
      <c r="H86" s="1940"/>
      <c r="I86" s="1940"/>
      <c r="J86" s="1940"/>
      <c r="K86" s="1940"/>
      <c r="L86" s="1940"/>
      <c r="M86" s="1940"/>
      <c r="N86" s="1940"/>
      <c r="O86" s="6"/>
      <c r="P86" s="15"/>
      <c r="Q86" s="410"/>
      <c r="R86" s="349"/>
      <c r="S86" s="349"/>
      <c r="T86" s="349"/>
      <c r="U86" s="349"/>
      <c r="V86" s="349"/>
      <c r="W86" s="349"/>
      <c r="X86" s="349"/>
      <c r="Y86" s="349"/>
      <c r="Z86" s="349"/>
      <c r="AA86" s="349"/>
      <c r="AB86" s="349"/>
      <c r="AC86" s="349"/>
      <c r="AD86" s="349"/>
      <c r="AE86" s="349"/>
    </row>
    <row r="87" spans="1:31" x14ac:dyDescent="0.25">
      <c r="A87" s="349"/>
      <c r="B87" s="19"/>
      <c r="C87" s="19"/>
      <c r="D87" s="19"/>
      <c r="E87" s="19"/>
      <c r="F87" s="19"/>
      <c r="G87" s="19"/>
      <c r="H87" s="19"/>
      <c r="I87" s="19"/>
      <c r="J87" s="19"/>
      <c r="K87" s="19"/>
      <c r="L87" s="19"/>
      <c r="M87" s="19"/>
      <c r="N87" s="19"/>
      <c r="O87" s="6"/>
      <c r="P87" s="15"/>
      <c r="Q87" s="349"/>
      <c r="R87" s="349"/>
      <c r="S87" s="349"/>
      <c r="T87" s="349"/>
      <c r="U87" s="349"/>
      <c r="V87" s="349"/>
      <c r="W87" s="349"/>
      <c r="X87" s="349"/>
      <c r="Y87" s="349"/>
      <c r="Z87" s="349"/>
      <c r="AA87" s="349"/>
      <c r="AB87" s="349"/>
      <c r="AC87" s="349"/>
      <c r="AD87" s="349"/>
      <c r="AE87" s="349"/>
    </row>
    <row r="88" spans="1:31" ht="14" x14ac:dyDescent="0.3">
      <c r="A88" s="349"/>
      <c r="B88" s="3"/>
      <c r="C88" s="17"/>
      <c r="D88" s="18"/>
      <c r="E88" s="2105" t="str">
        <f>Translations!$B$377</f>
        <v>Värmetillförsel</v>
      </c>
      <c r="F88" s="2102"/>
      <c r="G88" s="2102"/>
      <c r="H88" s="2102"/>
      <c r="I88" s="2102"/>
      <c r="J88" s="2102"/>
      <c r="K88" s="2102"/>
      <c r="L88" s="2102"/>
      <c r="M88" s="2102"/>
      <c r="N88" s="2102"/>
      <c r="O88" s="6"/>
      <c r="P88" s="15"/>
      <c r="Q88" s="410"/>
      <c r="R88" s="349"/>
      <c r="S88" s="349"/>
      <c r="T88" s="349"/>
      <c r="U88" s="349"/>
      <c r="V88" s="349"/>
      <c r="W88" s="349"/>
      <c r="X88" s="349"/>
      <c r="Y88" s="349"/>
      <c r="Z88" s="349"/>
      <c r="AA88" s="349"/>
      <c r="AB88" s="349"/>
      <c r="AC88" s="349"/>
      <c r="AD88" s="349"/>
      <c r="AE88" s="349"/>
    </row>
    <row r="89" spans="1:31" ht="5.15" customHeight="1" x14ac:dyDescent="0.25">
      <c r="A89" s="349"/>
      <c r="B89" s="3"/>
      <c r="C89" s="3"/>
      <c r="D89" s="3"/>
      <c r="E89" s="3"/>
      <c r="F89" s="3"/>
      <c r="G89" s="3"/>
      <c r="H89" s="3"/>
      <c r="I89" s="3"/>
      <c r="J89" s="3"/>
      <c r="K89" s="3"/>
      <c r="L89" s="3"/>
      <c r="M89" s="3"/>
      <c r="N89" s="3"/>
      <c r="O89" s="6"/>
      <c r="P89" s="15"/>
      <c r="Q89" s="410"/>
      <c r="R89" s="349"/>
      <c r="S89" s="349"/>
      <c r="T89" s="349"/>
      <c r="U89" s="349"/>
      <c r="V89" s="349"/>
      <c r="W89" s="349"/>
      <c r="X89" s="349"/>
      <c r="Y89" s="349"/>
      <c r="Z89" s="349"/>
      <c r="AA89" s="349"/>
      <c r="AB89" s="349"/>
      <c r="AC89" s="349"/>
      <c r="AD89" s="349"/>
      <c r="AE89" s="349"/>
    </row>
    <row r="90" spans="1:31" ht="13" x14ac:dyDescent="0.25">
      <c r="A90" s="349"/>
      <c r="B90" s="3"/>
      <c r="C90" s="13"/>
      <c r="D90" s="13" t="s">
        <v>442</v>
      </c>
      <c r="E90" s="2101" t="str">
        <f>Translations!$B$378</f>
        <v>Total nettomängd mätbar värme som produceras vid anläggningen:</v>
      </c>
      <c r="F90" s="2102"/>
      <c r="G90" s="2102"/>
      <c r="H90" s="2102"/>
      <c r="I90" s="2102"/>
      <c r="J90" s="2102"/>
      <c r="K90" s="2102"/>
      <c r="L90" s="2102"/>
      <c r="M90" s="2102"/>
      <c r="N90" s="2102"/>
      <c r="O90" s="6"/>
      <c r="P90" s="15"/>
      <c r="Q90" s="410"/>
      <c r="R90" s="349"/>
      <c r="S90" s="349"/>
      <c r="T90" s="349"/>
      <c r="U90" s="349"/>
      <c r="V90" s="349"/>
      <c r="W90" s="349"/>
      <c r="X90" s="349"/>
      <c r="Y90" s="349"/>
      <c r="Z90" s="349"/>
      <c r="AA90" s="349"/>
      <c r="AB90" s="349"/>
      <c r="AC90" s="349"/>
      <c r="AD90" s="349"/>
      <c r="AE90" s="349"/>
    </row>
    <row r="91" spans="1:31" x14ac:dyDescent="0.25">
      <c r="A91" s="349"/>
      <c r="B91" s="3"/>
      <c r="C91" s="3"/>
      <c r="D91" s="322"/>
      <c r="E91" s="2070" t="str">
        <f>Translations!$B$363</f>
        <v>Alla värmerelaterade uppgifter bör avse ”nettomängden mätbar värme” (dvs. värmeinnehållet i värmeflödet till användaren minus värmeinnehållet i återflödet).</v>
      </c>
      <c r="F91" s="1963"/>
      <c r="G91" s="1963"/>
      <c r="H91" s="1963"/>
      <c r="I91" s="1963"/>
      <c r="J91" s="1963"/>
      <c r="K91" s="1963"/>
      <c r="L91" s="1963"/>
      <c r="M91" s="1963"/>
      <c r="N91" s="1963"/>
      <c r="O91" s="6"/>
      <c r="P91" s="15"/>
      <c r="Q91" s="410"/>
      <c r="R91" s="349"/>
      <c r="S91" s="349"/>
      <c r="T91" s="349"/>
      <c r="U91" s="349"/>
      <c r="V91" s="349"/>
      <c r="W91" s="349"/>
      <c r="X91" s="349"/>
      <c r="Y91" s="349"/>
      <c r="Z91" s="349"/>
      <c r="AA91" s="349"/>
      <c r="AB91" s="349"/>
      <c r="AC91" s="349"/>
      <c r="AD91" s="349"/>
      <c r="AE91" s="349"/>
    </row>
    <row r="92" spans="1:31" x14ac:dyDescent="0.25">
      <c r="A92" s="349"/>
      <c r="B92" s="3"/>
      <c r="C92" s="15"/>
      <c r="D92" s="15"/>
      <c r="E92" s="2524" t="str">
        <f>Translations!$B$379</f>
        <v>Inkluderar inte mätbar värme som omfattas av punkterna b, c och d. Notera att värme som produceras vid delanläggningar för salpetersyra måste rapporteras under punkt c som ”import utanför ETS”.</v>
      </c>
      <c r="F92" s="2102"/>
      <c r="G92" s="2102"/>
      <c r="H92" s="2102"/>
      <c r="I92" s="2102"/>
      <c r="J92" s="2102"/>
      <c r="K92" s="2102"/>
      <c r="L92" s="2102"/>
      <c r="M92" s="2102"/>
      <c r="N92" s="2102"/>
      <c r="O92" s="6"/>
      <c r="P92" s="15"/>
      <c r="Q92" s="410"/>
      <c r="R92" s="349"/>
      <c r="S92" s="349"/>
      <c r="T92" s="349"/>
      <c r="U92" s="349"/>
      <c r="V92" s="349"/>
      <c r="W92" s="349"/>
      <c r="X92" s="349"/>
      <c r="Y92" s="349"/>
      <c r="Z92" s="349"/>
      <c r="AA92" s="349"/>
      <c r="AB92" s="349"/>
      <c r="AC92" s="349"/>
      <c r="AD92" s="349"/>
      <c r="AE92" s="349"/>
    </row>
    <row r="93" spans="1:31" ht="13.5" thickBot="1" x14ac:dyDescent="0.3">
      <c r="A93" s="349"/>
      <c r="B93" s="19"/>
      <c r="C93" s="19"/>
      <c r="D93" s="19"/>
      <c r="E93" s="24"/>
      <c r="F93" s="21"/>
      <c r="G93" s="30" t="str">
        <f>EUconst_Unit</f>
        <v>Enhet</v>
      </c>
      <c r="H93" s="320">
        <f t="shared" ref="H93:N93" si="11">H$393</f>
        <v>2019</v>
      </c>
      <c r="I93" s="320">
        <f t="shared" si="11"/>
        <v>2020</v>
      </c>
      <c r="J93" s="320">
        <f t="shared" si="11"/>
        <v>2021</v>
      </c>
      <c r="K93" s="320">
        <f t="shared" si="11"/>
        <v>2022</v>
      </c>
      <c r="L93" s="320">
        <f t="shared" si="11"/>
        <v>2023</v>
      </c>
      <c r="M93" s="320">
        <f t="shared" si="11"/>
        <v>2024</v>
      </c>
      <c r="N93" s="320">
        <f t="shared" si="11"/>
        <v>2025</v>
      </c>
      <c r="O93" s="6"/>
      <c r="P93" s="15"/>
      <c r="Q93" s="349"/>
      <c r="R93" s="349"/>
      <c r="S93" s="349"/>
      <c r="T93" s="936" t="s">
        <v>1213</v>
      </c>
      <c r="U93" s="349"/>
      <c r="V93" s="349"/>
      <c r="W93" s="349"/>
      <c r="X93" s="349"/>
      <c r="Y93" s="349"/>
      <c r="Z93" s="349"/>
      <c r="AA93" s="349"/>
      <c r="AB93" s="349"/>
      <c r="AC93" s="349"/>
      <c r="AD93" s="349"/>
      <c r="AE93" s="349"/>
    </row>
    <row r="94" spans="1:31" ht="12.65" customHeight="1" x14ac:dyDescent="0.25">
      <c r="A94" s="349"/>
      <c r="B94" s="19"/>
      <c r="C94" s="19"/>
      <c r="D94" s="19"/>
      <c r="E94" s="2544" t="str">
        <f>Translations!$B$380</f>
        <v>Producerad mätbar värme</v>
      </c>
      <c r="F94" s="2545"/>
      <c r="G94" s="43" t="str">
        <f>EUconst_TJpa</f>
        <v>TJ / år</v>
      </c>
      <c r="H94" s="260"/>
      <c r="I94" s="260"/>
      <c r="J94" s="260"/>
      <c r="K94" s="260"/>
      <c r="L94" s="260"/>
      <c r="M94" s="260"/>
      <c r="N94" s="260"/>
      <c r="O94" s="6"/>
      <c r="P94" s="1552"/>
      <c r="Q94" s="349"/>
      <c r="R94" s="349"/>
      <c r="S94" s="349"/>
      <c r="T94" s="503" t="b">
        <f>AND(M69&lt;&gt;"",M69=FALSE)</f>
        <v>0</v>
      </c>
      <c r="U94" s="349"/>
      <c r="V94" s="349"/>
      <c r="W94" s="349"/>
      <c r="X94" s="349"/>
      <c r="Y94" s="349"/>
      <c r="Z94" s="349"/>
      <c r="AA94" s="349"/>
      <c r="AB94" s="349"/>
      <c r="AC94" s="349"/>
      <c r="AD94" s="1526" t="s">
        <v>2248</v>
      </c>
      <c r="AE94" s="394" t="str">
        <f>IF(AND(CNTR_HasEntries_A_I,COUNTIFS($V$16:$AB$16,FALSE,H94:N94,"")&gt;0,$T$94=FALSE),2,"")</f>
        <v/>
      </c>
    </row>
    <row r="95" spans="1:31" ht="5.15" customHeight="1" x14ac:dyDescent="0.25">
      <c r="A95" s="349"/>
      <c r="B95" s="3"/>
      <c r="C95" s="3"/>
      <c r="D95" s="3"/>
      <c r="E95" s="3"/>
      <c r="F95" s="3"/>
      <c r="G95" s="3"/>
      <c r="H95" s="3"/>
      <c r="I95" s="3"/>
      <c r="J95" s="3"/>
      <c r="K95" s="3"/>
      <c r="L95" s="3"/>
      <c r="M95" s="3"/>
      <c r="N95" s="3"/>
      <c r="O95" s="6"/>
      <c r="P95" s="15"/>
      <c r="Q95" s="410"/>
      <c r="R95" s="349"/>
      <c r="S95" s="349"/>
      <c r="T95" s="543"/>
      <c r="U95" s="349"/>
      <c r="V95" s="349"/>
      <c r="W95" s="349"/>
      <c r="X95" s="349"/>
      <c r="Y95" s="349"/>
      <c r="Z95" s="349"/>
      <c r="AA95" s="349"/>
      <c r="AB95" s="349"/>
      <c r="AC95" s="349"/>
      <c r="AD95" s="349"/>
      <c r="AE95" s="349"/>
    </row>
    <row r="96" spans="1:31" ht="13" customHeight="1" x14ac:dyDescent="0.25">
      <c r="A96" s="349"/>
      <c r="B96" s="3"/>
      <c r="C96" s="13"/>
      <c r="D96" s="13" t="s">
        <v>955</v>
      </c>
      <c r="E96" s="2530" t="str">
        <f>Translations!$B$381</f>
        <v>Mätbar värme som importeras från anläggningar inom ETS:</v>
      </c>
      <c r="F96" s="2530"/>
      <c r="G96" s="2530"/>
      <c r="H96" s="2530"/>
      <c r="I96" s="2530"/>
      <c r="J96" s="2530"/>
      <c r="K96" s="2530"/>
      <c r="L96" s="2530"/>
      <c r="M96" s="2530"/>
      <c r="N96" s="2530"/>
      <c r="O96" s="6"/>
      <c r="P96" s="15"/>
      <c r="Q96" s="410"/>
      <c r="R96" s="349"/>
      <c r="S96" s="349"/>
      <c r="T96" s="543"/>
      <c r="U96" s="349"/>
      <c r="V96" s="349"/>
      <c r="W96" s="349"/>
      <c r="X96" s="349"/>
      <c r="Y96" s="349"/>
      <c r="Z96" s="349"/>
      <c r="AA96" s="349"/>
      <c r="AB96" s="349"/>
      <c r="AC96" s="349"/>
      <c r="AD96" s="349"/>
      <c r="AE96" s="349"/>
    </row>
    <row r="97" spans="1:31" ht="12.65" customHeight="1" x14ac:dyDescent="0.25">
      <c r="A97" s="349"/>
      <c r="B97" s="3"/>
      <c r="C97" s="15"/>
      <c r="D97" s="15"/>
      <c r="E97" s="2533" t="str">
        <f>Translations!$B$382</f>
        <v>Anläggningarnas namn i nedrullningslistan har hämtats från avsnitt A.IV. Därför måste ni säkerställa att ni har angett fullständiga uppgifter där.</v>
      </c>
      <c r="F97" s="2533"/>
      <c r="G97" s="2533"/>
      <c r="H97" s="2533"/>
      <c r="I97" s="2533"/>
      <c r="J97" s="2533"/>
      <c r="K97" s="2533"/>
      <c r="L97" s="2533"/>
      <c r="M97" s="2533"/>
      <c r="N97" s="2533"/>
      <c r="O97" s="6"/>
      <c r="P97" s="15"/>
      <c r="Q97" s="410"/>
      <c r="R97" s="349"/>
      <c r="S97" s="349"/>
      <c r="T97" s="543"/>
      <c r="U97" s="349"/>
      <c r="V97" s="349"/>
      <c r="W97" s="349"/>
      <c r="X97" s="349"/>
      <c r="Y97" s="349"/>
      <c r="Z97" s="349"/>
      <c r="AA97" s="349"/>
      <c r="AB97" s="349"/>
      <c r="AC97" s="349"/>
      <c r="AD97" s="349"/>
      <c r="AE97" s="349"/>
    </row>
    <row r="98" spans="1:31" ht="12.65" customHeight="1" x14ac:dyDescent="0.25">
      <c r="A98" s="349"/>
      <c r="B98" s="3"/>
      <c r="C98" s="15"/>
      <c r="D98" s="15"/>
      <c r="E98" s="2533" t="str">
        <f>Translations!$B$1462</f>
        <v>Om det finns fler än tre anslutningar ska de sammanställas. Det kan innebära att avsnitt A.V.b måste ändras.</v>
      </c>
      <c r="F98" s="2531"/>
      <c r="G98" s="2531"/>
      <c r="H98" s="2531"/>
      <c r="I98" s="2531"/>
      <c r="J98" s="2531"/>
      <c r="K98" s="2531"/>
      <c r="L98" s="2531"/>
      <c r="M98" s="2531"/>
      <c r="N98" s="2531"/>
      <c r="O98" s="6"/>
      <c r="P98" s="15"/>
      <c r="Q98" s="410"/>
      <c r="R98" s="349"/>
      <c r="S98" s="349"/>
      <c r="T98" s="543"/>
      <c r="U98" s="349"/>
      <c r="V98" s="349"/>
      <c r="W98" s="349"/>
      <c r="X98" s="349"/>
      <c r="Y98" s="349"/>
      <c r="Z98" s="349"/>
      <c r="AA98" s="349"/>
      <c r="AB98" s="349"/>
      <c r="AC98" s="349"/>
      <c r="AD98" s="349"/>
      <c r="AE98" s="349"/>
    </row>
    <row r="99" spans="1:31" ht="13" customHeight="1" x14ac:dyDescent="0.25">
      <c r="A99" s="349"/>
      <c r="B99" s="19"/>
      <c r="C99" s="19"/>
      <c r="D99" s="19"/>
      <c r="E99" s="2528" t="str">
        <f>Translations!$B$383</f>
        <v>Anläggningens namn</v>
      </c>
      <c r="F99" s="2529"/>
      <c r="G99" s="30" t="str">
        <f>EUconst_Unit</f>
        <v>Enhet</v>
      </c>
      <c r="H99" s="320">
        <f t="shared" ref="H99:N99" si="12">H$393</f>
        <v>2019</v>
      </c>
      <c r="I99" s="320">
        <f t="shared" si="12"/>
        <v>2020</v>
      </c>
      <c r="J99" s="320">
        <f t="shared" si="12"/>
        <v>2021</v>
      </c>
      <c r="K99" s="320">
        <f t="shared" si="12"/>
        <v>2022</v>
      </c>
      <c r="L99" s="320">
        <f t="shared" si="12"/>
        <v>2023</v>
      </c>
      <c r="M99" s="320">
        <f t="shared" si="12"/>
        <v>2024</v>
      </c>
      <c r="N99" s="320">
        <f t="shared" si="12"/>
        <v>2025</v>
      </c>
      <c r="O99" s="6"/>
      <c r="P99" s="15"/>
      <c r="Q99" s="349"/>
      <c r="R99" s="349"/>
      <c r="S99" s="349"/>
      <c r="T99" s="543"/>
      <c r="U99" s="349"/>
      <c r="V99" s="349"/>
      <c r="W99" s="349"/>
      <c r="X99" s="349"/>
      <c r="Y99" s="349"/>
      <c r="Z99" s="349"/>
      <c r="AA99" s="349"/>
      <c r="AB99" s="349"/>
      <c r="AC99" s="349"/>
      <c r="AD99" s="349"/>
      <c r="AE99" s="349"/>
    </row>
    <row r="100" spans="1:31" x14ac:dyDescent="0.25">
      <c r="A100" s="349"/>
      <c r="B100" s="19"/>
      <c r="C100" s="175"/>
      <c r="D100" s="175" t="s">
        <v>8</v>
      </c>
      <c r="E100" s="2550"/>
      <c r="F100" s="2551"/>
      <c r="G100" s="32" t="str">
        <f>EUconst_TJpa</f>
        <v>TJ / år</v>
      </c>
      <c r="H100" s="280"/>
      <c r="I100" s="280"/>
      <c r="J100" s="280"/>
      <c r="K100" s="280"/>
      <c r="L100" s="280"/>
      <c r="M100" s="280"/>
      <c r="N100" s="280"/>
      <c r="O100" s="6"/>
      <c r="P100" s="1552"/>
      <c r="Q100" s="349"/>
      <c r="R100" s="349"/>
      <c r="S100" s="349"/>
      <c r="T100" s="490" t="b">
        <f>T94</f>
        <v>0</v>
      </c>
      <c r="U100" s="349"/>
      <c r="V100" s="349"/>
      <c r="W100" s="349"/>
      <c r="X100" s="349"/>
      <c r="Y100" s="349"/>
      <c r="Z100" s="349"/>
      <c r="AA100" s="349"/>
      <c r="AB100" s="349"/>
      <c r="AC100" s="349"/>
      <c r="AD100" s="1526" t="s">
        <v>2248</v>
      </c>
      <c r="AE100" s="394" t="str">
        <f>IF(AND(CNTR_HasEntries_A_I,E100&lt;&gt;"",COUNTIFS($V$16:$AB$16,FALSE,H100:N100,"")&gt;0),2,"")</f>
        <v/>
      </c>
    </row>
    <row r="101" spans="1:31" x14ac:dyDescent="0.25">
      <c r="A101" s="349"/>
      <c r="B101" s="19"/>
      <c r="C101" s="175"/>
      <c r="D101" s="175" t="s">
        <v>9</v>
      </c>
      <c r="E101" s="2536"/>
      <c r="F101" s="2537"/>
      <c r="G101" s="33" t="str">
        <f>EUconst_TJpa</f>
        <v>TJ / år</v>
      </c>
      <c r="H101" s="279"/>
      <c r="I101" s="279"/>
      <c r="J101" s="279"/>
      <c r="K101" s="279"/>
      <c r="L101" s="279"/>
      <c r="M101" s="279"/>
      <c r="N101" s="279"/>
      <c r="O101" s="6"/>
      <c r="P101" s="1552"/>
      <c r="Q101" s="349"/>
      <c r="R101" s="349"/>
      <c r="S101" s="349"/>
      <c r="T101" s="490" t="b">
        <f>T100</f>
        <v>0</v>
      </c>
      <c r="U101" s="349"/>
      <c r="V101" s="349"/>
      <c r="W101" s="349"/>
      <c r="X101" s="349"/>
      <c r="Y101" s="349"/>
      <c r="Z101" s="349"/>
      <c r="AA101" s="349"/>
      <c r="AB101" s="349"/>
      <c r="AC101" s="349"/>
      <c r="AD101" s="1526" t="s">
        <v>2248</v>
      </c>
      <c r="AE101" s="394" t="str">
        <f>IF(AND(CNTR_HasEntries_A_I,E101&lt;&gt;"",COUNTIFS($V$16:$AB$16,FALSE,H101:N101,"")&gt;0),2,"")</f>
        <v/>
      </c>
    </row>
    <row r="102" spans="1:31" x14ac:dyDescent="0.25">
      <c r="A102" s="349"/>
      <c r="B102" s="19"/>
      <c r="C102" s="175"/>
      <c r="D102" s="175" t="s">
        <v>10</v>
      </c>
      <c r="E102" s="2538"/>
      <c r="F102" s="2539"/>
      <c r="G102" s="36" t="str">
        <f>EUconst_TJpa</f>
        <v>TJ / år</v>
      </c>
      <c r="H102" s="277"/>
      <c r="I102" s="277"/>
      <c r="J102" s="277"/>
      <c r="K102" s="277"/>
      <c r="L102" s="277"/>
      <c r="M102" s="277"/>
      <c r="N102" s="277"/>
      <c r="O102" s="6"/>
      <c r="P102" s="1552"/>
      <c r="Q102" s="349"/>
      <c r="R102" s="349"/>
      <c r="S102" s="349"/>
      <c r="T102" s="490" t="b">
        <f>T101</f>
        <v>0</v>
      </c>
      <c r="U102" s="349"/>
      <c r="V102" s="349"/>
      <c r="W102" s="349"/>
      <c r="X102" s="349"/>
      <c r="Y102" s="349"/>
      <c r="Z102" s="349"/>
      <c r="AA102" s="349"/>
      <c r="AB102" s="349"/>
      <c r="AC102" s="349"/>
      <c r="AD102" s="1526" t="s">
        <v>2248</v>
      </c>
      <c r="AE102" s="394" t="str">
        <f>IF(AND(CNTR_HasEntries_A_I,E102&lt;&gt;"",COUNTIFS($V$16:$AB$16,FALSE,H102:N102,"")&gt;0),2,"")</f>
        <v/>
      </c>
    </row>
    <row r="103" spans="1:31" x14ac:dyDescent="0.25">
      <c r="A103" s="349"/>
      <c r="B103" s="19"/>
      <c r="C103" s="175"/>
      <c r="D103" s="175" t="s">
        <v>23</v>
      </c>
      <c r="E103" s="1034" t="str">
        <f>Translations!$B$384</f>
        <v>Delsumma</v>
      </c>
      <c r="F103" s="1034"/>
      <c r="G103" s="47" t="str">
        <f>EUconst_TJpa</f>
        <v>TJ / år</v>
      </c>
      <c r="H103" s="258" t="str">
        <f t="shared" ref="H103:N103" si="13">IF(COUNT(H100:H102)&gt;0,SUM(H100:H102),"")</f>
        <v/>
      </c>
      <c r="I103" s="258" t="str">
        <f t="shared" si="13"/>
        <v/>
      </c>
      <c r="J103" s="258" t="str">
        <f t="shared" si="13"/>
        <v/>
      </c>
      <c r="K103" s="258" t="str">
        <f t="shared" si="13"/>
        <v/>
      </c>
      <c r="L103" s="258" t="str">
        <f t="shared" si="13"/>
        <v/>
      </c>
      <c r="M103" s="258" t="str">
        <f t="shared" si="13"/>
        <v/>
      </c>
      <c r="N103" s="258" t="str">
        <f t="shared" si="13"/>
        <v/>
      </c>
      <c r="O103" s="6"/>
      <c r="P103" s="15"/>
      <c r="Q103" s="349"/>
      <c r="R103" s="349"/>
      <c r="S103" s="349"/>
      <c r="T103" s="543"/>
      <c r="U103" s="349"/>
      <c r="V103" s="349"/>
      <c r="W103" s="349"/>
      <c r="X103" s="349"/>
      <c r="Y103" s="349"/>
      <c r="Z103" s="349"/>
      <c r="AA103" s="349"/>
      <c r="AB103" s="349"/>
      <c r="AC103" s="349"/>
      <c r="AD103" s="349"/>
      <c r="AE103" s="349"/>
    </row>
    <row r="104" spans="1:31" ht="5.15" customHeight="1" x14ac:dyDescent="0.25">
      <c r="A104" s="349"/>
      <c r="B104" s="3"/>
      <c r="C104" s="3"/>
      <c r="D104" s="3"/>
      <c r="E104" s="3"/>
      <c r="F104" s="3"/>
      <c r="G104" s="3"/>
      <c r="H104" s="3"/>
      <c r="I104" s="3"/>
      <c r="J104" s="3"/>
      <c r="K104" s="3"/>
      <c r="L104" s="3"/>
      <c r="M104" s="3"/>
      <c r="N104" s="3"/>
      <c r="O104" s="6"/>
      <c r="P104" s="15"/>
      <c r="Q104" s="410"/>
      <c r="R104" s="349"/>
      <c r="S104" s="349"/>
      <c r="T104" s="543"/>
      <c r="U104" s="349"/>
      <c r="V104" s="349"/>
      <c r="W104" s="349"/>
      <c r="X104" s="349"/>
      <c r="Y104" s="349"/>
      <c r="Z104" s="349"/>
      <c r="AA104" s="349"/>
      <c r="AB104" s="349"/>
      <c r="AC104" s="349"/>
      <c r="AD104" s="349"/>
      <c r="AE104" s="349"/>
    </row>
    <row r="105" spans="1:31" ht="13" customHeight="1" x14ac:dyDescent="0.25">
      <c r="A105" s="349"/>
      <c r="B105" s="3"/>
      <c r="C105" s="13"/>
      <c r="D105" s="13" t="s">
        <v>55</v>
      </c>
      <c r="E105" s="2530" t="str">
        <f>Translations!$B$385</f>
        <v>Mätbar värme som importeras från anläggningar och enheter utanför ETS (icke-berättigande för värmeriktmärke):</v>
      </c>
      <c r="F105" s="2531"/>
      <c r="G105" s="2531"/>
      <c r="H105" s="2531"/>
      <c r="I105" s="2531"/>
      <c r="J105" s="2531"/>
      <c r="K105" s="2531"/>
      <c r="L105" s="2531"/>
      <c r="M105" s="2531"/>
      <c r="N105" s="2531"/>
      <c r="O105" s="6"/>
      <c r="P105" s="15"/>
      <c r="Q105" s="410"/>
      <c r="R105" s="349"/>
      <c r="S105" s="349"/>
      <c r="T105" s="543"/>
      <c r="U105" s="349"/>
      <c r="V105" s="349"/>
      <c r="W105" s="349"/>
      <c r="X105" s="349"/>
      <c r="Y105" s="349"/>
      <c r="Z105" s="349"/>
      <c r="AA105" s="349"/>
      <c r="AB105" s="349"/>
      <c r="AC105" s="349"/>
      <c r="AD105" s="349"/>
      <c r="AE105" s="349"/>
    </row>
    <row r="106" spans="1:31" ht="12.65" customHeight="1" x14ac:dyDescent="0.25">
      <c r="A106" s="349"/>
      <c r="B106" s="3"/>
      <c r="C106" s="15"/>
      <c r="D106" s="15"/>
      <c r="E106" s="2533" t="str">
        <f>Translations!$B$386</f>
        <v xml:space="preserve">Detta innefattar delanläggningar som producerar salpetersyra (välj ”Inom anläggningen” som anläggningens namn, om produktion av salpetersyra ingår i anläggningens verksamhet). </v>
      </c>
      <c r="F106" s="2533"/>
      <c r="G106" s="2533"/>
      <c r="H106" s="2533"/>
      <c r="I106" s="2533"/>
      <c r="J106" s="2533"/>
      <c r="K106" s="2533"/>
      <c r="L106" s="2533"/>
      <c r="M106" s="2533"/>
      <c r="N106" s="2533"/>
      <c r="O106" s="6"/>
      <c r="P106" s="15"/>
      <c r="Q106" s="410"/>
      <c r="R106" s="349"/>
      <c r="S106" s="349"/>
      <c r="T106" s="543"/>
      <c r="U106" s="349"/>
      <c r="V106" s="349"/>
      <c r="W106" s="349"/>
      <c r="X106" s="349"/>
      <c r="Y106" s="349"/>
      <c r="Z106" s="349"/>
      <c r="AA106" s="349"/>
      <c r="AB106" s="349"/>
      <c r="AC106" s="349"/>
      <c r="AD106" s="349"/>
      <c r="AE106" s="349"/>
    </row>
    <row r="107" spans="1:31" ht="12.65" customHeight="1" x14ac:dyDescent="0.25">
      <c r="A107" s="349"/>
      <c r="B107" s="3"/>
      <c r="C107" s="15"/>
      <c r="D107" s="15"/>
      <c r="E107" s="2533" t="str">
        <f>Translations!$B$1463</f>
        <v xml:space="preserve">Detta inkluderar dessutom all värme från el under d) nedan. </v>
      </c>
      <c r="F107" s="2533"/>
      <c r="G107" s="2533"/>
      <c r="H107" s="2533"/>
      <c r="I107" s="2533"/>
      <c r="J107" s="2533"/>
      <c r="K107" s="2533"/>
      <c r="L107" s="2533"/>
      <c r="M107" s="2533"/>
      <c r="N107" s="2533"/>
      <c r="O107" s="6"/>
      <c r="P107" s="15"/>
      <c r="Q107" s="410"/>
      <c r="R107" s="349"/>
      <c r="S107" s="349"/>
      <c r="T107" s="543"/>
      <c r="U107" s="349"/>
      <c r="V107" s="349"/>
      <c r="W107" s="349"/>
      <c r="X107" s="349"/>
      <c r="Y107" s="349"/>
      <c r="Z107" s="349"/>
      <c r="AA107" s="349"/>
      <c r="AB107" s="349"/>
      <c r="AC107" s="349"/>
      <c r="AD107" s="349"/>
      <c r="AE107" s="349"/>
    </row>
    <row r="108" spans="1:31" ht="12.65" customHeight="1" x14ac:dyDescent="0.25">
      <c r="A108" s="349"/>
      <c r="B108" s="3"/>
      <c r="C108" s="15"/>
      <c r="D108" s="15"/>
      <c r="E108" s="2533" t="str">
        <f>Translations!$B$387</f>
        <v>Notera att de uppgifter som anges här ska kontrolleras mot den importerade värmen som anges för delanläggningar med produktriktmärke (se blad ”F_ProductBM”).</v>
      </c>
      <c r="F108" s="2531"/>
      <c r="G108" s="2531"/>
      <c r="H108" s="2531"/>
      <c r="I108" s="2531"/>
      <c r="J108" s="2531"/>
      <c r="K108" s="2531"/>
      <c r="L108" s="2531"/>
      <c r="M108" s="2531"/>
      <c r="N108" s="2531"/>
      <c r="O108" s="6"/>
      <c r="P108" s="15"/>
      <c r="Q108" s="410"/>
      <c r="R108" s="349"/>
      <c r="S108" s="349"/>
      <c r="T108" s="543"/>
      <c r="U108" s="349"/>
      <c r="V108" s="349"/>
      <c r="W108" s="349"/>
      <c r="X108" s="349"/>
      <c r="Y108" s="349"/>
      <c r="Z108" s="349"/>
      <c r="AA108" s="349"/>
      <c r="AB108" s="349"/>
      <c r="AC108" s="349"/>
      <c r="AD108" s="349"/>
      <c r="AE108" s="349"/>
    </row>
    <row r="109" spans="1:31" ht="12.65" customHeight="1" x14ac:dyDescent="0.25">
      <c r="A109" s="349"/>
      <c r="B109" s="3"/>
      <c r="C109" s="15"/>
      <c r="D109" s="15"/>
      <c r="E109" s="2533" t="str">
        <f>Translations!$B$1462</f>
        <v>Om det finns fler än tre anslutningar ska de sammanställas. Det kan innebära att avsnitt A.V.b måste ändras.</v>
      </c>
      <c r="F109" s="2531"/>
      <c r="G109" s="2531"/>
      <c r="H109" s="2531"/>
      <c r="I109" s="2531"/>
      <c r="J109" s="2531"/>
      <c r="K109" s="2531"/>
      <c r="L109" s="2531"/>
      <c r="M109" s="2531"/>
      <c r="N109" s="2531"/>
      <c r="O109" s="6"/>
      <c r="P109" s="15"/>
      <c r="Q109" s="410"/>
      <c r="R109" s="349"/>
      <c r="S109" s="349"/>
      <c r="T109" s="543"/>
      <c r="U109" s="349"/>
      <c r="V109" s="349"/>
      <c r="W109" s="349"/>
      <c r="X109" s="349"/>
      <c r="Y109" s="349"/>
      <c r="Z109" s="349"/>
      <c r="AA109" s="349"/>
      <c r="AB109" s="349"/>
      <c r="AC109" s="349"/>
      <c r="AD109" s="349"/>
      <c r="AE109" s="349"/>
    </row>
    <row r="110" spans="1:31" ht="13" customHeight="1" x14ac:dyDescent="0.25">
      <c r="A110" s="349"/>
      <c r="B110" s="19"/>
      <c r="C110" s="19"/>
      <c r="D110" s="19"/>
      <c r="E110" s="2528" t="str">
        <f>Translations!$B$202</f>
        <v>Anläggningens eller enhetens namn</v>
      </c>
      <c r="F110" s="2529"/>
      <c r="G110" s="30" t="str">
        <f>EUconst_Unit</f>
        <v>Enhet</v>
      </c>
      <c r="H110" s="320">
        <f t="shared" ref="H110:N110" si="14">H$393</f>
        <v>2019</v>
      </c>
      <c r="I110" s="320">
        <f t="shared" si="14"/>
        <v>2020</v>
      </c>
      <c r="J110" s="320">
        <f t="shared" si="14"/>
        <v>2021</v>
      </c>
      <c r="K110" s="320">
        <f t="shared" si="14"/>
        <v>2022</v>
      </c>
      <c r="L110" s="320">
        <f t="shared" si="14"/>
        <v>2023</v>
      </c>
      <c r="M110" s="320">
        <f t="shared" si="14"/>
        <v>2024</v>
      </c>
      <c r="N110" s="320">
        <f t="shared" si="14"/>
        <v>2025</v>
      </c>
      <c r="O110" s="6"/>
      <c r="P110" s="15"/>
      <c r="Q110" s="349"/>
      <c r="R110" s="349"/>
      <c r="S110" s="349"/>
      <c r="T110" s="543"/>
      <c r="U110" s="349"/>
      <c r="V110" s="349"/>
      <c r="W110" s="349"/>
      <c r="X110" s="349"/>
      <c r="Y110" s="349"/>
      <c r="Z110" s="349"/>
      <c r="AA110" s="349"/>
      <c r="AB110" s="349"/>
      <c r="AC110" s="349"/>
      <c r="AD110" s="349"/>
      <c r="AE110" s="349"/>
    </row>
    <row r="111" spans="1:31" x14ac:dyDescent="0.25">
      <c r="A111" s="349"/>
      <c r="B111" s="19"/>
      <c r="C111" s="175"/>
      <c r="D111" s="175" t="s">
        <v>8</v>
      </c>
      <c r="E111" s="2550"/>
      <c r="F111" s="2551"/>
      <c r="G111" s="32" t="str">
        <f>EUconst_TJpa</f>
        <v>TJ / år</v>
      </c>
      <c r="H111" s="280"/>
      <c r="I111" s="280"/>
      <c r="J111" s="280"/>
      <c r="K111" s="280"/>
      <c r="L111" s="280"/>
      <c r="M111" s="280"/>
      <c r="N111" s="285"/>
      <c r="O111" s="6"/>
      <c r="P111" s="1552"/>
      <c r="Q111" s="349"/>
      <c r="R111" s="349"/>
      <c r="S111" s="349"/>
      <c r="T111" s="490" t="b">
        <f>T102</f>
        <v>0</v>
      </c>
      <c r="U111" s="349"/>
      <c r="V111" s="349"/>
      <c r="W111" s="349"/>
      <c r="X111" s="349"/>
      <c r="Y111" s="349"/>
      <c r="Z111" s="349"/>
      <c r="AA111" s="349"/>
      <c r="AB111" s="349"/>
      <c r="AC111" s="349"/>
      <c r="AD111" s="1526" t="s">
        <v>2248</v>
      </c>
      <c r="AE111" s="394" t="str">
        <f>IF(AND(CNTR_HasEntries_A_I,E111&lt;&gt;"",COUNTIFS($V$16:$AB$16,FALSE,H111:N111,"")&gt;0),2,"")</f>
        <v/>
      </c>
    </row>
    <row r="112" spans="1:31" x14ac:dyDescent="0.25">
      <c r="A112" s="349"/>
      <c r="B112" s="19"/>
      <c r="C112" s="175"/>
      <c r="D112" s="175" t="s">
        <v>9</v>
      </c>
      <c r="E112" s="2536"/>
      <c r="F112" s="2537"/>
      <c r="G112" s="33" t="str">
        <f>EUconst_TJpa</f>
        <v>TJ / år</v>
      </c>
      <c r="H112" s="279"/>
      <c r="I112" s="279"/>
      <c r="J112" s="279"/>
      <c r="K112" s="279"/>
      <c r="L112" s="279"/>
      <c r="M112" s="279"/>
      <c r="N112" s="284"/>
      <c r="O112" s="6"/>
      <c r="P112" s="1552"/>
      <c r="Q112" s="349"/>
      <c r="R112" s="349"/>
      <c r="S112" s="349"/>
      <c r="T112" s="490" t="b">
        <f>T111</f>
        <v>0</v>
      </c>
      <c r="U112" s="349"/>
      <c r="V112" s="349"/>
      <c r="W112" s="349"/>
      <c r="X112" s="349"/>
      <c r="Y112" s="349"/>
      <c r="Z112" s="349"/>
      <c r="AA112" s="349"/>
      <c r="AB112" s="349"/>
      <c r="AC112" s="349"/>
      <c r="AD112" s="1526" t="s">
        <v>2248</v>
      </c>
      <c r="AE112" s="394" t="str">
        <f>IF(AND(CNTR_HasEntries_A_I,E112&lt;&gt;"",COUNTIFS($V$16:$AB$16,FALSE,H112:N112,"")&gt;0),2,"")</f>
        <v/>
      </c>
    </row>
    <row r="113" spans="1:31" x14ac:dyDescent="0.25">
      <c r="A113" s="349"/>
      <c r="B113" s="19"/>
      <c r="C113" s="175"/>
      <c r="D113" s="175" t="s">
        <v>10</v>
      </c>
      <c r="E113" s="2538"/>
      <c r="F113" s="2539"/>
      <c r="G113" s="36" t="str">
        <f>EUconst_TJpa</f>
        <v>TJ / år</v>
      </c>
      <c r="H113" s="277"/>
      <c r="I113" s="277"/>
      <c r="J113" s="277"/>
      <c r="K113" s="277"/>
      <c r="L113" s="277"/>
      <c r="M113" s="277"/>
      <c r="N113" s="283"/>
      <c r="O113" s="6"/>
      <c r="P113" s="1552"/>
      <c r="Q113" s="349"/>
      <c r="R113" s="349"/>
      <c r="S113" s="349"/>
      <c r="T113" s="490" t="b">
        <f>T112</f>
        <v>0</v>
      </c>
      <c r="U113" s="349"/>
      <c r="V113" s="349"/>
      <c r="W113" s="349"/>
      <c r="X113" s="349"/>
      <c r="Y113" s="349"/>
      <c r="Z113" s="349"/>
      <c r="AA113" s="349"/>
      <c r="AB113" s="349"/>
      <c r="AC113" s="349"/>
      <c r="AD113" s="1526" t="s">
        <v>2248</v>
      </c>
      <c r="AE113" s="394" t="str">
        <f>IF(AND(CNTR_HasEntries_A_I,E113&lt;&gt;"",COUNTIFS($V$16:$AB$16,FALSE,H113:N113,"")&gt;0),2,"")</f>
        <v/>
      </c>
    </row>
    <row r="114" spans="1:31" x14ac:dyDescent="0.25">
      <c r="A114" s="349"/>
      <c r="B114" s="19"/>
      <c r="C114" s="175"/>
      <c r="D114" s="175" t="s">
        <v>23</v>
      </c>
      <c r="E114" s="1034" t="str">
        <f>Translations!$B$384</f>
        <v>Delsumma</v>
      </c>
      <c r="F114" s="1034"/>
      <c r="G114" s="47" t="str">
        <f>EUconst_TJpa</f>
        <v>TJ / år</v>
      </c>
      <c r="H114" s="258" t="str">
        <f t="shared" ref="H114:N114" si="15">IF(COUNT(H111:H113)&gt;0,SUM(H111:H113),"")</f>
        <v/>
      </c>
      <c r="I114" s="258" t="str">
        <f t="shared" si="15"/>
        <v/>
      </c>
      <c r="J114" s="258" t="str">
        <f t="shared" si="15"/>
        <v/>
      </c>
      <c r="K114" s="258" t="str">
        <f t="shared" si="15"/>
        <v/>
      </c>
      <c r="L114" s="258" t="str">
        <f t="shared" si="15"/>
        <v/>
      </c>
      <c r="M114" s="258" t="str">
        <f t="shared" si="15"/>
        <v/>
      </c>
      <c r="N114" s="257" t="str">
        <f t="shared" si="15"/>
        <v/>
      </c>
      <c r="O114" s="6"/>
      <c r="P114" s="15"/>
      <c r="Q114" s="349"/>
      <c r="R114" s="349"/>
      <c r="S114" s="349"/>
      <c r="T114" s="543"/>
      <c r="U114" s="349"/>
      <c r="V114" s="349"/>
      <c r="W114" s="349"/>
      <c r="X114" s="349"/>
      <c r="Y114" s="349"/>
      <c r="Z114" s="349"/>
      <c r="AA114" s="349"/>
      <c r="AB114" s="349"/>
      <c r="AC114" s="349"/>
      <c r="AD114" s="349"/>
      <c r="AE114" s="349"/>
    </row>
    <row r="115" spans="1:31" ht="5.15" customHeight="1" x14ac:dyDescent="0.25">
      <c r="A115" s="349"/>
      <c r="B115" s="3"/>
      <c r="C115" s="3"/>
      <c r="D115" s="3"/>
      <c r="E115" s="3"/>
      <c r="F115" s="3"/>
      <c r="G115" s="3"/>
      <c r="H115" s="3"/>
      <c r="I115" s="3"/>
      <c r="J115" s="3"/>
      <c r="K115" s="3"/>
      <c r="L115" s="3"/>
      <c r="M115" s="3"/>
      <c r="N115" s="3"/>
      <c r="O115" s="6"/>
      <c r="P115" s="15"/>
      <c r="Q115" s="410"/>
      <c r="R115" s="349"/>
      <c r="S115" s="349"/>
      <c r="T115" s="543"/>
      <c r="U115" s="349"/>
      <c r="V115" s="349"/>
      <c r="W115" s="349"/>
      <c r="X115" s="349"/>
      <c r="Y115" s="349"/>
      <c r="Z115" s="349"/>
      <c r="AA115" s="349"/>
      <c r="AB115" s="349"/>
      <c r="AC115" s="349"/>
      <c r="AD115" s="349"/>
      <c r="AE115" s="349"/>
    </row>
    <row r="116" spans="1:31" ht="13" customHeight="1" x14ac:dyDescent="0.25">
      <c r="A116" s="349"/>
      <c r="B116" s="3"/>
      <c r="C116" s="13"/>
      <c r="D116" s="13" t="s">
        <v>960</v>
      </c>
      <c r="E116" s="2530" t="str">
        <f>Translations!$B$388</f>
        <v>Mätbar värme som produceras från el</v>
      </c>
      <c r="F116" s="2531"/>
      <c r="G116" s="2531"/>
      <c r="H116" s="2531"/>
      <c r="I116" s="2531"/>
      <c r="J116" s="2531"/>
      <c r="K116" s="2531"/>
      <c r="L116" s="2531"/>
      <c r="M116" s="2531"/>
      <c r="N116" s="2531"/>
      <c r="O116" s="6"/>
      <c r="P116" s="15"/>
      <c r="Q116" s="410"/>
      <c r="R116" s="349"/>
      <c r="S116" s="349"/>
      <c r="T116" s="543"/>
      <c r="U116" s="349"/>
      <c r="V116" s="349"/>
      <c r="W116" s="349"/>
      <c r="X116" s="349"/>
      <c r="Y116" s="349"/>
      <c r="Z116" s="349"/>
      <c r="AA116" s="349"/>
      <c r="AB116" s="349"/>
      <c r="AC116" s="349"/>
      <c r="AD116" s="349"/>
      <c r="AE116" s="349"/>
    </row>
    <row r="117" spans="1:31" ht="25.5" customHeight="1" x14ac:dyDescent="0.25">
      <c r="A117" s="349"/>
      <c r="B117" s="3"/>
      <c r="C117" s="15"/>
      <c r="D117" s="15"/>
      <c r="E117" s="2533" t="str">
        <f>Translations!$B$389</f>
        <v>Detta innefattar värme från elektriska pumpar, elpannor osv. Denna mängd värme ska inkluderas i de uppgifter som lämnas i punkt c ovan. Uppgiften finns endast med här för fullständighetens skull men räknas inte med i balansen nedan.</v>
      </c>
      <c r="F117" s="2533"/>
      <c r="G117" s="2533"/>
      <c r="H117" s="2533"/>
      <c r="I117" s="2533"/>
      <c r="J117" s="2533"/>
      <c r="K117" s="2533"/>
      <c r="L117" s="2533"/>
      <c r="M117" s="2533"/>
      <c r="N117" s="2533"/>
      <c r="O117" s="6"/>
      <c r="P117" s="15"/>
      <c r="Q117" s="410"/>
      <c r="R117" s="349"/>
      <c r="S117" s="349"/>
      <c r="T117" s="543"/>
      <c r="U117" s="349"/>
      <c r="V117" s="349"/>
      <c r="W117" s="349"/>
      <c r="X117" s="349"/>
      <c r="Y117" s="349"/>
      <c r="Z117" s="349"/>
      <c r="AA117" s="349"/>
      <c r="AB117" s="349"/>
      <c r="AC117" s="349"/>
      <c r="AD117" s="349"/>
      <c r="AE117" s="349"/>
    </row>
    <row r="118" spans="1:31" ht="13" x14ac:dyDescent="0.25">
      <c r="A118" s="349"/>
      <c r="B118" s="19"/>
      <c r="C118" s="19"/>
      <c r="D118" s="19"/>
      <c r="E118" s="24"/>
      <c r="F118" s="21"/>
      <c r="G118" s="30" t="str">
        <f>EUconst_Unit</f>
        <v>Enhet</v>
      </c>
      <c r="H118" s="320">
        <f t="shared" ref="H118:N118" si="16">H$393</f>
        <v>2019</v>
      </c>
      <c r="I118" s="320">
        <f t="shared" si="16"/>
        <v>2020</v>
      </c>
      <c r="J118" s="320">
        <f t="shared" si="16"/>
        <v>2021</v>
      </c>
      <c r="K118" s="320">
        <f t="shared" si="16"/>
        <v>2022</v>
      </c>
      <c r="L118" s="320">
        <f t="shared" si="16"/>
        <v>2023</v>
      </c>
      <c r="M118" s="320">
        <f t="shared" si="16"/>
        <v>2024</v>
      </c>
      <c r="N118" s="320">
        <f t="shared" si="16"/>
        <v>2025</v>
      </c>
      <c r="O118" s="6"/>
      <c r="P118" s="15"/>
      <c r="Q118" s="349"/>
      <c r="R118" s="349"/>
      <c r="S118" s="349"/>
      <c r="T118" s="543"/>
      <c r="U118" s="349"/>
      <c r="V118" s="349"/>
      <c r="W118" s="349"/>
      <c r="X118" s="349"/>
      <c r="Y118" s="349"/>
      <c r="Z118" s="349"/>
      <c r="AA118" s="349"/>
      <c r="AB118" s="349"/>
      <c r="AC118" s="349"/>
      <c r="AD118" s="349"/>
      <c r="AE118" s="349"/>
    </row>
    <row r="119" spans="1:31" ht="12.65" customHeight="1" x14ac:dyDescent="0.25">
      <c r="A119" s="349"/>
      <c r="B119" s="19"/>
      <c r="C119" s="19"/>
      <c r="D119" s="19"/>
      <c r="E119" s="2546" t="str">
        <f>Translations!$B$390</f>
        <v>Värme från el</v>
      </c>
      <c r="F119" s="2545"/>
      <c r="G119" s="43" t="str">
        <f>EUconst_TJpa</f>
        <v>TJ / år</v>
      </c>
      <c r="H119" s="260"/>
      <c r="I119" s="260"/>
      <c r="J119" s="260"/>
      <c r="K119" s="260"/>
      <c r="L119" s="260"/>
      <c r="M119" s="260"/>
      <c r="N119" s="260"/>
      <c r="O119" s="6"/>
      <c r="P119" s="1552"/>
      <c r="Q119" s="349"/>
      <c r="R119" s="349"/>
      <c r="S119" s="349"/>
      <c r="T119" s="490" t="b">
        <f>T113</f>
        <v>0</v>
      </c>
      <c r="U119" s="349"/>
      <c r="V119" s="349"/>
      <c r="W119" s="349"/>
      <c r="X119" s="349"/>
      <c r="Y119" s="349"/>
      <c r="Z119" s="349"/>
      <c r="AA119" s="349"/>
      <c r="AB119" s="349"/>
      <c r="AC119" s="349"/>
      <c r="AD119" s="1526" t="s">
        <v>2248</v>
      </c>
      <c r="AE119" s="394" t="str">
        <f>IF(AND(CNTR_HasEntries_A_I,COUNTIFS($V$16:$AB$16,FALSE,H119:N119,"")&gt;0,$T$94=FALSE),2,"")</f>
        <v/>
      </c>
    </row>
    <row r="120" spans="1:31" ht="5.15" customHeight="1" x14ac:dyDescent="0.25">
      <c r="A120" s="349"/>
      <c r="B120" s="3"/>
      <c r="C120" s="3"/>
      <c r="D120" s="3"/>
      <c r="E120" s="3"/>
      <c r="F120" s="3"/>
      <c r="G120" s="3"/>
      <c r="H120" s="3"/>
      <c r="I120" s="3"/>
      <c r="J120" s="3"/>
      <c r="K120" s="3"/>
      <c r="L120" s="3"/>
      <c r="M120" s="3"/>
      <c r="N120" s="3"/>
      <c r="O120" s="6"/>
      <c r="P120" s="15"/>
      <c r="Q120" s="410"/>
      <c r="R120" s="349"/>
      <c r="S120" s="349"/>
      <c r="T120" s="543"/>
      <c r="U120" s="349"/>
      <c r="V120" s="349"/>
      <c r="W120" s="349"/>
      <c r="X120" s="349"/>
      <c r="Y120" s="349"/>
      <c r="Z120" s="349"/>
      <c r="AA120" s="349"/>
      <c r="AB120" s="349"/>
      <c r="AC120" s="349"/>
      <c r="AD120" s="349"/>
      <c r="AE120" s="349"/>
    </row>
    <row r="121" spans="1:31" ht="13" customHeight="1" x14ac:dyDescent="0.25">
      <c r="A121" s="349"/>
      <c r="B121" s="3"/>
      <c r="C121" s="13"/>
      <c r="D121" s="13" t="s">
        <v>65</v>
      </c>
      <c r="E121" s="2528" t="str">
        <f>Translations!$B$391</f>
        <v>Summa av mätbar värme vid anläggningen (= a+b+c)</v>
      </c>
      <c r="F121" s="2529"/>
      <c r="G121" s="2529"/>
      <c r="H121" s="2529"/>
      <c r="I121" s="2529"/>
      <c r="J121" s="2529"/>
      <c r="K121" s="2529"/>
      <c r="L121" s="2529"/>
      <c r="M121" s="2529"/>
      <c r="N121" s="2529"/>
      <c r="O121" s="6"/>
      <c r="P121" s="15"/>
      <c r="Q121" s="410"/>
      <c r="R121" s="349"/>
      <c r="S121" s="349"/>
      <c r="T121" s="543"/>
      <c r="U121" s="349"/>
      <c r="V121" s="349"/>
      <c r="W121" s="349"/>
      <c r="X121" s="349"/>
      <c r="Y121" s="349"/>
      <c r="Z121" s="349"/>
      <c r="AA121" s="349"/>
      <c r="AB121" s="349"/>
      <c r="AC121" s="349"/>
      <c r="AD121" s="349"/>
      <c r="AE121" s="349"/>
    </row>
    <row r="122" spans="1:31" ht="12.65" customHeight="1" x14ac:dyDescent="0.25">
      <c r="A122" s="349"/>
      <c r="B122" s="19"/>
      <c r="C122" s="19"/>
      <c r="D122" s="19"/>
      <c r="E122" s="2544" t="str">
        <f>Translations!$B$392</f>
        <v>Total mätbar värme</v>
      </c>
      <c r="F122" s="2545"/>
      <c r="G122" s="47" t="str">
        <f>EUconst_TJpa</f>
        <v>TJ / år</v>
      </c>
      <c r="H122" s="258" t="str">
        <f t="shared" ref="H122:N122" si="17">IF(COUNT(H114,H103,H94)&gt;0,SUM(H94,H103,H114),"")</f>
        <v/>
      </c>
      <c r="I122" s="258" t="str">
        <f t="shared" si="17"/>
        <v/>
      </c>
      <c r="J122" s="258" t="str">
        <f t="shared" si="17"/>
        <v/>
      </c>
      <c r="K122" s="258" t="str">
        <f t="shared" si="17"/>
        <v/>
      </c>
      <c r="L122" s="258" t="str">
        <f t="shared" si="17"/>
        <v/>
      </c>
      <c r="M122" s="258" t="str">
        <f t="shared" si="17"/>
        <v/>
      </c>
      <c r="N122" s="258" t="str">
        <f t="shared" si="17"/>
        <v/>
      </c>
      <c r="O122" s="6"/>
      <c r="P122" s="15"/>
      <c r="Q122" s="349"/>
      <c r="R122" s="349"/>
      <c r="S122" s="349"/>
      <c r="T122" s="543"/>
      <c r="U122" s="349"/>
      <c r="V122" s="349"/>
      <c r="W122" s="349"/>
      <c r="X122" s="349"/>
      <c r="Y122" s="349"/>
      <c r="Z122" s="349"/>
      <c r="AA122" s="349"/>
      <c r="AB122" s="349"/>
      <c r="AC122" s="349"/>
      <c r="AD122" s="349"/>
      <c r="AE122" s="349"/>
    </row>
    <row r="123" spans="1:31" ht="5.15" customHeight="1" x14ac:dyDescent="0.25">
      <c r="A123" s="349"/>
      <c r="B123" s="3"/>
      <c r="C123" s="3"/>
      <c r="D123" s="3"/>
      <c r="E123" s="3"/>
      <c r="F123" s="3"/>
      <c r="G123" s="3"/>
      <c r="H123" s="3"/>
      <c r="I123" s="3"/>
      <c r="J123" s="3"/>
      <c r="K123" s="3"/>
      <c r="L123" s="3"/>
      <c r="M123" s="3"/>
      <c r="N123" s="3"/>
      <c r="O123" s="6"/>
      <c r="P123" s="15"/>
      <c r="Q123" s="410"/>
      <c r="R123" s="349"/>
      <c r="S123" s="349"/>
      <c r="T123" s="543"/>
      <c r="U123" s="349"/>
      <c r="V123" s="349"/>
      <c r="W123" s="349"/>
      <c r="X123" s="349"/>
      <c r="Y123" s="349"/>
      <c r="Z123" s="349"/>
      <c r="AA123" s="349"/>
      <c r="AB123" s="349"/>
      <c r="AC123" s="349"/>
      <c r="AD123" s="349"/>
      <c r="AE123" s="349"/>
    </row>
    <row r="124" spans="1:31" ht="13" customHeight="1" x14ac:dyDescent="0.25">
      <c r="A124" s="349"/>
      <c r="B124" s="3"/>
      <c r="C124" s="13"/>
      <c r="D124" s="13" t="s">
        <v>66</v>
      </c>
      <c r="E124" s="2530" t="str">
        <f>Translations!$B$393</f>
        <v>Kvoten mellan ”ETS-värme” och ”total värme”</v>
      </c>
      <c r="F124" s="2531"/>
      <c r="G124" s="2531"/>
      <c r="H124" s="2531"/>
      <c r="I124" s="2531"/>
      <c r="J124" s="2531"/>
      <c r="K124" s="2531"/>
      <c r="L124" s="2531"/>
      <c r="M124" s="2531"/>
      <c r="N124" s="2531"/>
      <c r="O124" s="6"/>
      <c r="P124" s="15"/>
      <c r="Q124" s="410"/>
      <c r="R124" s="349"/>
      <c r="S124" s="349"/>
      <c r="T124" s="543"/>
      <c r="U124" s="349"/>
      <c r="V124" s="349"/>
      <c r="W124" s="349"/>
      <c r="X124" s="349"/>
      <c r="Y124" s="349"/>
      <c r="Z124" s="349"/>
      <c r="AA124" s="349"/>
      <c r="AB124" s="349"/>
      <c r="AC124" s="349"/>
      <c r="AD124" s="349"/>
      <c r="AE124" s="349"/>
    </row>
    <row r="125" spans="1:31" ht="12.65" customHeight="1" x14ac:dyDescent="0.25">
      <c r="A125" s="349"/>
      <c r="B125" s="3"/>
      <c r="C125" s="15"/>
      <c r="D125" s="15"/>
      <c r="E125" s="2533" t="str">
        <f>Translations!$B$394</f>
        <v>”ETS-värme” är värme som produceras vid anläggningen plus värme som importeras från ETS-anläggningar (= a+b).</v>
      </c>
      <c r="F125" s="2531"/>
      <c r="G125" s="2531"/>
      <c r="H125" s="2531"/>
      <c r="I125" s="2531"/>
      <c r="J125" s="2531"/>
      <c r="K125" s="2531"/>
      <c r="L125" s="2531"/>
      <c r="M125" s="2531"/>
      <c r="N125" s="2531"/>
      <c r="O125" s="6"/>
      <c r="P125" s="15"/>
      <c r="Q125" s="410"/>
      <c r="R125" s="349"/>
      <c r="S125" s="349"/>
      <c r="T125" s="543"/>
      <c r="U125" s="349"/>
      <c r="V125" s="349"/>
      <c r="W125" s="349"/>
      <c r="X125" s="349"/>
      <c r="Y125" s="349"/>
      <c r="Z125" s="349"/>
      <c r="AA125" s="349"/>
      <c r="AB125" s="349"/>
      <c r="AC125" s="349"/>
      <c r="AD125" s="349"/>
      <c r="AE125" s="349"/>
    </row>
    <row r="126" spans="1:31" ht="12.65" customHeight="1" x14ac:dyDescent="0.25">
      <c r="A126" s="349"/>
      <c r="B126" s="3"/>
      <c r="C126" s="15"/>
      <c r="D126" s="15"/>
      <c r="E126" s="2533" t="str">
        <f>Translations!$B$395</f>
        <v xml:space="preserve">Total värme är ETS-värme plus värme som importeras från enheter och anläggningar utanför ETS (= a+b+c). </v>
      </c>
      <c r="F126" s="2531"/>
      <c r="G126" s="2531"/>
      <c r="H126" s="2531"/>
      <c r="I126" s="2531"/>
      <c r="J126" s="2531"/>
      <c r="K126" s="2531"/>
      <c r="L126" s="2531"/>
      <c r="M126" s="2531"/>
      <c r="N126" s="2531"/>
      <c r="O126" s="6"/>
      <c r="P126" s="15"/>
      <c r="Q126" s="410"/>
      <c r="R126" s="349"/>
      <c r="S126" s="349"/>
      <c r="T126" s="543"/>
      <c r="U126" s="349"/>
      <c r="V126" s="349"/>
      <c r="W126" s="349"/>
      <c r="X126" s="349"/>
      <c r="Y126" s="349"/>
      <c r="Z126" s="349"/>
      <c r="AA126" s="349"/>
      <c r="AB126" s="349"/>
      <c r="AC126" s="349"/>
      <c r="AD126" s="349"/>
      <c r="AE126" s="349"/>
    </row>
    <row r="127" spans="1:31" ht="5.15" customHeight="1" x14ac:dyDescent="0.25">
      <c r="A127" s="349"/>
      <c r="B127" s="3"/>
      <c r="C127" s="3"/>
      <c r="D127" s="3"/>
      <c r="E127" s="3"/>
      <c r="F127" s="3"/>
      <c r="G127" s="3"/>
      <c r="H127" s="3"/>
      <c r="I127" s="3"/>
      <c r="J127" s="3"/>
      <c r="K127" s="3"/>
      <c r="L127" s="3"/>
      <c r="M127" s="3"/>
      <c r="N127" s="3"/>
      <c r="O127" s="6"/>
      <c r="P127" s="15"/>
      <c r="Q127" s="410"/>
      <c r="R127" s="349"/>
      <c r="S127" s="349"/>
      <c r="T127" s="543"/>
      <c r="U127" s="349"/>
      <c r="V127" s="349"/>
      <c r="W127" s="349"/>
      <c r="X127" s="349"/>
      <c r="Y127" s="349"/>
      <c r="Z127" s="349"/>
      <c r="AA127" s="349"/>
      <c r="AB127" s="349"/>
      <c r="AC127" s="349"/>
      <c r="AD127" s="349"/>
      <c r="AE127" s="349"/>
    </row>
    <row r="128" spans="1:31" ht="12.65" customHeight="1" x14ac:dyDescent="0.25">
      <c r="A128" s="349"/>
      <c r="B128" s="19"/>
      <c r="C128" s="19"/>
      <c r="D128" s="19"/>
      <c r="E128" s="2544" t="str">
        <f>Translations!$B$396</f>
        <v>Värmetillförselkvot (a+b)/(a+b+c):</v>
      </c>
      <c r="F128" s="2545"/>
      <c r="G128" s="47" t="s">
        <v>1113</v>
      </c>
      <c r="H128" s="255" t="str">
        <f t="shared" ref="H128:N128" si="18">IF(AND(COUNT(H94,H103,H114)&gt;0,H122&lt;&gt;0),SUM(H94,H103)/H122*100,"")</f>
        <v/>
      </c>
      <c r="I128" s="255" t="str">
        <f t="shared" si="18"/>
        <v/>
      </c>
      <c r="J128" s="255" t="str">
        <f t="shared" si="18"/>
        <v/>
      </c>
      <c r="K128" s="255" t="str">
        <f t="shared" si="18"/>
        <v/>
      </c>
      <c r="L128" s="255" t="str">
        <f t="shared" si="18"/>
        <v/>
      </c>
      <c r="M128" s="255" t="str">
        <f t="shared" si="18"/>
        <v/>
      </c>
      <c r="N128" s="255" t="str">
        <f t="shared" si="18"/>
        <v/>
      </c>
      <c r="O128" s="6"/>
      <c r="P128" s="15"/>
      <c r="Q128" s="349"/>
      <c r="R128" s="349"/>
      <c r="S128" s="349"/>
      <c r="T128" s="543"/>
      <c r="U128" s="349"/>
      <c r="V128" s="349"/>
      <c r="W128" s="349"/>
      <c r="X128" s="349"/>
      <c r="Y128" s="349"/>
      <c r="Z128" s="349"/>
      <c r="AA128" s="349"/>
      <c r="AB128" s="349"/>
      <c r="AC128" s="349"/>
      <c r="AD128" s="349"/>
      <c r="AE128" s="349"/>
    </row>
    <row r="129" spans="1:31" x14ac:dyDescent="0.25">
      <c r="A129" s="349"/>
      <c r="B129" s="3"/>
      <c r="C129" s="3"/>
      <c r="D129" s="3"/>
      <c r="E129" s="3"/>
      <c r="F129" s="3"/>
      <c r="G129" s="3"/>
      <c r="H129" s="3"/>
      <c r="I129" s="3"/>
      <c r="J129" s="3"/>
      <c r="K129" s="3"/>
      <c r="L129" s="3"/>
      <c r="M129" s="3"/>
      <c r="N129" s="3"/>
      <c r="O129" s="6"/>
      <c r="P129" s="15"/>
      <c r="Q129" s="410"/>
      <c r="R129" s="349"/>
      <c r="S129" s="349"/>
      <c r="T129" s="543"/>
      <c r="U129" s="349"/>
      <c r="V129" s="349"/>
      <c r="W129" s="349"/>
      <c r="X129" s="349"/>
      <c r="Y129" s="349"/>
      <c r="Z129" s="349"/>
      <c r="AA129" s="349"/>
      <c r="AB129" s="349"/>
      <c r="AC129" s="349"/>
      <c r="AD129" s="349"/>
      <c r="AE129" s="349"/>
    </row>
    <row r="130" spans="1:31" ht="14.15" customHeight="1" x14ac:dyDescent="0.3">
      <c r="A130" s="349"/>
      <c r="B130" s="3"/>
      <c r="C130" s="18"/>
      <c r="D130" s="18"/>
      <c r="E130" s="2577" t="str">
        <f>Translations!$B$397</f>
        <v>Icke-berättigande värme för delanläggningar med värmeriktmärke</v>
      </c>
      <c r="F130" s="2531"/>
      <c r="G130" s="2531"/>
      <c r="H130" s="2531"/>
      <c r="I130" s="2531"/>
      <c r="J130" s="2531"/>
      <c r="K130" s="2531"/>
      <c r="L130" s="2531"/>
      <c r="M130" s="2531"/>
      <c r="N130" s="2531"/>
      <c r="O130" s="6"/>
      <c r="P130" s="15"/>
      <c r="Q130" s="410"/>
      <c r="R130" s="349"/>
      <c r="S130" s="349"/>
      <c r="T130" s="543"/>
      <c r="U130" s="349"/>
      <c r="V130" s="349"/>
      <c r="W130" s="349"/>
      <c r="X130" s="349"/>
      <c r="Y130" s="349"/>
      <c r="Z130" s="349"/>
      <c r="AA130" s="349"/>
      <c r="AB130" s="349"/>
      <c r="AC130" s="349"/>
      <c r="AD130" s="349"/>
      <c r="AE130" s="349"/>
    </row>
    <row r="131" spans="1:31" ht="12.65" customHeight="1" x14ac:dyDescent="0.25">
      <c r="A131" s="349"/>
      <c r="B131" s="3"/>
      <c r="C131" s="15"/>
      <c r="D131" s="15"/>
      <c r="E131" s="2533" t="str">
        <f>Translations!$B$398</f>
        <v>Innan mängden värme vid delanläggningar med värmeriktmärke kan beräknas måste den mängd som inte är berättigande för ändamålet fastställas.</v>
      </c>
      <c r="F131" s="2531"/>
      <c r="G131" s="2531"/>
      <c r="H131" s="2531"/>
      <c r="I131" s="2531"/>
      <c r="J131" s="2531"/>
      <c r="K131" s="2531"/>
      <c r="L131" s="2531"/>
      <c r="M131" s="2531"/>
      <c r="N131" s="2531"/>
      <c r="O131" s="6"/>
      <c r="P131" s="15"/>
      <c r="Q131" s="410"/>
      <c r="R131" s="349"/>
      <c r="S131" s="349"/>
      <c r="T131" s="543"/>
      <c r="U131" s="349"/>
      <c r="V131" s="349"/>
      <c r="W131" s="349"/>
      <c r="X131" s="349"/>
      <c r="Y131" s="349"/>
      <c r="Z131" s="349"/>
      <c r="AA131" s="349"/>
      <c r="AB131" s="349"/>
      <c r="AC131" s="349"/>
      <c r="AD131" s="349"/>
      <c r="AE131" s="349"/>
    </row>
    <row r="132" spans="1:31" ht="12.65" customHeight="1" x14ac:dyDescent="0.25">
      <c r="A132" s="349"/>
      <c r="B132" s="3"/>
      <c r="C132" s="15"/>
      <c r="D132" s="15"/>
      <c r="E132" s="2533" t="str">
        <f>Translations!$B$399</f>
        <v>I ett första steg beaktas de icke-berättigande mängderna för värmeanvändning vid anläggningen.</v>
      </c>
      <c r="F132" s="2531"/>
      <c r="G132" s="2531"/>
      <c r="H132" s="2531"/>
      <c r="I132" s="2531"/>
      <c r="J132" s="2531"/>
      <c r="K132" s="2531"/>
      <c r="L132" s="2531"/>
      <c r="M132" s="2531"/>
      <c r="N132" s="2531"/>
      <c r="O132" s="6"/>
      <c r="P132" s="15"/>
      <c r="Q132" s="410"/>
      <c r="R132" s="349"/>
      <c r="S132" s="349"/>
      <c r="T132" s="543"/>
      <c r="U132" s="349"/>
      <c r="V132" s="349"/>
      <c r="W132" s="349"/>
      <c r="X132" s="349"/>
      <c r="Y132" s="349"/>
      <c r="Z132" s="349"/>
      <c r="AA132" s="349"/>
      <c r="AB132" s="349"/>
      <c r="AC132" s="349"/>
      <c r="AD132" s="349"/>
      <c r="AE132" s="349"/>
    </row>
    <row r="133" spans="1:31" ht="12.65" customHeight="1" x14ac:dyDescent="0.25">
      <c r="A133" s="349"/>
      <c r="B133" s="3"/>
      <c r="C133" s="15"/>
      <c r="D133" s="15"/>
      <c r="E133" s="2533" t="str">
        <f>Translations!$B$400</f>
        <v xml:space="preserve">Detta är den mängd värme som används för elproduktion och den värme som förbrukas vid delanläggningar med produktriktmärke. </v>
      </c>
      <c r="F133" s="2531"/>
      <c r="G133" s="2531"/>
      <c r="H133" s="2531"/>
      <c r="I133" s="2531"/>
      <c r="J133" s="2531"/>
      <c r="K133" s="2531"/>
      <c r="L133" s="2531"/>
      <c r="M133" s="2531"/>
      <c r="N133" s="2531"/>
      <c r="O133" s="6"/>
      <c r="P133" s="15"/>
      <c r="Q133" s="410"/>
      <c r="R133" s="349"/>
      <c r="S133" s="349"/>
      <c r="T133" s="543"/>
      <c r="U133" s="349"/>
      <c r="V133" s="349"/>
      <c r="W133" s="349"/>
      <c r="X133" s="349"/>
      <c r="Y133" s="349"/>
      <c r="Z133" s="349"/>
      <c r="AA133" s="349"/>
      <c r="AB133" s="349"/>
      <c r="AC133" s="349"/>
      <c r="AD133" s="349"/>
      <c r="AE133" s="349"/>
    </row>
    <row r="134" spans="1:31" ht="5.15" customHeight="1" x14ac:dyDescent="0.25">
      <c r="A134" s="349"/>
      <c r="B134" s="3"/>
      <c r="C134" s="3"/>
      <c r="D134" s="3"/>
      <c r="E134" s="3"/>
      <c r="F134" s="3"/>
      <c r="G134" s="3"/>
      <c r="H134" s="3"/>
      <c r="I134" s="3"/>
      <c r="J134" s="3"/>
      <c r="K134" s="3"/>
      <c r="L134" s="3"/>
      <c r="M134" s="3"/>
      <c r="N134" s="3"/>
      <c r="O134" s="6"/>
      <c r="P134" s="15"/>
      <c r="Q134" s="410"/>
      <c r="R134" s="349"/>
      <c r="S134" s="349"/>
      <c r="T134" s="543"/>
      <c r="U134" s="349"/>
      <c r="V134" s="349"/>
      <c r="W134" s="349"/>
      <c r="X134" s="349"/>
      <c r="Y134" s="349"/>
      <c r="Z134" s="349"/>
      <c r="AA134" s="349"/>
      <c r="AB134" s="349"/>
      <c r="AC134" s="349"/>
      <c r="AD134" s="349"/>
      <c r="AE134" s="349"/>
    </row>
    <row r="135" spans="1:31" ht="13" customHeight="1" x14ac:dyDescent="0.25">
      <c r="A135" s="349"/>
      <c r="B135" s="3"/>
      <c r="C135" s="13"/>
      <c r="D135" s="13" t="s">
        <v>299</v>
      </c>
      <c r="E135" s="2530" t="str">
        <f>Translations!$B$401</f>
        <v>Mätbar värme som används för elproduktion vid anläggningen (icke-berättigande för värmeriktmärke):</v>
      </c>
      <c r="F135" s="2531"/>
      <c r="G135" s="2531"/>
      <c r="H135" s="2531"/>
      <c r="I135" s="2531"/>
      <c r="J135" s="2531"/>
      <c r="K135" s="2531"/>
      <c r="L135" s="2531"/>
      <c r="M135" s="2531"/>
      <c r="N135" s="2531"/>
      <c r="O135" s="6"/>
      <c r="P135" s="15"/>
      <c r="Q135" s="410"/>
      <c r="R135" s="349"/>
      <c r="S135" s="349"/>
      <c r="T135" s="543"/>
      <c r="U135" s="349"/>
      <c r="V135" s="349"/>
      <c r="W135" s="349"/>
      <c r="X135" s="349"/>
      <c r="Y135" s="349"/>
      <c r="Z135" s="349"/>
      <c r="AA135" s="349"/>
      <c r="AB135" s="349"/>
      <c r="AC135" s="349"/>
      <c r="AD135" s="349"/>
      <c r="AE135" s="349"/>
    </row>
    <row r="136" spans="1:31" ht="12.65" customHeight="1" x14ac:dyDescent="0.25">
      <c r="A136" s="349"/>
      <c r="B136" s="3"/>
      <c r="C136" s="15"/>
      <c r="D136" s="15"/>
      <c r="E136" s="2533" t="str">
        <f>Translations!$B$402</f>
        <v>Som standard antas att hela den mängd värme som används för elproduktion är uppdelad i berättigande och icke-berättigande utifrån den kvot som beräknas i avsnitt f.</v>
      </c>
      <c r="F136" s="2531"/>
      <c r="G136" s="2531"/>
      <c r="H136" s="2531"/>
      <c r="I136" s="2531"/>
      <c r="J136" s="2531"/>
      <c r="K136" s="2531"/>
      <c r="L136" s="2531"/>
      <c r="M136" s="2531"/>
      <c r="N136" s="2531"/>
      <c r="O136" s="6"/>
      <c r="P136" s="15"/>
      <c r="Q136" s="410"/>
      <c r="R136" s="349"/>
      <c r="S136" s="349"/>
      <c r="T136" s="543"/>
      <c r="U136" s="349"/>
      <c r="V136" s="349"/>
      <c r="W136" s="349"/>
      <c r="X136" s="349"/>
      <c r="Y136" s="349"/>
      <c r="Z136" s="349"/>
      <c r="AA136" s="349"/>
      <c r="AB136" s="349"/>
      <c r="AC136" s="349"/>
      <c r="AD136" s="349"/>
      <c r="AE136" s="349"/>
    </row>
    <row r="137" spans="1:31" ht="25.5" customHeight="1" x14ac:dyDescent="0.25">
      <c r="A137" s="349"/>
      <c r="B137" s="3"/>
      <c r="C137" s="15"/>
      <c r="D137" s="15"/>
      <c r="E137" s="2533" t="str">
        <f>Translations!$B$403</f>
        <v>Om utförligare information finns (t.ex. eftersom ånga från olika källor kan särskiljas på grund av olika trycknivåer osv.) kan ni dock ange alternativa mängder för ”icke-berättigande” värme nedan. Om denna mängd överskrider den som angetts i avsnitt c iv används den högsta mängden för ytterligare beräkningar.</v>
      </c>
      <c r="F137" s="2531"/>
      <c r="G137" s="2531"/>
      <c r="H137" s="2531"/>
      <c r="I137" s="2531"/>
      <c r="J137" s="2531"/>
      <c r="K137" s="2531"/>
      <c r="L137" s="2531"/>
      <c r="M137" s="2531"/>
      <c r="N137" s="2531"/>
      <c r="O137" s="6"/>
      <c r="P137" s="15"/>
      <c r="Q137" s="410"/>
      <c r="R137" s="349"/>
      <c r="S137" s="349"/>
      <c r="T137" s="543"/>
      <c r="U137" s="349"/>
      <c r="V137" s="349"/>
      <c r="W137" s="349"/>
      <c r="X137" s="349"/>
      <c r="Y137" s="349"/>
      <c r="Z137" s="349"/>
      <c r="AA137" s="349"/>
      <c r="AB137" s="349"/>
      <c r="AC137" s="349"/>
      <c r="AD137" s="349"/>
      <c r="AE137" s="349"/>
    </row>
    <row r="138" spans="1:31" ht="13" x14ac:dyDescent="0.25">
      <c r="A138" s="349"/>
      <c r="B138" s="19"/>
      <c r="C138" s="19"/>
      <c r="D138" s="19"/>
      <c r="E138" s="24"/>
      <c r="F138" s="21"/>
      <c r="G138" s="30" t="str">
        <f>EUconst_Unit</f>
        <v>Enhet</v>
      </c>
      <c r="H138" s="320">
        <f t="shared" ref="H138:N138" si="19">H$393</f>
        <v>2019</v>
      </c>
      <c r="I138" s="320">
        <f t="shared" si="19"/>
        <v>2020</v>
      </c>
      <c r="J138" s="320">
        <f t="shared" si="19"/>
        <v>2021</v>
      </c>
      <c r="K138" s="320">
        <f t="shared" si="19"/>
        <v>2022</v>
      </c>
      <c r="L138" s="320">
        <f t="shared" si="19"/>
        <v>2023</v>
      </c>
      <c r="M138" s="320">
        <f t="shared" si="19"/>
        <v>2024</v>
      </c>
      <c r="N138" s="320">
        <f t="shared" si="19"/>
        <v>2025</v>
      </c>
      <c r="O138" s="6"/>
      <c r="P138" s="15"/>
      <c r="Q138" s="349"/>
      <c r="R138" s="349"/>
      <c r="S138" s="349"/>
      <c r="T138" s="543"/>
      <c r="U138" s="349"/>
      <c r="V138" s="349"/>
      <c r="W138" s="349"/>
      <c r="X138" s="349"/>
      <c r="Y138" s="349"/>
      <c r="Z138" s="349"/>
      <c r="AA138" s="349"/>
      <c r="AB138" s="349"/>
      <c r="AC138" s="349"/>
      <c r="AD138" s="349"/>
      <c r="AE138" s="349"/>
    </row>
    <row r="139" spans="1:31" ht="12.65" customHeight="1" x14ac:dyDescent="0.25">
      <c r="A139" s="349"/>
      <c r="B139" s="19"/>
      <c r="C139" s="175"/>
      <c r="D139" s="175" t="s">
        <v>8</v>
      </c>
      <c r="E139" s="2544" t="str">
        <f>Translations!$B$404</f>
        <v>Värme som används för elproduktion</v>
      </c>
      <c r="F139" s="2545"/>
      <c r="G139" s="47" t="str">
        <f>EUconst_TJpa</f>
        <v>TJ / år</v>
      </c>
      <c r="H139" s="260"/>
      <c r="I139" s="260"/>
      <c r="J139" s="260"/>
      <c r="K139" s="260"/>
      <c r="L139" s="260"/>
      <c r="M139" s="260"/>
      <c r="N139" s="260"/>
      <c r="O139" s="6"/>
      <c r="P139" s="1552"/>
      <c r="Q139" s="349"/>
      <c r="R139" s="349"/>
      <c r="S139" s="349"/>
      <c r="T139" s="490" t="b">
        <f>T119</f>
        <v>0</v>
      </c>
      <c r="U139" s="349"/>
      <c r="V139" s="349"/>
      <c r="W139" s="349"/>
      <c r="X139" s="349"/>
      <c r="Y139" s="349"/>
      <c r="Z139" s="349"/>
      <c r="AA139" s="349"/>
      <c r="AB139" s="349"/>
      <c r="AC139" s="349"/>
      <c r="AD139" s="1526" t="s">
        <v>2248</v>
      </c>
      <c r="AE139" s="394" t="str">
        <f>IF(AND(CNTR_HasEntries_A_I,COUNTIFS($V$16:$AB$16,FALSE,H139:N139,"")&gt;0,$T$94=FALSE),2,"")</f>
        <v/>
      </c>
    </row>
    <row r="140" spans="1:31" ht="12.65" customHeight="1" x14ac:dyDescent="0.25">
      <c r="A140" s="349"/>
      <c r="B140" s="19"/>
      <c r="C140" s="175"/>
      <c r="D140" s="175" t="s">
        <v>9</v>
      </c>
      <c r="E140" s="2544" t="str">
        <f>Translations!$B$405</f>
        <v>Mängd värme från källor utanför ETS</v>
      </c>
      <c r="F140" s="2545"/>
      <c r="G140" s="174" t="str">
        <f>EUconst_TJpa</f>
        <v>TJ / år</v>
      </c>
      <c r="H140" s="255" t="str">
        <f t="shared" ref="H140:N140" si="20">IF(ISNUMBER(H139),IF(ISNUMBER(H128),IF(H139*(1-H128/100)&lt;SUM(H114),H139*(1-H128/100),SUM(H114)),""),"")</f>
        <v/>
      </c>
      <c r="I140" s="255" t="str">
        <f t="shared" si="20"/>
        <v/>
      </c>
      <c r="J140" s="255" t="str">
        <f t="shared" si="20"/>
        <v/>
      </c>
      <c r="K140" s="255" t="str">
        <f t="shared" si="20"/>
        <v/>
      </c>
      <c r="L140" s="255" t="str">
        <f t="shared" si="20"/>
        <v/>
      </c>
      <c r="M140" s="255" t="str">
        <f t="shared" si="20"/>
        <v/>
      </c>
      <c r="N140" s="255" t="str">
        <f t="shared" si="20"/>
        <v/>
      </c>
      <c r="O140" s="6"/>
      <c r="P140" s="15"/>
      <c r="Q140" s="349"/>
      <c r="R140" s="349"/>
      <c r="S140" s="349"/>
      <c r="T140" s="543"/>
      <c r="U140" s="349"/>
      <c r="V140" s="349"/>
      <c r="W140" s="349"/>
      <c r="X140" s="349"/>
      <c r="Y140" s="349"/>
      <c r="Z140" s="349"/>
      <c r="AA140" s="349"/>
      <c r="AB140" s="349"/>
      <c r="AC140" s="349"/>
      <c r="AD140" s="349"/>
      <c r="AE140" s="349"/>
    </row>
    <row r="141" spans="1:31" ht="12.65" customHeight="1" x14ac:dyDescent="0.25">
      <c r="A141" s="349"/>
      <c r="B141" s="19"/>
      <c r="C141" s="175"/>
      <c r="D141" s="175" t="s">
        <v>10</v>
      </c>
      <c r="E141" s="2544" t="str">
        <f>Translations!$B$406</f>
        <v>Manuell överskrivning av (ii)</v>
      </c>
      <c r="F141" s="2545"/>
      <c r="G141" s="174" t="str">
        <f>EUconst_TJpa</f>
        <v>TJ / år</v>
      </c>
      <c r="H141" s="259"/>
      <c r="I141" s="259"/>
      <c r="J141" s="259"/>
      <c r="K141" s="259"/>
      <c r="L141" s="259"/>
      <c r="M141" s="259"/>
      <c r="N141" s="259"/>
      <c r="O141" s="6"/>
      <c r="P141" s="1552"/>
      <c r="Q141" s="349"/>
      <c r="R141" s="349"/>
      <c r="S141" s="349"/>
      <c r="T141" s="490" t="b">
        <f>T139</f>
        <v>0</v>
      </c>
      <c r="U141" s="349"/>
      <c r="V141" s="349"/>
      <c r="W141" s="349"/>
      <c r="X141" s="349"/>
      <c r="Y141" s="349"/>
      <c r="Z141" s="349"/>
      <c r="AA141" s="349"/>
      <c r="AB141" s="349"/>
      <c r="AC141" s="349"/>
      <c r="AD141" s="349"/>
      <c r="AE141" s="349"/>
    </row>
    <row r="142" spans="1:31" ht="5.15" customHeight="1" x14ac:dyDescent="0.25">
      <c r="A142" s="349"/>
      <c r="B142" s="3"/>
      <c r="C142" s="3"/>
      <c r="D142" s="3"/>
      <c r="E142" s="3"/>
      <c r="F142" s="3"/>
      <c r="G142" s="3"/>
      <c r="H142" s="3"/>
      <c r="I142" s="3"/>
      <c r="J142" s="3"/>
      <c r="K142" s="3"/>
      <c r="L142" s="3"/>
      <c r="M142" s="3"/>
      <c r="N142" s="3"/>
      <c r="O142" s="6"/>
      <c r="P142" s="15"/>
      <c r="Q142" s="410"/>
      <c r="R142" s="349"/>
      <c r="S142" s="349"/>
      <c r="T142" s="543"/>
      <c r="U142" s="349"/>
      <c r="V142" s="349"/>
      <c r="W142" s="349"/>
      <c r="X142" s="349"/>
      <c r="Y142" s="349"/>
      <c r="Z142" s="349"/>
      <c r="AA142" s="349"/>
      <c r="AB142" s="349"/>
      <c r="AC142" s="349"/>
      <c r="AD142" s="349"/>
      <c r="AE142" s="349"/>
    </row>
    <row r="143" spans="1:31" ht="13" customHeight="1" x14ac:dyDescent="0.25">
      <c r="A143" s="349"/>
      <c r="B143" s="3"/>
      <c r="C143" s="13"/>
      <c r="D143" s="13" t="s">
        <v>303</v>
      </c>
      <c r="E143" s="2530" t="str">
        <f>Translations!$B$407</f>
        <v>Mätbar värme som används för delanläggningar med produktriktmärke inom anläggningen (icke-berättigande för värmeriktmärke):</v>
      </c>
      <c r="F143" s="2531"/>
      <c r="G143" s="2531"/>
      <c r="H143" s="2531"/>
      <c r="I143" s="2531"/>
      <c r="J143" s="2531"/>
      <c r="K143" s="2531"/>
      <c r="L143" s="2531"/>
      <c r="M143" s="2531"/>
      <c r="N143" s="2531"/>
      <c r="O143" s="6"/>
      <c r="P143" s="15"/>
      <c r="Q143" s="410"/>
      <c r="R143" s="349"/>
      <c r="S143" s="349"/>
      <c r="T143" s="543"/>
      <c r="U143" s="349"/>
      <c r="V143" s="349"/>
      <c r="W143" s="349"/>
      <c r="X143" s="349"/>
      <c r="Y143" s="349"/>
      <c r="Z143" s="349"/>
      <c r="AA143" s="349"/>
      <c r="AB143" s="349"/>
      <c r="AC143" s="349"/>
      <c r="AD143" s="349"/>
      <c r="AE143" s="349"/>
    </row>
    <row r="144" spans="1:31" ht="25.5" customHeight="1" x14ac:dyDescent="0.25">
      <c r="A144" s="349"/>
      <c r="B144" s="3"/>
      <c r="C144" s="15"/>
      <c r="D144" s="15"/>
      <c r="E144" s="2533" t="str">
        <f>Translations!$B$408</f>
        <v>Enligt artikel 21 i FAR ska en koldioxidekvivalent för värmeimport utanför ETS dras av från den preliminära tilldelningen för produktriktmärken. De uppgifter som behövs för sådan korrigering är de i blad ”F_ProductBM”, avsnitt d för varje delanläggning.</v>
      </c>
      <c r="F144" s="2531"/>
      <c r="G144" s="2531"/>
      <c r="H144" s="2531"/>
      <c r="I144" s="2531"/>
      <c r="J144" s="2531"/>
      <c r="K144" s="2531"/>
      <c r="L144" s="2531"/>
      <c r="M144" s="2531"/>
      <c r="N144" s="2531"/>
      <c r="O144" s="6"/>
      <c r="P144" s="15"/>
      <c r="Q144" s="410"/>
      <c r="R144" s="349"/>
      <c r="S144" s="349"/>
      <c r="T144" s="543"/>
      <c r="U144" s="349"/>
      <c r="V144" s="349"/>
      <c r="W144" s="349"/>
      <c r="X144" s="349"/>
      <c r="Y144" s="349"/>
      <c r="Z144" s="349"/>
      <c r="AA144" s="349"/>
      <c r="AB144" s="349"/>
      <c r="AC144" s="349"/>
      <c r="AD144" s="349"/>
      <c r="AE144" s="349"/>
    </row>
    <row r="145" spans="1:31" ht="12.65" customHeight="1" x14ac:dyDescent="0.25">
      <c r="A145" s="349"/>
      <c r="B145" s="3"/>
      <c r="C145" s="15"/>
      <c r="D145" s="15"/>
      <c r="E145" s="2533" t="str">
        <f>Translations!$B$409</f>
        <v>Därför ingår en rimlighetskontroll av sådana uppgifter.</v>
      </c>
      <c r="F145" s="2531"/>
      <c r="G145" s="2531"/>
      <c r="H145" s="2531"/>
      <c r="I145" s="2531"/>
      <c r="J145" s="2531"/>
      <c r="K145" s="2531"/>
      <c r="L145" s="2531"/>
      <c r="M145" s="2531"/>
      <c r="N145" s="2531"/>
      <c r="O145" s="6"/>
      <c r="P145" s="15"/>
      <c r="Q145" s="410"/>
      <c r="R145" s="349"/>
      <c r="S145" s="349"/>
      <c r="T145" s="543"/>
      <c r="U145" s="349"/>
      <c r="V145" s="349"/>
      <c r="W145" s="349"/>
      <c r="X145" s="349"/>
      <c r="Y145" s="349"/>
      <c r="Z145" s="349"/>
      <c r="AA145" s="349"/>
      <c r="AB145" s="349"/>
      <c r="AC145" s="349"/>
      <c r="AD145" s="349"/>
      <c r="AE145" s="349"/>
    </row>
    <row r="146" spans="1:31" ht="13.5" thickBot="1" x14ac:dyDescent="0.3">
      <c r="A146" s="349"/>
      <c r="B146" s="19"/>
      <c r="C146" s="19"/>
      <c r="D146" s="19"/>
      <c r="E146" s="24"/>
      <c r="F146" s="21"/>
      <c r="G146" s="30" t="str">
        <f>EUconst_Unit</f>
        <v>Enhet</v>
      </c>
      <c r="H146" s="320">
        <f t="shared" ref="H146:N146" si="21">H$393</f>
        <v>2019</v>
      </c>
      <c r="I146" s="320">
        <f t="shared" si="21"/>
        <v>2020</v>
      </c>
      <c r="J146" s="320">
        <f t="shared" si="21"/>
        <v>2021</v>
      </c>
      <c r="K146" s="320">
        <f t="shared" si="21"/>
        <v>2022</v>
      </c>
      <c r="L146" s="320">
        <f t="shared" si="21"/>
        <v>2023</v>
      </c>
      <c r="M146" s="320">
        <f t="shared" si="21"/>
        <v>2024</v>
      </c>
      <c r="N146" s="320">
        <f t="shared" si="21"/>
        <v>2025</v>
      </c>
      <c r="O146" s="6"/>
      <c r="P146" s="15"/>
      <c r="Q146" s="349"/>
      <c r="R146" s="349"/>
      <c r="S146" s="349"/>
      <c r="T146" s="579"/>
      <c r="U146" s="349"/>
      <c r="V146" s="349"/>
      <c r="W146" s="349"/>
      <c r="X146" s="349"/>
      <c r="Y146" s="349"/>
      <c r="Z146" s="349"/>
      <c r="AA146" s="349"/>
      <c r="AB146" s="349"/>
      <c r="AC146" s="349"/>
      <c r="AD146" s="349"/>
      <c r="AE146" s="349"/>
    </row>
    <row r="147" spans="1:31" ht="12.75" customHeight="1" x14ac:dyDescent="0.25">
      <c r="A147" s="349"/>
      <c r="B147" s="19"/>
      <c r="C147" s="19"/>
      <c r="D147" s="289" t="s">
        <v>8</v>
      </c>
      <c r="E147" s="2534" t="str">
        <f t="shared" ref="E147:E156" si="22">IF(INDEX(CNTR_SubInstListIsProdBM,Q147),INDEX(CNTR_SubInstListNames,Q147),"")</f>
        <v/>
      </c>
      <c r="F147" s="2535"/>
      <c r="G147" s="352" t="str">
        <f t="shared" ref="G147:G157" si="23">EUconst_TJpa</f>
        <v>TJ / år</v>
      </c>
      <c r="H147" s="280"/>
      <c r="I147" s="280"/>
      <c r="J147" s="280"/>
      <c r="K147" s="280"/>
      <c r="L147" s="280"/>
      <c r="M147" s="280"/>
      <c r="N147" s="280"/>
      <c r="O147" s="6"/>
      <c r="P147" s="1552"/>
      <c r="Q147" s="544">
        <v>1</v>
      </c>
      <c r="R147" s="349"/>
      <c r="S147" s="349"/>
      <c r="T147" s="503" t="b">
        <f t="shared" ref="T147:T156" si="24">IF(CNTR_ExistSubInstEntries,OR(E147="",$T$141),FALSE)</f>
        <v>0</v>
      </c>
      <c r="U147" s="349"/>
      <c r="V147" s="349"/>
      <c r="W147" s="349"/>
      <c r="X147" s="349"/>
      <c r="Y147" s="349"/>
      <c r="Z147" s="349"/>
      <c r="AA147" s="349"/>
      <c r="AB147" s="349"/>
      <c r="AC147" s="349"/>
      <c r="AD147" s="1526" t="s">
        <v>2248</v>
      </c>
      <c r="AE147" s="394" t="str">
        <f>IF(AND(CNTR_HasEntries_A_I,T147=FALSE,COUNTIFS($V$16:$AB$16,FALSE,H147:N147,"")&gt;0,$T$94=FALSE),2,"")</f>
        <v/>
      </c>
    </row>
    <row r="148" spans="1:31" x14ac:dyDescent="0.25">
      <c r="A148" s="349"/>
      <c r="B148" s="19"/>
      <c r="C148" s="19"/>
      <c r="D148" s="289" t="s">
        <v>9</v>
      </c>
      <c r="E148" s="2540" t="str">
        <f t="shared" si="22"/>
        <v/>
      </c>
      <c r="F148" s="2541"/>
      <c r="G148" s="353" t="str">
        <f t="shared" si="23"/>
        <v>TJ / år</v>
      </c>
      <c r="H148" s="279"/>
      <c r="I148" s="279"/>
      <c r="J148" s="279"/>
      <c r="K148" s="279"/>
      <c r="L148" s="279"/>
      <c r="M148" s="279"/>
      <c r="N148" s="279"/>
      <c r="O148" s="6"/>
      <c r="P148" s="1552"/>
      <c r="Q148" s="545">
        <v>2</v>
      </c>
      <c r="R148" s="349"/>
      <c r="S148" s="349"/>
      <c r="T148" s="585" t="b">
        <f t="shared" si="24"/>
        <v>0</v>
      </c>
      <c r="U148" s="349"/>
      <c r="V148" s="349"/>
      <c r="W148" s="349"/>
      <c r="X148" s="349"/>
      <c r="Y148" s="349"/>
      <c r="Z148" s="349"/>
      <c r="AA148" s="349"/>
      <c r="AB148" s="349"/>
      <c r="AC148" s="349"/>
      <c r="AD148" s="1526" t="s">
        <v>2248</v>
      </c>
      <c r="AE148" s="394" t="str">
        <f t="shared" ref="AE148:AE156" si="25">IF(AND(CNTR_HasEntries_A_I,T148=FALSE,COUNTIFS($V$16:$AB$16,FALSE,H148:N148,"")&gt;0),2,"")</f>
        <v/>
      </c>
    </row>
    <row r="149" spans="1:31" ht="12.75" customHeight="1" x14ac:dyDescent="0.25">
      <c r="A149" s="349"/>
      <c r="B149" s="19"/>
      <c r="C149" s="19"/>
      <c r="D149" s="289" t="s">
        <v>10</v>
      </c>
      <c r="E149" s="2540" t="str">
        <f t="shared" si="22"/>
        <v/>
      </c>
      <c r="F149" s="2541"/>
      <c r="G149" s="353" t="str">
        <f t="shared" si="23"/>
        <v>TJ / år</v>
      </c>
      <c r="H149" s="279"/>
      <c r="I149" s="279"/>
      <c r="J149" s="279"/>
      <c r="K149" s="279"/>
      <c r="L149" s="279"/>
      <c r="M149" s="279"/>
      <c r="N149" s="279"/>
      <c r="O149" s="6"/>
      <c r="P149" s="1552"/>
      <c r="Q149" s="545">
        <v>3</v>
      </c>
      <c r="R149" s="349"/>
      <c r="S149" s="349"/>
      <c r="T149" s="585" t="b">
        <f t="shared" si="24"/>
        <v>0</v>
      </c>
      <c r="U149" s="349"/>
      <c r="V149" s="349"/>
      <c r="W149" s="349"/>
      <c r="X149" s="349"/>
      <c r="Y149" s="349"/>
      <c r="Z149" s="349"/>
      <c r="AA149" s="349"/>
      <c r="AB149" s="349"/>
      <c r="AC149" s="349"/>
      <c r="AD149" s="1526" t="s">
        <v>2248</v>
      </c>
      <c r="AE149" s="394" t="str">
        <f t="shared" si="25"/>
        <v/>
      </c>
    </row>
    <row r="150" spans="1:31" x14ac:dyDescent="0.25">
      <c r="A150" s="349"/>
      <c r="B150" s="19"/>
      <c r="C150" s="19"/>
      <c r="D150" s="289" t="s">
        <v>23</v>
      </c>
      <c r="E150" s="2540" t="str">
        <f t="shared" si="22"/>
        <v/>
      </c>
      <c r="F150" s="2541"/>
      <c r="G150" s="353" t="str">
        <f t="shared" si="23"/>
        <v>TJ / år</v>
      </c>
      <c r="H150" s="279"/>
      <c r="I150" s="279"/>
      <c r="J150" s="279"/>
      <c r="K150" s="279"/>
      <c r="L150" s="279"/>
      <c r="M150" s="279"/>
      <c r="N150" s="279"/>
      <c r="O150" s="6"/>
      <c r="P150" s="1552"/>
      <c r="Q150" s="545">
        <v>4</v>
      </c>
      <c r="R150" s="349"/>
      <c r="S150" s="349"/>
      <c r="T150" s="585" t="b">
        <f t="shared" si="24"/>
        <v>0</v>
      </c>
      <c r="U150" s="349"/>
      <c r="V150" s="349"/>
      <c r="W150" s="349"/>
      <c r="X150" s="349"/>
      <c r="Y150" s="349"/>
      <c r="Z150" s="349"/>
      <c r="AA150" s="349"/>
      <c r="AB150" s="349"/>
      <c r="AC150" s="349"/>
      <c r="AD150" s="1526" t="s">
        <v>2248</v>
      </c>
      <c r="AE150" s="394" t="str">
        <f t="shared" si="25"/>
        <v/>
      </c>
    </row>
    <row r="151" spans="1:31" x14ac:dyDescent="0.25">
      <c r="A151" s="349"/>
      <c r="B151" s="19"/>
      <c r="C151" s="19"/>
      <c r="D151" s="289" t="s">
        <v>859</v>
      </c>
      <c r="E151" s="2540" t="str">
        <f t="shared" si="22"/>
        <v/>
      </c>
      <c r="F151" s="2541"/>
      <c r="G151" s="353" t="str">
        <f t="shared" si="23"/>
        <v>TJ / år</v>
      </c>
      <c r="H151" s="279"/>
      <c r="I151" s="279"/>
      <c r="J151" s="279"/>
      <c r="K151" s="279"/>
      <c r="L151" s="279"/>
      <c r="M151" s="279"/>
      <c r="N151" s="279"/>
      <c r="O151" s="6"/>
      <c r="P151" s="1552"/>
      <c r="Q151" s="545">
        <v>5</v>
      </c>
      <c r="R151" s="349"/>
      <c r="S151" s="349"/>
      <c r="T151" s="585" t="b">
        <f t="shared" si="24"/>
        <v>0</v>
      </c>
      <c r="U151" s="349"/>
      <c r="V151" s="349"/>
      <c r="W151" s="349"/>
      <c r="X151" s="349"/>
      <c r="Y151" s="349"/>
      <c r="Z151" s="349"/>
      <c r="AA151" s="349"/>
      <c r="AB151" s="349"/>
      <c r="AC151" s="349"/>
      <c r="AD151" s="1526" t="s">
        <v>2248</v>
      </c>
      <c r="AE151" s="394" t="str">
        <f t="shared" si="25"/>
        <v/>
      </c>
    </row>
    <row r="152" spans="1:31" x14ac:dyDescent="0.25">
      <c r="A152" s="349"/>
      <c r="B152" s="19"/>
      <c r="C152" s="19"/>
      <c r="D152" s="289" t="s">
        <v>860</v>
      </c>
      <c r="E152" s="2540" t="str">
        <f t="shared" si="22"/>
        <v/>
      </c>
      <c r="F152" s="2541"/>
      <c r="G152" s="353" t="str">
        <f t="shared" si="23"/>
        <v>TJ / år</v>
      </c>
      <c r="H152" s="279"/>
      <c r="I152" s="279"/>
      <c r="J152" s="279"/>
      <c r="K152" s="279"/>
      <c r="L152" s="279"/>
      <c r="M152" s="279"/>
      <c r="N152" s="279"/>
      <c r="O152" s="6"/>
      <c r="P152" s="1552"/>
      <c r="Q152" s="545">
        <v>6</v>
      </c>
      <c r="R152" s="349"/>
      <c r="S152" s="349"/>
      <c r="T152" s="585" t="b">
        <f t="shared" si="24"/>
        <v>0</v>
      </c>
      <c r="U152" s="349"/>
      <c r="V152" s="349"/>
      <c r="W152" s="349"/>
      <c r="X152" s="349"/>
      <c r="Y152" s="349"/>
      <c r="Z152" s="349"/>
      <c r="AA152" s="349"/>
      <c r="AB152" s="349"/>
      <c r="AC152" s="349"/>
      <c r="AD152" s="1526" t="s">
        <v>2248</v>
      </c>
      <c r="AE152" s="394" t="str">
        <f t="shared" si="25"/>
        <v/>
      </c>
    </row>
    <row r="153" spans="1:31" x14ac:dyDescent="0.25">
      <c r="A153" s="349"/>
      <c r="B153" s="19"/>
      <c r="C153" s="19"/>
      <c r="D153" s="289" t="s">
        <v>861</v>
      </c>
      <c r="E153" s="2540" t="str">
        <f t="shared" si="22"/>
        <v/>
      </c>
      <c r="F153" s="2541"/>
      <c r="G153" s="353" t="str">
        <f t="shared" si="23"/>
        <v>TJ / år</v>
      </c>
      <c r="H153" s="279"/>
      <c r="I153" s="279"/>
      <c r="J153" s="279"/>
      <c r="K153" s="279"/>
      <c r="L153" s="279"/>
      <c r="M153" s="279"/>
      <c r="N153" s="279"/>
      <c r="O153" s="6"/>
      <c r="P153" s="1552"/>
      <c r="Q153" s="545">
        <v>7</v>
      </c>
      <c r="R153" s="349"/>
      <c r="S153" s="349"/>
      <c r="T153" s="585" t="b">
        <f t="shared" si="24"/>
        <v>0</v>
      </c>
      <c r="U153" s="349"/>
      <c r="V153" s="349"/>
      <c r="W153" s="349"/>
      <c r="X153" s="349"/>
      <c r="Y153" s="349"/>
      <c r="Z153" s="349"/>
      <c r="AA153" s="349"/>
      <c r="AB153" s="349"/>
      <c r="AC153" s="349"/>
      <c r="AD153" s="1526" t="s">
        <v>2248</v>
      </c>
      <c r="AE153" s="394" t="str">
        <f t="shared" si="25"/>
        <v/>
      </c>
    </row>
    <row r="154" spans="1:31" x14ac:dyDescent="0.25">
      <c r="A154" s="349"/>
      <c r="B154" s="19"/>
      <c r="C154" s="19"/>
      <c r="D154" s="289" t="s">
        <v>862</v>
      </c>
      <c r="E154" s="2540" t="str">
        <f t="shared" si="22"/>
        <v/>
      </c>
      <c r="F154" s="2541"/>
      <c r="G154" s="353" t="str">
        <f t="shared" si="23"/>
        <v>TJ / år</v>
      </c>
      <c r="H154" s="279"/>
      <c r="I154" s="279"/>
      <c r="J154" s="279"/>
      <c r="K154" s="279"/>
      <c r="L154" s="279"/>
      <c r="M154" s="279"/>
      <c r="N154" s="279"/>
      <c r="O154" s="6"/>
      <c r="P154" s="1552"/>
      <c r="Q154" s="545">
        <v>8</v>
      </c>
      <c r="R154" s="349"/>
      <c r="S154" s="349"/>
      <c r="T154" s="585" t="b">
        <f t="shared" si="24"/>
        <v>0</v>
      </c>
      <c r="U154" s="349"/>
      <c r="V154" s="349"/>
      <c r="W154" s="349"/>
      <c r="X154" s="349"/>
      <c r="Y154" s="349"/>
      <c r="Z154" s="349"/>
      <c r="AA154" s="349"/>
      <c r="AB154" s="349"/>
      <c r="AC154" s="349"/>
      <c r="AD154" s="1526" t="s">
        <v>2248</v>
      </c>
      <c r="AE154" s="394" t="str">
        <f t="shared" si="25"/>
        <v/>
      </c>
    </row>
    <row r="155" spans="1:31" x14ac:dyDescent="0.25">
      <c r="A155" s="349"/>
      <c r="B155" s="19"/>
      <c r="C155" s="19"/>
      <c r="D155" s="289" t="s">
        <v>863</v>
      </c>
      <c r="E155" s="2540" t="str">
        <f t="shared" si="22"/>
        <v/>
      </c>
      <c r="F155" s="2541"/>
      <c r="G155" s="353" t="str">
        <f t="shared" si="23"/>
        <v>TJ / år</v>
      </c>
      <c r="H155" s="279"/>
      <c r="I155" s="279"/>
      <c r="J155" s="279"/>
      <c r="K155" s="279"/>
      <c r="L155" s="279"/>
      <c r="M155" s="279"/>
      <c r="N155" s="279"/>
      <c r="O155" s="6"/>
      <c r="P155" s="1552"/>
      <c r="Q155" s="545">
        <v>9</v>
      </c>
      <c r="R155" s="349"/>
      <c r="S155" s="349"/>
      <c r="T155" s="585" t="b">
        <f t="shared" si="24"/>
        <v>0</v>
      </c>
      <c r="U155" s="349"/>
      <c r="V155" s="349"/>
      <c r="W155" s="349"/>
      <c r="X155" s="349"/>
      <c r="Y155" s="349"/>
      <c r="Z155" s="349"/>
      <c r="AA155" s="349"/>
      <c r="AB155" s="349"/>
      <c r="AC155" s="349"/>
      <c r="AD155" s="1526" t="s">
        <v>2248</v>
      </c>
      <c r="AE155" s="394" t="str">
        <f t="shared" si="25"/>
        <v/>
      </c>
    </row>
    <row r="156" spans="1:31" ht="13" thickBot="1" x14ac:dyDescent="0.3">
      <c r="A156" s="349"/>
      <c r="B156" s="19"/>
      <c r="C156" s="19"/>
      <c r="D156" s="289" t="s">
        <v>72</v>
      </c>
      <c r="E156" s="2576" t="str">
        <f t="shared" si="22"/>
        <v/>
      </c>
      <c r="F156" s="2543"/>
      <c r="G156" s="354" t="str">
        <f t="shared" si="23"/>
        <v>TJ / år</v>
      </c>
      <c r="H156" s="277"/>
      <c r="I156" s="277"/>
      <c r="J156" s="277"/>
      <c r="K156" s="277"/>
      <c r="L156" s="277"/>
      <c r="M156" s="277"/>
      <c r="N156" s="277"/>
      <c r="O156" s="6"/>
      <c r="P156" s="1552"/>
      <c r="Q156" s="546">
        <v>10</v>
      </c>
      <c r="R156" s="349"/>
      <c r="S156" s="349"/>
      <c r="T156" s="548" t="b">
        <f t="shared" si="24"/>
        <v>0</v>
      </c>
      <c r="U156" s="349"/>
      <c r="V156" s="349"/>
      <c r="W156" s="349"/>
      <c r="X156" s="349"/>
      <c r="Y156" s="349"/>
      <c r="Z156" s="349"/>
      <c r="AA156" s="349"/>
      <c r="AB156" s="349"/>
      <c r="AC156" s="349"/>
      <c r="AD156" s="1526" t="s">
        <v>2248</v>
      </c>
      <c r="AE156" s="394" t="str">
        <f t="shared" si="25"/>
        <v/>
      </c>
    </row>
    <row r="157" spans="1:31" ht="12.75" customHeight="1" x14ac:dyDescent="0.25">
      <c r="A157" s="349"/>
      <c r="B157" s="19"/>
      <c r="C157" s="175"/>
      <c r="D157" s="289" t="s">
        <v>73</v>
      </c>
      <c r="E157" s="2544" t="str">
        <f>Translations!$B$384</f>
        <v>Delsumma</v>
      </c>
      <c r="F157" s="2545"/>
      <c r="G157" s="36" t="str">
        <f t="shared" si="23"/>
        <v>TJ / år</v>
      </c>
      <c r="H157" s="351" t="str">
        <f t="shared" ref="H157:N157" si="26">IF(COUNT(H147:H156)&gt;0,SUM(H147:H156),"")</f>
        <v/>
      </c>
      <c r="I157" s="351" t="str">
        <f t="shared" si="26"/>
        <v/>
      </c>
      <c r="J157" s="351" t="str">
        <f t="shared" si="26"/>
        <v/>
      </c>
      <c r="K157" s="351" t="str">
        <f t="shared" si="26"/>
        <v/>
      </c>
      <c r="L157" s="351" t="str">
        <f t="shared" si="26"/>
        <v/>
      </c>
      <c r="M157" s="351" t="str">
        <f t="shared" si="26"/>
        <v/>
      </c>
      <c r="N157" s="351" t="str">
        <f t="shared" si="26"/>
        <v/>
      </c>
      <c r="O157" s="6"/>
      <c r="P157" s="15"/>
      <c r="Q157" s="349"/>
      <c r="R157" s="349"/>
      <c r="S157" s="349"/>
      <c r="T157" s="543"/>
      <c r="U157" s="349"/>
      <c r="V157" s="349"/>
      <c r="W157" s="349"/>
      <c r="X157" s="349"/>
      <c r="Y157" s="349"/>
      <c r="Z157" s="349"/>
      <c r="AA157" s="349"/>
      <c r="AB157" s="349"/>
      <c r="AC157" s="349"/>
      <c r="AD157" s="349"/>
      <c r="AE157" s="349"/>
    </row>
    <row r="158" spans="1:31" ht="5.15" customHeight="1" x14ac:dyDescent="0.25">
      <c r="A158" s="349"/>
      <c r="B158" s="3"/>
      <c r="C158" s="3"/>
      <c r="D158" s="3"/>
      <c r="E158" s="3"/>
      <c r="F158" s="3"/>
      <c r="G158" s="3"/>
      <c r="H158" s="3"/>
      <c r="I158" s="3"/>
      <c r="J158" s="3"/>
      <c r="K158" s="3"/>
      <c r="L158" s="3"/>
      <c r="M158" s="3"/>
      <c r="N158" s="3"/>
      <c r="O158" s="6"/>
      <c r="P158" s="15"/>
      <c r="Q158" s="410"/>
      <c r="R158" s="349"/>
      <c r="S158" s="349"/>
      <c r="T158" s="543"/>
      <c r="U158" s="349"/>
      <c r="V158" s="349"/>
      <c r="W158" s="349"/>
      <c r="X158" s="349"/>
      <c r="Y158" s="349"/>
      <c r="Z158" s="349"/>
      <c r="AA158" s="349"/>
      <c r="AB158" s="349"/>
      <c r="AC158" s="349"/>
      <c r="AD158" s="349"/>
      <c r="AE158" s="349"/>
    </row>
    <row r="159" spans="1:31" ht="12.65" customHeight="1" x14ac:dyDescent="0.25">
      <c r="A159" s="349"/>
      <c r="B159" s="19"/>
      <c r="C159" s="19"/>
      <c r="D159" s="19"/>
      <c r="E159" s="2528" t="str">
        <f>Translations!$B$410</f>
        <v>Värden som angetts i blad ”F_ProductBM”:</v>
      </c>
      <c r="F159" s="2529"/>
      <c r="G159" s="2529"/>
      <c r="H159" s="2529"/>
      <c r="I159" s="2529"/>
      <c r="J159" s="2529"/>
      <c r="K159" s="2529"/>
      <c r="L159" s="2529"/>
      <c r="M159" s="2529"/>
      <c r="N159" s="2529"/>
      <c r="O159" s="6"/>
      <c r="P159" s="15"/>
      <c r="Q159" s="349"/>
      <c r="R159" s="349"/>
      <c r="S159" s="349"/>
      <c r="T159" s="543"/>
      <c r="U159" s="349"/>
      <c r="V159" s="349"/>
      <c r="W159" s="349"/>
      <c r="X159" s="349"/>
      <c r="Y159" s="349"/>
      <c r="Z159" s="349"/>
      <c r="AA159" s="349"/>
      <c r="AB159" s="349"/>
      <c r="AC159" s="349"/>
      <c r="AD159" s="349"/>
      <c r="AE159" s="349"/>
    </row>
    <row r="160" spans="1:31" ht="12.65" customHeight="1" x14ac:dyDescent="0.25">
      <c r="A160" s="349"/>
      <c r="B160" s="19"/>
      <c r="C160" s="175"/>
      <c r="D160" s="289" t="s">
        <v>74</v>
      </c>
      <c r="E160" s="2544" t="str">
        <f>Translations!$B$405</f>
        <v>Mängd värme från källor utanför ETS</v>
      </c>
      <c r="F160" s="2545"/>
      <c r="G160" s="174" t="str">
        <f>EUconst_TJpa</f>
        <v>TJ / år</v>
      </c>
      <c r="H160" s="255" t="str">
        <f>F_ProductBM!H3050</f>
        <v/>
      </c>
      <c r="I160" s="255" t="str">
        <f>F_ProductBM!I3050</f>
        <v/>
      </c>
      <c r="J160" s="255" t="str">
        <f>F_ProductBM!J3050</f>
        <v/>
      </c>
      <c r="K160" s="255" t="str">
        <f>F_ProductBM!K3050</f>
        <v/>
      </c>
      <c r="L160" s="255" t="str">
        <f>F_ProductBM!L3050</f>
        <v/>
      </c>
      <c r="M160" s="255" t="str">
        <f>F_ProductBM!M3050</f>
        <v/>
      </c>
      <c r="N160" s="255" t="str">
        <f>F_ProductBM!N3050</f>
        <v/>
      </c>
      <c r="O160" s="6"/>
      <c r="P160" s="15"/>
      <c r="Q160" s="349"/>
      <c r="R160" s="349"/>
      <c r="S160" s="349"/>
      <c r="T160" s="543"/>
      <c r="U160" s="349"/>
      <c r="V160" s="349"/>
      <c r="W160" s="349"/>
      <c r="X160" s="349"/>
      <c r="Y160" s="349"/>
      <c r="Z160" s="349"/>
      <c r="AA160" s="349"/>
      <c r="AB160" s="349"/>
      <c r="AC160" s="349"/>
      <c r="AD160" s="349"/>
      <c r="AE160" s="349"/>
    </row>
    <row r="161" spans="1:31" ht="5.15" customHeight="1" x14ac:dyDescent="0.25">
      <c r="A161" s="349"/>
      <c r="B161" s="3"/>
      <c r="C161" s="3"/>
      <c r="D161" s="3"/>
      <c r="E161" s="3"/>
      <c r="F161" s="3"/>
      <c r="G161" s="3"/>
      <c r="H161" s="3"/>
      <c r="I161" s="3"/>
      <c r="J161" s="3"/>
      <c r="K161" s="3"/>
      <c r="L161" s="3"/>
      <c r="M161" s="3"/>
      <c r="N161" s="3"/>
      <c r="O161" s="6"/>
      <c r="P161" s="15"/>
      <c r="Q161" s="410"/>
      <c r="R161" s="349"/>
      <c r="S161" s="349"/>
      <c r="T161" s="543"/>
      <c r="U161" s="349"/>
      <c r="V161" s="349"/>
      <c r="W161" s="349"/>
      <c r="X161" s="349"/>
      <c r="Y161" s="349"/>
      <c r="Z161" s="349"/>
      <c r="AA161" s="349"/>
      <c r="AB161" s="349"/>
      <c r="AC161" s="349"/>
      <c r="AD161" s="349"/>
      <c r="AE161" s="349"/>
    </row>
    <row r="162" spans="1:31" ht="12.65" customHeight="1" x14ac:dyDescent="0.25">
      <c r="A162" s="349"/>
      <c r="B162" s="19"/>
      <c r="C162" s="19"/>
      <c r="D162" s="19"/>
      <c r="E162" s="2530" t="str">
        <f>Translations!$B$411</f>
        <v>Rimlighetskontroll:</v>
      </c>
      <c r="F162" s="2531"/>
      <c r="G162" s="2531"/>
      <c r="H162" s="2531"/>
      <c r="I162" s="2531"/>
      <c r="J162" s="2531"/>
      <c r="K162" s="2531"/>
      <c r="L162" s="2531"/>
      <c r="M162" s="2531"/>
      <c r="N162" s="2531"/>
      <c r="O162" s="6"/>
      <c r="P162" s="15"/>
      <c r="Q162" s="349"/>
      <c r="R162" s="349"/>
      <c r="S162" s="349"/>
      <c r="T162" s="543"/>
      <c r="U162" s="349"/>
      <c r="V162" s="349"/>
      <c r="W162" s="349"/>
      <c r="X162" s="349"/>
      <c r="Y162" s="349"/>
      <c r="Z162" s="349"/>
      <c r="AA162" s="349"/>
      <c r="AB162" s="349"/>
      <c r="AC162" s="349"/>
      <c r="AD162" s="349"/>
      <c r="AE162" s="349"/>
    </row>
    <row r="163" spans="1:31" ht="12.65" customHeight="1" x14ac:dyDescent="0.25">
      <c r="A163" s="349"/>
      <c r="B163" s="3"/>
      <c r="C163" s="15"/>
      <c r="D163" s="15"/>
      <c r="E163" s="2442" t="str">
        <f>Translations!$B$412</f>
        <v>Var god se till att kontrollera detta avsnitt igen efter att ni har fyllt i blad ”F_ProductBM”, i tillämpliga fall, för att undvika inmatning av orimliga uppgifter.</v>
      </c>
      <c r="F163" s="2531"/>
      <c r="G163" s="2531"/>
      <c r="H163" s="2531"/>
      <c r="I163" s="2531"/>
      <c r="J163" s="2531"/>
      <c r="K163" s="2531"/>
      <c r="L163" s="2531"/>
      <c r="M163" s="2531"/>
      <c r="N163" s="2531"/>
      <c r="O163" s="6"/>
      <c r="P163" s="15"/>
      <c r="Q163" s="410"/>
      <c r="R163" s="349"/>
      <c r="S163" s="349"/>
      <c r="T163" s="543"/>
      <c r="U163" s="349"/>
      <c r="V163" s="349"/>
      <c r="W163" s="349"/>
      <c r="X163" s="349"/>
      <c r="Y163" s="349"/>
      <c r="Z163" s="349"/>
      <c r="AA163" s="349"/>
      <c r="AB163" s="349"/>
      <c r="AC163" s="349"/>
      <c r="AD163" s="349"/>
      <c r="AE163" s="349"/>
    </row>
    <row r="164" spans="1:31" ht="12.65" customHeight="1" x14ac:dyDescent="0.25">
      <c r="A164" s="349"/>
      <c r="B164" s="3"/>
      <c r="C164" s="15"/>
      <c r="D164" s="15"/>
      <c r="E164" s="2442" t="str">
        <f>Translations!$B$413</f>
        <v>Den bästa metoden för att fylla i detta avsnitt är att först ange relevanta uppgifter i ”F_ProductBM” och sedan fortsätta med punkt i nedan.</v>
      </c>
      <c r="F164" s="2531"/>
      <c r="G164" s="2531"/>
      <c r="H164" s="2531"/>
      <c r="I164" s="2531"/>
      <c r="J164" s="2531"/>
      <c r="K164" s="2531"/>
      <c r="L164" s="2531"/>
      <c r="M164" s="2531"/>
      <c r="N164" s="2531"/>
      <c r="O164" s="6"/>
      <c r="P164" s="15"/>
      <c r="Q164" s="410"/>
      <c r="R164" s="349"/>
      <c r="S164" s="349"/>
      <c r="T164" s="543"/>
      <c r="U164" s="349"/>
      <c r="V164" s="349"/>
      <c r="W164" s="349"/>
      <c r="X164" s="349"/>
      <c r="Y164" s="349"/>
      <c r="Z164" s="349"/>
      <c r="AA164" s="349"/>
      <c r="AB164" s="349"/>
      <c r="AC164" s="349"/>
      <c r="AD164" s="349"/>
      <c r="AE164" s="349"/>
    </row>
    <row r="165" spans="1:31" ht="5.15" customHeight="1" x14ac:dyDescent="0.25">
      <c r="A165" s="349"/>
      <c r="B165" s="3"/>
      <c r="C165" s="292"/>
      <c r="D165" s="292"/>
      <c r="E165" s="3"/>
      <c r="F165" s="3"/>
      <c r="G165" s="3"/>
      <c r="H165" s="3"/>
      <c r="I165" s="3"/>
      <c r="J165" s="3"/>
      <c r="K165" s="3"/>
      <c r="L165" s="3"/>
      <c r="M165" s="3"/>
      <c r="N165" s="3"/>
      <c r="O165" s="6"/>
      <c r="P165" s="15"/>
      <c r="Q165" s="410"/>
      <c r="R165" s="349"/>
      <c r="S165" s="349"/>
      <c r="T165" s="543"/>
      <c r="U165" s="349"/>
      <c r="V165" s="349"/>
      <c r="W165" s="349"/>
      <c r="X165" s="349"/>
      <c r="Y165" s="349"/>
      <c r="Z165" s="349"/>
      <c r="AA165" s="349"/>
      <c r="AB165" s="349"/>
      <c r="AC165" s="349"/>
      <c r="AD165" s="349"/>
      <c r="AE165" s="349"/>
    </row>
    <row r="166" spans="1:31" ht="12.65" customHeight="1" x14ac:dyDescent="0.25">
      <c r="A166" s="349"/>
      <c r="B166" s="19"/>
      <c r="C166" s="19"/>
      <c r="D166" s="19"/>
      <c r="E166" s="2528" t="str">
        <f>Translations!$B$414</f>
        <v>Värme utanför ETS som angetts i blad ”F_ProductBM” jämfört med totalmängden värme för alla produktriktmärken:</v>
      </c>
      <c r="F166" s="2529"/>
      <c r="G166" s="2529"/>
      <c r="H166" s="2529"/>
      <c r="I166" s="2529"/>
      <c r="J166" s="2529"/>
      <c r="K166" s="2529"/>
      <c r="L166" s="2529"/>
      <c r="M166" s="2529"/>
      <c r="N166" s="2529"/>
      <c r="O166" s="6"/>
      <c r="P166" s="15"/>
      <c r="Q166" s="349"/>
      <c r="R166" s="349"/>
      <c r="S166" s="349"/>
      <c r="T166" s="543"/>
      <c r="U166" s="349"/>
      <c r="V166" s="349"/>
      <c r="W166" s="349"/>
      <c r="X166" s="349"/>
      <c r="Y166" s="349"/>
      <c r="Z166" s="349"/>
      <c r="AA166" s="349"/>
      <c r="AB166" s="349"/>
      <c r="AC166" s="349"/>
      <c r="AD166" s="349"/>
      <c r="AE166" s="349"/>
    </row>
    <row r="167" spans="1:31" ht="12.65" customHeight="1" x14ac:dyDescent="0.25">
      <c r="A167" s="349"/>
      <c r="B167" s="19"/>
      <c r="C167" s="175"/>
      <c r="D167" s="289" t="s">
        <v>1201</v>
      </c>
      <c r="E167" s="2546" t="str">
        <f>Translations!$B$415</f>
        <v>Punkt xii i förhållande till punkt xi:</v>
      </c>
      <c r="F167" s="2545"/>
      <c r="G167" s="47" t="s">
        <v>1113</v>
      </c>
      <c r="H167" s="255" t="str">
        <f t="shared" ref="H167:N167" si="27">IF(AND(ISNUMBER(H157),H157&lt;&gt;0,ISNUMBER(H160)),H160/H157*100,"")</f>
        <v/>
      </c>
      <c r="I167" s="255" t="str">
        <f t="shared" si="27"/>
        <v/>
      </c>
      <c r="J167" s="255" t="str">
        <f t="shared" si="27"/>
        <v/>
      </c>
      <c r="K167" s="255" t="str">
        <f t="shared" si="27"/>
        <v/>
      </c>
      <c r="L167" s="255" t="str">
        <f t="shared" si="27"/>
        <v/>
      </c>
      <c r="M167" s="255" t="str">
        <f t="shared" si="27"/>
        <v/>
      </c>
      <c r="N167" s="255" t="str">
        <f t="shared" si="27"/>
        <v/>
      </c>
      <c r="O167" s="6"/>
      <c r="P167" s="15"/>
      <c r="Q167" s="349"/>
      <c r="R167" s="349"/>
      <c r="S167" s="349"/>
      <c r="T167" s="543"/>
      <c r="U167" s="349"/>
      <c r="V167" s="349"/>
      <c r="W167" s="349"/>
      <c r="X167" s="349"/>
      <c r="Y167" s="349"/>
      <c r="Z167" s="349"/>
      <c r="AA167" s="349"/>
      <c r="AB167" s="349"/>
      <c r="AC167" s="349"/>
      <c r="AD167" s="349"/>
      <c r="AE167" s="349"/>
    </row>
    <row r="168" spans="1:31" ht="5.15" customHeight="1" x14ac:dyDescent="0.25">
      <c r="A168" s="349"/>
      <c r="B168" s="3"/>
      <c r="C168" s="292"/>
      <c r="D168" s="292"/>
      <c r="E168" s="3"/>
      <c r="F168" s="3"/>
      <c r="G168" s="3"/>
      <c r="H168" s="3"/>
      <c r="I168" s="3"/>
      <c r="J168" s="3"/>
      <c r="K168" s="3"/>
      <c r="L168" s="3"/>
      <c r="M168" s="3"/>
      <c r="N168" s="3"/>
      <c r="O168" s="6"/>
      <c r="P168" s="15"/>
      <c r="Q168" s="410"/>
      <c r="R168" s="349"/>
      <c r="S168" s="349"/>
      <c r="T168" s="543"/>
      <c r="U168" s="349"/>
      <c r="V168" s="349"/>
      <c r="W168" s="349"/>
      <c r="X168" s="349"/>
      <c r="Y168" s="349"/>
      <c r="Z168" s="349"/>
      <c r="AA168" s="349"/>
      <c r="AB168" s="349"/>
      <c r="AC168" s="349"/>
      <c r="AD168" s="349"/>
      <c r="AE168" s="349"/>
    </row>
    <row r="169" spans="1:31" ht="12.65" customHeight="1" x14ac:dyDescent="0.25">
      <c r="A169" s="349"/>
      <c r="B169" s="19"/>
      <c r="C169" s="175"/>
      <c r="D169" s="175"/>
      <c r="E169" s="2528" t="str">
        <f>Translations!$B$416</f>
        <v>Värme utanför ETS som angetts i blad ”F_ProductBM” jämfört med totalmängden värmeimport utanför ETS som angetts i punkt c:</v>
      </c>
      <c r="F169" s="2529"/>
      <c r="G169" s="2529"/>
      <c r="H169" s="2529"/>
      <c r="I169" s="2529"/>
      <c r="J169" s="2529"/>
      <c r="K169" s="2529"/>
      <c r="L169" s="2529"/>
      <c r="M169" s="2529"/>
      <c r="N169" s="2529"/>
      <c r="O169" s="6"/>
      <c r="P169" s="15"/>
      <c r="Q169" s="349"/>
      <c r="R169" s="349"/>
      <c r="S169" s="349"/>
      <c r="T169" s="543"/>
      <c r="U169" s="349"/>
      <c r="V169" s="349"/>
      <c r="W169" s="349"/>
      <c r="X169" s="349"/>
      <c r="Y169" s="349"/>
      <c r="Z169" s="349"/>
      <c r="AA169" s="349"/>
      <c r="AB169" s="349"/>
      <c r="AC169" s="349"/>
      <c r="AD169" s="349"/>
      <c r="AE169" s="349"/>
    </row>
    <row r="170" spans="1:31" ht="12.65" customHeight="1" x14ac:dyDescent="0.25">
      <c r="A170" s="349"/>
      <c r="B170" s="19"/>
      <c r="C170" s="175"/>
      <c r="D170" s="289" t="s">
        <v>1202</v>
      </c>
      <c r="E170" s="2546" t="str">
        <f>Translations!$B$417</f>
        <v>Punkt xii i förhållande till punkt c ovan:</v>
      </c>
      <c r="F170" s="2545"/>
      <c r="G170" s="47" t="s">
        <v>1113</v>
      </c>
      <c r="H170" s="255" t="str">
        <f t="shared" ref="H170:N170" si="28">IF(AND(ISNUMBER(H114),H114&lt;&gt;0,ISNUMBER(H160)),H160/H114*100,"")</f>
        <v/>
      </c>
      <c r="I170" s="255" t="str">
        <f t="shared" si="28"/>
        <v/>
      </c>
      <c r="J170" s="255" t="str">
        <f t="shared" si="28"/>
        <v/>
      </c>
      <c r="K170" s="255" t="str">
        <f t="shared" si="28"/>
        <v/>
      </c>
      <c r="L170" s="255" t="str">
        <f t="shared" si="28"/>
        <v/>
      </c>
      <c r="M170" s="255" t="str">
        <f t="shared" si="28"/>
        <v/>
      </c>
      <c r="N170" s="255" t="str">
        <f t="shared" si="28"/>
        <v/>
      </c>
      <c r="O170" s="6"/>
      <c r="P170" s="15"/>
      <c r="Q170" s="349"/>
      <c r="R170" s="349"/>
      <c r="S170" s="349"/>
      <c r="T170" s="543"/>
      <c r="U170" s="349"/>
      <c r="V170" s="349"/>
      <c r="W170" s="349"/>
      <c r="X170" s="349"/>
      <c r="Y170" s="349"/>
      <c r="Z170" s="349"/>
      <c r="AA170" s="349"/>
      <c r="AB170" s="349"/>
      <c r="AC170" s="349"/>
      <c r="AD170" s="349"/>
      <c r="AE170" s="349"/>
    </row>
    <row r="171" spans="1:31" x14ac:dyDescent="0.25">
      <c r="A171" s="349"/>
      <c r="B171" s="19"/>
      <c r="C171" s="19"/>
      <c r="D171" s="19"/>
      <c r="E171" s="19"/>
      <c r="F171" s="19"/>
      <c r="G171" s="19"/>
      <c r="H171" s="19"/>
      <c r="I171" s="19"/>
      <c r="J171" s="19"/>
      <c r="K171" s="19"/>
      <c r="L171" s="19"/>
      <c r="M171" s="19"/>
      <c r="N171" s="19"/>
      <c r="O171" s="6"/>
      <c r="P171" s="15"/>
      <c r="Q171" s="349"/>
      <c r="R171" s="349"/>
      <c r="S171" s="349"/>
      <c r="T171" s="543"/>
      <c r="U171" s="349"/>
      <c r="V171" s="349"/>
      <c r="W171" s="349"/>
      <c r="X171" s="349"/>
      <c r="Y171" s="349"/>
      <c r="Z171" s="349"/>
      <c r="AA171" s="349"/>
      <c r="AB171" s="349"/>
      <c r="AC171" s="349"/>
      <c r="AD171" s="349"/>
      <c r="AE171" s="349"/>
    </row>
    <row r="172" spans="1:31" ht="13" customHeight="1" x14ac:dyDescent="0.25">
      <c r="A172" s="349"/>
      <c r="B172" s="19"/>
      <c r="C172" s="13"/>
      <c r="D172" s="13" t="s">
        <v>305</v>
      </c>
      <c r="E172" s="2530" t="str">
        <f>Translations!$B$418</f>
        <v>Värme som exporteras till ETS-anläggningar (icke-berättigande för värmeriktmärke):</v>
      </c>
      <c r="F172" s="2531"/>
      <c r="G172" s="2531"/>
      <c r="H172" s="2531"/>
      <c r="I172" s="2531"/>
      <c r="J172" s="2531"/>
      <c r="K172" s="2531"/>
      <c r="L172" s="2531"/>
      <c r="M172" s="2531"/>
      <c r="N172" s="2531"/>
      <c r="O172" s="6"/>
      <c r="P172" s="15"/>
      <c r="Q172" s="349"/>
      <c r="R172" s="349"/>
      <c r="S172" s="349"/>
      <c r="T172" s="543"/>
      <c r="U172" s="349"/>
      <c r="V172" s="349"/>
      <c r="W172" s="349"/>
      <c r="X172" s="349"/>
      <c r="Y172" s="349"/>
      <c r="Z172" s="349"/>
      <c r="AA172" s="349"/>
      <c r="AB172" s="349"/>
      <c r="AC172" s="349"/>
      <c r="AD172" s="349"/>
      <c r="AE172" s="349"/>
    </row>
    <row r="173" spans="1:31" ht="12.65" customHeight="1" x14ac:dyDescent="0.25">
      <c r="A173" s="349"/>
      <c r="B173" s="3"/>
      <c r="C173" s="15"/>
      <c r="D173" s="15"/>
      <c r="E173" s="2533" t="str">
        <f>Translations!$B$419</f>
        <v>Denna mängd värme tilldelas värmeförbrukaren.</v>
      </c>
      <c r="F173" s="2531"/>
      <c r="G173" s="2531"/>
      <c r="H173" s="2531"/>
      <c r="I173" s="2531"/>
      <c r="J173" s="2531"/>
      <c r="K173" s="2531"/>
      <c r="L173" s="2531"/>
      <c r="M173" s="2531"/>
      <c r="N173" s="2531"/>
      <c r="O173" s="6"/>
      <c r="P173" s="15"/>
      <c r="Q173" s="410"/>
      <c r="R173" s="349"/>
      <c r="S173" s="349"/>
      <c r="T173" s="543"/>
      <c r="U173" s="349"/>
      <c r="V173" s="349"/>
      <c r="W173" s="349"/>
      <c r="X173" s="349"/>
      <c r="Y173" s="349"/>
      <c r="Z173" s="349"/>
      <c r="AA173" s="349"/>
      <c r="AB173" s="349"/>
      <c r="AC173" s="349"/>
      <c r="AD173" s="349"/>
      <c r="AE173" s="349"/>
    </row>
    <row r="174" spans="1:31" ht="12.65" customHeight="1" x14ac:dyDescent="0.25">
      <c r="A174" s="349"/>
      <c r="B174" s="3"/>
      <c r="C174" s="15"/>
      <c r="D174" s="15"/>
      <c r="E174" s="2533" t="str">
        <f>Translations!$B$382</f>
        <v>Anläggningarnas namn i nedrullningslistan har hämtats från avsnitt A.IV. Därför måste ni säkerställa att ni har angett fullständiga uppgifter där.</v>
      </c>
      <c r="F174" s="2531"/>
      <c r="G174" s="2531"/>
      <c r="H174" s="2531"/>
      <c r="I174" s="2531"/>
      <c r="J174" s="2531"/>
      <c r="K174" s="2531"/>
      <c r="L174" s="2531"/>
      <c r="M174" s="2531"/>
      <c r="N174" s="2531"/>
      <c r="O174" s="6"/>
      <c r="P174" s="15"/>
      <c r="Q174" s="410"/>
      <c r="R174" s="349"/>
      <c r="S174" s="349"/>
      <c r="T174" s="543"/>
      <c r="U174" s="349"/>
      <c r="V174" s="349"/>
      <c r="W174" s="349"/>
      <c r="X174" s="349"/>
      <c r="Y174" s="349"/>
      <c r="Z174" s="349"/>
      <c r="AA174" s="349"/>
      <c r="AB174" s="349"/>
      <c r="AC174" s="349"/>
      <c r="AD174" s="349"/>
      <c r="AE174" s="349"/>
    </row>
    <row r="175" spans="1:31" ht="12.65" customHeight="1" x14ac:dyDescent="0.25">
      <c r="A175" s="349"/>
      <c r="B175" s="3"/>
      <c r="C175" s="15"/>
      <c r="D175" s="15"/>
      <c r="E175" s="2533" t="str">
        <f>Translations!$B$1464</f>
        <v>Om det finns fler än fem anslutningar ska de sammanställas. Det kan innebära att avsnitt A.V.b måste ändras.</v>
      </c>
      <c r="F175" s="2531"/>
      <c r="G175" s="2531"/>
      <c r="H175" s="2531"/>
      <c r="I175" s="2531"/>
      <c r="J175" s="2531"/>
      <c r="K175" s="2531"/>
      <c r="L175" s="2531"/>
      <c r="M175" s="2531"/>
      <c r="N175" s="2531"/>
      <c r="O175" s="6"/>
      <c r="P175" s="15"/>
      <c r="Q175" s="410"/>
      <c r="R175" s="349"/>
      <c r="S175" s="349"/>
      <c r="T175" s="543"/>
      <c r="U175" s="349"/>
      <c r="V175" s="349"/>
      <c r="W175" s="349"/>
      <c r="X175" s="349"/>
      <c r="Y175" s="349"/>
      <c r="Z175" s="349"/>
      <c r="AA175" s="349"/>
      <c r="AB175" s="349"/>
      <c r="AC175" s="349"/>
      <c r="AD175" s="349"/>
      <c r="AE175" s="349"/>
    </row>
    <row r="176" spans="1:31" ht="13" customHeight="1" x14ac:dyDescent="0.25">
      <c r="A176" s="349"/>
      <c r="B176" s="19"/>
      <c r="C176" s="19"/>
      <c r="D176" s="19"/>
      <c r="E176" s="2528" t="str">
        <f>Translations!$B$383</f>
        <v>Anläggningens namn</v>
      </c>
      <c r="F176" s="2529"/>
      <c r="G176" s="30" t="str">
        <f>EUconst_Unit</f>
        <v>Enhet</v>
      </c>
      <c r="H176" s="350">
        <f t="shared" ref="H176:N176" si="29">H$393</f>
        <v>2019</v>
      </c>
      <c r="I176" s="350">
        <f t="shared" si="29"/>
        <v>2020</v>
      </c>
      <c r="J176" s="350">
        <f t="shared" si="29"/>
        <v>2021</v>
      </c>
      <c r="K176" s="350">
        <f t="shared" si="29"/>
        <v>2022</v>
      </c>
      <c r="L176" s="350">
        <f t="shared" si="29"/>
        <v>2023</v>
      </c>
      <c r="M176" s="350">
        <f t="shared" si="29"/>
        <v>2024</v>
      </c>
      <c r="N176" s="350">
        <f t="shared" si="29"/>
        <v>2025</v>
      </c>
      <c r="O176" s="6"/>
      <c r="P176" s="15"/>
      <c r="Q176" s="349"/>
      <c r="R176" s="349"/>
      <c r="S176" s="349"/>
      <c r="T176" s="543"/>
      <c r="U176" s="349"/>
      <c r="V176" s="349"/>
      <c r="W176" s="349"/>
      <c r="X176" s="349"/>
      <c r="Y176" s="349"/>
      <c r="Z176" s="349"/>
      <c r="AA176" s="349"/>
      <c r="AB176" s="349"/>
      <c r="AC176" s="349"/>
      <c r="AD176" s="349"/>
      <c r="AE176" s="349"/>
    </row>
    <row r="177" spans="1:31" x14ac:dyDescent="0.25">
      <c r="A177" s="349"/>
      <c r="B177" s="19"/>
      <c r="C177" s="175"/>
      <c r="D177" s="175" t="s">
        <v>8</v>
      </c>
      <c r="E177" s="2550"/>
      <c r="F177" s="2551"/>
      <c r="G177" s="35" t="str">
        <f t="shared" ref="G177:G182" si="30">EUconst_TJpa</f>
        <v>TJ / år</v>
      </c>
      <c r="H177" s="271"/>
      <c r="I177" s="271"/>
      <c r="J177" s="271"/>
      <c r="K177" s="271"/>
      <c r="L177" s="271"/>
      <c r="M177" s="271"/>
      <c r="N177" s="271"/>
      <c r="O177" s="6"/>
      <c r="P177" s="1552"/>
      <c r="Q177" s="349"/>
      <c r="R177" s="349"/>
      <c r="S177" s="349"/>
      <c r="T177" s="490" t="b">
        <f>T141</f>
        <v>0</v>
      </c>
      <c r="U177" s="349"/>
      <c r="V177" s="349"/>
      <c r="W177" s="349"/>
      <c r="X177" s="349"/>
      <c r="Y177" s="349"/>
      <c r="Z177" s="349"/>
      <c r="AA177" s="349"/>
      <c r="AB177" s="349"/>
      <c r="AC177" s="349"/>
      <c r="AD177" s="1526" t="s">
        <v>2248</v>
      </c>
      <c r="AE177" s="394" t="str">
        <f>IF(AND(CNTR_HasEntries_A_I,E177&lt;&gt;"",COUNTIFS($V$16:$AB$16,FALSE,H177:N177,"")&gt;0),2,"")</f>
        <v/>
      </c>
    </row>
    <row r="178" spans="1:31" x14ac:dyDescent="0.25">
      <c r="A178" s="349"/>
      <c r="B178" s="19"/>
      <c r="C178" s="175"/>
      <c r="D178" s="175" t="s">
        <v>9</v>
      </c>
      <c r="E178" s="2536"/>
      <c r="F178" s="2537"/>
      <c r="G178" s="33" t="str">
        <f t="shared" si="30"/>
        <v>TJ / år</v>
      </c>
      <c r="H178" s="279"/>
      <c r="I178" s="279"/>
      <c r="J178" s="279"/>
      <c r="K178" s="279"/>
      <c r="L178" s="279"/>
      <c r="M178" s="279"/>
      <c r="N178" s="279"/>
      <c r="O178" s="6"/>
      <c r="P178" s="1552"/>
      <c r="Q178" s="349"/>
      <c r="R178" s="349"/>
      <c r="S178" s="349"/>
      <c r="T178" s="490" t="b">
        <f>T177</f>
        <v>0</v>
      </c>
      <c r="U178" s="349"/>
      <c r="V178" s="349"/>
      <c r="W178" s="349"/>
      <c r="X178" s="349"/>
      <c r="Y178" s="349"/>
      <c r="Z178" s="349"/>
      <c r="AA178" s="349"/>
      <c r="AB178" s="349"/>
      <c r="AC178" s="349"/>
      <c r="AD178" s="1526" t="s">
        <v>2248</v>
      </c>
      <c r="AE178" s="394" t="str">
        <f>IF(AND(CNTR_HasEntries_A_I,E178&lt;&gt;"",COUNTIFS($V$16:$AB$16,FALSE,H178:N178,"")&gt;0),2,"")</f>
        <v/>
      </c>
    </row>
    <row r="179" spans="1:31" x14ac:dyDescent="0.25">
      <c r="A179" s="349"/>
      <c r="B179" s="19"/>
      <c r="C179" s="175"/>
      <c r="D179" s="175" t="s">
        <v>10</v>
      </c>
      <c r="E179" s="2536"/>
      <c r="F179" s="2537"/>
      <c r="G179" s="33" t="str">
        <f t="shared" si="30"/>
        <v>TJ / år</v>
      </c>
      <c r="H179" s="279"/>
      <c r="I179" s="279"/>
      <c r="J179" s="279"/>
      <c r="K179" s="279"/>
      <c r="L179" s="279"/>
      <c r="M179" s="279"/>
      <c r="N179" s="279"/>
      <c r="O179" s="6"/>
      <c r="P179" s="1552"/>
      <c r="Q179" s="349"/>
      <c r="R179" s="349"/>
      <c r="S179" s="349"/>
      <c r="T179" s="490" t="b">
        <f>T178</f>
        <v>0</v>
      </c>
      <c r="U179" s="349"/>
      <c r="V179" s="349"/>
      <c r="W179" s="349"/>
      <c r="X179" s="349"/>
      <c r="Y179" s="349"/>
      <c r="Z179" s="349"/>
      <c r="AA179" s="349"/>
      <c r="AB179" s="349"/>
      <c r="AC179" s="349"/>
      <c r="AD179" s="1526" t="s">
        <v>2248</v>
      </c>
      <c r="AE179" s="394" t="str">
        <f>IF(AND(CNTR_HasEntries_A_I,E179&lt;&gt;"",COUNTIFS($V$16:$AB$16,FALSE,H179:N179,"")&gt;0),2,"")</f>
        <v/>
      </c>
    </row>
    <row r="180" spans="1:31" x14ac:dyDescent="0.25">
      <c r="A180" s="349"/>
      <c r="B180" s="19"/>
      <c r="C180" s="175"/>
      <c r="D180" s="175" t="s">
        <v>23</v>
      </c>
      <c r="E180" s="2536"/>
      <c r="F180" s="2537"/>
      <c r="G180" s="33" t="str">
        <f t="shared" si="30"/>
        <v>TJ / år</v>
      </c>
      <c r="H180" s="279"/>
      <c r="I180" s="279"/>
      <c r="J180" s="279"/>
      <c r="K180" s="279"/>
      <c r="L180" s="279"/>
      <c r="M180" s="279"/>
      <c r="N180" s="279"/>
      <c r="O180" s="6"/>
      <c r="P180" s="1552"/>
      <c r="Q180" s="349"/>
      <c r="R180" s="349"/>
      <c r="S180" s="349"/>
      <c r="T180" s="490" t="b">
        <f>T179</f>
        <v>0</v>
      </c>
      <c r="U180" s="349"/>
      <c r="V180" s="349"/>
      <c r="W180" s="349"/>
      <c r="X180" s="349"/>
      <c r="Y180" s="349"/>
      <c r="Z180" s="349"/>
      <c r="AA180" s="349"/>
      <c r="AB180" s="349"/>
      <c r="AC180" s="349"/>
      <c r="AD180" s="1526" t="s">
        <v>2248</v>
      </c>
      <c r="AE180" s="394" t="str">
        <f>IF(AND(CNTR_HasEntries_A_I,E180&lt;&gt;"",COUNTIFS($V$16:$AB$16,FALSE,H180:N180,"")&gt;0),2,"")</f>
        <v/>
      </c>
    </row>
    <row r="181" spans="1:31" x14ac:dyDescent="0.25">
      <c r="A181" s="349"/>
      <c r="B181" s="19"/>
      <c r="C181" s="175"/>
      <c r="D181" s="175" t="s">
        <v>859</v>
      </c>
      <c r="E181" s="2538"/>
      <c r="F181" s="2539"/>
      <c r="G181" s="36" t="str">
        <f t="shared" si="30"/>
        <v>TJ / år</v>
      </c>
      <c r="H181" s="277"/>
      <c r="I181" s="277"/>
      <c r="J181" s="277"/>
      <c r="K181" s="277"/>
      <c r="L181" s="277"/>
      <c r="M181" s="277"/>
      <c r="N181" s="277"/>
      <c r="O181" s="6"/>
      <c r="P181" s="1552"/>
      <c r="Q181" s="349"/>
      <c r="R181" s="349"/>
      <c r="S181" s="349"/>
      <c r="T181" s="490" t="b">
        <f>T180</f>
        <v>0</v>
      </c>
      <c r="U181" s="349"/>
      <c r="V181" s="349"/>
      <c r="W181" s="349"/>
      <c r="X181" s="349"/>
      <c r="Y181" s="349"/>
      <c r="Z181" s="349"/>
      <c r="AA181" s="349"/>
      <c r="AB181" s="349"/>
      <c r="AC181" s="349"/>
      <c r="AD181" s="1526" t="s">
        <v>2248</v>
      </c>
      <c r="AE181" s="394" t="str">
        <f>IF(AND(CNTR_HasEntries_A_I,E181&lt;&gt;"",COUNTIFS($V$16:$AB$16,FALSE,H181:N181,"")&gt;0),2,"")</f>
        <v/>
      </c>
    </row>
    <row r="182" spans="1:31" ht="12.65" customHeight="1" x14ac:dyDescent="0.25">
      <c r="A182" s="349"/>
      <c r="B182" s="19"/>
      <c r="C182" s="175"/>
      <c r="D182" s="175" t="s">
        <v>860</v>
      </c>
      <c r="E182" s="2544" t="str">
        <f>Translations!$B$420</f>
        <v>Total värme som exporteras till ETS-anläggningar</v>
      </c>
      <c r="F182" s="2545"/>
      <c r="G182" s="46" t="str">
        <f t="shared" si="30"/>
        <v>TJ / år</v>
      </c>
      <c r="H182" s="256" t="str">
        <f t="shared" ref="H182:N182" si="31">IF(COUNT(H177:H181)&gt;0,SUM(H177:H181),"")</f>
        <v/>
      </c>
      <c r="I182" s="256" t="str">
        <f t="shared" si="31"/>
        <v/>
      </c>
      <c r="J182" s="256" t="str">
        <f t="shared" si="31"/>
        <v/>
      </c>
      <c r="K182" s="256" t="str">
        <f t="shared" si="31"/>
        <v/>
      </c>
      <c r="L182" s="256" t="str">
        <f t="shared" si="31"/>
        <v/>
      </c>
      <c r="M182" s="256" t="str">
        <f t="shared" si="31"/>
        <v/>
      </c>
      <c r="N182" s="256" t="str">
        <f t="shared" si="31"/>
        <v/>
      </c>
      <c r="O182" s="6"/>
      <c r="P182" s="15"/>
      <c r="Q182" s="349"/>
      <c r="R182" s="349"/>
      <c r="S182" s="349"/>
      <c r="T182" s="543"/>
      <c r="U182" s="349"/>
      <c r="V182" s="349"/>
      <c r="W182" s="349"/>
      <c r="X182" s="349"/>
      <c r="Y182" s="349"/>
      <c r="Z182" s="349"/>
      <c r="AA182" s="349"/>
      <c r="AB182" s="349"/>
      <c r="AC182" s="349"/>
      <c r="AD182" s="349"/>
      <c r="AE182" s="349"/>
    </row>
    <row r="183" spans="1:31" x14ac:dyDescent="0.25">
      <c r="A183" s="349"/>
      <c r="B183" s="19"/>
      <c r="C183" s="19"/>
      <c r="D183" s="19"/>
      <c r="E183" s="19"/>
      <c r="F183" s="19"/>
      <c r="G183" s="19"/>
      <c r="H183" s="19"/>
      <c r="I183" s="19"/>
      <c r="J183" s="19"/>
      <c r="K183" s="19"/>
      <c r="L183" s="19"/>
      <c r="M183" s="19"/>
      <c r="N183" s="19"/>
      <c r="O183" s="6"/>
      <c r="P183" s="15"/>
      <c r="Q183" s="349"/>
      <c r="R183" s="349"/>
      <c r="S183" s="349"/>
      <c r="T183" s="543"/>
      <c r="U183" s="349"/>
      <c r="V183" s="349"/>
      <c r="W183" s="349"/>
      <c r="X183" s="349"/>
      <c r="Y183" s="349"/>
      <c r="Z183" s="349"/>
      <c r="AA183" s="349"/>
      <c r="AB183" s="349"/>
      <c r="AC183" s="349"/>
      <c r="AD183" s="349"/>
      <c r="AE183" s="349"/>
    </row>
    <row r="184" spans="1:31" ht="14.15" customHeight="1" x14ac:dyDescent="0.3">
      <c r="A184" s="349"/>
      <c r="B184" s="3"/>
      <c r="C184" s="18"/>
      <c r="D184" s="18"/>
      <c r="E184" s="2577" t="str">
        <f>Translations!$B$421</f>
        <v>Värmeriktmärke och fjärrvärmedelanläggningar:</v>
      </c>
      <c r="F184" s="2531"/>
      <c r="G184" s="2531"/>
      <c r="H184" s="2531"/>
      <c r="I184" s="2531"/>
      <c r="J184" s="2531"/>
      <c r="K184" s="2531"/>
      <c r="L184" s="2531"/>
      <c r="M184" s="2531"/>
      <c r="N184" s="2531"/>
      <c r="O184" s="6"/>
      <c r="P184" s="15"/>
      <c r="Q184" s="410"/>
      <c r="R184" s="349"/>
      <c r="S184" s="349"/>
      <c r="T184" s="543"/>
      <c r="U184" s="349"/>
      <c r="V184" s="349"/>
      <c r="W184" s="349"/>
      <c r="X184" s="349"/>
      <c r="Y184" s="349"/>
      <c r="Z184" s="349"/>
      <c r="AA184" s="349"/>
      <c r="AB184" s="349"/>
      <c r="AC184" s="349"/>
      <c r="AD184" s="349"/>
      <c r="AE184" s="349"/>
    </row>
    <row r="185" spans="1:31" ht="5.15" customHeight="1" x14ac:dyDescent="0.25">
      <c r="A185" s="349"/>
      <c r="B185" s="3"/>
      <c r="C185" s="3"/>
      <c r="D185" s="3"/>
      <c r="E185" s="3"/>
      <c r="F185" s="3"/>
      <c r="G185" s="3"/>
      <c r="H185" s="3"/>
      <c r="I185" s="3"/>
      <c r="J185" s="3"/>
      <c r="K185" s="3"/>
      <c r="L185" s="3"/>
      <c r="M185" s="3"/>
      <c r="N185" s="3"/>
      <c r="O185" s="6"/>
      <c r="P185" s="15"/>
      <c r="Q185" s="410"/>
      <c r="R185" s="349"/>
      <c r="S185" s="349"/>
      <c r="T185" s="543"/>
      <c r="U185" s="349"/>
      <c r="V185" s="349"/>
      <c r="W185" s="349"/>
      <c r="X185" s="349"/>
      <c r="Y185" s="349"/>
      <c r="Z185" s="349"/>
      <c r="AA185" s="349"/>
      <c r="AB185" s="349"/>
      <c r="AC185" s="349"/>
      <c r="AD185" s="349"/>
      <c r="AE185" s="349"/>
    </row>
    <row r="186" spans="1:31" ht="13" customHeight="1" x14ac:dyDescent="0.25">
      <c r="A186" s="349"/>
      <c r="B186" s="3"/>
      <c r="C186" s="13"/>
      <c r="D186" s="13" t="s">
        <v>523</v>
      </c>
      <c r="E186" s="2530" t="str">
        <f>Translations!$B$422</f>
        <v>Delsumma: återstående total mätbar värme, potentiellt tillhörande delanläggningar med värmeriktmärke (= e–g–h–i):</v>
      </c>
      <c r="F186" s="2531"/>
      <c r="G186" s="2531"/>
      <c r="H186" s="2531"/>
      <c r="I186" s="2531"/>
      <c r="J186" s="2531"/>
      <c r="K186" s="2531"/>
      <c r="L186" s="2531"/>
      <c r="M186" s="2531"/>
      <c r="N186" s="2531"/>
      <c r="O186" s="6"/>
      <c r="P186" s="15"/>
      <c r="Q186" s="410"/>
      <c r="R186" s="349"/>
      <c r="S186" s="349"/>
      <c r="T186" s="543"/>
      <c r="U186" s="349"/>
      <c r="V186" s="349"/>
      <c r="W186" s="349"/>
      <c r="X186" s="349"/>
      <c r="Y186" s="349"/>
      <c r="Z186" s="349"/>
      <c r="AA186" s="349"/>
      <c r="AB186" s="349"/>
      <c r="AC186" s="349"/>
      <c r="AD186" s="349"/>
      <c r="AE186" s="349"/>
    </row>
    <row r="187" spans="1:31" ht="5.15" customHeight="1" x14ac:dyDescent="0.25">
      <c r="A187" s="349"/>
      <c r="B187" s="3"/>
      <c r="C187" s="3"/>
      <c r="D187" s="3"/>
      <c r="E187" s="3"/>
      <c r="F187" s="3"/>
      <c r="G187" s="3"/>
      <c r="H187" s="3"/>
      <c r="I187" s="3"/>
      <c r="J187" s="3"/>
      <c r="K187" s="3"/>
      <c r="L187" s="3"/>
      <c r="M187" s="3"/>
      <c r="N187" s="3"/>
      <c r="O187" s="6"/>
      <c r="P187" s="15"/>
      <c r="Q187" s="410"/>
      <c r="R187" s="349"/>
      <c r="S187" s="349"/>
      <c r="T187" s="543"/>
      <c r="U187" s="349"/>
      <c r="V187" s="349"/>
      <c r="W187" s="349"/>
      <c r="X187" s="349"/>
      <c r="Y187" s="349"/>
      <c r="Z187" s="349"/>
      <c r="AA187" s="349"/>
      <c r="AB187" s="349"/>
      <c r="AC187" s="349"/>
      <c r="AD187" s="349"/>
      <c r="AE187" s="349"/>
    </row>
    <row r="188" spans="1:31" ht="13" x14ac:dyDescent="0.25">
      <c r="A188" s="349"/>
      <c r="B188" s="19"/>
      <c r="C188" s="19"/>
      <c r="D188" s="19"/>
      <c r="E188" s="24"/>
      <c r="F188" s="21"/>
      <c r="G188" s="30" t="str">
        <f>EUconst_Unit</f>
        <v>Enhet</v>
      </c>
      <c r="H188" s="320">
        <f t="shared" ref="H188:N188" si="32">H$393</f>
        <v>2019</v>
      </c>
      <c r="I188" s="320">
        <f t="shared" si="32"/>
        <v>2020</v>
      </c>
      <c r="J188" s="320">
        <f t="shared" si="32"/>
        <v>2021</v>
      </c>
      <c r="K188" s="320">
        <f t="shared" si="32"/>
        <v>2022</v>
      </c>
      <c r="L188" s="320">
        <f t="shared" si="32"/>
        <v>2023</v>
      </c>
      <c r="M188" s="320">
        <f t="shared" si="32"/>
        <v>2024</v>
      </c>
      <c r="N188" s="320">
        <f t="shared" si="32"/>
        <v>2025</v>
      </c>
      <c r="O188" s="6"/>
      <c r="P188" s="15"/>
      <c r="Q188" s="349"/>
      <c r="R188" s="349"/>
      <c r="S188" s="349"/>
      <c r="T188" s="543"/>
      <c r="U188" s="349"/>
      <c r="V188" s="349"/>
      <c r="W188" s="349"/>
      <c r="X188" s="349"/>
      <c r="Y188" s="349"/>
      <c r="Z188" s="349"/>
      <c r="AA188" s="349"/>
      <c r="AB188" s="349"/>
      <c r="AC188" s="349"/>
      <c r="AD188" s="349"/>
      <c r="AE188" s="349"/>
    </row>
    <row r="189" spans="1:31" x14ac:dyDescent="0.25">
      <c r="A189" s="349"/>
      <c r="B189" s="19"/>
      <c r="C189" s="175"/>
      <c r="D189" s="175" t="s">
        <v>8</v>
      </c>
      <c r="E189" s="2546" t="str">
        <f>Translations!$B$423</f>
        <v>Delsumma:</v>
      </c>
      <c r="F189" s="2545"/>
      <c r="G189" s="47" t="str">
        <f>EUconst_TJpa</f>
        <v>TJ / år</v>
      </c>
      <c r="H189" s="258" t="str">
        <f t="shared" ref="H189:N189" si="33">IF(COUNT(H122,H139,H157,H182)&gt;0,SUM(H122)-SUM(H139)-SUM(H157)-SUM(H182),"")</f>
        <v/>
      </c>
      <c r="I189" s="258" t="str">
        <f t="shared" si="33"/>
        <v/>
      </c>
      <c r="J189" s="258" t="str">
        <f t="shared" si="33"/>
        <v/>
      </c>
      <c r="K189" s="258" t="str">
        <f t="shared" si="33"/>
        <v/>
      </c>
      <c r="L189" s="258" t="str">
        <f t="shared" si="33"/>
        <v/>
      </c>
      <c r="M189" s="258" t="str">
        <f t="shared" si="33"/>
        <v/>
      </c>
      <c r="N189" s="258" t="str">
        <f t="shared" si="33"/>
        <v/>
      </c>
      <c r="O189" s="6"/>
      <c r="P189" s="15"/>
      <c r="Q189" s="349"/>
      <c r="R189" s="349"/>
      <c r="S189" s="349"/>
      <c r="T189" s="543"/>
      <c r="U189" s="349"/>
      <c r="V189" s="349"/>
      <c r="W189" s="349"/>
      <c r="X189" s="349"/>
      <c r="Y189" s="349"/>
      <c r="Z189" s="349"/>
      <c r="AA189" s="349"/>
      <c r="AB189" s="349"/>
      <c r="AC189" s="349"/>
      <c r="AD189" s="349"/>
      <c r="AE189" s="349"/>
    </row>
    <row r="190" spans="1:31" ht="5.15" customHeight="1" x14ac:dyDescent="0.25">
      <c r="A190" s="349"/>
      <c r="B190" s="3"/>
      <c r="C190" s="3"/>
      <c r="D190" s="3"/>
      <c r="E190" s="3"/>
      <c r="F190" s="3"/>
      <c r="G190" s="3"/>
      <c r="H190" s="3"/>
      <c r="I190" s="3"/>
      <c r="J190" s="3"/>
      <c r="K190" s="3"/>
      <c r="L190" s="3"/>
      <c r="M190" s="3"/>
      <c r="N190" s="3"/>
      <c r="O190" s="6"/>
      <c r="P190" s="15"/>
      <c r="Q190" s="410"/>
      <c r="R190" s="349"/>
      <c r="S190" s="349"/>
      <c r="T190" s="543"/>
      <c r="U190" s="349"/>
      <c r="V190" s="349"/>
      <c r="W190" s="349"/>
      <c r="X190" s="349"/>
      <c r="Y190" s="349"/>
      <c r="Z190" s="349"/>
      <c r="AA190" s="349"/>
      <c r="AB190" s="349"/>
      <c r="AC190" s="349"/>
      <c r="AD190" s="349"/>
      <c r="AE190" s="349"/>
    </row>
    <row r="191" spans="1:31" ht="12.65" customHeight="1" x14ac:dyDescent="0.25">
      <c r="A191" s="349"/>
      <c r="B191" s="3"/>
      <c r="C191" s="15"/>
      <c r="D191" s="15"/>
      <c r="E191" s="2533" t="str">
        <f>Translations!$B$424</f>
        <v>Denna mängd kan delas upp i ”berättigande” och ”icke-berättigande” värme (efter ursprung, se inledningen till detta avsnitt ovan).</v>
      </c>
      <c r="F191" s="2531"/>
      <c r="G191" s="2531"/>
      <c r="H191" s="2531"/>
      <c r="I191" s="2531"/>
      <c r="J191" s="2531"/>
      <c r="K191" s="2531"/>
      <c r="L191" s="2531"/>
      <c r="M191" s="2531"/>
      <c r="N191" s="2531"/>
      <c r="O191" s="6"/>
      <c r="P191" s="15"/>
      <c r="Q191" s="410"/>
      <c r="R191" s="349"/>
      <c r="S191" s="349"/>
      <c r="T191" s="543"/>
      <c r="U191" s="349"/>
      <c r="V191" s="349"/>
      <c r="W191" s="349"/>
      <c r="X191" s="349"/>
      <c r="Y191" s="349"/>
      <c r="Z191" s="349"/>
      <c r="AA191" s="349"/>
      <c r="AB191" s="349"/>
      <c r="AC191" s="349"/>
      <c r="AD191" s="349"/>
      <c r="AE191" s="349"/>
    </row>
    <row r="192" spans="1:31" ht="12.65" customHeight="1" x14ac:dyDescent="0.25">
      <c r="A192" s="349"/>
      <c r="B192" s="3"/>
      <c r="C192" s="15"/>
      <c r="D192" s="15"/>
      <c r="E192" s="2532" t="str">
        <f>Translations!$B$425</f>
        <v>Därefter korrigeras den faktor som fastställts i punkt e med beaktande av återstoden av berättigande och icke-berättigande värme. Denna faktor används för punkt m.</v>
      </c>
      <c r="F192" s="2529"/>
      <c r="G192" s="2529"/>
      <c r="H192" s="2529"/>
      <c r="I192" s="2529"/>
      <c r="J192" s="2529"/>
      <c r="K192" s="2529"/>
      <c r="L192" s="2529"/>
      <c r="M192" s="2529"/>
      <c r="N192" s="2529"/>
      <c r="O192" s="6"/>
      <c r="P192" s="15"/>
      <c r="Q192" s="410"/>
      <c r="R192" s="349"/>
      <c r="S192" s="349"/>
      <c r="T192" s="543"/>
      <c r="U192" s="349"/>
      <c r="V192" s="349"/>
      <c r="W192" s="349"/>
      <c r="X192" s="349"/>
      <c r="Y192" s="349"/>
      <c r="Z192" s="349"/>
      <c r="AA192" s="349"/>
      <c r="AB192" s="349"/>
      <c r="AC192" s="349"/>
      <c r="AD192" s="349"/>
      <c r="AE192" s="349"/>
    </row>
    <row r="193" spans="1:31" ht="12.65" customHeight="1" x14ac:dyDescent="0.25">
      <c r="A193" s="349"/>
      <c r="B193" s="19"/>
      <c r="C193" s="175"/>
      <c r="D193" s="175" t="s">
        <v>9</v>
      </c>
      <c r="E193" s="2594" t="str">
        <f>Translations!$B$426</f>
        <v>berättigande p.g.a. ursprung:</v>
      </c>
      <c r="F193" s="2535"/>
      <c r="G193" s="32" t="str">
        <f>EUconst_TJpa</f>
        <v>TJ / år</v>
      </c>
      <c r="H193" s="276" t="str">
        <f t="shared" ref="H193:N194" si="34">IF(ISNUMBER(H$189),H433,"")</f>
        <v/>
      </c>
      <c r="I193" s="276" t="str">
        <f t="shared" si="34"/>
        <v/>
      </c>
      <c r="J193" s="276" t="str">
        <f t="shared" si="34"/>
        <v/>
      </c>
      <c r="K193" s="276" t="str">
        <f t="shared" si="34"/>
        <v/>
      </c>
      <c r="L193" s="276" t="str">
        <f t="shared" si="34"/>
        <v/>
      </c>
      <c r="M193" s="276" t="str">
        <f t="shared" si="34"/>
        <v/>
      </c>
      <c r="N193" s="276" t="str">
        <f t="shared" si="34"/>
        <v/>
      </c>
      <c r="O193" s="6"/>
      <c r="P193" s="15"/>
      <c r="Q193" s="349"/>
      <c r="R193" s="349"/>
      <c r="S193" s="349"/>
      <c r="T193" s="543"/>
      <c r="U193" s="349"/>
      <c r="V193" s="349"/>
      <c r="W193" s="349"/>
      <c r="X193" s="349"/>
      <c r="Y193" s="349"/>
      <c r="Z193" s="349"/>
      <c r="AA193" s="349"/>
      <c r="AB193" s="349"/>
      <c r="AC193" s="349"/>
      <c r="AD193" s="349"/>
      <c r="AE193" s="349"/>
    </row>
    <row r="194" spans="1:31" ht="12.65" customHeight="1" x14ac:dyDescent="0.25">
      <c r="A194" s="349"/>
      <c r="B194" s="19"/>
      <c r="C194" s="175"/>
      <c r="D194" s="175" t="s">
        <v>10</v>
      </c>
      <c r="E194" s="2573" t="str">
        <f>Translations!$B$427</f>
        <v>icke-berättigande p.g.a. ursprung:</v>
      </c>
      <c r="F194" s="2543"/>
      <c r="G194" s="36" t="str">
        <f>EUconst_TJpa</f>
        <v>TJ / år</v>
      </c>
      <c r="H194" s="275" t="str">
        <f t="shared" si="34"/>
        <v/>
      </c>
      <c r="I194" s="275" t="str">
        <f t="shared" si="34"/>
        <v/>
      </c>
      <c r="J194" s="275" t="str">
        <f t="shared" si="34"/>
        <v/>
      </c>
      <c r="K194" s="275" t="str">
        <f t="shared" si="34"/>
        <v/>
      </c>
      <c r="L194" s="275" t="str">
        <f t="shared" si="34"/>
        <v/>
      </c>
      <c r="M194" s="275" t="str">
        <f t="shared" si="34"/>
        <v/>
      </c>
      <c r="N194" s="275" t="str">
        <f t="shared" si="34"/>
        <v/>
      </c>
      <c r="O194" s="6"/>
      <c r="P194" s="15"/>
      <c r="Q194" s="349"/>
      <c r="R194" s="349"/>
      <c r="S194" s="349"/>
      <c r="T194" s="543"/>
      <c r="U194" s="349"/>
      <c r="V194" s="349"/>
      <c r="W194" s="349"/>
      <c r="X194" s="349"/>
      <c r="Y194" s="349"/>
      <c r="Z194" s="349"/>
      <c r="AA194" s="349"/>
      <c r="AB194" s="349"/>
      <c r="AC194" s="349"/>
      <c r="AD194" s="349"/>
      <c r="AE194" s="349"/>
    </row>
    <row r="195" spans="1:31" x14ac:dyDescent="0.25">
      <c r="A195" s="349"/>
      <c r="B195" s="19"/>
      <c r="C195" s="19"/>
      <c r="D195" s="19"/>
      <c r="E195" s="19"/>
      <c r="F195" s="19"/>
      <c r="G195" s="19"/>
      <c r="H195" s="19"/>
      <c r="I195" s="19"/>
      <c r="J195" s="19"/>
      <c r="K195" s="19"/>
      <c r="L195" s="19"/>
      <c r="M195" s="19"/>
      <c r="N195" s="19"/>
      <c r="O195" s="6"/>
      <c r="P195" s="15"/>
      <c r="Q195" s="349"/>
      <c r="R195" s="349"/>
      <c r="S195" s="349"/>
      <c r="T195" s="543"/>
      <c r="U195" s="349"/>
      <c r="V195" s="349"/>
      <c r="W195" s="349"/>
      <c r="X195" s="349"/>
      <c r="Y195" s="349"/>
      <c r="Z195" s="349"/>
      <c r="AA195" s="349"/>
      <c r="AB195" s="349"/>
      <c r="AC195" s="349"/>
      <c r="AD195" s="349"/>
      <c r="AE195" s="349"/>
    </row>
    <row r="196" spans="1:31" ht="13" customHeight="1" x14ac:dyDescent="0.25">
      <c r="A196" s="349"/>
      <c r="B196" s="3"/>
      <c r="C196" s="13"/>
      <c r="D196" s="13" t="s">
        <v>524</v>
      </c>
      <c r="E196" s="2528" t="str">
        <f>Translations!$B$428</f>
        <v>Berättigandekvot för återstående värme som beräknas i punkt j:</v>
      </c>
      <c r="F196" s="2529"/>
      <c r="G196" s="2529"/>
      <c r="H196" s="2529"/>
      <c r="I196" s="2529"/>
      <c r="J196" s="2529"/>
      <c r="K196" s="2529"/>
      <c r="L196" s="2529"/>
      <c r="M196" s="2529"/>
      <c r="N196" s="2529"/>
      <c r="O196" s="6"/>
      <c r="P196" s="15"/>
      <c r="Q196" s="410"/>
      <c r="R196" s="349"/>
      <c r="S196" s="349"/>
      <c r="T196" s="543"/>
      <c r="U196" s="349"/>
      <c r="V196" s="349"/>
      <c r="W196" s="349"/>
      <c r="X196" s="349"/>
      <c r="Y196" s="349"/>
      <c r="Z196" s="349"/>
      <c r="AA196" s="349"/>
      <c r="AB196" s="349"/>
      <c r="AC196" s="349"/>
      <c r="AD196" s="349"/>
      <c r="AE196" s="349"/>
    </row>
    <row r="197" spans="1:31" ht="13" customHeight="1" x14ac:dyDescent="0.25">
      <c r="A197" s="349"/>
      <c r="B197" s="19"/>
      <c r="C197" s="175"/>
      <c r="D197" s="175"/>
      <c r="E197" s="2595" t="str">
        <f>Translations!$B$429</f>
        <v>korrigerad berättigandekvot (= j.ii/j.i):</v>
      </c>
      <c r="F197" s="2545"/>
      <c r="G197" s="472" t="s">
        <v>1113</v>
      </c>
      <c r="H197" s="254" t="str">
        <f t="shared" ref="H197:N197" si="35">IF(AND(ISNUMBER(H189),SUM(H193:H194)&lt;&gt;0),H193/SUM(H193:H194)*100,"")</f>
        <v/>
      </c>
      <c r="I197" s="254" t="str">
        <f t="shared" si="35"/>
        <v/>
      </c>
      <c r="J197" s="254" t="str">
        <f t="shared" si="35"/>
        <v/>
      </c>
      <c r="K197" s="254" t="str">
        <f t="shared" si="35"/>
        <v/>
      </c>
      <c r="L197" s="254" t="str">
        <f t="shared" si="35"/>
        <v/>
      </c>
      <c r="M197" s="254" t="str">
        <f t="shared" si="35"/>
        <v/>
      </c>
      <c r="N197" s="254" t="str">
        <f t="shared" si="35"/>
        <v/>
      </c>
      <c r="O197" s="6"/>
      <c r="P197" s="15"/>
      <c r="Q197" s="349"/>
      <c r="R197" s="349"/>
      <c r="S197" s="349"/>
      <c r="T197" s="543"/>
      <c r="U197" s="349"/>
      <c r="V197" s="349"/>
      <c r="W197" s="349"/>
      <c r="X197" s="349"/>
      <c r="Y197" s="349"/>
      <c r="Z197" s="349"/>
      <c r="AA197" s="349"/>
      <c r="AB197" s="349"/>
      <c r="AC197" s="349"/>
      <c r="AD197" s="349"/>
      <c r="AE197" s="349"/>
    </row>
    <row r="198" spans="1:31" ht="5.15" customHeight="1" x14ac:dyDescent="0.25">
      <c r="A198" s="349"/>
      <c r="B198" s="3"/>
      <c r="C198" s="3"/>
      <c r="D198" s="3"/>
      <c r="E198" s="3"/>
      <c r="F198" s="3"/>
      <c r="G198" s="3"/>
      <c r="H198" s="3"/>
      <c r="I198" s="3"/>
      <c r="J198" s="3"/>
      <c r="K198" s="3"/>
      <c r="L198" s="3"/>
      <c r="M198" s="3"/>
      <c r="N198" s="3"/>
      <c r="O198" s="6"/>
      <c r="P198" s="15"/>
      <c r="Q198" s="410"/>
      <c r="R198" s="349"/>
      <c r="S198" s="349"/>
      <c r="T198" s="543"/>
      <c r="U198" s="349"/>
      <c r="V198" s="349"/>
      <c r="W198" s="349"/>
      <c r="X198" s="349"/>
      <c r="Y198" s="349"/>
      <c r="Z198" s="349"/>
      <c r="AA198" s="349"/>
      <c r="AB198" s="349"/>
      <c r="AC198" s="349"/>
      <c r="AD198" s="349"/>
      <c r="AE198" s="349"/>
    </row>
    <row r="199" spans="1:31" ht="13" customHeight="1" x14ac:dyDescent="0.25">
      <c r="A199" s="349"/>
      <c r="B199" s="3"/>
      <c r="C199" s="13"/>
      <c r="D199" s="13" t="s">
        <v>526</v>
      </c>
      <c r="E199" s="2530" t="str">
        <f>Translations!$B$430</f>
        <v>Nettomängd mätbar värme som förbrukas vid anläggningen och som kan ingå i värmeriktmärke:</v>
      </c>
      <c r="F199" s="2531"/>
      <c r="G199" s="2531"/>
      <c r="H199" s="2531"/>
      <c r="I199" s="2531"/>
      <c r="J199" s="2531"/>
      <c r="K199" s="2531"/>
      <c r="L199" s="2531"/>
      <c r="M199" s="2531"/>
      <c r="N199" s="2531"/>
      <c r="O199" s="6"/>
      <c r="P199" s="15"/>
      <c r="Q199" s="410"/>
      <c r="R199" s="349"/>
      <c r="S199" s="349"/>
      <c r="T199" s="543"/>
      <c r="U199" s="349"/>
      <c r="V199" s="349"/>
      <c r="W199" s="349"/>
      <c r="X199" s="349"/>
      <c r="Y199" s="349"/>
      <c r="Z199" s="349"/>
      <c r="AA199" s="349"/>
      <c r="AB199" s="349"/>
      <c r="AC199" s="349"/>
      <c r="AD199" s="349"/>
      <c r="AE199" s="349"/>
    </row>
    <row r="200" spans="1:31" ht="12.65" customHeight="1" x14ac:dyDescent="0.25">
      <c r="A200" s="349"/>
      <c r="B200" s="3"/>
      <c r="C200" s="15"/>
      <c r="D200" s="15"/>
      <c r="E200" s="2532" t="str">
        <f>Translations!$B$431</f>
        <v>Detta är förbrukningen inom anläggningen utom för de ändamål som anges i punkterna g och h.</v>
      </c>
      <c r="F200" s="2529"/>
      <c r="G200" s="2529"/>
      <c r="H200" s="2529"/>
      <c r="I200" s="2529"/>
      <c r="J200" s="2529"/>
      <c r="K200" s="2529"/>
      <c r="L200" s="2529"/>
      <c r="M200" s="2529"/>
      <c r="N200" s="2529"/>
      <c r="O200" s="6"/>
      <c r="P200" s="15"/>
      <c r="Q200" s="410"/>
      <c r="R200" s="349"/>
      <c r="S200" s="349"/>
      <c r="T200" s="543"/>
      <c r="U200" s="349"/>
      <c r="V200" s="349"/>
      <c r="W200" s="349"/>
      <c r="X200" s="349"/>
      <c r="Y200" s="349"/>
      <c r="Z200" s="349"/>
      <c r="AA200" s="349"/>
      <c r="AB200" s="349"/>
      <c r="AC200" s="349"/>
      <c r="AD200" s="349"/>
      <c r="AE200" s="349"/>
    </row>
    <row r="201" spans="1:31" ht="12.65" customHeight="1" x14ac:dyDescent="0.25">
      <c r="A201" s="349"/>
      <c r="B201" s="19"/>
      <c r="C201" s="19"/>
      <c r="D201" s="19"/>
      <c r="E201" s="2546" t="str">
        <f>Translations!$B$432</f>
        <v>Värme som förbrukas inom anläggningen</v>
      </c>
      <c r="F201" s="2545"/>
      <c r="G201" s="47" t="str">
        <f>EUconst_TJpa</f>
        <v>TJ / år</v>
      </c>
      <c r="H201" s="260"/>
      <c r="I201" s="260"/>
      <c r="J201" s="260"/>
      <c r="K201" s="260"/>
      <c r="L201" s="260"/>
      <c r="M201" s="260"/>
      <c r="N201" s="260"/>
      <c r="O201" s="6"/>
      <c r="P201" s="1552"/>
      <c r="Q201" s="349"/>
      <c r="R201" s="349"/>
      <c r="S201" s="349"/>
      <c r="T201" s="490" t="b">
        <f>T181</f>
        <v>0</v>
      </c>
      <c r="U201" s="349"/>
      <c r="V201" s="349"/>
      <c r="W201" s="349"/>
      <c r="X201" s="349"/>
      <c r="Y201" s="349"/>
      <c r="Z201" s="349"/>
      <c r="AA201" s="349"/>
      <c r="AB201" s="349"/>
      <c r="AC201" s="349"/>
      <c r="AD201" s="1526" t="s">
        <v>2248</v>
      </c>
      <c r="AE201" s="394" t="str">
        <f>IF(AND(CNTR_HasEntries_A_I,COUNTIFS($V$16:$AB$16,FALSE,H201:N201,"")&gt;0,$T$94=FALSE),2,"")</f>
        <v/>
      </c>
    </row>
    <row r="202" spans="1:31" ht="5.15" customHeight="1" x14ac:dyDescent="0.25">
      <c r="A202" s="349"/>
      <c r="B202" s="3"/>
      <c r="C202" s="3"/>
      <c r="D202" s="3"/>
      <c r="E202" s="3"/>
      <c r="F202" s="3"/>
      <c r="G202" s="3"/>
      <c r="H202" s="3"/>
      <c r="I202" s="3"/>
      <c r="J202" s="3"/>
      <c r="K202" s="3"/>
      <c r="L202" s="3"/>
      <c r="M202" s="3"/>
      <c r="N202" s="3"/>
      <c r="O202" s="6"/>
      <c r="P202" s="15"/>
      <c r="Q202" s="410"/>
      <c r="R202" s="349"/>
      <c r="S202" s="349"/>
      <c r="T202" s="543"/>
      <c r="U202" s="349"/>
      <c r="V202" s="349"/>
      <c r="W202" s="349"/>
      <c r="X202" s="349"/>
      <c r="Y202" s="349"/>
      <c r="Z202" s="349"/>
      <c r="AA202" s="349"/>
      <c r="AB202" s="349"/>
      <c r="AC202" s="349"/>
      <c r="AD202" s="349"/>
      <c r="AE202" s="349"/>
    </row>
    <row r="203" spans="1:31" ht="13" customHeight="1" x14ac:dyDescent="0.25">
      <c r="A203" s="349"/>
      <c r="B203" s="19"/>
      <c r="C203" s="13"/>
      <c r="D203" s="13" t="s">
        <v>527</v>
      </c>
      <c r="E203" s="2530" t="str">
        <f>Translations!$B$433</f>
        <v>Värme som exporteras till anläggningar eller enheter utanför ETS (t.ex. fjärrvärmenät):</v>
      </c>
      <c r="F203" s="2531"/>
      <c r="G203" s="2531"/>
      <c r="H203" s="2531"/>
      <c r="I203" s="2531"/>
      <c r="J203" s="2531"/>
      <c r="K203" s="2531"/>
      <c r="L203" s="2531"/>
      <c r="M203" s="2531"/>
      <c r="N203" s="2531"/>
      <c r="O203" s="6"/>
      <c r="P203" s="15"/>
      <c r="Q203" s="349"/>
      <c r="R203" s="349"/>
      <c r="S203" s="349"/>
      <c r="T203" s="543"/>
      <c r="U203" s="349"/>
      <c r="V203" s="349"/>
      <c r="W203" s="349"/>
      <c r="X203" s="349"/>
      <c r="Y203" s="349"/>
      <c r="Z203" s="349"/>
      <c r="AA203" s="349"/>
      <c r="AB203" s="349"/>
      <c r="AC203" s="349"/>
      <c r="AD203" s="349"/>
      <c r="AE203" s="349"/>
    </row>
    <row r="204" spans="1:31" ht="12.65" customHeight="1" x14ac:dyDescent="0.25">
      <c r="A204" s="349"/>
      <c r="B204" s="3"/>
      <c r="C204" s="15"/>
      <c r="D204" s="15"/>
      <c r="E204" s="2533" t="str">
        <f>Translations!$B$382</f>
        <v>Anläggningarnas namn i nedrullningslistan har hämtats från avsnitt A.IV. Därför måste ni säkerställa att ni har angett fullständiga uppgifter där.</v>
      </c>
      <c r="F204" s="2531"/>
      <c r="G204" s="2531"/>
      <c r="H204" s="2531"/>
      <c r="I204" s="2531"/>
      <c r="J204" s="2531"/>
      <c r="K204" s="2531"/>
      <c r="L204" s="2531"/>
      <c r="M204" s="2531"/>
      <c r="N204" s="2531"/>
      <c r="O204" s="6"/>
      <c r="P204" s="15"/>
      <c r="Q204" s="410"/>
      <c r="R204" s="349"/>
      <c r="S204" s="349"/>
      <c r="T204" s="543"/>
      <c r="U204" s="349"/>
      <c r="V204" s="349"/>
      <c r="W204" s="349"/>
      <c r="X204" s="349"/>
      <c r="Y204" s="349"/>
      <c r="Z204" s="349"/>
      <c r="AA204" s="349"/>
      <c r="AB204" s="349"/>
      <c r="AC204" s="349"/>
      <c r="AD204" s="349"/>
      <c r="AE204" s="349"/>
    </row>
    <row r="205" spans="1:31" ht="12.65" customHeight="1" x14ac:dyDescent="0.25">
      <c r="A205" s="349"/>
      <c r="B205" s="3"/>
      <c r="C205" s="15"/>
      <c r="D205" s="15"/>
      <c r="E205" s="2533" t="str">
        <f>Translations!$B$1464</f>
        <v>Om det finns fler än fem anslutningar ska de sammanställas. Det kan innebära att avsnitt A.V.b måste ändras.</v>
      </c>
      <c r="F205" s="2531"/>
      <c r="G205" s="2531"/>
      <c r="H205" s="2531"/>
      <c r="I205" s="2531"/>
      <c r="J205" s="2531"/>
      <c r="K205" s="2531"/>
      <c r="L205" s="2531"/>
      <c r="M205" s="2531"/>
      <c r="N205" s="2531"/>
      <c r="O205" s="6"/>
      <c r="P205" s="15"/>
      <c r="Q205" s="410"/>
      <c r="R205" s="349"/>
      <c r="S205" s="349"/>
      <c r="T205" s="543"/>
      <c r="U205" s="349"/>
      <c r="V205" s="349"/>
      <c r="W205" s="349"/>
      <c r="X205" s="349"/>
      <c r="Y205" s="349"/>
      <c r="Z205" s="349"/>
      <c r="AA205" s="349"/>
      <c r="AB205" s="349"/>
      <c r="AC205" s="349"/>
      <c r="AD205" s="349"/>
      <c r="AE205" s="349"/>
    </row>
    <row r="206" spans="1:31" ht="13" customHeight="1" x14ac:dyDescent="0.25">
      <c r="A206" s="349"/>
      <c r="B206" s="19"/>
      <c r="C206" s="19"/>
      <c r="D206" s="19"/>
      <c r="E206" s="2528" t="str">
        <f>Translations!$B$434</f>
        <v>Namn på mottagande enhet eller anläggning</v>
      </c>
      <c r="F206" s="2529"/>
      <c r="G206" s="30" t="str">
        <f>EUconst_Unit</f>
        <v>Enhet</v>
      </c>
      <c r="H206" s="350">
        <f t="shared" ref="H206:N206" si="36">H$393</f>
        <v>2019</v>
      </c>
      <c r="I206" s="350">
        <f t="shared" si="36"/>
        <v>2020</v>
      </c>
      <c r="J206" s="350">
        <f t="shared" si="36"/>
        <v>2021</v>
      </c>
      <c r="K206" s="350">
        <f t="shared" si="36"/>
        <v>2022</v>
      </c>
      <c r="L206" s="350">
        <f t="shared" si="36"/>
        <v>2023</v>
      </c>
      <c r="M206" s="350">
        <f t="shared" si="36"/>
        <v>2024</v>
      </c>
      <c r="N206" s="350">
        <f t="shared" si="36"/>
        <v>2025</v>
      </c>
      <c r="O206" s="6"/>
      <c r="P206" s="15"/>
      <c r="Q206" s="349"/>
      <c r="R206" s="349"/>
      <c r="S206" s="349"/>
      <c r="T206" s="543"/>
      <c r="U206" s="349"/>
      <c r="V206" s="349"/>
      <c r="W206" s="349"/>
      <c r="X206" s="349"/>
      <c r="Y206" s="349"/>
      <c r="Z206" s="349"/>
      <c r="AA206" s="349"/>
      <c r="AB206" s="349"/>
      <c r="AC206" s="349"/>
      <c r="AD206" s="349"/>
      <c r="AE206" s="349"/>
    </row>
    <row r="207" spans="1:31" x14ac:dyDescent="0.25">
      <c r="A207" s="349"/>
      <c r="B207" s="19"/>
      <c r="C207" s="175"/>
      <c r="D207" s="175" t="s">
        <v>8</v>
      </c>
      <c r="E207" s="2550"/>
      <c r="F207" s="2551"/>
      <c r="G207" s="33" t="str">
        <f t="shared" ref="G207:G212" si="37">EUconst_TJpa</f>
        <v>TJ / år</v>
      </c>
      <c r="H207" s="271"/>
      <c r="I207" s="271"/>
      <c r="J207" s="271"/>
      <c r="K207" s="271"/>
      <c r="L207" s="271"/>
      <c r="M207" s="271"/>
      <c r="N207" s="271"/>
      <c r="O207" s="6"/>
      <c r="P207" s="1552"/>
      <c r="Q207" s="349"/>
      <c r="R207" s="349"/>
      <c r="S207" s="349"/>
      <c r="T207" s="490" t="b">
        <f>T201</f>
        <v>0</v>
      </c>
      <c r="U207" s="349"/>
      <c r="V207" s="349"/>
      <c r="W207" s="349"/>
      <c r="X207" s="349"/>
      <c r="Y207" s="349"/>
      <c r="Z207" s="349"/>
      <c r="AA207" s="349"/>
      <c r="AB207" s="349"/>
      <c r="AC207" s="349"/>
      <c r="AD207" s="1526" t="s">
        <v>2248</v>
      </c>
      <c r="AE207" s="394" t="str">
        <f>IF(AND(CNTR_HasEntries_A_I,E207&lt;&gt;"",COUNTIFS($V$16:$AB$16,FALSE,H207:N207,"")&gt;0),2,"")</f>
        <v/>
      </c>
    </row>
    <row r="208" spans="1:31" x14ac:dyDescent="0.25">
      <c r="A208" s="349"/>
      <c r="B208" s="19"/>
      <c r="C208" s="175"/>
      <c r="D208" s="175" t="s">
        <v>9</v>
      </c>
      <c r="E208" s="2536"/>
      <c r="F208" s="2537"/>
      <c r="G208" s="33" t="str">
        <f t="shared" si="37"/>
        <v>TJ / år</v>
      </c>
      <c r="H208" s="279"/>
      <c r="I208" s="279"/>
      <c r="J208" s="279"/>
      <c r="K208" s="279"/>
      <c r="L208" s="279"/>
      <c r="M208" s="279"/>
      <c r="N208" s="279"/>
      <c r="O208" s="6"/>
      <c r="P208" s="1552"/>
      <c r="Q208" s="349"/>
      <c r="R208" s="349"/>
      <c r="S208" s="349"/>
      <c r="T208" s="490" t="b">
        <f>T207</f>
        <v>0</v>
      </c>
      <c r="U208" s="349"/>
      <c r="V208" s="349"/>
      <c r="W208" s="349"/>
      <c r="X208" s="349"/>
      <c r="Y208" s="349"/>
      <c r="Z208" s="349"/>
      <c r="AA208" s="349"/>
      <c r="AB208" s="349"/>
      <c r="AC208" s="349"/>
      <c r="AD208" s="1526" t="s">
        <v>2248</v>
      </c>
      <c r="AE208" s="394" t="str">
        <f>IF(AND(CNTR_HasEntries_A_I,E208&lt;&gt;"",COUNTIFS($V$16:$AB$16,FALSE,H208:N208,"")&gt;0),2,"")</f>
        <v/>
      </c>
    </row>
    <row r="209" spans="1:31" x14ac:dyDescent="0.25">
      <c r="A209" s="349"/>
      <c r="B209" s="19"/>
      <c r="C209" s="175"/>
      <c r="D209" s="175" t="s">
        <v>10</v>
      </c>
      <c r="E209" s="2536"/>
      <c r="F209" s="2537"/>
      <c r="G209" s="33" t="str">
        <f t="shared" si="37"/>
        <v>TJ / år</v>
      </c>
      <c r="H209" s="279"/>
      <c r="I209" s="279"/>
      <c r="J209" s="279"/>
      <c r="K209" s="279"/>
      <c r="L209" s="279"/>
      <c r="M209" s="279"/>
      <c r="N209" s="279"/>
      <c r="O209" s="6"/>
      <c r="P209" s="1552"/>
      <c r="Q209" s="349"/>
      <c r="R209" s="349"/>
      <c r="S209" s="349"/>
      <c r="T209" s="490" t="b">
        <f>T208</f>
        <v>0</v>
      </c>
      <c r="U209" s="349"/>
      <c r="V209" s="349"/>
      <c r="W209" s="349"/>
      <c r="X209" s="349"/>
      <c r="Y209" s="349"/>
      <c r="Z209" s="349"/>
      <c r="AA209" s="349"/>
      <c r="AB209" s="349"/>
      <c r="AC209" s="349"/>
      <c r="AD209" s="1526" t="s">
        <v>2248</v>
      </c>
      <c r="AE209" s="394" t="str">
        <f>IF(AND(CNTR_HasEntries_A_I,E209&lt;&gt;"",COUNTIFS($V$16:$AB$16,FALSE,H209:N209,"")&gt;0),2,"")</f>
        <v/>
      </c>
    </row>
    <row r="210" spans="1:31" x14ac:dyDescent="0.25">
      <c r="A210" s="349"/>
      <c r="B210" s="19"/>
      <c r="C210" s="175"/>
      <c r="D210" s="175" t="s">
        <v>23</v>
      </c>
      <c r="E210" s="2536"/>
      <c r="F210" s="2537"/>
      <c r="G210" s="33" t="str">
        <f t="shared" si="37"/>
        <v>TJ / år</v>
      </c>
      <c r="H210" s="279"/>
      <c r="I210" s="279"/>
      <c r="J210" s="279"/>
      <c r="K210" s="279"/>
      <c r="L210" s="279"/>
      <c r="M210" s="279"/>
      <c r="N210" s="279"/>
      <c r="O210" s="6"/>
      <c r="P210" s="1552"/>
      <c r="Q210" s="349"/>
      <c r="R210" s="349"/>
      <c r="S210" s="349"/>
      <c r="T210" s="490" t="b">
        <f>T209</f>
        <v>0</v>
      </c>
      <c r="U210" s="349"/>
      <c r="V210" s="349"/>
      <c r="W210" s="349"/>
      <c r="X210" s="349"/>
      <c r="Y210" s="349"/>
      <c r="Z210" s="349"/>
      <c r="AA210" s="349"/>
      <c r="AB210" s="349"/>
      <c r="AC210" s="349"/>
      <c r="AD210" s="1526" t="s">
        <v>2248</v>
      </c>
      <c r="AE210" s="394" t="str">
        <f>IF(AND(CNTR_HasEntries_A_I,E210&lt;&gt;"",COUNTIFS($V$16:$AB$16,FALSE,H210:N210,"")&gt;0),2,"")</f>
        <v/>
      </c>
    </row>
    <row r="211" spans="1:31" x14ac:dyDescent="0.25">
      <c r="A211" s="349"/>
      <c r="B211" s="19"/>
      <c r="C211" s="175"/>
      <c r="D211" s="175" t="s">
        <v>859</v>
      </c>
      <c r="E211" s="2538"/>
      <c r="F211" s="2539"/>
      <c r="G211" s="36" t="str">
        <f t="shared" si="37"/>
        <v>TJ / år</v>
      </c>
      <c r="H211" s="277"/>
      <c r="I211" s="277"/>
      <c r="J211" s="277"/>
      <c r="K211" s="277"/>
      <c r="L211" s="277"/>
      <c r="M211" s="277"/>
      <c r="N211" s="277"/>
      <c r="O211" s="6"/>
      <c r="P211" s="1552"/>
      <c r="Q211" s="349"/>
      <c r="R211" s="349"/>
      <c r="S211" s="349"/>
      <c r="T211" s="490" t="b">
        <f>T210</f>
        <v>0</v>
      </c>
      <c r="U211" s="349"/>
      <c r="V211" s="349"/>
      <c r="W211" s="349"/>
      <c r="X211" s="349"/>
      <c r="Y211" s="349"/>
      <c r="Z211" s="349"/>
      <c r="AA211" s="349"/>
      <c r="AB211" s="349"/>
      <c r="AC211" s="349"/>
      <c r="AD211" s="1526" t="s">
        <v>2248</v>
      </c>
      <c r="AE211" s="394" t="str">
        <f>IF(AND(CNTR_HasEntries_A_I,E211&lt;&gt;"",COUNTIFS($V$16:$AB$16,FALSE,H211:N211,"")&gt;0),2,"")</f>
        <v/>
      </c>
    </row>
    <row r="212" spans="1:31" ht="12.65" customHeight="1" x14ac:dyDescent="0.25">
      <c r="A212" s="349"/>
      <c r="B212" s="19"/>
      <c r="C212" s="175"/>
      <c r="D212" s="175" t="s">
        <v>860</v>
      </c>
      <c r="E212" s="2544" t="str">
        <f>Translations!$B$435</f>
        <v>Total värme som exporteras utanför ETS:</v>
      </c>
      <c r="F212" s="2545"/>
      <c r="G212" s="46" t="str">
        <f t="shared" si="37"/>
        <v>TJ / år</v>
      </c>
      <c r="H212" s="256" t="str">
        <f t="shared" ref="H212:N212" si="38">IF(COUNT(H207:H211)&gt;0,SUM(H207:H211),"")</f>
        <v/>
      </c>
      <c r="I212" s="256" t="str">
        <f t="shared" si="38"/>
        <v/>
      </c>
      <c r="J212" s="256" t="str">
        <f t="shared" si="38"/>
        <v/>
      </c>
      <c r="K212" s="256" t="str">
        <f t="shared" si="38"/>
        <v/>
      </c>
      <c r="L212" s="256" t="str">
        <f t="shared" si="38"/>
        <v/>
      </c>
      <c r="M212" s="256" t="str">
        <f t="shared" si="38"/>
        <v/>
      </c>
      <c r="N212" s="256" t="str">
        <f t="shared" si="38"/>
        <v/>
      </c>
      <c r="O212" s="6"/>
      <c r="P212" s="15"/>
      <c r="Q212" s="349"/>
      <c r="R212" s="349"/>
      <c r="S212" s="349"/>
      <c r="T212" s="543"/>
      <c r="U212" s="349"/>
      <c r="V212" s="349"/>
      <c r="W212" s="349"/>
      <c r="X212" s="349"/>
      <c r="Y212" s="349"/>
      <c r="Z212" s="349"/>
      <c r="AA212" s="349"/>
      <c r="AB212" s="349"/>
      <c r="AC212" s="349"/>
      <c r="AD212" s="349"/>
      <c r="AE212" s="349"/>
    </row>
    <row r="213" spans="1:31" ht="5.15" customHeight="1" x14ac:dyDescent="0.25">
      <c r="A213" s="349"/>
      <c r="B213" s="3"/>
      <c r="C213" s="3"/>
      <c r="D213" s="3"/>
      <c r="E213" s="3"/>
      <c r="F213" s="3"/>
      <c r="G213" s="3"/>
      <c r="H213" s="3"/>
      <c r="I213" s="3"/>
      <c r="J213" s="3"/>
      <c r="K213" s="3"/>
      <c r="L213" s="3"/>
      <c r="M213" s="3"/>
      <c r="N213" s="3"/>
      <c r="O213" s="6"/>
      <c r="P213" s="15"/>
      <c r="Q213" s="410"/>
      <c r="R213" s="349"/>
      <c r="S213" s="349"/>
      <c r="T213" s="543"/>
      <c r="U213" s="349"/>
      <c r="V213" s="349"/>
      <c r="W213" s="349"/>
      <c r="X213" s="349"/>
      <c r="Y213" s="349"/>
      <c r="Z213" s="349"/>
      <c r="AA213" s="349"/>
      <c r="AB213" s="349"/>
      <c r="AC213" s="349"/>
      <c r="AD213" s="349"/>
      <c r="AE213" s="349"/>
    </row>
    <row r="214" spans="1:31" ht="13" customHeight="1" x14ac:dyDescent="0.25">
      <c r="A214" s="349"/>
      <c r="B214" s="19"/>
      <c r="C214" s="13"/>
      <c r="D214" s="13" t="s">
        <v>271</v>
      </c>
      <c r="E214" s="2530" t="str">
        <f>Translations!$B$436</f>
        <v>Värmeförluster (= j–l–m)</v>
      </c>
      <c r="F214" s="2531"/>
      <c r="G214" s="2531"/>
      <c r="H214" s="2531"/>
      <c r="I214" s="2531"/>
      <c r="J214" s="2531"/>
      <c r="K214" s="2531"/>
      <c r="L214" s="2531"/>
      <c r="M214" s="2531"/>
      <c r="N214" s="2531"/>
      <c r="O214" s="6"/>
      <c r="P214" s="15"/>
      <c r="Q214" s="349"/>
      <c r="R214" s="349"/>
      <c r="S214" s="349"/>
      <c r="T214" s="543"/>
      <c r="U214" s="349"/>
      <c r="V214" s="349"/>
      <c r="W214" s="349"/>
      <c r="X214" s="349"/>
      <c r="Y214" s="349"/>
      <c r="Z214" s="349"/>
      <c r="AA214" s="349"/>
      <c r="AB214" s="349"/>
      <c r="AC214" s="349"/>
      <c r="AD214" s="349"/>
      <c r="AE214" s="349"/>
    </row>
    <row r="215" spans="1:31" ht="12.65" customHeight="1" x14ac:dyDescent="0.25">
      <c r="A215" s="349"/>
      <c r="B215" s="3"/>
      <c r="C215" s="15"/>
      <c r="D215" s="15"/>
      <c r="E215" s="2533" t="str">
        <f>Translations!$B$437</f>
        <v>I denna tabell visas beräknade värmeförluster (dvs. mängden värme som inte omfattas av punkterna g, h, k, l och m) för att göra värmebalansen fullständig.</v>
      </c>
      <c r="F215" s="2531"/>
      <c r="G215" s="2531"/>
      <c r="H215" s="2531"/>
      <c r="I215" s="2531"/>
      <c r="J215" s="2531"/>
      <c r="K215" s="2531"/>
      <c r="L215" s="2531"/>
      <c r="M215" s="2531"/>
      <c r="N215" s="2531"/>
      <c r="O215" s="6"/>
      <c r="P215" s="15"/>
      <c r="Q215" s="410"/>
      <c r="R215" s="349"/>
      <c r="S215" s="349"/>
      <c r="T215" s="543"/>
      <c r="U215" s="349"/>
      <c r="V215" s="349"/>
      <c r="W215" s="349"/>
      <c r="X215" s="349"/>
      <c r="Y215" s="349"/>
      <c r="Z215" s="349"/>
      <c r="AA215" s="349"/>
      <c r="AB215" s="349"/>
      <c r="AC215" s="349"/>
      <c r="AD215" s="349"/>
      <c r="AE215" s="349"/>
    </row>
    <row r="216" spans="1:31" ht="12.65" customHeight="1" x14ac:dyDescent="0.25">
      <c r="A216" s="349"/>
      <c r="B216" s="3"/>
      <c r="C216" s="15"/>
      <c r="D216" s="15"/>
      <c r="E216" s="2533" t="str">
        <f>Translations!$B$438</f>
        <v>Om negativa värden visas betyder detta att de värmeförbrukningsnivåer som angetts ovan överskrider mängden tillgänglig värme från produktion och import.</v>
      </c>
      <c r="F216" s="2531"/>
      <c r="G216" s="2531"/>
      <c r="H216" s="2531"/>
      <c r="I216" s="2531"/>
      <c r="J216" s="2531"/>
      <c r="K216" s="2531"/>
      <c r="L216" s="2531"/>
      <c r="M216" s="2531"/>
      <c r="N216" s="2531"/>
      <c r="O216" s="6"/>
      <c r="P216" s="15"/>
      <c r="Q216" s="410"/>
      <c r="R216" s="349"/>
      <c r="S216" s="349"/>
      <c r="T216" s="543"/>
      <c r="U216" s="349"/>
      <c r="V216" s="349"/>
      <c r="W216" s="349"/>
      <c r="X216" s="349"/>
      <c r="Y216" s="349"/>
      <c r="Z216" s="349"/>
      <c r="AA216" s="349"/>
      <c r="AB216" s="349"/>
      <c r="AC216" s="349"/>
      <c r="AD216" s="349"/>
      <c r="AE216" s="349"/>
    </row>
    <row r="217" spans="1:31" ht="13" x14ac:dyDescent="0.25">
      <c r="A217" s="349"/>
      <c r="B217" s="19"/>
      <c r="C217" s="19"/>
      <c r="D217" s="19"/>
      <c r="E217" s="24"/>
      <c r="F217" s="21"/>
      <c r="G217" s="30" t="str">
        <f>EUconst_Unit</f>
        <v>Enhet</v>
      </c>
      <c r="H217" s="320">
        <f t="shared" ref="H217:N217" si="39">H$393</f>
        <v>2019</v>
      </c>
      <c r="I217" s="320">
        <f t="shared" si="39"/>
        <v>2020</v>
      </c>
      <c r="J217" s="320">
        <f t="shared" si="39"/>
        <v>2021</v>
      </c>
      <c r="K217" s="320">
        <f t="shared" si="39"/>
        <v>2022</v>
      </c>
      <c r="L217" s="320">
        <f t="shared" si="39"/>
        <v>2023</v>
      </c>
      <c r="M217" s="320">
        <f t="shared" si="39"/>
        <v>2024</v>
      </c>
      <c r="N217" s="320">
        <f t="shared" si="39"/>
        <v>2025</v>
      </c>
      <c r="O217" s="6"/>
      <c r="P217" s="15"/>
      <c r="Q217" s="349"/>
      <c r="R217" s="349"/>
      <c r="S217" s="349"/>
      <c r="T217" s="543"/>
      <c r="U217" s="349"/>
      <c r="V217" s="349"/>
      <c r="W217" s="349"/>
      <c r="X217" s="349"/>
      <c r="Y217" s="349"/>
      <c r="Z217" s="349"/>
      <c r="AA217" s="349"/>
      <c r="AB217" s="349"/>
      <c r="AC217" s="349"/>
      <c r="AD217" s="349"/>
      <c r="AE217" s="349"/>
    </row>
    <row r="218" spans="1:31" ht="12.65" customHeight="1" x14ac:dyDescent="0.25">
      <c r="A218" s="349"/>
      <c r="B218" s="19"/>
      <c r="C218" s="19"/>
      <c r="D218" s="175" t="s">
        <v>8</v>
      </c>
      <c r="E218" s="2546" t="str">
        <f>Translations!$B$439</f>
        <v>Värmeförluster (beräknade)</v>
      </c>
      <c r="F218" s="2545"/>
      <c r="G218" s="47" t="str">
        <f>EUconst_TJpa</f>
        <v>TJ / år</v>
      </c>
      <c r="H218" s="258" t="str">
        <f t="shared" ref="H218:N218" si="40">IF(COUNT(H189,H201,H212)&gt;0,SUM(H189)-SUM(H201)-SUM(H212),"")</f>
        <v/>
      </c>
      <c r="I218" s="258" t="str">
        <f t="shared" si="40"/>
        <v/>
      </c>
      <c r="J218" s="258" t="str">
        <f t="shared" si="40"/>
        <v/>
      </c>
      <c r="K218" s="258" t="str">
        <f t="shared" si="40"/>
        <v/>
      </c>
      <c r="L218" s="258" t="str">
        <f t="shared" si="40"/>
        <v/>
      </c>
      <c r="M218" s="258" t="str">
        <f t="shared" si="40"/>
        <v/>
      </c>
      <c r="N218" s="258" t="str">
        <f t="shared" si="40"/>
        <v/>
      </c>
      <c r="O218" s="6"/>
      <c r="P218" s="15"/>
      <c r="Q218" s="349"/>
      <c r="R218" s="349"/>
      <c r="S218" s="349"/>
      <c r="T218" s="543"/>
      <c r="U218" s="349"/>
      <c r="V218" s="349"/>
      <c r="W218" s="349"/>
      <c r="X218" s="349"/>
      <c r="Y218" s="349"/>
      <c r="Z218" s="349"/>
      <c r="AA218" s="349"/>
      <c r="AB218" s="349"/>
      <c r="AC218" s="349"/>
      <c r="AD218" s="349"/>
      <c r="AE218" s="349"/>
    </row>
    <row r="219" spans="1:31" ht="12.65" customHeight="1" x14ac:dyDescent="0.25">
      <c r="A219" s="349"/>
      <c r="B219" s="19"/>
      <c r="C219" s="19"/>
      <c r="D219" s="175" t="s">
        <v>9</v>
      </c>
      <c r="E219" s="2546" t="str">
        <f>Translations!$B$440</f>
        <v>Värmeförluster (andel tillgänglig värme = e)</v>
      </c>
      <c r="F219" s="2545"/>
      <c r="G219" s="47" t="s">
        <v>1113</v>
      </c>
      <c r="H219" s="258" t="str">
        <f t="shared" ref="H219:N219" si="41">IF(AND(ISNUMBER(H218),ISNUMBER(H122),SUM(H122)&lt;&gt;0),H218/H122*100,"")</f>
        <v/>
      </c>
      <c r="I219" s="258" t="str">
        <f t="shared" si="41"/>
        <v/>
      </c>
      <c r="J219" s="258" t="str">
        <f t="shared" si="41"/>
        <v/>
      </c>
      <c r="K219" s="258" t="str">
        <f t="shared" si="41"/>
        <v/>
      </c>
      <c r="L219" s="258" t="str">
        <f t="shared" si="41"/>
        <v/>
      </c>
      <c r="M219" s="258" t="str">
        <f t="shared" si="41"/>
        <v/>
      </c>
      <c r="N219" s="258" t="str">
        <f t="shared" si="41"/>
        <v/>
      </c>
      <c r="O219" s="6"/>
      <c r="P219" s="15"/>
      <c r="Q219" s="349"/>
      <c r="R219" s="349"/>
      <c r="S219" s="349"/>
      <c r="T219" s="543"/>
      <c r="U219" s="349"/>
      <c r="V219" s="349"/>
      <c r="W219" s="349"/>
      <c r="X219" s="349"/>
      <c r="Y219" s="349"/>
      <c r="Z219" s="349"/>
      <c r="AA219" s="349"/>
      <c r="AB219" s="349"/>
      <c r="AC219" s="349"/>
      <c r="AD219" s="349"/>
      <c r="AE219" s="349"/>
    </row>
    <row r="220" spans="1:31" x14ac:dyDescent="0.25">
      <c r="A220" s="349"/>
      <c r="B220" s="19"/>
      <c r="C220" s="19"/>
      <c r="D220" s="19"/>
      <c r="E220" s="19"/>
      <c r="F220" s="19"/>
      <c r="G220" s="19"/>
      <c r="H220" s="19"/>
      <c r="I220" s="19"/>
      <c r="J220" s="19"/>
      <c r="K220" s="19"/>
      <c r="L220" s="19"/>
      <c r="M220" s="19"/>
      <c r="N220" s="19"/>
      <c r="O220" s="6"/>
      <c r="P220" s="15"/>
      <c r="Q220" s="349"/>
      <c r="R220" s="349"/>
      <c r="S220" s="349"/>
      <c r="T220" s="543"/>
      <c r="U220" s="349"/>
      <c r="V220" s="349"/>
      <c r="W220" s="349"/>
      <c r="X220" s="349"/>
      <c r="Y220" s="349"/>
      <c r="Z220" s="349"/>
      <c r="AA220" s="349"/>
      <c r="AB220" s="349"/>
      <c r="AC220" s="349"/>
      <c r="AD220" s="349"/>
      <c r="AE220" s="349"/>
    </row>
    <row r="221" spans="1:31" ht="13" customHeight="1" x14ac:dyDescent="0.25">
      <c r="A221" s="349"/>
      <c r="B221" s="3"/>
      <c r="C221" s="13"/>
      <c r="D221" s="13" t="s">
        <v>906</v>
      </c>
      <c r="E221" s="2528" t="str">
        <f>Translations!$B$441</f>
        <v>Total mängd värme som eventuellt ingår i delanläggningar med värmeriktmärke eller fjärrvärmedelanläggningen (= l+m):</v>
      </c>
      <c r="F221" s="2529"/>
      <c r="G221" s="1033"/>
      <c r="H221" s="1033"/>
      <c r="I221" s="1033"/>
      <c r="J221" s="1033"/>
      <c r="K221" s="1033"/>
      <c r="L221" s="1033"/>
      <c r="M221" s="1033"/>
      <c r="N221" s="1033"/>
      <c r="O221" s="6"/>
      <c r="P221" s="15"/>
      <c r="Q221" s="410"/>
      <c r="R221" s="349"/>
      <c r="S221" s="349"/>
      <c r="T221" s="543"/>
      <c r="U221" s="349"/>
      <c r="V221" s="349"/>
      <c r="W221" s="349"/>
      <c r="X221" s="349"/>
      <c r="Y221" s="349"/>
      <c r="Z221" s="349"/>
      <c r="AA221" s="349"/>
      <c r="AB221" s="349"/>
      <c r="AC221" s="349"/>
      <c r="AD221" s="349"/>
      <c r="AE221" s="349"/>
    </row>
    <row r="222" spans="1:31" ht="12.65" customHeight="1" x14ac:dyDescent="0.25">
      <c r="A222" s="349"/>
      <c r="B222" s="19"/>
      <c r="C222" s="19"/>
      <c r="D222" s="19"/>
      <c r="E222" s="2546" t="str">
        <f>Translations!$B$442</f>
        <v>Total värme för delanläggningar med värmeriktmärke:</v>
      </c>
      <c r="F222" s="2545"/>
      <c r="G222" s="47" t="str">
        <f>EUconst_TJpa</f>
        <v>TJ / år</v>
      </c>
      <c r="H222" s="258" t="str">
        <f t="shared" ref="H222:N222" si="42">IF(COUNT(H212,H201)&gt;0,SUM(H201,H212),"")</f>
        <v/>
      </c>
      <c r="I222" s="258" t="str">
        <f t="shared" si="42"/>
        <v/>
      </c>
      <c r="J222" s="258" t="str">
        <f t="shared" si="42"/>
        <v/>
      </c>
      <c r="K222" s="258" t="str">
        <f t="shared" si="42"/>
        <v/>
      </c>
      <c r="L222" s="258" t="str">
        <f t="shared" si="42"/>
        <v/>
      </c>
      <c r="M222" s="258" t="str">
        <f t="shared" si="42"/>
        <v/>
      </c>
      <c r="N222" s="258" t="str">
        <f t="shared" si="42"/>
        <v/>
      </c>
      <c r="O222" s="6"/>
      <c r="P222" s="15"/>
      <c r="Q222" s="349"/>
      <c r="R222" s="349"/>
      <c r="S222" s="349"/>
      <c r="T222" s="543"/>
      <c r="U222" s="349"/>
      <c r="V222" s="349"/>
      <c r="W222" s="349"/>
      <c r="X222" s="349"/>
      <c r="Y222" s="349"/>
      <c r="Z222" s="349"/>
      <c r="AA222" s="349"/>
      <c r="AB222" s="349"/>
      <c r="AC222" s="349"/>
      <c r="AD222" s="349"/>
      <c r="AE222" s="349"/>
    </row>
    <row r="223" spans="1:31" ht="5.15" customHeight="1" x14ac:dyDescent="0.25">
      <c r="A223" s="349"/>
      <c r="B223" s="3"/>
      <c r="C223" s="3"/>
      <c r="D223" s="3"/>
      <c r="E223" s="3"/>
      <c r="F223" s="3"/>
      <c r="G223" s="3"/>
      <c r="H223" s="3"/>
      <c r="I223" s="3"/>
      <c r="J223" s="3"/>
      <c r="K223" s="3"/>
      <c r="L223" s="3"/>
      <c r="M223" s="3"/>
      <c r="N223" s="3"/>
      <c r="O223" s="6"/>
      <c r="P223" s="15"/>
      <c r="Q223" s="410"/>
      <c r="R223" s="349"/>
      <c r="S223" s="349"/>
      <c r="T223" s="543"/>
      <c r="U223" s="349"/>
      <c r="V223" s="349"/>
      <c r="W223" s="349"/>
      <c r="X223" s="349"/>
      <c r="Y223" s="349"/>
      <c r="Z223" s="349"/>
      <c r="AA223" s="349"/>
      <c r="AB223" s="349"/>
      <c r="AC223" s="349"/>
      <c r="AD223" s="349"/>
      <c r="AE223" s="349"/>
    </row>
    <row r="224" spans="1:31" ht="13" customHeight="1" x14ac:dyDescent="0.25">
      <c r="A224" s="349"/>
      <c r="B224" s="3"/>
      <c r="C224" s="13"/>
      <c r="D224" s="13" t="s">
        <v>907</v>
      </c>
      <c r="E224" s="2530" t="str">
        <f>Translations!$B$443</f>
        <v>Slutresultat: Mängd värme som kan tillskrivas delanläggningar med värmeriktmärke eller fjärrvärmedelanläggningen:</v>
      </c>
      <c r="F224" s="2531"/>
      <c r="G224" s="2531"/>
      <c r="H224" s="2531"/>
      <c r="I224" s="2531"/>
      <c r="J224" s="2531"/>
      <c r="K224" s="2531"/>
      <c r="L224" s="2531"/>
      <c r="M224" s="2531"/>
      <c r="N224" s="2531"/>
      <c r="O224" s="6"/>
      <c r="P224" s="15"/>
      <c r="Q224" s="410"/>
      <c r="R224" s="349"/>
      <c r="S224" s="349"/>
      <c r="T224" s="543"/>
      <c r="U224" s="349"/>
      <c r="V224" s="349"/>
      <c r="W224" s="349"/>
      <c r="X224" s="349"/>
      <c r="Y224" s="349"/>
      <c r="Z224" s="349"/>
      <c r="AA224" s="349"/>
      <c r="AB224" s="349"/>
      <c r="AC224" s="349"/>
      <c r="AD224" s="349"/>
      <c r="AE224" s="349"/>
    </row>
    <row r="225" spans="1:31" ht="12.65" customHeight="1" x14ac:dyDescent="0.25">
      <c r="A225" s="349"/>
      <c r="B225" s="3"/>
      <c r="C225" s="15"/>
      <c r="D225" s="15"/>
      <c r="E225" s="2442" t="str">
        <f>Translations!$B$444</f>
        <v>Resultatet beräknas som punkt o multiplicerat med den korrigerade behörighetskvot som fastställts i punkt k.</v>
      </c>
      <c r="F225" s="2531"/>
      <c r="G225" s="2531"/>
      <c r="H225" s="2531"/>
      <c r="I225" s="2531"/>
      <c r="J225" s="2531"/>
      <c r="K225" s="2531"/>
      <c r="L225" s="2531"/>
      <c r="M225" s="2531"/>
      <c r="N225" s="2531"/>
      <c r="O225" s="6"/>
      <c r="P225" s="15"/>
      <c r="Q225" s="410"/>
      <c r="R225" s="349"/>
      <c r="S225" s="349"/>
      <c r="T225" s="543"/>
      <c r="U225" s="349"/>
      <c r="V225" s="349"/>
      <c r="W225" s="349"/>
      <c r="X225" s="349"/>
      <c r="Y225" s="349"/>
      <c r="Z225" s="349"/>
      <c r="AA225" s="349"/>
      <c r="AB225" s="349"/>
      <c r="AC225" s="349"/>
      <c r="AD225" s="349"/>
      <c r="AE225" s="349"/>
    </row>
    <row r="226" spans="1:31" ht="12.65" customHeight="1" x14ac:dyDescent="0.25">
      <c r="A226" s="349"/>
      <c r="B226" s="3"/>
      <c r="C226" s="15"/>
      <c r="D226" s="15"/>
      <c r="E226" s="2442" t="str">
        <f>Translations!$B$445</f>
        <v>Högsta tillåtna värde är den berättigande mängd som fastställts i punkt j.ii.</v>
      </c>
      <c r="F226" s="2531"/>
      <c r="G226" s="2531"/>
      <c r="H226" s="2531"/>
      <c r="I226" s="2531"/>
      <c r="J226" s="2531"/>
      <c r="K226" s="2531"/>
      <c r="L226" s="2531"/>
      <c r="M226" s="2531"/>
      <c r="N226" s="2531"/>
      <c r="O226" s="6"/>
      <c r="P226" s="15"/>
      <c r="Q226" s="410"/>
      <c r="R226" s="349"/>
      <c r="S226" s="349"/>
      <c r="T226" s="543"/>
      <c r="U226" s="349"/>
      <c r="V226" s="349"/>
      <c r="W226" s="349"/>
      <c r="X226" s="349"/>
      <c r="Y226" s="349"/>
      <c r="Z226" s="349"/>
      <c r="AA226" s="349"/>
      <c r="AB226" s="349"/>
      <c r="AC226" s="349"/>
      <c r="AD226" s="349"/>
      <c r="AE226" s="349"/>
    </row>
    <row r="227" spans="1:31" ht="13" x14ac:dyDescent="0.25">
      <c r="A227" s="349"/>
      <c r="B227" s="19"/>
      <c r="C227" s="19"/>
      <c r="D227" s="19"/>
      <c r="E227" s="24"/>
      <c r="F227" s="21"/>
      <c r="G227" s="30" t="str">
        <f>EUconst_Unit</f>
        <v>Enhet</v>
      </c>
      <c r="H227" s="320">
        <f t="shared" ref="H227:N227" si="43">H$393</f>
        <v>2019</v>
      </c>
      <c r="I227" s="320">
        <f t="shared" si="43"/>
        <v>2020</v>
      </c>
      <c r="J227" s="320">
        <f t="shared" si="43"/>
        <v>2021</v>
      </c>
      <c r="K227" s="320">
        <f t="shared" si="43"/>
        <v>2022</v>
      </c>
      <c r="L227" s="320">
        <f t="shared" si="43"/>
        <v>2023</v>
      </c>
      <c r="M227" s="320">
        <f t="shared" si="43"/>
        <v>2024</v>
      </c>
      <c r="N227" s="320">
        <f t="shared" si="43"/>
        <v>2025</v>
      </c>
      <c r="O227" s="6"/>
      <c r="P227" s="15"/>
      <c r="Q227" s="349"/>
      <c r="R227" s="349"/>
      <c r="S227" s="349"/>
      <c r="T227" s="543"/>
      <c r="U227" s="349"/>
      <c r="V227" s="349"/>
      <c r="W227" s="349"/>
      <c r="X227" s="349"/>
      <c r="Y227" s="349"/>
      <c r="Z227" s="349"/>
      <c r="AA227" s="349"/>
      <c r="AB227" s="349"/>
      <c r="AC227" s="349"/>
      <c r="AD227" s="349"/>
      <c r="AE227" s="349"/>
    </row>
    <row r="228" spans="1:31" ht="25.5" customHeight="1" x14ac:dyDescent="0.25">
      <c r="A228" s="349"/>
      <c r="B228" s="19"/>
      <c r="C228" s="19"/>
      <c r="D228" s="19"/>
      <c r="E228" s="2546" t="str">
        <f>Translations!$B$446</f>
        <v>Värme som kan ingå i delanläggningar med värmeriktmärke</v>
      </c>
      <c r="F228" s="2545"/>
      <c r="G228" s="48" t="str">
        <f>EUconst_TJpa</f>
        <v>TJ / år</v>
      </c>
      <c r="H228" s="254" t="str">
        <f t="shared" ref="H228:N228" si="44">IF(ISNUMBER(H222),IF(H193&gt;=H222*SUM(H197)/100,H222*SUM(H197)/100,H193),IF(ISNUMBER(H193),H193,""))</f>
        <v/>
      </c>
      <c r="I228" s="254" t="str">
        <f t="shared" si="44"/>
        <v/>
      </c>
      <c r="J228" s="254" t="str">
        <f t="shared" si="44"/>
        <v/>
      </c>
      <c r="K228" s="254" t="str">
        <f t="shared" si="44"/>
        <v/>
      </c>
      <c r="L228" s="254" t="str">
        <f t="shared" si="44"/>
        <v/>
      </c>
      <c r="M228" s="254" t="str">
        <f t="shared" si="44"/>
        <v/>
      </c>
      <c r="N228" s="254" t="str">
        <f t="shared" si="44"/>
        <v/>
      </c>
      <c r="O228" s="6"/>
      <c r="P228" s="15"/>
      <c r="Q228" s="349"/>
      <c r="R228" s="349"/>
      <c r="S228" s="349"/>
      <c r="T228" s="543"/>
      <c r="U228" s="349"/>
      <c r="V228" s="349"/>
      <c r="W228" s="349"/>
      <c r="X228" s="349"/>
      <c r="Y228" s="349"/>
      <c r="Z228" s="349"/>
      <c r="AA228" s="349"/>
      <c r="AB228" s="349"/>
      <c r="AC228" s="349"/>
      <c r="AD228" s="349"/>
      <c r="AE228" s="349"/>
    </row>
    <row r="229" spans="1:31" ht="13" thickBot="1" x14ac:dyDescent="0.3">
      <c r="A229" s="349"/>
      <c r="B229" s="19"/>
      <c r="C229" s="19"/>
      <c r="D229" s="19"/>
      <c r="E229" s="19"/>
      <c r="F229" s="19"/>
      <c r="G229" s="19"/>
      <c r="H229" s="19"/>
      <c r="I229" s="19"/>
      <c r="J229" s="19"/>
      <c r="K229" s="19"/>
      <c r="L229" s="19"/>
      <c r="M229" s="19"/>
      <c r="N229" s="19"/>
      <c r="O229" s="6"/>
      <c r="P229" s="15"/>
      <c r="Q229" s="349"/>
      <c r="R229" s="349"/>
      <c r="S229" s="349"/>
      <c r="T229" s="543"/>
      <c r="U229" s="349"/>
      <c r="V229" s="349"/>
      <c r="W229" s="349"/>
      <c r="X229" s="349"/>
      <c r="Y229" s="349"/>
      <c r="Z229" s="349"/>
      <c r="AA229" s="349"/>
      <c r="AB229" s="349"/>
      <c r="AC229" s="349"/>
      <c r="AD229" s="349"/>
      <c r="AE229" s="349"/>
    </row>
    <row r="230" spans="1:31" ht="13.5" thickBot="1" x14ac:dyDescent="0.35">
      <c r="A230" s="349"/>
      <c r="B230" s="3"/>
      <c r="C230" s="13"/>
      <c r="D230" s="13" t="s">
        <v>908</v>
      </c>
      <c r="E230" s="2101" t="str">
        <f>Translations!$B$447</f>
        <v>Uppdelning på delanläggning – tillförselmetod:</v>
      </c>
      <c r="F230" s="2101"/>
      <c r="G230" s="2101"/>
      <c r="H230" s="2547"/>
      <c r="I230" s="2525"/>
      <c r="J230" s="2526"/>
      <c r="K230" s="166" t="str">
        <f>IF(AND(ISBLANK(I230),COUNT(J240:N242)&gt;0),EUconst_Incomplete,"")</f>
        <v/>
      </c>
      <c r="L230" s="3"/>
      <c r="M230" s="3"/>
      <c r="N230" s="3"/>
      <c r="O230" s="6"/>
      <c r="P230" s="15"/>
      <c r="Q230" s="504" t="str">
        <f>IF(ISBLANK($I$230),EUconst_NA,MATCH($I$230,EUconst_AbsRel,0))</f>
        <v>Ej tillämpligt</v>
      </c>
      <c r="R230" s="349"/>
      <c r="S230" s="349"/>
      <c r="T230" s="548" t="b">
        <f>OR(T211,AND(T240:T242))</f>
        <v>0</v>
      </c>
      <c r="U230" s="349"/>
      <c r="V230" s="349"/>
      <c r="W230" s="349"/>
      <c r="X230" s="349"/>
      <c r="Y230" s="349"/>
      <c r="Z230" s="349"/>
      <c r="AA230" s="349"/>
      <c r="AB230" s="349"/>
      <c r="AC230" s="349"/>
      <c r="AD230" s="349"/>
      <c r="AE230" s="349"/>
    </row>
    <row r="231" spans="1:31" x14ac:dyDescent="0.25">
      <c r="A231" s="349"/>
      <c r="B231" s="3"/>
      <c r="C231" s="15"/>
      <c r="D231" s="15"/>
      <c r="E231" s="2524" t="str">
        <f>Translations!$B$448</f>
        <v>Ni kan välja metod för att ange värdena i tabellen nedan i punkt r. Tillgängliga alternativ är ”absoluta värden” (ange TJ/år) eller ”procent”.</v>
      </c>
      <c r="F231" s="2102"/>
      <c r="G231" s="2102"/>
      <c r="H231" s="2102"/>
      <c r="I231" s="2102"/>
      <c r="J231" s="2102"/>
      <c r="K231" s="2102"/>
      <c r="L231" s="2102"/>
      <c r="M231" s="2102"/>
      <c r="N231" s="2102"/>
      <c r="O231" s="6"/>
      <c r="P231" s="15"/>
      <c r="Q231" s="349" t="s">
        <v>282</v>
      </c>
      <c r="R231" s="349"/>
      <c r="S231" s="349"/>
      <c r="T231" s="349"/>
      <c r="U231" s="349"/>
      <c r="V231" s="349"/>
      <c r="W231" s="349"/>
      <c r="X231" s="349"/>
      <c r="Y231" s="349"/>
      <c r="Z231" s="349"/>
      <c r="AA231" s="349"/>
      <c r="AB231" s="349"/>
      <c r="AC231" s="349"/>
      <c r="AD231" s="349"/>
      <c r="AE231" s="349"/>
    </row>
    <row r="232" spans="1:31" x14ac:dyDescent="0.25">
      <c r="A232" s="349"/>
      <c r="B232" s="3"/>
      <c r="C232" s="15"/>
      <c r="D232" s="15"/>
      <c r="E232" s="2524" t="str">
        <f>Translations!$B$342</f>
        <v>Procentvärden är att föredra för snabbinmatning i enkla fall, där oftast ”100 %” eller noll ska anges.</v>
      </c>
      <c r="F232" s="2102"/>
      <c r="G232" s="2102"/>
      <c r="H232" s="2102"/>
      <c r="I232" s="2102"/>
      <c r="J232" s="2102"/>
      <c r="K232" s="2102"/>
      <c r="L232" s="2102"/>
      <c r="M232" s="2102"/>
      <c r="N232" s="2102"/>
      <c r="O232" s="6"/>
      <c r="P232" s="15"/>
      <c r="Q232" s="410"/>
      <c r="R232" s="349"/>
      <c r="S232" s="349"/>
      <c r="T232" s="349"/>
      <c r="U232" s="349"/>
      <c r="V232" s="349"/>
      <c r="W232" s="349"/>
      <c r="X232" s="349"/>
      <c r="Y232" s="349"/>
      <c r="Z232" s="349"/>
      <c r="AA232" s="349"/>
      <c r="AB232" s="349"/>
      <c r="AC232" s="349"/>
      <c r="AD232" s="349"/>
      <c r="AE232" s="349"/>
    </row>
    <row r="233" spans="1:31" ht="5.15" customHeight="1" x14ac:dyDescent="0.25">
      <c r="A233" s="349"/>
      <c r="B233" s="3"/>
      <c r="C233" s="3"/>
      <c r="D233" s="3"/>
      <c r="E233" s="3"/>
      <c r="F233" s="3"/>
      <c r="G233" s="3"/>
      <c r="H233" s="3"/>
      <c r="I233" s="3"/>
      <c r="J233" s="3"/>
      <c r="K233" s="3"/>
      <c r="L233" s="3"/>
      <c r="M233" s="3"/>
      <c r="N233" s="3"/>
      <c r="O233" s="6"/>
      <c r="P233" s="15"/>
      <c r="Q233" s="410"/>
      <c r="R233" s="349"/>
      <c r="S233" s="349"/>
      <c r="T233" s="349"/>
      <c r="U233" s="349"/>
      <c r="V233" s="349"/>
      <c r="W233" s="349"/>
      <c r="X233" s="349"/>
      <c r="Y233" s="349"/>
      <c r="Z233" s="349"/>
      <c r="AA233" s="349"/>
      <c r="AB233" s="349"/>
      <c r="AC233" s="349"/>
      <c r="AD233" s="349"/>
      <c r="AE233" s="349"/>
    </row>
    <row r="234" spans="1:31" ht="13" x14ac:dyDescent="0.25">
      <c r="A234" s="349"/>
      <c r="B234" s="3"/>
      <c r="C234" s="13"/>
      <c r="D234" s="13" t="s">
        <v>1284</v>
      </c>
      <c r="E234" s="2101" t="str">
        <f>Translations!$B$449</f>
        <v>Allokering till delanläggningar med värmeriktmärke utifrån risk för koldioxidläckage och till fjärrvärmedelanläggning:</v>
      </c>
      <c r="F234" s="2102"/>
      <c r="G234" s="2102"/>
      <c r="H234" s="2102"/>
      <c r="I234" s="2102"/>
      <c r="J234" s="2102"/>
      <c r="K234" s="2102"/>
      <c r="L234" s="2102"/>
      <c r="M234" s="2102"/>
      <c r="N234" s="2102"/>
      <c r="O234" s="6"/>
      <c r="P234" s="15"/>
      <c r="Q234" s="410"/>
      <c r="R234" s="349"/>
      <c r="S234" s="349"/>
      <c r="T234" s="349"/>
      <c r="U234" s="349"/>
      <c r="V234" s="349"/>
      <c r="W234" s="349"/>
      <c r="X234" s="349"/>
      <c r="Y234" s="349"/>
      <c r="Z234" s="349"/>
      <c r="AA234" s="349"/>
      <c r="AB234" s="349"/>
      <c r="AC234" s="349"/>
      <c r="AD234" s="349"/>
      <c r="AE234" s="349"/>
    </row>
    <row r="235" spans="1:31" x14ac:dyDescent="0.25">
      <c r="A235" s="349"/>
      <c r="B235" s="3"/>
      <c r="C235" s="15"/>
      <c r="D235" s="15"/>
      <c r="E235" s="2524" t="str">
        <f>Translations!$B$450</f>
        <v>Var god ange den mängd mätbar värme som varje delanläggning förbrukar, där 100 % är summan som beräknats i punkt p ovan.</v>
      </c>
      <c r="F235" s="2102"/>
      <c r="G235" s="2102"/>
      <c r="H235" s="2102"/>
      <c r="I235" s="2102"/>
      <c r="J235" s="2102"/>
      <c r="K235" s="2102"/>
      <c r="L235" s="2102"/>
      <c r="M235" s="2102"/>
      <c r="N235" s="2102"/>
      <c r="O235" s="6"/>
      <c r="P235" s="15"/>
      <c r="Q235" s="410"/>
      <c r="R235" s="349"/>
      <c r="S235" s="349"/>
      <c r="T235" s="349"/>
      <c r="U235" s="349"/>
      <c r="V235" s="349"/>
      <c r="W235" s="349"/>
      <c r="X235" s="349"/>
      <c r="Y235" s="349"/>
      <c r="Z235" s="349"/>
      <c r="AA235" s="349"/>
      <c r="AB235" s="349"/>
      <c r="AC235" s="349"/>
      <c r="AD235" s="349"/>
      <c r="AE235" s="349"/>
    </row>
    <row r="236" spans="1:31" ht="25.5" customHeight="1" x14ac:dyDescent="0.25">
      <c r="A236" s="349"/>
      <c r="B236" s="3"/>
      <c r="C236" s="15"/>
      <c r="D236" s="15"/>
      <c r="E236" s="2524" t="str">
        <f>Translations!$B$451</f>
        <v>Delanläggning med värmeriktmärke med status ”KL” (löper avsevärd risk för koldioxidläckage) och ”ej KL” (löper inte avsevärd risk för koldioxidläckage, vilket innefattar värme som exporteras till anläggningar och enheter utanför ETS men inte för fjärrvärme) och fjärrvärmedelanläggning med status ”ej KL”.</v>
      </c>
      <c r="F236" s="2102"/>
      <c r="G236" s="2102"/>
      <c r="H236" s="2102"/>
      <c r="I236" s="2102"/>
      <c r="J236" s="2102"/>
      <c r="K236" s="2102"/>
      <c r="L236" s="2102"/>
      <c r="M236" s="2102"/>
      <c r="N236" s="2102"/>
      <c r="O236" s="6"/>
      <c r="P236" s="15"/>
      <c r="Q236" s="410"/>
      <c r="R236" s="349"/>
      <c r="S236" s="349"/>
      <c r="T236" s="349"/>
      <c r="U236" s="349"/>
      <c r="V236" s="349"/>
      <c r="W236" s="349"/>
      <c r="X236" s="349"/>
      <c r="Y236" s="349"/>
      <c r="Z236" s="349"/>
      <c r="AA236" s="349"/>
      <c r="AB236" s="349"/>
      <c r="AC236" s="349"/>
      <c r="AD236" s="349"/>
      <c r="AE236" s="349"/>
    </row>
    <row r="237" spans="1:31" ht="12.75" customHeight="1" x14ac:dyDescent="0.25">
      <c r="A237" s="349"/>
      <c r="B237" s="3"/>
      <c r="C237" s="15"/>
      <c r="D237" s="15"/>
      <c r="E237" s="2522" t="str">
        <f>Translations!$B$452</f>
        <v>Uppgifterna används automatiskt igen i blad ”G_Fall-back”. Inmatning krävs därför här, om detta verktyg används.</v>
      </c>
      <c r="F237" s="2102"/>
      <c r="G237" s="2102"/>
      <c r="H237" s="2102"/>
      <c r="I237" s="2102"/>
      <c r="J237" s="2102"/>
      <c r="K237" s="2102"/>
      <c r="L237" s="2102"/>
      <c r="M237" s="2102"/>
      <c r="N237" s="2102"/>
      <c r="O237" s="6"/>
      <c r="P237" s="15"/>
      <c r="Q237" s="410"/>
      <c r="R237" s="349"/>
      <c r="S237" s="349"/>
      <c r="T237" s="349"/>
      <c r="U237" s="349"/>
      <c r="V237" s="349"/>
      <c r="W237" s="349"/>
      <c r="X237" s="349"/>
      <c r="Y237" s="349"/>
      <c r="Z237" s="349"/>
      <c r="AA237" s="349"/>
      <c r="AB237" s="349"/>
      <c r="AC237" s="349"/>
      <c r="AD237" s="349"/>
      <c r="AE237" s="349"/>
    </row>
    <row r="238" spans="1:31" ht="5.15" customHeight="1" x14ac:dyDescent="0.25">
      <c r="A238" s="349"/>
      <c r="B238" s="3"/>
      <c r="C238" s="3"/>
      <c r="D238" s="3"/>
      <c r="E238" s="3"/>
      <c r="F238" s="3"/>
      <c r="G238" s="3"/>
      <c r="H238" s="3"/>
      <c r="I238" s="3"/>
      <c r="J238" s="3"/>
      <c r="K238" s="3"/>
      <c r="L238" s="3"/>
      <c r="M238" s="3"/>
      <c r="N238" s="3"/>
      <c r="O238" s="6"/>
      <c r="P238" s="15"/>
      <c r="Q238" s="410"/>
      <c r="R238" s="349"/>
      <c r="S238" s="349"/>
      <c r="T238" s="349"/>
      <c r="U238" s="349"/>
      <c r="V238" s="349"/>
      <c r="W238" s="349"/>
      <c r="X238" s="349"/>
      <c r="Y238" s="349"/>
      <c r="Z238" s="349"/>
      <c r="AA238" s="349"/>
      <c r="AB238" s="349"/>
      <c r="AC238" s="349"/>
      <c r="AD238" s="349"/>
      <c r="AE238" s="349"/>
    </row>
    <row r="239" spans="1:31" ht="13.5" customHeight="1" thickBot="1" x14ac:dyDescent="0.3">
      <c r="A239" s="349"/>
      <c r="B239" s="19"/>
      <c r="C239" s="19"/>
      <c r="D239" s="19"/>
      <c r="E239" s="2591" t="str">
        <f>Translations!$B$195</f>
        <v>Mätbar värme</v>
      </c>
      <c r="F239" s="2592"/>
      <c r="G239" s="30" t="str">
        <f>EUconst_Unit</f>
        <v>Enhet</v>
      </c>
      <c r="H239" s="320">
        <f t="shared" ref="H239:N239" si="45">H$393</f>
        <v>2019</v>
      </c>
      <c r="I239" s="320">
        <f t="shared" si="45"/>
        <v>2020</v>
      </c>
      <c r="J239" s="320">
        <f t="shared" si="45"/>
        <v>2021</v>
      </c>
      <c r="K239" s="320">
        <f t="shared" si="45"/>
        <v>2022</v>
      </c>
      <c r="L239" s="320">
        <f t="shared" si="45"/>
        <v>2023</v>
      </c>
      <c r="M239" s="320">
        <f t="shared" si="45"/>
        <v>2024</v>
      </c>
      <c r="N239" s="320">
        <f t="shared" si="45"/>
        <v>2025</v>
      </c>
      <c r="O239" s="6"/>
      <c r="P239" s="15"/>
      <c r="Q239" s="349"/>
      <c r="R239" s="349"/>
      <c r="S239" s="349"/>
      <c r="T239" s="936" t="s">
        <v>1213</v>
      </c>
      <c r="U239" s="349"/>
      <c r="V239" s="349"/>
      <c r="W239" s="349"/>
      <c r="X239" s="349"/>
      <c r="Y239" s="349"/>
      <c r="Z239" s="349"/>
      <c r="AA239" s="349"/>
      <c r="AB239" s="349"/>
      <c r="AC239" s="349"/>
      <c r="AD239" s="349"/>
      <c r="AE239" s="349"/>
    </row>
    <row r="240" spans="1:31" ht="12.65" customHeight="1" x14ac:dyDescent="0.25">
      <c r="A240" s="349"/>
      <c r="B240" s="19"/>
      <c r="C240" s="175"/>
      <c r="D240" s="175" t="s">
        <v>8</v>
      </c>
      <c r="E240" s="2593" t="str">
        <f>E400</f>
        <v>Delanläggning med värmeriktmärke, KL</v>
      </c>
      <c r="F240" s="2570"/>
      <c r="G240" s="98" t="str">
        <f>IF(CTRL_InputMethodHeatSubInstSplit=EUconst_NA,EUconst_relOrTJpa,IF(CTRL_InputMethodHeatSubInstSplit=1,EUconst_TJpa,"%"))</f>
        <v>% eller TJ / år</v>
      </c>
      <c r="H240" s="253"/>
      <c r="I240" s="253"/>
      <c r="J240" s="253"/>
      <c r="K240" s="253"/>
      <c r="L240" s="253"/>
      <c r="M240" s="253"/>
      <c r="N240" s="252"/>
      <c r="O240" s="6"/>
      <c r="P240" s="1552"/>
      <c r="Q240" s="355" t="str">
        <f>IF(CTRL_InputMethodHeatSubInstSplit=1,EUconst_CNTR_HAL&amp;E240,"")</f>
        <v/>
      </c>
      <c r="R240" s="544">
        <v>1</v>
      </c>
      <c r="S240" s="349"/>
      <c r="T240" s="503" t="b">
        <f>IF(INDEX(CNTR_FallBackSubInstRelevant,R240)="",FALSE,IF(INDEX(CNTR_FallBackSubInstRelevant,R240),FALSE,TRUE))</f>
        <v>0</v>
      </c>
      <c r="U240" s="349"/>
      <c r="V240" s="349"/>
      <c r="W240" s="349"/>
      <c r="X240" s="349"/>
      <c r="Y240" s="349"/>
      <c r="Z240" s="349"/>
      <c r="AA240" s="349"/>
      <c r="AB240" s="349"/>
      <c r="AC240" s="349"/>
      <c r="AD240" s="1526" t="s">
        <v>2248</v>
      </c>
      <c r="AE240" s="394" t="str">
        <f>IF(AND(CNTR_HasEntries_A_I,T240=FALSE,COUNTIFS($V$16:$AB$16,FALSE,H240:N240,"")&gt;0,$T$94=FALSE),3,"")</f>
        <v/>
      </c>
    </row>
    <row r="241" spans="1:31" ht="12.65" customHeight="1" x14ac:dyDescent="0.25">
      <c r="A241" s="349"/>
      <c r="B241" s="19"/>
      <c r="C241" s="175"/>
      <c r="D241" s="175" t="s">
        <v>9</v>
      </c>
      <c r="E241" s="2578" t="str">
        <f>E401</f>
        <v>Delanläggning med värmeriktmärke, ej KL</v>
      </c>
      <c r="F241" s="2579"/>
      <c r="G241" s="444" t="str">
        <f>IF(CTRL_InputMethodHeatSubInstSplit=EUconst_NA,EUconst_relOrTJpa,IF(CTRL_InputMethodHeatSubInstSplit=1,EUconst_TJpa,"%"))</f>
        <v>% eller TJ / år</v>
      </c>
      <c r="H241" s="279"/>
      <c r="I241" s="279"/>
      <c r="J241" s="279"/>
      <c r="K241" s="279"/>
      <c r="L241" s="279"/>
      <c r="M241" s="567"/>
      <c r="N241" s="278"/>
      <c r="O241" s="6"/>
      <c r="P241" s="1552"/>
      <c r="Q241" s="355" t="str">
        <f>IF(CTRL_InputMethodHeatSubInstSplit=1,EUconst_CNTR_HAL&amp;E241,"")</f>
        <v/>
      </c>
      <c r="R241" s="545">
        <v>2</v>
      </c>
      <c r="S241" s="349"/>
      <c r="T241" s="585" t="b">
        <f>IF(INDEX(CNTR_FallBackSubInstRelevant,R241)="",FALSE,IF(INDEX(CNTR_FallBackSubInstRelevant,R241),FALSE,TRUE))</f>
        <v>0</v>
      </c>
      <c r="U241" s="349"/>
      <c r="V241" s="349"/>
      <c r="W241" s="349"/>
      <c r="X241" s="349"/>
      <c r="Y241" s="349"/>
      <c r="Z241" s="349"/>
      <c r="AA241" s="349"/>
      <c r="AB241" s="349"/>
      <c r="AC241" s="349"/>
      <c r="AD241" s="1526" t="s">
        <v>2248</v>
      </c>
      <c r="AE241" s="394" t="str">
        <f>IF(AND(CNTR_HasEntries_A_I,T241=FALSE,COUNTIFS($V$16:$AB$16,FALSE,H241:N241,"")&gt;0,$T$94=FALSE),3,"")</f>
        <v/>
      </c>
    </row>
    <row r="242" spans="1:31" ht="13" customHeight="1" thickBot="1" x14ac:dyDescent="0.3">
      <c r="A242" s="349"/>
      <c r="B242" s="19"/>
      <c r="C242" s="175"/>
      <c r="D242" s="175" t="s">
        <v>10</v>
      </c>
      <c r="E242" s="2580" t="str">
        <f>E402</f>
        <v>Fjärrvärmedelanläggning</v>
      </c>
      <c r="F242" s="2574"/>
      <c r="G242" s="97" t="str">
        <f>IF(CTRL_InputMethodHeatSubInstSplit=EUconst_NA,EUconst_relOrTJpa,IF(CTRL_InputMethodHeatSubInstSplit=1,EUconst_TJpa,"%"))</f>
        <v>% eller TJ / år</v>
      </c>
      <c r="H242" s="251"/>
      <c r="I242" s="251"/>
      <c r="J242" s="251"/>
      <c r="K242" s="251"/>
      <c r="L242" s="251"/>
      <c r="M242" s="251"/>
      <c r="N242" s="250"/>
      <c r="O242" s="6"/>
      <c r="P242" s="1552"/>
      <c r="Q242" s="355" t="str">
        <f>IF(CTRL_InputMethodHeatSubInstSplit=1,EUconst_CNTR_HAL&amp;E242,"")</f>
        <v/>
      </c>
      <c r="R242" s="546">
        <v>3</v>
      </c>
      <c r="S242" s="349"/>
      <c r="T242" s="548" t="b">
        <f>IF(INDEX(CNTR_FallBackSubInstRelevant,R242)="",FALSE,IF(INDEX(CNTR_FallBackSubInstRelevant,R242),FALSE,TRUE))</f>
        <v>0</v>
      </c>
      <c r="U242" s="349"/>
      <c r="V242" s="349"/>
      <c r="W242" s="349"/>
      <c r="X242" s="349"/>
      <c r="Y242" s="349"/>
      <c r="Z242" s="349"/>
      <c r="AA242" s="349"/>
      <c r="AB242" s="349"/>
      <c r="AC242" s="349"/>
      <c r="AD242" s="1526" t="s">
        <v>2248</v>
      </c>
      <c r="AE242" s="394" t="str">
        <f>IF(AND(CNTR_HasEntries_A_I,T242=FALSE,COUNTIFS($V$16:$AB$16,FALSE,H242:N242,"")&gt;0,$T$94=FALSE),3,"")</f>
        <v/>
      </c>
    </row>
    <row r="243" spans="1:31" ht="12.65" customHeight="1" x14ac:dyDescent="0.25">
      <c r="A243" s="349"/>
      <c r="B243" s="19"/>
      <c r="C243" s="175"/>
      <c r="D243" s="175"/>
      <c r="E243" s="933" t="str">
        <f>Translations!$B$453</f>
        <v>Kontrollsiffror:</v>
      </c>
      <c r="F243" s="934"/>
      <c r="G243" s="162"/>
      <c r="H243" s="1134"/>
      <c r="I243" s="163"/>
      <c r="J243" s="163"/>
      <c r="K243" s="163"/>
      <c r="L243" s="163"/>
      <c r="M243" s="163"/>
      <c r="N243" s="163"/>
      <c r="O243" s="6"/>
      <c r="P243" s="15"/>
      <c r="Q243" s="505"/>
      <c r="R243" s="349"/>
      <c r="S243" s="349"/>
      <c r="T243" s="349"/>
      <c r="U243" s="349"/>
      <c r="V243" s="349"/>
      <c r="W243" s="349"/>
      <c r="X243" s="349"/>
      <c r="Y243" s="349"/>
      <c r="Z243" s="349"/>
      <c r="AA243" s="349"/>
      <c r="AB243" s="349"/>
      <c r="AC243" s="349"/>
      <c r="AD243" s="349"/>
      <c r="AE243" s="349"/>
    </row>
    <row r="244" spans="1:31" ht="12.65" customHeight="1" x14ac:dyDescent="0.25">
      <c r="A244" s="349"/>
      <c r="B244" s="19"/>
      <c r="C244" s="175"/>
      <c r="D244" s="175" t="s">
        <v>23</v>
      </c>
      <c r="E244" s="2581" t="str">
        <f>E240</f>
        <v>Delanläggning med värmeriktmärke, KL</v>
      </c>
      <c r="F244" s="2535"/>
      <c r="G244" s="59" t="str">
        <f>IF(CTRL_InputMethodHeatSubInstSplit=EUconst_NA,EUconst_relOrTJpa,IF(CTRL_InputMethodHeatSubInstSplit=2,EUconst_TJpa,"%"))</f>
        <v>% eller TJ / år</v>
      </c>
      <c r="H244" s="276" t="str">
        <f t="shared" ref="H244:I246" si="46">IF(AND(ISNUMBER(H$228),ISNUMBER(H240),CTRL_InputMethodHeatSubInstSplit&lt;&gt;EUconst_NA),IF(CTRL_InputMethodHeatSubInstSplit=1,H240/H$228*100,H240*H$228/100),"")</f>
        <v/>
      </c>
      <c r="I244" s="276" t="str">
        <f t="shared" si="46"/>
        <v/>
      </c>
      <c r="J244" s="276" t="str">
        <f t="shared" ref="J244:N246" si="47">IF(AND(ISNUMBER(J$228),ISNUMBER(J240),CTRL_InputMethodHeatSubInstSplit&lt;&gt;EUconst_NA),IF(CTRL_InputMethodHeatSubInstSplit=1,J240/J$228*100,J240*J$228/100),"")</f>
        <v/>
      </c>
      <c r="K244" s="276" t="str">
        <f t="shared" si="47"/>
        <v/>
      </c>
      <c r="L244" s="276" t="str">
        <f t="shared" si="47"/>
        <v/>
      </c>
      <c r="M244" s="276" t="str">
        <f t="shared" si="47"/>
        <v/>
      </c>
      <c r="N244" s="276" t="str">
        <f t="shared" si="47"/>
        <v/>
      </c>
      <c r="O244" s="6"/>
      <c r="P244" s="15"/>
      <c r="Q244" s="355" t="str">
        <f>IF(CTRL_InputMethodHeatSubInstSplit=2,EUconst_CNTR_HAL&amp;E244,"")</f>
        <v/>
      </c>
      <c r="R244" s="349"/>
      <c r="S244" s="349"/>
      <c r="T244" s="349"/>
      <c r="U244" s="349"/>
      <c r="V244" s="349"/>
      <c r="W244" s="349"/>
      <c r="X244" s="349"/>
      <c r="Y244" s="349"/>
      <c r="Z244" s="349"/>
      <c r="AA244" s="349"/>
      <c r="AB244" s="349"/>
      <c r="AC244" s="349"/>
      <c r="AD244" s="349"/>
      <c r="AE244" s="349"/>
    </row>
    <row r="245" spans="1:31" ht="12.65" customHeight="1" x14ac:dyDescent="0.25">
      <c r="A245" s="349"/>
      <c r="B245" s="19"/>
      <c r="C245" s="175"/>
      <c r="D245" s="175" t="s">
        <v>859</v>
      </c>
      <c r="E245" s="2582" t="str">
        <f>E241</f>
        <v>Delanläggning med värmeriktmärke, ej KL</v>
      </c>
      <c r="F245" s="2541"/>
      <c r="G245" s="49" t="str">
        <f>IF(CTRL_InputMethodHeatSubInstSplit=EUconst_NA,EUconst_relOrTJpa,IF(CTRL_InputMethodHeatSubInstSplit=2,EUconst_TJpa,"%"))</f>
        <v>% eller TJ / år</v>
      </c>
      <c r="H245" s="430" t="str">
        <f t="shared" si="46"/>
        <v/>
      </c>
      <c r="I245" s="430" t="str">
        <f t="shared" si="46"/>
        <v/>
      </c>
      <c r="J245" s="430" t="str">
        <f t="shared" si="47"/>
        <v/>
      </c>
      <c r="K245" s="430" t="str">
        <f t="shared" si="47"/>
        <v/>
      </c>
      <c r="L245" s="430" t="str">
        <f t="shared" si="47"/>
        <v/>
      </c>
      <c r="M245" s="430" t="str">
        <f t="shared" si="47"/>
        <v/>
      </c>
      <c r="N245" s="430" t="str">
        <f t="shared" si="47"/>
        <v/>
      </c>
      <c r="O245" s="6"/>
      <c r="P245" s="15"/>
      <c r="Q245" s="355" t="str">
        <f>IF(CTRL_InputMethodHeatSubInstSplit=2,EUconst_CNTR_HAL&amp;E245,"")</f>
        <v/>
      </c>
      <c r="R245" s="349"/>
      <c r="S245" s="349"/>
      <c r="T245" s="349"/>
      <c r="U245" s="349"/>
      <c r="V245" s="349"/>
      <c r="W245" s="349"/>
      <c r="X245" s="349"/>
      <c r="Y245" s="349"/>
      <c r="Z245" s="349"/>
      <c r="AA245" s="349"/>
      <c r="AB245" s="349"/>
      <c r="AC245" s="349"/>
      <c r="AD245" s="349"/>
      <c r="AE245" s="349"/>
    </row>
    <row r="246" spans="1:31" ht="12.65" customHeight="1" x14ac:dyDescent="0.25">
      <c r="A246" s="349"/>
      <c r="B246" s="19"/>
      <c r="C246" s="175"/>
      <c r="D246" s="289" t="s">
        <v>860</v>
      </c>
      <c r="E246" s="2583" t="str">
        <f>E242</f>
        <v>Fjärrvärmedelanläggning</v>
      </c>
      <c r="F246" s="2543"/>
      <c r="G246" s="50" t="str">
        <f>IF(CTRL_InputMethodHeatSubInstSplit=EUconst_NA,EUconst_relOrTJpa,IF(CTRL_InputMethodHeatSubInstSplit=2,EUconst_TJpa,"%"))</f>
        <v>% eller TJ / år</v>
      </c>
      <c r="H246" s="275" t="str">
        <f t="shared" si="46"/>
        <v/>
      </c>
      <c r="I246" s="275" t="str">
        <f t="shared" si="46"/>
        <v/>
      </c>
      <c r="J246" s="275" t="str">
        <f t="shared" si="47"/>
        <v/>
      </c>
      <c r="K246" s="275" t="str">
        <f t="shared" si="47"/>
        <v/>
      </c>
      <c r="L246" s="275" t="str">
        <f t="shared" si="47"/>
        <v/>
      </c>
      <c r="M246" s="275" t="str">
        <f t="shared" si="47"/>
        <v/>
      </c>
      <c r="N246" s="275" t="str">
        <f t="shared" si="47"/>
        <v/>
      </c>
      <c r="O246" s="6"/>
      <c r="P246" s="15"/>
      <c r="Q246" s="355" t="str">
        <f>IF(CTRL_InputMethodHeatSubInstSplit=2,EUconst_CNTR_HAL&amp;E246,"")</f>
        <v/>
      </c>
      <c r="R246" s="349"/>
      <c r="S246" s="349"/>
      <c r="T246" s="349"/>
      <c r="U246" s="349"/>
      <c r="V246" s="349"/>
      <c r="W246" s="349"/>
      <c r="X246" s="349"/>
      <c r="Y246" s="349"/>
      <c r="Z246" s="349"/>
      <c r="AA246" s="349"/>
      <c r="AB246" s="349"/>
      <c r="AC246" s="349"/>
      <c r="AD246" s="349"/>
      <c r="AE246" s="349"/>
    </row>
    <row r="247" spans="1:31" x14ac:dyDescent="0.25">
      <c r="A247" s="349"/>
      <c r="B247" s="19"/>
      <c r="C247" s="19"/>
      <c r="D247" s="19"/>
      <c r="E247" s="19"/>
      <c r="F247" s="19"/>
      <c r="G247" s="19"/>
      <c r="H247" s="19"/>
      <c r="I247" s="19"/>
      <c r="J247" s="19"/>
      <c r="K247" s="19"/>
      <c r="L247" s="19"/>
      <c r="M247" s="19"/>
      <c r="N247" s="19"/>
      <c r="O247" s="6"/>
      <c r="P247" s="15"/>
      <c r="Q247" s="349"/>
      <c r="R247" s="349"/>
      <c r="S247" s="349"/>
      <c r="T247" s="349"/>
      <c r="U247" s="349"/>
      <c r="V247" s="349"/>
      <c r="W247" s="349"/>
      <c r="X247" s="349"/>
      <c r="Y247" s="349"/>
      <c r="Z247" s="349"/>
      <c r="AA247" s="349"/>
      <c r="AB247" s="349"/>
      <c r="AC247" s="349"/>
      <c r="AD247" s="349"/>
      <c r="AE247" s="349"/>
    </row>
    <row r="248" spans="1:31" ht="15.5" x14ac:dyDescent="0.35">
      <c r="A248" s="349"/>
      <c r="B248" s="3"/>
      <c r="C248" s="11" t="s">
        <v>962</v>
      </c>
      <c r="D248" s="2523" t="str">
        <f>Translations!$B$454</f>
        <v>Restgasbalans</v>
      </c>
      <c r="E248" s="2523"/>
      <c r="F248" s="2523"/>
      <c r="G248" s="2523"/>
      <c r="H248" s="2523"/>
      <c r="I248" s="2523"/>
      <c r="J248" s="2523"/>
      <c r="K248" s="2523"/>
      <c r="L248" s="2523"/>
      <c r="M248" s="2523"/>
      <c r="N248" s="2523"/>
      <c r="O248" s="6"/>
      <c r="P248" s="15"/>
      <c r="Q248" s="410"/>
      <c r="R248" s="349"/>
      <c r="S248" s="349"/>
      <c r="T248" s="349"/>
      <c r="U248" s="349"/>
      <c r="V248" s="349"/>
      <c r="W248" s="349"/>
      <c r="X248" s="349"/>
      <c r="Y248" s="349"/>
      <c r="Z248" s="349"/>
      <c r="AA248" s="349"/>
      <c r="AB248" s="349"/>
      <c r="AC248" s="349"/>
      <c r="AD248" s="349"/>
      <c r="AE248" s="349"/>
    </row>
    <row r="249" spans="1:31" ht="5.15" customHeight="1" x14ac:dyDescent="0.25">
      <c r="A249" s="349"/>
      <c r="B249" s="3"/>
      <c r="C249" s="3"/>
      <c r="D249" s="3"/>
      <c r="E249" s="3"/>
      <c r="F249" s="3"/>
      <c r="G249" s="3"/>
      <c r="H249" s="3"/>
      <c r="I249" s="3"/>
      <c r="J249" s="3"/>
      <c r="K249" s="3"/>
      <c r="L249" s="3"/>
      <c r="M249" s="6"/>
      <c r="N249" s="6"/>
      <c r="O249" s="6"/>
      <c r="P249" s="15"/>
      <c r="Q249" s="410"/>
      <c r="R249" s="349"/>
      <c r="S249" s="349"/>
      <c r="T249" s="349"/>
      <c r="U249" s="349"/>
      <c r="V249" s="349"/>
      <c r="W249" s="349"/>
      <c r="X249" s="349"/>
      <c r="Y249" s="349"/>
      <c r="Z249" s="349"/>
      <c r="AA249" s="349"/>
      <c r="AB249" s="349"/>
      <c r="AC249" s="349"/>
      <c r="AD249" s="349"/>
      <c r="AE249" s="349"/>
    </row>
    <row r="250" spans="1:31" ht="15" customHeight="1" x14ac:dyDescent="0.3">
      <c r="A250" s="349"/>
      <c r="B250" s="3"/>
      <c r="C250" s="17"/>
      <c r="D250" s="2053" t="str">
        <f>Translations!$B$455</f>
        <v>Komplett restgasbalans vid anläggningen</v>
      </c>
      <c r="E250" s="1963"/>
      <c r="F250" s="1963"/>
      <c r="G250" s="1963"/>
      <c r="H250" s="1963"/>
      <c r="I250" s="1963"/>
      <c r="J250" s="1963"/>
      <c r="K250" s="1963"/>
      <c r="L250" s="1963"/>
      <c r="M250" s="1963"/>
      <c r="N250" s="1963"/>
      <c r="O250" s="6"/>
      <c r="P250" s="15"/>
      <c r="Q250" s="410"/>
      <c r="R250" s="349"/>
      <c r="S250" s="349"/>
      <c r="T250" s="349"/>
      <c r="U250" s="349"/>
      <c r="V250" s="349"/>
      <c r="W250" s="349"/>
      <c r="X250" s="349"/>
      <c r="Y250" s="349"/>
      <c r="Z250" s="349"/>
      <c r="AA250" s="349"/>
      <c r="AB250" s="349"/>
      <c r="AC250" s="349"/>
      <c r="AD250" s="349"/>
      <c r="AE250" s="349"/>
    </row>
    <row r="251" spans="1:31" ht="25.5" customHeight="1" x14ac:dyDescent="0.25">
      <c r="A251" s="349"/>
      <c r="B251" s="3"/>
      <c r="C251" s="3"/>
      <c r="D251" s="2522" t="str">
        <f>Translations!$B$456</f>
        <v>Denna balans används framför allt för att kontrollera överensstämmelsen mellan de uppgifter som angetts i ”restgasverktyget” i avsnitt D.IV och restgasbalansen på delanläggningsnivå i bladen F och G.</v>
      </c>
      <c r="E251" s="2102"/>
      <c r="F251" s="2102"/>
      <c r="G251" s="2102"/>
      <c r="H251" s="2102"/>
      <c r="I251" s="2102"/>
      <c r="J251" s="2102"/>
      <c r="K251" s="2102"/>
      <c r="L251" s="2102"/>
      <c r="M251" s="2102"/>
      <c r="N251" s="2102"/>
      <c r="O251" s="6"/>
      <c r="P251" s="15"/>
      <c r="Q251" s="410"/>
      <c r="R251" s="349"/>
      <c r="S251" s="349"/>
      <c r="T251" s="349"/>
      <c r="U251" s="349"/>
      <c r="V251" s="349"/>
      <c r="W251" s="349"/>
      <c r="X251" s="349"/>
      <c r="Y251" s="349"/>
      <c r="Z251" s="349"/>
      <c r="AA251" s="349"/>
      <c r="AB251" s="349"/>
      <c r="AC251" s="349"/>
      <c r="AD251" s="349"/>
      <c r="AE251" s="349"/>
    </row>
    <row r="252" spans="1:31" ht="12.75" customHeight="1" x14ac:dyDescent="0.25">
      <c r="A252" s="349"/>
      <c r="B252" s="3"/>
      <c r="C252" s="3"/>
      <c r="D252" s="2522" t="str">
        <f>Translations!$B$457</f>
        <v>Där så är möjligt fylls nedanstående avsnitt automatiskt i med de uppgifter som angetts i dessa avsnitt.</v>
      </c>
      <c r="E252" s="2102"/>
      <c r="F252" s="2102"/>
      <c r="G252" s="2102"/>
      <c r="H252" s="2102"/>
      <c r="I252" s="2102"/>
      <c r="J252" s="2102"/>
      <c r="K252" s="2102"/>
      <c r="L252" s="2102"/>
      <c r="M252" s="2102"/>
      <c r="N252" s="2102"/>
      <c r="O252" s="6"/>
      <c r="P252" s="15"/>
      <c r="Q252" s="410"/>
      <c r="R252" s="349"/>
      <c r="S252" s="349"/>
      <c r="T252" s="349"/>
      <c r="U252" s="349"/>
      <c r="V252" s="349"/>
      <c r="W252" s="349"/>
      <c r="X252" s="349"/>
      <c r="Y252" s="349"/>
      <c r="Z252" s="349"/>
      <c r="AA252" s="349"/>
      <c r="AB252" s="349"/>
      <c r="AC252" s="349"/>
      <c r="AD252" s="349"/>
      <c r="AE252" s="349"/>
    </row>
    <row r="253" spans="1:31" ht="5.15" customHeight="1" x14ac:dyDescent="0.25">
      <c r="A253" s="349"/>
      <c r="B253" s="3"/>
      <c r="C253" s="3"/>
      <c r="D253" s="3"/>
      <c r="E253" s="3"/>
      <c r="F253" s="3"/>
      <c r="G253" s="3"/>
      <c r="H253" s="3"/>
      <c r="I253" s="3"/>
      <c r="J253" s="3"/>
      <c r="K253" s="3"/>
      <c r="L253" s="3"/>
      <c r="M253" s="3"/>
      <c r="N253" s="3"/>
      <c r="O253" s="6"/>
      <c r="P253" s="15"/>
      <c r="Q253" s="410"/>
      <c r="R253" s="349"/>
      <c r="S253" s="349"/>
      <c r="T253" s="349"/>
      <c r="U253" s="349"/>
      <c r="V253" s="349"/>
      <c r="W253" s="349"/>
      <c r="X253" s="349"/>
      <c r="Y253" s="349"/>
      <c r="Z253" s="349"/>
      <c r="AA253" s="349"/>
      <c r="AB253" s="349"/>
      <c r="AC253" s="349"/>
      <c r="AD253" s="349"/>
      <c r="AE253" s="349"/>
    </row>
    <row r="254" spans="1:31" ht="12.75" customHeight="1" x14ac:dyDescent="0.25">
      <c r="A254" s="2"/>
      <c r="B254" s="3"/>
      <c r="C254" s="3"/>
      <c r="D254" s="547"/>
      <c r="E254" s="2106" t="str">
        <f>Translations!$B$458</f>
        <v>Finns eventuella restgaser som produceras eller förbrukas i, importeras till eller exporteras från anläggningen?</v>
      </c>
      <c r="F254" s="2106"/>
      <c r="G254" s="2106"/>
      <c r="H254" s="2106"/>
      <c r="I254" s="2106"/>
      <c r="J254" s="2106"/>
      <c r="K254" s="2106"/>
      <c r="L254" s="2107"/>
      <c r="M254" s="707"/>
      <c r="N254" s="6"/>
      <c r="O254" s="6"/>
      <c r="P254" s="15"/>
      <c r="Q254" s="7"/>
      <c r="R254" s="2"/>
      <c r="S254" s="2"/>
      <c r="T254" s="2"/>
      <c r="U254" s="349"/>
      <c r="V254" s="349"/>
      <c r="W254" s="349"/>
      <c r="X254" s="349"/>
      <c r="Y254" s="349"/>
      <c r="Z254" s="349"/>
      <c r="AA254" s="349"/>
      <c r="AB254" s="349"/>
      <c r="AC254" s="349"/>
      <c r="AD254" s="349"/>
      <c r="AE254" s="349"/>
    </row>
    <row r="255" spans="1:31" ht="12.75" customHeight="1" x14ac:dyDescent="0.25">
      <c r="A255" s="349"/>
      <c r="B255" s="3"/>
      <c r="C255" s="3"/>
      <c r="D255" s="3"/>
      <c r="E255" s="2557" t="str">
        <f>IF(AND(M254&lt;&gt;"",M254=FALSE),HYPERLINK(R255,EUconst_MsgGoOn),HYPERLINK("",EUconst_MsgEnterThisSection))</f>
        <v>Var god fyll i uppgifter i detta avsnitt!</v>
      </c>
      <c r="F255" s="2558"/>
      <c r="G255" s="2558"/>
      <c r="H255" s="2558"/>
      <c r="I255" s="2558"/>
      <c r="J255" s="2558"/>
      <c r="K255" s="2558"/>
      <c r="L255" s="2558"/>
      <c r="M255" s="2559"/>
      <c r="N255" s="3"/>
      <c r="O255" s="6"/>
      <c r="P255" s="15"/>
      <c r="Q255" s="2" t="s">
        <v>484</v>
      </c>
      <c r="R255" s="294" t="str">
        <f>"#"&amp;ADDRESS(ROW(C354),COLUMN(C354))</f>
        <v>#$C$354</v>
      </c>
      <c r="S255" s="349"/>
      <c r="T255" s="349"/>
      <c r="U255" s="349"/>
      <c r="V255" s="349"/>
      <c r="W255" s="349"/>
      <c r="X255" s="349"/>
      <c r="Y255" s="349"/>
      <c r="Z255" s="349"/>
      <c r="AA255" s="349"/>
      <c r="AB255" s="349"/>
      <c r="AC255" s="349"/>
      <c r="AD255" s="349"/>
      <c r="AE255" s="349"/>
    </row>
    <row r="256" spans="1:31" x14ac:dyDescent="0.25">
      <c r="A256" s="2"/>
      <c r="B256" s="19"/>
      <c r="C256" s="19"/>
      <c r="D256" s="19"/>
      <c r="E256" s="2061" t="str">
        <f>Translations!$B$459</f>
        <v>Om svaret ”FALSKT” anges är uppgifterna här irrelevanta, och ni kan då fortsätta till nästa avsnitt nedan.</v>
      </c>
      <c r="F256" s="1963"/>
      <c r="G256" s="1963"/>
      <c r="H256" s="1963"/>
      <c r="I256" s="1963"/>
      <c r="J256" s="1963"/>
      <c r="K256" s="1963"/>
      <c r="L256" s="1963"/>
      <c r="M256" s="1963"/>
      <c r="N256" s="1963"/>
      <c r="O256" s="6"/>
      <c r="P256" s="15"/>
      <c r="Q256" s="936"/>
      <c r="R256" s="349"/>
      <c r="S256" s="349"/>
      <c r="T256" s="349"/>
      <c r="U256" s="349"/>
      <c r="V256" s="349"/>
      <c r="W256" s="349"/>
      <c r="X256" s="349"/>
      <c r="Y256" s="349"/>
      <c r="Z256" s="349"/>
      <c r="AA256" s="349"/>
      <c r="AB256" s="349"/>
      <c r="AC256" s="349"/>
      <c r="AD256" s="349"/>
      <c r="AE256" s="349"/>
    </row>
    <row r="257" spans="1:31" ht="5.15" customHeight="1" x14ac:dyDescent="0.25">
      <c r="A257" s="349"/>
      <c r="B257" s="3"/>
      <c r="C257" s="3"/>
      <c r="D257" s="3"/>
      <c r="E257" s="3"/>
      <c r="F257" s="3"/>
      <c r="G257" s="3"/>
      <c r="H257" s="3"/>
      <c r="I257" s="3"/>
      <c r="J257" s="3"/>
      <c r="K257" s="3"/>
      <c r="L257" s="3"/>
      <c r="M257" s="6"/>
      <c r="N257" s="6"/>
      <c r="O257" s="6"/>
      <c r="P257" s="15"/>
      <c r="Q257" s="410"/>
      <c r="R257" s="349"/>
      <c r="S257" s="349"/>
      <c r="T257" s="349"/>
      <c r="U257" s="349"/>
      <c r="V257" s="349"/>
      <c r="W257" s="349"/>
      <c r="X257" s="349"/>
      <c r="Y257" s="349"/>
      <c r="Z257" s="349"/>
      <c r="AA257" s="349"/>
      <c r="AB257" s="349"/>
      <c r="AC257" s="349"/>
      <c r="AD257" s="349"/>
      <c r="AE257" s="349"/>
    </row>
    <row r="258" spans="1:31" ht="13" x14ac:dyDescent="0.25">
      <c r="A258" s="349"/>
      <c r="B258" s="3"/>
      <c r="C258" s="13"/>
      <c r="D258" s="13" t="s">
        <v>442</v>
      </c>
      <c r="E258" s="2101" t="str">
        <f>Translations!$B$460</f>
        <v>Restgaser som produceras inom systemgränserna för en delanläggning med produktriktmärke</v>
      </c>
      <c r="F258" s="2102"/>
      <c r="G258" s="2102"/>
      <c r="H258" s="2102"/>
      <c r="I258" s="2102"/>
      <c r="J258" s="2102"/>
      <c r="K258" s="2102"/>
      <c r="L258" s="2102"/>
      <c r="M258" s="2102"/>
      <c r="N258" s="2102"/>
      <c r="O258" s="6"/>
      <c r="P258" s="15"/>
      <c r="Q258" s="410"/>
      <c r="R258" s="349"/>
      <c r="S258" s="349"/>
      <c r="T258" s="349"/>
      <c r="U258" s="349"/>
      <c r="V258" s="349"/>
      <c r="W258" s="349"/>
      <c r="X258" s="349"/>
      <c r="Y258" s="349"/>
      <c r="Z258" s="349"/>
      <c r="AA258" s="349"/>
      <c r="AB258" s="349"/>
      <c r="AC258" s="349"/>
      <c r="AD258" s="349"/>
      <c r="AE258" s="349"/>
    </row>
    <row r="259" spans="1:31" ht="12.75" customHeight="1" x14ac:dyDescent="0.25">
      <c r="A259" s="349"/>
      <c r="B259" s="3"/>
      <c r="C259" s="15"/>
      <c r="D259" s="15"/>
      <c r="E259" s="2524" t="str">
        <f>Translations!$B$461</f>
        <v>Information hämtas från avsnitt F.l.v. Om detta är relevant måste ni säkerställa att ni har angett fullständiga uppgifter där.</v>
      </c>
      <c r="F259" s="2102"/>
      <c r="G259" s="2102"/>
      <c r="H259" s="2102"/>
      <c r="I259" s="2102"/>
      <c r="J259" s="2102"/>
      <c r="K259" s="2102"/>
      <c r="L259" s="2102"/>
      <c r="M259" s="2102"/>
      <c r="N259" s="2102"/>
      <c r="O259" s="6"/>
      <c r="P259" s="15"/>
      <c r="Q259" s="410"/>
      <c r="R259" s="349"/>
      <c r="S259" s="349"/>
      <c r="T259" s="349"/>
      <c r="U259" s="349"/>
      <c r="V259" s="349"/>
      <c r="W259" s="349"/>
      <c r="X259" s="349"/>
      <c r="Y259" s="349"/>
      <c r="Z259" s="349"/>
      <c r="AA259" s="349"/>
      <c r="AB259" s="349"/>
      <c r="AC259" s="349"/>
      <c r="AD259" s="349"/>
      <c r="AE259" s="349"/>
    </row>
    <row r="260" spans="1:31" ht="13" customHeight="1" x14ac:dyDescent="0.25">
      <c r="A260" s="349"/>
      <c r="B260" s="19"/>
      <c r="C260" s="19"/>
      <c r="D260" s="19"/>
      <c r="E260" s="2528" t="str">
        <f>Translations!$B$462</f>
        <v>Delanläggning</v>
      </c>
      <c r="F260" s="2529"/>
      <c r="G260" s="30" t="str">
        <f>EUconst_Unit</f>
        <v>Enhet</v>
      </c>
      <c r="H260" s="320">
        <f t="shared" ref="H260:N260" si="48">H$393</f>
        <v>2019</v>
      </c>
      <c r="I260" s="320">
        <f t="shared" si="48"/>
        <v>2020</v>
      </c>
      <c r="J260" s="320">
        <f t="shared" si="48"/>
        <v>2021</v>
      </c>
      <c r="K260" s="320">
        <f t="shared" si="48"/>
        <v>2022</v>
      </c>
      <c r="L260" s="320">
        <f t="shared" si="48"/>
        <v>2023</v>
      </c>
      <c r="M260" s="320">
        <f t="shared" si="48"/>
        <v>2024</v>
      </c>
      <c r="N260" s="342">
        <f t="shared" si="48"/>
        <v>2025</v>
      </c>
      <c r="O260" s="6"/>
      <c r="P260" s="15"/>
      <c r="Q260" s="349"/>
      <c r="R260" s="349"/>
      <c r="S260" s="349"/>
      <c r="T260" s="349"/>
      <c r="U260" s="349"/>
      <c r="V260" s="349"/>
      <c r="W260" s="349"/>
      <c r="X260" s="349"/>
      <c r="Y260" s="349"/>
      <c r="Z260" s="349"/>
      <c r="AA260" s="349"/>
      <c r="AB260" s="349"/>
      <c r="AC260" s="349"/>
      <c r="AD260" s="349"/>
      <c r="AE260" s="349"/>
    </row>
    <row r="261" spans="1:31" ht="12.65" customHeight="1" x14ac:dyDescent="0.25">
      <c r="A261" s="349"/>
      <c r="B261" s="19"/>
      <c r="C261" s="19"/>
      <c r="D261" s="175" t="s">
        <v>8</v>
      </c>
      <c r="E261" s="2534" t="str">
        <f t="shared" ref="E261:E270" si="49">E147</f>
        <v/>
      </c>
      <c r="F261" s="2535"/>
      <c r="G261" s="25" t="str">
        <f t="shared" ref="G261:G271" si="50">EUconst_TJpa</f>
        <v>TJ / år</v>
      </c>
      <c r="H261" s="536" t="str">
        <f>IF(SUMIF(F_ProductBM!$Q:$Q,$Q261,F_ProductBM!H:H)&gt;0,SUMIF(F_ProductBM!$Q:$Q,$Q261,F_ProductBM!H:H),"")</f>
        <v/>
      </c>
      <c r="I261" s="536" t="str">
        <f>IF(SUMIF(F_ProductBM!$Q:$Q,$Q261,F_ProductBM!I:I)&gt;0,SUMIF(F_ProductBM!$Q:$Q,$Q261,F_ProductBM!I:I),"")</f>
        <v/>
      </c>
      <c r="J261" s="536" t="str">
        <f>IF(SUMIF(F_ProductBM!$Q:$Q,$Q261,F_ProductBM!J:J)&gt;0,SUMIF(F_ProductBM!$Q:$Q,$Q261,F_ProductBM!J:J),"")</f>
        <v/>
      </c>
      <c r="K261" s="536" t="str">
        <f>IF(SUMIF(F_ProductBM!$Q:$Q,$Q261,F_ProductBM!K:K)&gt;0,SUMIF(F_ProductBM!$Q:$Q,$Q261,F_ProductBM!K:K),"")</f>
        <v/>
      </c>
      <c r="L261" s="536" t="str">
        <f>IF(SUMIF(F_ProductBM!$Q:$Q,$Q261,F_ProductBM!L:L)&gt;0,SUMIF(F_ProductBM!$Q:$Q,$Q261,F_ProductBM!L:L),"")</f>
        <v/>
      </c>
      <c r="M261" s="536" t="str">
        <f>IF(SUMIF(F_ProductBM!$Q:$Q,$Q261,F_ProductBM!M:M)&gt;0,SUMIF(F_ProductBM!$Q:$Q,$Q261,F_ProductBM!M:M),"")</f>
        <v/>
      </c>
      <c r="N261" s="536" t="str">
        <f>IF(SUMIF(F_ProductBM!$Q:$Q,$Q261,F_ProductBM!N:N)&gt;0,SUMIF(F_ProductBM!$Q:$Q,$Q261,F_ProductBM!N:N),"")</f>
        <v/>
      </c>
      <c r="O261" s="6"/>
      <c r="P261" s="15"/>
      <c r="Q261" s="355" t="str">
        <f t="shared" ref="Q261:Q270" si="51">EUconst_CNTR_WGProduced &amp; E261</f>
        <v>WasteGasProd_</v>
      </c>
      <c r="R261" s="349"/>
      <c r="S261" s="349"/>
      <c r="T261" s="349"/>
      <c r="U261" s="349"/>
      <c r="V261" s="349"/>
      <c r="W261" s="349"/>
      <c r="X261" s="349"/>
      <c r="Y261" s="349"/>
      <c r="Z261" s="349"/>
      <c r="AA261" s="349"/>
      <c r="AB261" s="349"/>
      <c r="AC261" s="349"/>
      <c r="AD261" s="349"/>
      <c r="AE261" s="349"/>
    </row>
    <row r="262" spans="1:31" x14ac:dyDescent="0.25">
      <c r="A262" s="349"/>
      <c r="B262" s="19"/>
      <c r="C262" s="19"/>
      <c r="D262" s="175" t="s">
        <v>9</v>
      </c>
      <c r="E262" s="2540" t="str">
        <f t="shared" si="49"/>
        <v/>
      </c>
      <c r="F262" s="2541"/>
      <c r="G262" s="26" t="str">
        <f t="shared" si="50"/>
        <v>TJ / år</v>
      </c>
      <c r="H262" s="412" t="str">
        <f>IF(SUMIF(F_ProductBM!$Q:$Q,$Q262,F_ProductBM!H:H)&gt;0,SUMIF(F_ProductBM!$Q:$Q,$Q262,F_ProductBM!H:H),"")</f>
        <v/>
      </c>
      <c r="I262" s="412" t="str">
        <f>IF(SUMIF(F_ProductBM!$Q:$Q,$Q262,F_ProductBM!I:I)&gt;0,SUMIF(F_ProductBM!$Q:$Q,$Q262,F_ProductBM!I:I),"")</f>
        <v/>
      </c>
      <c r="J262" s="412" t="str">
        <f>IF(SUMIF(F_ProductBM!$Q:$Q,$Q262,F_ProductBM!J:J)&gt;0,SUMIF(F_ProductBM!$Q:$Q,$Q262,F_ProductBM!J:J),"")</f>
        <v/>
      </c>
      <c r="K262" s="412" t="str">
        <f>IF(SUMIF(F_ProductBM!$Q:$Q,$Q262,F_ProductBM!K:K)&gt;0,SUMIF(F_ProductBM!$Q:$Q,$Q262,F_ProductBM!K:K),"")</f>
        <v/>
      </c>
      <c r="L262" s="412" t="str">
        <f>IF(SUMIF(F_ProductBM!$Q:$Q,$Q262,F_ProductBM!L:L)&gt;0,SUMIF(F_ProductBM!$Q:$Q,$Q262,F_ProductBM!L:L),"")</f>
        <v/>
      </c>
      <c r="M262" s="412" t="str">
        <f>IF(SUMIF(F_ProductBM!$Q:$Q,$Q262,F_ProductBM!M:M)&gt;0,SUMIF(F_ProductBM!$Q:$Q,$Q262,F_ProductBM!M:M),"")</f>
        <v/>
      </c>
      <c r="N262" s="412" t="str">
        <f>IF(SUMIF(F_ProductBM!$Q:$Q,$Q262,F_ProductBM!N:N)&gt;0,SUMIF(F_ProductBM!$Q:$Q,$Q262,F_ProductBM!N:N),"")</f>
        <v/>
      </c>
      <c r="O262" s="6"/>
      <c r="P262" s="15"/>
      <c r="Q262" s="355" t="str">
        <f t="shared" si="51"/>
        <v>WasteGasProd_</v>
      </c>
      <c r="R262" s="349"/>
      <c r="S262" s="349"/>
      <c r="T262" s="349"/>
      <c r="U262" s="349"/>
      <c r="V262" s="349"/>
      <c r="W262" s="349"/>
      <c r="X262" s="349"/>
      <c r="Y262" s="349"/>
      <c r="Z262" s="349"/>
      <c r="AA262" s="349"/>
      <c r="AB262" s="349"/>
      <c r="AC262" s="349"/>
      <c r="AD262" s="349"/>
      <c r="AE262" s="349"/>
    </row>
    <row r="263" spans="1:31" x14ac:dyDescent="0.25">
      <c r="A263" s="349"/>
      <c r="B263" s="19"/>
      <c r="C263" s="19"/>
      <c r="D263" s="175" t="s">
        <v>10</v>
      </c>
      <c r="E263" s="2540" t="str">
        <f t="shared" si="49"/>
        <v/>
      </c>
      <c r="F263" s="2541"/>
      <c r="G263" s="26" t="str">
        <f t="shared" si="50"/>
        <v>TJ / år</v>
      </c>
      <c r="H263" s="412" t="str">
        <f>IF(SUMIF(F_ProductBM!$Q:$Q,$Q263,F_ProductBM!H:H)&gt;0,SUMIF(F_ProductBM!$Q:$Q,$Q263,F_ProductBM!H:H),"")</f>
        <v/>
      </c>
      <c r="I263" s="412" t="str">
        <f>IF(SUMIF(F_ProductBM!$Q:$Q,$Q263,F_ProductBM!I:I)&gt;0,SUMIF(F_ProductBM!$Q:$Q,$Q263,F_ProductBM!I:I),"")</f>
        <v/>
      </c>
      <c r="J263" s="412" t="str">
        <f>IF(SUMIF(F_ProductBM!$Q:$Q,$Q263,F_ProductBM!J:J)&gt;0,SUMIF(F_ProductBM!$Q:$Q,$Q263,F_ProductBM!J:J),"")</f>
        <v/>
      </c>
      <c r="K263" s="412" t="str">
        <f>IF(SUMIF(F_ProductBM!$Q:$Q,$Q263,F_ProductBM!K:K)&gt;0,SUMIF(F_ProductBM!$Q:$Q,$Q263,F_ProductBM!K:K),"")</f>
        <v/>
      </c>
      <c r="L263" s="412" t="str">
        <f>IF(SUMIF(F_ProductBM!$Q:$Q,$Q263,F_ProductBM!L:L)&gt;0,SUMIF(F_ProductBM!$Q:$Q,$Q263,F_ProductBM!L:L),"")</f>
        <v/>
      </c>
      <c r="M263" s="412" t="str">
        <f>IF(SUMIF(F_ProductBM!$Q:$Q,$Q263,F_ProductBM!M:M)&gt;0,SUMIF(F_ProductBM!$Q:$Q,$Q263,F_ProductBM!M:M),"")</f>
        <v/>
      </c>
      <c r="N263" s="412" t="str">
        <f>IF(SUMIF(F_ProductBM!$Q:$Q,$Q263,F_ProductBM!N:N)&gt;0,SUMIF(F_ProductBM!$Q:$Q,$Q263,F_ProductBM!N:N),"")</f>
        <v/>
      </c>
      <c r="O263" s="6"/>
      <c r="P263" s="15"/>
      <c r="Q263" s="355" t="str">
        <f t="shared" si="51"/>
        <v>WasteGasProd_</v>
      </c>
      <c r="R263" s="349"/>
      <c r="S263" s="349"/>
      <c r="T263" s="349"/>
      <c r="U263" s="349"/>
      <c r="V263" s="349"/>
      <c r="W263" s="349"/>
      <c r="X263" s="349"/>
      <c r="Y263" s="349"/>
      <c r="Z263" s="349"/>
      <c r="AA263" s="349"/>
      <c r="AB263" s="349"/>
      <c r="AC263" s="349"/>
      <c r="AD263" s="349"/>
      <c r="AE263" s="349"/>
    </row>
    <row r="264" spans="1:31" x14ac:dyDescent="0.25">
      <c r="A264" s="349"/>
      <c r="B264" s="19"/>
      <c r="C264" s="19"/>
      <c r="D264" s="175" t="s">
        <v>23</v>
      </c>
      <c r="E264" s="2540" t="str">
        <f t="shared" si="49"/>
        <v/>
      </c>
      <c r="F264" s="2541"/>
      <c r="G264" s="26" t="str">
        <f t="shared" si="50"/>
        <v>TJ / år</v>
      </c>
      <c r="H264" s="412" t="str">
        <f>IF(SUMIF(F_ProductBM!$Q:$Q,$Q264,F_ProductBM!H:H)&gt;0,SUMIF(F_ProductBM!$Q:$Q,$Q264,F_ProductBM!H:H),"")</f>
        <v/>
      </c>
      <c r="I264" s="412" t="str">
        <f>IF(SUMIF(F_ProductBM!$Q:$Q,$Q264,F_ProductBM!I:I)&gt;0,SUMIF(F_ProductBM!$Q:$Q,$Q264,F_ProductBM!I:I),"")</f>
        <v/>
      </c>
      <c r="J264" s="412" t="str">
        <f>IF(SUMIF(F_ProductBM!$Q:$Q,$Q264,F_ProductBM!J:J)&gt;0,SUMIF(F_ProductBM!$Q:$Q,$Q264,F_ProductBM!J:J),"")</f>
        <v/>
      </c>
      <c r="K264" s="412" t="str">
        <f>IF(SUMIF(F_ProductBM!$Q:$Q,$Q264,F_ProductBM!K:K)&gt;0,SUMIF(F_ProductBM!$Q:$Q,$Q264,F_ProductBM!K:K),"")</f>
        <v/>
      </c>
      <c r="L264" s="412" t="str">
        <f>IF(SUMIF(F_ProductBM!$Q:$Q,$Q264,F_ProductBM!L:L)&gt;0,SUMIF(F_ProductBM!$Q:$Q,$Q264,F_ProductBM!L:L),"")</f>
        <v/>
      </c>
      <c r="M264" s="412" t="str">
        <f>IF(SUMIF(F_ProductBM!$Q:$Q,$Q264,F_ProductBM!M:M)&gt;0,SUMIF(F_ProductBM!$Q:$Q,$Q264,F_ProductBM!M:M),"")</f>
        <v/>
      </c>
      <c r="N264" s="412" t="str">
        <f>IF(SUMIF(F_ProductBM!$Q:$Q,$Q264,F_ProductBM!N:N)&gt;0,SUMIF(F_ProductBM!$Q:$Q,$Q264,F_ProductBM!N:N),"")</f>
        <v/>
      </c>
      <c r="O264" s="6"/>
      <c r="P264" s="15"/>
      <c r="Q264" s="355" t="str">
        <f t="shared" si="51"/>
        <v>WasteGasProd_</v>
      </c>
      <c r="R264" s="349"/>
      <c r="S264" s="349"/>
      <c r="T264" s="349"/>
      <c r="U264" s="349"/>
      <c r="V264" s="349"/>
      <c r="W264" s="349"/>
      <c r="X264" s="349"/>
      <c r="Y264" s="349"/>
      <c r="Z264" s="349"/>
      <c r="AA264" s="349"/>
      <c r="AB264" s="349"/>
      <c r="AC264" s="349"/>
      <c r="AD264" s="349"/>
      <c r="AE264" s="349"/>
    </row>
    <row r="265" spans="1:31" x14ac:dyDescent="0.25">
      <c r="A265" s="349"/>
      <c r="B265" s="19"/>
      <c r="C265" s="19"/>
      <c r="D265" s="289" t="s">
        <v>859</v>
      </c>
      <c r="E265" s="2540" t="str">
        <f t="shared" si="49"/>
        <v/>
      </c>
      <c r="F265" s="2541"/>
      <c r="G265" s="26" t="str">
        <f t="shared" si="50"/>
        <v>TJ / år</v>
      </c>
      <c r="H265" s="412" t="str">
        <f>IF(SUMIF(F_ProductBM!$Q:$Q,$Q265,F_ProductBM!H:H)&gt;0,SUMIF(F_ProductBM!$Q:$Q,$Q265,F_ProductBM!H:H),"")</f>
        <v/>
      </c>
      <c r="I265" s="412" t="str">
        <f>IF(SUMIF(F_ProductBM!$Q:$Q,$Q265,F_ProductBM!I:I)&gt;0,SUMIF(F_ProductBM!$Q:$Q,$Q265,F_ProductBM!I:I),"")</f>
        <v/>
      </c>
      <c r="J265" s="412" t="str">
        <f>IF(SUMIF(F_ProductBM!$Q:$Q,$Q265,F_ProductBM!J:J)&gt;0,SUMIF(F_ProductBM!$Q:$Q,$Q265,F_ProductBM!J:J),"")</f>
        <v/>
      </c>
      <c r="K265" s="412" t="str">
        <f>IF(SUMIF(F_ProductBM!$Q:$Q,$Q265,F_ProductBM!K:K)&gt;0,SUMIF(F_ProductBM!$Q:$Q,$Q265,F_ProductBM!K:K),"")</f>
        <v/>
      </c>
      <c r="L265" s="412" t="str">
        <f>IF(SUMIF(F_ProductBM!$Q:$Q,$Q265,F_ProductBM!L:L)&gt;0,SUMIF(F_ProductBM!$Q:$Q,$Q265,F_ProductBM!L:L),"")</f>
        <v/>
      </c>
      <c r="M265" s="412" t="str">
        <f>IF(SUMIF(F_ProductBM!$Q:$Q,$Q265,F_ProductBM!M:M)&gt;0,SUMIF(F_ProductBM!$Q:$Q,$Q265,F_ProductBM!M:M),"")</f>
        <v/>
      </c>
      <c r="N265" s="412" t="str">
        <f>IF(SUMIF(F_ProductBM!$Q:$Q,$Q265,F_ProductBM!N:N)&gt;0,SUMIF(F_ProductBM!$Q:$Q,$Q265,F_ProductBM!N:N),"")</f>
        <v/>
      </c>
      <c r="O265" s="6"/>
      <c r="P265" s="15"/>
      <c r="Q265" s="355" t="str">
        <f t="shared" si="51"/>
        <v>WasteGasProd_</v>
      </c>
      <c r="R265" s="349"/>
      <c r="S265" s="349"/>
      <c r="T265" s="349"/>
      <c r="U265" s="349"/>
      <c r="V265" s="349"/>
      <c r="W265" s="349"/>
      <c r="X265" s="349"/>
      <c r="Y265" s="349"/>
      <c r="Z265" s="349"/>
      <c r="AA265" s="349"/>
      <c r="AB265" s="349"/>
      <c r="AC265" s="349"/>
      <c r="AD265" s="349"/>
      <c r="AE265" s="349"/>
    </row>
    <row r="266" spans="1:31" x14ac:dyDescent="0.25">
      <c r="A266" s="349"/>
      <c r="B266" s="19"/>
      <c r="C266" s="19"/>
      <c r="D266" s="289" t="s">
        <v>860</v>
      </c>
      <c r="E266" s="2540" t="str">
        <f t="shared" si="49"/>
        <v/>
      </c>
      <c r="F266" s="2541"/>
      <c r="G266" s="26" t="str">
        <f t="shared" si="50"/>
        <v>TJ / år</v>
      </c>
      <c r="H266" s="412" t="str">
        <f>IF(SUMIF(F_ProductBM!$Q:$Q,$Q266,F_ProductBM!H:H)&gt;0,SUMIF(F_ProductBM!$Q:$Q,$Q266,F_ProductBM!H:H),"")</f>
        <v/>
      </c>
      <c r="I266" s="412" t="str">
        <f>IF(SUMIF(F_ProductBM!$Q:$Q,$Q266,F_ProductBM!I:I)&gt;0,SUMIF(F_ProductBM!$Q:$Q,$Q266,F_ProductBM!I:I),"")</f>
        <v/>
      </c>
      <c r="J266" s="412" t="str">
        <f>IF(SUMIF(F_ProductBM!$Q:$Q,$Q266,F_ProductBM!J:J)&gt;0,SUMIF(F_ProductBM!$Q:$Q,$Q266,F_ProductBM!J:J),"")</f>
        <v/>
      </c>
      <c r="K266" s="412" t="str">
        <f>IF(SUMIF(F_ProductBM!$Q:$Q,$Q266,F_ProductBM!K:K)&gt;0,SUMIF(F_ProductBM!$Q:$Q,$Q266,F_ProductBM!K:K),"")</f>
        <v/>
      </c>
      <c r="L266" s="412" t="str">
        <f>IF(SUMIF(F_ProductBM!$Q:$Q,$Q266,F_ProductBM!L:L)&gt;0,SUMIF(F_ProductBM!$Q:$Q,$Q266,F_ProductBM!L:L),"")</f>
        <v/>
      </c>
      <c r="M266" s="412" t="str">
        <f>IF(SUMIF(F_ProductBM!$Q:$Q,$Q266,F_ProductBM!M:M)&gt;0,SUMIF(F_ProductBM!$Q:$Q,$Q266,F_ProductBM!M:M),"")</f>
        <v/>
      </c>
      <c r="N266" s="412" t="str">
        <f>IF(SUMIF(F_ProductBM!$Q:$Q,$Q266,F_ProductBM!N:N)&gt;0,SUMIF(F_ProductBM!$Q:$Q,$Q266,F_ProductBM!N:N),"")</f>
        <v/>
      </c>
      <c r="O266" s="6"/>
      <c r="P266" s="15"/>
      <c r="Q266" s="355" t="str">
        <f t="shared" si="51"/>
        <v>WasteGasProd_</v>
      </c>
      <c r="R266" s="349"/>
      <c r="S266" s="349"/>
      <c r="T266" s="349"/>
      <c r="U266" s="349"/>
      <c r="V266" s="349"/>
      <c r="W266" s="349"/>
      <c r="X266" s="349"/>
      <c r="Y266" s="349"/>
      <c r="Z266" s="349"/>
      <c r="AA266" s="349"/>
      <c r="AB266" s="349"/>
      <c r="AC266" s="349"/>
      <c r="AD266" s="349"/>
      <c r="AE266" s="349"/>
    </row>
    <row r="267" spans="1:31" x14ac:dyDescent="0.25">
      <c r="A267" s="349"/>
      <c r="B267" s="19"/>
      <c r="C267" s="19"/>
      <c r="D267" s="289" t="s">
        <v>861</v>
      </c>
      <c r="E267" s="2540" t="str">
        <f t="shared" si="49"/>
        <v/>
      </c>
      <c r="F267" s="2541"/>
      <c r="G267" s="26" t="str">
        <f t="shared" si="50"/>
        <v>TJ / år</v>
      </c>
      <c r="H267" s="412" t="str">
        <f>IF(SUMIF(F_ProductBM!$Q:$Q,$Q267,F_ProductBM!H:H)&gt;0,SUMIF(F_ProductBM!$Q:$Q,$Q267,F_ProductBM!H:H),"")</f>
        <v/>
      </c>
      <c r="I267" s="412" t="str">
        <f>IF(SUMIF(F_ProductBM!$Q:$Q,$Q267,F_ProductBM!I:I)&gt;0,SUMIF(F_ProductBM!$Q:$Q,$Q267,F_ProductBM!I:I),"")</f>
        <v/>
      </c>
      <c r="J267" s="412" t="str">
        <f>IF(SUMIF(F_ProductBM!$Q:$Q,$Q267,F_ProductBM!J:J)&gt;0,SUMIF(F_ProductBM!$Q:$Q,$Q267,F_ProductBM!J:J),"")</f>
        <v/>
      </c>
      <c r="K267" s="412" t="str">
        <f>IF(SUMIF(F_ProductBM!$Q:$Q,$Q267,F_ProductBM!K:K)&gt;0,SUMIF(F_ProductBM!$Q:$Q,$Q267,F_ProductBM!K:K),"")</f>
        <v/>
      </c>
      <c r="L267" s="412" t="str">
        <f>IF(SUMIF(F_ProductBM!$Q:$Q,$Q267,F_ProductBM!L:L)&gt;0,SUMIF(F_ProductBM!$Q:$Q,$Q267,F_ProductBM!L:L),"")</f>
        <v/>
      </c>
      <c r="M267" s="412" t="str">
        <f>IF(SUMIF(F_ProductBM!$Q:$Q,$Q267,F_ProductBM!M:M)&gt;0,SUMIF(F_ProductBM!$Q:$Q,$Q267,F_ProductBM!M:M),"")</f>
        <v/>
      </c>
      <c r="N267" s="412" t="str">
        <f>IF(SUMIF(F_ProductBM!$Q:$Q,$Q267,F_ProductBM!N:N)&gt;0,SUMIF(F_ProductBM!$Q:$Q,$Q267,F_ProductBM!N:N),"")</f>
        <v/>
      </c>
      <c r="O267" s="6"/>
      <c r="P267" s="15"/>
      <c r="Q267" s="355" t="str">
        <f t="shared" si="51"/>
        <v>WasteGasProd_</v>
      </c>
      <c r="R267" s="349"/>
      <c r="S267" s="349"/>
      <c r="T267" s="349"/>
      <c r="U267" s="349"/>
      <c r="V267" s="349"/>
      <c r="W267" s="349"/>
      <c r="X267" s="349"/>
      <c r="Y267" s="349"/>
      <c r="Z267" s="349"/>
      <c r="AA267" s="349"/>
      <c r="AB267" s="349"/>
      <c r="AC267" s="349"/>
      <c r="AD267" s="349"/>
      <c r="AE267" s="349"/>
    </row>
    <row r="268" spans="1:31" x14ac:dyDescent="0.25">
      <c r="A268" s="349"/>
      <c r="B268" s="19"/>
      <c r="C268" s="19"/>
      <c r="D268" s="289" t="s">
        <v>862</v>
      </c>
      <c r="E268" s="2540" t="str">
        <f t="shared" si="49"/>
        <v/>
      </c>
      <c r="F268" s="2541"/>
      <c r="G268" s="26" t="str">
        <f t="shared" si="50"/>
        <v>TJ / år</v>
      </c>
      <c r="H268" s="412" t="str">
        <f>IF(SUMIF(F_ProductBM!$Q:$Q,$Q268,F_ProductBM!H:H)&gt;0,SUMIF(F_ProductBM!$Q:$Q,$Q268,F_ProductBM!H:H),"")</f>
        <v/>
      </c>
      <c r="I268" s="412" t="str">
        <f>IF(SUMIF(F_ProductBM!$Q:$Q,$Q268,F_ProductBM!I:I)&gt;0,SUMIF(F_ProductBM!$Q:$Q,$Q268,F_ProductBM!I:I),"")</f>
        <v/>
      </c>
      <c r="J268" s="412" t="str">
        <f>IF(SUMIF(F_ProductBM!$Q:$Q,$Q268,F_ProductBM!J:J)&gt;0,SUMIF(F_ProductBM!$Q:$Q,$Q268,F_ProductBM!J:J),"")</f>
        <v/>
      </c>
      <c r="K268" s="412" t="str">
        <f>IF(SUMIF(F_ProductBM!$Q:$Q,$Q268,F_ProductBM!K:K)&gt;0,SUMIF(F_ProductBM!$Q:$Q,$Q268,F_ProductBM!K:K),"")</f>
        <v/>
      </c>
      <c r="L268" s="412" t="str">
        <f>IF(SUMIF(F_ProductBM!$Q:$Q,$Q268,F_ProductBM!L:L)&gt;0,SUMIF(F_ProductBM!$Q:$Q,$Q268,F_ProductBM!L:L),"")</f>
        <v/>
      </c>
      <c r="M268" s="412" t="str">
        <f>IF(SUMIF(F_ProductBM!$Q:$Q,$Q268,F_ProductBM!M:M)&gt;0,SUMIF(F_ProductBM!$Q:$Q,$Q268,F_ProductBM!M:M),"")</f>
        <v/>
      </c>
      <c r="N268" s="412" t="str">
        <f>IF(SUMIF(F_ProductBM!$Q:$Q,$Q268,F_ProductBM!N:N)&gt;0,SUMIF(F_ProductBM!$Q:$Q,$Q268,F_ProductBM!N:N),"")</f>
        <v/>
      </c>
      <c r="O268" s="6"/>
      <c r="P268" s="15"/>
      <c r="Q268" s="355" t="str">
        <f t="shared" si="51"/>
        <v>WasteGasProd_</v>
      </c>
      <c r="R268" s="349"/>
      <c r="S268" s="349"/>
      <c r="T268" s="349"/>
      <c r="U268" s="349"/>
      <c r="V268" s="349"/>
      <c r="W268" s="349"/>
      <c r="X268" s="349"/>
      <c r="Y268" s="349"/>
      <c r="Z268" s="349"/>
      <c r="AA268" s="349"/>
      <c r="AB268" s="349"/>
      <c r="AC268" s="349"/>
      <c r="AD268" s="349"/>
      <c r="AE268" s="349"/>
    </row>
    <row r="269" spans="1:31" x14ac:dyDescent="0.25">
      <c r="A269" s="349"/>
      <c r="B269" s="19"/>
      <c r="C269" s="19"/>
      <c r="D269" s="289" t="s">
        <v>863</v>
      </c>
      <c r="E269" s="2540" t="str">
        <f t="shared" si="49"/>
        <v/>
      </c>
      <c r="F269" s="2541"/>
      <c r="G269" s="26" t="str">
        <f t="shared" si="50"/>
        <v>TJ / år</v>
      </c>
      <c r="H269" s="412" t="str">
        <f>IF(SUMIF(F_ProductBM!$Q:$Q,$Q269,F_ProductBM!H:H)&gt;0,SUMIF(F_ProductBM!$Q:$Q,$Q269,F_ProductBM!H:H),"")</f>
        <v/>
      </c>
      <c r="I269" s="412" t="str">
        <f>IF(SUMIF(F_ProductBM!$Q:$Q,$Q269,F_ProductBM!I:I)&gt;0,SUMIF(F_ProductBM!$Q:$Q,$Q269,F_ProductBM!I:I),"")</f>
        <v/>
      </c>
      <c r="J269" s="412" t="str">
        <f>IF(SUMIF(F_ProductBM!$Q:$Q,$Q269,F_ProductBM!J:J)&gt;0,SUMIF(F_ProductBM!$Q:$Q,$Q269,F_ProductBM!J:J),"")</f>
        <v/>
      </c>
      <c r="K269" s="412" t="str">
        <f>IF(SUMIF(F_ProductBM!$Q:$Q,$Q269,F_ProductBM!K:K)&gt;0,SUMIF(F_ProductBM!$Q:$Q,$Q269,F_ProductBM!K:K),"")</f>
        <v/>
      </c>
      <c r="L269" s="412" t="str">
        <f>IF(SUMIF(F_ProductBM!$Q:$Q,$Q269,F_ProductBM!L:L)&gt;0,SUMIF(F_ProductBM!$Q:$Q,$Q269,F_ProductBM!L:L),"")</f>
        <v/>
      </c>
      <c r="M269" s="412" t="str">
        <f>IF(SUMIF(F_ProductBM!$Q:$Q,$Q269,F_ProductBM!M:M)&gt;0,SUMIF(F_ProductBM!$Q:$Q,$Q269,F_ProductBM!M:M),"")</f>
        <v/>
      </c>
      <c r="N269" s="412" t="str">
        <f>IF(SUMIF(F_ProductBM!$Q:$Q,$Q269,F_ProductBM!N:N)&gt;0,SUMIF(F_ProductBM!$Q:$Q,$Q269,F_ProductBM!N:N),"")</f>
        <v/>
      </c>
      <c r="O269" s="6"/>
      <c r="P269" s="15"/>
      <c r="Q269" s="355" t="str">
        <f t="shared" si="51"/>
        <v>WasteGasProd_</v>
      </c>
      <c r="R269" s="349"/>
      <c r="S269" s="349"/>
      <c r="T269" s="349"/>
      <c r="U269" s="349"/>
      <c r="V269" s="349"/>
      <c r="W269" s="349"/>
      <c r="X269" s="349"/>
      <c r="Y269" s="349"/>
      <c r="Z269" s="349"/>
      <c r="AA269" s="349"/>
      <c r="AB269" s="349"/>
      <c r="AC269" s="349"/>
      <c r="AD269" s="349"/>
      <c r="AE269" s="349"/>
    </row>
    <row r="270" spans="1:31" x14ac:dyDescent="0.25">
      <c r="A270" s="349"/>
      <c r="B270" s="19"/>
      <c r="C270" s="19"/>
      <c r="D270" s="289" t="s">
        <v>72</v>
      </c>
      <c r="E270" s="2576" t="str">
        <f t="shared" si="49"/>
        <v/>
      </c>
      <c r="F270" s="2543"/>
      <c r="G270" s="27" t="str">
        <f t="shared" si="50"/>
        <v>TJ / år</v>
      </c>
      <c r="H270" s="537" t="str">
        <f>IF(SUMIF(F_ProductBM!$Q:$Q,$Q270,F_ProductBM!H:H)&gt;0,SUMIF(F_ProductBM!$Q:$Q,$Q270,F_ProductBM!H:H),"")</f>
        <v/>
      </c>
      <c r="I270" s="537" t="str">
        <f>IF(SUMIF(F_ProductBM!$Q:$Q,$Q270,F_ProductBM!I:I)&gt;0,SUMIF(F_ProductBM!$Q:$Q,$Q270,F_ProductBM!I:I),"")</f>
        <v/>
      </c>
      <c r="J270" s="537" t="str">
        <f>IF(SUMIF(F_ProductBM!$Q:$Q,$Q270,F_ProductBM!J:J)&gt;0,SUMIF(F_ProductBM!$Q:$Q,$Q270,F_ProductBM!J:J),"")</f>
        <v/>
      </c>
      <c r="K270" s="537" t="str">
        <f>IF(SUMIF(F_ProductBM!$Q:$Q,$Q270,F_ProductBM!K:K)&gt;0,SUMIF(F_ProductBM!$Q:$Q,$Q270,F_ProductBM!K:K),"")</f>
        <v/>
      </c>
      <c r="L270" s="537" t="str">
        <f>IF(SUMIF(F_ProductBM!$Q:$Q,$Q270,F_ProductBM!L:L)&gt;0,SUMIF(F_ProductBM!$Q:$Q,$Q270,F_ProductBM!L:L),"")</f>
        <v/>
      </c>
      <c r="M270" s="537" t="str">
        <f>IF(SUMIF(F_ProductBM!$Q:$Q,$Q270,F_ProductBM!M:M)&gt;0,SUMIF(F_ProductBM!$Q:$Q,$Q270,F_ProductBM!M:M),"")</f>
        <v/>
      </c>
      <c r="N270" s="537" t="str">
        <f>IF(SUMIF(F_ProductBM!$Q:$Q,$Q270,F_ProductBM!N:N)&gt;0,SUMIF(F_ProductBM!$Q:$Q,$Q270,F_ProductBM!N:N),"")</f>
        <v/>
      </c>
      <c r="O270" s="6"/>
      <c r="P270" s="15"/>
      <c r="Q270" s="355" t="str">
        <f t="shared" si="51"/>
        <v>WasteGasProd_</v>
      </c>
      <c r="R270" s="349"/>
      <c r="S270" s="349"/>
      <c r="T270" s="349"/>
      <c r="U270" s="349"/>
      <c r="V270" s="349"/>
      <c r="W270" s="349"/>
      <c r="X270" s="349"/>
      <c r="Y270" s="349"/>
      <c r="Z270" s="349"/>
      <c r="AA270" s="349"/>
      <c r="AB270" s="349"/>
      <c r="AC270" s="349"/>
      <c r="AD270" s="349"/>
      <c r="AE270" s="349"/>
    </row>
    <row r="271" spans="1:31" ht="12.75" customHeight="1" x14ac:dyDescent="0.25">
      <c r="A271" s="349"/>
      <c r="B271" s="19"/>
      <c r="C271" s="19"/>
      <c r="D271" s="289" t="s">
        <v>73</v>
      </c>
      <c r="E271" s="2544" t="str">
        <f>Translations!$B$384</f>
        <v>Delsumma</v>
      </c>
      <c r="F271" s="2545"/>
      <c r="G271" s="43" t="str">
        <f t="shared" si="50"/>
        <v>TJ / år</v>
      </c>
      <c r="H271" s="258" t="str">
        <f t="shared" ref="H271:N271" si="52">IF(COUNT(H261:H270)&gt;0,SUM(H261:H270),"")</f>
        <v/>
      </c>
      <c r="I271" s="258" t="str">
        <f t="shared" si="52"/>
        <v/>
      </c>
      <c r="J271" s="258" t="str">
        <f t="shared" si="52"/>
        <v/>
      </c>
      <c r="K271" s="258" t="str">
        <f t="shared" si="52"/>
        <v/>
      </c>
      <c r="L271" s="258" t="str">
        <f t="shared" si="52"/>
        <v/>
      </c>
      <c r="M271" s="258" t="str">
        <f t="shared" si="52"/>
        <v/>
      </c>
      <c r="N271" s="258" t="str">
        <f t="shared" si="52"/>
        <v/>
      </c>
      <c r="O271" s="6"/>
      <c r="P271" s="15"/>
      <c r="Q271" s="349"/>
      <c r="R271" s="349"/>
      <c r="S271" s="349"/>
      <c r="T271" s="349"/>
      <c r="U271" s="349"/>
      <c r="V271" s="349"/>
      <c r="W271" s="349"/>
      <c r="X271" s="349"/>
      <c r="Y271" s="349"/>
      <c r="Z271" s="349"/>
      <c r="AA271" s="349"/>
      <c r="AB271" s="349"/>
      <c r="AC271" s="349"/>
      <c r="AD271" s="349"/>
      <c r="AE271" s="349"/>
    </row>
    <row r="272" spans="1:31" ht="5.15" customHeight="1" x14ac:dyDescent="0.25">
      <c r="A272" s="349"/>
      <c r="B272" s="3"/>
      <c r="C272" s="3"/>
      <c r="D272" s="3"/>
      <c r="E272" s="3"/>
      <c r="F272" s="3"/>
      <c r="G272" s="3"/>
      <c r="H272" s="3"/>
      <c r="I272" s="3"/>
      <c r="J272" s="3"/>
      <c r="K272" s="3"/>
      <c r="L272" s="3"/>
      <c r="M272" s="3"/>
      <c r="N272" s="3"/>
      <c r="O272" s="6"/>
      <c r="P272" s="15"/>
      <c r="Q272" s="410"/>
      <c r="R272" s="349"/>
      <c r="S272" s="349"/>
      <c r="T272" s="349"/>
      <c r="U272" s="349"/>
      <c r="V272" s="349"/>
      <c r="W272" s="349"/>
      <c r="X272" s="349"/>
      <c r="Y272" s="349"/>
      <c r="Z272" s="349"/>
      <c r="AA272" s="349"/>
      <c r="AB272" s="349"/>
      <c r="AC272" s="349"/>
      <c r="AD272" s="349"/>
      <c r="AE272" s="349"/>
    </row>
    <row r="273" spans="1:31" ht="12.75" customHeight="1" x14ac:dyDescent="0.25">
      <c r="A273" s="349"/>
      <c r="B273" s="3"/>
      <c r="C273" s="13"/>
      <c r="D273" s="13" t="s">
        <v>955</v>
      </c>
      <c r="E273" s="2530" t="str">
        <f>Translations!$B$463</f>
        <v>Restgaser som produceras utanför systemgränserna för en delanläggning med produktriktmärke</v>
      </c>
      <c r="F273" s="2531"/>
      <c r="G273" s="2531"/>
      <c r="H273" s="2531"/>
      <c r="I273" s="2531"/>
      <c r="J273" s="2531"/>
      <c r="K273" s="2531"/>
      <c r="L273" s="2531"/>
      <c r="M273" s="2531"/>
      <c r="N273" s="2531"/>
      <c r="O273" s="6"/>
      <c r="P273" s="15"/>
      <c r="Q273" s="410"/>
      <c r="R273" s="349"/>
      <c r="S273" s="349"/>
      <c r="T273" s="349"/>
      <c r="U273" s="349"/>
      <c r="V273" s="349"/>
      <c r="W273" s="349"/>
      <c r="X273" s="349"/>
      <c r="Y273" s="349"/>
      <c r="Z273" s="349"/>
      <c r="AA273" s="349"/>
      <c r="AB273" s="349"/>
      <c r="AC273" s="349"/>
      <c r="AD273" s="349"/>
      <c r="AE273" s="349"/>
    </row>
    <row r="274" spans="1:31" ht="12.75" customHeight="1" x14ac:dyDescent="0.25">
      <c r="A274" s="349"/>
      <c r="B274" s="3"/>
      <c r="C274" s="15"/>
      <c r="D274" s="15"/>
      <c r="E274" s="2584" t="str">
        <f>Translations!$B$464</f>
        <v>Information hämtas från avsnitt D.IV. Om detta är relevant måste ni säkerställa att ni har angett fullständiga uppgifter där.</v>
      </c>
      <c r="F274" s="2531"/>
      <c r="G274" s="2531"/>
      <c r="H274" s="2531"/>
      <c r="I274" s="2531"/>
      <c r="J274" s="2531"/>
      <c r="K274" s="2531"/>
      <c r="L274" s="2531"/>
      <c r="M274" s="2531"/>
      <c r="N274" s="2531"/>
      <c r="O274" s="6"/>
      <c r="P274" s="15"/>
      <c r="Q274" s="410"/>
      <c r="R274" s="349"/>
      <c r="S274" s="349"/>
      <c r="T274" s="349"/>
      <c r="U274" s="349"/>
      <c r="V274" s="349"/>
      <c r="W274" s="349"/>
      <c r="X274" s="349"/>
      <c r="Y274" s="349"/>
      <c r="Z274" s="349"/>
      <c r="AA274" s="349"/>
      <c r="AB274" s="349"/>
      <c r="AC274" s="349"/>
      <c r="AD274" s="349"/>
      <c r="AE274" s="349"/>
    </row>
    <row r="275" spans="1:31" ht="12.75" customHeight="1" x14ac:dyDescent="0.25">
      <c r="A275" s="349"/>
      <c r="B275" s="3"/>
      <c r="C275" s="15"/>
      <c r="D275" s="15"/>
      <c r="E275" s="2533" t="str">
        <f>Translations!$B$465</f>
        <v>Notera att de uppgifter som lämnats där kan avse restgaser som produceras vid andra anläggningar från vilka de importeras.</v>
      </c>
      <c r="F275" s="2531"/>
      <c r="G275" s="2531"/>
      <c r="H275" s="2531"/>
      <c r="I275" s="2531"/>
      <c r="J275" s="2531"/>
      <c r="K275" s="2531"/>
      <c r="L275" s="2531"/>
      <c r="M275" s="2531"/>
      <c r="N275" s="2531"/>
      <c r="O275" s="6"/>
      <c r="P275" s="15"/>
      <c r="Q275" s="410"/>
      <c r="R275" s="349"/>
      <c r="S275" s="349"/>
      <c r="T275" s="349"/>
      <c r="U275" s="349"/>
      <c r="V275" s="349"/>
      <c r="W275" s="349"/>
      <c r="X275" s="349"/>
      <c r="Y275" s="349"/>
      <c r="Z275" s="349"/>
      <c r="AA275" s="349"/>
      <c r="AB275" s="349"/>
      <c r="AC275" s="349"/>
      <c r="AD275" s="349"/>
      <c r="AE275" s="349"/>
    </row>
    <row r="276" spans="1:31" ht="13" customHeight="1" x14ac:dyDescent="0.25">
      <c r="A276" s="349"/>
      <c r="B276" s="19"/>
      <c r="C276" s="19"/>
      <c r="D276" s="19"/>
      <c r="E276" s="2528" t="str">
        <f>Translations!$B$466</f>
        <v>från avsnitt D.IV.</v>
      </c>
      <c r="F276" s="2529"/>
      <c r="G276" s="30" t="str">
        <f>EUconst_Unit</f>
        <v>Enhet</v>
      </c>
      <c r="H276" s="320">
        <f t="shared" ref="H276:N276" si="53">H$393</f>
        <v>2019</v>
      </c>
      <c r="I276" s="320">
        <f t="shared" si="53"/>
        <v>2020</v>
      </c>
      <c r="J276" s="320">
        <f t="shared" si="53"/>
        <v>2021</v>
      </c>
      <c r="K276" s="320">
        <f t="shared" si="53"/>
        <v>2022</v>
      </c>
      <c r="L276" s="320">
        <f t="shared" si="53"/>
        <v>2023</v>
      </c>
      <c r="M276" s="320">
        <f t="shared" si="53"/>
        <v>2024</v>
      </c>
      <c r="N276" s="342">
        <f t="shared" si="53"/>
        <v>2025</v>
      </c>
      <c r="O276" s="6"/>
      <c r="P276" s="15"/>
      <c r="Q276" s="349"/>
      <c r="R276" s="349"/>
      <c r="S276" s="349"/>
      <c r="T276" s="349"/>
      <c r="U276" s="349"/>
      <c r="V276" s="349"/>
      <c r="W276" s="349"/>
      <c r="X276" s="349"/>
      <c r="Y276" s="349"/>
      <c r="Z276" s="349"/>
      <c r="AA276" s="349"/>
      <c r="AB276" s="349"/>
      <c r="AC276" s="349"/>
      <c r="AD276" s="349"/>
      <c r="AE276" s="349"/>
    </row>
    <row r="277" spans="1:31" x14ac:dyDescent="0.25">
      <c r="A277" s="349"/>
      <c r="B277" s="19"/>
      <c r="C277" s="19"/>
      <c r="D277" s="175" t="s">
        <v>8</v>
      </c>
      <c r="E277" s="2585" t="str">
        <f>Translations!$B$467</f>
        <v>Restgas 1</v>
      </c>
      <c r="F277" s="2535"/>
      <c r="G277" s="25" t="str">
        <f>EUconst_TJpa</f>
        <v>TJ / år</v>
      </c>
      <c r="H277" s="536" t="str">
        <f>IF(SUMIF(D_Emissions!$Q$203:$Q$252,$Q277,D_Emissions!R$203:R$252)&gt;0,SUMIF(D_Emissions!$Q$203:$Q$252,$Q277,D_Emissions!R$203:R$252),"")</f>
        <v/>
      </c>
      <c r="I277" s="536" t="str">
        <f>IF(SUMIF(D_Emissions!$Q$203:$Q$252,$Q277,D_Emissions!S$203:S$252)&gt;0,SUMIF(D_Emissions!$Q$203:$Q$252,$Q277,D_Emissions!S$203:S$252),"")</f>
        <v/>
      </c>
      <c r="J277" s="536" t="str">
        <f>IF(SUMIF(D_Emissions!$Q$203:$Q$252,$Q277,D_Emissions!T$203:T$252)&gt;0,SUMIF(D_Emissions!$Q$203:$Q$252,$Q277,D_Emissions!T$203:T$252),"")</f>
        <v/>
      </c>
      <c r="K277" s="536" t="str">
        <f>IF(SUMIF(D_Emissions!$Q$203:$Q$252,$Q277,D_Emissions!U$203:U$252)&gt;0,SUMIF(D_Emissions!$Q$203:$Q$252,$Q277,D_Emissions!U$203:U$252),"")</f>
        <v/>
      </c>
      <c r="L277" s="536" t="str">
        <f>IF(SUMIF(D_Emissions!$Q$203:$Q$252,$Q277,D_Emissions!V$203:V$252)&gt;0,SUMIF(D_Emissions!$Q$203:$Q$252,$Q277,D_Emissions!V$203:V$252),"")</f>
        <v/>
      </c>
      <c r="M277" s="536" t="str">
        <f>IF(SUMIF(D_Emissions!$Q$203:$Q$252,$Q277,D_Emissions!W$203:W$252)&gt;0,SUMIF(D_Emissions!$Q$203:$Q$252,$Q277,D_Emissions!W$203:W$252),"")</f>
        <v/>
      </c>
      <c r="N277" s="536" t="str">
        <f>IF(SUMIF(D_Emissions!$Q$203:$Q$252,$Q277,D_Emissions!X$203:X$252)&gt;0,SUMIF(D_Emissions!$Q$203:$Q$252,$Q277,D_Emissions!X$203:X$252),"")</f>
        <v/>
      </c>
      <c r="O277" s="6"/>
      <c r="P277" s="15"/>
      <c r="Q277" s="540" t="str">
        <f>EUconst_CNTR_WGProduced &amp; R277</f>
        <v>WasteGasProd_1</v>
      </c>
      <c r="R277" s="355">
        <v>1</v>
      </c>
      <c r="S277" s="349"/>
      <c r="T277" s="349"/>
      <c r="U277" s="349"/>
      <c r="V277" s="349"/>
      <c r="W277" s="349"/>
      <c r="X277" s="349"/>
      <c r="Y277" s="349"/>
      <c r="Z277" s="349"/>
      <c r="AA277" s="349"/>
      <c r="AB277" s="349"/>
      <c r="AC277" s="349"/>
      <c r="AD277" s="349"/>
      <c r="AE277" s="349"/>
    </row>
    <row r="278" spans="1:31" x14ac:dyDescent="0.25">
      <c r="A278" s="349"/>
      <c r="B278" s="19"/>
      <c r="C278" s="19"/>
      <c r="D278" s="175" t="s">
        <v>9</v>
      </c>
      <c r="E278" s="2542" t="str">
        <f>Translations!$B$468</f>
        <v>Restgas 2</v>
      </c>
      <c r="F278" s="2543"/>
      <c r="G278" s="26" t="str">
        <f>EUconst_TJpa</f>
        <v>TJ / år</v>
      </c>
      <c r="H278" s="537" t="str">
        <f>IF(SUMIF(D_Emissions!$Q$203:$Q$252,$Q278,D_Emissions!R$203:R$252)&gt;0,SUMIF(D_Emissions!$Q$203:$Q$252,$Q278,D_Emissions!R$203:R$252),"")</f>
        <v/>
      </c>
      <c r="I278" s="537" t="str">
        <f>IF(SUMIF(D_Emissions!$Q$203:$Q$252,$Q278,D_Emissions!S$203:S$252)&gt;0,SUMIF(D_Emissions!$Q$203:$Q$252,$Q278,D_Emissions!S$203:S$252),"")</f>
        <v/>
      </c>
      <c r="J278" s="537" t="str">
        <f>IF(SUMIF(D_Emissions!$Q$203:$Q$252,$Q278,D_Emissions!T$203:T$252)&gt;0,SUMIF(D_Emissions!$Q$203:$Q$252,$Q278,D_Emissions!T$203:T$252),"")</f>
        <v/>
      </c>
      <c r="K278" s="537" t="str">
        <f>IF(SUMIF(D_Emissions!$Q$203:$Q$252,$Q278,D_Emissions!U$203:U$252)&gt;0,SUMIF(D_Emissions!$Q$203:$Q$252,$Q278,D_Emissions!U$203:U$252),"")</f>
        <v/>
      </c>
      <c r="L278" s="537" t="str">
        <f>IF(SUMIF(D_Emissions!$Q$203:$Q$252,$Q278,D_Emissions!V$203:V$252)&gt;0,SUMIF(D_Emissions!$Q$203:$Q$252,$Q278,D_Emissions!V$203:V$252),"")</f>
        <v/>
      </c>
      <c r="M278" s="537" t="str">
        <f>IF(SUMIF(D_Emissions!$Q$203:$Q$252,$Q278,D_Emissions!W$203:W$252)&gt;0,SUMIF(D_Emissions!$Q$203:$Q$252,$Q278,D_Emissions!W$203:W$252),"")</f>
        <v/>
      </c>
      <c r="N278" s="537" t="str">
        <f>IF(SUMIF(D_Emissions!$Q$203:$Q$252,$Q278,D_Emissions!X$203:X$252)&gt;0,SUMIF(D_Emissions!$Q$203:$Q$252,$Q278,D_Emissions!X$203:X$252),"")</f>
        <v/>
      </c>
      <c r="O278" s="6"/>
      <c r="P278" s="15"/>
      <c r="Q278" s="540" t="str">
        <f>EUconst_CNTR_WGProduced &amp; R278</f>
        <v>WasteGasProd_2</v>
      </c>
      <c r="R278" s="355">
        <v>2</v>
      </c>
      <c r="S278" s="349"/>
      <c r="T278" s="349"/>
      <c r="U278" s="349"/>
      <c r="V278" s="349"/>
      <c r="W278" s="349"/>
      <c r="X278" s="349"/>
      <c r="Y278" s="349"/>
      <c r="Z278" s="349"/>
      <c r="AA278" s="349"/>
      <c r="AB278" s="349"/>
      <c r="AC278" s="349"/>
      <c r="AD278" s="349"/>
      <c r="AE278" s="349"/>
    </row>
    <row r="279" spans="1:31" ht="12.75" customHeight="1" x14ac:dyDescent="0.25">
      <c r="A279" s="349"/>
      <c r="B279" s="19"/>
      <c r="C279" s="19"/>
      <c r="D279" s="289" t="s">
        <v>10</v>
      </c>
      <c r="E279" s="2544" t="str">
        <f>Translations!$B$384</f>
        <v>Delsumma</v>
      </c>
      <c r="F279" s="2545"/>
      <c r="G279" s="43" t="str">
        <f>EUconst_TJpa</f>
        <v>TJ / år</v>
      </c>
      <c r="H279" s="258" t="str">
        <f t="shared" ref="H279:N279" si="54">IF(COUNT(H277:H278)&gt;0,SUM(H277:H278),"")</f>
        <v/>
      </c>
      <c r="I279" s="258" t="str">
        <f t="shared" si="54"/>
        <v/>
      </c>
      <c r="J279" s="258" t="str">
        <f t="shared" si="54"/>
        <v/>
      </c>
      <c r="K279" s="258" t="str">
        <f t="shared" si="54"/>
        <v/>
      </c>
      <c r="L279" s="258" t="str">
        <f t="shared" si="54"/>
        <v/>
      </c>
      <c r="M279" s="258" t="str">
        <f t="shared" si="54"/>
        <v/>
      </c>
      <c r="N279" s="258" t="str">
        <f t="shared" si="54"/>
        <v/>
      </c>
      <c r="O279" s="6"/>
      <c r="P279" s="15"/>
      <c r="Q279" s="349"/>
      <c r="R279" s="349"/>
      <c r="S279" s="349"/>
      <c r="T279" s="349"/>
      <c r="U279" s="349"/>
      <c r="V279" s="349"/>
      <c r="W279" s="349"/>
      <c r="X279" s="349"/>
      <c r="Y279" s="349"/>
      <c r="Z279" s="349"/>
      <c r="AA279" s="349"/>
      <c r="AB279" s="349"/>
      <c r="AC279" s="349"/>
      <c r="AD279" s="349"/>
      <c r="AE279" s="349"/>
    </row>
    <row r="280" spans="1:31" ht="5.15" customHeight="1" x14ac:dyDescent="0.25">
      <c r="A280" s="349"/>
      <c r="B280" s="3"/>
      <c r="C280" s="3"/>
      <c r="D280" s="3"/>
      <c r="E280" s="3"/>
      <c r="F280" s="3"/>
      <c r="G280" s="3"/>
      <c r="H280" s="3"/>
      <c r="I280" s="3"/>
      <c r="J280" s="3"/>
      <c r="K280" s="3"/>
      <c r="L280" s="3"/>
      <c r="M280" s="3"/>
      <c r="N280" s="3"/>
      <c r="O280" s="6"/>
      <c r="P280" s="15"/>
      <c r="Q280" s="410"/>
      <c r="R280" s="349"/>
      <c r="S280" s="349"/>
      <c r="T280" s="349"/>
      <c r="U280" s="349"/>
      <c r="V280" s="349"/>
      <c r="W280" s="349"/>
      <c r="X280" s="349"/>
      <c r="Y280" s="349"/>
      <c r="Z280" s="349"/>
      <c r="AA280" s="349"/>
      <c r="AB280" s="349"/>
      <c r="AC280" s="349"/>
      <c r="AD280" s="349"/>
      <c r="AE280" s="349"/>
    </row>
    <row r="281" spans="1:31" ht="13" customHeight="1" x14ac:dyDescent="0.25">
      <c r="A281" s="349"/>
      <c r="B281" s="3"/>
      <c r="C281" s="13"/>
      <c r="D281" s="13" t="s">
        <v>55</v>
      </c>
      <c r="E281" s="2528" t="str">
        <f>Translations!$B$469</f>
        <v>Summa av restgaser (= a+b)</v>
      </c>
      <c r="F281" s="2528"/>
      <c r="G281" s="2528"/>
      <c r="H281" s="2528"/>
      <c r="I281" s="2528"/>
      <c r="J281" s="2528"/>
      <c r="K281" s="2528"/>
      <c r="L281" s="2528"/>
      <c r="M281" s="2528"/>
      <c r="N281" s="2528"/>
      <c r="O281" s="6"/>
      <c r="P281" s="15"/>
      <c r="Q281" s="410"/>
      <c r="R281" s="349"/>
      <c r="S281" s="349"/>
      <c r="T281" s="349"/>
      <c r="U281" s="349"/>
      <c r="V281" s="349"/>
      <c r="W281" s="349"/>
      <c r="X281" s="349"/>
      <c r="Y281" s="349"/>
      <c r="Z281" s="349"/>
      <c r="AA281" s="349"/>
      <c r="AB281" s="349"/>
      <c r="AC281" s="349"/>
      <c r="AD281" s="349"/>
      <c r="AE281" s="349"/>
    </row>
    <row r="282" spans="1:31" ht="12.65" customHeight="1" x14ac:dyDescent="0.25">
      <c r="A282" s="349"/>
      <c r="B282" s="19"/>
      <c r="C282" s="19"/>
      <c r="D282" s="19"/>
      <c r="E282" s="2546" t="str">
        <f>Translations!$B$470</f>
        <v>Producerade restgaser</v>
      </c>
      <c r="F282" s="2545"/>
      <c r="G282" s="47" t="str">
        <f>EUconst_TJpa</f>
        <v>TJ / år</v>
      </c>
      <c r="H282" s="258" t="str">
        <f t="shared" ref="H282:N282" si="55">IF(COUNT(H271,H279)&gt;0,SUM(H271,H279),"")</f>
        <v/>
      </c>
      <c r="I282" s="258" t="str">
        <f t="shared" si="55"/>
        <v/>
      </c>
      <c r="J282" s="258" t="str">
        <f t="shared" si="55"/>
        <v/>
      </c>
      <c r="K282" s="258" t="str">
        <f t="shared" si="55"/>
        <v/>
      </c>
      <c r="L282" s="258" t="str">
        <f t="shared" si="55"/>
        <v/>
      </c>
      <c r="M282" s="258" t="str">
        <f t="shared" si="55"/>
        <v/>
      </c>
      <c r="N282" s="258" t="str">
        <f t="shared" si="55"/>
        <v/>
      </c>
      <c r="O282" s="6"/>
      <c r="P282" s="15"/>
      <c r="Q282" s="349"/>
      <c r="R282" s="349"/>
      <c r="S282" s="349"/>
      <c r="T282" s="349"/>
      <c r="U282" s="349"/>
      <c r="V282" s="349"/>
      <c r="W282" s="349"/>
      <c r="X282" s="349"/>
      <c r="Y282" s="349"/>
      <c r="Z282" s="349"/>
      <c r="AA282" s="349"/>
      <c r="AB282" s="349"/>
      <c r="AC282" s="349"/>
      <c r="AD282" s="349"/>
      <c r="AE282" s="349"/>
    </row>
    <row r="283" spans="1:31" ht="5.15" customHeight="1" x14ac:dyDescent="0.25">
      <c r="A283" s="349"/>
      <c r="B283" s="19"/>
      <c r="C283" s="19"/>
      <c r="D283" s="19"/>
      <c r="E283" s="19"/>
      <c r="F283" s="19"/>
      <c r="G283" s="19"/>
      <c r="H283" s="19"/>
      <c r="I283" s="19"/>
      <c r="J283" s="19"/>
      <c r="K283" s="19"/>
      <c r="L283" s="19"/>
      <c r="M283" s="19"/>
      <c r="N283" s="19"/>
      <c r="O283" s="6"/>
      <c r="P283" s="15"/>
      <c r="Q283" s="349"/>
      <c r="R283" s="349"/>
      <c r="S283" s="349"/>
      <c r="T283" s="349"/>
      <c r="U283" s="349"/>
      <c r="V283" s="349"/>
      <c r="W283" s="349"/>
      <c r="X283" s="349"/>
      <c r="Y283" s="349"/>
      <c r="Z283" s="349"/>
      <c r="AA283" s="349"/>
      <c r="AB283" s="349"/>
      <c r="AC283" s="349"/>
      <c r="AD283" s="349"/>
      <c r="AE283" s="349"/>
    </row>
    <row r="284" spans="1:31" ht="13" customHeight="1" x14ac:dyDescent="0.25">
      <c r="A284" s="349"/>
      <c r="B284" s="3"/>
      <c r="C284" s="13"/>
      <c r="D284" s="13" t="s">
        <v>960</v>
      </c>
      <c r="E284" s="2530" t="str">
        <f>Translations!$B$471</f>
        <v>Restgaser som importeras från andra anläggningar eller enheter</v>
      </c>
      <c r="F284" s="2531"/>
      <c r="G284" s="2531"/>
      <c r="H284" s="2531"/>
      <c r="I284" s="2531"/>
      <c r="J284" s="2531"/>
      <c r="K284" s="2531"/>
      <c r="L284" s="2531"/>
      <c r="M284" s="2531"/>
      <c r="N284" s="2531"/>
      <c r="O284" s="6"/>
      <c r="P284" s="15"/>
      <c r="Q284" s="410"/>
      <c r="R284" s="349"/>
      <c r="S284" s="349"/>
      <c r="T284" s="349"/>
      <c r="U284" s="349"/>
      <c r="V284" s="349"/>
      <c r="W284" s="349"/>
      <c r="X284" s="349"/>
      <c r="Y284" s="349"/>
      <c r="Z284" s="349"/>
      <c r="AA284" s="349"/>
      <c r="AB284" s="349"/>
      <c r="AC284" s="349"/>
      <c r="AD284" s="349"/>
      <c r="AE284" s="349"/>
    </row>
    <row r="285" spans="1:31" ht="12.75" customHeight="1" x14ac:dyDescent="0.25">
      <c r="A285" s="349"/>
      <c r="B285" s="3"/>
      <c r="C285" s="15"/>
      <c r="D285" s="15"/>
      <c r="E285" s="2533" t="str">
        <f>Translations!$B$382</f>
        <v>Anläggningarnas namn i nedrullningslistan har hämtats från avsnitt A.IV. Därför måste ni säkerställa att ni har angett fullständiga uppgifter där.</v>
      </c>
      <c r="F285" s="2531"/>
      <c r="G285" s="2531"/>
      <c r="H285" s="2531"/>
      <c r="I285" s="2531"/>
      <c r="J285" s="2531"/>
      <c r="K285" s="2531"/>
      <c r="L285" s="2531"/>
      <c r="M285" s="2531"/>
      <c r="N285" s="2531"/>
      <c r="O285" s="6"/>
      <c r="P285" s="15"/>
      <c r="Q285" s="410"/>
      <c r="R285" s="349"/>
      <c r="S285" s="349"/>
      <c r="T285" s="349"/>
      <c r="U285" s="349"/>
      <c r="V285" s="349"/>
      <c r="W285" s="349"/>
      <c r="X285" s="349"/>
      <c r="Y285" s="349"/>
      <c r="Z285" s="349"/>
      <c r="AA285" s="349"/>
      <c r="AB285" s="349"/>
      <c r="AC285" s="349"/>
      <c r="AD285" s="349"/>
      <c r="AE285" s="349"/>
    </row>
    <row r="286" spans="1:31" ht="12.75" customHeight="1" x14ac:dyDescent="0.25">
      <c r="A286" s="349"/>
      <c r="B286" s="3"/>
      <c r="C286" s="15"/>
      <c r="D286" s="15"/>
      <c r="E286" s="2533" t="str">
        <f>Translations!$B$472</f>
        <v>Var god se till att ingen dubbelräkning görs med punkt b, om importerade mängder tagits med där.</v>
      </c>
      <c r="F286" s="2531"/>
      <c r="G286" s="2531"/>
      <c r="H286" s="2531"/>
      <c r="I286" s="2531"/>
      <c r="J286" s="2531"/>
      <c r="K286" s="2531"/>
      <c r="L286" s="2531"/>
      <c r="M286" s="2531"/>
      <c r="N286" s="2531"/>
      <c r="O286" s="6"/>
      <c r="P286" s="15"/>
      <c r="Q286" s="410"/>
      <c r="R286" s="349"/>
      <c r="S286" s="349"/>
      <c r="T286" s="349"/>
      <c r="U286" s="349"/>
      <c r="V286" s="349"/>
      <c r="W286" s="349"/>
      <c r="X286" s="349"/>
      <c r="Y286" s="349"/>
      <c r="Z286" s="349"/>
      <c r="AA286" s="349"/>
      <c r="AB286" s="349"/>
      <c r="AC286" s="349"/>
      <c r="AD286" s="349"/>
      <c r="AE286" s="349"/>
    </row>
    <row r="287" spans="1:31" ht="12.75" customHeight="1" thickBot="1" x14ac:dyDescent="0.3">
      <c r="A287" s="349"/>
      <c r="B287" s="19"/>
      <c r="C287" s="19"/>
      <c r="D287" s="19"/>
      <c r="E287" s="2528" t="str">
        <f>Translations!$B$202</f>
        <v>Anläggningens eller enhetens namn</v>
      </c>
      <c r="F287" s="2529"/>
      <c r="G287" s="30" t="str">
        <f>EUconst_Unit</f>
        <v>Enhet</v>
      </c>
      <c r="H287" s="320">
        <f t="shared" ref="H287:N287" si="56">H$393</f>
        <v>2019</v>
      </c>
      <c r="I287" s="320">
        <f t="shared" si="56"/>
        <v>2020</v>
      </c>
      <c r="J287" s="320">
        <f t="shared" si="56"/>
        <v>2021</v>
      </c>
      <c r="K287" s="320">
        <f t="shared" si="56"/>
        <v>2022</v>
      </c>
      <c r="L287" s="320">
        <f t="shared" si="56"/>
        <v>2023</v>
      </c>
      <c r="M287" s="320">
        <f t="shared" si="56"/>
        <v>2024</v>
      </c>
      <c r="N287" s="342">
        <f t="shared" si="56"/>
        <v>2025</v>
      </c>
      <c r="O287" s="6"/>
      <c r="P287" s="15"/>
      <c r="Q287" s="349"/>
      <c r="R287" s="349"/>
      <c r="S287" s="349"/>
      <c r="T287" s="936" t="s">
        <v>1213</v>
      </c>
      <c r="U287" s="349"/>
      <c r="V287" s="349"/>
      <c r="W287" s="349"/>
      <c r="X287" s="349"/>
      <c r="Y287" s="349"/>
      <c r="Z287" s="349"/>
      <c r="AA287" s="349"/>
      <c r="AB287" s="349"/>
      <c r="AC287" s="349"/>
      <c r="AD287" s="349"/>
      <c r="AE287" s="349"/>
    </row>
    <row r="288" spans="1:31" x14ac:dyDescent="0.25">
      <c r="A288" s="349"/>
      <c r="B288" s="19"/>
      <c r="C288" s="175"/>
      <c r="D288" s="175" t="s">
        <v>8</v>
      </c>
      <c r="E288" s="2550"/>
      <c r="F288" s="2551"/>
      <c r="G288" s="32" t="str">
        <f>EUconst_TJpa</f>
        <v>TJ / år</v>
      </c>
      <c r="H288" s="280"/>
      <c r="I288" s="280"/>
      <c r="J288" s="280"/>
      <c r="K288" s="280"/>
      <c r="L288" s="280"/>
      <c r="M288" s="280"/>
      <c r="N288" s="280"/>
      <c r="O288" s="6"/>
      <c r="P288" s="1552"/>
      <c r="Q288" s="349"/>
      <c r="R288" s="349"/>
      <c r="S288" s="349"/>
      <c r="T288" s="503" t="b">
        <f>AND(M254&lt;&gt;"",M254=FALSE)</f>
        <v>0</v>
      </c>
      <c r="U288" s="349"/>
      <c r="V288" s="349"/>
      <c r="W288" s="349"/>
      <c r="X288" s="349"/>
      <c r="Y288" s="349"/>
      <c r="Z288" s="349"/>
      <c r="AA288" s="349"/>
      <c r="AB288" s="349"/>
      <c r="AC288" s="349"/>
      <c r="AD288" s="1526" t="s">
        <v>2248</v>
      </c>
      <c r="AE288" s="394" t="str">
        <f>IF(AND(CNTR_HasEntries_A_I,E288&lt;&gt;"",T288=FALSE,COUNTIFS($V$16:$AB$16,FALSE,H288:N288,"")&gt;0),4,"")</f>
        <v/>
      </c>
    </row>
    <row r="289" spans="1:31" x14ac:dyDescent="0.25">
      <c r="A289" s="349"/>
      <c r="B289" s="19"/>
      <c r="C289" s="175"/>
      <c r="D289" s="175" t="s">
        <v>9</v>
      </c>
      <c r="E289" s="2536"/>
      <c r="F289" s="2537"/>
      <c r="G289" s="33" t="str">
        <f>EUconst_TJpa</f>
        <v>TJ / år</v>
      </c>
      <c r="H289" s="279"/>
      <c r="I289" s="279"/>
      <c r="J289" s="279"/>
      <c r="K289" s="279"/>
      <c r="L289" s="279"/>
      <c r="M289" s="279"/>
      <c r="N289" s="279"/>
      <c r="O289" s="6"/>
      <c r="P289" s="1552"/>
      <c r="Q289" s="349"/>
      <c r="R289" s="349"/>
      <c r="S289" s="349"/>
      <c r="T289" s="490" t="b">
        <f>T288</f>
        <v>0</v>
      </c>
      <c r="U289" s="349"/>
      <c r="V289" s="349"/>
      <c r="W289" s="349"/>
      <c r="X289" s="349"/>
      <c r="Y289" s="349"/>
      <c r="Z289" s="349"/>
      <c r="AA289" s="349"/>
      <c r="AB289" s="349"/>
      <c r="AC289" s="349"/>
      <c r="AD289" s="1526" t="s">
        <v>2248</v>
      </c>
      <c r="AE289" s="394" t="str">
        <f>IF(AND(CNTR_HasEntries_A_I,E289&lt;&gt;"",T289=FALSE,COUNTIFS($V$16:$AB$16,FALSE,H289:N289,"")&gt;0),4,"")</f>
        <v/>
      </c>
    </row>
    <row r="290" spans="1:31" x14ac:dyDescent="0.25">
      <c r="A290" s="349"/>
      <c r="B290" s="19"/>
      <c r="C290" s="175"/>
      <c r="D290" s="175" t="s">
        <v>10</v>
      </c>
      <c r="E290" s="2538"/>
      <c r="F290" s="2539"/>
      <c r="G290" s="36" t="str">
        <f>EUconst_TJpa</f>
        <v>TJ / år</v>
      </c>
      <c r="H290" s="277"/>
      <c r="I290" s="277"/>
      <c r="J290" s="277"/>
      <c r="K290" s="277"/>
      <c r="L290" s="277"/>
      <c r="M290" s="277"/>
      <c r="N290" s="277"/>
      <c r="O290" s="6"/>
      <c r="P290" s="1552"/>
      <c r="Q290" s="349"/>
      <c r="R290" s="349"/>
      <c r="S290" s="349"/>
      <c r="T290" s="490" t="b">
        <f>T289</f>
        <v>0</v>
      </c>
      <c r="U290" s="349"/>
      <c r="V290" s="349"/>
      <c r="W290" s="349"/>
      <c r="X290" s="349"/>
      <c r="Y290" s="349"/>
      <c r="Z290" s="349"/>
      <c r="AA290" s="349"/>
      <c r="AB290" s="349"/>
      <c r="AC290" s="349"/>
      <c r="AD290" s="1526" t="s">
        <v>2248</v>
      </c>
      <c r="AE290" s="394" t="str">
        <f>IF(AND(CNTR_HasEntries_A_I,E290&lt;&gt;"",T290=FALSE,COUNTIFS($V$16:$AB$16,FALSE,H290:N290,"")&gt;0),4,"")</f>
        <v/>
      </c>
    </row>
    <row r="291" spans="1:31" x14ac:dyDescent="0.25">
      <c r="A291" s="349"/>
      <c r="B291" s="19"/>
      <c r="C291" s="175"/>
      <c r="D291" s="175" t="s">
        <v>23</v>
      </c>
      <c r="E291" s="1034" t="str">
        <f>Translations!$B$384</f>
        <v>Delsumma</v>
      </c>
      <c r="F291" s="1034"/>
      <c r="G291" s="47" t="str">
        <f>EUconst_TJpa</f>
        <v>TJ / år</v>
      </c>
      <c r="H291" s="258" t="str">
        <f t="shared" ref="H291:N291" si="57">IF(COUNT(H288:H290)&gt;0,SUM(H288:H290),"")</f>
        <v/>
      </c>
      <c r="I291" s="258" t="str">
        <f t="shared" si="57"/>
        <v/>
      </c>
      <c r="J291" s="258" t="str">
        <f t="shared" si="57"/>
        <v/>
      </c>
      <c r="K291" s="258" t="str">
        <f t="shared" si="57"/>
        <v/>
      </c>
      <c r="L291" s="258" t="str">
        <f t="shared" si="57"/>
        <v/>
      </c>
      <c r="M291" s="258" t="str">
        <f t="shared" si="57"/>
        <v/>
      </c>
      <c r="N291" s="258" t="str">
        <f t="shared" si="57"/>
        <v/>
      </c>
      <c r="O291" s="6"/>
      <c r="P291" s="15"/>
      <c r="Q291" s="349"/>
      <c r="R291" s="349"/>
      <c r="S291" s="349"/>
      <c r="T291" s="543"/>
      <c r="U291" s="349"/>
      <c r="V291" s="349"/>
      <c r="W291" s="349"/>
      <c r="X291" s="349"/>
      <c r="Y291" s="349"/>
      <c r="Z291" s="349"/>
      <c r="AA291" s="349"/>
      <c r="AB291" s="349"/>
      <c r="AC291" s="349"/>
      <c r="AD291" s="349"/>
      <c r="AE291" s="349"/>
    </row>
    <row r="292" spans="1:31" ht="5.15" customHeight="1" x14ac:dyDescent="0.25">
      <c r="A292" s="349"/>
      <c r="B292" s="3"/>
      <c r="C292" s="3"/>
      <c r="D292" s="3"/>
      <c r="E292" s="3"/>
      <c r="F292" s="3"/>
      <c r="G292" s="3"/>
      <c r="H292" s="3"/>
      <c r="I292" s="3"/>
      <c r="J292" s="3"/>
      <c r="K292" s="3"/>
      <c r="L292" s="3"/>
      <c r="M292" s="3"/>
      <c r="N292" s="3"/>
      <c r="O292" s="6"/>
      <c r="P292" s="15"/>
      <c r="Q292" s="410"/>
      <c r="R292" s="349"/>
      <c r="S292" s="349"/>
      <c r="T292" s="543"/>
      <c r="U292" s="349"/>
      <c r="V292" s="349"/>
      <c r="W292" s="349"/>
      <c r="X292" s="349"/>
      <c r="Y292" s="349"/>
      <c r="Z292" s="349"/>
      <c r="AA292" s="349"/>
      <c r="AB292" s="349"/>
      <c r="AC292" s="349"/>
      <c r="AD292" s="349"/>
      <c r="AE292" s="349"/>
    </row>
    <row r="293" spans="1:31" ht="12.75" customHeight="1" x14ac:dyDescent="0.25">
      <c r="A293" s="349"/>
      <c r="B293" s="3"/>
      <c r="C293" s="13"/>
      <c r="D293" s="13" t="s">
        <v>65</v>
      </c>
      <c r="E293" s="2530" t="str">
        <f>Translations!$B$473</f>
        <v>Restgaser som exporteras från andra anläggningar eller enheter</v>
      </c>
      <c r="F293" s="2531"/>
      <c r="G293" s="2531"/>
      <c r="H293" s="2531"/>
      <c r="I293" s="2531"/>
      <c r="J293" s="2531"/>
      <c r="K293" s="2531"/>
      <c r="L293" s="2531"/>
      <c r="M293" s="2531"/>
      <c r="N293" s="2531"/>
      <c r="O293" s="6"/>
      <c r="P293" s="15"/>
      <c r="Q293" s="410"/>
      <c r="R293" s="349"/>
      <c r="S293" s="349"/>
      <c r="T293" s="543"/>
      <c r="U293" s="349"/>
      <c r="V293" s="349"/>
      <c r="W293" s="349"/>
      <c r="X293" s="349"/>
      <c r="Y293" s="349"/>
      <c r="Z293" s="349"/>
      <c r="AA293" s="349"/>
      <c r="AB293" s="349"/>
      <c r="AC293" s="349"/>
      <c r="AD293" s="349"/>
      <c r="AE293" s="349"/>
    </row>
    <row r="294" spans="1:31" ht="12.75" customHeight="1" x14ac:dyDescent="0.25">
      <c r="A294" s="349"/>
      <c r="B294" s="3"/>
      <c r="C294" s="15"/>
      <c r="D294" s="15"/>
      <c r="E294" s="2533" t="str">
        <f>Translations!$B$382</f>
        <v>Anläggningarnas namn i nedrullningslistan har hämtats från avsnitt A.IV. Därför måste ni säkerställa att ni har angett fullständiga uppgifter där.</v>
      </c>
      <c r="F294" s="2531"/>
      <c r="G294" s="2531"/>
      <c r="H294" s="2531"/>
      <c r="I294" s="2531"/>
      <c r="J294" s="2531"/>
      <c r="K294" s="2531"/>
      <c r="L294" s="2531"/>
      <c r="M294" s="2531"/>
      <c r="N294" s="2531"/>
      <c r="O294" s="6"/>
      <c r="P294" s="15"/>
      <c r="Q294" s="410"/>
      <c r="R294" s="349"/>
      <c r="S294" s="349"/>
      <c r="T294" s="543"/>
      <c r="U294" s="349"/>
      <c r="V294" s="349"/>
      <c r="W294" s="349"/>
      <c r="X294" s="349"/>
      <c r="Y294" s="349"/>
      <c r="Z294" s="349"/>
      <c r="AA294" s="349"/>
      <c r="AB294" s="349"/>
      <c r="AC294" s="349"/>
      <c r="AD294" s="349"/>
      <c r="AE294" s="349"/>
    </row>
    <row r="295" spans="1:31" ht="13" customHeight="1" x14ac:dyDescent="0.25">
      <c r="A295" s="349"/>
      <c r="B295" s="19"/>
      <c r="C295" s="19"/>
      <c r="D295" s="19"/>
      <c r="E295" s="2528" t="str">
        <f>Translations!$B$202</f>
        <v>Anläggningens eller enhetens namn</v>
      </c>
      <c r="F295" s="2529"/>
      <c r="G295" s="30" t="str">
        <f>EUconst_Unit</f>
        <v>Enhet</v>
      </c>
      <c r="H295" s="320">
        <f t="shared" ref="H295:N295" si="58">H$393</f>
        <v>2019</v>
      </c>
      <c r="I295" s="320">
        <f t="shared" si="58"/>
        <v>2020</v>
      </c>
      <c r="J295" s="320">
        <f t="shared" si="58"/>
        <v>2021</v>
      </c>
      <c r="K295" s="320">
        <f t="shared" si="58"/>
        <v>2022</v>
      </c>
      <c r="L295" s="320">
        <f t="shared" si="58"/>
        <v>2023</v>
      </c>
      <c r="M295" s="320">
        <f t="shared" si="58"/>
        <v>2024</v>
      </c>
      <c r="N295" s="342">
        <f t="shared" si="58"/>
        <v>2025</v>
      </c>
      <c r="O295" s="6"/>
      <c r="P295" s="15"/>
      <c r="Q295" s="349"/>
      <c r="R295" s="349"/>
      <c r="S295" s="349"/>
      <c r="T295" s="543"/>
      <c r="U295" s="349"/>
      <c r="V295" s="349"/>
      <c r="W295" s="349"/>
      <c r="X295" s="349"/>
      <c r="Y295" s="349"/>
      <c r="Z295" s="349"/>
      <c r="AA295" s="349"/>
      <c r="AB295" s="349"/>
      <c r="AC295" s="349"/>
      <c r="AD295" s="349"/>
      <c r="AE295" s="349"/>
    </row>
    <row r="296" spans="1:31" x14ac:dyDescent="0.25">
      <c r="A296" s="349"/>
      <c r="B296" s="19"/>
      <c r="C296" s="175"/>
      <c r="D296" s="175" t="s">
        <v>8</v>
      </c>
      <c r="E296" s="2550"/>
      <c r="F296" s="2551"/>
      <c r="G296" s="32" t="str">
        <f>EUconst_TJpa</f>
        <v>TJ / år</v>
      </c>
      <c r="H296" s="280"/>
      <c r="I296" s="280"/>
      <c r="J296" s="280"/>
      <c r="K296" s="280"/>
      <c r="L296" s="280"/>
      <c r="M296" s="280"/>
      <c r="N296" s="285"/>
      <c r="O296" s="6"/>
      <c r="P296" s="1552"/>
      <c r="Q296" s="349"/>
      <c r="R296" s="349"/>
      <c r="S296" s="349"/>
      <c r="T296" s="490" t="b">
        <f>T290</f>
        <v>0</v>
      </c>
      <c r="U296" s="349"/>
      <c r="V296" s="349"/>
      <c r="W296" s="349"/>
      <c r="X296" s="349"/>
      <c r="Y296" s="349"/>
      <c r="Z296" s="349"/>
      <c r="AA296" s="349"/>
      <c r="AB296" s="349"/>
      <c r="AC296" s="349"/>
      <c r="AD296" s="1526" t="s">
        <v>2248</v>
      </c>
      <c r="AE296" s="394" t="str">
        <f>IF(AND(CNTR_HasEntries_A_I,E296&lt;&gt;"",T296=FALSE,COUNTIFS($V$16:$AB$16,FALSE,H296:N296,"")&gt;0),4,"")</f>
        <v/>
      </c>
    </row>
    <row r="297" spans="1:31" x14ac:dyDescent="0.25">
      <c r="A297" s="349"/>
      <c r="B297" s="19"/>
      <c r="C297" s="175"/>
      <c r="D297" s="175" t="s">
        <v>9</v>
      </c>
      <c r="E297" s="2536"/>
      <c r="F297" s="2537"/>
      <c r="G297" s="33" t="str">
        <f>EUconst_TJpa</f>
        <v>TJ / år</v>
      </c>
      <c r="H297" s="279"/>
      <c r="I297" s="279"/>
      <c r="J297" s="279"/>
      <c r="K297" s="279"/>
      <c r="L297" s="279"/>
      <c r="M297" s="279"/>
      <c r="N297" s="284"/>
      <c r="O297" s="6"/>
      <c r="P297" s="1552"/>
      <c r="Q297" s="349"/>
      <c r="R297" s="349"/>
      <c r="S297" s="349"/>
      <c r="T297" s="490" t="b">
        <f>T296</f>
        <v>0</v>
      </c>
      <c r="U297" s="349"/>
      <c r="V297" s="349"/>
      <c r="W297" s="349"/>
      <c r="X297" s="349"/>
      <c r="Y297" s="349"/>
      <c r="Z297" s="349"/>
      <c r="AA297" s="349"/>
      <c r="AB297" s="349"/>
      <c r="AC297" s="349"/>
      <c r="AD297" s="1526" t="s">
        <v>2248</v>
      </c>
      <c r="AE297" s="394" t="str">
        <f>IF(AND(CNTR_HasEntries_A_I,E297&lt;&gt;"",T297=FALSE,COUNTIFS($V$16:$AB$16,FALSE,H297:N297,"")&gt;0),4,"")</f>
        <v/>
      </c>
    </row>
    <row r="298" spans="1:31" x14ac:dyDescent="0.25">
      <c r="A298" s="349"/>
      <c r="B298" s="19"/>
      <c r="C298" s="175"/>
      <c r="D298" s="175" t="s">
        <v>10</v>
      </c>
      <c r="E298" s="2538"/>
      <c r="F298" s="2539"/>
      <c r="G298" s="36" t="str">
        <f>EUconst_TJpa</f>
        <v>TJ / år</v>
      </c>
      <c r="H298" s="277"/>
      <c r="I298" s="277"/>
      <c r="J298" s="277"/>
      <c r="K298" s="277"/>
      <c r="L298" s="277"/>
      <c r="M298" s="277"/>
      <c r="N298" s="283"/>
      <c r="O298" s="6"/>
      <c r="P298" s="1552"/>
      <c r="Q298" s="349"/>
      <c r="R298" s="349"/>
      <c r="S298" s="349"/>
      <c r="T298" s="490" t="b">
        <f>T297</f>
        <v>0</v>
      </c>
      <c r="U298" s="349"/>
      <c r="V298" s="349"/>
      <c r="W298" s="349"/>
      <c r="X298" s="349"/>
      <c r="Y298" s="349"/>
      <c r="Z298" s="349"/>
      <c r="AA298" s="349"/>
      <c r="AB298" s="349"/>
      <c r="AC298" s="349"/>
      <c r="AD298" s="1526" t="s">
        <v>2248</v>
      </c>
      <c r="AE298" s="394" t="str">
        <f>IF(AND(CNTR_HasEntries_A_I,E298&lt;&gt;"",T298=FALSE,COUNTIFS($V$16:$AB$16,FALSE,H298:N298,"")&gt;0),4,"")</f>
        <v/>
      </c>
    </row>
    <row r="299" spans="1:31" x14ac:dyDescent="0.25">
      <c r="A299" s="349"/>
      <c r="B299" s="19"/>
      <c r="C299" s="175"/>
      <c r="D299" s="175" t="s">
        <v>23</v>
      </c>
      <c r="E299" s="1034" t="str">
        <f>Translations!$B$384</f>
        <v>Delsumma</v>
      </c>
      <c r="F299" s="1034"/>
      <c r="G299" s="47" t="str">
        <f>EUconst_TJpa</f>
        <v>TJ / år</v>
      </c>
      <c r="H299" s="258" t="str">
        <f t="shared" ref="H299:N299" si="59">IF(COUNT(H296:H298)&gt;0,SUM(H296:H298),"")</f>
        <v/>
      </c>
      <c r="I299" s="258" t="str">
        <f t="shared" si="59"/>
        <v/>
      </c>
      <c r="J299" s="258" t="str">
        <f t="shared" si="59"/>
        <v/>
      </c>
      <c r="K299" s="258" t="str">
        <f t="shared" si="59"/>
        <v/>
      </c>
      <c r="L299" s="258" t="str">
        <f t="shared" si="59"/>
        <v/>
      </c>
      <c r="M299" s="258" t="str">
        <f t="shared" si="59"/>
        <v/>
      </c>
      <c r="N299" s="257" t="str">
        <f t="shared" si="59"/>
        <v/>
      </c>
      <c r="O299" s="6"/>
      <c r="P299" s="15"/>
      <c r="Q299" s="349"/>
      <c r="R299" s="349"/>
      <c r="S299" s="349"/>
      <c r="T299" s="543"/>
      <c r="U299" s="349"/>
      <c r="V299" s="349"/>
      <c r="W299" s="349"/>
      <c r="X299" s="349"/>
      <c r="Y299" s="349"/>
      <c r="Z299" s="349"/>
      <c r="AA299" s="349"/>
      <c r="AB299" s="349"/>
      <c r="AC299" s="349"/>
      <c r="AD299" s="349"/>
      <c r="AE299" s="349"/>
    </row>
    <row r="300" spans="1:31" ht="5.15" customHeight="1" x14ac:dyDescent="0.25">
      <c r="A300" s="349"/>
      <c r="B300" s="3"/>
      <c r="C300" s="3"/>
      <c r="D300" s="3"/>
      <c r="E300" s="3"/>
      <c r="F300" s="3"/>
      <c r="G300" s="3"/>
      <c r="H300" s="3"/>
      <c r="I300" s="3"/>
      <c r="J300" s="3"/>
      <c r="K300" s="3"/>
      <c r="L300" s="3"/>
      <c r="M300" s="3"/>
      <c r="N300" s="3"/>
      <c r="O300" s="6"/>
      <c r="P300" s="15"/>
      <c r="Q300" s="410"/>
      <c r="R300" s="349"/>
      <c r="S300" s="349"/>
      <c r="T300" s="543"/>
      <c r="U300" s="349"/>
      <c r="V300" s="349"/>
      <c r="W300" s="349"/>
      <c r="X300" s="349"/>
      <c r="Y300" s="349"/>
      <c r="Z300" s="349"/>
      <c r="AA300" s="349"/>
      <c r="AB300" s="349"/>
      <c r="AC300" s="349"/>
      <c r="AD300" s="349"/>
      <c r="AE300" s="349"/>
    </row>
    <row r="301" spans="1:31" ht="13" customHeight="1" x14ac:dyDescent="0.25">
      <c r="A301" s="349"/>
      <c r="B301" s="3"/>
      <c r="C301" s="13"/>
      <c r="D301" s="13" t="s">
        <v>66</v>
      </c>
      <c r="E301" s="2528" t="str">
        <f>Translations!$B$474</f>
        <v>Summa av restgaser som finns vid anläggningen (= c+d+e)</v>
      </c>
      <c r="F301" s="2529"/>
      <c r="G301" s="2529"/>
      <c r="H301" s="2529"/>
      <c r="I301" s="2529"/>
      <c r="J301" s="2529"/>
      <c r="K301" s="2529"/>
      <c r="L301" s="2529"/>
      <c r="M301" s="2529"/>
      <c r="N301" s="2529"/>
      <c r="O301" s="6"/>
      <c r="P301" s="15"/>
      <c r="Q301" s="410"/>
      <c r="R301" s="349"/>
      <c r="S301" s="349"/>
      <c r="T301" s="543"/>
      <c r="U301" s="349"/>
      <c r="V301" s="349"/>
      <c r="W301" s="349"/>
      <c r="X301" s="349"/>
      <c r="Y301" s="349"/>
      <c r="Z301" s="349"/>
      <c r="AA301" s="349"/>
      <c r="AB301" s="349"/>
      <c r="AC301" s="349"/>
      <c r="AD301" s="349"/>
      <c r="AE301" s="349"/>
    </row>
    <row r="302" spans="1:31" ht="12.65" customHeight="1" x14ac:dyDescent="0.25">
      <c r="A302" s="349"/>
      <c r="B302" s="19"/>
      <c r="C302" s="19"/>
      <c r="D302" s="19"/>
      <c r="E302" s="2546" t="str">
        <f>Translations!$B$475</f>
        <v>Tillgängliga restgaser</v>
      </c>
      <c r="F302" s="2545"/>
      <c r="G302" s="47" t="str">
        <f>EUconst_TJpa</f>
        <v>TJ / år</v>
      </c>
      <c r="H302" s="258" t="str">
        <f t="shared" ref="H302:N302" si="60">IF(COUNT(H282,H291,H299)&gt;0,SUM(H282,H291)-SUM(H299),"")</f>
        <v/>
      </c>
      <c r="I302" s="258" t="str">
        <f t="shared" si="60"/>
        <v/>
      </c>
      <c r="J302" s="258" t="str">
        <f t="shared" si="60"/>
        <v/>
      </c>
      <c r="K302" s="258" t="str">
        <f t="shared" si="60"/>
        <v/>
      </c>
      <c r="L302" s="258" t="str">
        <f t="shared" si="60"/>
        <v/>
      </c>
      <c r="M302" s="258" t="str">
        <f t="shared" si="60"/>
        <v/>
      </c>
      <c r="N302" s="258" t="str">
        <f t="shared" si="60"/>
        <v/>
      </c>
      <c r="O302" s="6"/>
      <c r="P302" s="15"/>
      <c r="Q302" s="349"/>
      <c r="R302" s="349"/>
      <c r="S302" s="349"/>
      <c r="T302" s="543"/>
      <c r="U302" s="349"/>
      <c r="V302" s="349"/>
      <c r="W302" s="349"/>
      <c r="X302" s="349"/>
      <c r="Y302" s="349"/>
      <c r="Z302" s="349"/>
      <c r="AA302" s="349"/>
      <c r="AB302" s="349"/>
      <c r="AC302" s="349"/>
      <c r="AD302" s="349"/>
      <c r="AE302" s="349"/>
    </row>
    <row r="303" spans="1:31" ht="5.15" customHeight="1" x14ac:dyDescent="0.25">
      <c r="A303" s="349"/>
      <c r="B303" s="19"/>
      <c r="C303" s="19"/>
      <c r="D303" s="19"/>
      <c r="E303" s="19"/>
      <c r="F303" s="19"/>
      <c r="G303" s="19"/>
      <c r="H303" s="19"/>
      <c r="I303" s="19"/>
      <c r="J303" s="19"/>
      <c r="K303" s="19"/>
      <c r="L303" s="19"/>
      <c r="M303" s="19"/>
      <c r="N303" s="19"/>
      <c r="O303" s="6"/>
      <c r="P303" s="15"/>
      <c r="Q303" s="349"/>
      <c r="R303" s="349"/>
      <c r="S303" s="349"/>
      <c r="T303" s="543"/>
      <c r="U303" s="349"/>
      <c r="V303" s="349"/>
      <c r="W303" s="349"/>
      <c r="X303" s="349"/>
      <c r="Y303" s="349"/>
      <c r="Z303" s="349"/>
      <c r="AA303" s="349"/>
      <c r="AB303" s="349"/>
      <c r="AC303" s="349"/>
      <c r="AD303" s="349"/>
      <c r="AE303" s="349"/>
    </row>
    <row r="304" spans="1:31" ht="13" customHeight="1" x14ac:dyDescent="0.25">
      <c r="A304" s="349"/>
      <c r="B304" s="3"/>
      <c r="C304" s="13"/>
      <c r="D304" s="13" t="s">
        <v>299</v>
      </c>
      <c r="E304" s="2530" t="str">
        <f>Translations!$B$476</f>
        <v>Restgaser som förbrukas vid delanläggningar med produktriktmärke</v>
      </c>
      <c r="F304" s="2531"/>
      <c r="G304" s="2531"/>
      <c r="H304" s="2531"/>
      <c r="I304" s="2531"/>
      <c r="J304" s="2531"/>
      <c r="K304" s="2531"/>
      <c r="L304" s="2531"/>
      <c r="M304" s="2531"/>
      <c r="N304" s="2531"/>
      <c r="O304" s="6"/>
      <c r="P304" s="15"/>
      <c r="Q304" s="410"/>
      <c r="R304" s="349"/>
      <c r="S304" s="349"/>
      <c r="T304" s="543"/>
      <c r="U304" s="349"/>
      <c r="V304" s="349"/>
      <c r="W304" s="349"/>
      <c r="X304" s="349"/>
      <c r="Y304" s="349"/>
      <c r="Z304" s="349"/>
      <c r="AA304" s="349"/>
      <c r="AB304" s="349"/>
      <c r="AC304" s="349"/>
      <c r="AD304" s="349"/>
      <c r="AE304" s="349"/>
    </row>
    <row r="305" spans="1:31" ht="12.75" customHeight="1" x14ac:dyDescent="0.25">
      <c r="A305" s="349"/>
      <c r="B305" s="3"/>
      <c r="C305" s="15"/>
      <c r="D305" s="15"/>
      <c r="E305" s="2533" t="str">
        <f>Translations!$B$477</f>
        <v>Information hämtas från avsnitt F.l.viii. Om detta är relevant måste ni säkerställa att ni har angett fullständiga uppgifter där.</v>
      </c>
      <c r="F305" s="2531"/>
      <c r="G305" s="2531"/>
      <c r="H305" s="2531"/>
      <c r="I305" s="2531"/>
      <c r="J305" s="2531"/>
      <c r="K305" s="2531"/>
      <c r="L305" s="2531"/>
      <c r="M305" s="2531"/>
      <c r="N305" s="2531"/>
      <c r="O305" s="6"/>
      <c r="P305" s="15"/>
      <c r="Q305" s="410"/>
      <c r="R305" s="349"/>
      <c r="S305" s="349"/>
      <c r="T305" s="543"/>
      <c r="U305" s="349"/>
      <c r="V305" s="349"/>
      <c r="W305" s="349"/>
      <c r="X305" s="349"/>
      <c r="Y305" s="349"/>
      <c r="Z305" s="349"/>
      <c r="AA305" s="349"/>
      <c r="AB305" s="349"/>
      <c r="AC305" s="349"/>
      <c r="AD305" s="349"/>
      <c r="AE305" s="349"/>
    </row>
    <row r="306" spans="1:31" ht="13" customHeight="1" x14ac:dyDescent="0.25">
      <c r="A306" s="349"/>
      <c r="B306" s="19"/>
      <c r="C306" s="19"/>
      <c r="D306" s="19"/>
      <c r="E306" s="2528" t="str">
        <f>Translations!$B$478</f>
        <v>Typ av delanläggning med produktriktmärke</v>
      </c>
      <c r="F306" s="2529"/>
      <c r="G306" s="30" t="str">
        <f>EUconst_Unit</f>
        <v>Enhet</v>
      </c>
      <c r="H306" s="320">
        <f t="shared" ref="H306:N306" si="61">H$393</f>
        <v>2019</v>
      </c>
      <c r="I306" s="320">
        <f t="shared" si="61"/>
        <v>2020</v>
      </c>
      <c r="J306" s="320">
        <f t="shared" si="61"/>
        <v>2021</v>
      </c>
      <c r="K306" s="320">
        <f t="shared" si="61"/>
        <v>2022</v>
      </c>
      <c r="L306" s="320">
        <f t="shared" si="61"/>
        <v>2023</v>
      </c>
      <c r="M306" s="320">
        <f t="shared" si="61"/>
        <v>2024</v>
      </c>
      <c r="N306" s="320">
        <f t="shared" si="61"/>
        <v>2025</v>
      </c>
      <c r="O306" s="6"/>
      <c r="P306" s="15"/>
      <c r="Q306" s="349"/>
      <c r="R306" s="349"/>
      <c r="S306" s="349"/>
      <c r="T306" s="543"/>
      <c r="U306" s="349"/>
      <c r="V306" s="349"/>
      <c r="W306" s="349"/>
      <c r="X306" s="349"/>
      <c r="Y306" s="349"/>
      <c r="Z306" s="349"/>
      <c r="AA306" s="349"/>
      <c r="AB306" s="349"/>
      <c r="AC306" s="349"/>
      <c r="AD306" s="349"/>
      <c r="AE306" s="349"/>
    </row>
    <row r="307" spans="1:31" ht="12.75" customHeight="1" x14ac:dyDescent="0.25">
      <c r="A307" s="349"/>
      <c r="B307" s="19"/>
      <c r="C307" s="19"/>
      <c r="D307" s="289" t="s">
        <v>8</v>
      </c>
      <c r="E307" s="2534" t="str">
        <f t="shared" ref="E307:E316" si="62">E261</f>
        <v/>
      </c>
      <c r="F307" s="2535"/>
      <c r="G307" s="352" t="str">
        <f t="shared" ref="G307:G317" si="63">EUconst_TJpa</f>
        <v>TJ / år</v>
      </c>
      <c r="H307" s="536" t="str">
        <f>IF(SUMIF(F_ProductBM!$Q:$Q,$Q307,F_ProductBM!H:H)&gt;0,SUMIF(F_ProductBM!$Q:$Q,$Q307,F_ProductBM!H:H),"")</f>
        <v/>
      </c>
      <c r="I307" s="536" t="str">
        <f>IF(SUMIF(F_ProductBM!$Q:$Q,$Q307,F_ProductBM!I:I)&gt;0,SUMIF(F_ProductBM!$Q:$Q,$Q307,F_ProductBM!I:I),"")</f>
        <v/>
      </c>
      <c r="J307" s="536" t="str">
        <f>IF(SUMIF(F_ProductBM!$Q:$Q,$Q307,F_ProductBM!J:J)&gt;0,SUMIF(F_ProductBM!$Q:$Q,$Q307,F_ProductBM!J:J),"")</f>
        <v/>
      </c>
      <c r="K307" s="536" t="str">
        <f>IF(SUMIF(F_ProductBM!$Q:$Q,$Q307,F_ProductBM!K:K)&gt;0,SUMIF(F_ProductBM!$Q:$Q,$Q307,F_ProductBM!K:K),"")</f>
        <v/>
      </c>
      <c r="L307" s="536" t="str">
        <f>IF(SUMIF(F_ProductBM!$Q:$Q,$Q307,F_ProductBM!L:L)&gt;0,SUMIF(F_ProductBM!$Q:$Q,$Q307,F_ProductBM!L:L),"")</f>
        <v/>
      </c>
      <c r="M307" s="536" t="str">
        <f>IF(SUMIF(F_ProductBM!$Q:$Q,$Q307,F_ProductBM!M:M)&gt;0,SUMIF(F_ProductBM!$Q:$Q,$Q307,F_ProductBM!M:M),"")</f>
        <v/>
      </c>
      <c r="N307" s="536" t="str">
        <f>IF(SUMIF(F_ProductBM!$Q:$Q,$Q307,F_ProductBM!N:N)&gt;0,SUMIF(F_ProductBM!$Q:$Q,$Q307,F_ProductBM!N:N),"")</f>
        <v/>
      </c>
      <c r="O307" s="6"/>
      <c r="P307" s="15"/>
      <c r="Q307" s="355" t="str">
        <f t="shared" ref="Q307:Q316" si="64">EUconst_CNTR_WGConsumed &amp; E307</f>
        <v>WasteGasCons_</v>
      </c>
      <c r="R307" s="349"/>
      <c r="S307" s="349"/>
      <c r="T307" s="543"/>
      <c r="U307" s="349"/>
      <c r="V307" s="349"/>
      <c r="W307" s="349"/>
      <c r="X307" s="349"/>
      <c r="Y307" s="349"/>
      <c r="Z307" s="349"/>
      <c r="AA307" s="349"/>
      <c r="AB307" s="349"/>
      <c r="AC307" s="349"/>
      <c r="AD307" s="349"/>
      <c r="AE307" s="349"/>
    </row>
    <row r="308" spans="1:31" x14ac:dyDescent="0.25">
      <c r="A308" s="349"/>
      <c r="B308" s="19"/>
      <c r="C308" s="19"/>
      <c r="D308" s="289" t="s">
        <v>9</v>
      </c>
      <c r="E308" s="2540" t="str">
        <f t="shared" si="62"/>
        <v/>
      </c>
      <c r="F308" s="2541"/>
      <c r="G308" s="353" t="str">
        <f t="shared" si="63"/>
        <v>TJ / år</v>
      </c>
      <c r="H308" s="412" t="str">
        <f>IF(SUMIF(F_ProductBM!$Q:$Q,$Q308,F_ProductBM!H:H)&gt;0,SUMIF(F_ProductBM!$Q:$Q,$Q308,F_ProductBM!H:H),"")</f>
        <v/>
      </c>
      <c r="I308" s="412" t="str">
        <f>IF(SUMIF(F_ProductBM!$Q:$Q,$Q308,F_ProductBM!I:I)&gt;0,SUMIF(F_ProductBM!$Q:$Q,$Q308,F_ProductBM!I:I),"")</f>
        <v/>
      </c>
      <c r="J308" s="412" t="str">
        <f>IF(SUMIF(F_ProductBM!$Q:$Q,$Q308,F_ProductBM!J:J)&gt;0,SUMIF(F_ProductBM!$Q:$Q,$Q308,F_ProductBM!J:J),"")</f>
        <v/>
      </c>
      <c r="K308" s="412" t="str">
        <f>IF(SUMIF(F_ProductBM!$Q:$Q,$Q308,F_ProductBM!K:K)&gt;0,SUMIF(F_ProductBM!$Q:$Q,$Q308,F_ProductBM!K:K),"")</f>
        <v/>
      </c>
      <c r="L308" s="412" t="str">
        <f>IF(SUMIF(F_ProductBM!$Q:$Q,$Q308,F_ProductBM!L:L)&gt;0,SUMIF(F_ProductBM!$Q:$Q,$Q308,F_ProductBM!L:L),"")</f>
        <v/>
      </c>
      <c r="M308" s="412" t="str">
        <f>IF(SUMIF(F_ProductBM!$Q:$Q,$Q308,F_ProductBM!M:M)&gt;0,SUMIF(F_ProductBM!$Q:$Q,$Q308,F_ProductBM!M:M),"")</f>
        <v/>
      </c>
      <c r="N308" s="412" t="str">
        <f>IF(SUMIF(F_ProductBM!$Q:$Q,$Q308,F_ProductBM!N:N)&gt;0,SUMIF(F_ProductBM!$Q:$Q,$Q308,F_ProductBM!N:N),"")</f>
        <v/>
      </c>
      <c r="O308" s="6"/>
      <c r="P308" s="15"/>
      <c r="Q308" s="355" t="str">
        <f t="shared" si="64"/>
        <v>WasteGasCons_</v>
      </c>
      <c r="R308" s="349"/>
      <c r="S308" s="349"/>
      <c r="T308" s="543"/>
      <c r="U308" s="349"/>
      <c r="V308" s="349"/>
      <c r="W308" s="349"/>
      <c r="X308" s="349"/>
      <c r="Y308" s="349"/>
      <c r="Z308" s="349"/>
      <c r="AA308" s="349"/>
      <c r="AB308" s="349"/>
      <c r="AC308" s="349"/>
      <c r="AD308" s="349"/>
      <c r="AE308" s="349"/>
    </row>
    <row r="309" spans="1:31" ht="12.75" customHeight="1" x14ac:dyDescent="0.25">
      <c r="A309" s="349"/>
      <c r="B309" s="19"/>
      <c r="C309" s="19"/>
      <c r="D309" s="289" t="s">
        <v>10</v>
      </c>
      <c r="E309" s="2540" t="str">
        <f t="shared" si="62"/>
        <v/>
      </c>
      <c r="F309" s="2541"/>
      <c r="G309" s="353" t="str">
        <f t="shared" si="63"/>
        <v>TJ / år</v>
      </c>
      <c r="H309" s="412" t="str">
        <f>IF(SUMIF(F_ProductBM!$Q:$Q,$Q309,F_ProductBM!H:H)&gt;0,SUMIF(F_ProductBM!$Q:$Q,$Q309,F_ProductBM!H:H),"")</f>
        <v/>
      </c>
      <c r="I309" s="412" t="str">
        <f>IF(SUMIF(F_ProductBM!$Q:$Q,$Q309,F_ProductBM!I:I)&gt;0,SUMIF(F_ProductBM!$Q:$Q,$Q309,F_ProductBM!I:I),"")</f>
        <v/>
      </c>
      <c r="J309" s="412" t="str">
        <f>IF(SUMIF(F_ProductBM!$Q:$Q,$Q309,F_ProductBM!J:J)&gt;0,SUMIF(F_ProductBM!$Q:$Q,$Q309,F_ProductBM!J:J),"")</f>
        <v/>
      </c>
      <c r="K309" s="412" t="str">
        <f>IF(SUMIF(F_ProductBM!$Q:$Q,$Q309,F_ProductBM!K:K)&gt;0,SUMIF(F_ProductBM!$Q:$Q,$Q309,F_ProductBM!K:K),"")</f>
        <v/>
      </c>
      <c r="L309" s="412" t="str">
        <f>IF(SUMIF(F_ProductBM!$Q:$Q,$Q309,F_ProductBM!L:L)&gt;0,SUMIF(F_ProductBM!$Q:$Q,$Q309,F_ProductBM!L:L),"")</f>
        <v/>
      </c>
      <c r="M309" s="412" t="str">
        <f>IF(SUMIF(F_ProductBM!$Q:$Q,$Q309,F_ProductBM!M:M)&gt;0,SUMIF(F_ProductBM!$Q:$Q,$Q309,F_ProductBM!M:M),"")</f>
        <v/>
      </c>
      <c r="N309" s="412" t="str">
        <f>IF(SUMIF(F_ProductBM!$Q:$Q,$Q309,F_ProductBM!N:N)&gt;0,SUMIF(F_ProductBM!$Q:$Q,$Q309,F_ProductBM!N:N),"")</f>
        <v/>
      </c>
      <c r="O309" s="6"/>
      <c r="P309" s="15"/>
      <c r="Q309" s="355" t="str">
        <f t="shared" si="64"/>
        <v>WasteGasCons_</v>
      </c>
      <c r="R309" s="349"/>
      <c r="S309" s="349"/>
      <c r="T309" s="543"/>
      <c r="U309" s="349"/>
      <c r="V309" s="349"/>
      <c r="W309" s="349"/>
      <c r="X309" s="349"/>
      <c r="Y309" s="349"/>
      <c r="Z309" s="349"/>
      <c r="AA309" s="349"/>
      <c r="AB309" s="349"/>
      <c r="AC309" s="349"/>
      <c r="AD309" s="349"/>
      <c r="AE309" s="349"/>
    </row>
    <row r="310" spans="1:31" x14ac:dyDescent="0.25">
      <c r="A310" s="349"/>
      <c r="B310" s="19"/>
      <c r="C310" s="19"/>
      <c r="D310" s="289" t="s">
        <v>23</v>
      </c>
      <c r="E310" s="2540" t="str">
        <f t="shared" si="62"/>
        <v/>
      </c>
      <c r="F310" s="2541"/>
      <c r="G310" s="353" t="str">
        <f t="shared" si="63"/>
        <v>TJ / år</v>
      </c>
      <c r="H310" s="412" t="str">
        <f>IF(SUMIF(F_ProductBM!$Q:$Q,$Q310,F_ProductBM!H:H)&gt;0,SUMIF(F_ProductBM!$Q:$Q,$Q310,F_ProductBM!H:H),"")</f>
        <v/>
      </c>
      <c r="I310" s="412" t="str">
        <f>IF(SUMIF(F_ProductBM!$Q:$Q,$Q310,F_ProductBM!I:I)&gt;0,SUMIF(F_ProductBM!$Q:$Q,$Q310,F_ProductBM!I:I),"")</f>
        <v/>
      </c>
      <c r="J310" s="412" t="str">
        <f>IF(SUMIF(F_ProductBM!$Q:$Q,$Q310,F_ProductBM!J:J)&gt;0,SUMIF(F_ProductBM!$Q:$Q,$Q310,F_ProductBM!J:J),"")</f>
        <v/>
      </c>
      <c r="K310" s="412" t="str">
        <f>IF(SUMIF(F_ProductBM!$Q:$Q,$Q310,F_ProductBM!K:K)&gt;0,SUMIF(F_ProductBM!$Q:$Q,$Q310,F_ProductBM!K:K),"")</f>
        <v/>
      </c>
      <c r="L310" s="412" t="str">
        <f>IF(SUMIF(F_ProductBM!$Q:$Q,$Q310,F_ProductBM!L:L)&gt;0,SUMIF(F_ProductBM!$Q:$Q,$Q310,F_ProductBM!L:L),"")</f>
        <v/>
      </c>
      <c r="M310" s="412" t="str">
        <f>IF(SUMIF(F_ProductBM!$Q:$Q,$Q310,F_ProductBM!M:M)&gt;0,SUMIF(F_ProductBM!$Q:$Q,$Q310,F_ProductBM!M:M),"")</f>
        <v/>
      </c>
      <c r="N310" s="412" t="str">
        <f>IF(SUMIF(F_ProductBM!$Q:$Q,$Q310,F_ProductBM!N:N)&gt;0,SUMIF(F_ProductBM!$Q:$Q,$Q310,F_ProductBM!N:N),"")</f>
        <v/>
      </c>
      <c r="O310" s="6"/>
      <c r="P310" s="15"/>
      <c r="Q310" s="355" t="str">
        <f t="shared" si="64"/>
        <v>WasteGasCons_</v>
      </c>
      <c r="R310" s="349"/>
      <c r="S310" s="349"/>
      <c r="T310" s="543"/>
      <c r="U310" s="349"/>
      <c r="V310" s="349"/>
      <c r="W310" s="349"/>
      <c r="X310" s="349"/>
      <c r="Y310" s="349"/>
      <c r="Z310" s="349"/>
      <c r="AA310" s="349"/>
      <c r="AB310" s="349"/>
      <c r="AC310" s="349"/>
      <c r="AD310" s="349"/>
      <c r="AE310" s="349"/>
    </row>
    <row r="311" spans="1:31" x14ac:dyDescent="0.25">
      <c r="A311" s="349"/>
      <c r="B311" s="19"/>
      <c r="C311" s="19"/>
      <c r="D311" s="289" t="s">
        <v>859</v>
      </c>
      <c r="E311" s="2540" t="str">
        <f t="shared" si="62"/>
        <v/>
      </c>
      <c r="F311" s="2541"/>
      <c r="G311" s="353" t="str">
        <f t="shared" si="63"/>
        <v>TJ / år</v>
      </c>
      <c r="H311" s="412" t="str">
        <f>IF(SUMIF(F_ProductBM!$Q:$Q,$Q311,F_ProductBM!H:H)&gt;0,SUMIF(F_ProductBM!$Q:$Q,$Q311,F_ProductBM!H:H),"")</f>
        <v/>
      </c>
      <c r="I311" s="412" t="str">
        <f>IF(SUMIF(F_ProductBM!$Q:$Q,$Q311,F_ProductBM!I:I)&gt;0,SUMIF(F_ProductBM!$Q:$Q,$Q311,F_ProductBM!I:I),"")</f>
        <v/>
      </c>
      <c r="J311" s="412" t="str">
        <f>IF(SUMIF(F_ProductBM!$Q:$Q,$Q311,F_ProductBM!J:J)&gt;0,SUMIF(F_ProductBM!$Q:$Q,$Q311,F_ProductBM!J:J),"")</f>
        <v/>
      </c>
      <c r="K311" s="412" t="str">
        <f>IF(SUMIF(F_ProductBM!$Q:$Q,$Q311,F_ProductBM!K:K)&gt;0,SUMIF(F_ProductBM!$Q:$Q,$Q311,F_ProductBM!K:K),"")</f>
        <v/>
      </c>
      <c r="L311" s="412" t="str">
        <f>IF(SUMIF(F_ProductBM!$Q:$Q,$Q311,F_ProductBM!L:L)&gt;0,SUMIF(F_ProductBM!$Q:$Q,$Q311,F_ProductBM!L:L),"")</f>
        <v/>
      </c>
      <c r="M311" s="412" t="str">
        <f>IF(SUMIF(F_ProductBM!$Q:$Q,$Q311,F_ProductBM!M:M)&gt;0,SUMIF(F_ProductBM!$Q:$Q,$Q311,F_ProductBM!M:M),"")</f>
        <v/>
      </c>
      <c r="N311" s="412" t="str">
        <f>IF(SUMIF(F_ProductBM!$Q:$Q,$Q311,F_ProductBM!N:N)&gt;0,SUMIF(F_ProductBM!$Q:$Q,$Q311,F_ProductBM!N:N),"")</f>
        <v/>
      </c>
      <c r="O311" s="6"/>
      <c r="P311" s="15"/>
      <c r="Q311" s="355" t="str">
        <f t="shared" si="64"/>
        <v>WasteGasCons_</v>
      </c>
      <c r="R311" s="349"/>
      <c r="S311" s="349"/>
      <c r="T311" s="543"/>
      <c r="U311" s="349"/>
      <c r="V311" s="349"/>
      <c r="W311" s="349"/>
      <c r="X311" s="349"/>
      <c r="Y311" s="349"/>
      <c r="Z311" s="349"/>
      <c r="AA311" s="349"/>
      <c r="AB311" s="349"/>
      <c r="AC311" s="349"/>
      <c r="AD311" s="349"/>
      <c r="AE311" s="349"/>
    </row>
    <row r="312" spans="1:31" x14ac:dyDescent="0.25">
      <c r="A312" s="349"/>
      <c r="B312" s="19"/>
      <c r="C312" s="19"/>
      <c r="D312" s="289" t="s">
        <v>860</v>
      </c>
      <c r="E312" s="2540" t="str">
        <f t="shared" si="62"/>
        <v/>
      </c>
      <c r="F312" s="2541"/>
      <c r="G312" s="353" t="str">
        <f t="shared" si="63"/>
        <v>TJ / år</v>
      </c>
      <c r="H312" s="412" t="str">
        <f>IF(SUMIF(F_ProductBM!$Q:$Q,$Q312,F_ProductBM!H:H)&gt;0,SUMIF(F_ProductBM!$Q:$Q,$Q312,F_ProductBM!H:H),"")</f>
        <v/>
      </c>
      <c r="I312" s="412" t="str">
        <f>IF(SUMIF(F_ProductBM!$Q:$Q,$Q312,F_ProductBM!I:I)&gt;0,SUMIF(F_ProductBM!$Q:$Q,$Q312,F_ProductBM!I:I),"")</f>
        <v/>
      </c>
      <c r="J312" s="412" t="str">
        <f>IF(SUMIF(F_ProductBM!$Q:$Q,$Q312,F_ProductBM!J:J)&gt;0,SUMIF(F_ProductBM!$Q:$Q,$Q312,F_ProductBM!J:J),"")</f>
        <v/>
      </c>
      <c r="K312" s="412" t="str">
        <f>IF(SUMIF(F_ProductBM!$Q:$Q,$Q312,F_ProductBM!K:K)&gt;0,SUMIF(F_ProductBM!$Q:$Q,$Q312,F_ProductBM!K:K),"")</f>
        <v/>
      </c>
      <c r="L312" s="412" t="str">
        <f>IF(SUMIF(F_ProductBM!$Q:$Q,$Q312,F_ProductBM!L:L)&gt;0,SUMIF(F_ProductBM!$Q:$Q,$Q312,F_ProductBM!L:L),"")</f>
        <v/>
      </c>
      <c r="M312" s="412" t="str">
        <f>IF(SUMIF(F_ProductBM!$Q:$Q,$Q312,F_ProductBM!M:M)&gt;0,SUMIF(F_ProductBM!$Q:$Q,$Q312,F_ProductBM!M:M),"")</f>
        <v/>
      </c>
      <c r="N312" s="412" t="str">
        <f>IF(SUMIF(F_ProductBM!$Q:$Q,$Q312,F_ProductBM!N:N)&gt;0,SUMIF(F_ProductBM!$Q:$Q,$Q312,F_ProductBM!N:N),"")</f>
        <v/>
      </c>
      <c r="O312" s="6"/>
      <c r="P312" s="15"/>
      <c r="Q312" s="355" t="str">
        <f t="shared" si="64"/>
        <v>WasteGasCons_</v>
      </c>
      <c r="R312" s="349"/>
      <c r="S312" s="349"/>
      <c r="T312" s="543"/>
      <c r="U312" s="349"/>
      <c r="V312" s="349"/>
      <c r="W312" s="349"/>
      <c r="X312" s="349"/>
      <c r="Y312" s="349"/>
      <c r="Z312" s="349"/>
      <c r="AA312" s="349"/>
      <c r="AB312" s="349"/>
      <c r="AC312" s="349"/>
      <c r="AD312" s="349"/>
      <c r="AE312" s="349"/>
    </row>
    <row r="313" spans="1:31" x14ac:dyDescent="0.25">
      <c r="A313" s="349"/>
      <c r="B313" s="19"/>
      <c r="C313" s="19"/>
      <c r="D313" s="289" t="s">
        <v>861</v>
      </c>
      <c r="E313" s="2540" t="str">
        <f t="shared" si="62"/>
        <v/>
      </c>
      <c r="F313" s="2541"/>
      <c r="G313" s="353" t="str">
        <f t="shared" si="63"/>
        <v>TJ / år</v>
      </c>
      <c r="H313" s="412" t="str">
        <f>IF(SUMIF(F_ProductBM!$Q:$Q,$Q313,F_ProductBM!H:H)&gt;0,SUMIF(F_ProductBM!$Q:$Q,$Q313,F_ProductBM!H:H),"")</f>
        <v/>
      </c>
      <c r="I313" s="412" t="str">
        <f>IF(SUMIF(F_ProductBM!$Q:$Q,$Q313,F_ProductBM!I:I)&gt;0,SUMIF(F_ProductBM!$Q:$Q,$Q313,F_ProductBM!I:I),"")</f>
        <v/>
      </c>
      <c r="J313" s="412" t="str">
        <f>IF(SUMIF(F_ProductBM!$Q:$Q,$Q313,F_ProductBM!J:J)&gt;0,SUMIF(F_ProductBM!$Q:$Q,$Q313,F_ProductBM!J:J),"")</f>
        <v/>
      </c>
      <c r="K313" s="412" t="str">
        <f>IF(SUMIF(F_ProductBM!$Q:$Q,$Q313,F_ProductBM!K:K)&gt;0,SUMIF(F_ProductBM!$Q:$Q,$Q313,F_ProductBM!K:K),"")</f>
        <v/>
      </c>
      <c r="L313" s="412" t="str">
        <f>IF(SUMIF(F_ProductBM!$Q:$Q,$Q313,F_ProductBM!L:L)&gt;0,SUMIF(F_ProductBM!$Q:$Q,$Q313,F_ProductBM!L:L),"")</f>
        <v/>
      </c>
      <c r="M313" s="412" t="str">
        <f>IF(SUMIF(F_ProductBM!$Q:$Q,$Q313,F_ProductBM!M:M)&gt;0,SUMIF(F_ProductBM!$Q:$Q,$Q313,F_ProductBM!M:M),"")</f>
        <v/>
      </c>
      <c r="N313" s="412" t="str">
        <f>IF(SUMIF(F_ProductBM!$Q:$Q,$Q313,F_ProductBM!N:N)&gt;0,SUMIF(F_ProductBM!$Q:$Q,$Q313,F_ProductBM!N:N),"")</f>
        <v/>
      </c>
      <c r="O313" s="6"/>
      <c r="P313" s="15"/>
      <c r="Q313" s="355" t="str">
        <f t="shared" si="64"/>
        <v>WasteGasCons_</v>
      </c>
      <c r="R313" s="349"/>
      <c r="S313" s="349"/>
      <c r="T313" s="543"/>
      <c r="U313" s="349"/>
      <c r="V313" s="349"/>
      <c r="W313" s="349"/>
      <c r="X313" s="349"/>
      <c r="Y313" s="349"/>
      <c r="Z313" s="349"/>
      <c r="AA313" s="349"/>
      <c r="AB313" s="349"/>
      <c r="AC313" s="349"/>
      <c r="AD313" s="349"/>
      <c r="AE313" s="349"/>
    </row>
    <row r="314" spans="1:31" x14ac:dyDescent="0.25">
      <c r="A314" s="349"/>
      <c r="B314" s="19"/>
      <c r="C314" s="19"/>
      <c r="D314" s="289" t="s">
        <v>862</v>
      </c>
      <c r="E314" s="2540" t="str">
        <f t="shared" si="62"/>
        <v/>
      </c>
      <c r="F314" s="2541"/>
      <c r="G314" s="353" t="str">
        <f t="shared" si="63"/>
        <v>TJ / år</v>
      </c>
      <c r="H314" s="412" t="str">
        <f>IF(SUMIF(F_ProductBM!$Q:$Q,$Q314,F_ProductBM!H:H)&gt;0,SUMIF(F_ProductBM!$Q:$Q,$Q314,F_ProductBM!H:H),"")</f>
        <v/>
      </c>
      <c r="I314" s="412" t="str">
        <f>IF(SUMIF(F_ProductBM!$Q:$Q,$Q314,F_ProductBM!I:I)&gt;0,SUMIF(F_ProductBM!$Q:$Q,$Q314,F_ProductBM!I:I),"")</f>
        <v/>
      </c>
      <c r="J314" s="412" t="str">
        <f>IF(SUMIF(F_ProductBM!$Q:$Q,$Q314,F_ProductBM!J:J)&gt;0,SUMIF(F_ProductBM!$Q:$Q,$Q314,F_ProductBM!J:J),"")</f>
        <v/>
      </c>
      <c r="K314" s="412" t="str">
        <f>IF(SUMIF(F_ProductBM!$Q:$Q,$Q314,F_ProductBM!K:K)&gt;0,SUMIF(F_ProductBM!$Q:$Q,$Q314,F_ProductBM!K:K),"")</f>
        <v/>
      </c>
      <c r="L314" s="412" t="str">
        <f>IF(SUMIF(F_ProductBM!$Q:$Q,$Q314,F_ProductBM!L:L)&gt;0,SUMIF(F_ProductBM!$Q:$Q,$Q314,F_ProductBM!L:L),"")</f>
        <v/>
      </c>
      <c r="M314" s="412" t="str">
        <f>IF(SUMIF(F_ProductBM!$Q:$Q,$Q314,F_ProductBM!M:M)&gt;0,SUMIF(F_ProductBM!$Q:$Q,$Q314,F_ProductBM!M:M),"")</f>
        <v/>
      </c>
      <c r="N314" s="412" t="str">
        <f>IF(SUMIF(F_ProductBM!$Q:$Q,$Q314,F_ProductBM!N:N)&gt;0,SUMIF(F_ProductBM!$Q:$Q,$Q314,F_ProductBM!N:N),"")</f>
        <v/>
      </c>
      <c r="O314" s="6"/>
      <c r="P314" s="15"/>
      <c r="Q314" s="355" t="str">
        <f t="shared" si="64"/>
        <v>WasteGasCons_</v>
      </c>
      <c r="R314" s="349"/>
      <c r="S314" s="349"/>
      <c r="T314" s="543"/>
      <c r="U314" s="349"/>
      <c r="V314" s="349"/>
      <c r="W314" s="349"/>
      <c r="X314" s="349"/>
      <c r="Y314" s="349"/>
      <c r="Z314" s="349"/>
      <c r="AA314" s="349"/>
      <c r="AB314" s="349"/>
      <c r="AC314" s="349"/>
      <c r="AD314" s="349"/>
      <c r="AE314" s="349"/>
    </row>
    <row r="315" spans="1:31" x14ac:dyDescent="0.25">
      <c r="A315" s="349"/>
      <c r="B315" s="19"/>
      <c r="C315" s="19"/>
      <c r="D315" s="289" t="s">
        <v>863</v>
      </c>
      <c r="E315" s="2540" t="str">
        <f t="shared" si="62"/>
        <v/>
      </c>
      <c r="F315" s="2541"/>
      <c r="G315" s="353" t="str">
        <f t="shared" si="63"/>
        <v>TJ / år</v>
      </c>
      <c r="H315" s="412" t="str">
        <f>IF(SUMIF(F_ProductBM!$Q:$Q,$Q315,F_ProductBM!H:H)&gt;0,SUMIF(F_ProductBM!$Q:$Q,$Q315,F_ProductBM!H:H),"")</f>
        <v/>
      </c>
      <c r="I315" s="412" t="str">
        <f>IF(SUMIF(F_ProductBM!$Q:$Q,$Q315,F_ProductBM!I:I)&gt;0,SUMIF(F_ProductBM!$Q:$Q,$Q315,F_ProductBM!I:I),"")</f>
        <v/>
      </c>
      <c r="J315" s="412" t="str">
        <f>IF(SUMIF(F_ProductBM!$Q:$Q,$Q315,F_ProductBM!J:J)&gt;0,SUMIF(F_ProductBM!$Q:$Q,$Q315,F_ProductBM!J:J),"")</f>
        <v/>
      </c>
      <c r="K315" s="412" t="str">
        <f>IF(SUMIF(F_ProductBM!$Q:$Q,$Q315,F_ProductBM!K:K)&gt;0,SUMIF(F_ProductBM!$Q:$Q,$Q315,F_ProductBM!K:K),"")</f>
        <v/>
      </c>
      <c r="L315" s="412" t="str">
        <f>IF(SUMIF(F_ProductBM!$Q:$Q,$Q315,F_ProductBM!L:L)&gt;0,SUMIF(F_ProductBM!$Q:$Q,$Q315,F_ProductBM!L:L),"")</f>
        <v/>
      </c>
      <c r="M315" s="412" t="str">
        <f>IF(SUMIF(F_ProductBM!$Q:$Q,$Q315,F_ProductBM!M:M)&gt;0,SUMIF(F_ProductBM!$Q:$Q,$Q315,F_ProductBM!M:M),"")</f>
        <v/>
      </c>
      <c r="N315" s="412" t="str">
        <f>IF(SUMIF(F_ProductBM!$Q:$Q,$Q315,F_ProductBM!N:N)&gt;0,SUMIF(F_ProductBM!$Q:$Q,$Q315,F_ProductBM!N:N),"")</f>
        <v/>
      </c>
      <c r="O315" s="6"/>
      <c r="P315" s="15"/>
      <c r="Q315" s="355" t="str">
        <f t="shared" si="64"/>
        <v>WasteGasCons_</v>
      </c>
      <c r="R315" s="349"/>
      <c r="S315" s="349"/>
      <c r="T315" s="543"/>
      <c r="U315" s="349"/>
      <c r="V315" s="349"/>
      <c r="W315" s="349"/>
      <c r="X315" s="349"/>
      <c r="Y315" s="349"/>
      <c r="Z315" s="349"/>
      <c r="AA315" s="349"/>
      <c r="AB315" s="349"/>
      <c r="AC315" s="349"/>
      <c r="AD315" s="349"/>
      <c r="AE315" s="349"/>
    </row>
    <row r="316" spans="1:31" x14ac:dyDescent="0.25">
      <c r="A316" s="349"/>
      <c r="B316" s="19"/>
      <c r="C316" s="19"/>
      <c r="D316" s="289" t="s">
        <v>72</v>
      </c>
      <c r="E316" s="2576" t="str">
        <f t="shared" si="62"/>
        <v/>
      </c>
      <c r="F316" s="2543"/>
      <c r="G316" s="354" t="str">
        <f t="shared" si="63"/>
        <v>TJ / år</v>
      </c>
      <c r="H316" s="537" t="str">
        <f>IF(SUMIF(F_ProductBM!$Q:$Q,$Q316,F_ProductBM!H:H)&gt;0,SUMIF(F_ProductBM!$Q:$Q,$Q316,F_ProductBM!H:H),"")</f>
        <v/>
      </c>
      <c r="I316" s="537" t="str">
        <f>IF(SUMIF(F_ProductBM!$Q:$Q,$Q316,F_ProductBM!I:I)&gt;0,SUMIF(F_ProductBM!$Q:$Q,$Q316,F_ProductBM!I:I),"")</f>
        <v/>
      </c>
      <c r="J316" s="537" t="str">
        <f>IF(SUMIF(F_ProductBM!$Q:$Q,$Q316,F_ProductBM!J:J)&gt;0,SUMIF(F_ProductBM!$Q:$Q,$Q316,F_ProductBM!J:J),"")</f>
        <v/>
      </c>
      <c r="K316" s="537" t="str">
        <f>IF(SUMIF(F_ProductBM!$Q:$Q,$Q316,F_ProductBM!K:K)&gt;0,SUMIF(F_ProductBM!$Q:$Q,$Q316,F_ProductBM!K:K),"")</f>
        <v/>
      </c>
      <c r="L316" s="537" t="str">
        <f>IF(SUMIF(F_ProductBM!$Q:$Q,$Q316,F_ProductBM!L:L)&gt;0,SUMIF(F_ProductBM!$Q:$Q,$Q316,F_ProductBM!L:L),"")</f>
        <v/>
      </c>
      <c r="M316" s="537" t="str">
        <f>IF(SUMIF(F_ProductBM!$Q:$Q,$Q316,F_ProductBM!M:M)&gt;0,SUMIF(F_ProductBM!$Q:$Q,$Q316,F_ProductBM!M:M),"")</f>
        <v/>
      </c>
      <c r="N316" s="537" t="str">
        <f>IF(SUMIF(F_ProductBM!$Q:$Q,$Q316,F_ProductBM!N:N)&gt;0,SUMIF(F_ProductBM!$Q:$Q,$Q316,F_ProductBM!N:N),"")</f>
        <v/>
      </c>
      <c r="O316" s="6"/>
      <c r="P316" s="15"/>
      <c r="Q316" s="355" t="str">
        <f t="shared" si="64"/>
        <v>WasteGasCons_</v>
      </c>
      <c r="R316" s="349"/>
      <c r="S316" s="349"/>
      <c r="T316" s="543"/>
      <c r="U316" s="349"/>
      <c r="V316" s="349"/>
      <c r="W316" s="349"/>
      <c r="X316" s="349"/>
      <c r="Y316" s="349"/>
      <c r="Z316" s="349"/>
      <c r="AA316" s="349"/>
      <c r="AB316" s="349"/>
      <c r="AC316" s="349"/>
      <c r="AD316" s="349"/>
      <c r="AE316" s="349"/>
    </row>
    <row r="317" spans="1:31" ht="12.75" customHeight="1" x14ac:dyDescent="0.25">
      <c r="A317" s="349"/>
      <c r="B317" s="19"/>
      <c r="C317" s="175"/>
      <c r="D317" s="289" t="s">
        <v>73</v>
      </c>
      <c r="E317" s="2544" t="str">
        <f>Translations!$B$384</f>
        <v>Delsumma</v>
      </c>
      <c r="F317" s="2545"/>
      <c r="G317" s="36" t="str">
        <f t="shared" si="63"/>
        <v>TJ / år</v>
      </c>
      <c r="H317" s="351" t="str">
        <f t="shared" ref="H317:N317" si="65">IF(COUNT(H307:H316)&gt;0,SUM(H307:H316),"")</f>
        <v/>
      </c>
      <c r="I317" s="351" t="str">
        <f t="shared" si="65"/>
        <v/>
      </c>
      <c r="J317" s="351" t="str">
        <f t="shared" si="65"/>
        <v/>
      </c>
      <c r="K317" s="351" t="str">
        <f t="shared" si="65"/>
        <v/>
      </c>
      <c r="L317" s="351" t="str">
        <f t="shared" si="65"/>
        <v/>
      </c>
      <c r="M317" s="351" t="str">
        <f t="shared" si="65"/>
        <v/>
      </c>
      <c r="N317" s="351" t="str">
        <f t="shared" si="65"/>
        <v/>
      </c>
      <c r="O317" s="6"/>
      <c r="P317" s="15"/>
      <c r="Q317" s="349"/>
      <c r="R317" s="349"/>
      <c r="S317" s="349"/>
      <c r="T317" s="543"/>
      <c r="U317" s="349"/>
      <c r="V317" s="349"/>
      <c r="W317" s="349"/>
      <c r="X317" s="349"/>
      <c r="Y317" s="349"/>
      <c r="Z317" s="349"/>
      <c r="AA317" s="349"/>
      <c r="AB317" s="349"/>
      <c r="AC317" s="349"/>
      <c r="AD317" s="349"/>
      <c r="AE317" s="349"/>
    </row>
    <row r="318" spans="1:31" ht="5.15" customHeight="1" x14ac:dyDescent="0.25">
      <c r="A318" s="349"/>
      <c r="B318" s="3"/>
      <c r="C318" s="3"/>
      <c r="D318" s="3"/>
      <c r="E318" s="3"/>
      <c r="F318" s="3"/>
      <c r="G318" s="3"/>
      <c r="H318" s="3"/>
      <c r="I318" s="3"/>
      <c r="J318" s="3"/>
      <c r="K318" s="3"/>
      <c r="L318" s="3"/>
      <c r="M318" s="3"/>
      <c r="N318" s="3"/>
      <c r="O318" s="6"/>
      <c r="P318" s="15"/>
      <c r="Q318" s="410"/>
      <c r="R318" s="349"/>
      <c r="S318" s="349"/>
      <c r="T318" s="543"/>
      <c r="U318" s="349"/>
      <c r="V318" s="349"/>
      <c r="W318" s="349"/>
      <c r="X318" s="349"/>
      <c r="Y318" s="349"/>
      <c r="Z318" s="349"/>
      <c r="AA318" s="349"/>
      <c r="AB318" s="349"/>
      <c r="AC318" s="349"/>
      <c r="AD318" s="349"/>
      <c r="AE318" s="349"/>
    </row>
    <row r="319" spans="1:31" ht="13" customHeight="1" x14ac:dyDescent="0.25">
      <c r="A319" s="349"/>
      <c r="B319" s="3"/>
      <c r="C319" s="13"/>
      <c r="D319" s="13" t="s">
        <v>303</v>
      </c>
      <c r="E319" s="2530" t="str">
        <f>Translations!$B$479</f>
        <v>Restgaser som förbrukas vid ”fall-back”-delanläggningar</v>
      </c>
      <c r="F319" s="2531"/>
      <c r="G319" s="2531"/>
      <c r="H319" s="2531"/>
      <c r="I319" s="2531"/>
      <c r="J319" s="2531"/>
      <c r="K319" s="2531"/>
      <c r="L319" s="2531"/>
      <c r="M319" s="2531"/>
      <c r="N319" s="2531"/>
      <c r="O319" s="6"/>
      <c r="P319" s="15"/>
      <c r="Q319" s="410"/>
      <c r="R319" s="349"/>
      <c r="S319" s="349"/>
      <c r="T319" s="543"/>
      <c r="U319" s="349"/>
      <c r="V319" s="349"/>
      <c r="W319" s="349"/>
      <c r="X319" s="349"/>
      <c r="Y319" s="349"/>
      <c r="Z319" s="349"/>
      <c r="AA319" s="349"/>
      <c r="AB319" s="349"/>
      <c r="AC319" s="349"/>
      <c r="AD319" s="349"/>
      <c r="AE319" s="349"/>
    </row>
    <row r="320" spans="1:31" ht="12.75" customHeight="1" x14ac:dyDescent="0.25">
      <c r="A320" s="349"/>
      <c r="B320" s="3"/>
      <c r="C320" s="15"/>
      <c r="D320" s="15"/>
      <c r="E320" s="2533" t="str">
        <f>Translations!$B$480</f>
        <v>Information hämtas från motsvarande inmatningar i blad ”G_Fall-back”. Om detta är relevant måste ni säkerställa att ni har angett fullständiga uppgifter där.</v>
      </c>
      <c r="F320" s="2531"/>
      <c r="G320" s="2531"/>
      <c r="H320" s="2531"/>
      <c r="I320" s="2531"/>
      <c r="J320" s="2531"/>
      <c r="K320" s="2531"/>
      <c r="L320" s="2531"/>
      <c r="M320" s="2531"/>
      <c r="N320" s="2531"/>
      <c r="O320" s="6"/>
      <c r="P320" s="15"/>
      <c r="Q320" s="410"/>
      <c r="R320" s="349"/>
      <c r="S320" s="349"/>
      <c r="T320" s="543"/>
      <c r="U320" s="349"/>
      <c r="V320" s="349"/>
      <c r="W320" s="349"/>
      <c r="X320" s="349"/>
      <c r="Y320" s="349"/>
      <c r="Z320" s="349"/>
      <c r="AA320" s="349"/>
      <c r="AB320" s="349"/>
      <c r="AC320" s="349"/>
      <c r="AD320" s="349"/>
      <c r="AE320" s="349"/>
    </row>
    <row r="321" spans="1:31" ht="13" customHeight="1" x14ac:dyDescent="0.25">
      <c r="A321" s="349"/>
      <c r="B321" s="19"/>
      <c r="C321" s="19"/>
      <c r="D321" s="19"/>
      <c r="E321" s="2528" t="str">
        <f>Translations!$B$481</f>
        <v>Typ av ”fall-back”-delanläggning</v>
      </c>
      <c r="F321" s="2529"/>
      <c r="G321" s="13" t="str">
        <f>EUconst_Unit</f>
        <v>Enhet</v>
      </c>
      <c r="H321" s="320">
        <f t="shared" ref="H321:N321" si="66">H$393</f>
        <v>2019</v>
      </c>
      <c r="I321" s="320">
        <f t="shared" si="66"/>
        <v>2020</v>
      </c>
      <c r="J321" s="320">
        <f t="shared" si="66"/>
        <v>2021</v>
      </c>
      <c r="K321" s="320">
        <f t="shared" si="66"/>
        <v>2022</v>
      </c>
      <c r="L321" s="320">
        <f t="shared" si="66"/>
        <v>2023</v>
      </c>
      <c r="M321" s="320">
        <f t="shared" si="66"/>
        <v>2024</v>
      </c>
      <c r="N321" s="342">
        <f t="shared" si="66"/>
        <v>2025</v>
      </c>
      <c r="O321" s="6"/>
      <c r="P321" s="15"/>
      <c r="Q321" s="349"/>
      <c r="R321" s="349"/>
      <c r="S321" s="349"/>
      <c r="T321" s="543"/>
      <c r="U321" s="349"/>
      <c r="V321" s="349"/>
      <c r="W321" s="349"/>
      <c r="X321" s="349"/>
      <c r="Y321" s="349"/>
      <c r="Z321" s="349"/>
      <c r="AA321" s="349"/>
      <c r="AB321" s="349"/>
      <c r="AC321" s="349"/>
      <c r="AD321" s="349"/>
      <c r="AE321" s="349"/>
    </row>
    <row r="322" spans="1:31" ht="12.75" customHeight="1" x14ac:dyDescent="0.25">
      <c r="A322" s="2"/>
      <c r="B322" s="19"/>
      <c r="C322" s="19"/>
      <c r="D322" s="175" t="s">
        <v>8</v>
      </c>
      <c r="E322" s="2588" t="str">
        <f>INDEX(EUconst_FallBackListNames,R322)</f>
        <v>Delanläggning med värmeriktmärke, KL</v>
      </c>
      <c r="F322" s="2535"/>
      <c r="G322" s="352" t="str">
        <f t="shared" ref="G322:G327" si="67">EUconst_TJpa</f>
        <v>TJ / år</v>
      </c>
      <c r="H322" s="536" t="str">
        <f>IF(SUMIF('G_Fall-back'!$Q:$Q,$Q322,'G_Fall-back'!H:H)&gt;0,SUMIF('G_Fall-back'!$Q:$Q,$Q322,'G_Fall-back'!H:H),"")</f>
        <v/>
      </c>
      <c r="I322" s="536" t="str">
        <f>IF(SUMIF('G_Fall-back'!$Q:$Q,$Q322,'G_Fall-back'!I:I)&gt;0,SUMIF('G_Fall-back'!$Q:$Q,$Q322,'G_Fall-back'!I:I),"")</f>
        <v/>
      </c>
      <c r="J322" s="536" t="str">
        <f>IF(SUMIF('G_Fall-back'!$Q:$Q,$Q322,'G_Fall-back'!J:J)&gt;0,SUMIF('G_Fall-back'!$Q:$Q,$Q322,'G_Fall-back'!J:J),"")</f>
        <v/>
      </c>
      <c r="K322" s="536" t="str">
        <f>IF(SUMIF('G_Fall-back'!$Q:$Q,$Q322,'G_Fall-back'!K:K)&gt;0,SUMIF('G_Fall-back'!$Q:$Q,$Q322,'G_Fall-back'!K:K),"")</f>
        <v/>
      </c>
      <c r="L322" s="536" t="str">
        <f>IF(SUMIF('G_Fall-back'!$Q:$Q,$Q322,'G_Fall-back'!L:L)&gt;0,SUMIF('G_Fall-back'!$Q:$Q,$Q322,'G_Fall-back'!L:L),"")</f>
        <v/>
      </c>
      <c r="M322" s="536" t="str">
        <f>IF(SUMIF('G_Fall-back'!$Q:$Q,$Q322,'G_Fall-back'!M:M)&gt;0,SUMIF('G_Fall-back'!$Q:$Q,$Q322,'G_Fall-back'!M:M),"")</f>
        <v/>
      </c>
      <c r="N322" s="536" t="str">
        <f>IF(SUMIF('G_Fall-back'!$Q:$Q,$Q322,'G_Fall-back'!N:N)&gt;0,SUMIF('G_Fall-back'!$Q:$Q,$Q322,'G_Fall-back'!N:N),"")</f>
        <v/>
      </c>
      <c r="O322" s="6"/>
      <c r="P322" s="15"/>
      <c r="Q322" s="355" t="str">
        <f>EUconst_CNTR_WGConsumed &amp; E322</f>
        <v>WasteGasCons_Delanläggning med värmeriktmärke, KL</v>
      </c>
      <c r="R322" s="394">
        <v>1</v>
      </c>
      <c r="S322" s="349"/>
      <c r="T322" s="543"/>
      <c r="U322" s="349"/>
      <c r="V322" s="349"/>
      <c r="W322" s="349"/>
      <c r="X322" s="349"/>
      <c r="Y322" s="349"/>
      <c r="Z322" s="349"/>
      <c r="AA322" s="349"/>
      <c r="AB322" s="349"/>
      <c r="AC322" s="349"/>
      <c r="AD322" s="349"/>
      <c r="AE322" s="349"/>
    </row>
    <row r="323" spans="1:31" ht="12.75" customHeight="1" x14ac:dyDescent="0.25">
      <c r="A323" s="2"/>
      <c r="B323" s="19"/>
      <c r="C323" s="19"/>
      <c r="D323" s="175" t="s">
        <v>9</v>
      </c>
      <c r="E323" s="2586" t="str">
        <f>INDEX(EUconst_FallBackListNames,R323)</f>
        <v>Delanläggning med värmeriktmärke, ej KL</v>
      </c>
      <c r="F323" s="2541"/>
      <c r="G323" s="353" t="str">
        <f t="shared" si="67"/>
        <v>TJ / år</v>
      </c>
      <c r="H323" s="412" t="str">
        <f>IF(SUMIF('G_Fall-back'!$Q:$Q,$Q323,'G_Fall-back'!H:H)&gt;0,SUMIF('G_Fall-back'!$Q:$Q,$Q323,'G_Fall-back'!H:H),"")</f>
        <v/>
      </c>
      <c r="I323" s="412" t="str">
        <f>IF(SUMIF('G_Fall-back'!$Q:$Q,$Q323,'G_Fall-back'!I:I)&gt;0,SUMIF('G_Fall-back'!$Q:$Q,$Q323,'G_Fall-back'!I:I),"")</f>
        <v/>
      </c>
      <c r="J323" s="412" t="str">
        <f>IF(SUMIF('G_Fall-back'!$Q:$Q,$Q323,'G_Fall-back'!J:J)&gt;0,SUMIF('G_Fall-back'!$Q:$Q,$Q323,'G_Fall-back'!J:J),"")</f>
        <v/>
      </c>
      <c r="K323" s="412" t="str">
        <f>IF(SUMIF('G_Fall-back'!$Q:$Q,$Q323,'G_Fall-back'!K:K)&gt;0,SUMIF('G_Fall-back'!$Q:$Q,$Q323,'G_Fall-back'!K:K),"")</f>
        <v/>
      </c>
      <c r="L323" s="412" t="str">
        <f>IF(SUMIF('G_Fall-back'!$Q:$Q,$Q323,'G_Fall-back'!L:L)&gt;0,SUMIF('G_Fall-back'!$Q:$Q,$Q323,'G_Fall-back'!L:L),"")</f>
        <v/>
      </c>
      <c r="M323" s="412" t="str">
        <f>IF(SUMIF('G_Fall-back'!$Q:$Q,$Q323,'G_Fall-back'!M:M)&gt;0,SUMIF('G_Fall-back'!$Q:$Q,$Q323,'G_Fall-back'!M:M),"")</f>
        <v/>
      </c>
      <c r="N323" s="412" t="str">
        <f>IF(SUMIF('G_Fall-back'!$Q:$Q,$Q323,'G_Fall-back'!N:N)&gt;0,SUMIF('G_Fall-back'!$Q:$Q,$Q323,'G_Fall-back'!N:N),"")</f>
        <v/>
      </c>
      <c r="O323" s="6"/>
      <c r="P323" s="15"/>
      <c r="Q323" s="355" t="str">
        <f>EUconst_CNTR_WGConsumed &amp; E323</f>
        <v>WasteGasCons_Delanläggning med värmeriktmärke, ej KL</v>
      </c>
      <c r="R323" s="394">
        <v>2</v>
      </c>
      <c r="S323" s="349"/>
      <c r="T323" s="543"/>
      <c r="U323" s="349"/>
      <c r="V323" s="349"/>
      <c r="W323" s="349"/>
      <c r="X323" s="349"/>
      <c r="Y323" s="349"/>
      <c r="Z323" s="349"/>
      <c r="AA323" s="349"/>
      <c r="AB323" s="349"/>
      <c r="AC323" s="349"/>
      <c r="AD323" s="349"/>
      <c r="AE323" s="349"/>
    </row>
    <row r="324" spans="1:31" ht="12.75" customHeight="1" x14ac:dyDescent="0.25">
      <c r="A324" s="2"/>
      <c r="B324" s="19"/>
      <c r="C324" s="19"/>
      <c r="D324" s="175" t="s">
        <v>10</v>
      </c>
      <c r="E324" s="2586" t="str">
        <f>INDEX(EUconst_FallBackListNames,R324)</f>
        <v>Fjärrvärmedelanläggning</v>
      </c>
      <c r="F324" s="2541"/>
      <c r="G324" s="353" t="str">
        <f t="shared" si="67"/>
        <v>TJ / år</v>
      </c>
      <c r="H324" s="412" t="str">
        <f>IF(SUMIF('G_Fall-back'!$Q:$Q,$Q324,'G_Fall-back'!H:H)&gt;0,SUMIF('G_Fall-back'!$Q:$Q,$Q324,'G_Fall-back'!H:H),"")</f>
        <v/>
      </c>
      <c r="I324" s="412" t="str">
        <f>IF(SUMIF('G_Fall-back'!$Q:$Q,$Q324,'G_Fall-back'!I:I)&gt;0,SUMIF('G_Fall-back'!$Q:$Q,$Q324,'G_Fall-back'!I:I),"")</f>
        <v/>
      </c>
      <c r="J324" s="412" t="str">
        <f>IF(SUMIF('G_Fall-back'!$Q:$Q,$Q324,'G_Fall-back'!J:J)&gt;0,SUMIF('G_Fall-back'!$Q:$Q,$Q324,'G_Fall-back'!J:J),"")</f>
        <v/>
      </c>
      <c r="K324" s="412" t="str">
        <f>IF(SUMIF('G_Fall-back'!$Q:$Q,$Q324,'G_Fall-back'!K:K)&gt;0,SUMIF('G_Fall-back'!$Q:$Q,$Q324,'G_Fall-back'!K:K),"")</f>
        <v/>
      </c>
      <c r="L324" s="412" t="str">
        <f>IF(SUMIF('G_Fall-back'!$Q:$Q,$Q324,'G_Fall-back'!L:L)&gt;0,SUMIF('G_Fall-back'!$Q:$Q,$Q324,'G_Fall-back'!L:L),"")</f>
        <v/>
      </c>
      <c r="M324" s="412" t="str">
        <f>IF(SUMIF('G_Fall-back'!$Q:$Q,$Q324,'G_Fall-back'!M:M)&gt;0,SUMIF('G_Fall-back'!$Q:$Q,$Q324,'G_Fall-back'!M:M),"")</f>
        <v/>
      </c>
      <c r="N324" s="412" t="str">
        <f>IF(SUMIF('G_Fall-back'!$Q:$Q,$Q324,'G_Fall-back'!N:N)&gt;0,SUMIF('G_Fall-back'!$Q:$Q,$Q324,'G_Fall-back'!N:N),"")</f>
        <v/>
      </c>
      <c r="O324" s="6"/>
      <c r="P324" s="15"/>
      <c r="Q324" s="355" t="str">
        <f>EUconst_CNTR_WGConsumed &amp; E324</f>
        <v>WasteGasCons_Fjärrvärmedelanläggning</v>
      </c>
      <c r="R324" s="394">
        <v>3</v>
      </c>
      <c r="S324" s="349"/>
      <c r="T324" s="543"/>
      <c r="U324" s="349"/>
      <c r="V324" s="349"/>
      <c r="W324" s="349"/>
      <c r="X324" s="349"/>
      <c r="Y324" s="349"/>
      <c r="Z324" s="349"/>
      <c r="AA324" s="349"/>
      <c r="AB324" s="349"/>
      <c r="AC324" s="349"/>
      <c r="AD324" s="349"/>
      <c r="AE324" s="349"/>
    </row>
    <row r="325" spans="1:31" ht="12.75" customHeight="1" x14ac:dyDescent="0.25">
      <c r="A325" s="2"/>
      <c r="B325" s="19"/>
      <c r="C325" s="19"/>
      <c r="D325" s="175" t="s">
        <v>23</v>
      </c>
      <c r="E325" s="2586" t="str">
        <f>INDEX(EUconst_FallBackListNames,R325)</f>
        <v>Delanläggning med bränsleriktmärke, KL</v>
      </c>
      <c r="F325" s="2541"/>
      <c r="G325" s="353" t="str">
        <f t="shared" si="67"/>
        <v>TJ / år</v>
      </c>
      <c r="H325" s="412" t="str">
        <f>IF(SUMIF('G_Fall-back'!$Q:$Q,$Q325,'G_Fall-back'!H:H)&gt;0,SUMIF('G_Fall-back'!$Q:$Q,$Q325,'G_Fall-back'!H:H),"")</f>
        <v/>
      </c>
      <c r="I325" s="412" t="str">
        <f>IF(SUMIF('G_Fall-back'!$Q:$Q,$Q325,'G_Fall-back'!I:I)&gt;0,SUMIF('G_Fall-back'!$Q:$Q,$Q325,'G_Fall-back'!I:I),"")</f>
        <v/>
      </c>
      <c r="J325" s="412" t="str">
        <f>IF(SUMIF('G_Fall-back'!$Q:$Q,$Q325,'G_Fall-back'!J:J)&gt;0,SUMIF('G_Fall-back'!$Q:$Q,$Q325,'G_Fall-back'!J:J),"")</f>
        <v/>
      </c>
      <c r="K325" s="412" t="str">
        <f>IF(SUMIF('G_Fall-back'!$Q:$Q,$Q325,'G_Fall-back'!K:K)&gt;0,SUMIF('G_Fall-back'!$Q:$Q,$Q325,'G_Fall-back'!K:K),"")</f>
        <v/>
      </c>
      <c r="L325" s="412" t="str">
        <f>IF(SUMIF('G_Fall-back'!$Q:$Q,$Q325,'G_Fall-back'!L:L)&gt;0,SUMIF('G_Fall-back'!$Q:$Q,$Q325,'G_Fall-back'!L:L),"")</f>
        <v/>
      </c>
      <c r="M325" s="412" t="str">
        <f>IF(SUMIF('G_Fall-back'!$Q:$Q,$Q325,'G_Fall-back'!M:M)&gt;0,SUMIF('G_Fall-back'!$Q:$Q,$Q325,'G_Fall-back'!M:M),"")</f>
        <v/>
      </c>
      <c r="N325" s="412" t="str">
        <f>IF(SUMIF('G_Fall-back'!$Q:$Q,$Q325,'G_Fall-back'!N:N)&gt;0,SUMIF('G_Fall-back'!$Q:$Q,$Q325,'G_Fall-back'!N:N),"")</f>
        <v/>
      </c>
      <c r="O325" s="6"/>
      <c r="P325" s="15"/>
      <c r="Q325" s="355" t="str">
        <f>EUconst_CNTR_WGConsumed &amp; E325</f>
        <v>WasteGasCons_Delanläggning med bränsleriktmärke, KL</v>
      </c>
      <c r="R325" s="394">
        <v>4</v>
      </c>
      <c r="S325" s="349"/>
      <c r="T325" s="543"/>
      <c r="U325" s="349"/>
      <c r="V325" s="349"/>
      <c r="W325" s="349"/>
      <c r="X325" s="349"/>
      <c r="Y325" s="349"/>
      <c r="Z325" s="349"/>
      <c r="AA325" s="349"/>
      <c r="AB325" s="349"/>
      <c r="AC325" s="349"/>
      <c r="AD325" s="349"/>
      <c r="AE325" s="349"/>
    </row>
    <row r="326" spans="1:31" ht="12.75" customHeight="1" x14ac:dyDescent="0.25">
      <c r="A326" s="2"/>
      <c r="B326" s="19"/>
      <c r="C326" s="19"/>
      <c r="D326" s="289" t="s">
        <v>859</v>
      </c>
      <c r="E326" s="2587" t="str">
        <f>INDEX(EUconst_FallBackListNames,R326)</f>
        <v>Delanläggning med bränsleriktmärke, ej KL</v>
      </c>
      <c r="F326" s="2543"/>
      <c r="G326" s="354" t="str">
        <f t="shared" si="67"/>
        <v>TJ / år</v>
      </c>
      <c r="H326" s="537" t="str">
        <f>IF(SUMIF('G_Fall-back'!$Q:$Q,$Q326,'G_Fall-back'!H:H)&gt;0,SUMIF('G_Fall-back'!$Q:$Q,$Q326,'G_Fall-back'!H:H),"")</f>
        <v/>
      </c>
      <c r="I326" s="537" t="str">
        <f>IF(SUMIF('G_Fall-back'!$Q:$Q,$Q326,'G_Fall-back'!I:I)&gt;0,SUMIF('G_Fall-back'!$Q:$Q,$Q326,'G_Fall-back'!I:I),"")</f>
        <v/>
      </c>
      <c r="J326" s="537" t="str">
        <f>IF(SUMIF('G_Fall-back'!$Q:$Q,$Q326,'G_Fall-back'!J:J)&gt;0,SUMIF('G_Fall-back'!$Q:$Q,$Q326,'G_Fall-back'!J:J),"")</f>
        <v/>
      </c>
      <c r="K326" s="537" t="str">
        <f>IF(SUMIF('G_Fall-back'!$Q:$Q,$Q326,'G_Fall-back'!K:K)&gt;0,SUMIF('G_Fall-back'!$Q:$Q,$Q326,'G_Fall-back'!K:K),"")</f>
        <v/>
      </c>
      <c r="L326" s="537" t="str">
        <f>IF(SUMIF('G_Fall-back'!$Q:$Q,$Q326,'G_Fall-back'!L:L)&gt;0,SUMIF('G_Fall-back'!$Q:$Q,$Q326,'G_Fall-back'!L:L),"")</f>
        <v/>
      </c>
      <c r="M326" s="537" t="str">
        <f>IF(SUMIF('G_Fall-back'!$Q:$Q,$Q326,'G_Fall-back'!M:M)&gt;0,SUMIF('G_Fall-back'!$Q:$Q,$Q326,'G_Fall-back'!M:M),"")</f>
        <v/>
      </c>
      <c r="N326" s="537" t="str">
        <f>IF(SUMIF('G_Fall-back'!$Q:$Q,$Q326,'G_Fall-back'!N:N)&gt;0,SUMIF('G_Fall-back'!$Q:$Q,$Q326,'G_Fall-back'!N:N),"")</f>
        <v/>
      </c>
      <c r="O326" s="6"/>
      <c r="P326" s="15"/>
      <c r="Q326" s="355" t="str">
        <f>EUconst_CNTR_WGConsumed &amp; E326</f>
        <v>WasteGasCons_Delanläggning med bränsleriktmärke, ej KL</v>
      </c>
      <c r="R326" s="394">
        <v>5</v>
      </c>
      <c r="S326" s="349"/>
      <c r="T326" s="543"/>
      <c r="U326" s="349"/>
      <c r="V326" s="349"/>
      <c r="W326" s="349"/>
      <c r="X326" s="349"/>
      <c r="Y326" s="349"/>
      <c r="Z326" s="349"/>
      <c r="AA326" s="349"/>
      <c r="AB326" s="349"/>
      <c r="AC326" s="349"/>
      <c r="AD326" s="349"/>
      <c r="AE326" s="349"/>
    </row>
    <row r="327" spans="1:31" ht="12.75" customHeight="1" x14ac:dyDescent="0.25">
      <c r="A327" s="349"/>
      <c r="B327" s="19"/>
      <c r="C327" s="19"/>
      <c r="D327" s="289" t="s">
        <v>860</v>
      </c>
      <c r="E327" s="2544" t="str">
        <f>Translations!$B$384</f>
        <v>Delsumma</v>
      </c>
      <c r="F327" s="2545"/>
      <c r="G327" s="37" t="str">
        <f t="shared" si="67"/>
        <v>TJ / år</v>
      </c>
      <c r="H327" s="256" t="str">
        <f t="shared" ref="H327:N327" si="68">IF(COUNT(H322:H326)&gt;0,SUM(H322:H326),"")</f>
        <v/>
      </c>
      <c r="I327" s="256" t="str">
        <f t="shared" si="68"/>
        <v/>
      </c>
      <c r="J327" s="256" t="str">
        <f t="shared" si="68"/>
        <v/>
      </c>
      <c r="K327" s="256" t="str">
        <f t="shared" si="68"/>
        <v/>
      </c>
      <c r="L327" s="256" t="str">
        <f t="shared" si="68"/>
        <v/>
      </c>
      <c r="M327" s="256" t="str">
        <f t="shared" si="68"/>
        <v/>
      </c>
      <c r="N327" s="256" t="str">
        <f t="shared" si="68"/>
        <v/>
      </c>
      <c r="O327" s="6"/>
      <c r="P327" s="15"/>
      <c r="Q327" s="349"/>
      <c r="R327" s="349"/>
      <c r="S327" s="349"/>
      <c r="T327" s="543"/>
      <c r="U327" s="349"/>
      <c r="V327" s="349"/>
      <c r="W327" s="349"/>
      <c r="X327" s="349"/>
      <c r="Y327" s="349"/>
      <c r="Z327" s="349"/>
      <c r="AA327" s="349"/>
      <c r="AB327" s="349"/>
      <c r="AC327" s="349"/>
      <c r="AD327" s="349"/>
      <c r="AE327" s="349"/>
    </row>
    <row r="328" spans="1:31" ht="5.15" customHeight="1" x14ac:dyDescent="0.25">
      <c r="A328" s="349"/>
      <c r="B328" s="19"/>
      <c r="C328" s="19"/>
      <c r="D328" s="19"/>
      <c r="E328" s="15"/>
      <c r="F328" s="19"/>
      <c r="G328" s="19"/>
      <c r="H328" s="19"/>
      <c r="I328" s="19"/>
      <c r="J328" s="19"/>
      <c r="K328" s="19"/>
      <c r="L328" s="19"/>
      <c r="M328" s="19"/>
      <c r="N328" s="19"/>
      <c r="O328" s="6"/>
      <c r="P328" s="15"/>
      <c r="Q328" s="349"/>
      <c r="R328" s="349"/>
      <c r="S328" s="349"/>
      <c r="T328" s="543"/>
      <c r="U328" s="349"/>
      <c r="V328" s="349"/>
      <c r="W328" s="349"/>
      <c r="X328" s="349"/>
      <c r="Y328" s="349"/>
      <c r="Z328" s="349"/>
      <c r="AA328" s="349"/>
      <c r="AB328" s="349"/>
      <c r="AC328" s="349"/>
      <c r="AD328" s="349"/>
      <c r="AE328" s="349"/>
    </row>
    <row r="329" spans="1:31" ht="13" customHeight="1" x14ac:dyDescent="0.25">
      <c r="A329" s="349"/>
      <c r="B329" s="3"/>
      <c r="C329" s="13"/>
      <c r="D329" s="13" t="s">
        <v>305</v>
      </c>
      <c r="E329" s="2528" t="str">
        <f>Translations!$B$482</f>
        <v>Mängden restgaser som förbrukas för elproduktion</v>
      </c>
      <c r="F329" s="2528"/>
      <c r="G329" s="2528"/>
      <c r="H329" s="2528"/>
      <c r="I329" s="2528"/>
      <c r="J329" s="2528"/>
      <c r="K329" s="2528"/>
      <c r="L329" s="2528"/>
      <c r="M329" s="2528"/>
      <c r="N329" s="2528"/>
      <c r="O329" s="6"/>
      <c r="P329" s="15"/>
      <c r="Q329" s="410"/>
      <c r="R329" s="349"/>
      <c r="S329" s="349"/>
      <c r="T329" s="543"/>
      <c r="U329" s="349"/>
      <c r="V329" s="349"/>
      <c r="W329" s="349"/>
      <c r="X329" s="349"/>
      <c r="Y329" s="349"/>
      <c r="Z329" s="349"/>
      <c r="AA329" s="349"/>
      <c r="AB329" s="349"/>
      <c r="AC329" s="349"/>
      <c r="AD329" s="349"/>
      <c r="AE329" s="349"/>
    </row>
    <row r="330" spans="1:31" ht="12.65" customHeight="1" x14ac:dyDescent="0.25">
      <c r="A330" s="349"/>
      <c r="B330" s="19"/>
      <c r="C330" s="19"/>
      <c r="D330" s="19"/>
      <c r="E330" s="2546" t="str">
        <f>Translations!$B$483</f>
        <v>Restgaser för elproduktion</v>
      </c>
      <c r="F330" s="2545"/>
      <c r="G330" s="47" t="str">
        <f>EUconst_TJpa</f>
        <v>TJ / år</v>
      </c>
      <c r="H330" s="260"/>
      <c r="I330" s="260"/>
      <c r="J330" s="260"/>
      <c r="K330" s="260"/>
      <c r="L330" s="260"/>
      <c r="M330" s="260"/>
      <c r="N330" s="260"/>
      <c r="O330" s="6"/>
      <c r="P330" s="1552"/>
      <c r="Q330" s="349"/>
      <c r="R330" s="349"/>
      <c r="S330" s="349"/>
      <c r="T330" s="490" t="b">
        <f>T298</f>
        <v>0</v>
      </c>
      <c r="U330" s="349"/>
      <c r="V330" s="349"/>
      <c r="W330" s="349"/>
      <c r="X330" s="349"/>
      <c r="Y330" s="349"/>
      <c r="Z330" s="349"/>
      <c r="AA330" s="349"/>
      <c r="AB330" s="349"/>
      <c r="AC330" s="349"/>
      <c r="AD330" s="1526" t="s">
        <v>2248</v>
      </c>
      <c r="AE330" s="394" t="str">
        <f>IF(AND(CNTR_HasEntries_A_I,T330=FALSE,COUNTIFS($V$16:$AB$16,FALSE,H330:N330,"")&gt;0,$T$288=FALSE),4,"")</f>
        <v/>
      </c>
    </row>
    <row r="331" spans="1:31" ht="5.15" customHeight="1" x14ac:dyDescent="0.25">
      <c r="A331" s="349"/>
      <c r="B331" s="3"/>
      <c r="C331" s="3"/>
      <c r="D331" s="3"/>
      <c r="E331" s="3"/>
      <c r="F331" s="3"/>
      <c r="G331" s="3"/>
      <c r="H331" s="3"/>
      <c r="I331" s="3"/>
      <c r="J331" s="3"/>
      <c r="K331" s="3"/>
      <c r="L331" s="3"/>
      <c r="M331" s="3"/>
      <c r="N331" s="3"/>
      <c r="O331" s="6"/>
      <c r="P331" s="15"/>
      <c r="Q331" s="410"/>
      <c r="R331" s="349"/>
      <c r="S331" s="349"/>
      <c r="T331" s="543"/>
      <c r="U331" s="349"/>
      <c r="V331" s="349"/>
      <c r="W331" s="349"/>
      <c r="X331" s="349"/>
      <c r="Y331" s="349"/>
      <c r="Z331" s="349"/>
      <c r="AA331" s="349"/>
      <c r="AB331" s="349"/>
      <c r="AC331" s="349"/>
      <c r="AD331" s="349"/>
      <c r="AE331" s="349"/>
    </row>
    <row r="332" spans="1:31" ht="12.75" customHeight="1" x14ac:dyDescent="0.25">
      <c r="A332" s="349"/>
      <c r="B332" s="3"/>
      <c r="C332" s="13"/>
      <c r="D332" s="13" t="s">
        <v>523</v>
      </c>
      <c r="E332" s="2530" t="str">
        <f>Translations!$B$484</f>
        <v>Mängden restgaser för fackling förutom säkerhetsfackling</v>
      </c>
      <c r="F332" s="2530"/>
      <c r="G332" s="2530"/>
      <c r="H332" s="2530"/>
      <c r="I332" s="2530"/>
      <c r="J332" s="2530"/>
      <c r="K332" s="2530"/>
      <c r="L332" s="2530"/>
      <c r="M332" s="2530"/>
      <c r="N332" s="2530"/>
      <c r="O332" s="6"/>
      <c r="P332" s="15"/>
      <c r="Q332" s="410"/>
      <c r="R332" s="349"/>
      <c r="S332" s="349"/>
      <c r="T332" s="543"/>
      <c r="U332" s="349"/>
      <c r="V332" s="349"/>
      <c r="W332" s="349"/>
      <c r="X332" s="349"/>
      <c r="Y332" s="349"/>
      <c r="Z332" s="349"/>
      <c r="AA332" s="349"/>
      <c r="AB332" s="349"/>
      <c r="AC332" s="349"/>
      <c r="AD332" s="349"/>
      <c r="AE332" s="349"/>
    </row>
    <row r="333" spans="1:31" ht="12.65" customHeight="1" x14ac:dyDescent="0.25">
      <c r="A333" s="349"/>
      <c r="B333" s="3"/>
      <c r="C333" s="15"/>
      <c r="D333" s="15"/>
      <c r="E333" s="2533" t="str">
        <f>Translations!$B$485</f>
        <v>För delanläggningar med produktriktmärke hämtas information automatiskt från inmatningarna i blad ”F_ProductBM”.</v>
      </c>
      <c r="F333" s="2531"/>
      <c r="G333" s="2531"/>
      <c r="H333" s="2531"/>
      <c r="I333" s="2531"/>
      <c r="J333" s="2531"/>
      <c r="K333" s="2531"/>
      <c r="L333" s="2531"/>
      <c r="M333" s="2531"/>
      <c r="N333" s="2531"/>
      <c r="O333" s="6"/>
      <c r="P333" s="15"/>
      <c r="Q333" s="410"/>
      <c r="R333" s="349"/>
      <c r="S333" s="349"/>
      <c r="T333" s="543"/>
      <c r="U333" s="349"/>
      <c r="V333" s="349"/>
      <c r="W333" s="349"/>
      <c r="X333" s="349"/>
      <c r="Y333" s="349"/>
      <c r="Z333" s="349"/>
      <c r="AA333" s="349"/>
      <c r="AB333" s="349"/>
      <c r="AC333" s="349"/>
      <c r="AD333" s="349"/>
      <c r="AE333" s="349"/>
    </row>
    <row r="334" spans="1:31" ht="12.65" customHeight="1" x14ac:dyDescent="0.25">
      <c r="A334" s="349"/>
      <c r="B334" s="3"/>
      <c r="C334" s="15"/>
      <c r="D334" s="15"/>
      <c r="E334" s="2533" t="str">
        <f>Translations!$B$486</f>
        <v>Restgaser som produceras utanför delanläggningar med produktriktmärke och som blir föremål för annan fackling än säkerhetsfackling ska anges här.</v>
      </c>
      <c r="F334" s="2531"/>
      <c r="G334" s="2531"/>
      <c r="H334" s="2531"/>
      <c r="I334" s="2531"/>
      <c r="J334" s="2531"/>
      <c r="K334" s="2531"/>
      <c r="L334" s="2531"/>
      <c r="M334" s="2531"/>
      <c r="N334" s="2531"/>
      <c r="O334" s="6"/>
      <c r="P334" s="15"/>
      <c r="Q334" s="410"/>
      <c r="R334" s="349"/>
      <c r="S334" s="349"/>
      <c r="T334" s="543"/>
      <c r="U334" s="349"/>
      <c r="V334" s="349"/>
      <c r="W334" s="349"/>
      <c r="X334" s="349"/>
      <c r="Y334" s="349"/>
      <c r="Z334" s="349"/>
      <c r="AA334" s="349"/>
      <c r="AB334" s="349"/>
      <c r="AC334" s="349"/>
      <c r="AD334" s="349"/>
      <c r="AE334" s="349"/>
    </row>
    <row r="335" spans="1:31" ht="13" customHeight="1" x14ac:dyDescent="0.25">
      <c r="A335" s="349"/>
      <c r="B335" s="19"/>
      <c r="C335" s="19"/>
      <c r="D335" s="19"/>
      <c r="E335" s="2528" t="str">
        <f>Translations!$B$462</f>
        <v>Delanläggning</v>
      </c>
      <c r="F335" s="2529"/>
      <c r="G335" s="30" t="str">
        <f>EUconst_Unit</f>
        <v>Enhet</v>
      </c>
      <c r="H335" s="350">
        <f t="shared" ref="H335:N335" si="69">H$393</f>
        <v>2019</v>
      </c>
      <c r="I335" s="350">
        <f t="shared" si="69"/>
        <v>2020</v>
      </c>
      <c r="J335" s="350">
        <f t="shared" si="69"/>
        <v>2021</v>
      </c>
      <c r="K335" s="350">
        <f t="shared" si="69"/>
        <v>2022</v>
      </c>
      <c r="L335" s="350">
        <f t="shared" si="69"/>
        <v>2023</v>
      </c>
      <c r="M335" s="350">
        <f t="shared" si="69"/>
        <v>2024</v>
      </c>
      <c r="N335" s="350">
        <f t="shared" si="69"/>
        <v>2025</v>
      </c>
      <c r="O335" s="6"/>
      <c r="P335" s="15"/>
      <c r="Q335" s="349"/>
      <c r="R335" s="349"/>
      <c r="S335" s="349"/>
      <c r="T335" s="543"/>
      <c r="U335" s="349"/>
      <c r="V335" s="349"/>
      <c r="W335" s="349"/>
      <c r="X335" s="349"/>
      <c r="Y335" s="349"/>
      <c r="Z335" s="349"/>
      <c r="AA335" s="349"/>
      <c r="AB335" s="349"/>
      <c r="AC335" s="349"/>
      <c r="AD335" s="349"/>
      <c r="AE335" s="349"/>
    </row>
    <row r="336" spans="1:31" ht="12.75" customHeight="1" x14ac:dyDescent="0.25">
      <c r="A336" s="349"/>
      <c r="B336" s="19"/>
      <c r="C336" s="19"/>
      <c r="D336" s="289" t="s">
        <v>8</v>
      </c>
      <c r="E336" s="2534" t="str">
        <f t="shared" ref="E336:E345" si="70">E307</f>
        <v/>
      </c>
      <c r="F336" s="2535"/>
      <c r="G336" s="352" t="str">
        <f t="shared" ref="G336:G345" si="71">EUconst_TJpa</f>
        <v>TJ / år</v>
      </c>
      <c r="H336" s="536" t="str">
        <f>IF(SUMIF(F_ProductBM!$Q:$Q,$Q336,F_ProductBM!H:H)&gt;0,SUMIF(F_ProductBM!$Q:$Q,$Q336,F_ProductBM!H:H),"")</f>
        <v/>
      </c>
      <c r="I336" s="536" t="str">
        <f>IF(SUMIF(F_ProductBM!$Q:$Q,$Q336,F_ProductBM!I:I)&gt;0,SUMIF(F_ProductBM!$Q:$Q,$Q336,F_ProductBM!I:I),"")</f>
        <v/>
      </c>
      <c r="J336" s="536" t="str">
        <f>IF(SUMIF(F_ProductBM!$Q:$Q,$Q336,F_ProductBM!J:J)&gt;0,SUMIF(F_ProductBM!$Q:$Q,$Q336,F_ProductBM!J:J),"")</f>
        <v/>
      </c>
      <c r="K336" s="536" t="str">
        <f>IF(SUMIF(F_ProductBM!$Q:$Q,$Q336,F_ProductBM!K:K)&gt;0,SUMIF(F_ProductBM!$Q:$Q,$Q336,F_ProductBM!K:K),"")</f>
        <v/>
      </c>
      <c r="L336" s="536" t="str">
        <f>IF(SUMIF(F_ProductBM!$Q:$Q,$Q336,F_ProductBM!L:L)&gt;0,SUMIF(F_ProductBM!$Q:$Q,$Q336,F_ProductBM!L:L),"")</f>
        <v/>
      </c>
      <c r="M336" s="536" t="str">
        <f>IF(SUMIF(F_ProductBM!$Q:$Q,$Q336,F_ProductBM!M:M)&gt;0,SUMIF(F_ProductBM!$Q:$Q,$Q336,F_ProductBM!M:M),"")</f>
        <v/>
      </c>
      <c r="N336" s="536" t="str">
        <f>IF(SUMIF(F_ProductBM!$Q:$Q,$Q336,F_ProductBM!N:N)&gt;0,SUMIF(F_ProductBM!$Q:$Q,$Q336,F_ProductBM!N:N),"")</f>
        <v/>
      </c>
      <c r="O336" s="6"/>
      <c r="P336" s="15"/>
      <c r="Q336" s="355" t="str">
        <f t="shared" ref="Q336:Q345" si="72">EUconst_CNTR_WGFlared &amp; E336</f>
        <v>WasteGasFlare_</v>
      </c>
      <c r="R336" s="349"/>
      <c r="S336" s="349"/>
      <c r="T336" s="543"/>
      <c r="U336" s="349"/>
      <c r="V336" s="349"/>
      <c r="W336" s="349"/>
      <c r="X336" s="349"/>
      <c r="Y336" s="349"/>
      <c r="Z336" s="349"/>
      <c r="AA336" s="349"/>
      <c r="AB336" s="349"/>
      <c r="AC336" s="349"/>
      <c r="AD336" s="349"/>
      <c r="AE336" s="349"/>
    </row>
    <row r="337" spans="1:31" ht="12.75" customHeight="1" x14ac:dyDescent="0.25">
      <c r="A337" s="349"/>
      <c r="B337" s="19"/>
      <c r="C337" s="19"/>
      <c r="D337" s="289" t="s">
        <v>9</v>
      </c>
      <c r="E337" s="2540" t="str">
        <f t="shared" si="70"/>
        <v/>
      </c>
      <c r="F337" s="2541"/>
      <c r="G337" s="353" t="str">
        <f t="shared" si="71"/>
        <v>TJ / år</v>
      </c>
      <c r="H337" s="412" t="str">
        <f>IF(SUMIF(F_ProductBM!$Q:$Q,$Q337,F_ProductBM!H:H)&gt;0,SUMIF(F_ProductBM!$Q:$Q,$Q337,F_ProductBM!H:H),"")</f>
        <v/>
      </c>
      <c r="I337" s="412" t="str">
        <f>IF(SUMIF(F_ProductBM!$Q:$Q,$Q337,F_ProductBM!I:I)&gt;0,SUMIF(F_ProductBM!$Q:$Q,$Q337,F_ProductBM!I:I),"")</f>
        <v/>
      </c>
      <c r="J337" s="412" t="str">
        <f>IF(SUMIF(F_ProductBM!$Q:$Q,$Q337,F_ProductBM!J:J)&gt;0,SUMIF(F_ProductBM!$Q:$Q,$Q337,F_ProductBM!J:J),"")</f>
        <v/>
      </c>
      <c r="K337" s="412" t="str">
        <f>IF(SUMIF(F_ProductBM!$Q:$Q,$Q337,F_ProductBM!K:K)&gt;0,SUMIF(F_ProductBM!$Q:$Q,$Q337,F_ProductBM!K:K),"")</f>
        <v/>
      </c>
      <c r="L337" s="412" t="str">
        <f>IF(SUMIF(F_ProductBM!$Q:$Q,$Q337,F_ProductBM!L:L)&gt;0,SUMIF(F_ProductBM!$Q:$Q,$Q337,F_ProductBM!L:L),"")</f>
        <v/>
      </c>
      <c r="M337" s="412" t="str">
        <f>IF(SUMIF(F_ProductBM!$Q:$Q,$Q337,F_ProductBM!M:M)&gt;0,SUMIF(F_ProductBM!$Q:$Q,$Q337,F_ProductBM!M:M),"")</f>
        <v/>
      </c>
      <c r="N337" s="412" t="str">
        <f>IF(SUMIF(F_ProductBM!$Q:$Q,$Q337,F_ProductBM!N:N)&gt;0,SUMIF(F_ProductBM!$Q:$Q,$Q337,F_ProductBM!N:N),"")</f>
        <v/>
      </c>
      <c r="O337" s="6"/>
      <c r="P337" s="15"/>
      <c r="Q337" s="355" t="str">
        <f t="shared" si="72"/>
        <v>WasteGasFlare_</v>
      </c>
      <c r="R337" s="349"/>
      <c r="S337" s="349"/>
      <c r="T337" s="543"/>
      <c r="U337" s="349"/>
      <c r="V337" s="349"/>
      <c r="W337" s="349"/>
      <c r="X337" s="349"/>
      <c r="Y337" s="349"/>
      <c r="Z337" s="349"/>
      <c r="AA337" s="349"/>
      <c r="AB337" s="349"/>
      <c r="AC337" s="349"/>
      <c r="AD337" s="349"/>
      <c r="AE337" s="349"/>
    </row>
    <row r="338" spans="1:31" ht="12.75" customHeight="1" x14ac:dyDescent="0.25">
      <c r="A338" s="349"/>
      <c r="B338" s="19"/>
      <c r="C338" s="19"/>
      <c r="D338" s="289" t="s">
        <v>10</v>
      </c>
      <c r="E338" s="2540" t="str">
        <f t="shared" si="70"/>
        <v/>
      </c>
      <c r="F338" s="2541"/>
      <c r="G338" s="353" t="str">
        <f t="shared" si="71"/>
        <v>TJ / år</v>
      </c>
      <c r="H338" s="412" t="str">
        <f>IF(SUMIF(F_ProductBM!$Q:$Q,$Q338,F_ProductBM!H:H)&gt;0,SUMIF(F_ProductBM!$Q:$Q,$Q338,F_ProductBM!H:H),"")</f>
        <v/>
      </c>
      <c r="I338" s="412" t="str">
        <f>IF(SUMIF(F_ProductBM!$Q:$Q,$Q338,F_ProductBM!I:I)&gt;0,SUMIF(F_ProductBM!$Q:$Q,$Q338,F_ProductBM!I:I),"")</f>
        <v/>
      </c>
      <c r="J338" s="412" t="str">
        <f>IF(SUMIF(F_ProductBM!$Q:$Q,$Q338,F_ProductBM!J:J)&gt;0,SUMIF(F_ProductBM!$Q:$Q,$Q338,F_ProductBM!J:J),"")</f>
        <v/>
      </c>
      <c r="K338" s="412" t="str">
        <f>IF(SUMIF(F_ProductBM!$Q:$Q,$Q338,F_ProductBM!K:K)&gt;0,SUMIF(F_ProductBM!$Q:$Q,$Q338,F_ProductBM!K:K),"")</f>
        <v/>
      </c>
      <c r="L338" s="412" t="str">
        <f>IF(SUMIF(F_ProductBM!$Q:$Q,$Q338,F_ProductBM!L:L)&gt;0,SUMIF(F_ProductBM!$Q:$Q,$Q338,F_ProductBM!L:L),"")</f>
        <v/>
      </c>
      <c r="M338" s="412" t="str">
        <f>IF(SUMIF(F_ProductBM!$Q:$Q,$Q338,F_ProductBM!M:M)&gt;0,SUMIF(F_ProductBM!$Q:$Q,$Q338,F_ProductBM!M:M),"")</f>
        <v/>
      </c>
      <c r="N338" s="412" t="str">
        <f>IF(SUMIF(F_ProductBM!$Q:$Q,$Q338,F_ProductBM!N:N)&gt;0,SUMIF(F_ProductBM!$Q:$Q,$Q338,F_ProductBM!N:N),"")</f>
        <v/>
      </c>
      <c r="O338" s="6"/>
      <c r="P338" s="15"/>
      <c r="Q338" s="355" t="str">
        <f t="shared" si="72"/>
        <v>WasteGasFlare_</v>
      </c>
      <c r="R338" s="349"/>
      <c r="S338" s="349"/>
      <c r="T338" s="543"/>
      <c r="U338" s="349"/>
      <c r="V338" s="349"/>
      <c r="W338" s="349"/>
      <c r="X338" s="349"/>
      <c r="Y338" s="349"/>
      <c r="Z338" s="349"/>
      <c r="AA338" s="349"/>
      <c r="AB338" s="349"/>
      <c r="AC338" s="349"/>
      <c r="AD338" s="349"/>
      <c r="AE338" s="349"/>
    </row>
    <row r="339" spans="1:31" ht="12.75" customHeight="1" x14ac:dyDescent="0.25">
      <c r="A339" s="349"/>
      <c r="B339" s="19"/>
      <c r="C339" s="19"/>
      <c r="D339" s="289" t="s">
        <v>23</v>
      </c>
      <c r="E339" s="2540" t="str">
        <f t="shared" si="70"/>
        <v/>
      </c>
      <c r="F339" s="2541"/>
      <c r="G339" s="353" t="str">
        <f t="shared" si="71"/>
        <v>TJ / år</v>
      </c>
      <c r="H339" s="412" t="str">
        <f>IF(SUMIF(F_ProductBM!$Q:$Q,$Q339,F_ProductBM!H:H)&gt;0,SUMIF(F_ProductBM!$Q:$Q,$Q339,F_ProductBM!H:H),"")</f>
        <v/>
      </c>
      <c r="I339" s="412" t="str">
        <f>IF(SUMIF(F_ProductBM!$Q:$Q,$Q339,F_ProductBM!I:I)&gt;0,SUMIF(F_ProductBM!$Q:$Q,$Q339,F_ProductBM!I:I),"")</f>
        <v/>
      </c>
      <c r="J339" s="412" t="str">
        <f>IF(SUMIF(F_ProductBM!$Q:$Q,$Q339,F_ProductBM!J:J)&gt;0,SUMIF(F_ProductBM!$Q:$Q,$Q339,F_ProductBM!J:J),"")</f>
        <v/>
      </c>
      <c r="K339" s="412" t="str">
        <f>IF(SUMIF(F_ProductBM!$Q:$Q,$Q339,F_ProductBM!K:K)&gt;0,SUMIF(F_ProductBM!$Q:$Q,$Q339,F_ProductBM!K:K),"")</f>
        <v/>
      </c>
      <c r="L339" s="412" t="str">
        <f>IF(SUMIF(F_ProductBM!$Q:$Q,$Q339,F_ProductBM!L:L)&gt;0,SUMIF(F_ProductBM!$Q:$Q,$Q339,F_ProductBM!L:L),"")</f>
        <v/>
      </c>
      <c r="M339" s="412" t="str">
        <f>IF(SUMIF(F_ProductBM!$Q:$Q,$Q339,F_ProductBM!M:M)&gt;0,SUMIF(F_ProductBM!$Q:$Q,$Q339,F_ProductBM!M:M),"")</f>
        <v/>
      </c>
      <c r="N339" s="412" t="str">
        <f>IF(SUMIF(F_ProductBM!$Q:$Q,$Q339,F_ProductBM!N:N)&gt;0,SUMIF(F_ProductBM!$Q:$Q,$Q339,F_ProductBM!N:N),"")</f>
        <v/>
      </c>
      <c r="O339" s="6"/>
      <c r="P339" s="15"/>
      <c r="Q339" s="355" t="str">
        <f t="shared" si="72"/>
        <v>WasteGasFlare_</v>
      </c>
      <c r="R339" s="349"/>
      <c r="S339" s="349"/>
      <c r="T339" s="543"/>
      <c r="U339" s="349"/>
      <c r="V339" s="349"/>
      <c r="W339" s="349"/>
      <c r="X339" s="349"/>
      <c r="Y339" s="349"/>
      <c r="Z339" s="349"/>
      <c r="AA339" s="349"/>
      <c r="AB339" s="349"/>
      <c r="AC339" s="349"/>
      <c r="AD339" s="349"/>
      <c r="AE339" s="349"/>
    </row>
    <row r="340" spans="1:31" ht="12.75" customHeight="1" x14ac:dyDescent="0.25">
      <c r="A340" s="349"/>
      <c r="B340" s="19"/>
      <c r="C340" s="19"/>
      <c r="D340" s="289" t="s">
        <v>859</v>
      </c>
      <c r="E340" s="2540" t="str">
        <f t="shared" si="70"/>
        <v/>
      </c>
      <c r="F340" s="2541"/>
      <c r="G340" s="353" t="str">
        <f t="shared" si="71"/>
        <v>TJ / år</v>
      </c>
      <c r="H340" s="412" t="str">
        <f>IF(SUMIF(F_ProductBM!$Q:$Q,$Q340,F_ProductBM!H:H)&gt;0,SUMIF(F_ProductBM!$Q:$Q,$Q340,F_ProductBM!H:H),"")</f>
        <v/>
      </c>
      <c r="I340" s="412" t="str">
        <f>IF(SUMIF(F_ProductBM!$Q:$Q,$Q340,F_ProductBM!I:I)&gt;0,SUMIF(F_ProductBM!$Q:$Q,$Q340,F_ProductBM!I:I),"")</f>
        <v/>
      </c>
      <c r="J340" s="412" t="str">
        <f>IF(SUMIF(F_ProductBM!$Q:$Q,$Q340,F_ProductBM!J:J)&gt;0,SUMIF(F_ProductBM!$Q:$Q,$Q340,F_ProductBM!J:J),"")</f>
        <v/>
      </c>
      <c r="K340" s="412" t="str">
        <f>IF(SUMIF(F_ProductBM!$Q:$Q,$Q340,F_ProductBM!K:K)&gt;0,SUMIF(F_ProductBM!$Q:$Q,$Q340,F_ProductBM!K:K),"")</f>
        <v/>
      </c>
      <c r="L340" s="412" t="str">
        <f>IF(SUMIF(F_ProductBM!$Q:$Q,$Q340,F_ProductBM!L:L)&gt;0,SUMIF(F_ProductBM!$Q:$Q,$Q340,F_ProductBM!L:L),"")</f>
        <v/>
      </c>
      <c r="M340" s="412" t="str">
        <f>IF(SUMIF(F_ProductBM!$Q:$Q,$Q340,F_ProductBM!M:M)&gt;0,SUMIF(F_ProductBM!$Q:$Q,$Q340,F_ProductBM!M:M),"")</f>
        <v/>
      </c>
      <c r="N340" s="412" t="str">
        <f>IF(SUMIF(F_ProductBM!$Q:$Q,$Q340,F_ProductBM!N:N)&gt;0,SUMIF(F_ProductBM!$Q:$Q,$Q340,F_ProductBM!N:N),"")</f>
        <v/>
      </c>
      <c r="O340" s="6"/>
      <c r="P340" s="15"/>
      <c r="Q340" s="355" t="str">
        <f t="shared" si="72"/>
        <v>WasteGasFlare_</v>
      </c>
      <c r="R340" s="349"/>
      <c r="S340" s="349"/>
      <c r="T340" s="543"/>
      <c r="U340" s="349"/>
      <c r="V340" s="349"/>
      <c r="W340" s="349"/>
      <c r="X340" s="349"/>
      <c r="Y340" s="349"/>
      <c r="Z340" s="349"/>
      <c r="AA340" s="349"/>
      <c r="AB340" s="349"/>
      <c r="AC340" s="349"/>
      <c r="AD340" s="349"/>
      <c r="AE340" s="349"/>
    </row>
    <row r="341" spans="1:31" ht="12.75" customHeight="1" x14ac:dyDescent="0.25">
      <c r="A341" s="349"/>
      <c r="B341" s="19"/>
      <c r="C341" s="19"/>
      <c r="D341" s="289" t="s">
        <v>860</v>
      </c>
      <c r="E341" s="2540" t="str">
        <f t="shared" si="70"/>
        <v/>
      </c>
      <c r="F341" s="2541"/>
      <c r="G341" s="353" t="str">
        <f t="shared" si="71"/>
        <v>TJ / år</v>
      </c>
      <c r="H341" s="412" t="str">
        <f>IF(SUMIF(F_ProductBM!$Q:$Q,$Q341,F_ProductBM!H:H)&gt;0,SUMIF(F_ProductBM!$Q:$Q,$Q341,F_ProductBM!H:H),"")</f>
        <v/>
      </c>
      <c r="I341" s="412" t="str">
        <f>IF(SUMIF(F_ProductBM!$Q:$Q,$Q341,F_ProductBM!I:I)&gt;0,SUMIF(F_ProductBM!$Q:$Q,$Q341,F_ProductBM!I:I),"")</f>
        <v/>
      </c>
      <c r="J341" s="412" t="str">
        <f>IF(SUMIF(F_ProductBM!$Q:$Q,$Q341,F_ProductBM!J:J)&gt;0,SUMIF(F_ProductBM!$Q:$Q,$Q341,F_ProductBM!J:J),"")</f>
        <v/>
      </c>
      <c r="K341" s="412" t="str">
        <f>IF(SUMIF(F_ProductBM!$Q:$Q,$Q341,F_ProductBM!K:K)&gt;0,SUMIF(F_ProductBM!$Q:$Q,$Q341,F_ProductBM!K:K),"")</f>
        <v/>
      </c>
      <c r="L341" s="412" t="str">
        <f>IF(SUMIF(F_ProductBM!$Q:$Q,$Q341,F_ProductBM!L:L)&gt;0,SUMIF(F_ProductBM!$Q:$Q,$Q341,F_ProductBM!L:L),"")</f>
        <v/>
      </c>
      <c r="M341" s="412" t="str">
        <f>IF(SUMIF(F_ProductBM!$Q:$Q,$Q341,F_ProductBM!M:M)&gt;0,SUMIF(F_ProductBM!$Q:$Q,$Q341,F_ProductBM!M:M),"")</f>
        <v/>
      </c>
      <c r="N341" s="412" t="str">
        <f>IF(SUMIF(F_ProductBM!$Q:$Q,$Q341,F_ProductBM!N:N)&gt;0,SUMIF(F_ProductBM!$Q:$Q,$Q341,F_ProductBM!N:N),"")</f>
        <v/>
      </c>
      <c r="O341" s="6"/>
      <c r="P341" s="15"/>
      <c r="Q341" s="355" t="str">
        <f t="shared" si="72"/>
        <v>WasteGasFlare_</v>
      </c>
      <c r="R341" s="349"/>
      <c r="S341" s="349"/>
      <c r="T341" s="543"/>
      <c r="U341" s="349"/>
      <c r="V341" s="349"/>
      <c r="W341" s="349"/>
      <c r="X341" s="349"/>
      <c r="Y341" s="349"/>
      <c r="Z341" s="349"/>
      <c r="AA341" s="349"/>
      <c r="AB341" s="349"/>
      <c r="AC341" s="349"/>
      <c r="AD341" s="349"/>
      <c r="AE341" s="349"/>
    </row>
    <row r="342" spans="1:31" ht="12.75" customHeight="1" x14ac:dyDescent="0.25">
      <c r="A342" s="349"/>
      <c r="B342" s="19"/>
      <c r="C342" s="19"/>
      <c r="D342" s="289" t="s">
        <v>861</v>
      </c>
      <c r="E342" s="2540" t="str">
        <f t="shared" si="70"/>
        <v/>
      </c>
      <c r="F342" s="2541"/>
      <c r="G342" s="353" t="str">
        <f t="shared" si="71"/>
        <v>TJ / år</v>
      </c>
      <c r="H342" s="412" t="str">
        <f>IF(SUMIF(F_ProductBM!$Q:$Q,$Q342,F_ProductBM!H:H)&gt;0,SUMIF(F_ProductBM!$Q:$Q,$Q342,F_ProductBM!H:H),"")</f>
        <v/>
      </c>
      <c r="I342" s="412" t="str">
        <f>IF(SUMIF(F_ProductBM!$Q:$Q,$Q342,F_ProductBM!I:I)&gt;0,SUMIF(F_ProductBM!$Q:$Q,$Q342,F_ProductBM!I:I),"")</f>
        <v/>
      </c>
      <c r="J342" s="412" t="str">
        <f>IF(SUMIF(F_ProductBM!$Q:$Q,$Q342,F_ProductBM!J:J)&gt;0,SUMIF(F_ProductBM!$Q:$Q,$Q342,F_ProductBM!J:J),"")</f>
        <v/>
      </c>
      <c r="K342" s="412" t="str">
        <f>IF(SUMIF(F_ProductBM!$Q:$Q,$Q342,F_ProductBM!K:K)&gt;0,SUMIF(F_ProductBM!$Q:$Q,$Q342,F_ProductBM!K:K),"")</f>
        <v/>
      </c>
      <c r="L342" s="412" t="str">
        <f>IF(SUMIF(F_ProductBM!$Q:$Q,$Q342,F_ProductBM!L:L)&gt;0,SUMIF(F_ProductBM!$Q:$Q,$Q342,F_ProductBM!L:L),"")</f>
        <v/>
      </c>
      <c r="M342" s="412" t="str">
        <f>IF(SUMIF(F_ProductBM!$Q:$Q,$Q342,F_ProductBM!M:M)&gt;0,SUMIF(F_ProductBM!$Q:$Q,$Q342,F_ProductBM!M:M),"")</f>
        <v/>
      </c>
      <c r="N342" s="412" t="str">
        <f>IF(SUMIF(F_ProductBM!$Q:$Q,$Q342,F_ProductBM!N:N)&gt;0,SUMIF(F_ProductBM!$Q:$Q,$Q342,F_ProductBM!N:N),"")</f>
        <v/>
      </c>
      <c r="O342" s="6"/>
      <c r="P342" s="15"/>
      <c r="Q342" s="355" t="str">
        <f t="shared" si="72"/>
        <v>WasteGasFlare_</v>
      </c>
      <c r="R342" s="349"/>
      <c r="S342" s="349"/>
      <c r="T342" s="543"/>
      <c r="U342" s="349"/>
      <c r="V342" s="349"/>
      <c r="W342" s="349"/>
      <c r="X342" s="349"/>
      <c r="Y342" s="349"/>
      <c r="Z342" s="349"/>
      <c r="AA342" s="349"/>
      <c r="AB342" s="349"/>
      <c r="AC342" s="349"/>
      <c r="AD342" s="349"/>
      <c r="AE342" s="349"/>
    </row>
    <row r="343" spans="1:31" ht="12.75" customHeight="1" x14ac:dyDescent="0.25">
      <c r="A343" s="349"/>
      <c r="B343" s="19"/>
      <c r="C343" s="19"/>
      <c r="D343" s="289" t="s">
        <v>862</v>
      </c>
      <c r="E343" s="2540" t="str">
        <f t="shared" si="70"/>
        <v/>
      </c>
      <c r="F343" s="2541"/>
      <c r="G343" s="353" t="str">
        <f t="shared" si="71"/>
        <v>TJ / år</v>
      </c>
      <c r="H343" s="412" t="str">
        <f>IF(SUMIF(F_ProductBM!$Q:$Q,$Q343,F_ProductBM!H:H)&gt;0,SUMIF(F_ProductBM!$Q:$Q,$Q343,F_ProductBM!H:H),"")</f>
        <v/>
      </c>
      <c r="I343" s="412" t="str">
        <f>IF(SUMIF(F_ProductBM!$Q:$Q,$Q343,F_ProductBM!I:I)&gt;0,SUMIF(F_ProductBM!$Q:$Q,$Q343,F_ProductBM!I:I),"")</f>
        <v/>
      </c>
      <c r="J343" s="412" t="str">
        <f>IF(SUMIF(F_ProductBM!$Q:$Q,$Q343,F_ProductBM!J:J)&gt;0,SUMIF(F_ProductBM!$Q:$Q,$Q343,F_ProductBM!J:J),"")</f>
        <v/>
      </c>
      <c r="K343" s="412" t="str">
        <f>IF(SUMIF(F_ProductBM!$Q:$Q,$Q343,F_ProductBM!K:K)&gt;0,SUMIF(F_ProductBM!$Q:$Q,$Q343,F_ProductBM!K:K),"")</f>
        <v/>
      </c>
      <c r="L343" s="412" t="str">
        <f>IF(SUMIF(F_ProductBM!$Q:$Q,$Q343,F_ProductBM!L:L)&gt;0,SUMIF(F_ProductBM!$Q:$Q,$Q343,F_ProductBM!L:L),"")</f>
        <v/>
      </c>
      <c r="M343" s="412" t="str">
        <f>IF(SUMIF(F_ProductBM!$Q:$Q,$Q343,F_ProductBM!M:M)&gt;0,SUMIF(F_ProductBM!$Q:$Q,$Q343,F_ProductBM!M:M),"")</f>
        <v/>
      </c>
      <c r="N343" s="412" t="str">
        <f>IF(SUMIF(F_ProductBM!$Q:$Q,$Q343,F_ProductBM!N:N)&gt;0,SUMIF(F_ProductBM!$Q:$Q,$Q343,F_ProductBM!N:N),"")</f>
        <v/>
      </c>
      <c r="O343" s="6"/>
      <c r="P343" s="15"/>
      <c r="Q343" s="355" t="str">
        <f t="shared" si="72"/>
        <v>WasteGasFlare_</v>
      </c>
      <c r="R343" s="349"/>
      <c r="S343" s="349"/>
      <c r="T343" s="543"/>
      <c r="U343" s="349"/>
      <c r="V343" s="349"/>
      <c r="W343" s="349"/>
      <c r="X343" s="349"/>
      <c r="Y343" s="349"/>
      <c r="Z343" s="349"/>
      <c r="AA343" s="349"/>
      <c r="AB343" s="349"/>
      <c r="AC343" s="349"/>
      <c r="AD343" s="349"/>
      <c r="AE343" s="349"/>
    </row>
    <row r="344" spans="1:31" ht="12.75" customHeight="1" x14ac:dyDescent="0.25">
      <c r="A344" s="349"/>
      <c r="B344" s="19"/>
      <c r="C344" s="19"/>
      <c r="D344" s="289" t="s">
        <v>863</v>
      </c>
      <c r="E344" s="2540" t="str">
        <f t="shared" si="70"/>
        <v/>
      </c>
      <c r="F344" s="2541"/>
      <c r="G344" s="353" t="str">
        <f t="shared" si="71"/>
        <v>TJ / år</v>
      </c>
      <c r="H344" s="412" t="str">
        <f>IF(SUMIF(F_ProductBM!$Q:$Q,$Q344,F_ProductBM!H:H)&gt;0,SUMIF(F_ProductBM!$Q:$Q,$Q344,F_ProductBM!H:H),"")</f>
        <v/>
      </c>
      <c r="I344" s="412" t="str">
        <f>IF(SUMIF(F_ProductBM!$Q:$Q,$Q344,F_ProductBM!I:I)&gt;0,SUMIF(F_ProductBM!$Q:$Q,$Q344,F_ProductBM!I:I),"")</f>
        <v/>
      </c>
      <c r="J344" s="412" t="str">
        <f>IF(SUMIF(F_ProductBM!$Q:$Q,$Q344,F_ProductBM!J:J)&gt;0,SUMIF(F_ProductBM!$Q:$Q,$Q344,F_ProductBM!J:J),"")</f>
        <v/>
      </c>
      <c r="K344" s="412" t="str">
        <f>IF(SUMIF(F_ProductBM!$Q:$Q,$Q344,F_ProductBM!K:K)&gt;0,SUMIF(F_ProductBM!$Q:$Q,$Q344,F_ProductBM!K:K),"")</f>
        <v/>
      </c>
      <c r="L344" s="412" t="str">
        <f>IF(SUMIF(F_ProductBM!$Q:$Q,$Q344,F_ProductBM!L:L)&gt;0,SUMIF(F_ProductBM!$Q:$Q,$Q344,F_ProductBM!L:L),"")</f>
        <v/>
      </c>
      <c r="M344" s="412" t="str">
        <f>IF(SUMIF(F_ProductBM!$Q:$Q,$Q344,F_ProductBM!M:M)&gt;0,SUMIF(F_ProductBM!$Q:$Q,$Q344,F_ProductBM!M:M),"")</f>
        <v/>
      </c>
      <c r="N344" s="412" t="str">
        <f>IF(SUMIF(F_ProductBM!$Q:$Q,$Q344,F_ProductBM!N:N)&gt;0,SUMIF(F_ProductBM!$Q:$Q,$Q344,F_ProductBM!N:N),"")</f>
        <v/>
      </c>
      <c r="O344" s="6"/>
      <c r="P344" s="15"/>
      <c r="Q344" s="355" t="str">
        <f t="shared" si="72"/>
        <v>WasteGasFlare_</v>
      </c>
      <c r="R344" s="349"/>
      <c r="S344" s="349"/>
      <c r="T344" s="543"/>
      <c r="U344" s="349"/>
      <c r="V344" s="349"/>
      <c r="W344" s="349"/>
      <c r="X344" s="349"/>
      <c r="Y344" s="349"/>
      <c r="Z344" s="349"/>
      <c r="AA344" s="349"/>
      <c r="AB344" s="349"/>
      <c r="AC344" s="349"/>
      <c r="AD344" s="349"/>
      <c r="AE344" s="349"/>
    </row>
    <row r="345" spans="1:31" ht="12.75" customHeight="1" x14ac:dyDescent="0.25">
      <c r="A345" s="349"/>
      <c r="B345" s="19"/>
      <c r="C345" s="19"/>
      <c r="D345" s="289" t="s">
        <v>72</v>
      </c>
      <c r="E345" s="2576" t="str">
        <f t="shared" si="70"/>
        <v/>
      </c>
      <c r="F345" s="2543"/>
      <c r="G345" s="354" t="str">
        <f t="shared" si="71"/>
        <v>TJ / år</v>
      </c>
      <c r="H345" s="537" t="str">
        <f>IF(SUMIF(F_ProductBM!$Q:$Q,$Q345,F_ProductBM!H:H)&gt;0,SUMIF(F_ProductBM!$Q:$Q,$Q345,F_ProductBM!H:H),"")</f>
        <v/>
      </c>
      <c r="I345" s="537" t="str">
        <f>IF(SUMIF(F_ProductBM!$Q:$Q,$Q345,F_ProductBM!I:I)&gt;0,SUMIF(F_ProductBM!$Q:$Q,$Q345,F_ProductBM!I:I),"")</f>
        <v/>
      </c>
      <c r="J345" s="537" t="str">
        <f>IF(SUMIF(F_ProductBM!$Q:$Q,$Q345,F_ProductBM!J:J)&gt;0,SUMIF(F_ProductBM!$Q:$Q,$Q345,F_ProductBM!J:J),"")</f>
        <v/>
      </c>
      <c r="K345" s="537" t="str">
        <f>IF(SUMIF(F_ProductBM!$Q:$Q,$Q345,F_ProductBM!K:K)&gt;0,SUMIF(F_ProductBM!$Q:$Q,$Q345,F_ProductBM!K:K),"")</f>
        <v/>
      </c>
      <c r="L345" s="537" t="str">
        <f>IF(SUMIF(F_ProductBM!$Q:$Q,$Q345,F_ProductBM!L:L)&gt;0,SUMIF(F_ProductBM!$Q:$Q,$Q345,F_ProductBM!L:L),"")</f>
        <v/>
      </c>
      <c r="M345" s="537" t="str">
        <f>IF(SUMIF(F_ProductBM!$Q:$Q,$Q345,F_ProductBM!M:M)&gt;0,SUMIF(F_ProductBM!$Q:$Q,$Q345,F_ProductBM!M:M),"")</f>
        <v/>
      </c>
      <c r="N345" s="537" t="str">
        <f>IF(SUMIF(F_ProductBM!$Q:$Q,$Q345,F_ProductBM!N:N)&gt;0,SUMIF(F_ProductBM!$Q:$Q,$Q345,F_ProductBM!N:N),"")</f>
        <v/>
      </c>
      <c r="O345" s="6"/>
      <c r="P345" s="15"/>
      <c r="Q345" s="355" t="str">
        <f t="shared" si="72"/>
        <v>WasteGasFlare_</v>
      </c>
      <c r="R345" s="349"/>
      <c r="S345" s="349"/>
      <c r="T345" s="543"/>
      <c r="U345" s="349"/>
      <c r="V345" s="349"/>
      <c r="W345" s="349"/>
      <c r="X345" s="349"/>
      <c r="Y345" s="349"/>
      <c r="Z345" s="349"/>
      <c r="AA345" s="349"/>
      <c r="AB345" s="349"/>
      <c r="AC345" s="349"/>
      <c r="AD345" s="349"/>
      <c r="AE345" s="349"/>
    </row>
    <row r="346" spans="1:31" ht="25.5" customHeight="1" thickBot="1" x14ac:dyDescent="0.3">
      <c r="A346" s="349"/>
      <c r="B346" s="19"/>
      <c r="C346" s="19"/>
      <c r="D346" s="289" t="s">
        <v>73</v>
      </c>
      <c r="E346" s="2546" t="str">
        <f>Translations!$B$487</f>
        <v>produceras utanför delanläggningar med produktriktmärke</v>
      </c>
      <c r="F346" s="2545"/>
      <c r="G346" s="46" t="str">
        <f>EUconst_TJpa</f>
        <v>TJ / år</v>
      </c>
      <c r="H346" s="270"/>
      <c r="I346" s="270"/>
      <c r="J346" s="270"/>
      <c r="K346" s="270"/>
      <c r="L346" s="270"/>
      <c r="M346" s="270"/>
      <c r="N346" s="270"/>
      <c r="O346" s="6"/>
      <c r="P346" s="1552"/>
      <c r="Q346" s="349"/>
      <c r="R346" s="349"/>
      <c r="S346" s="349"/>
      <c r="T346" s="491" t="b">
        <f>T330</f>
        <v>0</v>
      </c>
      <c r="U346" s="349"/>
      <c r="V346" s="349"/>
      <c r="W346" s="349"/>
      <c r="X346" s="349"/>
      <c r="Y346" s="349"/>
      <c r="Z346" s="349"/>
      <c r="AA346" s="349"/>
      <c r="AB346" s="349"/>
      <c r="AC346" s="349"/>
      <c r="AD346" s="1526" t="s">
        <v>2248</v>
      </c>
      <c r="AE346" s="394" t="str">
        <f>IF(AND(CNTR_HasEntries_A_I,T346=FALSE,COUNTIFS($V$16:$AB$16,FALSE,H346:N346,"")&gt;0,$T$288=FALSE),4,"")</f>
        <v/>
      </c>
    </row>
    <row r="347" spans="1:31" ht="12.75" customHeight="1" x14ac:dyDescent="0.25">
      <c r="A347" s="349"/>
      <c r="B347" s="19"/>
      <c r="C347" s="19"/>
      <c r="D347" s="289" t="s">
        <v>74</v>
      </c>
      <c r="E347" s="2544" t="str">
        <f>Translations!$B$384</f>
        <v>Delsumma</v>
      </c>
      <c r="F347" s="2545"/>
      <c r="G347" s="47" t="str">
        <f>EUconst_TJpa</f>
        <v>TJ / år</v>
      </c>
      <c r="H347" s="258" t="str">
        <f t="shared" ref="H347:N347" si="73">IF(COUNT(H336:H346)&gt;0,SUM(H336:H346),"")</f>
        <v/>
      </c>
      <c r="I347" s="258" t="str">
        <f t="shared" si="73"/>
        <v/>
      </c>
      <c r="J347" s="258" t="str">
        <f t="shared" si="73"/>
        <v/>
      </c>
      <c r="K347" s="258" t="str">
        <f t="shared" si="73"/>
        <v/>
      </c>
      <c r="L347" s="258" t="str">
        <f t="shared" si="73"/>
        <v/>
      </c>
      <c r="M347" s="258" t="str">
        <f t="shared" si="73"/>
        <v/>
      </c>
      <c r="N347" s="258" t="str">
        <f t="shared" si="73"/>
        <v/>
      </c>
      <c r="O347" s="6"/>
      <c r="P347" s="15"/>
      <c r="Q347" s="349"/>
      <c r="R347" s="349"/>
      <c r="S347" s="349"/>
      <c r="T347" s="349"/>
      <c r="U347" s="349"/>
      <c r="V347" s="349"/>
      <c r="W347" s="349"/>
      <c r="X347" s="349"/>
      <c r="Y347" s="349"/>
      <c r="Z347" s="349"/>
      <c r="AA347" s="349"/>
      <c r="AB347" s="349"/>
      <c r="AC347" s="349"/>
      <c r="AD347" s="349"/>
      <c r="AE347" s="349"/>
    </row>
    <row r="348" spans="1:31" ht="5.15" customHeight="1" x14ac:dyDescent="0.25">
      <c r="A348" s="349"/>
      <c r="B348" s="3"/>
      <c r="C348" s="3"/>
      <c r="D348" s="3"/>
      <c r="E348" s="3"/>
      <c r="F348" s="3"/>
      <c r="G348" s="3"/>
      <c r="H348" s="3"/>
      <c r="I348" s="3"/>
      <c r="J348" s="3"/>
      <c r="K348" s="3"/>
      <c r="L348" s="3"/>
      <c r="M348" s="3"/>
      <c r="N348" s="3"/>
      <c r="O348" s="6"/>
      <c r="P348" s="15"/>
      <c r="Q348" s="410"/>
      <c r="R348" s="349"/>
      <c r="S348" s="349"/>
      <c r="T348" s="349"/>
      <c r="U348" s="349"/>
      <c r="V348" s="349"/>
      <c r="W348" s="349"/>
      <c r="X348" s="349"/>
      <c r="Y348" s="349"/>
      <c r="Z348" s="349"/>
      <c r="AA348" s="349"/>
      <c r="AB348" s="349"/>
      <c r="AC348" s="349"/>
      <c r="AD348" s="349"/>
      <c r="AE348" s="349"/>
    </row>
    <row r="349" spans="1:31" ht="12.75" customHeight="1" x14ac:dyDescent="0.25">
      <c r="A349" s="349"/>
      <c r="B349" s="3"/>
      <c r="C349" s="13"/>
      <c r="D349" s="13" t="s">
        <v>524</v>
      </c>
      <c r="E349" s="2530" t="str">
        <f>Translations!$B$488</f>
        <v>Rimlighetskontroll</v>
      </c>
      <c r="F349" s="2531"/>
      <c r="G349" s="2531"/>
      <c r="H349" s="2531"/>
      <c r="I349" s="2531"/>
      <c r="J349" s="2531"/>
      <c r="K349" s="2531"/>
      <c r="L349" s="2531"/>
      <c r="M349" s="2531"/>
      <c r="N349" s="2531"/>
      <c r="O349" s="6"/>
      <c r="P349" s="15"/>
      <c r="Q349" s="410"/>
      <c r="R349" s="349"/>
      <c r="S349" s="349"/>
      <c r="T349" s="349"/>
      <c r="U349" s="349"/>
      <c r="V349" s="349"/>
      <c r="W349" s="349"/>
      <c r="X349" s="349"/>
      <c r="Y349" s="349"/>
      <c r="Z349" s="349"/>
      <c r="AA349" s="349"/>
      <c r="AB349" s="349"/>
      <c r="AC349" s="349"/>
      <c r="AD349" s="349"/>
      <c r="AE349" s="349"/>
    </row>
    <row r="350" spans="1:31" ht="12.65" customHeight="1" x14ac:dyDescent="0.25">
      <c r="A350" s="349"/>
      <c r="B350" s="3"/>
      <c r="C350" s="15"/>
      <c r="D350" s="15"/>
      <c r="E350" s="2532" t="str">
        <f>Translations!$B$489</f>
        <v>Syftet är att kontrollera restgasbalansens fullständighet. Om den inte är noll, var god kontrollera om eventuella motstridiga värden angetts ovan.</v>
      </c>
      <c r="F350" s="2529"/>
      <c r="G350" s="2529"/>
      <c r="H350" s="2529"/>
      <c r="I350" s="2529"/>
      <c r="J350" s="2529"/>
      <c r="K350" s="2529"/>
      <c r="L350" s="2529"/>
      <c r="M350" s="2529"/>
      <c r="N350" s="2529"/>
      <c r="O350" s="6"/>
      <c r="P350" s="15"/>
      <c r="Q350" s="410"/>
      <c r="R350" s="349"/>
      <c r="S350" s="349"/>
      <c r="T350" s="349"/>
      <c r="U350" s="349"/>
      <c r="V350" s="349"/>
      <c r="W350" s="349"/>
      <c r="X350" s="349"/>
      <c r="Y350" s="349"/>
      <c r="Z350" s="349"/>
      <c r="AA350" s="349"/>
      <c r="AB350" s="349"/>
      <c r="AC350" s="349"/>
      <c r="AD350" s="349"/>
      <c r="AE350" s="349"/>
    </row>
    <row r="351" spans="1:31" ht="12.75" customHeight="1" x14ac:dyDescent="0.25">
      <c r="A351" s="349"/>
      <c r="B351" s="19"/>
      <c r="C351" s="19"/>
      <c r="D351" s="175" t="s">
        <v>8</v>
      </c>
      <c r="E351" s="2546" t="str">
        <f>Translations!$B$490</f>
        <v>Differens (beräknad)</v>
      </c>
      <c r="F351" s="2545"/>
      <c r="G351" s="47" t="str">
        <f>EUconst_TJpa</f>
        <v>TJ / år</v>
      </c>
      <c r="H351" s="258" t="str">
        <f t="shared" ref="H351:N351" si="74">IF(COUNT(H302)&gt;0,H302-SUM(H317,H327,H330,H347),"")</f>
        <v/>
      </c>
      <c r="I351" s="258" t="str">
        <f t="shared" si="74"/>
        <v/>
      </c>
      <c r="J351" s="258" t="str">
        <f t="shared" si="74"/>
        <v/>
      </c>
      <c r="K351" s="258" t="str">
        <f t="shared" si="74"/>
        <v/>
      </c>
      <c r="L351" s="258" t="str">
        <f t="shared" si="74"/>
        <v/>
      </c>
      <c r="M351" s="258" t="str">
        <f t="shared" si="74"/>
        <v/>
      </c>
      <c r="N351" s="258" t="str">
        <f t="shared" si="74"/>
        <v/>
      </c>
      <c r="O351" s="6"/>
      <c r="P351" s="15"/>
      <c r="Q351" s="349"/>
      <c r="R351" s="349"/>
      <c r="S351" s="349"/>
      <c r="T351" s="349"/>
      <c r="U351" s="349"/>
      <c r="V351" s="349"/>
      <c r="W351" s="349"/>
      <c r="X351" s="349"/>
      <c r="Y351" s="349"/>
      <c r="Z351" s="349"/>
      <c r="AA351" s="349"/>
      <c r="AB351" s="349"/>
      <c r="AC351" s="349"/>
      <c r="AD351" s="349"/>
      <c r="AE351" s="349"/>
    </row>
    <row r="352" spans="1:31" ht="12.75" customHeight="1" x14ac:dyDescent="0.25">
      <c r="A352" s="349"/>
      <c r="B352" s="19"/>
      <c r="C352" s="19"/>
      <c r="D352" s="175" t="s">
        <v>9</v>
      </c>
      <c r="E352" s="2546" t="str">
        <f>Translations!$B$491</f>
        <v>Differens (som fraktion av punkt f)</v>
      </c>
      <c r="F352" s="2545"/>
      <c r="G352" s="450" t="s">
        <v>1113</v>
      </c>
      <c r="H352" s="256" t="str">
        <f t="shared" ref="H352:N352" si="75">IF(H351="","",IF(H302=0,0,H351/H302*100))</f>
        <v/>
      </c>
      <c r="I352" s="256" t="str">
        <f t="shared" si="75"/>
        <v/>
      </c>
      <c r="J352" s="256" t="str">
        <f t="shared" si="75"/>
        <v/>
      </c>
      <c r="K352" s="256" t="str">
        <f t="shared" si="75"/>
        <v/>
      </c>
      <c r="L352" s="256" t="str">
        <f t="shared" si="75"/>
        <v/>
      </c>
      <c r="M352" s="256" t="str">
        <f t="shared" si="75"/>
        <v/>
      </c>
      <c r="N352" s="256" t="str">
        <f t="shared" si="75"/>
        <v/>
      </c>
      <c r="O352" s="6"/>
      <c r="P352" s="15"/>
      <c r="Q352" s="349"/>
      <c r="R352" s="349"/>
      <c r="S352" s="349"/>
      <c r="T352" s="349"/>
      <c r="U352" s="349"/>
      <c r="V352" s="349"/>
      <c r="W352" s="349"/>
      <c r="X352" s="349"/>
      <c r="Y352" s="349"/>
      <c r="Z352" s="349"/>
      <c r="AA352" s="349"/>
      <c r="AB352" s="349"/>
      <c r="AC352" s="349"/>
      <c r="AD352" s="349"/>
      <c r="AE352" s="349"/>
    </row>
    <row r="353" spans="1:31" x14ac:dyDescent="0.25">
      <c r="A353" s="349"/>
      <c r="B353" s="19"/>
      <c r="C353" s="19"/>
      <c r="D353" s="19"/>
      <c r="E353" s="19"/>
      <c r="F353" s="19"/>
      <c r="G353" s="19"/>
      <c r="H353" s="19"/>
      <c r="I353" s="19"/>
      <c r="J353" s="19"/>
      <c r="K353" s="19"/>
      <c r="L353" s="19"/>
      <c r="M353" s="19"/>
      <c r="N353" s="19"/>
      <c r="O353" s="6"/>
      <c r="P353" s="15"/>
      <c r="Q353" s="349"/>
      <c r="R353" s="349"/>
      <c r="S353" s="349"/>
      <c r="T353" s="349"/>
      <c r="U353" s="349"/>
      <c r="V353" s="349"/>
      <c r="W353" s="349"/>
      <c r="X353" s="349"/>
      <c r="Y353" s="349"/>
      <c r="Z353" s="349"/>
      <c r="AA353" s="349"/>
      <c r="AB353" s="349"/>
      <c r="AC353" s="349"/>
      <c r="AD353" s="349"/>
      <c r="AE353" s="349"/>
    </row>
    <row r="354" spans="1:31" ht="15.5" x14ac:dyDescent="0.35">
      <c r="A354" s="349"/>
      <c r="B354" s="3"/>
      <c r="C354" s="11" t="s">
        <v>12</v>
      </c>
      <c r="D354" s="2523" t="str">
        <f>Translations!$B$335</f>
        <v>Elektricitet</v>
      </c>
      <c r="E354" s="2523"/>
      <c r="F354" s="2523"/>
      <c r="G354" s="2523"/>
      <c r="H354" s="2523"/>
      <c r="I354" s="2523"/>
      <c r="J354" s="2523"/>
      <c r="K354" s="2523"/>
      <c r="L354" s="2523"/>
      <c r="M354" s="2523"/>
      <c r="N354" s="2523"/>
      <c r="O354" s="6"/>
      <c r="P354" s="15"/>
      <c r="Q354" s="410"/>
      <c r="R354" s="349"/>
      <c r="S354" s="349"/>
      <c r="T354" s="349"/>
      <c r="U354" s="349"/>
      <c r="V354" s="349"/>
      <c r="W354" s="349"/>
      <c r="X354" s="349"/>
      <c r="Y354" s="349"/>
      <c r="Z354" s="349"/>
      <c r="AA354" s="349"/>
      <c r="AB354" s="349"/>
      <c r="AC354" s="349"/>
      <c r="AD354" s="349"/>
      <c r="AE354" s="349"/>
    </row>
    <row r="355" spans="1:31" ht="5.15" customHeight="1" x14ac:dyDescent="0.25">
      <c r="A355" s="349"/>
      <c r="B355" s="3"/>
      <c r="C355" s="3"/>
      <c r="D355" s="3"/>
      <c r="E355" s="3"/>
      <c r="F355" s="3"/>
      <c r="G355" s="3"/>
      <c r="H355" s="3"/>
      <c r="I355" s="3"/>
      <c r="J355" s="3"/>
      <c r="K355" s="3"/>
      <c r="L355" s="3"/>
      <c r="M355" s="6"/>
      <c r="N355" s="6"/>
      <c r="O355" s="6"/>
      <c r="P355" s="15"/>
      <c r="Q355" s="410"/>
      <c r="R355" s="349"/>
      <c r="S355" s="349"/>
      <c r="T355" s="349"/>
      <c r="U355" s="349"/>
      <c r="V355" s="349"/>
      <c r="W355" s="349"/>
      <c r="X355" s="349"/>
      <c r="Y355" s="349"/>
      <c r="Z355" s="349"/>
      <c r="AA355" s="349"/>
      <c r="AB355" s="349"/>
      <c r="AC355" s="349"/>
      <c r="AD355" s="349"/>
      <c r="AE355" s="349"/>
    </row>
    <row r="356" spans="1:31" ht="14" x14ac:dyDescent="0.3">
      <c r="A356" s="349"/>
      <c r="B356" s="3"/>
      <c r="C356" s="17"/>
      <c r="D356" s="2105" t="str">
        <f>Translations!$B$492</f>
        <v>Komplett elbalans vid anläggningen</v>
      </c>
      <c r="E356" s="2102"/>
      <c r="F356" s="2102"/>
      <c r="G356" s="2102"/>
      <c r="H356" s="2102"/>
      <c r="I356" s="2102"/>
      <c r="J356" s="2102"/>
      <c r="K356" s="2102"/>
      <c r="L356" s="2102"/>
      <c r="M356" s="2102"/>
      <c r="N356" s="2102"/>
      <c r="O356" s="6"/>
      <c r="P356" s="15"/>
      <c r="Q356" s="410"/>
      <c r="R356" s="349"/>
      <c r="S356" s="349"/>
      <c r="T356" s="349"/>
      <c r="U356" s="349"/>
      <c r="V356" s="349"/>
      <c r="W356" s="349"/>
      <c r="X356" s="349"/>
      <c r="Y356" s="349"/>
      <c r="Z356" s="349"/>
      <c r="AA356" s="349"/>
      <c r="AB356" s="349"/>
      <c r="AC356" s="349"/>
      <c r="AD356" s="349"/>
      <c r="AE356" s="349"/>
    </row>
    <row r="357" spans="1:31" ht="5.15" customHeight="1" thickBot="1" x14ac:dyDescent="0.3">
      <c r="A357" s="349"/>
      <c r="B357" s="3"/>
      <c r="C357" s="3"/>
      <c r="D357" s="3"/>
      <c r="E357" s="3"/>
      <c r="F357" s="3"/>
      <c r="G357" s="3"/>
      <c r="H357" s="3"/>
      <c r="I357" s="3"/>
      <c r="J357" s="3"/>
      <c r="K357" s="3"/>
      <c r="L357" s="3"/>
      <c r="M357" s="3"/>
      <c r="N357" s="3"/>
      <c r="O357" s="6"/>
      <c r="P357" s="15"/>
      <c r="Q357" s="410"/>
      <c r="R357" s="349"/>
      <c r="S357" s="349"/>
      <c r="T357" s="349"/>
      <c r="U357" s="349"/>
      <c r="V357" s="349"/>
      <c r="W357" s="349"/>
      <c r="X357" s="349"/>
      <c r="Y357" s="349"/>
      <c r="Z357" s="349"/>
      <c r="AA357" s="349"/>
      <c r="AB357" s="349"/>
      <c r="AC357" s="349"/>
      <c r="AD357" s="349"/>
      <c r="AE357" s="349"/>
    </row>
    <row r="358" spans="1:31" ht="13.5" customHeight="1" thickBot="1" x14ac:dyDescent="0.3">
      <c r="A358" s="2"/>
      <c r="B358" s="19"/>
      <c r="C358" s="19"/>
      <c r="D358" s="13" t="s">
        <v>442</v>
      </c>
      <c r="E358" s="2106" t="str">
        <f>Translations!$B$493</f>
        <v>Produceras el vid anläggningen?</v>
      </c>
      <c r="F358" s="2106"/>
      <c r="G358" s="2106"/>
      <c r="H358" s="2106"/>
      <c r="I358" s="2106"/>
      <c r="J358" s="2106"/>
      <c r="K358" s="2106"/>
      <c r="L358" s="2107"/>
      <c r="M358" s="708"/>
      <c r="O358" s="6"/>
      <c r="P358" s="15"/>
      <c r="Q358" s="492" t="s">
        <v>1260</v>
      </c>
      <c r="R358" s="349"/>
      <c r="S358" s="349"/>
      <c r="T358" s="349"/>
      <c r="U358" s="349"/>
      <c r="V358" s="349"/>
      <c r="W358" s="349"/>
      <c r="X358" s="349"/>
      <c r="Y358" s="349"/>
      <c r="Z358" s="349"/>
      <c r="AA358" s="349"/>
      <c r="AB358" s="349"/>
      <c r="AC358" s="349"/>
      <c r="AD358" s="349"/>
      <c r="AE358" s="349"/>
    </row>
    <row r="359" spans="1:31" ht="25.5" customHeight="1" x14ac:dyDescent="0.25">
      <c r="A359" s="2"/>
      <c r="B359" s="19"/>
      <c r="C359" s="19"/>
      <c r="D359" s="19"/>
      <c r="E359" s="2061" t="str">
        <f>Translations!$B$494</f>
        <v>Notera att denna fråga avser alla anläggningar och att den inte direkt handlar om huruvida anläggningen är en ”elproducent” i den mening som avses i artikel 3u i ETS-direktivet. Om svaret är ”FALSKT” måste inga uppgifter lämnas.</v>
      </c>
      <c r="F359" s="1963"/>
      <c r="G359" s="1963"/>
      <c r="H359" s="1963"/>
      <c r="I359" s="1963"/>
      <c r="J359" s="1963"/>
      <c r="K359" s="1963"/>
      <c r="L359" s="1963"/>
      <c r="M359" s="1963"/>
      <c r="N359" s="1963"/>
      <c r="O359" s="6"/>
      <c r="P359" s="15"/>
      <c r="Q359" s="936"/>
      <c r="R359" s="349"/>
      <c r="S359" s="349"/>
      <c r="T359" s="349"/>
      <c r="U359" s="349"/>
      <c r="V359" s="349"/>
      <c r="W359" s="349"/>
      <c r="X359" s="349"/>
      <c r="Y359" s="349"/>
      <c r="Z359" s="349"/>
      <c r="AA359" s="349"/>
      <c r="AB359" s="349"/>
      <c r="AC359" s="349"/>
      <c r="AD359" s="349"/>
      <c r="AE359" s="349"/>
    </row>
    <row r="360" spans="1:31" ht="5.15" customHeight="1" x14ac:dyDescent="0.25">
      <c r="A360" s="2"/>
      <c r="B360" s="3"/>
      <c r="C360" s="3"/>
      <c r="D360" s="15"/>
      <c r="E360" s="19"/>
      <c r="F360" s="19"/>
      <c r="G360" s="19"/>
      <c r="H360" s="19"/>
      <c r="I360" s="19"/>
      <c r="J360" s="19"/>
      <c r="K360" s="19"/>
      <c r="L360" s="19"/>
      <c r="M360" s="19"/>
      <c r="N360" s="19"/>
      <c r="O360" s="6"/>
      <c r="P360" s="15"/>
      <c r="Q360" s="410"/>
      <c r="R360" s="349"/>
      <c r="S360" s="410"/>
      <c r="T360" s="410"/>
      <c r="U360" s="349"/>
      <c r="V360" s="349"/>
      <c r="W360" s="349"/>
      <c r="X360" s="349"/>
      <c r="Y360" s="349"/>
      <c r="Z360" s="349"/>
      <c r="AA360" s="349"/>
      <c r="AB360" s="349"/>
      <c r="AC360" s="349"/>
      <c r="AD360" s="349"/>
      <c r="AE360" s="349"/>
    </row>
    <row r="361" spans="1:31" ht="13" x14ac:dyDescent="0.25">
      <c r="A361" s="349"/>
      <c r="B361" s="3"/>
      <c r="C361" s="3"/>
      <c r="D361" s="13" t="s">
        <v>955</v>
      </c>
      <c r="E361" s="2101" t="str">
        <f>Translations!$B$495</f>
        <v>Total nettomängd el som produceras vid anläggningen</v>
      </c>
      <c r="F361" s="2102"/>
      <c r="G361" s="2102"/>
      <c r="H361" s="2102"/>
      <c r="I361" s="2102"/>
      <c r="J361" s="2102"/>
      <c r="K361" s="2102"/>
      <c r="L361" s="2102"/>
      <c r="M361" s="2102"/>
      <c r="N361" s="2102"/>
      <c r="O361" s="6"/>
      <c r="P361" s="15"/>
      <c r="Q361" s="410"/>
      <c r="R361" s="349"/>
      <c r="S361" s="349"/>
      <c r="T361" s="349"/>
      <c r="U361" s="349"/>
      <c r="V361" s="349"/>
      <c r="W361" s="349"/>
      <c r="X361" s="349"/>
      <c r="Y361" s="349"/>
      <c r="Z361" s="349"/>
      <c r="AA361" s="349"/>
      <c r="AB361" s="349"/>
      <c r="AC361" s="349"/>
      <c r="AD361" s="349"/>
      <c r="AE361" s="349"/>
    </row>
    <row r="362" spans="1:31" x14ac:dyDescent="0.25">
      <c r="A362" s="349"/>
      <c r="B362" s="3"/>
      <c r="C362" s="3"/>
      <c r="D362" s="15"/>
      <c r="E362" s="2524" t="str">
        <f>Translations!$B$496</f>
        <v>Övrig elproduktion innefattar exempelvis vatten-, vind- och solkraft från expansionsturbiner och andra processer utanför ETS.</v>
      </c>
      <c r="F362" s="2102"/>
      <c r="G362" s="2102"/>
      <c r="H362" s="2102"/>
      <c r="I362" s="2102"/>
      <c r="J362" s="2102"/>
      <c r="K362" s="2102"/>
      <c r="L362" s="2102"/>
      <c r="M362" s="2102"/>
      <c r="N362" s="2102"/>
      <c r="O362" s="6"/>
      <c r="P362" s="15"/>
      <c r="Q362" s="410"/>
      <c r="R362" s="349"/>
      <c r="S362" s="349"/>
      <c r="T362" s="349"/>
      <c r="U362" s="349"/>
      <c r="V362" s="349"/>
      <c r="W362" s="349"/>
      <c r="X362" s="349"/>
      <c r="Y362" s="349"/>
      <c r="Z362" s="349"/>
      <c r="AA362" s="349"/>
      <c r="AB362" s="349"/>
      <c r="AC362" s="349"/>
      <c r="AD362" s="349"/>
      <c r="AE362" s="349"/>
    </row>
    <row r="363" spans="1:31" ht="13.5" thickBot="1" x14ac:dyDescent="0.3">
      <c r="A363" s="349"/>
      <c r="B363" s="19"/>
      <c r="C363" s="19"/>
      <c r="D363" s="19"/>
      <c r="E363" s="24"/>
      <c r="F363" s="21"/>
      <c r="G363" s="30" t="str">
        <f>EUconst_Unit</f>
        <v>Enhet</v>
      </c>
      <c r="H363" s="320">
        <f t="shared" ref="H363:N363" si="76">H$393</f>
        <v>2019</v>
      </c>
      <c r="I363" s="320">
        <f t="shared" si="76"/>
        <v>2020</v>
      </c>
      <c r="J363" s="320">
        <f t="shared" si="76"/>
        <v>2021</v>
      </c>
      <c r="K363" s="320">
        <f t="shared" si="76"/>
        <v>2022</v>
      </c>
      <c r="L363" s="320">
        <f t="shared" si="76"/>
        <v>2023</v>
      </c>
      <c r="M363" s="320">
        <f t="shared" si="76"/>
        <v>2024</v>
      </c>
      <c r="N363" s="320">
        <f t="shared" si="76"/>
        <v>2025</v>
      </c>
      <c r="O363" s="6"/>
      <c r="P363" s="15"/>
      <c r="Q363" s="349"/>
      <c r="R363" s="349"/>
      <c r="S363" s="349"/>
      <c r="T363" s="936" t="s">
        <v>1408</v>
      </c>
      <c r="U363" s="349"/>
      <c r="V363" s="349"/>
      <c r="W363" s="349"/>
      <c r="X363" s="349"/>
      <c r="Y363" s="349"/>
      <c r="Z363" s="349"/>
      <c r="AA363" s="349"/>
      <c r="AB363" s="349"/>
      <c r="AC363" s="349"/>
      <c r="AD363" s="349"/>
      <c r="AE363" s="349"/>
    </row>
    <row r="364" spans="1:31" ht="12.65" customHeight="1" x14ac:dyDescent="0.25">
      <c r="A364" s="349"/>
      <c r="B364" s="19"/>
      <c r="C364" s="19"/>
      <c r="D364" s="175" t="s">
        <v>8</v>
      </c>
      <c r="E364" s="2544" t="str">
        <f>Translations!$B$497</f>
        <v>Nettomängd el som produceras från bränslen</v>
      </c>
      <c r="F364" s="2545"/>
      <c r="G364" s="43" t="str">
        <f>EUconst_MWhpa</f>
        <v>MWh / år</v>
      </c>
      <c r="H364" s="260"/>
      <c r="I364" s="260"/>
      <c r="J364" s="260"/>
      <c r="K364" s="260"/>
      <c r="L364" s="260"/>
      <c r="M364" s="260"/>
      <c r="N364" s="260"/>
      <c r="O364" s="6"/>
      <c r="P364" s="1552"/>
      <c r="Q364" s="349"/>
      <c r="R364" s="349"/>
      <c r="S364" s="349"/>
      <c r="T364" s="503" t="str">
        <f>IF(ISBLANK(CNTR_ProdElec),"",NOT(CNTR_ProdElec))</f>
        <v/>
      </c>
      <c r="U364" s="349"/>
      <c r="V364" s="349"/>
      <c r="W364" s="349"/>
      <c r="X364" s="349"/>
      <c r="Y364" s="349"/>
      <c r="Z364" s="349"/>
      <c r="AA364" s="349"/>
      <c r="AB364" s="349"/>
      <c r="AC364" s="349"/>
      <c r="AD364" s="1526" t="s">
        <v>2248</v>
      </c>
      <c r="AE364" s="394" t="str">
        <f>IF(AND(CNTR_HasEntries_A_I,COUNTIFS($V$16:$AB$16,FALSE,H364:N364,"")&gt;0,$T$364&lt;&gt;TRUE),5,"")</f>
        <v/>
      </c>
    </row>
    <row r="365" spans="1:31" ht="12.65" customHeight="1" x14ac:dyDescent="0.25">
      <c r="A365" s="349"/>
      <c r="B365" s="19"/>
      <c r="C365" s="19"/>
      <c r="D365" s="175" t="s">
        <v>9</v>
      </c>
      <c r="E365" s="2544" t="str">
        <f>Translations!$B$498</f>
        <v>Övrig elproduktion</v>
      </c>
      <c r="F365" s="2545"/>
      <c r="G365" s="43" t="str">
        <f>EUconst_MWhpa</f>
        <v>MWh / år</v>
      </c>
      <c r="H365" s="260"/>
      <c r="I365" s="260"/>
      <c r="J365" s="260"/>
      <c r="K365" s="260"/>
      <c r="L365" s="260"/>
      <c r="M365" s="260"/>
      <c r="N365" s="260"/>
      <c r="O365" s="6"/>
      <c r="P365" s="1552"/>
      <c r="Q365" s="349"/>
      <c r="R365" s="349"/>
      <c r="S365" s="349"/>
      <c r="T365" s="490" t="str">
        <f>T364</f>
        <v/>
      </c>
      <c r="U365" s="349"/>
      <c r="V365" s="349"/>
      <c r="W365" s="349"/>
      <c r="X365" s="349"/>
      <c r="Y365" s="349"/>
      <c r="Z365" s="349"/>
      <c r="AA365" s="349"/>
      <c r="AB365" s="349"/>
      <c r="AC365" s="349"/>
      <c r="AD365" s="1526" t="s">
        <v>2248</v>
      </c>
      <c r="AE365" s="394" t="str">
        <f>IF(AND(CNTR_HasEntries_A_I,COUNTIFS($V$16:$AB$16,FALSE,H365:N365,"")&gt;0,$T$364&lt;&gt;TRUE),5,"")</f>
        <v/>
      </c>
    </row>
    <row r="366" spans="1:31" ht="5.15" customHeight="1" x14ac:dyDescent="0.25">
      <c r="A366" s="349"/>
      <c r="B366" s="3"/>
      <c r="C366" s="3"/>
      <c r="D366" s="175"/>
      <c r="E366" s="3"/>
      <c r="F366" s="3"/>
      <c r="G366" s="3"/>
      <c r="H366" s="3"/>
      <c r="I366" s="3"/>
      <c r="J366" s="3"/>
      <c r="K366" s="3"/>
      <c r="L366" s="3"/>
      <c r="M366" s="3"/>
      <c r="N366" s="3"/>
      <c r="O366" s="6"/>
      <c r="P366" s="15"/>
      <c r="Q366" s="410"/>
      <c r="R366" s="349"/>
      <c r="S366" s="349"/>
      <c r="T366" s="543"/>
      <c r="U366" s="349"/>
      <c r="V366" s="349"/>
      <c r="W366" s="349"/>
      <c r="X366" s="349"/>
      <c r="Y366" s="349"/>
      <c r="Z366" s="349"/>
      <c r="AA366" s="349"/>
      <c r="AB366" s="349"/>
      <c r="AC366" s="349"/>
      <c r="AD366" s="349"/>
      <c r="AE366" s="349"/>
    </row>
    <row r="367" spans="1:31" ht="13" customHeight="1" x14ac:dyDescent="0.25">
      <c r="A367" s="349"/>
      <c r="B367" s="3"/>
      <c r="C367" s="3"/>
      <c r="D367" s="13" t="s">
        <v>55</v>
      </c>
      <c r="E367" s="2589" t="str">
        <f>Translations!$B$499</f>
        <v>Total mängd el som importeras från nätet eller andra anläggningar</v>
      </c>
      <c r="F367" s="2589"/>
      <c r="G367" s="2589"/>
      <c r="H367" s="2589"/>
      <c r="I367" s="2589"/>
      <c r="J367" s="2589"/>
      <c r="K367" s="2589"/>
      <c r="L367" s="2589"/>
      <c r="M367" s="2589"/>
      <c r="N367" s="2589"/>
      <c r="O367" s="6"/>
      <c r="P367" s="15"/>
      <c r="Q367" s="410"/>
      <c r="R367" s="349"/>
      <c r="S367" s="349"/>
      <c r="T367" s="543"/>
      <c r="U367" s="349"/>
      <c r="V367" s="349"/>
      <c r="W367" s="349"/>
      <c r="X367" s="349"/>
      <c r="Y367" s="349"/>
      <c r="Z367" s="349"/>
      <c r="AA367" s="349"/>
      <c r="AB367" s="349"/>
      <c r="AC367" s="349"/>
      <c r="AD367" s="349"/>
      <c r="AE367" s="349"/>
    </row>
    <row r="368" spans="1:31" ht="12.65" customHeight="1" x14ac:dyDescent="0.25">
      <c r="A368" s="349"/>
      <c r="B368" s="19"/>
      <c r="C368" s="19"/>
      <c r="D368" s="19"/>
      <c r="E368" s="2544" t="str">
        <f>Translations!$B$500</f>
        <v>Importerad el</v>
      </c>
      <c r="F368" s="2545"/>
      <c r="G368" s="43" t="str">
        <f>EUconst_MWhpa</f>
        <v>MWh / år</v>
      </c>
      <c r="H368" s="260"/>
      <c r="I368" s="260"/>
      <c r="J368" s="260"/>
      <c r="K368" s="260"/>
      <c r="L368" s="260"/>
      <c r="M368" s="260"/>
      <c r="N368" s="260"/>
      <c r="O368" s="6"/>
      <c r="P368" s="1552"/>
      <c r="Q368" s="349"/>
      <c r="R368" s="349"/>
      <c r="S368" s="349"/>
      <c r="T368" s="490" t="str">
        <f>T364</f>
        <v/>
      </c>
      <c r="U368" s="349"/>
      <c r="V368" s="349"/>
      <c r="W368" s="349"/>
      <c r="X368" s="349"/>
      <c r="Y368" s="349"/>
      <c r="Z368" s="349"/>
      <c r="AA368" s="349"/>
      <c r="AB368" s="349"/>
      <c r="AC368" s="349"/>
      <c r="AD368" s="1526" t="s">
        <v>2248</v>
      </c>
      <c r="AE368" s="394" t="str">
        <f>IF(AND(CNTR_HasEntries_A_I,COUNTIFS($V$16:$AB$16,FALSE,H368:N368,"")&gt;0,$T$364&lt;&gt;TRUE),5,"")</f>
        <v/>
      </c>
    </row>
    <row r="369" spans="1:31" ht="5.15" customHeight="1" x14ac:dyDescent="0.25">
      <c r="A369" s="349"/>
      <c r="B369" s="3"/>
      <c r="C369" s="3"/>
      <c r="D369" s="3"/>
      <c r="E369" s="3"/>
      <c r="F369" s="3"/>
      <c r="G369" s="3"/>
      <c r="H369" s="3"/>
      <c r="I369" s="3"/>
      <c r="J369" s="3"/>
      <c r="K369" s="3"/>
      <c r="L369" s="3"/>
      <c r="M369" s="3"/>
      <c r="N369" s="3"/>
      <c r="O369" s="6"/>
      <c r="P369" s="15"/>
      <c r="Q369" s="410"/>
      <c r="R369" s="349"/>
      <c r="S369" s="349"/>
      <c r="T369" s="543"/>
      <c r="U369" s="349"/>
      <c r="V369" s="349"/>
      <c r="W369" s="349"/>
      <c r="X369" s="349"/>
      <c r="Y369" s="349"/>
      <c r="Z369" s="349"/>
      <c r="AA369" s="349"/>
      <c r="AB369" s="349"/>
      <c r="AC369" s="349"/>
      <c r="AD369" s="349"/>
      <c r="AE369" s="349"/>
    </row>
    <row r="370" spans="1:31" ht="13" customHeight="1" x14ac:dyDescent="0.25">
      <c r="A370" s="349"/>
      <c r="B370" s="3"/>
      <c r="C370" s="3"/>
      <c r="D370" s="13" t="s">
        <v>960</v>
      </c>
      <c r="E370" s="2589" t="str">
        <f>Translations!$B$501</f>
        <v>Total mängd el som exporteras till nätet eller andra anläggningar</v>
      </c>
      <c r="F370" s="2590"/>
      <c r="G370" s="2590"/>
      <c r="H370" s="2590"/>
      <c r="I370" s="2590"/>
      <c r="J370" s="2590"/>
      <c r="K370" s="2590"/>
      <c r="L370" s="2590"/>
      <c r="M370" s="2590"/>
      <c r="N370" s="2590"/>
      <c r="O370" s="6"/>
      <c r="P370" s="15"/>
      <c r="Q370" s="410"/>
      <c r="R370" s="349"/>
      <c r="S370" s="349"/>
      <c r="T370" s="543"/>
      <c r="U370" s="349"/>
      <c r="V370" s="349"/>
      <c r="W370" s="349"/>
      <c r="X370" s="349"/>
      <c r="Y370" s="349"/>
      <c r="Z370" s="349"/>
      <c r="AA370" s="349"/>
      <c r="AB370" s="349"/>
      <c r="AC370" s="349"/>
      <c r="AD370" s="349"/>
      <c r="AE370" s="349"/>
    </row>
    <row r="371" spans="1:31" ht="12.65" customHeight="1" x14ac:dyDescent="0.25">
      <c r="A371" s="349"/>
      <c r="B371" s="19"/>
      <c r="C371" s="19"/>
      <c r="D371" s="19"/>
      <c r="E371" s="2544" t="str">
        <f>Translations!$B$502</f>
        <v>Exporterad el</v>
      </c>
      <c r="F371" s="2545"/>
      <c r="G371" s="43" t="str">
        <f>EUconst_MWhpa</f>
        <v>MWh / år</v>
      </c>
      <c r="H371" s="260"/>
      <c r="I371" s="260"/>
      <c r="J371" s="260"/>
      <c r="K371" s="260"/>
      <c r="L371" s="260"/>
      <c r="M371" s="260"/>
      <c r="N371" s="260"/>
      <c r="O371" s="6"/>
      <c r="P371" s="1552"/>
      <c r="Q371" s="349"/>
      <c r="R371" s="349"/>
      <c r="S371" s="349"/>
      <c r="T371" s="490" t="str">
        <f>T364</f>
        <v/>
      </c>
      <c r="U371" s="349"/>
      <c r="V371" s="349"/>
      <c r="W371" s="349"/>
      <c r="X371" s="349"/>
      <c r="Y371" s="349"/>
      <c r="Z371" s="349"/>
      <c r="AA371" s="349"/>
      <c r="AB371" s="349"/>
      <c r="AC371" s="349"/>
      <c r="AD371" s="1526" t="s">
        <v>2248</v>
      </c>
      <c r="AE371" s="394" t="str">
        <f>IF(AND(CNTR_HasEntries_A_I,COUNTIFS($V$16:$AB$16,FALSE,H371:N371,"")&gt;0,$T$364&lt;&gt;TRUE),5,"")</f>
        <v/>
      </c>
    </row>
    <row r="372" spans="1:31" ht="5.15" customHeight="1" x14ac:dyDescent="0.25">
      <c r="A372" s="349"/>
      <c r="B372" s="3"/>
      <c r="C372" s="3"/>
      <c r="D372" s="3"/>
      <c r="E372" s="3"/>
      <c r="F372" s="3"/>
      <c r="G372" s="3"/>
      <c r="H372" s="3"/>
      <c r="I372" s="3"/>
      <c r="J372" s="3"/>
      <c r="K372" s="3"/>
      <c r="L372" s="3"/>
      <c r="M372" s="3"/>
      <c r="N372" s="3"/>
      <c r="O372" s="6"/>
      <c r="P372" s="15"/>
      <c r="Q372" s="410"/>
      <c r="R372" s="349"/>
      <c r="S372" s="349"/>
      <c r="T372" s="543"/>
      <c r="U372" s="349"/>
      <c r="V372" s="349"/>
      <c r="W372" s="349"/>
      <c r="X372" s="349"/>
      <c r="Y372" s="349"/>
      <c r="Z372" s="349"/>
      <c r="AA372" s="349"/>
      <c r="AB372" s="349"/>
      <c r="AC372" s="349"/>
      <c r="AD372" s="349"/>
      <c r="AE372" s="349"/>
    </row>
    <row r="373" spans="1:31" ht="13" customHeight="1" x14ac:dyDescent="0.25">
      <c r="A373" s="349"/>
      <c r="B373" s="3"/>
      <c r="C373" s="3"/>
      <c r="D373" s="13" t="s">
        <v>65</v>
      </c>
      <c r="E373" s="2589" t="str">
        <f>Translations!$B$503</f>
        <v>Total mängd el som finns tillgänglig för användning vid anläggningen (= b+c–d)</v>
      </c>
      <c r="F373" s="2590"/>
      <c r="G373" s="2590"/>
      <c r="H373" s="2590"/>
      <c r="I373" s="2590"/>
      <c r="J373" s="2590"/>
      <c r="K373" s="2590"/>
      <c r="L373" s="2590"/>
      <c r="M373" s="2590"/>
      <c r="N373" s="2590"/>
      <c r="O373" s="6"/>
      <c r="P373" s="15"/>
      <c r="Q373" s="410"/>
      <c r="R373" s="349"/>
      <c r="S373" s="349"/>
      <c r="T373" s="543"/>
      <c r="U373" s="349"/>
      <c r="V373" s="349"/>
      <c r="W373" s="349"/>
      <c r="X373" s="349"/>
      <c r="Y373" s="349"/>
      <c r="Z373" s="349"/>
      <c r="AA373" s="349"/>
      <c r="AB373" s="349"/>
      <c r="AC373" s="349"/>
      <c r="AD373" s="349"/>
      <c r="AE373" s="349"/>
    </row>
    <row r="374" spans="1:31" ht="12.65" customHeight="1" x14ac:dyDescent="0.25">
      <c r="A374" s="349"/>
      <c r="B374" s="19"/>
      <c r="C374" s="19"/>
      <c r="D374" s="19"/>
      <c r="E374" s="2544" t="str">
        <f>Translations!$B$504</f>
        <v>El som kan användas</v>
      </c>
      <c r="F374" s="2545"/>
      <c r="G374" s="43" t="str">
        <f>EUconst_MWhpa</f>
        <v>MWh / år</v>
      </c>
      <c r="H374" s="258" t="str">
        <f t="shared" ref="H374:N374" si="77">IF(COUNT(H364:H365,H368,H371)&gt;0,SUM(H364:H365,H368,-H371),"")</f>
        <v/>
      </c>
      <c r="I374" s="258" t="str">
        <f t="shared" si="77"/>
        <v/>
      </c>
      <c r="J374" s="258" t="str">
        <f t="shared" si="77"/>
        <v/>
      </c>
      <c r="K374" s="258" t="str">
        <f t="shared" si="77"/>
        <v/>
      </c>
      <c r="L374" s="258" t="str">
        <f t="shared" si="77"/>
        <v/>
      </c>
      <c r="M374" s="258" t="str">
        <f t="shared" si="77"/>
        <v/>
      </c>
      <c r="N374" s="258" t="str">
        <f t="shared" si="77"/>
        <v/>
      </c>
      <c r="O374" s="6"/>
      <c r="P374" s="15"/>
      <c r="Q374" s="349"/>
      <c r="R374" s="349"/>
      <c r="S374" s="349"/>
      <c r="T374" s="543"/>
      <c r="U374" s="349"/>
      <c r="V374" s="349"/>
      <c r="W374" s="349"/>
      <c r="X374" s="349"/>
      <c r="Y374" s="349"/>
      <c r="Z374" s="349"/>
      <c r="AA374" s="349"/>
      <c r="AB374" s="349"/>
      <c r="AC374" s="349"/>
      <c r="AD374" s="349"/>
      <c r="AE374" s="349"/>
    </row>
    <row r="375" spans="1:31" ht="5.15" customHeight="1" x14ac:dyDescent="0.25">
      <c r="A375" s="349"/>
      <c r="B375" s="3"/>
      <c r="C375" s="3"/>
      <c r="D375" s="3"/>
      <c r="E375" s="3"/>
      <c r="F375" s="3"/>
      <c r="G375" s="3"/>
      <c r="H375" s="3"/>
      <c r="I375" s="3"/>
      <c r="J375" s="3"/>
      <c r="K375" s="3"/>
      <c r="L375" s="3"/>
      <c r="M375" s="3"/>
      <c r="N375" s="3"/>
      <c r="O375" s="6"/>
      <c r="P375" s="15"/>
      <c r="Q375" s="410"/>
      <c r="R375" s="349"/>
      <c r="S375" s="349"/>
      <c r="T375" s="543"/>
      <c r="U375" s="349"/>
      <c r="V375" s="349"/>
      <c r="W375" s="349"/>
      <c r="X375" s="349"/>
      <c r="Y375" s="349"/>
      <c r="Z375" s="349"/>
      <c r="AA375" s="349"/>
      <c r="AB375" s="349"/>
      <c r="AC375" s="349"/>
      <c r="AD375" s="349"/>
      <c r="AE375" s="349"/>
    </row>
    <row r="376" spans="1:31" ht="13" customHeight="1" x14ac:dyDescent="0.25">
      <c r="A376" s="349"/>
      <c r="B376" s="3"/>
      <c r="C376" s="3"/>
      <c r="D376" s="13" t="s">
        <v>66</v>
      </c>
      <c r="E376" s="2589" t="str">
        <f>Translations!$B$505</f>
        <v>Total mängd el som förbrukas vid anläggningen</v>
      </c>
      <c r="F376" s="2590"/>
      <c r="G376" s="2590"/>
      <c r="H376" s="2590"/>
      <c r="I376" s="2590"/>
      <c r="J376" s="2590"/>
      <c r="K376" s="2590"/>
      <c r="L376" s="2590"/>
      <c r="M376" s="2590"/>
      <c r="N376" s="2590"/>
      <c r="O376" s="6"/>
      <c r="P376" s="15"/>
      <c r="Q376" s="410"/>
      <c r="R376" s="349"/>
      <c r="S376" s="349"/>
      <c r="T376" s="543"/>
      <c r="U376" s="349"/>
      <c r="V376" s="349"/>
      <c r="W376" s="349"/>
      <c r="X376" s="349"/>
      <c r="Y376" s="349"/>
      <c r="Z376" s="349"/>
      <c r="AA376" s="349"/>
      <c r="AB376" s="349"/>
      <c r="AC376" s="349"/>
      <c r="AD376" s="349"/>
      <c r="AE376" s="349"/>
    </row>
    <row r="377" spans="1:31" ht="13" customHeight="1" thickBot="1" x14ac:dyDescent="0.3">
      <c r="A377" s="349"/>
      <c r="B377" s="19"/>
      <c r="C377" s="19"/>
      <c r="D377" s="19"/>
      <c r="E377" s="2544" t="str">
        <f>Translations!$B$506</f>
        <v>El som förbrukas vid anläggningen</v>
      </c>
      <c r="F377" s="2545"/>
      <c r="G377" s="43" t="str">
        <f>EUconst_MWhpa</f>
        <v>MWh / år</v>
      </c>
      <c r="H377" s="260"/>
      <c r="I377" s="260"/>
      <c r="J377" s="260"/>
      <c r="K377" s="260"/>
      <c r="L377" s="260"/>
      <c r="M377" s="260"/>
      <c r="N377" s="260"/>
      <c r="O377" s="6"/>
      <c r="P377" s="1552"/>
      <c r="Q377" s="349"/>
      <c r="R377" s="349"/>
      <c r="S377" s="349"/>
      <c r="T377" s="491" t="str">
        <f>T364</f>
        <v/>
      </c>
      <c r="U377" s="349"/>
      <c r="V377" s="349"/>
      <c r="W377" s="349"/>
      <c r="X377" s="349"/>
      <c r="Y377" s="349"/>
      <c r="Z377" s="349"/>
      <c r="AA377" s="349"/>
      <c r="AB377" s="349"/>
      <c r="AC377" s="349"/>
      <c r="AD377" s="1526" t="s">
        <v>2248</v>
      </c>
      <c r="AE377" s="394" t="str">
        <f>IF(AND(CNTR_HasEntries_A_I,COUNTIFS($V$16:$AB$16,FALSE,H377:N377,"")&gt;0,$T$364&lt;&gt;TRUE),5,"")</f>
        <v/>
      </c>
    </row>
    <row r="378" spans="1:31" ht="5.15" customHeight="1" x14ac:dyDescent="0.25">
      <c r="A378" s="349"/>
      <c r="B378" s="3"/>
      <c r="C378" s="3"/>
      <c r="D378" s="3"/>
      <c r="E378" s="3"/>
      <c r="F378" s="3"/>
      <c r="G378" s="3"/>
      <c r="H378" s="3"/>
      <c r="I378" s="3"/>
      <c r="J378" s="3"/>
      <c r="K378" s="3"/>
      <c r="L378" s="3"/>
      <c r="M378" s="3"/>
      <c r="N378" s="3"/>
      <c r="O378" s="6"/>
      <c r="P378" s="15"/>
      <c r="Q378" s="410"/>
      <c r="R378" s="349"/>
      <c r="S378" s="349"/>
      <c r="T378" s="349"/>
      <c r="U378" s="349"/>
      <c r="V378" s="349"/>
      <c r="W378" s="349"/>
      <c r="X378" s="349"/>
      <c r="Y378" s="349"/>
      <c r="Z378" s="349"/>
      <c r="AA378" s="349"/>
      <c r="AB378" s="349"/>
      <c r="AC378" s="349"/>
      <c r="AD378" s="349"/>
      <c r="AE378" s="349"/>
    </row>
    <row r="379" spans="1:31" ht="13" customHeight="1" x14ac:dyDescent="0.25">
      <c r="A379" s="349"/>
      <c r="B379" s="3"/>
      <c r="C379" s="3"/>
      <c r="D379" s="13" t="s">
        <v>299</v>
      </c>
      <c r="E379" s="2589" t="str">
        <f>Translations!$B$507</f>
        <v>Rimlighetskontroll: Summa av eltillförsel i blad ”F_ProductBM” för utbytbarhet av el</v>
      </c>
      <c r="F379" s="2590"/>
      <c r="G379" s="2590"/>
      <c r="H379" s="2590"/>
      <c r="I379" s="2590"/>
      <c r="J379" s="2590"/>
      <c r="K379" s="2590"/>
      <c r="L379" s="2590"/>
      <c r="M379" s="2590"/>
      <c r="N379" s="2590"/>
      <c r="O379" s="6"/>
      <c r="P379" s="15"/>
      <c r="Q379" s="410"/>
      <c r="R379" s="349"/>
      <c r="S379" s="349"/>
      <c r="T379" s="349"/>
      <c r="U379" s="349"/>
      <c r="V379" s="349"/>
      <c r="W379" s="349"/>
      <c r="X379" s="349"/>
      <c r="Y379" s="349"/>
      <c r="Z379" s="349"/>
      <c r="AA379" s="349"/>
      <c r="AB379" s="349"/>
      <c r="AC379" s="349"/>
      <c r="AD379" s="349"/>
      <c r="AE379" s="349"/>
    </row>
    <row r="380" spans="1:31" ht="12.65" customHeight="1" x14ac:dyDescent="0.25">
      <c r="A380" s="349"/>
      <c r="B380" s="19"/>
      <c r="C380" s="19"/>
      <c r="D380" s="175" t="s">
        <v>8</v>
      </c>
      <c r="E380" s="2544" t="str">
        <f>Translations!$B$508</f>
        <v>El som angetts som utbytbar</v>
      </c>
      <c r="F380" s="2545"/>
      <c r="G380" s="43" t="str">
        <f>EUconst_MWhpa</f>
        <v>MWh / år</v>
      </c>
      <c r="H380" s="258" t="str">
        <f>F_ProductBM!H3055</f>
        <v/>
      </c>
      <c r="I380" s="258" t="str">
        <f>F_ProductBM!I3055</f>
        <v/>
      </c>
      <c r="J380" s="258" t="str">
        <f>F_ProductBM!J3055</f>
        <v/>
      </c>
      <c r="K380" s="258" t="str">
        <f>F_ProductBM!K3055</f>
        <v/>
      </c>
      <c r="L380" s="258" t="str">
        <f>F_ProductBM!L3055</f>
        <v/>
      </c>
      <c r="M380" s="258" t="str">
        <f>F_ProductBM!M3055</f>
        <v/>
      </c>
      <c r="N380" s="258" t="str">
        <f>F_ProductBM!N3055</f>
        <v/>
      </c>
      <c r="O380" s="6"/>
      <c r="P380" s="15"/>
      <c r="Q380" s="349"/>
      <c r="R380" s="349"/>
      <c r="S380" s="349"/>
      <c r="T380" s="349"/>
      <c r="U380" s="349"/>
      <c r="V380" s="349"/>
      <c r="W380" s="349"/>
      <c r="X380" s="349"/>
      <c r="Y380" s="349"/>
      <c r="Z380" s="349"/>
      <c r="AA380" s="349"/>
      <c r="AB380" s="349"/>
      <c r="AC380" s="349"/>
      <c r="AD380" s="349"/>
      <c r="AE380" s="349"/>
    </row>
    <row r="381" spans="1:31" x14ac:dyDescent="0.25">
      <c r="A381" s="349"/>
      <c r="B381" s="19"/>
      <c r="C381" s="19"/>
      <c r="D381" s="175" t="s">
        <v>9</v>
      </c>
      <c r="E381" s="2546" t="str">
        <f>Translations!$B$509</f>
        <v>Jämfört med punkt f</v>
      </c>
      <c r="F381" s="2545"/>
      <c r="G381" s="43" t="s">
        <v>1113</v>
      </c>
      <c r="H381" s="258" t="str">
        <f t="shared" ref="H381:N381" si="78">IF(AND(COUNT(H377,H380)=2,H377&lt;&gt;0),H380/H377*100,"")</f>
        <v/>
      </c>
      <c r="I381" s="258" t="str">
        <f t="shared" si="78"/>
        <v/>
      </c>
      <c r="J381" s="258" t="str">
        <f t="shared" si="78"/>
        <v/>
      </c>
      <c r="K381" s="258" t="str">
        <f t="shared" si="78"/>
        <v/>
      </c>
      <c r="L381" s="258" t="str">
        <f t="shared" si="78"/>
        <v/>
      </c>
      <c r="M381" s="258" t="str">
        <f t="shared" si="78"/>
        <v/>
      </c>
      <c r="N381" s="258" t="str">
        <f t="shared" si="78"/>
        <v/>
      </c>
      <c r="O381" s="6"/>
      <c r="P381" s="15"/>
      <c r="Q381" s="349"/>
      <c r="R381" s="349"/>
      <c r="S381" s="349"/>
      <c r="T381" s="349"/>
      <c r="U381" s="349"/>
      <c r="V381" s="349"/>
      <c r="W381" s="349"/>
      <c r="X381" s="349"/>
      <c r="Y381" s="349"/>
      <c r="Z381" s="349"/>
      <c r="AA381" s="349"/>
      <c r="AB381" s="349"/>
      <c r="AC381" s="349"/>
      <c r="AD381" s="349"/>
      <c r="AE381" s="349"/>
    </row>
    <row r="382" spans="1:31" ht="5.15" customHeight="1" x14ac:dyDescent="0.25">
      <c r="A382" s="349"/>
      <c r="B382" s="3"/>
      <c r="C382" s="3"/>
      <c r="D382" s="3"/>
      <c r="E382" s="3"/>
      <c r="F382" s="3"/>
      <c r="G382" s="3"/>
      <c r="H382" s="3"/>
      <c r="I382" s="3"/>
      <c r="J382" s="3"/>
      <c r="K382" s="3"/>
      <c r="L382" s="3"/>
      <c r="M382" s="3"/>
      <c r="N382" s="3"/>
      <c r="O382" s="6"/>
      <c r="P382" s="15"/>
      <c r="Q382" s="410"/>
      <c r="R382" s="349"/>
      <c r="S382" s="349"/>
      <c r="T382" s="349"/>
      <c r="U382" s="349"/>
      <c r="V382" s="349"/>
      <c r="W382" s="349"/>
      <c r="X382" s="349"/>
      <c r="Y382" s="349"/>
      <c r="Z382" s="349"/>
      <c r="AA382" s="349"/>
      <c r="AB382" s="349"/>
      <c r="AC382" s="349"/>
      <c r="AD382" s="349"/>
      <c r="AE382" s="349"/>
    </row>
    <row r="383" spans="1:31" x14ac:dyDescent="0.25">
      <c r="A383" s="349"/>
      <c r="B383" s="19"/>
      <c r="C383" s="19"/>
      <c r="D383" s="19"/>
      <c r="E383" s="19"/>
      <c r="F383" s="19"/>
      <c r="G383" s="19"/>
      <c r="H383" s="19"/>
      <c r="I383" s="19"/>
      <c r="J383" s="19"/>
      <c r="K383" s="19"/>
      <c r="L383" s="19"/>
      <c r="M383" s="19"/>
      <c r="N383" s="19"/>
      <c r="O383" s="6"/>
      <c r="P383" s="15"/>
      <c r="Q383" s="349"/>
      <c r="R383" s="349"/>
      <c r="S383" s="349"/>
      <c r="T383" s="349"/>
      <c r="U383" s="349"/>
      <c r="V383" s="349"/>
      <c r="W383" s="349"/>
      <c r="X383" s="349"/>
      <c r="Y383" s="349"/>
      <c r="Z383" s="349"/>
      <c r="AA383" s="349"/>
      <c r="AB383" s="349"/>
      <c r="AC383" s="349"/>
      <c r="AD383" s="349"/>
      <c r="AE383" s="349"/>
    </row>
    <row r="384" spans="1:31" ht="13" x14ac:dyDescent="0.25">
      <c r="A384" s="349"/>
      <c r="B384" s="19"/>
      <c r="C384" s="19"/>
      <c r="D384" s="2477" t="str">
        <f>Translations!$B$66</f>
        <v xml:space="preserve">&lt;&lt;&lt; Klicka här för att gå vidare till nästa blad &gt;&gt;&gt; </v>
      </c>
      <c r="E384" s="2477"/>
      <c r="F384" s="2477"/>
      <c r="G384" s="2477"/>
      <c r="H384" s="2477"/>
      <c r="I384" s="2477"/>
      <c r="J384" s="2477"/>
      <c r="K384" s="2477"/>
      <c r="L384" s="2477"/>
      <c r="M384" s="2477"/>
      <c r="N384" s="2477"/>
      <c r="O384" s="6"/>
      <c r="P384" s="15"/>
      <c r="Q384" s="349"/>
      <c r="R384" s="349"/>
      <c r="S384" s="349"/>
      <c r="T384" s="349"/>
      <c r="U384" s="349"/>
      <c r="V384" s="349"/>
      <c r="W384" s="349"/>
      <c r="X384" s="349"/>
      <c r="Y384" s="349"/>
      <c r="Z384" s="349"/>
      <c r="AA384" s="349"/>
      <c r="AB384" s="349"/>
      <c r="AC384" s="349"/>
      <c r="AD384" s="349"/>
      <c r="AE384" s="349"/>
    </row>
    <row r="385" spans="1:31" x14ac:dyDescent="0.25">
      <c r="A385" s="349"/>
      <c r="B385" s="19"/>
      <c r="C385" s="19"/>
      <c r="D385" s="19"/>
      <c r="E385" s="19"/>
      <c r="F385" s="19"/>
      <c r="G385" s="19"/>
      <c r="H385" s="19"/>
      <c r="I385" s="19"/>
      <c r="J385" s="19"/>
      <c r="K385" s="19"/>
      <c r="L385" s="19"/>
      <c r="M385" s="19"/>
      <c r="N385" s="19"/>
      <c r="O385" s="6"/>
      <c r="P385" s="15"/>
      <c r="Q385" s="349"/>
      <c r="R385" s="349"/>
      <c r="S385" s="349"/>
      <c r="T385" s="349"/>
      <c r="U385" s="349"/>
      <c r="V385" s="349"/>
      <c r="W385" s="349"/>
      <c r="X385" s="349"/>
      <c r="Y385" s="349"/>
      <c r="Z385" s="349"/>
      <c r="AA385" s="349"/>
      <c r="AB385" s="349"/>
      <c r="AC385" s="349"/>
      <c r="AD385" s="349"/>
      <c r="AE385" s="349"/>
    </row>
    <row r="386" spans="1:31" hidden="1" x14ac:dyDescent="0.25">
      <c r="A386" s="349" t="s">
        <v>346</v>
      </c>
      <c r="B386" s="2" t="s">
        <v>952</v>
      </c>
      <c r="C386" s="2" t="s">
        <v>952</v>
      </c>
      <c r="D386" s="2" t="s">
        <v>952</v>
      </c>
      <c r="E386" s="2" t="s">
        <v>952</v>
      </c>
      <c r="F386" s="2" t="s">
        <v>952</v>
      </c>
      <c r="G386" s="2"/>
      <c r="H386" s="2" t="s">
        <v>952</v>
      </c>
      <c r="I386" s="2" t="s">
        <v>952</v>
      </c>
      <c r="J386" s="2" t="s">
        <v>952</v>
      </c>
      <c r="K386" s="2" t="s">
        <v>952</v>
      </c>
      <c r="L386" s="2" t="s">
        <v>952</v>
      </c>
      <c r="M386" s="2" t="s">
        <v>952</v>
      </c>
      <c r="N386" s="2" t="s">
        <v>952</v>
      </c>
      <c r="O386" s="2" t="s">
        <v>952</v>
      </c>
      <c r="P386" s="2" t="s">
        <v>952</v>
      </c>
      <c r="Q386" s="2" t="s">
        <v>952</v>
      </c>
      <c r="R386" s="2" t="s">
        <v>952</v>
      </c>
      <c r="S386" s="2" t="s">
        <v>952</v>
      </c>
      <c r="T386" s="2" t="s">
        <v>952</v>
      </c>
      <c r="U386" s="2" t="s">
        <v>952</v>
      </c>
      <c r="V386" s="2" t="s">
        <v>952</v>
      </c>
      <c r="W386" s="2" t="s">
        <v>952</v>
      </c>
      <c r="X386" s="2" t="s">
        <v>952</v>
      </c>
      <c r="Y386" s="2" t="s">
        <v>952</v>
      </c>
      <c r="Z386" s="2" t="s">
        <v>952</v>
      </c>
      <c r="AA386" s="2" t="s">
        <v>952</v>
      </c>
      <c r="AB386" s="2" t="s">
        <v>952</v>
      </c>
      <c r="AC386" s="349"/>
      <c r="AD386" s="349"/>
      <c r="AE386" s="349"/>
    </row>
    <row r="387" spans="1:31" hidden="1" x14ac:dyDescent="0.25">
      <c r="A387" s="349" t="s">
        <v>346</v>
      </c>
      <c r="B387" s="1"/>
      <c r="C387" s="1"/>
      <c r="D387" s="1"/>
      <c r="E387" s="1"/>
      <c r="F387" s="1"/>
      <c r="G387" s="1"/>
      <c r="H387" s="1"/>
      <c r="I387" s="1"/>
      <c r="J387" s="1"/>
      <c r="K387" s="1"/>
      <c r="L387" s="1"/>
      <c r="M387" s="1"/>
      <c r="N387" s="1"/>
      <c r="O387" s="1"/>
      <c r="P387" s="1"/>
      <c r="Q387" s="349"/>
      <c r="R387" s="349"/>
      <c r="S387" s="349"/>
      <c r="T387" s="349"/>
      <c r="U387" s="349"/>
      <c r="V387" s="349"/>
      <c r="W387" s="349"/>
      <c r="X387" s="349"/>
      <c r="Y387" s="349"/>
      <c r="Z387" s="349"/>
      <c r="AA387" s="349"/>
      <c r="AB387" s="349"/>
      <c r="AC387" s="349"/>
      <c r="AD387" s="349"/>
      <c r="AE387" s="349"/>
    </row>
    <row r="388" spans="1:31" ht="13" hidden="1" x14ac:dyDescent="0.25">
      <c r="A388" s="349" t="s">
        <v>346</v>
      </c>
      <c r="B388" s="2"/>
      <c r="C388" s="2"/>
      <c r="D388" s="40" t="s">
        <v>953</v>
      </c>
      <c r="E388" s="2"/>
      <c r="F388" s="2"/>
      <c r="G388" s="2"/>
      <c r="H388" s="2"/>
      <c r="I388" s="2"/>
      <c r="J388" s="2"/>
      <c r="K388" s="2"/>
      <c r="L388" s="2"/>
      <c r="M388" s="2"/>
      <c r="N388" s="2"/>
      <c r="O388" s="2"/>
      <c r="P388" s="1"/>
      <c r="Q388" s="349"/>
      <c r="R388" s="349"/>
      <c r="S388" s="349"/>
      <c r="T388" s="349"/>
      <c r="U388" s="349"/>
      <c r="V388" s="349"/>
      <c r="W388" s="349"/>
      <c r="X388" s="349"/>
      <c r="Y388" s="349"/>
      <c r="Z388" s="349"/>
      <c r="AA388" s="349"/>
      <c r="AB388" s="349"/>
      <c r="AC388" s="349"/>
      <c r="AD388" s="349"/>
      <c r="AE388" s="349"/>
    </row>
    <row r="389" spans="1:31" ht="13" hidden="1" thickBot="1" x14ac:dyDescent="0.3">
      <c r="A389" s="349" t="s">
        <v>346</v>
      </c>
      <c r="B389" s="1"/>
      <c r="C389" s="1"/>
      <c r="D389" s="1"/>
      <c r="E389" s="1"/>
      <c r="F389" s="1"/>
      <c r="G389" s="1"/>
      <c r="H389" s="1"/>
      <c r="I389" s="1"/>
      <c r="J389" s="1"/>
      <c r="K389" s="1"/>
      <c r="L389" s="1"/>
      <c r="M389" s="1"/>
      <c r="N389" s="1"/>
      <c r="O389" s="1"/>
      <c r="P389" s="1"/>
      <c r="Q389" s="349"/>
      <c r="R389" s="349"/>
      <c r="S389" s="349"/>
      <c r="T389" s="349"/>
      <c r="U389" s="349"/>
      <c r="V389" s="349"/>
      <c r="W389" s="349"/>
      <c r="X389" s="349"/>
      <c r="Y389" s="349"/>
      <c r="Z389" s="349"/>
      <c r="AA389" s="349"/>
      <c r="AB389" s="349"/>
      <c r="AC389" s="349"/>
      <c r="AD389" s="349"/>
      <c r="AE389" s="349"/>
    </row>
    <row r="390" spans="1:31" ht="13" hidden="1" x14ac:dyDescent="0.25">
      <c r="A390" s="349" t="s">
        <v>346</v>
      </c>
      <c r="B390" s="1"/>
      <c r="C390" s="1"/>
      <c r="D390" s="1"/>
      <c r="E390" s="151" t="s">
        <v>593</v>
      </c>
      <c r="F390" s="61"/>
      <c r="G390" s="61"/>
      <c r="H390" s="61"/>
      <c r="I390" s="61"/>
      <c r="J390" s="61"/>
      <c r="K390" s="61"/>
      <c r="L390" s="61"/>
      <c r="M390" s="61"/>
      <c r="N390" s="63"/>
      <c r="O390" s="1"/>
      <c r="P390" s="1"/>
      <c r="Q390" s="349"/>
      <c r="R390" s="349"/>
      <c r="S390" s="349"/>
      <c r="T390" s="349"/>
      <c r="U390" s="349"/>
      <c r="V390" s="349"/>
      <c r="W390" s="349"/>
      <c r="X390" s="349"/>
      <c r="Y390" s="349"/>
      <c r="Z390" s="349"/>
      <c r="AA390" s="349"/>
      <c r="AB390" s="349"/>
      <c r="AC390" s="349"/>
      <c r="AD390" s="349"/>
      <c r="AE390" s="349"/>
    </row>
    <row r="391" spans="1:31" hidden="1" x14ac:dyDescent="0.25">
      <c r="A391" s="349" t="s">
        <v>346</v>
      </c>
      <c r="B391" s="1"/>
      <c r="C391" s="1"/>
      <c r="D391" s="1"/>
      <c r="E391" s="93" t="s">
        <v>956</v>
      </c>
      <c r="F391" s="22"/>
      <c r="G391" s="1"/>
      <c r="H391" s="22"/>
      <c r="I391" s="22"/>
      <c r="J391" s="141">
        <v>1</v>
      </c>
      <c r="K391" s="141">
        <v>2</v>
      </c>
      <c r="L391" s="141">
        <v>3</v>
      </c>
      <c r="M391" s="141">
        <v>4</v>
      </c>
      <c r="N391" s="141">
        <v>5</v>
      </c>
      <c r="O391" s="1"/>
      <c r="P391" s="1"/>
      <c r="Q391" s="349"/>
      <c r="R391" s="349"/>
      <c r="S391" s="349"/>
      <c r="T391" s="349"/>
      <c r="U391" s="349"/>
      <c r="V391" s="349"/>
      <c r="W391" s="349"/>
      <c r="X391" s="349"/>
      <c r="Y391" s="349"/>
      <c r="Z391" s="349"/>
      <c r="AA391" s="349"/>
      <c r="AB391" s="349"/>
      <c r="AC391" s="349"/>
      <c r="AD391" s="349"/>
      <c r="AE391" s="349"/>
    </row>
    <row r="392" spans="1:31" hidden="1" x14ac:dyDescent="0.25">
      <c r="A392" s="2" t="s">
        <v>346</v>
      </c>
      <c r="B392" s="1"/>
      <c r="C392" s="1"/>
      <c r="D392" s="1"/>
      <c r="E392" s="145" t="s">
        <v>1228</v>
      </c>
      <c r="F392" s="22"/>
      <c r="G392" s="1"/>
      <c r="H392" s="141">
        <f>A_InstallationData!H414</f>
        <v>2019</v>
      </c>
      <c r="I392" s="141">
        <f>A_InstallationData!I414</f>
        <v>2020</v>
      </c>
      <c r="J392" s="141">
        <f>A_InstallationData!J414</f>
        <v>2021</v>
      </c>
      <c r="K392" s="141">
        <f>A_InstallationData!K414</f>
        <v>2022</v>
      </c>
      <c r="L392" s="141">
        <f>A_InstallationData!L414</f>
        <v>2023</v>
      </c>
      <c r="M392" s="141">
        <f>A_InstallationData!M414</f>
        <v>2024</v>
      </c>
      <c r="N392" s="141">
        <f>A_InstallationData!N414</f>
        <v>2025</v>
      </c>
      <c r="O392" s="1"/>
      <c r="P392" s="1"/>
      <c r="Q392" s="349"/>
      <c r="R392" s="349"/>
      <c r="S392" s="349"/>
      <c r="T392" s="349"/>
      <c r="U392" s="349"/>
      <c r="V392" s="349"/>
      <c r="W392" s="349"/>
      <c r="X392" s="349"/>
      <c r="Y392" s="349"/>
      <c r="Z392" s="349"/>
      <c r="AA392" s="349"/>
      <c r="AB392" s="349"/>
      <c r="AC392" s="349"/>
      <c r="AD392" s="349"/>
      <c r="AE392" s="349"/>
    </row>
    <row r="393" spans="1:31" hidden="1" x14ac:dyDescent="0.25">
      <c r="A393" s="2" t="s">
        <v>346</v>
      </c>
      <c r="B393" s="1"/>
      <c r="C393" s="1"/>
      <c r="D393" s="1"/>
      <c r="E393" s="145" t="s">
        <v>1227</v>
      </c>
      <c r="F393" s="142"/>
      <c r="G393" s="1"/>
      <c r="H393" s="143">
        <f>A_InstallationData!H415</f>
        <v>2019</v>
      </c>
      <c r="I393" s="143">
        <f>A_InstallationData!I415</f>
        <v>2020</v>
      </c>
      <c r="J393" s="143">
        <f>A_InstallationData!J415</f>
        <v>2021</v>
      </c>
      <c r="K393" s="143">
        <f>A_InstallationData!K415</f>
        <v>2022</v>
      </c>
      <c r="L393" s="143">
        <f>A_InstallationData!L415</f>
        <v>2023</v>
      </c>
      <c r="M393" s="143">
        <f>A_InstallationData!M415</f>
        <v>2024</v>
      </c>
      <c r="N393" s="143">
        <f>A_InstallationData!N415</f>
        <v>2025</v>
      </c>
      <c r="O393" s="19"/>
      <c r="P393" s="1"/>
      <c r="Q393" s="349"/>
      <c r="R393" s="349"/>
      <c r="S393" s="349"/>
      <c r="T393" s="349"/>
      <c r="U393" s="349"/>
      <c r="V393" s="349"/>
      <c r="W393" s="349"/>
      <c r="X393" s="349"/>
      <c r="Y393" s="349"/>
      <c r="Z393" s="349"/>
      <c r="AA393" s="349"/>
      <c r="AB393" s="349"/>
      <c r="AC393" s="349"/>
      <c r="AD393" s="349"/>
      <c r="AE393" s="349"/>
    </row>
    <row r="394" spans="1:31" hidden="1" x14ac:dyDescent="0.25">
      <c r="A394" s="349" t="s">
        <v>346</v>
      </c>
      <c r="B394" s="1"/>
      <c r="C394" s="1"/>
      <c r="D394" s="1"/>
      <c r="E394" s="145" t="s">
        <v>592</v>
      </c>
      <c r="F394" s="142"/>
      <c r="G394" s="1"/>
      <c r="H394" s="142"/>
      <c r="I394" s="142"/>
      <c r="J394" s="143"/>
      <c r="K394" s="143"/>
      <c r="L394" s="143"/>
      <c r="M394" s="143"/>
      <c r="N394" s="143"/>
      <c r="O394" s="1"/>
      <c r="P394" s="1"/>
      <c r="Q394" s="349"/>
      <c r="R394" s="349"/>
      <c r="S394" s="349"/>
      <c r="T394" s="349"/>
      <c r="U394" s="349"/>
      <c r="V394" s="349"/>
      <c r="W394" s="349"/>
      <c r="X394" s="349"/>
      <c r="Y394" s="349"/>
      <c r="Z394" s="349"/>
      <c r="AA394" s="349"/>
      <c r="AB394" s="349"/>
      <c r="AC394" s="349"/>
      <c r="AD394" s="349"/>
      <c r="AE394" s="349"/>
    </row>
    <row r="395" spans="1:31" hidden="1" x14ac:dyDescent="0.25">
      <c r="A395" s="349" t="s">
        <v>346</v>
      </c>
      <c r="B395" s="1"/>
      <c r="C395" s="1"/>
      <c r="D395" s="1"/>
      <c r="E395" s="145" t="s">
        <v>590</v>
      </c>
      <c r="F395" s="142"/>
      <c r="G395" s="1"/>
      <c r="H395" s="142"/>
      <c r="I395" s="142"/>
      <c r="J395" s="142"/>
      <c r="K395" s="142"/>
      <c r="L395" s="142"/>
      <c r="M395" s="142"/>
      <c r="N395" s="142"/>
      <c r="O395" s="1"/>
      <c r="P395" s="1"/>
      <c r="Q395" s="349"/>
      <c r="R395" s="349"/>
      <c r="S395" s="349"/>
      <c r="T395" s="349"/>
      <c r="U395" s="349"/>
      <c r="V395" s="349"/>
      <c r="W395" s="349"/>
      <c r="X395" s="349"/>
      <c r="Y395" s="349"/>
      <c r="Z395" s="349"/>
      <c r="AA395" s="349"/>
      <c r="AB395" s="349"/>
      <c r="AC395" s="349"/>
      <c r="AD395" s="349"/>
      <c r="AE395" s="349"/>
    </row>
    <row r="396" spans="1:31" ht="13" hidden="1" thickBot="1" x14ac:dyDescent="0.3">
      <c r="A396" s="349" t="s">
        <v>346</v>
      </c>
      <c r="B396" s="1"/>
      <c r="C396" s="1"/>
      <c r="D396" s="1"/>
      <c r="E396" s="148" t="s">
        <v>591</v>
      </c>
      <c r="F396" s="149"/>
      <c r="G396" s="1"/>
      <c r="H396" s="149"/>
      <c r="I396" s="149"/>
      <c r="J396" s="149"/>
      <c r="K396" s="149"/>
      <c r="L396" s="149"/>
      <c r="M396" s="149"/>
      <c r="N396" s="149"/>
      <c r="O396" s="1"/>
      <c r="P396" s="1"/>
      <c r="Q396" s="349"/>
      <c r="R396" s="349"/>
      <c r="S396" s="349"/>
      <c r="T396" s="349"/>
      <c r="U396" s="349"/>
      <c r="V396" s="349"/>
      <c r="W396" s="349"/>
      <c r="X396" s="349"/>
      <c r="Y396" s="349"/>
      <c r="Z396" s="349"/>
      <c r="AA396" s="349"/>
      <c r="AB396" s="349"/>
      <c r="AC396" s="349"/>
      <c r="AD396" s="349"/>
      <c r="AE396" s="349"/>
    </row>
    <row r="397" spans="1:31" hidden="1" x14ac:dyDescent="0.25">
      <c r="A397" s="349" t="s">
        <v>346</v>
      </c>
      <c r="B397" s="1"/>
      <c r="C397" s="1"/>
      <c r="D397" s="1"/>
      <c r="E397" s="1"/>
      <c r="F397" s="1"/>
      <c r="G397" s="1"/>
      <c r="H397" s="1"/>
      <c r="I397" s="1"/>
      <c r="J397" s="1"/>
      <c r="K397" s="1"/>
      <c r="L397" s="1"/>
      <c r="M397" s="1"/>
      <c r="N397" s="1"/>
      <c r="O397" s="1"/>
      <c r="P397" s="1"/>
      <c r="Q397" s="349"/>
      <c r="R397" s="349"/>
      <c r="S397" s="349"/>
      <c r="T397" s="349"/>
      <c r="U397" s="349"/>
      <c r="V397" s="349"/>
      <c r="W397" s="349"/>
      <c r="X397" s="349"/>
      <c r="Y397" s="349"/>
      <c r="Z397" s="349"/>
      <c r="AA397" s="349"/>
      <c r="AB397" s="349"/>
      <c r="AC397" s="349"/>
      <c r="AD397" s="349"/>
      <c r="AE397" s="349"/>
    </row>
    <row r="398" spans="1:31" hidden="1" x14ac:dyDescent="0.25">
      <c r="A398" s="349" t="s">
        <v>346</v>
      </c>
      <c r="B398" s="1"/>
      <c r="C398" s="1"/>
      <c r="D398" s="1"/>
      <c r="E398" s="1"/>
      <c r="F398" s="1"/>
      <c r="G398" s="1"/>
      <c r="H398" s="1"/>
      <c r="I398" s="1"/>
      <c r="J398" s="1"/>
      <c r="K398" s="1"/>
      <c r="L398" s="1"/>
      <c r="M398" s="1"/>
      <c r="N398" s="1"/>
      <c r="O398" s="1"/>
      <c r="P398" s="1"/>
      <c r="Q398" s="349"/>
      <c r="R398" s="349"/>
      <c r="S398" s="349"/>
      <c r="T398" s="349"/>
      <c r="U398" s="349"/>
      <c r="V398" s="349"/>
      <c r="W398" s="349"/>
      <c r="X398" s="349"/>
      <c r="Y398" s="349"/>
      <c r="Z398" s="349"/>
      <c r="AA398" s="349"/>
      <c r="AB398" s="349"/>
      <c r="AC398" s="349"/>
      <c r="AD398" s="349"/>
      <c r="AE398" s="349"/>
    </row>
    <row r="399" spans="1:31" ht="13" hidden="1" thickBot="1" x14ac:dyDescent="0.3">
      <c r="A399" s="349" t="s">
        <v>346</v>
      </c>
      <c r="B399" s="1"/>
      <c r="C399" s="1"/>
      <c r="D399" s="1"/>
      <c r="E399" s="453" t="s">
        <v>1482</v>
      </c>
      <c r="F399" s="1"/>
      <c r="G399" s="1"/>
      <c r="H399" s="1"/>
      <c r="I399" s="1"/>
      <c r="J399" s="1"/>
      <c r="K399" s="1"/>
      <c r="L399" s="1"/>
      <c r="M399" s="1"/>
      <c r="N399" s="1"/>
      <c r="O399" s="1"/>
      <c r="P399" s="1"/>
      <c r="Q399" s="349"/>
      <c r="R399" s="349"/>
      <c r="S399" s="349"/>
      <c r="T399" s="349"/>
      <c r="U399" s="349"/>
      <c r="V399" s="349"/>
      <c r="W399" s="349"/>
      <c r="X399" s="349"/>
      <c r="Y399" s="349"/>
      <c r="Z399" s="349"/>
      <c r="AA399" s="349"/>
      <c r="AB399" s="349"/>
      <c r="AC399" s="349"/>
      <c r="AD399" s="349"/>
      <c r="AE399" s="349"/>
    </row>
    <row r="400" spans="1:31" ht="13" hidden="1" x14ac:dyDescent="0.25">
      <c r="A400" s="349" t="s">
        <v>346</v>
      </c>
      <c r="B400" s="1"/>
      <c r="C400" s="1"/>
      <c r="D400" s="1">
        <v>1</v>
      </c>
      <c r="E400" s="435" t="str">
        <f>INDEX(EUconst_FallBackListNames,D400)</f>
        <v>Delanläggning med värmeriktmärke, KL</v>
      </c>
      <c r="F400" s="436"/>
      <c r="G400" s="157" t="str">
        <f>EUconst_TJpa</f>
        <v>TJ / år</v>
      </c>
      <c r="H400" s="437" t="str">
        <f t="shared" ref="H400:N402" si="79">IF(ISNUMBER(H240),INDEX(H$240:H$246,MATCH(EUconst_CNTR_HAL&amp;$E400,$Q$240:$Q$246,0)),"")</f>
        <v/>
      </c>
      <c r="I400" s="437" t="str">
        <f t="shared" si="79"/>
        <v/>
      </c>
      <c r="J400" s="437" t="str">
        <f t="shared" si="79"/>
        <v/>
      </c>
      <c r="K400" s="437" t="str">
        <f t="shared" si="79"/>
        <v/>
      </c>
      <c r="L400" s="437" t="str">
        <f t="shared" si="79"/>
        <v/>
      </c>
      <c r="M400" s="437" t="str">
        <f t="shared" si="79"/>
        <v/>
      </c>
      <c r="N400" s="438" t="str">
        <f t="shared" si="79"/>
        <v/>
      </c>
      <c r="O400" s="1"/>
      <c r="P400" s="1"/>
      <c r="Q400" s="349" t="s">
        <v>278</v>
      </c>
      <c r="R400" s="349"/>
      <c r="S400" s="349"/>
      <c r="T400" s="349"/>
      <c r="U400" s="349"/>
      <c r="V400" s="349"/>
      <c r="W400" s="349"/>
      <c r="X400" s="349"/>
      <c r="Y400" s="349"/>
      <c r="Z400" s="349"/>
      <c r="AA400" s="349"/>
      <c r="AB400" s="349"/>
      <c r="AC400" s="349"/>
      <c r="AD400" s="349"/>
      <c r="AE400" s="349"/>
    </row>
    <row r="401" spans="1:31" ht="13" hidden="1" x14ac:dyDescent="0.25">
      <c r="A401" s="349" t="s">
        <v>346</v>
      </c>
      <c r="B401" s="1"/>
      <c r="C401" s="1"/>
      <c r="D401" s="1">
        <v>2</v>
      </c>
      <c r="E401" s="439" t="str">
        <f>INDEX(EUconst_FallBackListNames,D401)</f>
        <v>Delanläggning med värmeriktmärke, ej KL</v>
      </c>
      <c r="F401" s="440"/>
      <c r="G401" s="441" t="str">
        <f>EUconst_TJpa</f>
        <v>TJ / år</v>
      </c>
      <c r="H401" s="442" t="str">
        <f t="shared" si="79"/>
        <v/>
      </c>
      <c r="I401" s="442" t="str">
        <f t="shared" si="79"/>
        <v/>
      </c>
      <c r="J401" s="442" t="str">
        <f t="shared" si="79"/>
        <v/>
      </c>
      <c r="K401" s="442" t="str">
        <f t="shared" si="79"/>
        <v/>
      </c>
      <c r="L401" s="442" t="str">
        <f t="shared" si="79"/>
        <v/>
      </c>
      <c r="M401" s="442" t="str">
        <f t="shared" si="79"/>
        <v/>
      </c>
      <c r="N401" s="443" t="str">
        <f t="shared" si="79"/>
        <v/>
      </c>
      <c r="O401" s="1"/>
      <c r="P401" s="1"/>
      <c r="Q401" s="349"/>
      <c r="R401" s="349"/>
      <c r="S401" s="349"/>
      <c r="T401" s="349"/>
      <c r="U401" s="349"/>
      <c r="V401" s="349"/>
      <c r="W401" s="349"/>
      <c r="X401" s="349"/>
      <c r="Y401" s="349"/>
      <c r="Z401" s="349"/>
      <c r="AA401" s="349"/>
      <c r="AB401" s="349"/>
      <c r="AC401" s="349"/>
      <c r="AD401" s="349"/>
      <c r="AE401" s="349"/>
    </row>
    <row r="402" spans="1:31" ht="13.5" hidden="1" thickBot="1" x14ac:dyDescent="0.3">
      <c r="A402" s="349" t="s">
        <v>346</v>
      </c>
      <c r="B402" s="1"/>
      <c r="C402" s="1"/>
      <c r="D402" s="1">
        <v>3</v>
      </c>
      <c r="E402" s="105" t="str">
        <f>INDEX(EUconst_FallBackListNames,D402)</f>
        <v>Fjärrvärmedelanläggning</v>
      </c>
      <c r="F402" s="104"/>
      <c r="G402" s="158" t="str">
        <f>EUconst_TJpa</f>
        <v>TJ / år</v>
      </c>
      <c r="H402" s="101" t="str">
        <f t="shared" si="79"/>
        <v/>
      </c>
      <c r="I402" s="101" t="str">
        <f t="shared" si="79"/>
        <v/>
      </c>
      <c r="J402" s="101" t="str">
        <f t="shared" si="79"/>
        <v/>
      </c>
      <c r="K402" s="101" t="str">
        <f t="shared" si="79"/>
        <v/>
      </c>
      <c r="L402" s="101" t="str">
        <f t="shared" si="79"/>
        <v/>
      </c>
      <c r="M402" s="101" t="str">
        <f t="shared" si="79"/>
        <v/>
      </c>
      <c r="N402" s="100" t="str">
        <f t="shared" si="79"/>
        <v/>
      </c>
      <c r="O402" s="1"/>
      <c r="P402" s="1"/>
      <c r="Q402" s="349" t="s">
        <v>279</v>
      </c>
      <c r="R402" s="349"/>
      <c r="S402" s="349"/>
      <c r="T402" s="349"/>
      <c r="U402" s="349"/>
      <c r="V402" s="349"/>
      <c r="W402" s="349"/>
      <c r="X402" s="349"/>
      <c r="Y402" s="349"/>
      <c r="Z402" s="349"/>
      <c r="AA402" s="349"/>
      <c r="AB402" s="349"/>
      <c r="AC402" s="349"/>
      <c r="AD402" s="349"/>
      <c r="AE402" s="349"/>
    </row>
    <row r="403" spans="1:31" hidden="1" x14ac:dyDescent="0.25">
      <c r="A403" s="349" t="s">
        <v>346</v>
      </c>
      <c r="B403" s="1"/>
      <c r="C403" s="1"/>
      <c r="D403" s="1"/>
      <c r="E403" s="1"/>
      <c r="F403" s="1"/>
      <c r="G403" s="1"/>
      <c r="H403" s="1"/>
      <c r="I403" s="1"/>
      <c r="J403" s="1"/>
      <c r="K403" s="1"/>
      <c r="L403" s="1"/>
      <c r="M403" s="1"/>
      <c r="N403" s="1"/>
      <c r="O403" s="1"/>
      <c r="P403" s="1"/>
      <c r="Q403" s="349"/>
      <c r="R403" s="349"/>
      <c r="S403" s="349"/>
      <c r="T403" s="349"/>
      <c r="U403" s="349"/>
      <c r="V403" s="349"/>
      <c r="W403" s="349"/>
      <c r="X403" s="349"/>
      <c r="Y403" s="349"/>
      <c r="Z403" s="349"/>
      <c r="AA403" s="349"/>
      <c r="AB403" s="349"/>
      <c r="AC403" s="349"/>
      <c r="AD403" s="349"/>
      <c r="AE403" s="349"/>
    </row>
    <row r="404" spans="1:31" ht="13" hidden="1" thickBot="1" x14ac:dyDescent="0.3">
      <c r="A404" s="349" t="s">
        <v>346</v>
      </c>
      <c r="B404" s="1"/>
      <c r="C404" s="1"/>
      <c r="D404" s="1"/>
      <c r="E404" s="1" t="s">
        <v>277</v>
      </c>
      <c r="F404" s="1"/>
      <c r="G404" s="1"/>
      <c r="H404" s="1"/>
      <c r="I404" s="1"/>
      <c r="J404" s="1"/>
      <c r="K404" s="1"/>
      <c r="L404" s="1"/>
      <c r="M404" s="1"/>
      <c r="N404" s="1"/>
      <c r="O404" s="1"/>
      <c r="P404" s="1"/>
      <c r="Q404" s="349"/>
      <c r="R404" s="349"/>
      <c r="S404" s="349"/>
      <c r="T404" s="349"/>
      <c r="U404" s="349"/>
      <c r="V404" s="349"/>
      <c r="W404" s="349"/>
      <c r="X404" s="349"/>
      <c r="Y404" s="349"/>
      <c r="Z404" s="349"/>
      <c r="AA404" s="349"/>
      <c r="AB404" s="349"/>
      <c r="AC404" s="349"/>
      <c r="AD404" s="349"/>
      <c r="AE404" s="349"/>
    </row>
    <row r="405" spans="1:31" ht="13" hidden="1" x14ac:dyDescent="0.25">
      <c r="A405" s="349" t="s">
        <v>346</v>
      </c>
      <c r="B405" s="1"/>
      <c r="C405" s="1"/>
      <c r="D405" s="1">
        <v>4</v>
      </c>
      <c r="E405" s="107" t="str">
        <f>INDEX(EUconst_FallBackListNames,D405)</f>
        <v>Delanläggning med bränsleriktmärke, KL</v>
      </c>
      <c r="F405" s="106"/>
      <c r="G405" s="157" t="str">
        <f>EUconst_TJpa</f>
        <v>TJ / år</v>
      </c>
      <c r="H405" s="103" t="str">
        <f t="shared" ref="H405:N406" si="80">IF(ISNUMBER(H37),INDEX(H$37:H$48,MATCH(EUconst_CNTR_HAL&amp;$E405,$Q$37:$Q$48,0)),"")</f>
        <v/>
      </c>
      <c r="I405" s="103" t="str">
        <f t="shared" si="80"/>
        <v/>
      </c>
      <c r="J405" s="103" t="str">
        <f t="shared" si="80"/>
        <v/>
      </c>
      <c r="K405" s="103" t="str">
        <f t="shared" si="80"/>
        <v/>
      </c>
      <c r="L405" s="103" t="str">
        <f t="shared" si="80"/>
        <v/>
      </c>
      <c r="M405" s="103" t="str">
        <f t="shared" si="80"/>
        <v/>
      </c>
      <c r="N405" s="102" t="str">
        <f t="shared" si="80"/>
        <v/>
      </c>
      <c r="O405" s="1"/>
      <c r="P405" s="1"/>
      <c r="Q405" s="349" t="s">
        <v>280</v>
      </c>
      <c r="R405" s="349"/>
      <c r="S405" s="349"/>
      <c r="T405" s="349"/>
      <c r="U405" s="349"/>
      <c r="V405" s="349"/>
      <c r="W405" s="349"/>
      <c r="X405" s="349"/>
      <c r="Y405" s="349"/>
      <c r="Z405" s="349"/>
      <c r="AA405" s="349"/>
      <c r="AB405" s="349"/>
      <c r="AC405" s="349"/>
      <c r="AD405" s="349"/>
      <c r="AE405" s="349"/>
    </row>
    <row r="406" spans="1:31" ht="13.5" hidden="1" thickBot="1" x14ac:dyDescent="0.3">
      <c r="A406" s="349" t="s">
        <v>346</v>
      </c>
      <c r="B406" s="1"/>
      <c r="C406" s="1"/>
      <c r="D406" s="1">
        <v>5</v>
      </c>
      <c r="E406" s="105" t="str">
        <f>INDEX(EUconst_FallBackListNames,D406)</f>
        <v>Delanläggning med bränsleriktmärke, ej KL</v>
      </c>
      <c r="F406" s="104"/>
      <c r="G406" s="158" t="str">
        <f>EUconst_TJpa</f>
        <v>TJ / år</v>
      </c>
      <c r="H406" s="101" t="str">
        <f t="shared" si="80"/>
        <v/>
      </c>
      <c r="I406" s="101" t="str">
        <f t="shared" si="80"/>
        <v/>
      </c>
      <c r="J406" s="101" t="str">
        <f t="shared" si="80"/>
        <v/>
      </c>
      <c r="K406" s="101" t="str">
        <f t="shared" si="80"/>
        <v/>
      </c>
      <c r="L406" s="101" t="str">
        <f t="shared" si="80"/>
        <v/>
      </c>
      <c r="M406" s="101" t="str">
        <f t="shared" si="80"/>
        <v/>
      </c>
      <c r="N406" s="100" t="str">
        <f t="shared" si="80"/>
        <v/>
      </c>
      <c r="O406" s="1"/>
      <c r="P406" s="1"/>
      <c r="Q406" s="349" t="s">
        <v>281</v>
      </c>
      <c r="R406" s="349"/>
      <c r="S406" s="349"/>
      <c r="T406" s="349"/>
      <c r="U406" s="349"/>
      <c r="V406" s="349"/>
      <c r="W406" s="349"/>
      <c r="X406" s="349"/>
      <c r="Y406" s="349"/>
      <c r="Z406" s="349"/>
      <c r="AA406" s="349"/>
      <c r="AB406" s="349"/>
      <c r="AC406" s="349"/>
      <c r="AD406" s="349"/>
      <c r="AE406" s="349"/>
    </row>
    <row r="407" spans="1:31" hidden="1" x14ac:dyDescent="0.25">
      <c r="A407" s="349" t="s">
        <v>346</v>
      </c>
      <c r="B407" s="1"/>
      <c r="C407" s="1"/>
      <c r="D407" s="1"/>
      <c r="E407" s="1"/>
      <c r="F407" s="1"/>
      <c r="G407" s="1"/>
      <c r="H407" s="1"/>
      <c r="I407" s="1"/>
      <c r="J407" s="1"/>
      <c r="K407" s="1"/>
      <c r="L407" s="1"/>
      <c r="M407" s="1"/>
      <c r="N407" s="1"/>
      <c r="O407" s="1"/>
      <c r="P407" s="1"/>
      <c r="Q407" s="349"/>
      <c r="R407" s="349"/>
      <c r="S407" s="349"/>
      <c r="T407" s="349"/>
      <c r="U407" s="349"/>
      <c r="V407" s="349"/>
      <c r="W407" s="349"/>
      <c r="X407" s="349"/>
      <c r="Y407" s="349"/>
      <c r="Z407" s="349"/>
      <c r="AA407" s="349"/>
      <c r="AB407" s="349"/>
      <c r="AC407" s="349"/>
      <c r="AD407" s="349"/>
      <c r="AE407" s="349"/>
    </row>
    <row r="408" spans="1:31" ht="5.15" hidden="1" customHeight="1" x14ac:dyDescent="0.25">
      <c r="A408" s="349" t="s">
        <v>346</v>
      </c>
      <c r="B408"/>
      <c r="C408"/>
      <c r="D408"/>
      <c r="E408"/>
      <c r="F408"/>
      <c r="G408"/>
      <c r="H408"/>
      <c r="I408"/>
      <c r="J408"/>
      <c r="K408"/>
      <c r="L408"/>
      <c r="M408"/>
      <c r="N408"/>
      <c r="O408" s="131"/>
      <c r="P408" s="1"/>
      <c r="Q408" s="410"/>
      <c r="R408" s="349"/>
      <c r="S408" s="349"/>
      <c r="T408" s="349"/>
      <c r="U408" s="349"/>
      <c r="V408" s="349"/>
      <c r="W408" s="349"/>
      <c r="X408" s="349"/>
      <c r="Y408" s="349"/>
      <c r="Z408" s="349"/>
      <c r="AA408" s="349"/>
      <c r="AB408" s="349"/>
      <c r="AC408" s="349"/>
      <c r="AD408" s="349"/>
      <c r="AE408" s="349"/>
    </row>
    <row r="409" spans="1:31" ht="5.15" hidden="1" customHeight="1" x14ac:dyDescent="0.25">
      <c r="A409" s="349" t="s">
        <v>346</v>
      </c>
      <c r="B409"/>
      <c r="C409"/>
      <c r="D409"/>
      <c r="E409"/>
      <c r="F409"/>
      <c r="G409"/>
      <c r="H409"/>
      <c r="I409"/>
      <c r="J409"/>
      <c r="K409"/>
      <c r="L409"/>
      <c r="M409"/>
      <c r="N409"/>
      <c r="O409" s="131"/>
      <c r="P409" s="1"/>
      <c r="Q409" s="410"/>
      <c r="R409" s="349"/>
      <c r="S409" s="349"/>
      <c r="T409" s="349"/>
      <c r="U409" s="349"/>
      <c r="V409" s="349"/>
      <c r="W409" s="349"/>
      <c r="X409" s="349"/>
      <c r="Y409" s="349"/>
      <c r="Z409" s="349"/>
      <c r="AA409" s="349"/>
      <c r="AB409" s="349"/>
      <c r="AC409" s="349"/>
      <c r="AD409" s="349"/>
      <c r="AE409" s="349"/>
    </row>
    <row r="410" spans="1:31" ht="13" hidden="1" x14ac:dyDescent="0.25">
      <c r="A410" s="349" t="s">
        <v>346</v>
      </c>
      <c r="B410" s="1"/>
      <c r="C410" s="1"/>
      <c r="D410" s="1"/>
      <c r="E410" s="302" t="s">
        <v>1468</v>
      </c>
      <c r="F410" s="1"/>
      <c r="G410" s="1"/>
      <c r="H410" s="1"/>
      <c r="I410" s="1"/>
      <c r="J410" s="1"/>
      <c r="K410" s="1"/>
      <c r="L410" s="1"/>
      <c r="M410" s="1"/>
      <c r="N410" s="1"/>
      <c r="O410" s="1"/>
      <c r="P410" s="1"/>
      <c r="Q410" s="349"/>
      <c r="R410" s="349"/>
      <c r="S410" s="349"/>
      <c r="T410" s="349"/>
      <c r="U410" s="349"/>
      <c r="V410" s="349"/>
      <c r="W410" s="349"/>
      <c r="X410" s="349"/>
      <c r="Y410" s="349"/>
      <c r="Z410" s="349"/>
      <c r="AA410" s="349"/>
      <c r="AB410" s="349"/>
      <c r="AC410" s="349"/>
      <c r="AD410" s="349"/>
      <c r="AE410" s="349"/>
    </row>
    <row r="411" spans="1:31" hidden="1" x14ac:dyDescent="0.25">
      <c r="A411" s="349" t="s">
        <v>346</v>
      </c>
      <c r="B411" s="1"/>
      <c r="C411" s="1"/>
      <c r="D411" s="1"/>
      <c r="E411" s="1" t="s">
        <v>214</v>
      </c>
      <c r="F411" s="1"/>
      <c r="G411" s="1"/>
      <c r="H411" s="168">
        <f t="shared" ref="H411:N411" si="81">H$393</f>
        <v>2019</v>
      </c>
      <c r="I411" s="168">
        <f t="shared" si="81"/>
        <v>2020</v>
      </c>
      <c r="J411" s="168">
        <f t="shared" si="81"/>
        <v>2021</v>
      </c>
      <c r="K411" s="168">
        <f t="shared" si="81"/>
        <v>2022</v>
      </c>
      <c r="L411" s="168">
        <f t="shared" si="81"/>
        <v>2023</v>
      </c>
      <c r="M411" s="168">
        <f t="shared" si="81"/>
        <v>2024</v>
      </c>
      <c r="N411" s="168">
        <f t="shared" si="81"/>
        <v>2025</v>
      </c>
      <c r="O411" s="1"/>
      <c r="P411" s="1"/>
      <c r="Q411" s="349"/>
      <c r="R411" s="349"/>
      <c r="S411" s="349"/>
      <c r="T411" s="349"/>
      <c r="U411" s="349"/>
      <c r="V411" s="349"/>
      <c r="W411" s="349"/>
      <c r="X411" s="349"/>
      <c r="Y411" s="349"/>
      <c r="Z411" s="349"/>
      <c r="AA411" s="349"/>
      <c r="AB411" s="349"/>
      <c r="AC411" s="349"/>
      <c r="AD411" s="349"/>
      <c r="AE411" s="349"/>
    </row>
    <row r="412" spans="1:31" hidden="1" x14ac:dyDescent="0.25">
      <c r="A412" s="349" t="s">
        <v>346</v>
      </c>
      <c r="B412" s="1"/>
      <c r="C412" s="1"/>
      <c r="D412" s="1" t="s">
        <v>960</v>
      </c>
      <c r="E412" s="22" t="s">
        <v>215</v>
      </c>
      <c r="F412" s="1"/>
      <c r="G412" s="141" t="str">
        <f>EUconst_TJpa</f>
        <v>TJ / år</v>
      </c>
      <c r="H412" s="22">
        <f t="shared" ref="H412:N412" si="82">IF(ISNUMBER(H122),H122*(SUM(H128)/100),0)</f>
        <v>0</v>
      </c>
      <c r="I412" s="22">
        <f t="shared" si="82"/>
        <v>0</v>
      </c>
      <c r="J412" s="22">
        <f t="shared" si="82"/>
        <v>0</v>
      </c>
      <c r="K412" s="22">
        <f t="shared" si="82"/>
        <v>0</v>
      </c>
      <c r="L412" s="22">
        <f t="shared" si="82"/>
        <v>0</v>
      </c>
      <c r="M412" s="22">
        <f t="shared" si="82"/>
        <v>0</v>
      </c>
      <c r="N412" s="22">
        <f t="shared" si="82"/>
        <v>0</v>
      </c>
      <c r="O412" s="1"/>
      <c r="P412" s="1"/>
      <c r="Q412" s="349"/>
      <c r="R412" s="349"/>
      <c r="S412" s="349"/>
      <c r="T412" s="349"/>
      <c r="U412" s="349"/>
      <c r="V412" s="349"/>
      <c r="W412" s="349"/>
      <c r="X412" s="349"/>
      <c r="Y412" s="349"/>
      <c r="Z412" s="349"/>
      <c r="AA412" s="349"/>
      <c r="AB412" s="349"/>
      <c r="AC412" s="349"/>
      <c r="AD412" s="349"/>
      <c r="AE412" s="349"/>
    </row>
    <row r="413" spans="1:31" hidden="1" x14ac:dyDescent="0.25">
      <c r="A413" s="349" t="s">
        <v>346</v>
      </c>
      <c r="B413" s="1"/>
      <c r="C413" s="1"/>
      <c r="D413" s="1"/>
      <c r="E413" s="1" t="s">
        <v>216</v>
      </c>
      <c r="F413" s="1"/>
      <c r="G413" s="141" t="str">
        <f>EUconst_TJpa</f>
        <v>TJ / år</v>
      </c>
      <c r="H413" s="22">
        <f t="shared" ref="H413:N413" si="83">IF(ISNUMBER(H122),H122*(1-SUM(H128)/100),0)</f>
        <v>0</v>
      </c>
      <c r="I413" s="22">
        <f t="shared" si="83"/>
        <v>0</v>
      </c>
      <c r="J413" s="22">
        <f t="shared" si="83"/>
        <v>0</v>
      </c>
      <c r="K413" s="22">
        <f t="shared" si="83"/>
        <v>0</v>
      </c>
      <c r="L413" s="22">
        <f t="shared" si="83"/>
        <v>0</v>
      </c>
      <c r="M413" s="22">
        <f t="shared" si="83"/>
        <v>0</v>
      </c>
      <c r="N413" s="22">
        <f t="shared" si="83"/>
        <v>0</v>
      </c>
      <c r="O413" s="1"/>
      <c r="P413" s="1"/>
      <c r="Q413" s="349"/>
      <c r="R413" s="349"/>
      <c r="S413" s="349"/>
      <c r="T413" s="349"/>
      <c r="U413" s="349"/>
      <c r="V413" s="349"/>
      <c r="W413" s="349"/>
      <c r="X413" s="349"/>
      <c r="Y413" s="349"/>
      <c r="Z413" s="349"/>
      <c r="AA413" s="349"/>
      <c r="AB413" s="349"/>
      <c r="AC413" s="349"/>
      <c r="AD413" s="349"/>
      <c r="AE413" s="349"/>
    </row>
    <row r="414" spans="1:31" hidden="1" x14ac:dyDescent="0.25">
      <c r="A414" s="349" t="s">
        <v>346</v>
      </c>
      <c r="B414" s="1"/>
      <c r="C414" s="1"/>
      <c r="D414" s="1"/>
      <c r="E414" s="1"/>
      <c r="F414" s="1"/>
      <c r="G414" s="1"/>
      <c r="H414" s="1"/>
      <c r="I414" s="1"/>
      <c r="J414" s="1"/>
      <c r="K414" s="1"/>
      <c r="L414" s="1"/>
      <c r="M414" s="1"/>
      <c r="N414" s="1"/>
      <c r="O414" s="1"/>
      <c r="P414" s="1"/>
      <c r="Q414" s="349"/>
      <c r="R414" s="349"/>
      <c r="S414" s="349"/>
      <c r="T414" s="349"/>
      <c r="U414" s="349"/>
      <c r="V414" s="349"/>
      <c r="W414" s="349"/>
      <c r="X414" s="349"/>
      <c r="Y414" s="349"/>
      <c r="Z414" s="349"/>
      <c r="AA414" s="349"/>
      <c r="AB414" s="349"/>
      <c r="AC414" s="349"/>
      <c r="AD414" s="349"/>
      <c r="AE414" s="349"/>
    </row>
    <row r="415" spans="1:31" hidden="1" x14ac:dyDescent="0.25">
      <c r="A415" s="349" t="s">
        <v>346</v>
      </c>
      <c r="B415" s="1"/>
      <c r="C415" s="1"/>
      <c r="D415" s="1" t="s">
        <v>66</v>
      </c>
      <c r="E415" s="1" t="s">
        <v>218</v>
      </c>
      <c r="F415" s="1"/>
      <c r="G415" s="1"/>
      <c r="H415" s="1"/>
      <c r="I415" s="1"/>
      <c r="J415" s="1"/>
      <c r="K415" s="1"/>
      <c r="L415" s="1"/>
      <c r="M415" s="1"/>
      <c r="N415" s="1"/>
      <c r="O415" s="1"/>
      <c r="P415" s="1"/>
      <c r="Q415" s="349"/>
      <c r="R415" s="349"/>
      <c r="S415" s="349"/>
      <c r="T415" s="349"/>
      <c r="U415" s="349"/>
      <c r="V415" s="349"/>
      <c r="W415" s="349"/>
      <c r="X415" s="349"/>
      <c r="Y415" s="349"/>
      <c r="Z415" s="349"/>
      <c r="AA415" s="349"/>
      <c r="AB415" s="349"/>
      <c r="AC415" s="349"/>
      <c r="AD415" s="349"/>
      <c r="AE415" s="349"/>
    </row>
    <row r="416" spans="1:31" hidden="1" x14ac:dyDescent="0.25">
      <c r="A416" s="349" t="s">
        <v>346</v>
      </c>
      <c r="B416" s="1"/>
      <c r="C416" s="1"/>
      <c r="D416" s="1"/>
      <c r="E416" s="22" t="s">
        <v>217</v>
      </c>
      <c r="F416" s="1"/>
      <c r="G416" s="141" t="str">
        <f>EUconst_TJpa</f>
        <v>TJ / år</v>
      </c>
      <c r="H416" s="22">
        <f t="shared" ref="H416:N416" si="84">IF(ISNUMBER(H139),H139-H417,0)</f>
        <v>0</v>
      </c>
      <c r="I416" s="22">
        <f t="shared" si="84"/>
        <v>0</v>
      </c>
      <c r="J416" s="22">
        <f t="shared" si="84"/>
        <v>0</v>
      </c>
      <c r="K416" s="22">
        <f t="shared" si="84"/>
        <v>0</v>
      </c>
      <c r="L416" s="22">
        <f t="shared" si="84"/>
        <v>0</v>
      </c>
      <c r="M416" s="22">
        <f t="shared" si="84"/>
        <v>0</v>
      </c>
      <c r="N416" s="22">
        <f t="shared" si="84"/>
        <v>0</v>
      </c>
      <c r="O416" s="1"/>
      <c r="P416" s="1"/>
      <c r="Q416" s="349"/>
      <c r="R416" s="349"/>
      <c r="S416" s="349"/>
      <c r="T416" s="349"/>
      <c r="U416" s="349"/>
      <c r="V416" s="349"/>
      <c r="W416" s="349"/>
      <c r="X416" s="349"/>
      <c r="Y416" s="349"/>
      <c r="Z416" s="349"/>
      <c r="AA416" s="349"/>
      <c r="AB416" s="349"/>
      <c r="AC416" s="349"/>
      <c r="AD416" s="349"/>
      <c r="AE416" s="349"/>
    </row>
    <row r="417" spans="1:31" hidden="1" x14ac:dyDescent="0.25">
      <c r="A417" s="349" t="s">
        <v>346</v>
      </c>
      <c r="B417" s="1"/>
      <c r="C417" s="1"/>
      <c r="D417" s="1"/>
      <c r="E417" s="1" t="s">
        <v>216</v>
      </c>
      <c r="F417" s="1"/>
      <c r="G417" s="141" t="str">
        <f>EUconst_TJpa</f>
        <v>TJ / år</v>
      </c>
      <c r="H417" s="22">
        <f t="shared" ref="H417:N417" si="85">IF(ISNUMBER(H141),IF(H141&lt;H413,H141,H413),IF(ISNUMBER(H140),H140,0))</f>
        <v>0</v>
      </c>
      <c r="I417" s="22">
        <f t="shared" si="85"/>
        <v>0</v>
      </c>
      <c r="J417" s="22">
        <f t="shared" si="85"/>
        <v>0</v>
      </c>
      <c r="K417" s="22">
        <f t="shared" si="85"/>
        <v>0</v>
      </c>
      <c r="L417" s="22">
        <f t="shared" si="85"/>
        <v>0</v>
      </c>
      <c r="M417" s="22">
        <f t="shared" si="85"/>
        <v>0</v>
      </c>
      <c r="N417" s="22">
        <f t="shared" si="85"/>
        <v>0</v>
      </c>
      <c r="O417" s="1"/>
      <c r="P417" s="1"/>
      <c r="Q417" s="349"/>
      <c r="R417" s="349"/>
      <c r="S417" s="349"/>
      <c r="T417" s="349"/>
      <c r="U417" s="349"/>
      <c r="V417" s="349"/>
      <c r="W417" s="349"/>
      <c r="X417" s="349"/>
      <c r="Y417" s="349"/>
      <c r="Z417" s="349"/>
      <c r="AA417" s="349"/>
      <c r="AB417" s="349"/>
      <c r="AC417" s="349"/>
      <c r="AD417" s="349"/>
      <c r="AE417" s="349"/>
    </row>
    <row r="418" spans="1:31" hidden="1" x14ac:dyDescent="0.25">
      <c r="A418" s="349" t="s">
        <v>346</v>
      </c>
      <c r="B418" s="1"/>
      <c r="C418" s="1"/>
      <c r="D418" s="1"/>
      <c r="E418" s="1" t="s">
        <v>219</v>
      </c>
      <c r="F418" s="1"/>
      <c r="G418" s="1"/>
      <c r="H418" s="1"/>
      <c r="I418" s="1"/>
      <c r="J418" s="1"/>
      <c r="K418" s="1"/>
      <c r="L418" s="1"/>
      <c r="M418" s="1"/>
      <c r="N418" s="1"/>
      <c r="O418" s="1"/>
      <c r="P418" s="1"/>
      <c r="Q418" s="349"/>
      <c r="R418" s="349"/>
      <c r="S418" s="349"/>
      <c r="T418" s="349"/>
      <c r="U418" s="349"/>
      <c r="V418" s="349"/>
      <c r="W418" s="349"/>
      <c r="X418" s="349"/>
      <c r="Y418" s="349"/>
      <c r="Z418" s="349"/>
      <c r="AA418" s="349"/>
      <c r="AB418" s="349"/>
      <c r="AC418" s="349"/>
      <c r="AD418" s="349"/>
      <c r="AE418" s="349"/>
    </row>
    <row r="419" spans="1:31" hidden="1" x14ac:dyDescent="0.25">
      <c r="A419" s="349" t="s">
        <v>346</v>
      </c>
      <c r="B419" s="1"/>
      <c r="C419" s="1"/>
      <c r="D419" s="1"/>
      <c r="E419" s="22" t="s">
        <v>217</v>
      </c>
      <c r="F419" s="1"/>
      <c r="G419" s="141" t="str">
        <f>EUconst_TJpa</f>
        <v>TJ / år</v>
      </c>
      <c r="H419" s="22">
        <f t="shared" ref="H419:N419" si="86">IF(H416&lt;H412,H412-H416-IF(H417&gt;H413,H417-H413,0),0)</f>
        <v>0</v>
      </c>
      <c r="I419" s="22">
        <f t="shared" si="86"/>
        <v>0</v>
      </c>
      <c r="J419" s="22">
        <f t="shared" si="86"/>
        <v>0</v>
      </c>
      <c r="K419" s="22">
        <f t="shared" si="86"/>
        <v>0</v>
      </c>
      <c r="L419" s="22">
        <f t="shared" si="86"/>
        <v>0</v>
      </c>
      <c r="M419" s="22">
        <f t="shared" si="86"/>
        <v>0</v>
      </c>
      <c r="N419" s="22">
        <f t="shared" si="86"/>
        <v>0</v>
      </c>
      <c r="O419" s="1"/>
      <c r="P419" s="1"/>
      <c r="Q419" s="349"/>
      <c r="R419" s="349"/>
      <c r="S419" s="349"/>
      <c r="T419" s="349"/>
      <c r="U419" s="349"/>
      <c r="V419" s="349"/>
      <c r="W419" s="349"/>
      <c r="X419" s="349"/>
      <c r="Y419" s="349"/>
      <c r="Z419" s="349"/>
      <c r="AA419" s="349"/>
      <c r="AB419" s="349"/>
      <c r="AC419" s="349"/>
      <c r="AD419" s="349"/>
      <c r="AE419" s="349"/>
    </row>
    <row r="420" spans="1:31" hidden="1" x14ac:dyDescent="0.25">
      <c r="A420" s="349" t="s">
        <v>346</v>
      </c>
      <c r="B420" s="1"/>
      <c r="C420" s="1"/>
      <c r="D420" s="1"/>
      <c r="E420" s="1" t="s">
        <v>216</v>
      </c>
      <c r="F420" s="1"/>
      <c r="G420" s="141" t="str">
        <f>EUconst_TJpa</f>
        <v>TJ / år</v>
      </c>
      <c r="H420" s="22">
        <f t="shared" ref="H420:N420" si="87">IF(H417&lt;H413,H413-H417-IF(H416&gt;H412,H416-H412,0),0)</f>
        <v>0</v>
      </c>
      <c r="I420" s="22">
        <f t="shared" si="87"/>
        <v>0</v>
      </c>
      <c r="J420" s="22">
        <f t="shared" si="87"/>
        <v>0</v>
      </c>
      <c r="K420" s="22">
        <f t="shared" si="87"/>
        <v>0</v>
      </c>
      <c r="L420" s="22">
        <f t="shared" si="87"/>
        <v>0</v>
      </c>
      <c r="M420" s="22">
        <f t="shared" si="87"/>
        <v>0</v>
      </c>
      <c r="N420" s="22">
        <f t="shared" si="87"/>
        <v>0</v>
      </c>
      <c r="O420" s="1"/>
      <c r="P420" s="1"/>
      <c r="Q420" s="349"/>
      <c r="R420" s="349"/>
      <c r="S420" s="349"/>
      <c r="T420" s="349"/>
      <c r="U420" s="349"/>
      <c r="V420" s="349"/>
      <c r="W420" s="349"/>
      <c r="X420" s="349"/>
      <c r="Y420" s="349"/>
      <c r="Z420" s="349"/>
      <c r="AA420" s="349"/>
      <c r="AB420" s="349"/>
      <c r="AC420" s="349"/>
      <c r="AD420" s="349"/>
      <c r="AE420" s="349"/>
    </row>
    <row r="421" spans="1:31" hidden="1" x14ac:dyDescent="0.25">
      <c r="A421" s="349" t="s">
        <v>346</v>
      </c>
      <c r="B421" s="1"/>
      <c r="C421" s="1"/>
      <c r="D421" s="1"/>
      <c r="E421" s="1"/>
      <c r="F421" s="1"/>
      <c r="G421" s="1"/>
      <c r="H421" s="1"/>
      <c r="I421" s="1"/>
      <c r="J421" s="1"/>
      <c r="K421" s="1"/>
      <c r="L421" s="1"/>
      <c r="M421" s="1"/>
      <c r="N421" s="1"/>
      <c r="O421" s="1"/>
      <c r="P421" s="1"/>
      <c r="Q421" s="349"/>
      <c r="R421" s="349"/>
      <c r="S421" s="349"/>
      <c r="T421" s="349"/>
      <c r="U421" s="349"/>
      <c r="V421" s="349"/>
      <c r="W421" s="349"/>
      <c r="X421" s="349"/>
      <c r="Y421" s="349"/>
      <c r="Z421" s="349"/>
      <c r="AA421" s="349"/>
      <c r="AB421" s="349"/>
      <c r="AC421" s="349"/>
      <c r="AD421" s="349"/>
      <c r="AE421" s="349"/>
    </row>
    <row r="422" spans="1:31" hidden="1" x14ac:dyDescent="0.25">
      <c r="A422" s="349" t="s">
        <v>346</v>
      </c>
      <c r="B422" s="1"/>
      <c r="C422" s="1"/>
      <c r="D422" s="1" t="s">
        <v>299</v>
      </c>
      <c r="E422" s="1" t="s">
        <v>220</v>
      </c>
      <c r="F422" s="1"/>
      <c r="G422" s="1"/>
      <c r="H422" s="1"/>
      <c r="I422" s="1"/>
      <c r="J422" s="1"/>
      <c r="K422" s="1"/>
      <c r="L422" s="1"/>
      <c r="M422" s="1"/>
      <c r="N422" s="1"/>
      <c r="O422" s="1"/>
      <c r="P422" s="1"/>
      <c r="Q422" s="349"/>
      <c r="R422" s="349"/>
      <c r="S422" s="349"/>
      <c r="T422" s="349"/>
      <c r="U422" s="349"/>
      <c r="V422" s="349"/>
      <c r="W422" s="349"/>
      <c r="X422" s="349"/>
      <c r="Y422" s="349"/>
      <c r="Z422" s="349"/>
      <c r="AA422" s="349"/>
      <c r="AB422" s="349"/>
      <c r="AC422" s="349"/>
      <c r="AD422" s="349"/>
      <c r="AE422" s="349"/>
    </row>
    <row r="423" spans="1:31" hidden="1" x14ac:dyDescent="0.25">
      <c r="A423" s="349" t="s">
        <v>346</v>
      </c>
      <c r="B423" s="1"/>
      <c r="C423" s="1"/>
      <c r="D423" s="1"/>
      <c r="E423" s="22" t="s">
        <v>217</v>
      </c>
      <c r="F423" s="1"/>
      <c r="G423" s="141" t="str">
        <f>EUconst_TJpa</f>
        <v>TJ / år</v>
      </c>
      <c r="H423" s="22">
        <f t="shared" ref="H423:N423" si="88">IF(ISNUMBER(H157),H157-H424,0)</f>
        <v>0</v>
      </c>
      <c r="I423" s="22">
        <f t="shared" si="88"/>
        <v>0</v>
      </c>
      <c r="J423" s="22">
        <f t="shared" si="88"/>
        <v>0</v>
      </c>
      <c r="K423" s="22">
        <f t="shared" si="88"/>
        <v>0</v>
      </c>
      <c r="L423" s="22">
        <f t="shared" si="88"/>
        <v>0</v>
      </c>
      <c r="M423" s="22">
        <f t="shared" si="88"/>
        <v>0</v>
      </c>
      <c r="N423" s="22">
        <f t="shared" si="88"/>
        <v>0</v>
      </c>
      <c r="O423" s="1"/>
      <c r="P423" s="1"/>
      <c r="Q423" s="349"/>
      <c r="R423" s="349"/>
      <c r="S423" s="349"/>
      <c r="T423" s="349"/>
      <c r="U423" s="349"/>
      <c r="V423" s="349"/>
      <c r="W423" s="349"/>
      <c r="X423" s="349"/>
      <c r="Y423" s="349"/>
      <c r="Z423" s="349"/>
      <c r="AA423" s="349"/>
      <c r="AB423" s="349"/>
      <c r="AC423" s="349"/>
      <c r="AD423" s="349"/>
      <c r="AE423" s="349"/>
    </row>
    <row r="424" spans="1:31" hidden="1" x14ac:dyDescent="0.25">
      <c r="A424" s="349" t="s">
        <v>346</v>
      </c>
      <c r="B424" s="1"/>
      <c r="C424" s="1"/>
      <c r="D424" s="1"/>
      <c r="E424" s="1" t="s">
        <v>216</v>
      </c>
      <c r="F424" s="1"/>
      <c r="G424" s="141" t="str">
        <f>EUconst_TJpa</f>
        <v>TJ / år</v>
      </c>
      <c r="H424" s="22">
        <f t="shared" ref="H424:N424" si="89">IF(ISNUMBER(H160),IF(H160&lt;H420,H160,H420),0)</f>
        <v>0</v>
      </c>
      <c r="I424" s="22">
        <f t="shared" si="89"/>
        <v>0</v>
      </c>
      <c r="J424" s="22">
        <f t="shared" si="89"/>
        <v>0</v>
      </c>
      <c r="K424" s="22">
        <f t="shared" si="89"/>
        <v>0</v>
      </c>
      <c r="L424" s="22">
        <f t="shared" si="89"/>
        <v>0</v>
      </c>
      <c r="M424" s="22">
        <f t="shared" si="89"/>
        <v>0</v>
      </c>
      <c r="N424" s="22">
        <f t="shared" si="89"/>
        <v>0</v>
      </c>
      <c r="O424" s="1"/>
      <c r="P424" s="1"/>
      <c r="Q424" s="349"/>
      <c r="R424" s="349"/>
      <c r="S424" s="349"/>
      <c r="T424" s="349"/>
      <c r="U424" s="349"/>
      <c r="V424" s="349"/>
      <c r="W424" s="349"/>
      <c r="X424" s="349"/>
      <c r="Y424" s="349"/>
      <c r="Z424" s="349"/>
      <c r="AA424" s="349"/>
      <c r="AB424" s="349"/>
      <c r="AC424" s="349"/>
      <c r="AD424" s="349"/>
      <c r="AE424" s="349"/>
    </row>
    <row r="425" spans="1:31" hidden="1" x14ac:dyDescent="0.25">
      <c r="A425" s="349" t="s">
        <v>346</v>
      </c>
      <c r="B425" s="1"/>
      <c r="C425" s="1"/>
      <c r="D425" s="1"/>
      <c r="E425" s="1" t="s">
        <v>221</v>
      </c>
      <c r="F425" s="1"/>
      <c r="G425" s="1"/>
      <c r="H425" s="1"/>
      <c r="I425" s="1"/>
      <c r="J425" s="1"/>
      <c r="K425" s="1"/>
      <c r="L425" s="1"/>
      <c r="M425" s="1"/>
      <c r="N425" s="1"/>
      <c r="O425" s="1"/>
      <c r="P425" s="1"/>
      <c r="Q425" s="349"/>
      <c r="R425" s="349"/>
      <c r="S425" s="349"/>
      <c r="T425" s="349"/>
      <c r="U425" s="349"/>
      <c r="V425" s="349"/>
      <c r="W425" s="349"/>
      <c r="X425" s="349"/>
      <c r="Y425" s="349"/>
      <c r="Z425" s="349"/>
      <c r="AA425" s="349"/>
      <c r="AB425" s="349"/>
      <c r="AC425" s="349"/>
      <c r="AD425" s="349"/>
      <c r="AE425" s="349"/>
    </row>
    <row r="426" spans="1:31" hidden="1" x14ac:dyDescent="0.25">
      <c r="A426" s="349" t="s">
        <v>346</v>
      </c>
      <c r="B426" s="1"/>
      <c r="C426" s="1"/>
      <c r="D426" s="1"/>
      <c r="E426" s="22" t="s">
        <v>217</v>
      </c>
      <c r="F426" s="1"/>
      <c r="G426" s="141" t="str">
        <f>EUconst_TJpa</f>
        <v>TJ / år</v>
      </c>
      <c r="H426" s="22">
        <f t="shared" ref="H426:N426" si="90">IF(H423&lt;H419,H419-H423-IF(H424&gt;H420,H424-H420,0),0)</f>
        <v>0</v>
      </c>
      <c r="I426" s="22">
        <f t="shared" si="90"/>
        <v>0</v>
      </c>
      <c r="J426" s="22">
        <f t="shared" si="90"/>
        <v>0</v>
      </c>
      <c r="K426" s="22">
        <f t="shared" si="90"/>
        <v>0</v>
      </c>
      <c r="L426" s="22">
        <f t="shared" si="90"/>
        <v>0</v>
      </c>
      <c r="M426" s="22">
        <f t="shared" si="90"/>
        <v>0</v>
      </c>
      <c r="N426" s="22">
        <f t="shared" si="90"/>
        <v>0</v>
      </c>
      <c r="O426" s="1"/>
      <c r="P426" s="1"/>
      <c r="Q426" s="349"/>
      <c r="R426" s="349"/>
      <c r="S426" s="349"/>
      <c r="T426" s="349"/>
      <c r="U426" s="349"/>
      <c r="V426" s="349"/>
      <c r="W426" s="349"/>
      <c r="X426" s="349"/>
      <c r="Y426" s="349"/>
      <c r="Z426" s="349"/>
      <c r="AA426" s="349"/>
      <c r="AB426" s="349"/>
      <c r="AC426" s="349"/>
      <c r="AD426" s="349"/>
      <c r="AE426" s="349"/>
    </row>
    <row r="427" spans="1:31" hidden="1" x14ac:dyDescent="0.25">
      <c r="A427" s="349" t="s">
        <v>346</v>
      </c>
      <c r="B427" s="1"/>
      <c r="C427" s="1"/>
      <c r="D427" s="1"/>
      <c r="E427" s="1" t="s">
        <v>216</v>
      </c>
      <c r="F427" s="1"/>
      <c r="G427" s="141" t="str">
        <f>EUconst_TJpa</f>
        <v>TJ / år</v>
      </c>
      <c r="H427" s="22">
        <f t="shared" ref="H427:N427" si="91">IF(H424&lt;H420,H420-H424-IF(H423&gt;H419,H423-H419,0),0)</f>
        <v>0</v>
      </c>
      <c r="I427" s="22">
        <f t="shared" si="91"/>
        <v>0</v>
      </c>
      <c r="J427" s="22">
        <f t="shared" si="91"/>
        <v>0</v>
      </c>
      <c r="K427" s="22">
        <f t="shared" si="91"/>
        <v>0</v>
      </c>
      <c r="L427" s="22">
        <f t="shared" si="91"/>
        <v>0</v>
      </c>
      <c r="M427" s="22">
        <f t="shared" si="91"/>
        <v>0</v>
      </c>
      <c r="N427" s="22">
        <f t="shared" si="91"/>
        <v>0</v>
      </c>
      <c r="O427" s="1"/>
      <c r="P427" s="1"/>
      <c r="Q427" s="349"/>
      <c r="R427" s="349"/>
      <c r="S427" s="349"/>
      <c r="T427" s="349"/>
      <c r="U427" s="349"/>
      <c r="V427" s="349"/>
      <c r="W427" s="349"/>
      <c r="X427" s="349"/>
      <c r="Y427" s="349"/>
      <c r="Z427" s="349"/>
      <c r="AA427" s="349"/>
      <c r="AB427" s="349"/>
      <c r="AC427" s="349"/>
      <c r="AD427" s="349"/>
      <c r="AE427" s="349"/>
    </row>
    <row r="428" spans="1:31" hidden="1" x14ac:dyDescent="0.25">
      <c r="A428" s="349" t="s">
        <v>346</v>
      </c>
      <c r="B428" s="1"/>
      <c r="C428" s="1"/>
      <c r="D428" s="1"/>
      <c r="E428" s="1"/>
      <c r="F428" s="1"/>
      <c r="G428" s="1"/>
      <c r="H428" s="1"/>
      <c r="I428" s="1"/>
      <c r="J428" s="1"/>
      <c r="K428" s="1"/>
      <c r="L428" s="1"/>
      <c r="M428" s="1"/>
      <c r="N428" s="1"/>
      <c r="O428" s="1"/>
      <c r="P428" s="1"/>
      <c r="Q428" s="349"/>
      <c r="R428" s="349"/>
      <c r="S428" s="349"/>
      <c r="T428" s="349"/>
      <c r="U428" s="349"/>
      <c r="V428" s="349"/>
      <c r="W428" s="349"/>
      <c r="X428" s="349"/>
      <c r="Y428" s="349"/>
      <c r="Z428" s="349"/>
      <c r="AA428" s="349"/>
      <c r="AB428" s="349"/>
      <c r="AC428" s="349"/>
      <c r="AD428" s="349"/>
      <c r="AE428" s="349"/>
    </row>
    <row r="429" spans="1:31" hidden="1" x14ac:dyDescent="0.25">
      <c r="A429" s="349" t="s">
        <v>346</v>
      </c>
      <c r="B429" s="1"/>
      <c r="C429" s="1"/>
      <c r="D429" s="1" t="s">
        <v>303</v>
      </c>
      <c r="E429" s="1" t="s">
        <v>223</v>
      </c>
      <c r="F429" s="1"/>
      <c r="G429" s="1"/>
      <c r="H429" s="1"/>
      <c r="I429" s="1"/>
      <c r="J429" s="1"/>
      <c r="K429" s="1"/>
      <c r="L429" s="1"/>
      <c r="M429" s="1"/>
      <c r="N429" s="1"/>
      <c r="O429" s="1"/>
      <c r="P429" s="1"/>
      <c r="Q429" s="349"/>
      <c r="R429" s="349"/>
      <c r="S429" s="349"/>
      <c r="T429" s="349"/>
      <c r="U429" s="349"/>
      <c r="V429" s="349"/>
      <c r="W429" s="349"/>
      <c r="X429" s="349"/>
      <c r="Y429" s="349"/>
      <c r="Z429" s="349"/>
      <c r="AA429" s="349"/>
      <c r="AB429" s="349"/>
      <c r="AC429" s="349"/>
      <c r="AD429" s="349"/>
      <c r="AE429" s="349"/>
    </row>
    <row r="430" spans="1:31" hidden="1" x14ac:dyDescent="0.25">
      <c r="A430" s="349" t="s">
        <v>346</v>
      </c>
      <c r="B430" s="1"/>
      <c r="C430" s="1"/>
      <c r="D430" s="1"/>
      <c r="E430" s="22" t="s">
        <v>217</v>
      </c>
      <c r="F430" s="1"/>
      <c r="G430" s="141" t="str">
        <f>EUconst_TJpa</f>
        <v>TJ / år</v>
      </c>
      <c r="H430" s="22">
        <f t="shared" ref="H430:N430" si="92">IF(ISNUMBER(H182),H182,0)</f>
        <v>0</v>
      </c>
      <c r="I430" s="22">
        <f t="shared" si="92"/>
        <v>0</v>
      </c>
      <c r="J430" s="22">
        <f t="shared" si="92"/>
        <v>0</v>
      </c>
      <c r="K430" s="22">
        <f t="shared" si="92"/>
        <v>0</v>
      </c>
      <c r="L430" s="22">
        <f t="shared" si="92"/>
        <v>0</v>
      </c>
      <c r="M430" s="22">
        <f t="shared" si="92"/>
        <v>0</v>
      </c>
      <c r="N430" s="22">
        <f t="shared" si="92"/>
        <v>0</v>
      </c>
      <c r="O430" s="1"/>
      <c r="P430" s="1"/>
      <c r="Q430" s="349"/>
      <c r="R430" s="349"/>
      <c r="S430" s="349"/>
      <c r="T430" s="349"/>
      <c r="U430" s="349"/>
      <c r="V430" s="349"/>
      <c r="W430" s="349"/>
      <c r="X430" s="349"/>
      <c r="Y430" s="349"/>
      <c r="Z430" s="349"/>
      <c r="AA430" s="349"/>
      <c r="AB430" s="349"/>
      <c r="AC430" s="349"/>
      <c r="AD430" s="349"/>
      <c r="AE430" s="349"/>
    </row>
    <row r="431" spans="1:31" hidden="1" x14ac:dyDescent="0.25">
      <c r="A431" s="349" t="s">
        <v>346</v>
      </c>
      <c r="B431" s="1"/>
      <c r="C431" s="1"/>
      <c r="D431" s="1"/>
      <c r="E431" s="1" t="s">
        <v>216</v>
      </c>
      <c r="F431" s="1"/>
      <c r="G431" s="141" t="str">
        <f>EUconst_TJpa</f>
        <v>TJ / år</v>
      </c>
      <c r="H431" s="22"/>
      <c r="I431" s="22"/>
      <c r="J431" s="22"/>
      <c r="K431" s="22"/>
      <c r="L431" s="22"/>
      <c r="M431" s="22"/>
      <c r="N431" s="22"/>
      <c r="O431" s="1"/>
      <c r="P431" s="1"/>
      <c r="Q431" s="349"/>
      <c r="R431" s="349"/>
      <c r="S431" s="349"/>
      <c r="T431" s="349"/>
      <c r="U431" s="349"/>
      <c r="V431" s="349"/>
      <c r="W431" s="349"/>
      <c r="X431" s="349"/>
      <c r="Y431" s="349"/>
      <c r="Z431" s="349"/>
      <c r="AA431" s="349"/>
      <c r="AB431" s="349"/>
      <c r="AC431" s="349"/>
      <c r="AD431" s="349"/>
      <c r="AE431" s="349"/>
    </row>
    <row r="432" spans="1:31" ht="13" hidden="1" thickBot="1" x14ac:dyDescent="0.3">
      <c r="A432" s="349" t="s">
        <v>346</v>
      </c>
      <c r="B432" s="1"/>
      <c r="C432" s="1"/>
      <c r="D432" s="1"/>
      <c r="E432" s="1" t="s">
        <v>222</v>
      </c>
      <c r="F432" s="1"/>
      <c r="G432" s="1"/>
      <c r="H432" s="1"/>
      <c r="I432" s="1"/>
      <c r="J432" s="1"/>
      <c r="K432" s="1"/>
      <c r="L432" s="1"/>
      <c r="M432" s="1"/>
      <c r="N432" s="1"/>
      <c r="O432" s="1"/>
      <c r="P432" s="1"/>
      <c r="Q432" s="349"/>
      <c r="R432" s="349"/>
      <c r="S432" s="349"/>
      <c r="T432" s="349"/>
      <c r="U432" s="349"/>
      <c r="V432" s="349"/>
      <c r="W432" s="349"/>
      <c r="X432" s="349"/>
      <c r="Y432" s="349"/>
      <c r="Z432" s="349"/>
      <c r="AA432" s="349"/>
      <c r="AB432" s="349"/>
      <c r="AC432" s="349"/>
      <c r="AD432" s="349"/>
      <c r="AE432" s="349"/>
    </row>
    <row r="433" spans="1:31" hidden="1" x14ac:dyDescent="0.25">
      <c r="A433" s="349" t="s">
        <v>346</v>
      </c>
      <c r="B433" s="1"/>
      <c r="C433" s="1"/>
      <c r="D433" s="1"/>
      <c r="E433" s="219" t="s">
        <v>217</v>
      </c>
      <c r="F433" s="220"/>
      <c r="G433" s="221" t="str">
        <f>EUconst_TJpa</f>
        <v>TJ / år</v>
      </c>
      <c r="H433" s="159">
        <f t="shared" ref="H433:N433" si="93">IF(H430&lt;H426,H426-H430-IF(H431&gt;H427,H431-H427,0),0)</f>
        <v>0</v>
      </c>
      <c r="I433" s="159">
        <f t="shared" si="93"/>
        <v>0</v>
      </c>
      <c r="J433" s="159">
        <f t="shared" si="93"/>
        <v>0</v>
      </c>
      <c r="K433" s="159">
        <f t="shared" si="93"/>
        <v>0</v>
      </c>
      <c r="L433" s="159">
        <f t="shared" si="93"/>
        <v>0</v>
      </c>
      <c r="M433" s="159">
        <f t="shared" si="93"/>
        <v>0</v>
      </c>
      <c r="N433" s="160">
        <f t="shared" si="93"/>
        <v>0</v>
      </c>
      <c r="O433" s="1"/>
      <c r="P433" s="1"/>
      <c r="Q433" s="349"/>
      <c r="R433" s="349"/>
      <c r="S433" s="349"/>
      <c r="T433" s="349"/>
      <c r="U433" s="349"/>
      <c r="V433" s="349"/>
      <c r="W433" s="349"/>
      <c r="X433" s="349"/>
      <c r="Y433" s="349"/>
      <c r="Z433" s="349"/>
      <c r="AA433" s="349"/>
      <c r="AB433" s="349"/>
      <c r="AC433" s="349"/>
      <c r="AD433" s="349"/>
      <c r="AE433" s="349"/>
    </row>
    <row r="434" spans="1:31" ht="13" hidden="1" thickBot="1" x14ac:dyDescent="0.3">
      <c r="A434" s="349" t="s">
        <v>346</v>
      </c>
      <c r="B434" s="1"/>
      <c r="C434" s="1"/>
      <c r="D434" s="1"/>
      <c r="E434" s="222" t="s">
        <v>216</v>
      </c>
      <c r="F434" s="223"/>
      <c r="G434" s="224" t="str">
        <f>EUconst_TJpa</f>
        <v>TJ / år</v>
      </c>
      <c r="H434" s="225">
        <f t="shared" ref="H434:N434" si="94">IF(H431&lt;H427,H427-H431-IF(H430&gt;H426,H430-H426,0),0)</f>
        <v>0</v>
      </c>
      <c r="I434" s="225">
        <f t="shared" si="94"/>
        <v>0</v>
      </c>
      <c r="J434" s="225">
        <f t="shared" si="94"/>
        <v>0</v>
      </c>
      <c r="K434" s="225">
        <f t="shared" si="94"/>
        <v>0</v>
      </c>
      <c r="L434" s="225">
        <f t="shared" si="94"/>
        <v>0</v>
      </c>
      <c r="M434" s="225">
        <f t="shared" si="94"/>
        <v>0</v>
      </c>
      <c r="N434" s="226">
        <f t="shared" si="94"/>
        <v>0</v>
      </c>
      <c r="O434" s="1"/>
      <c r="P434" s="1"/>
      <c r="Q434" s="349"/>
      <c r="R434" s="349"/>
      <c r="S434" s="349"/>
      <c r="T434" s="349"/>
      <c r="U434" s="349"/>
      <c r="V434" s="349"/>
      <c r="W434" s="349"/>
      <c r="X434" s="349"/>
      <c r="Y434" s="349"/>
      <c r="Z434" s="349"/>
      <c r="AA434" s="349"/>
      <c r="AB434" s="349"/>
      <c r="AC434" s="349"/>
      <c r="AD434" s="349"/>
      <c r="AE434" s="349"/>
    </row>
    <row r="435" spans="1:31" hidden="1" x14ac:dyDescent="0.25">
      <c r="A435" s="349" t="s">
        <v>346</v>
      </c>
      <c r="B435" s="1"/>
      <c r="C435" s="1"/>
      <c r="D435" s="1"/>
      <c r="E435" s="1"/>
      <c r="F435" s="1"/>
      <c r="G435" s="1"/>
      <c r="H435" s="1"/>
      <c r="I435" s="1"/>
      <c r="J435" s="1"/>
      <c r="K435" s="1"/>
      <c r="L435" s="1"/>
      <c r="M435" s="1"/>
      <c r="N435" s="1"/>
      <c r="O435" s="1"/>
      <c r="P435" s="1"/>
      <c r="Q435" s="349"/>
      <c r="R435" s="349"/>
      <c r="S435" s="349"/>
      <c r="T435" s="349"/>
      <c r="U435" s="349"/>
      <c r="V435" s="349"/>
      <c r="W435" s="349"/>
      <c r="X435" s="349"/>
      <c r="Y435" s="349"/>
      <c r="Z435" s="349"/>
      <c r="AA435" s="349"/>
      <c r="AB435" s="349"/>
      <c r="AC435" s="349"/>
      <c r="AD435" s="349"/>
      <c r="AE435" s="349"/>
    </row>
    <row r="436" spans="1:31" hidden="1" x14ac:dyDescent="0.25">
      <c r="A436" s="349" t="s">
        <v>346</v>
      </c>
      <c r="B436" s="1"/>
      <c r="C436" s="1"/>
      <c r="D436" s="1"/>
      <c r="E436" s="1"/>
      <c r="F436" s="1"/>
      <c r="G436" s="1"/>
      <c r="H436" s="1"/>
      <c r="I436" s="1"/>
      <c r="J436" s="1"/>
      <c r="K436" s="1"/>
      <c r="L436" s="1"/>
      <c r="M436" s="1"/>
      <c r="N436" s="1"/>
      <c r="O436" s="1"/>
      <c r="P436" s="1"/>
      <c r="Q436" s="349"/>
      <c r="R436" s="349"/>
      <c r="S436" s="349"/>
      <c r="T436" s="349"/>
      <c r="U436" s="349"/>
      <c r="V436" s="349"/>
      <c r="W436" s="349"/>
      <c r="X436" s="349"/>
      <c r="Y436" s="349"/>
      <c r="Z436" s="349"/>
      <c r="AA436" s="349"/>
      <c r="AB436" s="349"/>
      <c r="AC436" s="349"/>
      <c r="AD436" s="349"/>
      <c r="AE436" s="349"/>
    </row>
  </sheetData>
  <sheetProtection sheet="1" objects="1" scenarios="1" formatCells="0" formatColumns="0" formatRows="0"/>
  <mergeCells count="312">
    <mergeCell ref="E197:F197"/>
    <mergeCell ref="E201:F201"/>
    <mergeCell ref="E206:F206"/>
    <mergeCell ref="E207:F207"/>
    <mergeCell ref="E203:N203"/>
    <mergeCell ref="E204:N204"/>
    <mergeCell ref="E199:N199"/>
    <mergeCell ref="E200:N200"/>
    <mergeCell ref="E205:N205"/>
    <mergeCell ref="E2:F2"/>
    <mergeCell ref="E16:F16"/>
    <mergeCell ref="F27:N27"/>
    <mergeCell ref="E57:F57"/>
    <mergeCell ref="E196:N196"/>
    <mergeCell ref="E42:N42"/>
    <mergeCell ref="E180:F180"/>
    <mergeCell ref="E181:F181"/>
    <mergeCell ref="E182:F182"/>
    <mergeCell ref="E44:F44"/>
    <mergeCell ref="E194:F194"/>
    <mergeCell ref="E184:N184"/>
    <mergeCell ref="E186:N186"/>
    <mergeCell ref="E191:N191"/>
    <mergeCell ref="E192:N192"/>
    <mergeCell ref="E193:F193"/>
    <mergeCell ref="E189:F189"/>
    <mergeCell ref="E170:F170"/>
    <mergeCell ref="E176:F176"/>
    <mergeCell ref="E177:F177"/>
    <mergeCell ref="E178:F178"/>
    <mergeCell ref="E179:F179"/>
    <mergeCell ref="E169:N169"/>
    <mergeCell ref="E172:N172"/>
    <mergeCell ref="E284:N284"/>
    <mergeCell ref="E285:N285"/>
    <mergeCell ref="E267:F267"/>
    <mergeCell ref="E268:F268"/>
    <mergeCell ref="E269:F269"/>
    <mergeCell ref="E270:F270"/>
    <mergeCell ref="E271:F271"/>
    <mergeCell ref="E228:F228"/>
    <mergeCell ref="E239:F239"/>
    <mergeCell ref="E240:F240"/>
    <mergeCell ref="E259:N259"/>
    <mergeCell ref="E255:M255"/>
    <mergeCell ref="E236:N236"/>
    <mergeCell ref="E237:N237"/>
    <mergeCell ref="E377:F377"/>
    <mergeCell ref="E380:F380"/>
    <mergeCell ref="E346:F346"/>
    <mergeCell ref="E347:F347"/>
    <mergeCell ref="E351:F351"/>
    <mergeCell ref="E352:F352"/>
    <mergeCell ref="E381:F381"/>
    <mergeCell ref="E367:N367"/>
    <mergeCell ref="E370:N370"/>
    <mergeCell ref="E373:N373"/>
    <mergeCell ref="E376:N376"/>
    <mergeCell ref="E379:N379"/>
    <mergeCell ref="E368:F368"/>
    <mergeCell ref="E371:F371"/>
    <mergeCell ref="E374:F374"/>
    <mergeCell ref="E364:F364"/>
    <mergeCell ref="E365:F365"/>
    <mergeCell ref="E362:N362"/>
    <mergeCell ref="E359:N359"/>
    <mergeCell ref="E358:L358"/>
    <mergeCell ref="E340:F340"/>
    <mergeCell ref="E341:F341"/>
    <mergeCell ref="E342:F342"/>
    <mergeCell ref="E343:F343"/>
    <mergeCell ref="E344:F344"/>
    <mergeCell ref="E345:F345"/>
    <mergeCell ref="E330:F330"/>
    <mergeCell ref="E335:F335"/>
    <mergeCell ref="E336:F336"/>
    <mergeCell ref="E337:F337"/>
    <mergeCell ref="E338:F338"/>
    <mergeCell ref="E339:F339"/>
    <mergeCell ref="E332:N332"/>
    <mergeCell ref="E333:N333"/>
    <mergeCell ref="E334:N334"/>
    <mergeCell ref="E323:F323"/>
    <mergeCell ref="E324:F324"/>
    <mergeCell ref="E325:F325"/>
    <mergeCell ref="E326:F326"/>
    <mergeCell ref="E327:F327"/>
    <mergeCell ref="E329:N329"/>
    <mergeCell ref="E314:F314"/>
    <mergeCell ref="E315:F315"/>
    <mergeCell ref="E316:F316"/>
    <mergeCell ref="E317:F317"/>
    <mergeCell ref="E321:F321"/>
    <mergeCell ref="E322:F322"/>
    <mergeCell ref="E319:N319"/>
    <mergeCell ref="E320:N320"/>
    <mergeCell ref="E308:F308"/>
    <mergeCell ref="E309:F309"/>
    <mergeCell ref="E310:F310"/>
    <mergeCell ref="E311:F311"/>
    <mergeCell ref="E312:F312"/>
    <mergeCell ref="E313:F313"/>
    <mergeCell ref="E297:F297"/>
    <mergeCell ref="E298:F298"/>
    <mergeCell ref="E302:F302"/>
    <mergeCell ref="E306:F306"/>
    <mergeCell ref="E307:F307"/>
    <mergeCell ref="E304:N304"/>
    <mergeCell ref="E305:N305"/>
    <mergeCell ref="E301:N301"/>
    <mergeCell ref="E288:F288"/>
    <mergeCell ref="E289:F289"/>
    <mergeCell ref="E290:F290"/>
    <mergeCell ref="E295:F295"/>
    <mergeCell ref="E296:F296"/>
    <mergeCell ref="E293:N293"/>
    <mergeCell ref="E294:N294"/>
    <mergeCell ref="E287:F287"/>
    <mergeCell ref="E241:F241"/>
    <mergeCell ref="E242:F242"/>
    <mergeCell ref="E244:F244"/>
    <mergeCell ref="E245:F245"/>
    <mergeCell ref="E246:F246"/>
    <mergeCell ref="E261:F261"/>
    <mergeCell ref="E260:F260"/>
    <mergeCell ref="E256:N256"/>
    <mergeCell ref="E254:L254"/>
    <mergeCell ref="E286:N286"/>
    <mergeCell ref="E273:N273"/>
    <mergeCell ref="E275:N275"/>
    <mergeCell ref="E274:N274"/>
    <mergeCell ref="E276:F276"/>
    <mergeCell ref="E277:F277"/>
    <mergeCell ref="E281:N281"/>
    <mergeCell ref="E225:N225"/>
    <mergeCell ref="E226:N226"/>
    <mergeCell ref="E235:N235"/>
    <mergeCell ref="E208:F208"/>
    <mergeCell ref="E209:F209"/>
    <mergeCell ref="E210:F210"/>
    <mergeCell ref="E211:F211"/>
    <mergeCell ref="E212:F212"/>
    <mergeCell ref="E218:F218"/>
    <mergeCell ref="E214:N214"/>
    <mergeCell ref="E215:N215"/>
    <mergeCell ref="E216:N216"/>
    <mergeCell ref="E224:N224"/>
    <mergeCell ref="E219:F219"/>
    <mergeCell ref="E221:F221"/>
    <mergeCell ref="E222:F222"/>
    <mergeCell ref="E173:N173"/>
    <mergeCell ref="E174:N174"/>
    <mergeCell ref="E175:N175"/>
    <mergeCell ref="E157:F157"/>
    <mergeCell ref="E160:F160"/>
    <mergeCell ref="E167:F167"/>
    <mergeCell ref="E163:N163"/>
    <mergeCell ref="E164:N164"/>
    <mergeCell ref="E166:N166"/>
    <mergeCell ref="E151:F151"/>
    <mergeCell ref="E152:F152"/>
    <mergeCell ref="E153:F153"/>
    <mergeCell ref="E154:F154"/>
    <mergeCell ref="E155:F155"/>
    <mergeCell ref="E156:F156"/>
    <mergeCell ref="E125:N125"/>
    <mergeCell ref="E116:N116"/>
    <mergeCell ref="E148:F148"/>
    <mergeCell ref="E149:F149"/>
    <mergeCell ref="E150:F150"/>
    <mergeCell ref="E139:F139"/>
    <mergeCell ref="E131:N131"/>
    <mergeCell ref="E132:N132"/>
    <mergeCell ref="E121:N121"/>
    <mergeCell ref="E124:N124"/>
    <mergeCell ref="E133:N133"/>
    <mergeCell ref="E140:F140"/>
    <mergeCell ref="E141:F141"/>
    <mergeCell ref="E130:N130"/>
    <mergeCell ref="E128:F128"/>
    <mergeCell ref="E126:N126"/>
    <mergeCell ref="E119:F119"/>
    <mergeCell ref="E122:F122"/>
    <mergeCell ref="E92:N92"/>
    <mergeCell ref="D75:N75"/>
    <mergeCell ref="E78:N78"/>
    <mergeCell ref="E81:N81"/>
    <mergeCell ref="E109:N109"/>
    <mergeCell ref="E100:F100"/>
    <mergeCell ref="E88:N88"/>
    <mergeCell ref="E94:F94"/>
    <mergeCell ref="E98:N98"/>
    <mergeCell ref="E113:F113"/>
    <mergeCell ref="E91:N91"/>
    <mergeCell ref="E97:N97"/>
    <mergeCell ref="E99:F99"/>
    <mergeCell ref="E117:N117"/>
    <mergeCell ref="E40:F40"/>
    <mergeCell ref="E45:F45"/>
    <mergeCell ref="E47:F47"/>
    <mergeCell ref="D61:N61"/>
    <mergeCell ref="E105:N105"/>
    <mergeCell ref="E106:N106"/>
    <mergeCell ref="E110:F110"/>
    <mergeCell ref="E49:F49"/>
    <mergeCell ref="E54:N54"/>
    <mergeCell ref="E56:F56"/>
    <mergeCell ref="D74:N74"/>
    <mergeCell ref="E69:L69"/>
    <mergeCell ref="E46:F46"/>
    <mergeCell ref="E59:F59"/>
    <mergeCell ref="E48:F48"/>
    <mergeCell ref="E65:L65"/>
    <mergeCell ref="D72:N72"/>
    <mergeCell ref="E107:N107"/>
    <mergeCell ref="E108:N108"/>
    <mergeCell ref="E20:N20"/>
    <mergeCell ref="E84:N84"/>
    <mergeCell ref="E96:N96"/>
    <mergeCell ref="E58:F58"/>
    <mergeCell ref="F26:N26"/>
    <mergeCell ref="E30:N30"/>
    <mergeCell ref="E66:N66"/>
    <mergeCell ref="E53:N53"/>
    <mergeCell ref="E50:F50"/>
    <mergeCell ref="E29:N29"/>
    <mergeCell ref="D63:N63"/>
    <mergeCell ref="E70:M70"/>
    <mergeCell ref="E31:N31"/>
    <mergeCell ref="E67:N67"/>
    <mergeCell ref="E23:N23"/>
    <mergeCell ref="E90:N90"/>
    <mergeCell ref="E52:N52"/>
    <mergeCell ref="E32:N32"/>
    <mergeCell ref="E34:F34"/>
    <mergeCell ref="E35:F35"/>
    <mergeCell ref="E36:F36"/>
    <mergeCell ref="E37:F37"/>
    <mergeCell ref="E38:F38"/>
    <mergeCell ref="E39:F39"/>
    <mergeCell ref="I2:J2"/>
    <mergeCell ref="E4:F4"/>
    <mergeCell ref="G4:H4"/>
    <mergeCell ref="I4:J4"/>
    <mergeCell ref="F28:N28"/>
    <mergeCell ref="M3:N3"/>
    <mergeCell ref="E3:F3"/>
    <mergeCell ref="E18:H18"/>
    <mergeCell ref="F24:N24"/>
    <mergeCell ref="F25:N25"/>
    <mergeCell ref="G2:H2"/>
    <mergeCell ref="D6:N6"/>
    <mergeCell ref="K4:L4"/>
    <mergeCell ref="D10:N10"/>
    <mergeCell ref="M2:N2"/>
    <mergeCell ref="K2:L2"/>
    <mergeCell ref="B2:D4"/>
    <mergeCell ref="G3:H3"/>
    <mergeCell ref="I3:J3"/>
    <mergeCell ref="K3:L3"/>
    <mergeCell ref="E13:N13"/>
    <mergeCell ref="D8:N8"/>
    <mergeCell ref="M4:N4"/>
    <mergeCell ref="I18:J18"/>
    <mergeCell ref="E19:N19"/>
    <mergeCell ref="E22:N22"/>
    <mergeCell ref="D384:N384"/>
    <mergeCell ref="E262:F262"/>
    <mergeCell ref="E263:F263"/>
    <mergeCell ref="E264:F264"/>
    <mergeCell ref="E265:F265"/>
    <mergeCell ref="E278:F278"/>
    <mergeCell ref="E279:F279"/>
    <mergeCell ref="E282:F282"/>
    <mergeCell ref="E266:F266"/>
    <mergeCell ref="D356:N356"/>
    <mergeCell ref="E361:N361"/>
    <mergeCell ref="E77:N77"/>
    <mergeCell ref="E83:N83"/>
    <mergeCell ref="E232:N232"/>
    <mergeCell ref="E230:H230"/>
    <mergeCell ref="E82:N82"/>
    <mergeCell ref="D79:N79"/>
    <mergeCell ref="E80:N80"/>
    <mergeCell ref="E231:N231"/>
    <mergeCell ref="E349:N349"/>
    <mergeCell ref="E111:F111"/>
    <mergeCell ref="E112:F112"/>
    <mergeCell ref="P2:P4"/>
    <mergeCell ref="D252:N252"/>
    <mergeCell ref="E234:N234"/>
    <mergeCell ref="D354:N354"/>
    <mergeCell ref="D76:N76"/>
    <mergeCell ref="I230:J230"/>
    <mergeCell ref="E85:N85"/>
    <mergeCell ref="E86:N86"/>
    <mergeCell ref="E159:N159"/>
    <mergeCell ref="E162:N162"/>
    <mergeCell ref="E350:N350"/>
    <mergeCell ref="E137:N137"/>
    <mergeCell ref="E143:N143"/>
    <mergeCell ref="E144:N144"/>
    <mergeCell ref="E145:N145"/>
    <mergeCell ref="D251:N251"/>
    <mergeCell ref="D250:N250"/>
    <mergeCell ref="D248:N248"/>
    <mergeCell ref="E147:F147"/>
    <mergeCell ref="E258:N258"/>
    <mergeCell ref="E135:N135"/>
    <mergeCell ref="E136:N136"/>
    <mergeCell ref="E101:F101"/>
    <mergeCell ref="E102:F102"/>
  </mergeCells>
  <phoneticPr fontId="34" type="noConversion"/>
  <conditionalFormatting sqref="E29 E54">
    <cfRule type="expression" dxfId="749" priority="548" stopIfTrue="1">
      <formula>INDEX($AB:$AB,MATCH(MAX(INDIRECT(ADDRESS(1,3)&amp;":"&amp;ADDRESS(ROW(F29),3))),$C:$C,0))</formula>
    </cfRule>
  </conditionalFormatting>
  <conditionalFormatting sqref="G3:H3">
    <cfRule type="expression" dxfId="748" priority="6" stopIfTrue="1">
      <formula>COUNTIF($AE:$AE,1)&gt;0</formula>
    </cfRule>
  </conditionalFormatting>
  <conditionalFormatting sqref="G4:H4">
    <cfRule type="expression" dxfId="747" priority="2" stopIfTrue="1">
      <formula>COUNTIF($AE:$AE,5)&gt;0</formula>
    </cfRule>
  </conditionalFormatting>
  <conditionalFormatting sqref="G288:N290 G296:N298 H330:N330 H346:N346 H37:N38 H94:N94 G100:N102 G111:N113 H119:N119 H139:N139 H141:N141 H147:N156 G177:N181 H201:N201 G207:N211 H240:N242 E100:E102 E111:E113 E177:E181 E207:E211 E288:E290 E296:E298">
    <cfRule type="expression" dxfId="746" priority="21" stopIfTrue="1">
      <formula>$T37</formula>
    </cfRule>
  </conditionalFormatting>
  <conditionalFormatting sqref="H35:N35">
    <cfRule type="expression" dxfId="745" priority="18" stopIfTrue="1">
      <formula>$T35</formula>
    </cfRule>
  </conditionalFormatting>
  <conditionalFormatting sqref="H35:N39 H57:N59 H94:N94 H100:N102 H111:N113 H119:N119 H139:N139 H141:N141 H147:N156 H177:N181 H201:N201 H207:N211 H240:N242">
    <cfRule type="expression" dxfId="744" priority="1" stopIfTrue="1">
      <formula>V$16</formula>
    </cfRule>
  </conditionalFormatting>
  <conditionalFormatting sqref="H57:N59">
    <cfRule type="expression" dxfId="743" priority="10" stopIfTrue="1">
      <formula>MSconst_RequireFuelEF</formula>
    </cfRule>
  </conditionalFormatting>
  <conditionalFormatting sqref="H140:N140">
    <cfRule type="expression" dxfId="742" priority="60" stopIfTrue="1">
      <formula>ISNUMBER(H141)</formula>
    </cfRule>
  </conditionalFormatting>
  <conditionalFormatting sqref="H288:N290 H296:N298 H330:N330 H346:N346 H364:N365 H368:N368 H371:N371 H377:N377">
    <cfRule type="expression" dxfId="741" priority="9" stopIfTrue="1">
      <formula>V$16</formula>
    </cfRule>
  </conditionalFormatting>
  <conditionalFormatting sqref="H364:N365 H368:N368 H371:N371 H377:N377">
    <cfRule type="expression" dxfId="740" priority="51" stopIfTrue="1">
      <formula>$T364</formula>
    </cfRule>
  </conditionalFormatting>
  <conditionalFormatting sqref="I230">
    <cfRule type="expression" dxfId="739" priority="19" stopIfTrue="1">
      <formula>$T230</formula>
    </cfRule>
  </conditionalFormatting>
  <conditionalFormatting sqref="I3:J3">
    <cfRule type="expression" dxfId="738" priority="5" stopIfTrue="1">
      <formula>COUNTIF($AE:$AE,2)&gt;0</formula>
    </cfRule>
  </conditionalFormatting>
  <conditionalFormatting sqref="K3:L3">
    <cfRule type="expression" dxfId="737" priority="4" stopIfTrue="1">
      <formula>COUNTIF($AE:$AE,3)&gt;0</formula>
    </cfRule>
  </conditionalFormatting>
  <conditionalFormatting sqref="M69">
    <cfRule type="expression" dxfId="736" priority="370" stopIfTrue="1">
      <formula>$M$65</formula>
    </cfRule>
  </conditionalFormatting>
  <conditionalFormatting sqref="M3:N3">
    <cfRule type="expression" dxfId="735" priority="3" stopIfTrue="1">
      <formula>COUNTIF($AE:$AE,4)&gt;0</formula>
    </cfRule>
  </conditionalFormatting>
  <dataValidations count="4">
    <dataValidation type="list" allowBlank="1" showInputMessage="1" showErrorMessage="1" sqref="I230:J230 I18:J18" xr:uid="{CC53911D-BEFF-4378-AE60-8E5B43A863B0}">
      <formula1>EUconst_AbsRel</formula1>
    </dataValidation>
    <dataValidation type="list" allowBlank="1" showInputMessage="1" showErrorMessage="1" sqref="G177:G181 G100:G102 G288:G290 G207:G211 E100:E102 E177:E181 E207:E211 E288:E290 E296:E298 G296:G298" xr:uid="{6F188714-4E30-4652-91F4-7020BD8B81C9}">
      <formula1>CNTR_ConnectionEntityList</formula1>
    </dataValidation>
    <dataValidation type="list" allowBlank="1" showInputMessage="1" showErrorMessage="1" sqref="E111:E113 G111:G113" xr:uid="{24F3F4F9-A138-40E0-9412-356C24601C51}">
      <formula1>CNTR_ConnectionListAndWithinInst</formula1>
    </dataValidation>
    <dataValidation type="list" allowBlank="1" showInputMessage="1" showErrorMessage="1" sqref="M358 M254 M69" xr:uid="{B0451B27-E9C3-41D1-AFBA-BFB55D0FD57D}">
      <formula1>Euconst_TrueFalse</formula1>
    </dataValidation>
  </dataValidations>
  <hyperlinks>
    <hyperlink ref="G2:H2" location="JUMP_TOC_Home" display="Table of contents" xr:uid="{AD7FBCB9-C034-4A17-946D-AD12DE62E660}"/>
    <hyperlink ref="M2:N2" location="JUMP_K_I" display="Summary" xr:uid="{7B9DC8A4-52C1-41B0-9CDA-70D516DE6E54}"/>
    <hyperlink ref="I2:J2" location="JUMP_D_Top" display="Previous sheet" xr:uid="{4505C914-6C78-4231-B8D9-BDF5F9A69258}"/>
    <hyperlink ref="E3:F3" location="JUMP_E_Top" display="Top of sheet" xr:uid="{EAB7D37D-0C51-43F9-9120-C6A9655E5B28}"/>
    <hyperlink ref="D384:N384" location="JUMP_F_Top" display="&lt;&lt;&lt; Click here to proceed to next sheet &gt;&gt;&gt; " xr:uid="{97DDE416-9A74-4558-B364-70696FC31DF0}"/>
    <hyperlink ref="E4:F4" location="JUMP_E_Bottom" display="End of sheet" xr:uid="{C67CB597-6B20-48A7-9879-305D174E7F8E}"/>
    <hyperlink ref="K2:L2" location="JUMP_F_Top" display="Next sheet" xr:uid="{040AAF4C-191C-4B7A-8D22-BF9D50527CB6}"/>
    <hyperlink ref="G3:H3" location="JUMP_E_I" display="Attribution of Fuels" xr:uid="{3DD8DD38-F58A-41A5-AD09-50331FEFC02D}"/>
    <hyperlink ref="I3:J3" location="JUMP_E_II" display="Measurable heat (general)" xr:uid="{67BA3DA4-F06F-4298-9B67-5EA1817F889B}"/>
    <hyperlink ref="M3:N3" location="JUMP_E_III" display="Waste gases" xr:uid="{232F24A7-3D52-4EFC-AF12-B09C1CD51C06}"/>
    <hyperlink ref="K3:L3" location="JUMP_E_HeatFinal" display="JUMP_E_HeatFinal" xr:uid="{AC892E13-4091-4662-8DFE-F952048B14CB}"/>
    <hyperlink ref="G4:H4" location="JUMP_E_IV" display="JUMP_E_IV" xr:uid="{576A2596-9547-4493-8365-F51FD76B88AA}"/>
    <hyperlink ref="E29:M29" location="JUMP_D_III" display="For attributing emissions from cogeneration (CHP) to production of heat and electricity, the &quot;CHP tool&quot; in section D.III. has to be used." xr:uid="{536B9B0F-FBC7-44BF-B7EC-AD612E7A6CF0}"/>
    <hyperlink ref="E54:M54" location="JUMP_D_III" display="For attributing emissions from cogeneration (CHP) to production of heat and electricity, the &quot;CHP tool&quot; in section D.III. has to be used." xr:uid="{D6AF04EB-3D43-4E8A-9FAB-F18AC384D6CC}"/>
  </hyperlinks>
  <pageMargins left="0.78740157480314965" right="0.78740157480314965" top="0.78740157480314965" bottom="0.78740157480314965" header="0.51181102362204722" footer="0.51181102362204722"/>
  <pageSetup paperSize="9" scale="48" fitToHeight="10" orientation="portrait" r:id="rId1"/>
  <headerFooter alignWithMargins="0">
    <oddHeader>&amp;L&amp;F; &amp;A&amp;R&amp;D; &amp;T</oddHeader>
    <oddFooter>&amp;C&amp;P / &amp;N</oddFooter>
  </headerFooter>
  <rowBreaks count="5" manualBreakCount="5">
    <brk id="60" min="1" max="15" man="1"/>
    <brk id="122" min="1" max="15" man="1"/>
    <brk id="182" min="1" max="15" man="1"/>
    <brk id="247" min="1" max="15" man="1"/>
    <brk id="353" min="1" max="15"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2D3160-BB10-4828-BA85-CE5C8E7DC4F1}">
  <sheetPr codeName="Tabelle8">
    <tabColor indexed="48"/>
    <pageSetUpPr fitToPage="1"/>
  </sheetPr>
  <dimension ref="A1:AL3071"/>
  <sheetViews>
    <sheetView zoomScaleNormal="100" workbookViewId="0">
      <pane ySplit="5" topLeftCell="A6" activePane="bottomLeft" state="frozen"/>
      <selection pane="bottomLeft" activeCell="B2" sqref="B2:D4"/>
    </sheetView>
  </sheetViews>
  <sheetFormatPr defaultColWidth="11.453125" defaultRowHeight="12.5" x14ac:dyDescent="0.25"/>
  <cols>
    <col min="1" max="1" width="5" style="533" hidden="1" customWidth="1"/>
    <col min="2" max="2" width="2.7265625" style="533" customWidth="1"/>
    <col min="3" max="4" width="4.7265625" style="533" customWidth="1"/>
    <col min="5" max="5" width="30.7265625" style="533" customWidth="1"/>
    <col min="6" max="14" width="12.7265625" style="533" customWidth="1"/>
    <col min="15" max="15" width="4.7265625" style="533" customWidth="1"/>
    <col min="16" max="16" width="25.7265625" style="533" customWidth="1"/>
    <col min="17" max="17" width="12.7265625" style="533" hidden="1" customWidth="1"/>
    <col min="18" max="38" width="11.453125" style="533" hidden="1" customWidth="1"/>
    <col min="39" max="16384" width="11.453125" style="533"/>
  </cols>
  <sheetData>
    <row r="1" spans="1:38" ht="13" hidden="1" thickBot="1" x14ac:dyDescent="0.3">
      <c r="A1" s="2" t="s">
        <v>346</v>
      </c>
      <c r="B1" s="2"/>
      <c r="C1" s="2"/>
      <c r="D1" s="2"/>
      <c r="E1" s="2"/>
      <c r="F1" s="2"/>
      <c r="G1" s="2"/>
      <c r="H1" s="2"/>
      <c r="I1" s="2"/>
      <c r="J1" s="2"/>
      <c r="K1" s="2"/>
      <c r="L1" s="2"/>
      <c r="M1" s="2"/>
      <c r="N1" s="2"/>
      <c r="O1" s="2"/>
      <c r="P1" s="2"/>
      <c r="Q1" s="2" t="s">
        <v>346</v>
      </c>
      <c r="R1" s="2" t="s">
        <v>346</v>
      </c>
      <c r="S1" s="2" t="s">
        <v>346</v>
      </c>
      <c r="T1" s="2" t="s">
        <v>346</v>
      </c>
      <c r="U1" s="2" t="s">
        <v>346</v>
      </c>
      <c r="V1" s="2" t="s">
        <v>346</v>
      </c>
      <c r="W1" s="2" t="s">
        <v>346</v>
      </c>
      <c r="X1" s="2" t="s">
        <v>346</v>
      </c>
      <c r="Y1" s="2" t="s">
        <v>346</v>
      </c>
      <c r="Z1" s="2" t="s">
        <v>346</v>
      </c>
      <c r="AA1" s="2" t="s">
        <v>346</v>
      </c>
      <c r="AB1" s="2" t="s">
        <v>346</v>
      </c>
      <c r="AC1" s="2" t="s">
        <v>346</v>
      </c>
      <c r="AD1" s="2" t="s">
        <v>346</v>
      </c>
      <c r="AE1" s="2" t="s">
        <v>346</v>
      </c>
      <c r="AF1" s="2" t="s">
        <v>346</v>
      </c>
      <c r="AG1" s="2" t="s">
        <v>346</v>
      </c>
      <c r="AH1" s="2" t="s">
        <v>346</v>
      </c>
      <c r="AI1" s="2" t="s">
        <v>346</v>
      </c>
      <c r="AJ1" s="2" t="s">
        <v>346</v>
      </c>
      <c r="AK1" s="2" t="s">
        <v>346</v>
      </c>
      <c r="AL1" s="2" t="s">
        <v>346</v>
      </c>
    </row>
    <row r="2" spans="1:38" ht="13.5" thickBot="1" x14ac:dyDescent="0.35">
      <c r="A2" s="2"/>
      <c r="B2" s="2667" t="str">
        <f>Translations!$B$510</f>
        <v>F.</v>
      </c>
      <c r="C2" s="2668"/>
      <c r="D2" s="2669"/>
      <c r="E2" s="2330" t="str">
        <f>Translations!$B$2</f>
        <v>Navigeringsfält:</v>
      </c>
      <c r="F2" s="2331"/>
      <c r="G2" s="2329" t="str">
        <f>Translations!$B$16</f>
        <v>Innehållsförteckning</v>
      </c>
      <c r="H2" s="1936"/>
      <c r="I2" s="1936" t="str">
        <f>Translations!$B$17</f>
        <v>Föregående blad</v>
      </c>
      <c r="J2" s="1936"/>
      <c r="K2" s="1936" t="str">
        <f>Translations!$B$3</f>
        <v>Nästa blad</v>
      </c>
      <c r="L2" s="1936"/>
      <c r="M2" s="1936" t="str">
        <f>Translations!$B$4</f>
        <v>Sammanfattning</v>
      </c>
      <c r="N2" s="1936"/>
      <c r="O2" s="15"/>
      <c r="P2" s="2280" t="str">
        <f>Translations!$B$1465</f>
        <v>VALFRITT:  
Kolumn för kommentarer 
(t.ex. eventuella ändringar)</v>
      </c>
      <c r="Q2" s="343"/>
      <c r="R2" s="765" t="s">
        <v>1244</v>
      </c>
      <c r="S2" s="1724" t="str">
        <f>ADDRESS(ROW($B$6),COLUMN($B$6)) &amp; ":" &amp; ADDRESS(MATCH("PRINT",$Q:$Q,0),COLUMN($P$6))</f>
        <v>$B$6:$P$313</v>
      </c>
      <c r="T2" s="343"/>
      <c r="U2" s="343"/>
      <c r="V2" s="343"/>
      <c r="W2" s="343"/>
      <c r="X2" s="343"/>
      <c r="Y2" s="343"/>
      <c r="Z2" s="766"/>
      <c r="AA2" s="766"/>
      <c r="AB2" s="766"/>
      <c r="AC2" s="766"/>
      <c r="AD2" s="766"/>
      <c r="AE2" s="766"/>
      <c r="AF2" s="766"/>
      <c r="AG2" s="766"/>
      <c r="AH2" s="766"/>
      <c r="AI2" s="766"/>
      <c r="AJ2" s="766"/>
      <c r="AK2" s="766"/>
      <c r="AL2" s="343"/>
    </row>
    <row r="3" spans="1:38" ht="13.5" thickBot="1" x14ac:dyDescent="0.3">
      <c r="A3" s="2"/>
      <c r="B3" s="1937"/>
      <c r="C3" s="1938"/>
      <c r="D3" s="2670"/>
      <c r="E3" s="1936" t="str">
        <f>Translations!$B$5</f>
        <v>Högst upp</v>
      </c>
      <c r="F3" s="2324"/>
      <c r="G3" s="2666" t="str">
        <f>HYPERLINK("#JUMP_F"&amp;Q3,IF(INDEX(CNTR_SubInstListIsProdBM,Q3),"BM "&amp;Q3&amp;": "&amp;INDEX(CNTR_SubInstListNames,Q3),IF(CNTR_ExistSubInstEntries,"",EUconst_BM&amp;" "&amp;Q3)))</f>
        <v>Riktmärke 1</v>
      </c>
      <c r="H3" s="2664"/>
      <c r="I3" s="2664" t="str">
        <f>HYPERLINK("#JUMP_F"&amp;S3,IF(INDEX(CNTR_SubInstListIsProdBM,S3),"BM "&amp;S3&amp;": "&amp;INDEX(CNTR_SubInstListNames,S3),IF(CNTR_ExistSubInstEntries,"",EUconst_BM&amp;" "&amp;S3)))</f>
        <v>Riktmärke 2</v>
      </c>
      <c r="J3" s="2664"/>
      <c r="K3" s="2664" t="str">
        <f>HYPERLINK("#JUMP_F"&amp;U3,IF(INDEX(CNTR_SubInstListIsProdBM,U3),"BM "&amp;U3&amp;": "&amp;INDEX(CNTR_SubInstListNames,U3),IF(CNTR_ExistSubInstEntries,"",EUconst_BM&amp;" "&amp;U3)))</f>
        <v>Riktmärke 3</v>
      </c>
      <c r="L3" s="2664"/>
      <c r="M3" s="2664" t="str">
        <f>HYPERLINK("#JUMP_F"&amp;W3,IF(INDEX(CNTR_SubInstListIsProdBM,W3),"BM "&amp;W3&amp;": "&amp;INDEX(CNTR_SubInstListNames,W3),IF(CNTR_ExistSubInstEntries,"",EUconst_BM&amp;" "&amp;W3)))</f>
        <v>Riktmärke 4</v>
      </c>
      <c r="N3" s="2664"/>
      <c r="O3" s="15"/>
      <c r="P3" s="2281"/>
      <c r="Q3" s="2674">
        <v>1</v>
      </c>
      <c r="R3" s="2675"/>
      <c r="S3" s="2663">
        <v>2</v>
      </c>
      <c r="T3" s="2663"/>
      <c r="U3" s="2663">
        <v>3</v>
      </c>
      <c r="V3" s="2663"/>
      <c r="W3" s="2663">
        <v>4</v>
      </c>
      <c r="X3" s="2663"/>
      <c r="Y3" s="343"/>
      <c r="Z3" s="343"/>
      <c r="AA3" s="343"/>
      <c r="AB3" s="343"/>
      <c r="AC3" s="343"/>
      <c r="AD3" s="343"/>
      <c r="AE3" s="343"/>
      <c r="AF3" s="343"/>
      <c r="AG3" s="343"/>
      <c r="AH3" s="343"/>
      <c r="AI3" s="343"/>
      <c r="AJ3" s="343"/>
      <c r="AK3" s="343"/>
      <c r="AL3" s="343"/>
    </row>
    <row r="4" spans="1:38" ht="13.5" thickBot="1" x14ac:dyDescent="0.3">
      <c r="A4" s="2"/>
      <c r="B4" s="2671"/>
      <c r="C4" s="2672"/>
      <c r="D4" s="2673"/>
      <c r="E4" s="1936" t="str">
        <f>Translations!$B$6</f>
        <v>Längst ner</v>
      </c>
      <c r="F4" s="1936"/>
      <c r="G4" s="2665" t="str">
        <f>HYPERLINK("#JUMP_F"&amp;Q4,IF(INDEX(CNTR_SubInstListIsProdBM,Q4),"BM "&amp;Q4&amp;": "&amp;INDEX(CNTR_SubInstListNames,Q4),IF(CNTR_ExistSubInstEntries,"",EUconst_BM&amp;" "&amp;Q4)))</f>
        <v>Riktmärke 5</v>
      </c>
      <c r="H4" s="2659"/>
      <c r="I4" s="2659" t="str">
        <f>HYPERLINK("#JUMP_F"&amp;S4,IF(INDEX(CNTR_SubInstListIsProdBM,S4),"BM "&amp;S4&amp;": "&amp;INDEX(CNTR_SubInstListNames,S4),IF(CNTR_ExistSubInstEntries,"",EUconst_BM&amp;" "&amp;S4)))</f>
        <v>Riktmärke 6</v>
      </c>
      <c r="J4" s="2659"/>
      <c r="K4" s="2659" t="str">
        <f>HYPERLINK("#JUMP_F"&amp;U4,IF(INDEX(CNTR_SubInstListIsProdBM,U4),"BM "&amp;U4&amp;": "&amp;INDEX(CNTR_SubInstListNames,U4),IF(CNTR_ExistSubInstEntries,"",EUconst_BM&amp;" "&amp;U4)))</f>
        <v>Riktmärke 7</v>
      </c>
      <c r="L4" s="2659"/>
      <c r="M4" s="2662" t="str">
        <f>HYPERLINK("#JUMP_F"&amp;W4,IF(INDEX(CNTR_SubInstListIsProdBM,W4),"BM "&amp;W4&amp;": "&amp;INDEX(CNTR_SubInstListNames,W4),IF(CNTR_ExistSubInstEntries,"",EUconst_BM&amp;" "&amp;W4)))</f>
        <v>Riktmärke 8</v>
      </c>
      <c r="N4" s="2659"/>
      <c r="O4" s="15"/>
      <c r="P4" s="2281"/>
      <c r="Q4" s="2661">
        <v>5</v>
      </c>
      <c r="R4" s="2554"/>
      <c r="S4" s="2554">
        <v>6</v>
      </c>
      <c r="T4" s="2554"/>
      <c r="U4" s="2554">
        <v>7</v>
      </c>
      <c r="V4" s="2554"/>
      <c r="W4" s="2554">
        <v>8</v>
      </c>
      <c r="X4" s="2554"/>
      <c r="Y4" s="343"/>
      <c r="Z4" s="343"/>
      <c r="AA4" s="343"/>
      <c r="AB4" s="343"/>
      <c r="AC4" s="343"/>
      <c r="AD4" s="343"/>
      <c r="AE4" s="343"/>
      <c r="AF4" s="343"/>
      <c r="AG4" s="343"/>
      <c r="AH4" s="343"/>
      <c r="AI4" s="343"/>
      <c r="AJ4" s="343"/>
      <c r="AK4" s="343"/>
      <c r="AL4" s="343"/>
    </row>
    <row r="5" spans="1:38" ht="13.5" thickBot="1" x14ac:dyDescent="0.3">
      <c r="A5" s="2"/>
      <c r="B5" s="1770"/>
      <c r="C5" s="1770"/>
      <c r="D5" s="1770"/>
      <c r="E5" s="1771"/>
      <c r="F5" s="1771"/>
      <c r="G5" s="2659" t="str">
        <f>HYPERLINK("#JUMP_F"&amp;Q5,IF(INDEX(CNTR_SubInstListIsProdBM,Q5),"BM "&amp;Q5&amp;": "&amp;INDEX(CNTR_SubInstListNames,Q5),IF(CNTR_ExistSubInstEntries,"",EUconst_BM&amp;" "&amp;Q5)))</f>
        <v>Riktmärke 9</v>
      </c>
      <c r="H5" s="2659"/>
      <c r="I5" s="2659" t="str">
        <f>HYPERLINK("#JUMP_F"&amp;S5,IF(INDEX(CNTR_SubInstListIsProdBM,S5),"BM "&amp;S5&amp;": "&amp;INDEX(CNTR_SubInstListNames,S5),IF(CNTR_ExistSubInstEntries,"",EUconst_BM&amp;" "&amp;S5)))</f>
        <v>Riktmärke 10</v>
      </c>
      <c r="J5" s="2659"/>
      <c r="K5" s="2658"/>
      <c r="L5" s="2658"/>
      <c r="M5" s="2658"/>
      <c r="N5" s="2658"/>
      <c r="O5" s="15"/>
      <c r="P5" s="2282"/>
      <c r="Q5" s="2661">
        <v>9</v>
      </c>
      <c r="R5" s="2554"/>
      <c r="S5" s="2676">
        <v>10</v>
      </c>
      <c r="T5" s="2660"/>
      <c r="U5" s="2676"/>
      <c r="V5" s="2660"/>
      <c r="W5" s="2660"/>
      <c r="X5" s="2660"/>
      <c r="Y5" s="343"/>
      <c r="Z5" s="343"/>
      <c r="AA5" s="343"/>
      <c r="AB5" s="343"/>
      <c r="AC5" s="343"/>
      <c r="AD5" s="343"/>
      <c r="AE5" s="343"/>
      <c r="AF5" s="343"/>
      <c r="AG5" s="343"/>
      <c r="AH5" s="343"/>
      <c r="AI5" s="343"/>
      <c r="AJ5" s="343"/>
      <c r="AK5" s="343"/>
      <c r="AL5" s="343"/>
    </row>
    <row r="6" spans="1:38" x14ac:dyDescent="0.25">
      <c r="A6" s="2"/>
      <c r="B6" s="178"/>
      <c r="C6" s="767"/>
      <c r="D6" s="178"/>
      <c r="E6" s="178"/>
      <c r="F6" s="307"/>
      <c r="G6" s="307"/>
      <c r="H6" s="307"/>
      <c r="I6" s="178"/>
      <c r="J6" s="178"/>
      <c r="K6" s="178"/>
      <c r="L6" s="178"/>
      <c r="M6" s="15"/>
      <c r="N6" s="15"/>
      <c r="O6" s="15"/>
      <c r="P6" s="15"/>
      <c r="Q6" s="343"/>
      <c r="R6" s="768"/>
      <c r="S6" s="343"/>
      <c r="T6" s="343"/>
      <c r="U6" s="343"/>
      <c r="V6" s="343"/>
      <c r="W6" s="343"/>
      <c r="X6" s="343"/>
      <c r="Y6" s="343"/>
      <c r="Z6" s="343"/>
      <c r="AA6" s="343"/>
      <c r="AB6" s="343"/>
      <c r="AC6" s="343"/>
      <c r="AD6" s="343"/>
      <c r="AE6" s="343"/>
      <c r="AF6" s="343"/>
      <c r="AG6" s="343"/>
      <c r="AH6" s="343"/>
      <c r="AI6" s="343"/>
      <c r="AJ6" s="343"/>
      <c r="AK6" s="343"/>
      <c r="AL6" s="343"/>
    </row>
    <row r="7" spans="1:38" ht="23.25" customHeight="1" x14ac:dyDescent="0.25">
      <c r="A7" s="2"/>
      <c r="B7" s="178"/>
      <c r="C7" s="8" t="s">
        <v>743</v>
      </c>
      <c r="D7" s="2004" t="str">
        <f>Translations!$B$511</f>
        <v>Bladet ”ProductBM” – DELANLÄGGNINGSSPECIFIKA UPPGIFTER OM PRODUKTRIKTMÄRKEN</v>
      </c>
      <c r="E7" s="1963"/>
      <c r="F7" s="1963"/>
      <c r="G7" s="1963"/>
      <c r="H7" s="1963"/>
      <c r="I7" s="1963"/>
      <c r="J7" s="1963"/>
      <c r="K7" s="1963"/>
      <c r="L7" s="1963"/>
      <c r="M7" s="1963"/>
      <c r="N7" s="1963"/>
      <c r="O7" s="15"/>
      <c r="P7" s="15"/>
      <c r="Q7" s="2"/>
      <c r="R7" s="2"/>
      <c r="S7" s="2"/>
      <c r="T7" s="2"/>
      <c r="U7" s="2"/>
      <c r="V7" s="2"/>
      <c r="W7" s="2"/>
      <c r="X7" s="2"/>
      <c r="Y7" s="2"/>
      <c r="Z7" s="2"/>
      <c r="AA7" s="2"/>
      <c r="AB7" s="2"/>
      <c r="AC7" s="2"/>
      <c r="AD7" s="2"/>
      <c r="AE7" s="2"/>
      <c r="AF7" s="2"/>
      <c r="AG7" s="2"/>
      <c r="AH7" s="2"/>
      <c r="AI7" s="2"/>
      <c r="AJ7" s="2"/>
      <c r="AK7" s="2"/>
      <c r="AL7" s="2"/>
    </row>
    <row r="8" spans="1:38" ht="5.15" customHeight="1" x14ac:dyDescent="0.25">
      <c r="A8" s="2"/>
      <c r="B8" s="178"/>
      <c r="C8" s="178"/>
      <c r="D8" s="178"/>
      <c r="E8" s="178"/>
      <c r="F8" s="178"/>
      <c r="G8" s="178"/>
      <c r="H8" s="178"/>
      <c r="I8" s="178"/>
      <c r="J8" s="178"/>
      <c r="K8" s="178"/>
      <c r="L8" s="178"/>
      <c r="M8" s="15"/>
      <c r="N8" s="15"/>
      <c r="O8" s="15"/>
      <c r="P8" s="15"/>
      <c r="Q8" s="766"/>
      <c r="R8" s="766"/>
      <c r="S8" s="766"/>
      <c r="T8" s="766"/>
      <c r="U8" s="766"/>
      <c r="V8" s="766"/>
      <c r="W8" s="766"/>
      <c r="X8" s="766"/>
      <c r="Y8" s="766"/>
      <c r="Z8" s="766"/>
      <c r="AA8" s="766"/>
      <c r="AB8" s="766"/>
      <c r="AC8" s="766"/>
      <c r="AD8" s="766"/>
      <c r="AE8" s="766"/>
      <c r="AF8" s="766"/>
      <c r="AG8" s="766"/>
      <c r="AH8" s="766"/>
      <c r="AI8" s="766"/>
      <c r="AJ8" s="766"/>
      <c r="AK8" s="766"/>
      <c r="AL8" s="766"/>
    </row>
    <row r="9" spans="1:38" ht="15" customHeight="1" x14ac:dyDescent="0.25">
      <c r="A9" s="2"/>
      <c r="B9" s="178"/>
      <c r="C9" s="178"/>
      <c r="D9" s="178"/>
      <c r="E9" s="2649" t="str">
        <f>Translations!$B$512</f>
        <v>Navigationspanelen ovan innehåller endast länkar till de relevanta delanläggningar som anges i avsnitt A.III.1.</v>
      </c>
      <c r="F9" s="2649"/>
      <c r="G9" s="2649"/>
      <c r="H9" s="2649"/>
      <c r="I9" s="2649"/>
      <c r="J9" s="2649"/>
      <c r="K9" s="2649"/>
      <c r="L9" s="2649"/>
      <c r="M9" s="2649"/>
      <c r="N9" s="15"/>
      <c r="O9" s="15"/>
      <c r="P9" s="15"/>
      <c r="Q9" s="9" t="s">
        <v>254</v>
      </c>
      <c r="R9" s="9" t="s">
        <v>254</v>
      </c>
      <c r="S9" s="9" t="s">
        <v>254</v>
      </c>
      <c r="T9" s="9" t="s">
        <v>254</v>
      </c>
      <c r="U9" s="9" t="s">
        <v>254</v>
      </c>
      <c r="V9" s="9" t="s">
        <v>254</v>
      </c>
      <c r="W9" s="9" t="s">
        <v>254</v>
      </c>
      <c r="X9" s="9" t="s">
        <v>254</v>
      </c>
      <c r="Y9" s="9" t="s">
        <v>254</v>
      </c>
      <c r="Z9" s="9" t="s">
        <v>254</v>
      </c>
      <c r="AA9" s="9" t="s">
        <v>254</v>
      </c>
      <c r="AB9" s="9" t="s">
        <v>254</v>
      </c>
      <c r="AC9" s="9" t="s">
        <v>254</v>
      </c>
      <c r="AD9" s="9" t="s">
        <v>254</v>
      </c>
      <c r="AE9" s="9" t="s">
        <v>254</v>
      </c>
      <c r="AF9" s="9" t="s">
        <v>254</v>
      </c>
      <c r="AG9" s="9" t="s">
        <v>254</v>
      </c>
      <c r="AH9" s="9" t="s">
        <v>254</v>
      </c>
      <c r="AI9" s="9" t="s">
        <v>254</v>
      </c>
      <c r="AJ9" s="9" t="s">
        <v>254</v>
      </c>
      <c r="AK9" s="9" t="s">
        <v>254</v>
      </c>
      <c r="AL9" s="9" t="s">
        <v>254</v>
      </c>
    </row>
    <row r="10" spans="1:38" ht="13" thickBot="1" x14ac:dyDescent="0.3">
      <c r="A10" s="2"/>
      <c r="B10" s="178"/>
      <c r="C10" s="178"/>
      <c r="D10" s="178"/>
      <c r="E10" s="178"/>
      <c r="F10" s="178"/>
      <c r="G10" s="178"/>
      <c r="H10" s="178"/>
      <c r="I10" s="178"/>
      <c r="J10" s="178"/>
      <c r="K10" s="178"/>
      <c r="L10" s="178"/>
      <c r="M10" s="15"/>
      <c r="N10" s="15"/>
      <c r="O10" s="15"/>
      <c r="P10" s="15"/>
      <c r="Q10" s="769" t="s">
        <v>785</v>
      </c>
      <c r="R10" s="769" t="s">
        <v>785</v>
      </c>
      <c r="S10" s="769" t="s">
        <v>785</v>
      </c>
      <c r="T10" s="769" t="s">
        <v>785</v>
      </c>
      <c r="U10" s="769" t="s">
        <v>785</v>
      </c>
      <c r="V10" s="769" t="s">
        <v>785</v>
      </c>
      <c r="W10" s="769" t="s">
        <v>785</v>
      </c>
      <c r="X10" s="769" t="s">
        <v>785</v>
      </c>
      <c r="Y10" s="769" t="s">
        <v>785</v>
      </c>
      <c r="Z10" s="769" t="s">
        <v>785</v>
      </c>
      <c r="AA10" s="769" t="s">
        <v>785</v>
      </c>
      <c r="AB10" s="769" t="s">
        <v>785</v>
      </c>
      <c r="AC10" s="769" t="s">
        <v>785</v>
      </c>
      <c r="AD10" s="769" t="s">
        <v>785</v>
      </c>
      <c r="AE10" s="769" t="s">
        <v>785</v>
      </c>
      <c r="AF10" s="769" t="s">
        <v>785</v>
      </c>
      <c r="AG10" s="769" t="s">
        <v>785</v>
      </c>
      <c r="AH10" s="769" t="s">
        <v>785</v>
      </c>
      <c r="AI10" s="769" t="s">
        <v>785</v>
      </c>
      <c r="AJ10" s="769" t="s">
        <v>785</v>
      </c>
      <c r="AK10" s="769" t="s">
        <v>785</v>
      </c>
      <c r="AL10" s="769" t="s">
        <v>785</v>
      </c>
    </row>
    <row r="11" spans="1:38" ht="16" thickBot="1" x14ac:dyDescent="0.3">
      <c r="A11" s="2"/>
      <c r="B11" s="178"/>
      <c r="C11" s="770" t="s">
        <v>1108</v>
      </c>
      <c r="D11" s="1975" t="str">
        <f>Translations!$B$513</f>
        <v>Historiska verksamhetsnivåer och disaggregerade produktionsuppgifter</v>
      </c>
      <c r="E11" s="1975"/>
      <c r="F11" s="1975"/>
      <c r="G11" s="1975"/>
      <c r="H11" s="1975"/>
      <c r="I11" s="1975"/>
      <c r="J11" s="1975"/>
      <c r="K11" s="1975"/>
      <c r="L11" s="1975"/>
      <c r="M11" s="1975"/>
      <c r="N11" s="1975"/>
      <c r="O11" s="15"/>
      <c r="P11" s="15"/>
      <c r="Q11" s="445" t="s">
        <v>819</v>
      </c>
      <c r="R11" s="308"/>
      <c r="S11" s="308"/>
      <c r="T11" s="308"/>
      <c r="U11" s="308"/>
      <c r="V11" s="308"/>
      <c r="W11" s="308"/>
      <c r="X11" s="308"/>
      <c r="Y11" s="308"/>
      <c r="Z11" s="308"/>
      <c r="AA11" s="308"/>
      <c r="AB11" s="308"/>
      <c r="AC11" s="308"/>
      <c r="AD11" s="308"/>
      <c r="AE11" s="308"/>
      <c r="AF11" s="308"/>
      <c r="AG11" s="308"/>
      <c r="AH11" s="308"/>
      <c r="AI11" s="308"/>
      <c r="AJ11" s="308"/>
      <c r="AK11" s="296" t="s">
        <v>1133</v>
      </c>
      <c r="AL11" s="295"/>
    </row>
    <row r="12" spans="1:38" ht="5.15" customHeight="1" thickBot="1" x14ac:dyDescent="0.3">
      <c r="A12" s="2"/>
      <c r="B12" s="178"/>
      <c r="C12" s="178"/>
      <c r="D12" s="178"/>
      <c r="E12" s="178"/>
      <c r="F12" s="178"/>
      <c r="G12" s="178"/>
      <c r="H12" s="178"/>
      <c r="I12" s="178"/>
      <c r="J12" s="178"/>
      <c r="K12" s="178"/>
      <c r="L12" s="178"/>
      <c r="M12" s="15"/>
      <c r="N12" s="15"/>
      <c r="O12" s="15"/>
      <c r="P12" s="15"/>
      <c r="Q12" s="343"/>
      <c r="R12" s="2"/>
      <c r="S12" s="343"/>
      <c r="T12" s="343"/>
      <c r="U12" s="2"/>
      <c r="V12" s="2"/>
      <c r="W12" s="2"/>
      <c r="X12" s="2"/>
      <c r="Y12" s="2"/>
      <c r="Z12" s="2"/>
      <c r="AA12" s="2"/>
      <c r="AB12" s="2"/>
      <c r="AC12" s="2"/>
      <c r="AD12" s="2"/>
      <c r="AE12" s="2"/>
      <c r="AF12" s="2"/>
      <c r="AG12" s="2"/>
      <c r="AH12" s="2"/>
      <c r="AI12" s="2"/>
      <c r="AJ12" s="2"/>
      <c r="AK12" s="2"/>
      <c r="AL12" s="2"/>
    </row>
    <row r="13" spans="1:38" ht="14.5" thickBot="1" x14ac:dyDescent="0.3">
      <c r="A13" s="2"/>
      <c r="B13" s="178"/>
      <c r="C13" s="771">
        <v>1</v>
      </c>
      <c r="D13" s="2053" t="str">
        <f>EUconst_BMSubinst &amp; ":"</f>
        <v>Delanläggning med produktriktmärke:</v>
      </c>
      <c r="E13" s="1963"/>
      <c r="F13" s="1963"/>
      <c r="G13" s="1963"/>
      <c r="H13" s="2060"/>
      <c r="I13" s="2090" t="str">
        <f>IF(INDEX(CNTR_SubInstListIsProdBM,$C13),INDEX(CNTR_SubInstListNames,$C13),"")</f>
        <v/>
      </c>
      <c r="J13" s="2120"/>
      <c r="K13" s="2120"/>
      <c r="L13" s="2120"/>
      <c r="M13" s="2120"/>
      <c r="N13" s="2154"/>
      <c r="O13" s="15"/>
      <c r="P13" s="15"/>
      <c r="Q13" s="294">
        <f>C13</f>
        <v>1</v>
      </c>
      <c r="R13" s="2"/>
      <c r="S13" s="553" t="s">
        <v>608</v>
      </c>
      <c r="T13" s="979" t="str">
        <f>IF(I13="","",MAX(INDEX(CNTR_SubInstStartDate,MATCH($I13,CNTR_SubInstListNames,0)),DATE(2005,1,1)))</f>
        <v/>
      </c>
      <c r="U13" s="343" t="s">
        <v>1873</v>
      </c>
      <c r="V13" s="663">
        <f>IF(ISNUMBER(T13),YEAR($T13-IF(YEAR(T13)&gt;=2022,0,1))+1,2005)</f>
        <v>2005</v>
      </c>
      <c r="W13" s="553" t="s">
        <v>1876</v>
      </c>
      <c r="X13" s="979" t="str">
        <f>IF(I13="","",INDEX(CNTR_SubInstCessationDate,MATCH($I13,CNTR_SubInstListNames,0)))</f>
        <v/>
      </c>
      <c r="Y13" s="553" t="s">
        <v>1877</v>
      </c>
      <c r="Z13" s="663">
        <f>IF(SUM(X13)=0,2050,YEAR($X13))</f>
        <v>2050</v>
      </c>
      <c r="AA13" s="553" t="s">
        <v>2201</v>
      </c>
      <c r="AB13" s="663" t="b">
        <f>CNTR_ReportingYear&gt;V13</f>
        <v>1</v>
      </c>
      <c r="AC13" s="2"/>
      <c r="AD13" s="2"/>
      <c r="AE13" s="2"/>
      <c r="AF13" s="2"/>
      <c r="AG13" s="2"/>
      <c r="AH13" s="2"/>
      <c r="AI13" s="2"/>
      <c r="AJ13" s="2"/>
      <c r="AK13" s="2"/>
      <c r="AL13" s="555" t="b">
        <f>AND(CNTR_ExistSubInstEntries,I13="")</f>
        <v>0</v>
      </c>
    </row>
    <row r="14" spans="1:38" x14ac:dyDescent="0.25">
      <c r="A14" s="2"/>
      <c r="B14" s="178"/>
      <c r="C14" s="178"/>
      <c r="D14" s="15"/>
      <c r="E14" s="2061" t="str">
        <f>Translations!$B$360</f>
        <v>Namnet på delanläggningen med produktriktmärke visas automatiskt i inmatningsfälten i blad ”A_InstallationData”.</v>
      </c>
      <c r="F14" s="1963"/>
      <c r="G14" s="1963"/>
      <c r="H14" s="1963"/>
      <c r="I14" s="1963"/>
      <c r="J14" s="1963"/>
      <c r="K14" s="1963"/>
      <c r="L14" s="1963"/>
      <c r="M14" s="1963"/>
      <c r="N14" s="1963"/>
      <c r="O14" s="15"/>
      <c r="P14" s="15"/>
      <c r="Q14" s="343"/>
      <c r="R14" s="2"/>
      <c r="S14" s="343"/>
      <c r="T14" s="343"/>
      <c r="U14" s="2"/>
      <c r="V14" s="2"/>
      <c r="W14" s="2"/>
      <c r="X14" s="2"/>
      <c r="Y14" s="2"/>
      <c r="Z14" s="2"/>
      <c r="AA14" s="2"/>
      <c r="AB14" s="2"/>
      <c r="AC14" s="2"/>
      <c r="AD14" s="2"/>
      <c r="AE14" s="2"/>
      <c r="AF14" s="2"/>
      <c r="AG14" s="2"/>
      <c r="AH14" s="2"/>
      <c r="AI14" s="2"/>
      <c r="AJ14" s="2"/>
      <c r="AK14" s="2"/>
      <c r="AL14" s="2"/>
    </row>
    <row r="15" spans="1:38" ht="5.15" customHeight="1" x14ac:dyDescent="0.25">
      <c r="A15" s="2"/>
      <c r="B15" s="178"/>
      <c r="C15" s="178"/>
      <c r="D15" s="178"/>
      <c r="E15" s="178"/>
      <c r="F15" s="178"/>
      <c r="G15" s="178"/>
      <c r="H15" s="178"/>
      <c r="I15" s="178"/>
      <c r="J15" s="178"/>
      <c r="K15" s="178"/>
      <c r="L15" s="178"/>
      <c r="M15" s="15"/>
      <c r="N15" s="15"/>
      <c r="O15" s="15"/>
      <c r="P15" s="15"/>
      <c r="Q15" s="343"/>
      <c r="R15" s="2"/>
      <c r="S15" s="343"/>
      <c r="T15" s="343"/>
      <c r="U15" s="2"/>
      <c r="V15" s="2"/>
      <c r="W15" s="2"/>
      <c r="X15" s="2"/>
      <c r="Y15" s="2"/>
      <c r="Z15" s="2"/>
      <c r="AA15" s="2"/>
      <c r="AB15" s="2"/>
      <c r="AC15" s="2"/>
      <c r="AD15" s="2"/>
      <c r="AE15" s="2"/>
      <c r="AF15" s="2"/>
      <c r="AG15" s="2"/>
      <c r="AH15" s="2"/>
      <c r="AI15" s="2"/>
      <c r="AJ15" s="2"/>
      <c r="AK15" s="2"/>
      <c r="AL15" s="2"/>
    </row>
    <row r="16" spans="1:38" ht="13" x14ac:dyDescent="0.25">
      <c r="A16" s="2"/>
      <c r="B16" s="178"/>
      <c r="C16" s="178"/>
      <c r="D16" s="13" t="s">
        <v>442</v>
      </c>
      <c r="E16" s="1943" t="str">
        <f>Translations!$B$1466</f>
        <v>Verksamhetsnivåer</v>
      </c>
      <c r="F16" s="1963"/>
      <c r="G16" s="1963"/>
      <c r="H16" s="1963"/>
      <c r="I16" s="1963"/>
      <c r="J16" s="1963"/>
      <c r="K16" s="1963"/>
      <c r="L16" s="1963"/>
      <c r="M16" s="1963"/>
      <c r="N16" s="1963"/>
      <c r="O16" s="15"/>
      <c r="P16" s="15"/>
      <c r="Q16" s="343"/>
      <c r="R16" s="2"/>
      <c r="S16" s="2"/>
      <c r="T16" s="2"/>
      <c r="U16" s="2"/>
      <c r="V16" s="2"/>
      <c r="W16" s="2"/>
      <c r="X16" s="2"/>
      <c r="Y16" s="2"/>
      <c r="Z16" s="2"/>
      <c r="AA16" s="2"/>
      <c r="AB16" s="2"/>
      <c r="AC16" s="2"/>
      <c r="AD16" s="2"/>
      <c r="AE16" s="2"/>
      <c r="AF16" s="2"/>
      <c r="AG16" s="2"/>
      <c r="AH16" s="2"/>
      <c r="AI16" s="2"/>
      <c r="AJ16" s="2"/>
      <c r="AK16" s="2"/>
      <c r="AL16" s="2"/>
    </row>
    <row r="17" spans="1:38" x14ac:dyDescent="0.25">
      <c r="A17" s="2"/>
      <c r="B17" s="178"/>
      <c r="C17" s="178"/>
      <c r="D17" s="15"/>
      <c r="E17" s="2061" t="str">
        <f>Translations!$B$514</f>
        <v>I denna punkt ska de ”huvudsakliga verksamhetsnivåerna” anges, dvs. de uppgifter som är direkt tillämpliga för att beräkna tilldelningen.</v>
      </c>
      <c r="F17" s="1963"/>
      <c r="G17" s="1963"/>
      <c r="H17" s="1963"/>
      <c r="I17" s="1963"/>
      <c r="J17" s="1963"/>
      <c r="K17" s="1963"/>
      <c r="L17" s="1963"/>
      <c r="M17" s="1963"/>
      <c r="N17" s="1963"/>
      <c r="O17" s="15"/>
      <c r="P17" s="15"/>
      <c r="Q17" s="343"/>
      <c r="R17" s="2"/>
      <c r="S17" s="343"/>
      <c r="T17" s="343"/>
      <c r="U17" s="343"/>
      <c r="V17" s="2"/>
      <c r="W17" s="2"/>
      <c r="X17" s="2"/>
      <c r="Y17" s="2"/>
      <c r="Z17" s="2"/>
      <c r="AA17" s="2"/>
      <c r="AB17" s="2"/>
      <c r="AC17" s="2"/>
      <c r="AD17" s="2"/>
      <c r="AE17" s="2"/>
      <c r="AF17" s="2"/>
      <c r="AG17" s="2"/>
      <c r="AH17" s="2"/>
      <c r="AI17" s="2"/>
      <c r="AJ17" s="2"/>
      <c r="AK17" s="2"/>
      <c r="AL17" s="2"/>
    </row>
    <row r="18" spans="1:38" x14ac:dyDescent="0.25">
      <c r="A18" s="2"/>
      <c r="B18" s="178"/>
      <c r="C18" s="178"/>
      <c r="D18" s="15"/>
      <c r="E18" s="2061" t="str">
        <f>Translations!$B$515</f>
        <v xml:space="preserve">Detta är i regel produktionsuppgifter för produkten, t.ex. grå cementklinker i ton eller glasflaskor i ton, i enlighet med bilaga I till FAR. </v>
      </c>
      <c r="F18" s="1963"/>
      <c r="G18" s="1963"/>
      <c r="H18" s="1963"/>
      <c r="I18" s="1963"/>
      <c r="J18" s="1963"/>
      <c r="K18" s="1963"/>
      <c r="L18" s="1963"/>
      <c r="M18" s="1963"/>
      <c r="N18" s="1963"/>
      <c r="O18" s="15"/>
      <c r="P18" s="15"/>
      <c r="Q18" s="343"/>
      <c r="R18" s="2"/>
      <c r="S18" s="343"/>
      <c r="T18" s="343"/>
      <c r="U18" s="343"/>
      <c r="V18" s="2"/>
      <c r="W18" s="2"/>
      <c r="X18" s="2"/>
      <c r="Y18" s="2"/>
      <c r="Z18" s="2"/>
      <c r="AA18" s="2"/>
      <c r="AB18" s="2"/>
      <c r="AC18" s="2"/>
      <c r="AD18" s="2"/>
      <c r="AE18" s="2"/>
      <c r="AF18" s="2"/>
      <c r="AG18" s="2"/>
      <c r="AH18" s="2"/>
      <c r="AI18" s="2"/>
      <c r="AJ18" s="2"/>
      <c r="AK18" s="2"/>
      <c r="AL18" s="2"/>
    </row>
    <row r="19" spans="1:38" x14ac:dyDescent="0.25">
      <c r="A19" s="2"/>
      <c r="B19" s="178"/>
      <c r="C19" s="178"/>
      <c r="D19" s="15"/>
      <c r="E19" s="2061" t="str">
        <f>Translations!$B$516</f>
        <v>Om ett meddelande visas i punkt iv måste dock lämpligt beräkningsverktyg användas, och resultaten kopieras automatiskt in i tabellen i punkt ii.</v>
      </c>
      <c r="F19" s="1963"/>
      <c r="G19" s="1963"/>
      <c r="H19" s="1963"/>
      <c r="I19" s="1963"/>
      <c r="J19" s="1963"/>
      <c r="K19" s="1963"/>
      <c r="L19" s="1963"/>
      <c r="M19" s="1963"/>
      <c r="N19" s="1963"/>
      <c r="O19" s="15"/>
      <c r="P19" s="15"/>
      <c r="Q19" s="343"/>
      <c r="R19" s="2"/>
      <c r="S19" s="343"/>
      <c r="T19" s="2"/>
      <c r="U19" s="2"/>
      <c r="V19" s="2"/>
      <c r="W19" s="2"/>
      <c r="X19" s="2"/>
      <c r="Y19" s="2"/>
      <c r="Z19" s="343"/>
      <c r="AA19" s="2"/>
      <c r="AB19" s="2"/>
      <c r="AC19" s="2"/>
      <c r="AD19" s="2"/>
      <c r="AE19" s="2"/>
      <c r="AF19" s="2"/>
      <c r="AG19" s="2"/>
      <c r="AH19" s="2"/>
      <c r="AI19" s="2"/>
      <c r="AJ19" s="2"/>
      <c r="AK19" s="2"/>
      <c r="AL19" s="2"/>
    </row>
    <row r="20" spans="1:38" ht="13.5" customHeight="1" thickBot="1" x14ac:dyDescent="0.3">
      <c r="A20" s="2"/>
      <c r="B20" s="19"/>
      <c r="C20" s="19"/>
      <c r="D20" s="13"/>
      <c r="E20" s="2062" t="str">
        <f>Translations!$B$517</f>
        <v>Årliga verksamhetsnivåer:</v>
      </c>
      <c r="F20" s="2062"/>
      <c r="G20" s="30" t="str">
        <f>EUconst_Unit</f>
        <v>Enhet</v>
      </c>
      <c r="H20" s="320">
        <f t="shared" ref="H20:N20" si="0">H$3042</f>
        <v>2019</v>
      </c>
      <c r="I20" s="342">
        <f t="shared" si="0"/>
        <v>2020</v>
      </c>
      <c r="J20" s="987">
        <f t="shared" si="0"/>
        <v>2021</v>
      </c>
      <c r="K20" s="320">
        <f t="shared" si="0"/>
        <v>2022</v>
      </c>
      <c r="L20" s="320">
        <f t="shared" si="0"/>
        <v>2023</v>
      </c>
      <c r="M20" s="320">
        <f t="shared" si="0"/>
        <v>2024</v>
      </c>
      <c r="N20" s="350">
        <f t="shared" si="0"/>
        <v>2025</v>
      </c>
      <c r="O20" s="15"/>
      <c r="P20" s="15"/>
      <c r="Q20" s="343"/>
      <c r="R20" s="2"/>
      <c r="S20" s="2"/>
      <c r="T20" s="1044">
        <f t="shared" ref="T20:Z20" si="1">H20</f>
        <v>2019</v>
      </c>
      <c r="U20" s="1044">
        <f t="shared" si="1"/>
        <v>2020</v>
      </c>
      <c r="V20" s="1044">
        <f t="shared" si="1"/>
        <v>2021</v>
      </c>
      <c r="W20" s="1044">
        <f t="shared" si="1"/>
        <v>2022</v>
      </c>
      <c r="X20" s="1044">
        <f t="shared" si="1"/>
        <v>2023</v>
      </c>
      <c r="Y20" s="1044">
        <f t="shared" si="1"/>
        <v>2024</v>
      </c>
      <c r="Z20" s="1044">
        <f t="shared" si="1"/>
        <v>2025</v>
      </c>
      <c r="AA20" s="2"/>
      <c r="AB20" s="2"/>
      <c r="AC20" s="1044">
        <f>H$20</f>
        <v>2019</v>
      </c>
      <c r="AD20" s="1044">
        <f t="shared" ref="AD20:AI20" si="2">I$20</f>
        <v>2020</v>
      </c>
      <c r="AE20" s="1044">
        <f t="shared" si="2"/>
        <v>2021</v>
      </c>
      <c r="AF20" s="1044">
        <f t="shared" si="2"/>
        <v>2022</v>
      </c>
      <c r="AG20" s="1044">
        <f t="shared" si="2"/>
        <v>2023</v>
      </c>
      <c r="AH20" s="1044">
        <f t="shared" si="2"/>
        <v>2024</v>
      </c>
      <c r="AI20" s="1044">
        <f t="shared" si="2"/>
        <v>2025</v>
      </c>
      <c r="AJ20" s="2"/>
      <c r="AK20" s="2"/>
      <c r="AL20" s="343"/>
    </row>
    <row r="21" spans="1:38" ht="13" thickBot="1" x14ac:dyDescent="0.3">
      <c r="A21" s="2"/>
      <c r="B21" s="19"/>
      <c r="C21" s="19"/>
      <c r="D21" s="175" t="s">
        <v>8</v>
      </c>
      <c r="E21" s="2655" t="str">
        <f>I13</f>
        <v/>
      </c>
      <c r="F21" s="2655"/>
      <c r="G21" s="91" t="str">
        <f>IF(INDEX(CNTR_SubInstListIsProdBM,$C13),INDEX(CNTR_SubInstListHALUnit,$C13),EUconst_Tons)</f>
        <v>ton</v>
      </c>
      <c r="H21" s="921"/>
      <c r="I21" s="985"/>
      <c r="J21" s="988"/>
      <c r="K21" s="921"/>
      <c r="L21" s="921"/>
      <c r="M21" s="921"/>
      <c r="N21" s="1124"/>
      <c r="O21" s="15"/>
      <c r="P21" s="1362"/>
      <c r="Q21" s="2"/>
      <c r="R21" s="2"/>
      <c r="S21" s="343" t="s">
        <v>1874</v>
      </c>
      <c r="T21" s="1762" t="b">
        <f t="shared" ref="T21:Z21" si="3">AND($I13&lt;&gt;"",H20&lt;CNTR_ReportingYear,H20&gt;=$V13-1)</f>
        <v>0</v>
      </c>
      <c r="U21" s="1763" t="b">
        <f t="shared" si="3"/>
        <v>0</v>
      </c>
      <c r="V21" s="1763" t="b">
        <f t="shared" si="3"/>
        <v>0</v>
      </c>
      <c r="W21" s="1763" t="b">
        <f t="shared" si="3"/>
        <v>0</v>
      </c>
      <c r="X21" s="1763" t="b">
        <f t="shared" si="3"/>
        <v>0</v>
      </c>
      <c r="Y21" s="1763" t="b">
        <f t="shared" si="3"/>
        <v>0</v>
      </c>
      <c r="Z21" s="1764" t="b">
        <f t="shared" si="3"/>
        <v>0</v>
      </c>
      <c r="AA21" s="343"/>
      <c r="AB21" s="672" t="s">
        <v>782</v>
      </c>
      <c r="AC21" s="1755" t="b">
        <f t="shared" ref="AC21:AI21" si="4">IF(CNTR_ExistSubInstEntries,OR($I13="",$R25,H20&gt;=CNTR_ReportingYear,AC20&lt;$V13-1),FALSE)</f>
        <v>0</v>
      </c>
      <c r="AD21" s="1042" t="b">
        <f t="shared" si="4"/>
        <v>0</v>
      </c>
      <c r="AE21" s="1042" t="b">
        <f t="shared" si="4"/>
        <v>0</v>
      </c>
      <c r="AF21" s="1042" t="b">
        <f t="shared" si="4"/>
        <v>0</v>
      </c>
      <c r="AG21" s="1042" t="b">
        <f t="shared" si="4"/>
        <v>0</v>
      </c>
      <c r="AH21" s="1042" t="b">
        <f t="shared" si="4"/>
        <v>0</v>
      </c>
      <c r="AI21" s="1043" t="b">
        <f t="shared" si="4"/>
        <v>0</v>
      </c>
      <c r="AJ21" s="553" t="s">
        <v>2248</v>
      </c>
      <c r="AK21" s="663" t="str">
        <f>IF(AND(CNTR_ExistSubInstEntries,COUNTIFS(AC21:AI21,FALSE,H21:N21,"")&gt;0),EUconst_Error&amp;"BM"&amp;$Q13,"")</f>
        <v/>
      </c>
      <c r="AL21" s="2"/>
    </row>
    <row r="22" spans="1:38" ht="13" customHeight="1" thickBot="1" x14ac:dyDescent="0.3">
      <c r="A22" s="2"/>
      <c r="B22" s="19"/>
      <c r="C22" s="19"/>
      <c r="D22" s="175" t="s">
        <v>9</v>
      </c>
      <c r="E22" s="2655" t="str">
        <f>Translations!$B$518</f>
        <v>Från blad ”H_SpecialBM”:</v>
      </c>
      <c r="F22" s="2655"/>
      <c r="G22" s="91" t="str">
        <f>G21</f>
        <v>ton</v>
      </c>
      <c r="H22" s="922" t="str">
        <f>IF(OR($I13="",H20&gt;=CNTR_ReportingYear),"",IF($R25,SUMIF(H_SpecialBM!$Q$9:$Q$414,$Q22,H_SpecialBM!H$9:H$414),""))</f>
        <v/>
      </c>
      <c r="I22" s="986" t="str">
        <f>IF(OR($I13="",I20&gt;=CNTR_ReportingYear),"",IF($R25,SUMIF(H_SpecialBM!$Q$9:$Q$414,$Q22,H_SpecialBM!I$9:I$414),""))</f>
        <v/>
      </c>
      <c r="J22" s="989" t="str">
        <f>IF(OR($I13="",J20&gt;=CNTR_ReportingYear),"",IF($R25,SUMIF(H_SpecialBM!$Q$9:$Q$414,$Q22,H_SpecialBM!J$9:J$414),""))</f>
        <v/>
      </c>
      <c r="K22" s="922" t="str">
        <f>IF(OR($I13="",K20&gt;=CNTR_ReportingYear),"",IF($R25,SUMIF(H_SpecialBM!$Q$9:$Q$414,$Q22,H_SpecialBM!K$9:K$414),""))</f>
        <v/>
      </c>
      <c r="L22" s="922" t="str">
        <f>IF(OR($I13="",L20&gt;=CNTR_ReportingYear),"",IF($R25,SUMIF(H_SpecialBM!$Q$9:$Q$414,$Q22,H_SpecialBM!L$9:L$414),""))</f>
        <v/>
      </c>
      <c r="M22" s="922" t="str">
        <f>IF(OR($I13="",M20&gt;=CNTR_ReportingYear),"",IF($R25,SUMIF(H_SpecialBM!$Q$9:$Q$414,$Q22,H_SpecialBM!M$9:M$414),""))</f>
        <v/>
      </c>
      <c r="N22" s="1125" t="str">
        <f>IF(OR($I13="",N20&gt;=CNTR_ReportingYear),"",IF($R25,SUMIF(H_SpecialBM!$Q$9:$Q$414,$Q22,H_SpecialBM!N$9:N$414),""))</f>
        <v/>
      </c>
      <c r="O22" s="15"/>
      <c r="P22" s="15"/>
      <c r="Q22" s="165" t="str">
        <f>EUconst_CNTR_HALspecial&amp;I13</f>
        <v>HALspecial_</v>
      </c>
      <c r="R22" s="2"/>
      <c r="S22" s="2"/>
      <c r="T22" s="2"/>
      <c r="U22" s="2"/>
      <c r="V22" s="2"/>
      <c r="W22" s="2"/>
      <c r="X22" s="2"/>
      <c r="Y22" s="2"/>
      <c r="Z22" s="2"/>
      <c r="AA22" s="2"/>
      <c r="AB22" s="672" t="s">
        <v>782</v>
      </c>
      <c r="AC22" s="1755" t="b">
        <f t="shared" ref="AC22:AI22" si="5">AND(CNTR_HasEntries_A_I,OR($R25=FALSE,H20&gt;=CNTR_ReportingYear))</f>
        <v>0</v>
      </c>
      <c r="AD22" s="1042" t="b">
        <f t="shared" si="5"/>
        <v>0</v>
      </c>
      <c r="AE22" s="1042" t="b">
        <f t="shared" si="5"/>
        <v>0</v>
      </c>
      <c r="AF22" s="1042" t="b">
        <f t="shared" si="5"/>
        <v>0</v>
      </c>
      <c r="AG22" s="1042" t="b">
        <f t="shared" si="5"/>
        <v>0</v>
      </c>
      <c r="AH22" s="1042" t="b">
        <f t="shared" si="5"/>
        <v>0</v>
      </c>
      <c r="AI22" s="1043" t="b">
        <f t="shared" si="5"/>
        <v>0</v>
      </c>
      <c r="AJ22" s="766"/>
      <c r="AK22" s="766"/>
      <c r="AL22" s="343"/>
    </row>
    <row r="23" spans="1:38" ht="13" customHeight="1" x14ac:dyDescent="0.25">
      <c r="A23" s="2"/>
      <c r="B23" s="19"/>
      <c r="C23" s="19"/>
      <c r="D23" s="175" t="s">
        <v>10</v>
      </c>
      <c r="E23" s="2655" t="str">
        <f>Translations!$B$519</f>
        <v>Värden som används för beräkning:</v>
      </c>
      <c r="F23" s="2655"/>
      <c r="G23" s="91" t="str">
        <f>G22</f>
        <v>ton</v>
      </c>
      <c r="H23" s="922" t="str">
        <f t="shared" ref="H23:N23" si="6">IF(OR($I13="",H20&gt;=CNTR_ReportingYear),"",IF($R25=TRUE,IF(ISNUMBER(H22),H22,0),IF(AND(H20&gt;=$V13-1,ISNUMBER(H21)),H21,0)))</f>
        <v/>
      </c>
      <c r="I23" s="986" t="str">
        <f t="shared" si="6"/>
        <v/>
      </c>
      <c r="J23" s="989" t="str">
        <f t="shared" si="6"/>
        <v/>
      </c>
      <c r="K23" s="922" t="str">
        <f t="shared" si="6"/>
        <v/>
      </c>
      <c r="L23" s="922" t="str">
        <f t="shared" si="6"/>
        <v/>
      </c>
      <c r="M23" s="922" t="str">
        <f t="shared" si="6"/>
        <v/>
      </c>
      <c r="N23" s="1125" t="str">
        <f t="shared" si="6"/>
        <v/>
      </c>
      <c r="O23" s="15"/>
      <c r="P23" s="918"/>
      <c r="Q23" s="165" t="str">
        <f>EUconst_CNTR_HAL&amp;I13</f>
        <v>HAL_</v>
      </c>
      <c r="R23" s="2"/>
      <c r="S23" s="2"/>
      <c r="T23" s="2"/>
      <c r="U23" s="2"/>
      <c r="V23" s="2"/>
      <c r="W23" s="2"/>
      <c r="X23" s="2"/>
      <c r="Y23" s="2"/>
      <c r="Z23" s="2"/>
      <c r="AA23" s="2"/>
      <c r="AB23" s="2"/>
      <c r="AC23" s="2"/>
      <c r="AD23" s="2"/>
      <c r="AE23" s="2"/>
      <c r="AF23" s="2"/>
      <c r="AG23" s="2"/>
      <c r="AH23" s="2"/>
      <c r="AI23" s="2"/>
      <c r="AJ23" s="553" t="s">
        <v>2242</v>
      </c>
      <c r="AK23" s="108" t="str">
        <f>IF(COUNTIFS(H20:N20,"&lt;"&amp;YEAR(SUM(T13)),H23:N23,"&gt;"&amp;0)&gt;0,EUconst_Error&amp;"BM"&amp;Q13,"")</f>
        <v/>
      </c>
      <c r="AL23" s="343"/>
    </row>
    <row r="24" spans="1:38" ht="5.15" customHeight="1" x14ac:dyDescent="0.25">
      <c r="A24" s="2"/>
      <c r="B24" s="178"/>
      <c r="C24" s="178"/>
      <c r="D24" s="178"/>
      <c r="E24" s="178"/>
      <c r="F24" s="178"/>
      <c r="G24" s="178"/>
      <c r="H24" s="178"/>
      <c r="I24" s="178"/>
      <c r="J24" s="178"/>
      <c r="K24" s="178"/>
      <c r="L24" s="178"/>
      <c r="M24" s="15"/>
      <c r="N24" s="15"/>
      <c r="O24" s="15"/>
      <c r="P24" s="15"/>
      <c r="Q24" s="343"/>
      <c r="R24" s="2"/>
      <c r="S24" s="343"/>
      <c r="T24" s="343"/>
      <c r="U24" s="2"/>
      <c r="V24" s="2"/>
      <c r="W24" s="2"/>
      <c r="X24" s="2"/>
      <c r="Y24" s="2"/>
      <c r="Z24" s="2"/>
      <c r="AA24" s="2"/>
      <c r="AB24" s="2"/>
      <c r="AC24" s="2"/>
      <c r="AD24" s="2"/>
      <c r="AE24" s="2"/>
      <c r="AF24" s="2"/>
      <c r="AG24" s="2"/>
      <c r="AH24" s="2"/>
      <c r="AI24" s="2"/>
      <c r="AJ24" s="2"/>
      <c r="AK24" s="2"/>
      <c r="AL24" s="2"/>
    </row>
    <row r="25" spans="1:38" ht="13" x14ac:dyDescent="0.25">
      <c r="A25" s="2"/>
      <c r="B25" s="178"/>
      <c r="C25" s="178"/>
      <c r="D25" s="289" t="s">
        <v>23</v>
      </c>
      <c r="E25" s="1943" t="str">
        <f>Translations!$B$520</f>
        <v>Särskilda rapporteringskrav:</v>
      </c>
      <c r="F25" s="1943"/>
      <c r="G25" s="2067"/>
      <c r="H25" s="2652" t="str">
        <f>IF(I13="","",HYPERLINK(INDEX(EUconst_BMlistSpecialJumpTable,MATCH(I13,EUconst_BMlistNames,0)),INDEX(EUconst_BMlistSpecialReporting,MATCH(I13,EUconst_BMlistNames,0))))</f>
        <v/>
      </c>
      <c r="I25" s="2656"/>
      <c r="J25" s="2656"/>
      <c r="K25" s="2656"/>
      <c r="L25" s="2656"/>
      <c r="M25" s="2656"/>
      <c r="N25" s="2657"/>
      <c r="O25" s="15"/>
      <c r="P25" s="15"/>
      <c r="Q25" s="553" t="s">
        <v>133</v>
      </c>
      <c r="R25" s="108" t="str">
        <f>IF(I13="","",IF(AND(INDEX(EUconst_BMlistSpecialJumpTable,MATCH(I13,EUconst_BMlistNames,0))&lt;&gt;"",MATCH(I13,EUconst_BMlistNames,0)&lt;&gt;47),TRUE,FALSE))</f>
        <v/>
      </c>
      <c r="S25" s="343"/>
      <c r="T25" s="343"/>
      <c r="U25" s="2"/>
      <c r="V25" s="2"/>
      <c r="W25" s="2"/>
      <c r="X25" s="2"/>
      <c r="Y25" s="2"/>
      <c r="Z25" s="2"/>
      <c r="AA25" s="2"/>
      <c r="AB25" s="2"/>
      <c r="AC25" s="2"/>
      <c r="AD25" s="2"/>
      <c r="AE25" s="2"/>
      <c r="AF25" s="2"/>
      <c r="AG25" s="2"/>
      <c r="AH25" s="2"/>
      <c r="AI25" s="2"/>
      <c r="AJ25" s="2"/>
      <c r="AK25" s="2"/>
      <c r="AL25" s="2"/>
    </row>
    <row r="26" spans="1:38" x14ac:dyDescent="0.25">
      <c r="A26" s="2"/>
      <c r="B26" s="178"/>
      <c r="C26" s="178"/>
      <c r="D26" s="15"/>
      <c r="E26" s="2061" t="str">
        <f>Translations!$B$521</f>
        <v>Särskild information måste ges när det gäller vissa produktriktmärken (t.ex. CWT-värden). Ett automatiskt meddelande kommer att visas här, i relevanta fall.</v>
      </c>
      <c r="F26" s="1963"/>
      <c r="G26" s="1963"/>
      <c r="H26" s="1963"/>
      <c r="I26" s="1963"/>
      <c r="J26" s="1963"/>
      <c r="K26" s="1963"/>
      <c r="L26" s="1963"/>
      <c r="M26" s="1963"/>
      <c r="N26" s="1963"/>
      <c r="O26" s="15"/>
      <c r="P26" s="15"/>
      <c r="Q26" s="343"/>
      <c r="R26" s="2"/>
      <c r="S26" s="343"/>
      <c r="T26" s="343"/>
      <c r="U26" s="2"/>
      <c r="V26" s="2"/>
      <c r="W26" s="2"/>
      <c r="X26" s="2"/>
      <c r="Y26" s="2"/>
      <c r="Z26" s="2"/>
      <c r="AA26" s="2"/>
      <c r="AB26" s="2"/>
      <c r="AC26" s="2"/>
      <c r="AD26" s="2"/>
      <c r="AE26" s="2"/>
      <c r="AF26" s="2"/>
      <c r="AG26" s="2"/>
      <c r="AH26" s="2"/>
      <c r="AI26" s="2"/>
      <c r="AJ26" s="2"/>
      <c r="AK26" s="2"/>
      <c r="AL26" s="2"/>
    </row>
    <row r="27" spans="1:38" ht="5.15" customHeight="1" x14ac:dyDescent="0.25">
      <c r="A27" s="2"/>
      <c r="B27" s="178"/>
      <c r="C27" s="178"/>
      <c r="D27" s="15"/>
      <c r="E27" s="15"/>
      <c r="F27" s="15"/>
      <c r="G27" s="15"/>
      <c r="H27" s="15"/>
      <c r="I27" s="15"/>
      <c r="J27" s="15"/>
      <c r="K27" s="15"/>
      <c r="L27" s="15"/>
      <c r="M27" s="15"/>
      <c r="N27" s="15"/>
      <c r="O27" s="15"/>
      <c r="P27" s="15"/>
      <c r="Q27" s="343"/>
      <c r="R27" s="2"/>
      <c r="S27" s="343"/>
      <c r="T27" s="343"/>
      <c r="U27" s="2"/>
      <c r="V27" s="2"/>
      <c r="W27" s="2"/>
      <c r="X27" s="2"/>
      <c r="Y27" s="2"/>
      <c r="Z27" s="343"/>
      <c r="AA27" s="2"/>
      <c r="AB27" s="2"/>
      <c r="AC27" s="2"/>
      <c r="AD27" s="2"/>
      <c r="AE27" s="2"/>
      <c r="AF27" s="2"/>
      <c r="AG27" s="2"/>
      <c r="AH27" s="2"/>
      <c r="AI27" s="2"/>
      <c r="AJ27" s="2"/>
      <c r="AK27" s="2"/>
      <c r="AL27" s="343"/>
    </row>
    <row r="28" spans="1:38" ht="12.75" customHeight="1" x14ac:dyDescent="0.25">
      <c r="A28" s="2"/>
      <c r="B28" s="178"/>
      <c r="C28" s="178"/>
      <c r="D28" s="13" t="s">
        <v>955</v>
      </c>
      <c r="E28" s="1943" t="str">
        <f>Translations!$B$1467</f>
        <v>Eventuella justeringar av verksamhetsnivå</v>
      </c>
      <c r="F28" s="1963"/>
      <c r="G28" s="1963"/>
      <c r="H28" s="1963"/>
      <c r="I28" s="1963"/>
      <c r="J28" s="1963"/>
      <c r="K28" s="1963"/>
      <c r="L28" s="1963"/>
      <c r="M28" s="1963"/>
      <c r="N28" s="1963"/>
      <c r="O28" s="15"/>
      <c r="P28" s="15"/>
      <c r="Q28" s="343"/>
      <c r="R28" s="2"/>
      <c r="S28" s="343"/>
      <c r="T28" s="343"/>
      <c r="U28" s="2"/>
      <c r="V28" s="2"/>
      <c r="W28" s="2"/>
      <c r="X28" s="2"/>
      <c r="Y28" s="2"/>
      <c r="Z28" s="343"/>
      <c r="AA28" s="2"/>
      <c r="AB28" s="2"/>
      <c r="AC28" s="2"/>
      <c r="AD28" s="2"/>
      <c r="AE28" s="2"/>
      <c r="AF28" s="2"/>
      <c r="AG28" s="2"/>
      <c r="AH28" s="2"/>
      <c r="AI28" s="2"/>
      <c r="AJ28" s="2"/>
      <c r="AK28" s="2"/>
      <c r="AL28" s="343"/>
    </row>
    <row r="29" spans="1:38" ht="12.75" customHeight="1" x14ac:dyDescent="0.25">
      <c r="A29" s="2"/>
      <c r="B29" s="178"/>
      <c r="C29" s="178"/>
      <c r="D29" s="15"/>
      <c r="E29" s="2061" t="str">
        <f>Translations!$B$1468</f>
        <v>Den historiska verksamhetsnivån (HAL) kommer att bestämmas automatiskt baserat på uppgifter under punkt a) ovan och uppgifter i blad B+C_SubInstallations. För nya delanläggningar kommer HAL att visas under v) baserat på det första fullständiga verksamhetsåret.</v>
      </c>
      <c r="F29" s="1963"/>
      <c r="G29" s="1963"/>
      <c r="H29" s="1963"/>
      <c r="I29" s="1963"/>
      <c r="J29" s="1963"/>
      <c r="K29" s="1963"/>
      <c r="L29" s="1963"/>
      <c r="M29" s="1963"/>
      <c r="N29" s="1963"/>
      <c r="O29" s="15"/>
      <c r="P29" s="15"/>
      <c r="Q29" s="343"/>
      <c r="R29" s="2"/>
      <c r="S29" s="343"/>
      <c r="T29" s="343"/>
      <c r="U29" s="343"/>
      <c r="V29" s="2"/>
      <c r="W29" s="2"/>
      <c r="X29" s="2"/>
      <c r="Y29" s="2"/>
      <c r="Z29" s="2"/>
      <c r="AA29" s="2"/>
      <c r="AB29" s="2"/>
      <c r="AC29" s="2"/>
      <c r="AD29" s="2"/>
      <c r="AE29" s="2"/>
      <c r="AF29" s="2"/>
      <c r="AG29" s="2"/>
      <c r="AH29" s="2"/>
      <c r="AI29" s="2"/>
      <c r="AJ29" s="2"/>
      <c r="AK29" s="2"/>
      <c r="AL29" s="2"/>
    </row>
    <row r="30" spans="1:38" ht="25.5" customHeight="1" x14ac:dyDescent="0.25">
      <c r="A30" s="2"/>
      <c r="B30" s="178"/>
      <c r="C30" s="178"/>
      <c r="D30" s="15"/>
      <c r="E30" s="2061" t="str">
        <f>Translations!$B$1469</f>
        <v>Baserat på värdena för HAL och värdena under punkt a) ovan bestäms de genomsnittliga verksamhetsnivåerna här. Tilldelningen kommer endast att ändras om alla följande tröskelvärden i artikel 5 i verksamhetsändringsförordningen överskrids:</v>
      </c>
      <c r="F30" s="1963"/>
      <c r="G30" s="1963"/>
      <c r="H30" s="1963"/>
      <c r="I30" s="1963"/>
      <c r="J30" s="1963"/>
      <c r="K30" s="1963"/>
      <c r="L30" s="1963"/>
      <c r="M30" s="1963"/>
      <c r="N30" s="1963"/>
      <c r="O30" s="15"/>
      <c r="P30" s="15"/>
      <c r="Q30" s="343"/>
      <c r="R30" s="2"/>
      <c r="S30" s="343"/>
      <c r="T30" s="343"/>
      <c r="U30" s="343"/>
      <c r="V30" s="2"/>
      <c r="W30" s="2"/>
      <c r="X30" s="2"/>
      <c r="Y30" s="2"/>
      <c r="Z30" s="2"/>
      <c r="AA30" s="2"/>
      <c r="AB30" s="2"/>
      <c r="AC30" s="2"/>
      <c r="AD30" s="2"/>
      <c r="AE30" s="2"/>
      <c r="AF30" s="2"/>
      <c r="AG30" s="2"/>
      <c r="AH30" s="2"/>
      <c r="AI30" s="2"/>
      <c r="AJ30" s="2"/>
      <c r="AK30" s="2"/>
      <c r="AL30" s="2"/>
    </row>
    <row r="31" spans="1:38" ht="12.75" customHeight="1" x14ac:dyDescent="0.25">
      <c r="A31" s="2"/>
      <c r="B31" s="178"/>
      <c r="C31" s="178"/>
      <c r="D31" s="15"/>
      <c r="E31" s="1102" t="s">
        <v>1112</v>
      </c>
      <c r="F31" s="2095" t="str">
        <f>Translations!$B$1470</f>
        <v>De relativa tröskelvärdena (15 % och 5 % för efterföljande ändringar) för de genomsnittliga verksamhetsnivåerna jämfört med HAL</v>
      </c>
      <c r="G31" s="2159"/>
      <c r="H31" s="2159"/>
      <c r="I31" s="2159"/>
      <c r="J31" s="2159"/>
      <c r="K31" s="2159"/>
      <c r="L31" s="2159"/>
      <c r="M31" s="2159"/>
      <c r="N31" s="2159"/>
      <c r="O31" s="15"/>
      <c r="P31" s="15"/>
      <c r="Q31" s="343"/>
      <c r="R31" s="2"/>
      <c r="S31" s="343"/>
      <c r="T31" s="343"/>
      <c r="U31" s="343"/>
      <c r="V31" s="2"/>
      <c r="W31" s="2"/>
      <c r="X31" s="2"/>
      <c r="Y31" s="2"/>
      <c r="Z31" s="2"/>
      <c r="AA31" s="2"/>
      <c r="AB31" s="2"/>
      <c r="AC31" s="2"/>
      <c r="AD31" s="2"/>
      <c r="AE31" s="2"/>
      <c r="AF31" s="2"/>
      <c r="AG31" s="2"/>
      <c r="AH31" s="2"/>
      <c r="AI31" s="2"/>
      <c r="AJ31" s="2"/>
      <c r="AK31" s="2"/>
      <c r="AL31" s="2"/>
    </row>
    <row r="32" spans="1:38" ht="12.75" customHeight="1" thickBot="1" x14ac:dyDescent="0.3">
      <c r="A32" s="2"/>
      <c r="B32" s="178"/>
      <c r="C32" s="178"/>
      <c r="D32" s="15"/>
      <c r="E32" s="1102" t="s">
        <v>1112</v>
      </c>
      <c r="F32" s="2095" t="str">
        <f>Translations!$B$1471</f>
        <v>Det absoluta tröskelvärdet, dvs. en ändring skulle leda till en ändring av den preliminära tilldelningen på minst 100 utsläppsrätter</v>
      </c>
      <c r="G32" s="2159"/>
      <c r="H32" s="2159"/>
      <c r="I32" s="2159"/>
      <c r="J32" s="2159"/>
      <c r="K32" s="2159"/>
      <c r="L32" s="2159"/>
      <c r="M32" s="2159"/>
      <c r="N32" s="2159"/>
      <c r="O32" s="15"/>
      <c r="P32" s="15"/>
      <c r="Q32" s="343"/>
      <c r="R32" s="2"/>
      <c r="S32" s="343"/>
      <c r="T32" s="343"/>
      <c r="U32" s="343"/>
      <c r="V32" s="2"/>
      <c r="W32" s="2"/>
      <c r="X32" s="2"/>
      <c r="Y32" s="2"/>
      <c r="Z32" s="2"/>
      <c r="AA32" s="2"/>
      <c r="AB32" s="2"/>
      <c r="AC32" s="2"/>
      <c r="AD32" s="2"/>
      <c r="AE32" s="2"/>
      <c r="AF32" s="2"/>
      <c r="AG32" s="2"/>
      <c r="AH32" s="2"/>
      <c r="AI32" s="2"/>
      <c r="AJ32" s="2"/>
      <c r="AK32" s="2"/>
      <c r="AL32" s="2"/>
    </row>
    <row r="33" spans="1:38" ht="5.15" customHeight="1" thickBot="1" x14ac:dyDescent="0.3">
      <c r="A33" s="2"/>
      <c r="B33" s="178"/>
      <c r="C33" s="178"/>
      <c r="D33" s="1238"/>
      <c r="E33" s="1278"/>
      <c r="F33" s="1239"/>
      <c r="G33" s="1279"/>
      <c r="H33" s="1279"/>
      <c r="I33" s="1279"/>
      <c r="J33" s="1279"/>
      <c r="K33" s="1279"/>
      <c r="L33" s="1279"/>
      <c r="M33" s="1279"/>
      <c r="N33" s="1280"/>
      <c r="O33" s="15"/>
      <c r="P33" s="15"/>
      <c r="Q33" s="343"/>
      <c r="R33" s="2"/>
      <c r="S33" s="343"/>
      <c r="T33" s="343"/>
      <c r="U33" s="343"/>
      <c r="V33" s="2"/>
      <c r="W33" s="2"/>
      <c r="X33" s="2"/>
      <c r="Y33" s="2"/>
      <c r="Z33" s="2"/>
      <c r="AA33" s="2"/>
      <c r="AB33" s="2"/>
      <c r="AC33" s="2"/>
      <c r="AD33" s="2"/>
      <c r="AE33" s="2"/>
      <c r="AF33" s="2"/>
      <c r="AG33" s="2"/>
      <c r="AH33" s="2"/>
      <c r="AI33" s="2"/>
      <c r="AJ33" s="2"/>
      <c r="AK33" s="2"/>
      <c r="AL33" s="2"/>
    </row>
    <row r="34" spans="1:38" ht="12.75" customHeight="1" x14ac:dyDescent="0.25">
      <c r="A34" s="2"/>
      <c r="B34" s="178"/>
      <c r="C34" s="178"/>
      <c r="D34" s="1290"/>
      <c r="E34" s="1243" t="str">
        <f>Translations!$B$1340</f>
        <v>Justeringar</v>
      </c>
      <c r="F34" s="1244"/>
      <c r="G34" s="1244"/>
      <c r="H34" s="1228" t="str">
        <f>EUconst_Unit</f>
        <v>Enhet</v>
      </c>
      <c r="I34" s="1229" t="str">
        <f>Translations!$B$1472</f>
        <v>HAL</v>
      </c>
      <c r="J34" s="1268">
        <f>J$3042</f>
        <v>2021</v>
      </c>
      <c r="K34" s="1230">
        <f>K$3042</f>
        <v>2022</v>
      </c>
      <c r="L34" s="1230">
        <f>L$3042</f>
        <v>2023</v>
      </c>
      <c r="M34" s="1230">
        <f>M$3042</f>
        <v>2024</v>
      </c>
      <c r="N34" s="1258">
        <f>N$3042</f>
        <v>2025</v>
      </c>
      <c r="O34" s="15"/>
      <c r="P34" s="15"/>
      <c r="Q34" s="343"/>
      <c r="R34" s="2"/>
      <c r="S34" s="2"/>
      <c r="T34" s="2"/>
      <c r="U34" s="772"/>
      <c r="V34" s="1077">
        <f>J34</f>
        <v>2021</v>
      </c>
      <c r="W34" s="1077">
        <f>K34</f>
        <v>2022</v>
      </c>
      <c r="X34" s="1077">
        <f>L34</f>
        <v>2023</v>
      </c>
      <c r="Y34" s="1077">
        <f>M34</f>
        <v>2024</v>
      </c>
      <c r="Z34" s="1078">
        <f>N34</f>
        <v>2025</v>
      </c>
      <c r="AA34" s="2"/>
      <c r="AB34" s="2"/>
      <c r="AC34" s="2"/>
      <c r="AD34" s="2"/>
      <c r="AE34" s="2"/>
      <c r="AF34" s="2"/>
      <c r="AG34" s="2"/>
      <c r="AH34" s="2"/>
      <c r="AI34" s="2"/>
      <c r="AJ34" s="2"/>
      <c r="AK34" s="2"/>
      <c r="AL34" s="2"/>
    </row>
    <row r="35" spans="1:38" ht="12.75" customHeight="1" x14ac:dyDescent="0.25">
      <c r="A35" s="2"/>
      <c r="B35" s="178"/>
      <c r="C35" s="178"/>
      <c r="D35" s="1246" t="s">
        <v>8</v>
      </c>
      <c r="E35" s="1231" t="str">
        <f>Translations!$B$1473</f>
        <v>Genomsnittlig årlig verksamhetsnivå</v>
      </c>
      <c r="F35" s="1231"/>
      <c r="G35" s="1231"/>
      <c r="H35" s="917" t="str">
        <f>IF(INDEX(CNTR_SubInstListIsProdBM,$C13),INDEX(CNTR_SubInstListHALUnit,$C13),EUconst_Tons)</f>
        <v>ton</v>
      </c>
      <c r="I35" s="990" t="str">
        <f>IF(V13&gt;($J$3042-3),EUconst_NA,INDEX('B+C_SubInstallations'!$I:$I,MATCH(Q35,'B+C_SubInstallations'!$T:$T,0)))</f>
        <v/>
      </c>
      <c r="J35" s="993" t="str">
        <f>IF(AND(V35&gt;=3,CNTR_ReportingYear&gt;J34-1),AVERAGE(H23:I23),"")</f>
        <v/>
      </c>
      <c r="K35" s="920" t="str">
        <f>IF(AND(W35&gt;=3,CNTR_ReportingYear&gt;K34-1),AVERAGE(I23:J23),"")</f>
        <v/>
      </c>
      <c r="L35" s="920" t="str">
        <f>IF(AND(X35&gt;=3,CNTR_ReportingYear&gt;L34-1),AVERAGE(J23:K23),"")</f>
        <v/>
      </c>
      <c r="M35" s="920" t="str">
        <f>IF(AND(Y35&gt;=3,CNTR_ReportingYear&gt;M34-1),AVERAGE(K23:L23),"")</f>
        <v/>
      </c>
      <c r="N35" s="1218" t="str">
        <f>IF(AND(Z35&gt;=3,CNTR_ReportingYear&gt;N34-1),AVERAGE(L23:M23),"")</f>
        <v/>
      </c>
      <c r="O35" s="15"/>
      <c r="P35" s="15"/>
      <c r="Q35" s="672" t="str">
        <f>EUconst_CNTR_HALinitial&amp;I13</f>
        <v>HALini_</v>
      </c>
      <c r="R35" s="2"/>
      <c r="S35" s="2"/>
      <c r="T35" s="2"/>
      <c r="U35" s="1088" t="s">
        <v>1850</v>
      </c>
      <c r="V35" s="663">
        <f>IF($I13="",0,V34-$V13+1)</f>
        <v>0</v>
      </c>
      <c r="W35" s="663">
        <f>IF($I13="",0,W34-$V13+1)</f>
        <v>0</v>
      </c>
      <c r="X35" s="663">
        <f>IF($I13="",0,X34-$V13+1)</f>
        <v>0</v>
      </c>
      <c r="Y35" s="663">
        <f>IF($I13="",0,Y34-$V13+1)</f>
        <v>0</v>
      </c>
      <c r="Z35" s="1080">
        <f>IF($I13="",0,Z34-$V13+1)</f>
        <v>0</v>
      </c>
      <c r="AA35" s="2"/>
      <c r="AB35" s="2"/>
      <c r="AC35" s="2"/>
      <c r="AD35" s="2"/>
      <c r="AE35" s="2"/>
      <c r="AF35" s="2"/>
      <c r="AG35" s="2"/>
      <c r="AH35" s="2"/>
      <c r="AI35" s="2"/>
      <c r="AJ35" s="2"/>
      <c r="AK35" s="2"/>
      <c r="AL35" s="2"/>
    </row>
    <row r="36" spans="1:38" ht="12.75" hidden="1" customHeight="1" x14ac:dyDescent="0.25">
      <c r="A36" s="343" t="s">
        <v>346</v>
      </c>
      <c r="B36" s="178"/>
      <c r="C36" s="178"/>
      <c r="D36" s="1242"/>
      <c r="E36" s="1281" t="s">
        <v>1848</v>
      </c>
      <c r="F36" s="1281"/>
      <c r="G36" s="1281"/>
      <c r="H36" s="1283"/>
      <c r="I36" s="1284"/>
      <c r="J36" s="991" t="str">
        <f>IF(J35="","",IF($I38=0,IF(J35=0,0%,100%),J35/$I38-1))</f>
        <v/>
      </c>
      <c r="K36" s="960" t="str">
        <f>IF(K35="","",IF($I38=0,IF(K35=0,0%,100%),K35/$I38-1))</f>
        <v/>
      </c>
      <c r="L36" s="960" t="str">
        <f>IF(L35="","",IF($I38=0,IF(L35=0,0%,100%),L35/$I38-1))</f>
        <v/>
      </c>
      <c r="M36" s="960" t="str">
        <f>IF(M35="","",IF($I38=0,IF(M35=0,0%,100%),M35/$I38-1))</f>
        <v/>
      </c>
      <c r="N36" s="1219" t="str">
        <f>IF(N35="","",IF($I38=0,IF(N35=0,0%,100%),N35/$I38-1))</f>
        <v/>
      </c>
      <c r="O36" s="15"/>
      <c r="P36" s="15"/>
      <c r="Q36" s="165" t="str">
        <f>EUconst_CNTR_RelThreshold &amp; Q38</f>
        <v>RelThresh_HALprelim_</v>
      </c>
      <c r="R36" s="2"/>
      <c r="S36" s="2"/>
      <c r="T36" s="2"/>
      <c r="U36" s="1088" t="s">
        <v>1855</v>
      </c>
      <c r="V36" s="603" t="str">
        <f>IF(J35="","",ABS(J36)&gt;15%)</f>
        <v/>
      </c>
      <c r="W36" s="603" t="str">
        <f>IF(K35="","",ABS(K36)&gt;15%)</f>
        <v/>
      </c>
      <c r="X36" s="603" t="str">
        <f>IF(L35="","",ABS(L36)&gt;15%)</f>
        <v/>
      </c>
      <c r="Y36" s="603" t="str">
        <f>IF(M35="","",ABS(M36)&gt;15%)</f>
        <v/>
      </c>
      <c r="Z36" s="1756" t="str">
        <f>IF(N35="","",ABS(N36)&gt;15%)</f>
        <v/>
      </c>
      <c r="AA36" s="2"/>
      <c r="AB36" s="2"/>
      <c r="AC36" s="2"/>
      <c r="AD36" s="2"/>
      <c r="AE36" s="2"/>
      <c r="AF36" s="2"/>
      <c r="AG36" s="2"/>
      <c r="AH36" s="2"/>
      <c r="AI36" s="2"/>
      <c r="AJ36" s="2"/>
      <c r="AK36" s="2"/>
      <c r="AL36" s="343"/>
    </row>
    <row r="37" spans="1:38" ht="12.75" customHeight="1" x14ac:dyDescent="0.25">
      <c r="A37" s="343"/>
      <c r="B37" s="178"/>
      <c r="C37" s="178"/>
      <c r="D37" s="1246" t="s">
        <v>9</v>
      </c>
      <c r="E37" s="1231" t="str">
        <f>Translations!$B$1474</f>
        <v>Preliminär justering (om relativa tröskelvärden överskrids)</v>
      </c>
      <c r="F37" s="1231"/>
      <c r="G37" s="1231"/>
      <c r="H37" s="1233"/>
      <c r="I37" s="1235"/>
      <c r="J37" s="992" t="str">
        <f>IF(J35="","",IF(V36=FALSE,0%,IF(V37,J36,I43)))</f>
        <v/>
      </c>
      <c r="K37" s="937" t="str">
        <f>IF(K35="","",IF(W36=FALSE,0%,IF(W37,K36,J43)))</f>
        <v/>
      </c>
      <c r="L37" s="937" t="str">
        <f>IF(L35="","",IF(X36=FALSE,0%,IF(X37,L36,K43)))</f>
        <v/>
      </c>
      <c r="M37" s="937" t="str">
        <f>IF(M35="","",IF(Y36=FALSE,0%,IF(Y37,M36,L43)))</f>
        <v/>
      </c>
      <c r="N37" s="1220" t="str">
        <f>IF(N35="","",IF(Z36=FALSE,0%,IF(Z37,N36,M43)))</f>
        <v/>
      </c>
      <c r="O37" s="15"/>
      <c r="P37" s="15"/>
      <c r="Q37" s="2"/>
      <c r="R37" s="2"/>
      <c r="S37" s="2"/>
      <c r="T37" s="2"/>
      <c r="U37" s="1088" t="s">
        <v>1856</v>
      </c>
      <c r="V37" s="603" t="str">
        <f>IF(J35="","",AND(V36,IF(SUM(I43)&lt;0,OR(SUM(J36)&lt;SUM(I43)-MOD(SUM(I43),5%),J36&gt;=SUM(I43)+5%-MOD(SUM(I43),5%)),OR(SUM(J36)&lt;=SUM(I43)-MOD(SUM(I43),5%),SUM(J36)&gt;SUM(I43)+5%-MOD(SUM(I43),5%)))))</f>
        <v/>
      </c>
      <c r="W37" s="603" t="str">
        <f>IF(K35="","",AND(W36,IF(SUM(J43)&lt;0,OR(SUM(K36)&lt;SUM(J43)-MOD(SUM(J43),5%),K36&gt;=SUM(J43)+5%-MOD(SUM(J43),5%)),OR(SUM(K36)&lt;=SUM(J43)-MOD(SUM(J43),5%),SUM(K36)&gt;SUM(J43)+5%-MOD(SUM(J43),5%)))))</f>
        <v/>
      </c>
      <c r="X37" s="603" t="str">
        <f>IF(L35="","",AND(X36,IF(SUM(K43)&lt;0,OR(SUM(L36)&lt;SUM(K43)-MOD(SUM(K43),5%),L36&gt;=SUM(K43)+5%-MOD(SUM(K43),5%)),OR(SUM(L36)&lt;=SUM(K43)-MOD(SUM(K43),5%),SUM(L36)&gt;SUM(K43)+5%-MOD(SUM(K43),5%)))))</f>
        <v/>
      </c>
      <c r="Y37" s="603" t="str">
        <f>IF(M35="","",AND(Y36,IF(SUM(L43)&lt;0,OR(SUM(M36)&lt;SUM(L43)-MOD(SUM(L43),5%),M36&gt;=SUM(L43)+5%-MOD(SUM(L43),5%)),OR(SUM(M36)&lt;=SUM(L43)-MOD(SUM(L43),5%),SUM(M36)&gt;SUM(L43)+5%-MOD(SUM(L43),5%)))))</f>
        <v/>
      </c>
      <c r="Z37" s="1756" t="str">
        <f>IF(N35="","",AND(Z36,IF(SUM(M43)&lt;0,OR(SUM(N36)&lt;SUM(M43)-MOD(SUM(M43),5%),N36&gt;=SUM(M43)+5%-MOD(SUM(M43),5%)),OR(SUM(N36)&lt;=SUM(M43)-MOD(SUM(M43),5%),SUM(N36)&gt;SUM(M43)+5%-MOD(SUM(M43),5%)))))</f>
        <v/>
      </c>
      <c r="AA37" s="2"/>
      <c r="AB37" s="2"/>
      <c r="AC37" s="2"/>
      <c r="AD37" s="2"/>
      <c r="AE37" s="2"/>
      <c r="AF37" s="2"/>
      <c r="AG37" s="2"/>
      <c r="AH37" s="2"/>
      <c r="AI37" s="2"/>
      <c r="AJ37" s="2"/>
      <c r="AK37" s="2"/>
      <c r="AL37" s="343"/>
    </row>
    <row r="38" spans="1:38" ht="12.75" hidden="1" customHeight="1" x14ac:dyDescent="0.25">
      <c r="A38" s="343" t="s">
        <v>346</v>
      </c>
      <c r="B38" s="178"/>
      <c r="C38" s="178"/>
      <c r="D38" s="1242"/>
      <c r="E38" s="1231" t="s">
        <v>1889</v>
      </c>
      <c r="F38" s="1231"/>
      <c r="G38" s="1231"/>
      <c r="H38" s="917" t="str">
        <f>H35</f>
        <v>ton</v>
      </c>
      <c r="I38" s="990" t="str">
        <f>IF(I13="","",IF(AB13=FALSE,EUconst_NA,IF(V13&gt;($J$3042-3),INDEX(H23:N23,MATCH(V13,H20:N20,0)),SUM(I35))))</f>
        <v/>
      </c>
      <c r="J38" s="993" t="str">
        <f>IF($I13="","",IF(V35&lt;2,SUM(J23),IF(V35&lt;3,SUM(I23),IF(V38="",I38,V38))))</f>
        <v/>
      </c>
      <c r="K38" s="920" t="str">
        <f>IF($I13="","",IF(W35&lt;2,SUM(K23),IF(W35&lt;3,SUM(J23),IF(W38="",J38,W38))))</f>
        <v/>
      </c>
      <c r="L38" s="920" t="str">
        <f>IF($I13="","",IF(X35&lt;2,SUM(L23),IF(X35&lt;3,SUM(K23),IF(X38="",K38,X38))))</f>
        <v/>
      </c>
      <c r="M38" s="920" t="str">
        <f>IF($I13="","",IF(Y35&lt;2,SUM(M23),IF(Y35&lt;3,SUM(L23),IF(Y38="",L38,Y38))))</f>
        <v/>
      </c>
      <c r="N38" s="1218" t="str">
        <f>IF($I13="","",IF(Z35&lt;2,SUM(N23),IF(Z35&lt;3,SUM(M23),IF(Z38="",M38,Z38))))</f>
        <v/>
      </c>
      <c r="O38" s="15"/>
      <c r="P38" s="15"/>
      <c r="Q38" s="672" t="str">
        <f>EUconst_CNTR_HALprelim&amp;I13</f>
        <v>HALprelim_</v>
      </c>
      <c r="R38" s="2"/>
      <c r="S38" s="2"/>
      <c r="T38" s="2"/>
      <c r="U38" s="1088" t="s">
        <v>1898</v>
      </c>
      <c r="V38" s="1752" t="str">
        <f>IF(J35="","",IF(CNTR_ReportingYear&lt;J34,I37,IF($I38=0,J35,$I38*(1+J37))))</f>
        <v/>
      </c>
      <c r="W38" s="1752" t="str">
        <f>IF(K35="","",IF(CNTR_ReportingYear&lt;K34,J37,IF($I38=0,K35,$I38*(1+K37))))</f>
        <v/>
      </c>
      <c r="X38" s="1752" t="str">
        <f>IF(L35="","",IF(CNTR_ReportingYear&lt;L34,K37,IF($I38=0,L35,$I38*(1+L37))))</f>
        <v/>
      </c>
      <c r="Y38" s="1752" t="str">
        <f>IF(M35="","",IF(CNTR_ReportingYear&lt;M34,L37,IF($I38=0,M35,$I38*(1+M37))))</f>
        <v/>
      </c>
      <c r="Z38" s="1761" t="str">
        <f>IF(N35="","",IF(CNTR_ReportingYear&lt;N34,M37,IF($I38=0,N35,$I38*(1+N37))))</f>
        <v/>
      </c>
      <c r="AA38" s="2"/>
      <c r="AB38" s="2"/>
      <c r="AC38" s="2"/>
      <c r="AD38" s="2"/>
      <c r="AE38" s="2"/>
      <c r="AF38" s="2"/>
      <c r="AG38" s="2"/>
      <c r="AH38" s="2"/>
      <c r="AI38" s="2"/>
      <c r="AJ38" s="2"/>
      <c r="AK38" s="2"/>
      <c r="AL38" s="343"/>
    </row>
    <row r="39" spans="1:38" ht="5.15" customHeight="1" x14ac:dyDescent="0.25">
      <c r="A39" s="343"/>
      <c r="B39" s="178"/>
      <c r="C39" s="178"/>
      <c r="D39" s="1242"/>
      <c r="E39" s="1244"/>
      <c r="F39" s="1244"/>
      <c r="G39" s="1244"/>
      <c r="H39" s="1244"/>
      <c r="I39" s="1244"/>
      <c r="J39" s="1236"/>
      <c r="K39" s="1236"/>
      <c r="L39" s="1236"/>
      <c r="M39" s="1236"/>
      <c r="N39" s="1247"/>
      <c r="O39" s="15"/>
      <c r="P39" s="15"/>
      <c r="Q39" s="343"/>
      <c r="R39" s="2"/>
      <c r="S39" s="2"/>
      <c r="T39" s="2"/>
      <c r="U39" s="1086"/>
      <c r="V39" s="343"/>
      <c r="W39" s="2"/>
      <c r="X39" s="2"/>
      <c r="Y39" s="2"/>
      <c r="Z39" s="228"/>
      <c r="AA39" s="2"/>
      <c r="AB39" s="2"/>
      <c r="AC39" s="2"/>
      <c r="AD39" s="2"/>
      <c r="AE39" s="2"/>
      <c r="AF39" s="2"/>
      <c r="AG39" s="2"/>
      <c r="AH39" s="2"/>
      <c r="AI39" s="2"/>
      <c r="AJ39" s="2"/>
      <c r="AK39" s="2"/>
      <c r="AL39" s="343"/>
    </row>
    <row r="40" spans="1:38" ht="12.75" customHeight="1" x14ac:dyDescent="0.25">
      <c r="A40" s="343"/>
      <c r="B40" s="178"/>
      <c r="C40" s="178"/>
      <c r="D40" s="1242"/>
      <c r="E40" s="1234" t="str">
        <f>Translations!$B$1475</f>
        <v>Faktisk justering (grund för följande år)</v>
      </c>
      <c r="F40" s="1234"/>
      <c r="G40" s="1234"/>
      <c r="H40" s="1234"/>
      <c r="I40" s="1234"/>
      <c r="J40" s="1268">
        <f>J$3042</f>
        <v>2021</v>
      </c>
      <c r="K40" s="1230">
        <f>K$3042</f>
        <v>2022</v>
      </c>
      <c r="L40" s="1230">
        <f>L$3042</f>
        <v>2023</v>
      </c>
      <c r="M40" s="1230">
        <f>M$3042</f>
        <v>2024</v>
      </c>
      <c r="N40" s="1258">
        <f>N$3042</f>
        <v>2025</v>
      </c>
      <c r="O40" s="15"/>
      <c r="P40" s="15"/>
      <c r="Q40" s="343"/>
      <c r="R40" s="2"/>
      <c r="S40" s="2"/>
      <c r="T40" s="2"/>
      <c r="U40" s="584"/>
      <c r="V40" s="2"/>
      <c r="W40" s="2"/>
      <c r="X40" s="2"/>
      <c r="Y40" s="2"/>
      <c r="Z40" s="228"/>
      <c r="AA40" s="2"/>
      <c r="AB40" s="2"/>
      <c r="AC40" s="2"/>
      <c r="AD40" s="2"/>
      <c r="AE40" s="2"/>
      <c r="AF40" s="2"/>
      <c r="AG40" s="2"/>
      <c r="AH40" s="2"/>
      <c r="AI40" s="2"/>
      <c r="AJ40" s="2"/>
      <c r="AK40" s="2"/>
      <c r="AL40" s="343"/>
    </row>
    <row r="41" spans="1:38" ht="12.75" customHeight="1" x14ac:dyDescent="0.25">
      <c r="A41" s="343"/>
      <c r="B41" s="178"/>
      <c r="C41" s="178"/>
      <c r="D41" s="1246" t="s">
        <v>10</v>
      </c>
      <c r="E41" s="1231" t="str">
        <f>Translations!$B$1476</f>
        <v>&gt;= 100 utsläppsrätter kriterium uppnått?</v>
      </c>
      <c r="F41" s="1231"/>
      <c r="G41" s="1231"/>
      <c r="H41" s="1231"/>
      <c r="I41" s="1231"/>
      <c r="J41" s="994" t="str">
        <f>IF($I13="","",INDEX(K_Summary!J:J,MATCH($Q41,K_Summary!$P:$P,0)))</f>
        <v/>
      </c>
      <c r="K41" s="912" t="str">
        <f>IF($I13="","",INDEX(K_Summary!K:K,MATCH($Q41,K_Summary!$P:$P,0)))</f>
        <v/>
      </c>
      <c r="L41" s="912" t="str">
        <f>IF($I13="","",INDEX(K_Summary!L:L,MATCH($Q41,K_Summary!$P:$P,0)))</f>
        <v/>
      </c>
      <c r="M41" s="912" t="str">
        <f>IF($I13="","",INDEX(K_Summary!M:M,MATCH($Q41,K_Summary!$P:$P,0)))</f>
        <v/>
      </c>
      <c r="N41" s="1221" t="str">
        <f>IF($I13="","",INDEX(K_Summary!N:N,MATCH($Q41,K_Summary!$P:$P,0)))</f>
        <v/>
      </c>
      <c r="O41" s="15"/>
      <c r="P41" s="15"/>
      <c r="Q41" s="672" t="str">
        <f>EUconst_CNTR_100EUA_ActivityLevel&amp;I13</f>
        <v>EUA100AL_</v>
      </c>
      <c r="R41" s="2"/>
      <c r="S41" s="2"/>
      <c r="T41" s="2"/>
      <c r="U41" s="584"/>
      <c r="V41" s="1123"/>
      <c r="W41" s="1123"/>
      <c r="X41" s="1123"/>
      <c r="Y41" s="1123"/>
      <c r="Z41" s="228"/>
      <c r="AA41" s="2"/>
      <c r="AB41" s="2"/>
      <c r="AC41" s="2"/>
      <c r="AD41" s="2"/>
      <c r="AE41" s="2"/>
      <c r="AF41" s="2"/>
      <c r="AG41" s="2"/>
      <c r="AH41" s="2"/>
      <c r="AI41" s="2"/>
      <c r="AJ41" s="2"/>
      <c r="AK41" s="2"/>
      <c r="AL41" s="343"/>
    </row>
    <row r="42" spans="1:38" ht="5.15" customHeight="1" thickBot="1" x14ac:dyDescent="0.3">
      <c r="A42" s="343"/>
      <c r="B42" s="178"/>
      <c r="C42" s="178"/>
      <c r="D42" s="1242"/>
      <c r="E42" s="1244"/>
      <c r="F42" s="1244"/>
      <c r="G42" s="1244"/>
      <c r="H42" s="1244"/>
      <c r="I42" s="1244"/>
      <c r="J42" s="1244"/>
      <c r="K42" s="1244"/>
      <c r="L42" s="1244"/>
      <c r="M42" s="1244"/>
      <c r="N42" s="1248"/>
      <c r="O42" s="15"/>
      <c r="P42" s="15"/>
      <c r="Q42" s="343"/>
      <c r="R42" s="2"/>
      <c r="S42" s="2"/>
      <c r="T42" s="2"/>
      <c r="U42" s="1086"/>
      <c r="V42" s="343"/>
      <c r="W42" s="2"/>
      <c r="X42" s="2"/>
      <c r="Y42" s="2"/>
      <c r="Z42" s="228"/>
      <c r="AA42" s="2"/>
      <c r="AB42" s="2"/>
      <c r="AC42" s="2"/>
      <c r="AD42" s="2"/>
      <c r="AE42" s="2"/>
      <c r="AF42" s="2"/>
      <c r="AG42" s="2"/>
      <c r="AH42" s="2"/>
      <c r="AI42" s="2"/>
      <c r="AJ42" s="2"/>
      <c r="AK42" s="2"/>
      <c r="AL42" s="343"/>
    </row>
    <row r="43" spans="1:38" ht="12.75" customHeight="1" thickBot="1" x14ac:dyDescent="0.3">
      <c r="A43" s="2"/>
      <c r="B43" s="178"/>
      <c r="C43" s="178"/>
      <c r="D43" s="1246" t="s">
        <v>23</v>
      </c>
      <c r="E43" s="1231" t="str">
        <f>Translations!$B$1477</f>
        <v>Faktisk justering (om alla tröskelvärden överskrids)</v>
      </c>
      <c r="F43" s="1231"/>
      <c r="G43" s="1231"/>
      <c r="H43" s="1233"/>
      <c r="I43" s="1237"/>
      <c r="J43" s="1099" t="str">
        <f>IF(J41="","",IF(J34&gt;$Z13,-100%,IF(OR(J41,V35&lt;1),J37,I43)))</f>
        <v/>
      </c>
      <c r="K43" s="1100" t="str">
        <f>IF(K41="","",IF(K34&gt;$Z13,-100%,IF(OR(K41,W35&lt;1),K37,J43)))</f>
        <v/>
      </c>
      <c r="L43" s="1100" t="str">
        <f>IF(L41="","",IF(L34&gt;$Z13,-100%,IF(OR(L41,X35&lt;1),L37,K43)))</f>
        <v/>
      </c>
      <c r="M43" s="1100" t="str">
        <f>IF(M41="","",IF(M34&gt;$Z13,-100%,IF(OR(M41,Y35&lt;1),M37,L43)))</f>
        <v/>
      </c>
      <c r="N43" s="1101" t="str">
        <f>IF(N41="","",IF(N34&gt;$Z13,-100%,IF(OR(N41,Z35&lt;1),N37,M43)))</f>
        <v/>
      </c>
      <c r="O43" s="15"/>
      <c r="P43" s="918"/>
      <c r="Q43" s="165" t="str">
        <f>EUconst_CNTR_HALAdjPct &amp; I13</f>
        <v>HALAdjPct_</v>
      </c>
      <c r="R43" s="2"/>
      <c r="S43" s="2"/>
      <c r="T43" s="2"/>
      <c r="U43" s="1086" t="s">
        <v>1858</v>
      </c>
      <c r="V43" s="1068">
        <f>J40</f>
        <v>2021</v>
      </c>
      <c r="W43" s="1068">
        <f>K40</f>
        <v>2022</v>
      </c>
      <c r="X43" s="1068">
        <f>L40</f>
        <v>2023</v>
      </c>
      <c r="Y43" s="1068">
        <f>M40</f>
        <v>2024</v>
      </c>
      <c r="Z43" s="1087">
        <f>N40</f>
        <v>2025</v>
      </c>
      <c r="AA43" s="2"/>
      <c r="AB43" s="2"/>
      <c r="AC43" s="2"/>
      <c r="AD43" s="2"/>
      <c r="AE43" s="2"/>
      <c r="AF43" s="2"/>
      <c r="AG43" s="2"/>
      <c r="AH43" s="2"/>
      <c r="AI43" s="2"/>
      <c r="AJ43" s="2"/>
      <c r="AK43" s="2"/>
      <c r="AL43" s="343"/>
    </row>
    <row r="44" spans="1:38" ht="12.75" customHeight="1" thickBot="1" x14ac:dyDescent="0.3">
      <c r="A44" s="343"/>
      <c r="B44" s="178"/>
      <c r="C44" s="178"/>
      <c r="D44" s="1246" t="s">
        <v>859</v>
      </c>
      <c r="E44" s="1231" t="str">
        <f>Translations!$B$1478</f>
        <v>Faktiskt värde</v>
      </c>
      <c r="F44" s="1231"/>
      <c r="G44" s="1231"/>
      <c r="H44" s="917" t="str">
        <f>H35</f>
        <v>ton</v>
      </c>
      <c r="I44" s="990" t="str">
        <f>I38</f>
        <v/>
      </c>
      <c r="J44" s="1072" t="str">
        <f>IF($I13="","",IF(OR($I44=0,J43="",$I44=EUconst_NA),IF(OR(J41=TRUE,J40&lt;=$V13),J38,SUM(I44)),$I44*(1+SUM(J43))))</f>
        <v/>
      </c>
      <c r="K44" s="1073" t="str">
        <f>IF($I13="","",IF(OR($I44=0,K43="",$I44=EUconst_NA),IF(OR(K41=TRUE,K40&lt;=$V13),K38,SUM(J44)),$I44*(1+SUM(K43))))</f>
        <v/>
      </c>
      <c r="L44" s="1073" t="str">
        <f>IF($I13="","",IF(OR($I44=0,L43="",$I44=EUconst_NA),IF(OR(L41=TRUE,L40&lt;=$V13),L38,SUM(K44)),$I44*(1+SUM(L43))))</f>
        <v/>
      </c>
      <c r="M44" s="1073" t="str">
        <f>IF($I13="","",IF(OR($I44=0,M43="",$I44=EUconst_NA),IF(OR(M41=TRUE,M40&lt;=$V13),M38,SUM(L44)),$I44*(1+SUM(M43))))</f>
        <v/>
      </c>
      <c r="N44" s="1074" t="str">
        <f>IF($I13="","",IF(OR($I44=0,N43="",$I44=EUconst_NA),IF(OR(N41=TRUE,N40&lt;=$V13),N38,SUM(M44)),$I44*(1+SUM(N43))))</f>
        <v/>
      </c>
      <c r="O44" s="15"/>
      <c r="P44" s="15"/>
      <c r="Q44" s="672" t="str">
        <f>EUconst_CNTR_HALfinal&amp;I13</f>
        <v>HALfinal_</v>
      </c>
      <c r="R44" s="2"/>
      <c r="S44" s="2"/>
      <c r="T44" s="2"/>
      <c r="U44" s="1765" t="b">
        <v>0</v>
      </c>
      <c r="V44" s="1757" t="str">
        <f>IF(V21,IF(J41=TRUE,V36,U44),"")</f>
        <v/>
      </c>
      <c r="W44" s="1757" t="str">
        <f>IF(W21,IF(K41=TRUE,W36,V44),"")</f>
        <v/>
      </c>
      <c r="X44" s="1757" t="str">
        <f>IF(X21,IF(L41=TRUE,X36,W44),"")</f>
        <v/>
      </c>
      <c r="Y44" s="1757" t="str">
        <f>IF(Y21,IF(M41=TRUE,Y36,X44),"")</f>
        <v/>
      </c>
      <c r="Z44" s="1758" t="str">
        <f>IF(Z21,IF(N41=TRUE,Z36,Y44),"")</f>
        <v/>
      </c>
      <c r="AA44" s="2"/>
      <c r="AB44" s="2"/>
      <c r="AC44" s="2"/>
      <c r="AD44" s="2"/>
      <c r="AE44" s="2"/>
      <c r="AF44" s="2"/>
      <c r="AG44" s="2"/>
      <c r="AH44" s="2"/>
      <c r="AI44" s="2"/>
      <c r="AJ44" s="553" t="s">
        <v>2242</v>
      </c>
      <c r="AK44" s="108" t="str">
        <f>IF(OR(ISERROR(J44),ISERROR(K44),ISERROR(L44),ISERROR(M44),ISERROR(N44)),EUconst_Error &amp; "BM" &amp; Q13,"")</f>
        <v/>
      </c>
      <c r="AL44" s="343"/>
    </row>
    <row r="45" spans="1:38" ht="5.15" customHeight="1" thickBot="1" x14ac:dyDescent="0.3">
      <c r="A45" s="2"/>
      <c r="B45" s="178"/>
      <c r="C45" s="178"/>
      <c r="D45" s="1282"/>
      <c r="E45" s="1272"/>
      <c r="F45" s="1272"/>
      <c r="G45" s="1272"/>
      <c r="H45" s="1272"/>
      <c r="I45" s="1272"/>
      <c r="J45" s="1272"/>
      <c r="K45" s="1272"/>
      <c r="L45" s="1272"/>
      <c r="M45" s="1272"/>
      <c r="N45" s="1273"/>
      <c r="O45" s="15"/>
      <c r="P45" s="15"/>
      <c r="Q45" s="343"/>
      <c r="R45" s="2"/>
      <c r="S45" s="2"/>
      <c r="T45" s="2"/>
      <c r="U45" s="343"/>
      <c r="V45" s="343"/>
      <c r="W45" s="2"/>
      <c r="X45" s="2"/>
      <c r="Y45" s="2"/>
      <c r="Z45" s="2"/>
      <c r="AA45" s="2"/>
      <c r="AB45" s="2"/>
      <c r="AC45" s="2"/>
      <c r="AD45" s="2"/>
      <c r="AE45" s="2"/>
      <c r="AF45" s="2"/>
      <c r="AG45" s="2"/>
      <c r="AH45" s="2"/>
      <c r="AI45" s="2"/>
      <c r="AJ45" s="2"/>
      <c r="AK45" s="2"/>
      <c r="AL45" s="343"/>
    </row>
    <row r="46" spans="1:38" ht="5.15" customHeight="1" x14ac:dyDescent="0.25">
      <c r="A46" s="2"/>
      <c r="B46" s="178"/>
      <c r="C46" s="178"/>
      <c r="D46" s="15"/>
      <c r="E46" s="15"/>
      <c r="F46" s="15"/>
      <c r="G46" s="15"/>
      <c r="H46" s="15"/>
      <c r="I46" s="15"/>
      <c r="J46" s="15"/>
      <c r="K46" s="15"/>
      <c r="L46" s="15"/>
      <c r="M46" s="15"/>
      <c r="N46" s="15"/>
      <c r="O46" s="15"/>
      <c r="P46" s="15"/>
      <c r="Q46" s="343"/>
      <c r="R46" s="2"/>
      <c r="S46" s="2"/>
      <c r="T46" s="2"/>
      <c r="U46" s="343"/>
      <c r="V46" s="343"/>
      <c r="W46" s="2"/>
      <c r="X46" s="2"/>
      <c r="Y46" s="2"/>
      <c r="Z46" s="2"/>
      <c r="AA46" s="2"/>
      <c r="AB46" s="2"/>
      <c r="AC46" s="2"/>
      <c r="AD46" s="2"/>
      <c r="AE46" s="2"/>
      <c r="AF46" s="2"/>
      <c r="AG46" s="2"/>
      <c r="AH46" s="2"/>
      <c r="AI46" s="2"/>
      <c r="AJ46" s="2"/>
      <c r="AK46" s="2"/>
      <c r="AL46" s="343"/>
    </row>
    <row r="47" spans="1:38" ht="15" customHeight="1" x14ac:dyDescent="0.25">
      <c r="A47" s="2"/>
      <c r="B47" s="19"/>
      <c r="C47" s="178"/>
      <c r="D47" s="2053" t="str">
        <f>Translations!$B$522</f>
        <v>Andra korrigeringsfaktorer</v>
      </c>
      <c r="E47" s="1963"/>
      <c r="F47" s="1963"/>
      <c r="G47" s="1963"/>
      <c r="H47" s="1963"/>
      <c r="I47" s="1963"/>
      <c r="J47" s="1963"/>
      <c r="K47" s="1963"/>
      <c r="L47" s="1963"/>
      <c r="M47" s="1963"/>
      <c r="N47" s="1963"/>
      <c r="O47" s="15"/>
      <c r="P47" s="15"/>
      <c r="Q47" s="2"/>
      <c r="R47" s="2"/>
      <c r="S47" s="2"/>
      <c r="T47" s="2"/>
      <c r="U47" s="343"/>
      <c r="V47" s="343"/>
      <c r="W47" s="2"/>
      <c r="X47" s="2"/>
      <c r="Y47" s="2"/>
      <c r="Z47" s="2"/>
      <c r="AA47" s="2"/>
      <c r="AB47" s="2"/>
      <c r="AC47" s="2"/>
      <c r="AD47" s="2"/>
      <c r="AE47" s="2"/>
      <c r="AF47" s="2"/>
      <c r="AG47" s="2"/>
      <c r="AH47" s="2"/>
      <c r="AI47" s="2"/>
      <c r="AJ47" s="2"/>
      <c r="AK47" s="2"/>
      <c r="AL47" s="2"/>
    </row>
    <row r="48" spans="1:38" ht="5.15" customHeight="1" x14ac:dyDescent="0.25">
      <c r="A48" s="2"/>
      <c r="B48" s="178"/>
      <c r="C48" s="178"/>
      <c r="D48" s="178"/>
      <c r="E48" s="178"/>
      <c r="F48" s="178"/>
      <c r="G48" s="178"/>
      <c r="H48" s="178"/>
      <c r="I48" s="178"/>
      <c r="J48" s="178"/>
      <c r="K48" s="178"/>
      <c r="L48" s="178"/>
      <c r="M48" s="178"/>
      <c r="N48" s="178"/>
      <c r="O48" s="15"/>
      <c r="P48" s="15"/>
      <c r="Q48" s="343"/>
      <c r="R48" s="2"/>
      <c r="S48" s="2"/>
      <c r="T48" s="2"/>
      <c r="U48" s="343"/>
      <c r="V48" s="343"/>
      <c r="W48" s="2"/>
      <c r="X48" s="2"/>
      <c r="Y48" s="2"/>
      <c r="Z48" s="2"/>
      <c r="AA48" s="2"/>
      <c r="AB48" s="2"/>
      <c r="AC48" s="2"/>
      <c r="AD48" s="2"/>
      <c r="AE48" s="2"/>
      <c r="AF48" s="2"/>
      <c r="AG48" s="2"/>
      <c r="AH48" s="2"/>
      <c r="AI48" s="2"/>
      <c r="AJ48" s="2"/>
      <c r="AK48" s="2"/>
      <c r="AL48" s="2"/>
    </row>
    <row r="49" spans="1:38" ht="13" x14ac:dyDescent="0.25">
      <c r="A49" s="2"/>
      <c r="B49" s="19"/>
      <c r="C49" s="19"/>
      <c r="D49" s="13" t="s">
        <v>55</v>
      </c>
      <c r="E49" s="1943" t="str">
        <f>Translations!$B$523</f>
        <v>Utbytbarhet mellan bränsle och el:</v>
      </c>
      <c r="F49" s="1963"/>
      <c r="G49" s="1963"/>
      <c r="H49" s="1963"/>
      <c r="I49" s="2060"/>
      <c r="J49" s="2652" t="str">
        <f>IF(I13="","",IF(T49,EUconst_MsgEnterThisSection,HYPERLINK(R49,EUconst_MsgGoOn)))</f>
        <v/>
      </c>
      <c r="K49" s="2653"/>
      <c r="L49" s="2653"/>
      <c r="M49" s="2653"/>
      <c r="N49" s="2654"/>
      <c r="O49" s="15"/>
      <c r="P49" s="15"/>
      <c r="Q49" s="2" t="s">
        <v>484</v>
      </c>
      <c r="R49" s="294" t="str">
        <f>"#"&amp;ADDRESS(ROW(D77),COLUMN(D77))</f>
        <v>#$D$77</v>
      </c>
      <c r="S49" s="553" t="s">
        <v>1874</v>
      </c>
      <c r="T49" s="165" t="str">
        <f>IF(I13="","",INDEX(EUconst_BMlistElExchangability,MATCH(I13,EUconst_BMlistNames,0)))</f>
        <v/>
      </c>
      <c r="U49" s="343"/>
      <c r="V49" s="343"/>
      <c r="W49" s="2"/>
      <c r="X49" s="2"/>
      <c r="Y49" s="2"/>
      <c r="Z49" s="2"/>
      <c r="AA49" s="2"/>
      <c r="AB49" s="2"/>
      <c r="AC49" s="2"/>
      <c r="AD49" s="2"/>
      <c r="AE49" s="2"/>
      <c r="AF49" s="2"/>
      <c r="AG49" s="2"/>
      <c r="AH49" s="2"/>
      <c r="AI49" s="2"/>
      <c r="AJ49" s="2"/>
      <c r="AK49" s="2"/>
      <c r="AL49" s="2"/>
    </row>
    <row r="50" spans="1:38" x14ac:dyDescent="0.25">
      <c r="A50" s="2"/>
      <c r="B50" s="178"/>
      <c r="C50" s="178"/>
      <c r="D50" s="15"/>
      <c r="E50" s="2061" t="str">
        <f>Translations!$B$524</f>
        <v>Ett automatiskt meddelande kommer att visas här, i relevanta fall, där ni ombeds göra den inmatning som krävs för att utbytbarheten mellan bränsle och el (ElExch-F) ska kunna beaktas.</v>
      </c>
      <c r="F50" s="1963"/>
      <c r="G50" s="1963"/>
      <c r="H50" s="1963"/>
      <c r="I50" s="1963"/>
      <c r="J50" s="1963"/>
      <c r="K50" s="1963"/>
      <c r="L50" s="1963"/>
      <c r="M50" s="1963"/>
      <c r="N50" s="1963"/>
      <c r="O50" s="15"/>
      <c r="P50" s="15"/>
      <c r="Q50" s="2"/>
      <c r="R50" s="2"/>
      <c r="S50" s="2"/>
      <c r="T50" s="2"/>
      <c r="U50" s="343"/>
      <c r="V50" s="343"/>
      <c r="W50" s="2"/>
      <c r="X50" s="2"/>
      <c r="Y50" s="2"/>
      <c r="Z50" s="2"/>
      <c r="AA50" s="2"/>
      <c r="AB50" s="2"/>
      <c r="AC50" s="2"/>
      <c r="AD50" s="2"/>
      <c r="AE50" s="2"/>
      <c r="AF50" s="2"/>
      <c r="AG50" s="2"/>
      <c r="AH50" s="2"/>
      <c r="AI50" s="2"/>
      <c r="AJ50" s="2"/>
      <c r="AK50" s="2"/>
      <c r="AL50" s="2"/>
    </row>
    <row r="51" spans="1:38" ht="12.75" customHeight="1" x14ac:dyDescent="0.25">
      <c r="A51" s="2"/>
      <c r="B51" s="178"/>
      <c r="C51" s="178"/>
      <c r="D51" s="15"/>
      <c r="E51" s="2061" t="str">
        <f>Translations!$B$525</f>
        <v>Enligt artikel 22 i FAR krävs ”direkta utsläpp”, nettomängd ”importerad värme” och ”relevant elförbrukning”.</v>
      </c>
      <c r="F51" s="1963"/>
      <c r="G51" s="1963"/>
      <c r="H51" s="1963"/>
      <c r="I51" s="1963"/>
      <c r="J51" s="1963"/>
      <c r="K51" s="1963"/>
      <c r="L51" s="1963"/>
      <c r="M51" s="1963"/>
      <c r="N51" s="1963"/>
      <c r="O51" s="15"/>
      <c r="P51" s="15"/>
      <c r="Q51" s="343"/>
      <c r="R51" s="2"/>
      <c r="S51" s="2"/>
      <c r="T51" s="2"/>
      <c r="U51" s="343"/>
      <c r="V51" s="343"/>
      <c r="W51" s="343"/>
      <c r="X51" s="343"/>
      <c r="Y51" s="343"/>
      <c r="Z51" s="343"/>
      <c r="AA51" s="2"/>
      <c r="AB51" s="2"/>
      <c r="AC51" s="2"/>
      <c r="AD51" s="2"/>
      <c r="AE51" s="2"/>
      <c r="AF51" s="2"/>
      <c r="AG51" s="2"/>
      <c r="AH51" s="2"/>
      <c r="AI51" s="2"/>
      <c r="AJ51" s="2"/>
      <c r="AK51" s="2"/>
      <c r="AL51" s="2"/>
    </row>
    <row r="52" spans="1:38" ht="25.5" customHeight="1" x14ac:dyDescent="0.25">
      <c r="A52" s="2"/>
      <c r="B52" s="178"/>
      <c r="C52" s="178"/>
      <c r="D52" s="15"/>
      <c r="E52" s="2061" t="str">
        <f>Translations!$B$526</f>
        <v>De totala direkta utsläppen är i regel identiska med de värden som anges i punkt g nedan. Ytterligare korrigeringar kan dock behöva göras, framför allt vid användning av restgaser. Var god se vägledningen i punkt g nedan. Uppgifter om nettomängd importerad värme hämtas automatiskt från punkt k.i nedan.</v>
      </c>
      <c r="F52" s="1963"/>
      <c r="G52" s="1963"/>
      <c r="H52" s="1963"/>
      <c r="I52" s="1963"/>
      <c r="J52" s="1963"/>
      <c r="K52" s="1963"/>
      <c r="L52" s="1963"/>
      <c r="M52" s="1963"/>
      <c r="N52" s="1963"/>
      <c r="O52" s="15"/>
      <c r="P52" s="15"/>
      <c r="Q52" s="343"/>
      <c r="R52" s="2"/>
      <c r="S52" s="2"/>
      <c r="T52" s="2"/>
      <c r="U52" s="343"/>
      <c r="V52" s="343"/>
      <c r="W52" s="343"/>
      <c r="X52" s="343"/>
      <c r="Y52" s="343"/>
      <c r="Z52" s="343"/>
      <c r="AA52" s="2"/>
      <c r="AB52" s="2"/>
      <c r="AC52" s="2"/>
      <c r="AD52" s="2"/>
      <c r="AE52" s="2"/>
      <c r="AF52" s="2"/>
      <c r="AG52" s="2"/>
      <c r="AH52" s="2"/>
      <c r="AI52" s="2"/>
      <c r="AJ52" s="2"/>
      <c r="AK52" s="2"/>
      <c r="AL52" s="2"/>
    </row>
    <row r="53" spans="1:38" s="534" customFormat="1" ht="13.5" thickBot="1" x14ac:dyDescent="0.3">
      <c r="A53" s="343"/>
      <c r="B53" s="15"/>
      <c r="C53" s="15"/>
      <c r="D53" s="13"/>
      <c r="E53" s="914" t="str">
        <f>Translations!$B$527</f>
        <v>Parameter</v>
      </c>
      <c r="F53" s="913"/>
      <c r="G53" s="30" t="str">
        <f>EUconst_Unit</f>
        <v>Enhet</v>
      </c>
      <c r="H53" s="320">
        <f>H$3042</f>
        <v>2019</v>
      </c>
      <c r="I53" s="342">
        <f>I$3042</f>
        <v>2020</v>
      </c>
      <c r="J53" s="987">
        <f>J$112</f>
        <v>2021</v>
      </c>
      <c r="K53" s="1001">
        <f>K$112</f>
        <v>2022</v>
      </c>
      <c r="L53" s="320">
        <f>L$112</f>
        <v>2023</v>
      </c>
      <c r="M53" s="320">
        <f>M$112</f>
        <v>2024</v>
      </c>
      <c r="N53" s="320">
        <f>N$112</f>
        <v>2025</v>
      </c>
      <c r="O53" s="15"/>
      <c r="P53" s="15"/>
      <c r="Q53" s="343"/>
      <c r="R53" s="343"/>
      <c r="S53" s="2"/>
      <c r="T53" s="2"/>
      <c r="U53" s="343"/>
      <c r="V53" s="343"/>
      <c r="W53" s="343"/>
      <c r="X53" s="343"/>
      <c r="Y53" s="343"/>
      <c r="Z53" s="343"/>
      <c r="AA53" s="343"/>
      <c r="AB53" s="2"/>
      <c r="AC53" s="1044">
        <f t="shared" ref="AC53:AI53" si="7">H$20</f>
        <v>2019</v>
      </c>
      <c r="AD53" s="1044">
        <f t="shared" si="7"/>
        <v>2020</v>
      </c>
      <c r="AE53" s="1044">
        <f t="shared" si="7"/>
        <v>2021</v>
      </c>
      <c r="AF53" s="1044">
        <f t="shared" si="7"/>
        <v>2022</v>
      </c>
      <c r="AG53" s="1044">
        <f t="shared" si="7"/>
        <v>2023</v>
      </c>
      <c r="AH53" s="1044">
        <f t="shared" si="7"/>
        <v>2024</v>
      </c>
      <c r="AI53" s="1044">
        <f t="shared" si="7"/>
        <v>2025</v>
      </c>
      <c r="AJ53" s="2"/>
      <c r="AK53" s="2"/>
      <c r="AL53" s="2"/>
    </row>
    <row r="54" spans="1:38" s="534" customFormat="1" ht="13.5" customHeight="1" thickBot="1" x14ac:dyDescent="0.3">
      <c r="A54" s="343"/>
      <c r="B54" s="15"/>
      <c r="C54" s="15"/>
      <c r="D54" s="289" t="s">
        <v>8</v>
      </c>
      <c r="E54" s="925" t="str">
        <f>Translations!$B$528</f>
        <v>Direkta utsläpp</v>
      </c>
      <c r="F54" s="925"/>
      <c r="G54" s="456" t="str">
        <f>EUconst_tCO2pa</f>
        <v>t CO2 / år</v>
      </c>
      <c r="H54" s="614"/>
      <c r="I54" s="995"/>
      <c r="J54" s="1005"/>
      <c r="K54" s="615"/>
      <c r="L54" s="615"/>
      <c r="M54" s="614"/>
      <c r="N54" s="614"/>
      <c r="O54" s="15"/>
      <c r="P54" s="1362"/>
      <c r="Q54" s="343"/>
      <c r="R54" s="343"/>
      <c r="S54" s="2"/>
      <c r="T54" s="343"/>
      <c r="U54" s="343"/>
      <c r="V54" s="343"/>
      <c r="W54" s="343"/>
      <c r="X54" s="343"/>
      <c r="Y54" s="343"/>
      <c r="Z54" s="343"/>
      <c r="AA54" s="343"/>
      <c r="AB54" s="672" t="s">
        <v>782</v>
      </c>
      <c r="AC54" s="1766" t="b">
        <f t="shared" ref="AC54:AI54" si="8">IF(CNTR_ExistSubInstEntries,IF($I13="",TRUE,OR(H53&gt;=CNTR_ReportingYear,AC53&lt;$V13-1,INDEX(EUconst_BMlistElExchangability,MATCH($I13,EUconst_BMlistNames,0))=FALSE)),FALSE)</f>
        <v>0</v>
      </c>
      <c r="AD54" s="1052" t="b">
        <f t="shared" si="8"/>
        <v>0</v>
      </c>
      <c r="AE54" s="1052" t="b">
        <f t="shared" si="8"/>
        <v>0</v>
      </c>
      <c r="AF54" s="1052" t="b">
        <f t="shared" si="8"/>
        <v>0</v>
      </c>
      <c r="AG54" s="1052" t="b">
        <f t="shared" si="8"/>
        <v>0</v>
      </c>
      <c r="AH54" s="1052" t="b">
        <f t="shared" si="8"/>
        <v>0</v>
      </c>
      <c r="AI54" s="1053" t="b">
        <f t="shared" si="8"/>
        <v>0</v>
      </c>
      <c r="AJ54" s="553" t="s">
        <v>2248</v>
      </c>
      <c r="AK54" s="663" t="str">
        <f>IF(AND(CNTR_ExistSubInstEntries,COUNTIFS(AC54:AI54,FALSE,H54:N54,"")&gt;0),EUconst_Error&amp;"BM"&amp;$Q13,"")</f>
        <v/>
      </c>
      <c r="AL54" s="2"/>
    </row>
    <row r="55" spans="1:38" s="534" customFormat="1" ht="12.75" customHeight="1" x14ac:dyDescent="0.25">
      <c r="A55" s="343"/>
      <c r="B55" s="15"/>
      <c r="C55" s="15"/>
      <c r="D55" s="289" t="s">
        <v>9</v>
      </c>
      <c r="E55" s="923" t="str">
        <f>Translations!$B$529</f>
        <v>Nettomängd importerad värme</v>
      </c>
      <c r="F55" s="923"/>
      <c r="G55" s="459" t="str">
        <f>EUconst_TJpa</f>
        <v>TJ / år</v>
      </c>
      <c r="H55" s="460" t="str">
        <f t="shared" ref="H55:N55" si="9">IF(AND($I13&lt;&gt;"",H53&lt;CNTR_ReportingYear),IF(INDEX(EUconst_BMlistElExchangability,MATCH($I13,EUconst_BMlistNames,0)),SUM(H206),""),"")</f>
        <v/>
      </c>
      <c r="I55" s="996" t="str">
        <f t="shared" si="9"/>
        <v/>
      </c>
      <c r="J55" s="1006" t="str">
        <f t="shared" si="9"/>
        <v/>
      </c>
      <c r="K55" s="1002" t="str">
        <f t="shared" si="9"/>
        <v/>
      </c>
      <c r="L55" s="460" t="str">
        <f t="shared" si="9"/>
        <v/>
      </c>
      <c r="M55" s="460" t="str">
        <f t="shared" si="9"/>
        <v/>
      </c>
      <c r="N55" s="460" t="str">
        <f t="shared" si="9"/>
        <v/>
      </c>
      <c r="O55" s="15"/>
      <c r="P55" s="15"/>
      <c r="Q55" s="343"/>
      <c r="R55" s="343"/>
      <c r="S55" s="772"/>
      <c r="T55" s="609">
        <f t="shared" ref="T55:Z55" si="10">H53</f>
        <v>2019</v>
      </c>
      <c r="U55" s="609">
        <f t="shared" si="10"/>
        <v>2020</v>
      </c>
      <c r="V55" s="609">
        <f t="shared" si="10"/>
        <v>2021</v>
      </c>
      <c r="W55" s="609">
        <f t="shared" si="10"/>
        <v>2022</v>
      </c>
      <c r="X55" s="609">
        <f t="shared" si="10"/>
        <v>2023</v>
      </c>
      <c r="Y55" s="609">
        <f t="shared" si="10"/>
        <v>2024</v>
      </c>
      <c r="Z55" s="610">
        <f t="shared" si="10"/>
        <v>2025</v>
      </c>
      <c r="AA55" s="343"/>
      <c r="AB55" s="343"/>
      <c r="AC55" s="584"/>
      <c r="AD55" s="343"/>
      <c r="AE55" s="343"/>
      <c r="AF55" s="343"/>
      <c r="AG55" s="343"/>
      <c r="AH55" s="343"/>
      <c r="AI55" s="1328"/>
      <c r="AJ55" s="343"/>
      <c r="AK55" s="343"/>
      <c r="AL55" s="2"/>
    </row>
    <row r="56" spans="1:38" s="534" customFormat="1" ht="12.75" customHeight="1" thickBot="1" x14ac:dyDescent="0.3">
      <c r="A56" s="343"/>
      <c r="B56" s="15"/>
      <c r="C56" s="15"/>
      <c r="D56" s="289" t="s">
        <v>10</v>
      </c>
      <c r="E56" s="1778" t="str">
        <f>Translations!$B$530</f>
        <v>Relevant elförbrukning</v>
      </c>
      <c r="F56" s="1520"/>
      <c r="G56" s="473" t="str">
        <f>EUconst_MWhpa</f>
        <v>MWh / år</v>
      </c>
      <c r="H56" s="474"/>
      <c r="I56" s="997"/>
      <c r="J56" s="669"/>
      <c r="K56" s="1003"/>
      <c r="L56" s="474"/>
      <c r="M56" s="474"/>
      <c r="N56" s="474"/>
      <c r="O56" s="15"/>
      <c r="P56" s="1362"/>
      <c r="Q56" s="165" t="str">
        <f>EUconst_CNTR_HAL&amp;EUconst_CNTR_ELEXCH</f>
        <v>HAL_ELEXCH_</v>
      </c>
      <c r="R56" s="165" t="str">
        <f>EUconst_CNTR_HAL&amp;EUconst_CNTR_ELEXCH &amp; I13</f>
        <v>HAL_ELEXCH_</v>
      </c>
      <c r="S56" s="1888" t="str">
        <f>EUconst_CNTR_AttributedEmissions &amp; I13</f>
        <v>AttrEmissions_</v>
      </c>
      <c r="T56" s="1330" t="str">
        <f t="shared" ref="T56:Z56" si="11">IF(T21,SUM(H56)*EUconst_ElBM,"")</f>
        <v/>
      </c>
      <c r="U56" s="1330" t="str">
        <f t="shared" si="11"/>
        <v/>
      </c>
      <c r="V56" s="1330" t="str">
        <f t="shared" si="11"/>
        <v/>
      </c>
      <c r="W56" s="1330" t="str">
        <f t="shared" si="11"/>
        <v/>
      </c>
      <c r="X56" s="1330" t="str">
        <f t="shared" si="11"/>
        <v/>
      </c>
      <c r="Y56" s="1330" t="str">
        <f t="shared" si="11"/>
        <v/>
      </c>
      <c r="Z56" s="1331" t="str">
        <f t="shared" si="11"/>
        <v/>
      </c>
      <c r="AA56" s="343"/>
      <c r="AB56" s="343"/>
      <c r="AC56" s="1329" t="b">
        <f>AC54</f>
        <v>0</v>
      </c>
      <c r="AD56" s="1330" t="b">
        <f t="shared" ref="AD56:AI56" si="12">AD54</f>
        <v>0</v>
      </c>
      <c r="AE56" s="1330" t="b">
        <f t="shared" si="12"/>
        <v>0</v>
      </c>
      <c r="AF56" s="1330" t="b">
        <f t="shared" si="12"/>
        <v>0</v>
      </c>
      <c r="AG56" s="1330" t="b">
        <f t="shared" si="12"/>
        <v>0</v>
      </c>
      <c r="AH56" s="1330" t="b">
        <f t="shared" si="12"/>
        <v>0</v>
      </c>
      <c r="AI56" s="1331" t="b">
        <f t="shared" si="12"/>
        <v>0</v>
      </c>
      <c r="AJ56" s="553" t="s">
        <v>2248</v>
      </c>
      <c r="AK56" s="663" t="str">
        <f>IF(AND(CNTR_ExistSubInstEntries,COUNTIFS(AC56:AI56,FALSE,H56:N56,"")&gt;0),EUconst_Error&amp;"BM"&amp;$Q13,"")</f>
        <v/>
      </c>
      <c r="AL56" s="2"/>
    </row>
    <row r="57" spans="1:38" s="534" customFormat="1" ht="13.5" customHeight="1" x14ac:dyDescent="0.25">
      <c r="A57" s="343"/>
      <c r="B57" s="15"/>
      <c r="C57" s="15"/>
      <c r="D57" s="289" t="s">
        <v>23</v>
      </c>
      <c r="E57" s="925" t="str">
        <f>Translations!$B$531</f>
        <v>Totala direkta utsläpp</v>
      </c>
      <c r="F57" s="925"/>
      <c r="G57" s="456" t="str">
        <f>EUconst_tCO2pa</f>
        <v>t CO2 / år</v>
      </c>
      <c r="H57" s="457" t="str">
        <f t="shared" ref="H57:N57" si="13">IF(ISNUMBER(H54),H54+SUM(H55)*EUconst_HeatBMvalue,"")</f>
        <v/>
      </c>
      <c r="I57" s="998" t="str">
        <f t="shared" si="13"/>
        <v/>
      </c>
      <c r="J57" s="1007" t="str">
        <f t="shared" si="13"/>
        <v/>
      </c>
      <c r="K57" s="458" t="str">
        <f t="shared" si="13"/>
        <v/>
      </c>
      <c r="L57" s="458" t="str">
        <f t="shared" si="13"/>
        <v/>
      </c>
      <c r="M57" s="457" t="str">
        <f t="shared" si="13"/>
        <v/>
      </c>
      <c r="N57" s="457" t="str">
        <f t="shared" si="13"/>
        <v/>
      </c>
      <c r="O57" s="15"/>
      <c r="P57" s="15"/>
      <c r="Q57" s="343"/>
      <c r="R57" s="343"/>
      <c r="S57" s="2"/>
      <c r="T57" s="2"/>
      <c r="U57" s="343"/>
      <c r="V57" s="343"/>
      <c r="W57" s="343"/>
      <c r="X57" s="343"/>
      <c r="Y57" s="343"/>
      <c r="Z57" s="343"/>
      <c r="AA57" s="343"/>
      <c r="AB57" s="343"/>
      <c r="AC57" s="343"/>
      <c r="AD57" s="343"/>
      <c r="AE57" s="343"/>
      <c r="AF57" s="343"/>
      <c r="AG57" s="343"/>
      <c r="AH57" s="343"/>
      <c r="AI57" s="343"/>
      <c r="AJ57" s="343"/>
      <c r="AK57" s="343"/>
      <c r="AL57" s="2"/>
    </row>
    <row r="58" spans="1:38" s="534" customFormat="1" ht="13.5" customHeight="1" x14ac:dyDescent="0.25">
      <c r="A58" s="343"/>
      <c r="B58" s="15"/>
      <c r="C58" s="15"/>
      <c r="D58" s="289" t="s">
        <v>859</v>
      </c>
      <c r="E58" s="924" t="str">
        <f>Translations!$B$532</f>
        <v>Indirekta utsläpp</v>
      </c>
      <c r="F58" s="924"/>
      <c r="G58" s="461" t="str">
        <f>EUconst_tCO2pa</f>
        <v>t CO2 / år</v>
      </c>
      <c r="H58" s="462" t="str">
        <f t="shared" ref="H58:N58" si="14">IF(ISNUMBER(H56),H56*EUconst_ElBM,"")</f>
        <v/>
      </c>
      <c r="I58" s="999" t="str">
        <f t="shared" si="14"/>
        <v/>
      </c>
      <c r="J58" s="1008" t="str">
        <f t="shared" si="14"/>
        <v/>
      </c>
      <c r="K58" s="463" t="str">
        <f t="shared" si="14"/>
        <v/>
      </c>
      <c r="L58" s="463" t="str">
        <f t="shared" si="14"/>
        <v/>
      </c>
      <c r="M58" s="462" t="str">
        <f t="shared" si="14"/>
        <v/>
      </c>
      <c r="N58" s="462" t="str">
        <f t="shared" si="14"/>
        <v/>
      </c>
      <c r="O58" s="15"/>
      <c r="P58" s="15"/>
      <c r="Q58" s="343"/>
      <c r="R58" s="343"/>
      <c r="S58" s="2"/>
      <c r="T58" s="2"/>
      <c r="U58" s="343"/>
      <c r="V58" s="343"/>
      <c r="W58" s="343"/>
      <c r="X58" s="343"/>
      <c r="Y58" s="343"/>
      <c r="Z58" s="343"/>
      <c r="AA58" s="343"/>
      <c r="AB58" s="343"/>
      <c r="AC58" s="343"/>
      <c r="AD58" s="343"/>
      <c r="AE58" s="343"/>
      <c r="AF58" s="343"/>
      <c r="AG58" s="343"/>
      <c r="AH58" s="343"/>
      <c r="AI58" s="343"/>
      <c r="AJ58" s="343"/>
      <c r="AK58" s="343"/>
      <c r="AL58" s="2"/>
    </row>
    <row r="59" spans="1:38" ht="5.15" customHeight="1" x14ac:dyDescent="0.25">
      <c r="A59" s="2"/>
      <c r="B59" s="178"/>
      <c r="C59" s="178"/>
      <c r="D59" s="178"/>
      <c r="E59" s="178"/>
      <c r="F59" s="178"/>
      <c r="G59" s="178"/>
      <c r="H59" s="178"/>
      <c r="I59" s="178"/>
      <c r="J59" s="1009"/>
      <c r="K59" s="178"/>
      <c r="L59" s="178"/>
      <c r="M59" s="15"/>
      <c r="N59" s="15"/>
      <c r="O59" s="15"/>
      <c r="P59" s="15"/>
      <c r="Q59" s="343"/>
      <c r="R59" s="2"/>
      <c r="S59" s="2"/>
      <c r="T59" s="2"/>
      <c r="U59" s="343"/>
      <c r="V59" s="343"/>
      <c r="W59" s="343"/>
      <c r="X59" s="343"/>
      <c r="Y59" s="343"/>
      <c r="Z59" s="343"/>
      <c r="AA59" s="2"/>
      <c r="AB59" s="2"/>
      <c r="AC59" s="2"/>
      <c r="AD59" s="2"/>
      <c r="AE59" s="2"/>
      <c r="AF59" s="2"/>
      <c r="AG59" s="2"/>
      <c r="AH59" s="2"/>
      <c r="AI59" s="2"/>
      <c r="AJ59" s="2"/>
      <c r="AK59" s="2"/>
      <c r="AL59" s="2"/>
    </row>
    <row r="60" spans="1:38" ht="12.75" customHeight="1" x14ac:dyDescent="0.25">
      <c r="A60" s="2"/>
      <c r="B60" s="178"/>
      <c r="C60" s="178"/>
      <c r="D60" s="289" t="s">
        <v>860</v>
      </c>
      <c r="E60" s="514" t="s">
        <v>1526</v>
      </c>
      <c r="F60" s="929"/>
      <c r="G60" s="930" t="s">
        <v>1112</v>
      </c>
      <c r="H60" s="926" t="str">
        <f t="shared" ref="H60:N60" si="15">IF(COUNT(H57:H58)&gt;0,SUM(H57)/SUM(H57:H58),IF($T49=TRUE,IF(H53&gt;CNTR_ReportingYear,"",1),""))</f>
        <v/>
      </c>
      <c r="I60" s="1000" t="str">
        <f t="shared" si="15"/>
        <v/>
      </c>
      <c r="J60" s="1010" t="str">
        <f t="shared" si="15"/>
        <v/>
      </c>
      <c r="K60" s="1004" t="str">
        <f t="shared" si="15"/>
        <v/>
      </c>
      <c r="L60" s="926" t="str">
        <f t="shared" si="15"/>
        <v/>
      </c>
      <c r="M60" s="926" t="str">
        <f t="shared" si="15"/>
        <v/>
      </c>
      <c r="N60" s="926" t="str">
        <f t="shared" si="15"/>
        <v/>
      </c>
      <c r="O60" s="15"/>
      <c r="P60" s="15"/>
      <c r="Q60" s="165" t="str">
        <f>EUconst_CNTR_ELEXCH &amp; I13</f>
        <v>ELEXCH_</v>
      </c>
      <c r="R60" s="2"/>
      <c r="S60" s="2"/>
      <c r="T60" s="2"/>
      <c r="U60" s="2"/>
      <c r="V60" s="2"/>
      <c r="W60" s="2"/>
      <c r="X60" s="2"/>
      <c r="Y60" s="2"/>
      <c r="Z60" s="2"/>
      <c r="AA60" s="2"/>
      <c r="AB60" s="2"/>
      <c r="AC60" s="2"/>
      <c r="AD60" s="2"/>
      <c r="AE60" s="2"/>
      <c r="AF60" s="2"/>
      <c r="AG60" s="2"/>
      <c r="AH60" s="2"/>
      <c r="AI60" s="2"/>
      <c r="AJ60" s="2"/>
      <c r="AK60" s="2"/>
      <c r="AL60" s="2"/>
    </row>
    <row r="61" spans="1:38" ht="5.15" customHeight="1" x14ac:dyDescent="0.25">
      <c r="A61" s="2"/>
      <c r="B61" s="178"/>
      <c r="C61" s="178"/>
      <c r="D61" s="178"/>
      <c r="E61" s="178"/>
      <c r="F61" s="178"/>
      <c r="G61" s="178"/>
      <c r="H61" s="178"/>
      <c r="I61" s="178"/>
      <c r="J61" s="178"/>
      <c r="K61" s="178"/>
      <c r="L61" s="178"/>
      <c r="M61" s="15"/>
      <c r="N61" s="15"/>
      <c r="O61" s="15"/>
      <c r="P61" s="15"/>
      <c r="Q61" s="343"/>
      <c r="R61" s="2"/>
      <c r="S61" s="2"/>
      <c r="T61" s="2"/>
      <c r="U61" s="2"/>
      <c r="V61" s="2"/>
      <c r="W61" s="2"/>
      <c r="X61" s="2"/>
      <c r="Y61" s="2"/>
      <c r="Z61" s="2"/>
      <c r="AA61" s="2"/>
      <c r="AB61" s="2"/>
      <c r="AC61" s="2"/>
      <c r="AD61" s="2"/>
      <c r="AE61" s="2"/>
      <c r="AF61" s="2"/>
      <c r="AG61" s="2"/>
      <c r="AH61" s="2"/>
      <c r="AI61" s="2"/>
      <c r="AJ61" s="2"/>
      <c r="AK61" s="2"/>
      <c r="AL61" s="2"/>
    </row>
    <row r="62" spans="1:38" ht="25.5" customHeight="1" thickBot="1" x14ac:dyDescent="0.3">
      <c r="A62" s="2"/>
      <c r="B62" s="178"/>
      <c r="C62" s="178"/>
      <c r="D62" s="15"/>
      <c r="E62" s="2061" t="str">
        <f>Translations!$B$1479</f>
        <v>Baserat på uppgifterna ovan bestäms ett genomsnittligt årligt värde. Tilldelningen kommer endast att ändras om det relativa tröskelvärdet (15 % jämfört med värdet från de nationella genomförandeåtgärderna) och det absoluta tröskelvärdet (ändring leder till mer än 100 utsläppsrätter) överskrids, enligt artikel 6.4 i verksamhetsändringsförordningen.</v>
      </c>
      <c r="F62" s="1963"/>
      <c r="G62" s="1963"/>
      <c r="H62" s="1963"/>
      <c r="I62" s="1963"/>
      <c r="J62" s="1963"/>
      <c r="K62" s="1963"/>
      <c r="L62" s="1963"/>
      <c r="M62" s="1963"/>
      <c r="N62" s="1963"/>
      <c r="O62" s="15"/>
      <c r="P62" s="15"/>
      <c r="Q62" s="343"/>
      <c r="R62" s="2"/>
      <c r="S62" s="343"/>
      <c r="T62" s="343"/>
      <c r="U62" s="343"/>
      <c r="V62" s="2"/>
      <c r="W62" s="2"/>
      <c r="X62" s="2"/>
      <c r="Y62" s="2"/>
      <c r="Z62" s="2"/>
      <c r="AA62" s="2"/>
      <c r="AB62" s="2"/>
      <c r="AC62" s="2"/>
      <c r="AD62" s="2"/>
      <c r="AE62" s="2"/>
      <c r="AF62" s="2"/>
      <c r="AG62" s="2"/>
      <c r="AH62" s="2"/>
      <c r="AI62" s="2"/>
      <c r="AJ62" s="2"/>
      <c r="AK62" s="2"/>
      <c r="AL62" s="2"/>
    </row>
    <row r="63" spans="1:38" ht="5.15" customHeight="1" thickBot="1" x14ac:dyDescent="0.3">
      <c r="A63" s="2"/>
      <c r="B63" s="178"/>
      <c r="C63" s="178"/>
      <c r="D63" s="1238"/>
      <c r="E63" s="1266"/>
      <c r="F63" s="1266"/>
      <c r="G63" s="1266"/>
      <c r="H63" s="1266"/>
      <c r="I63" s="1266"/>
      <c r="J63" s="1266"/>
      <c r="K63" s="1266"/>
      <c r="L63" s="1266"/>
      <c r="M63" s="1266"/>
      <c r="N63" s="1267"/>
      <c r="O63" s="15"/>
      <c r="P63" s="15"/>
      <c r="Q63" s="343"/>
      <c r="R63" s="2"/>
      <c r="S63" s="343"/>
      <c r="T63" s="343"/>
      <c r="U63" s="343"/>
      <c r="V63" s="2"/>
      <c r="W63" s="2"/>
      <c r="X63" s="2"/>
      <c r="Y63" s="2"/>
      <c r="Z63" s="2"/>
      <c r="AA63" s="2"/>
      <c r="AB63" s="2"/>
      <c r="AC63" s="2"/>
      <c r="AD63" s="2"/>
      <c r="AE63" s="2"/>
      <c r="AF63" s="2"/>
      <c r="AG63" s="2"/>
      <c r="AH63" s="2"/>
      <c r="AI63" s="2"/>
      <c r="AJ63" s="2"/>
      <c r="AK63" s="2"/>
      <c r="AL63" s="2"/>
    </row>
    <row r="64" spans="1:38" ht="12.75" customHeight="1" x14ac:dyDescent="0.25">
      <c r="A64" s="2"/>
      <c r="B64" s="178"/>
      <c r="C64" s="178"/>
      <c r="D64" s="1290" t="s">
        <v>2191</v>
      </c>
      <c r="E64" s="1243" t="str">
        <f>Translations!$B$1480</f>
        <v>Justeringar: Elutbyte</v>
      </c>
      <c r="F64" s="1244"/>
      <c r="G64" s="1244"/>
      <c r="H64" s="1228" t="str">
        <f>EUconst_Unit</f>
        <v>Enhet</v>
      </c>
      <c r="I64" s="1229" t="str">
        <f>Translations!$B$1481</f>
        <v>Värde (NIMs)</v>
      </c>
      <c r="J64" s="1268">
        <f>J$3042</f>
        <v>2021</v>
      </c>
      <c r="K64" s="1230">
        <f>K$3042</f>
        <v>2022</v>
      </c>
      <c r="L64" s="1230">
        <f>L$3042</f>
        <v>2023</v>
      </c>
      <c r="M64" s="1230">
        <f>M$3042</f>
        <v>2024</v>
      </c>
      <c r="N64" s="1258">
        <f>N$3042</f>
        <v>2025</v>
      </c>
      <c r="O64" s="15"/>
      <c r="P64" s="15"/>
      <c r="Q64" s="343"/>
      <c r="R64" s="2"/>
      <c r="S64" s="2"/>
      <c r="T64" s="2"/>
      <c r="U64" s="772"/>
      <c r="V64" s="1077">
        <f>J64</f>
        <v>2021</v>
      </c>
      <c r="W64" s="1077">
        <f>K64</f>
        <v>2022</v>
      </c>
      <c r="X64" s="1077">
        <f>L64</f>
        <v>2023</v>
      </c>
      <c r="Y64" s="1077">
        <f>M64</f>
        <v>2024</v>
      </c>
      <c r="Z64" s="1078">
        <f>N64</f>
        <v>2025</v>
      </c>
      <c r="AA64" s="2"/>
      <c r="AB64" s="2"/>
      <c r="AC64" s="2"/>
      <c r="AD64" s="2"/>
      <c r="AE64" s="2"/>
      <c r="AF64" s="2"/>
      <c r="AG64" s="2"/>
      <c r="AH64" s="2"/>
      <c r="AI64" s="2"/>
      <c r="AJ64" s="2"/>
      <c r="AK64" s="2"/>
      <c r="AL64" s="343"/>
    </row>
    <row r="65" spans="1:38" ht="12.75" customHeight="1" x14ac:dyDescent="0.25">
      <c r="A65" s="2"/>
      <c r="B65" s="178"/>
      <c r="C65" s="178"/>
      <c r="D65" s="1246" t="s">
        <v>8</v>
      </c>
      <c r="E65" s="1231" t="str">
        <f>Translations!$B$1482</f>
        <v>Genomsnittligt årligt värde</v>
      </c>
      <c r="F65" s="1231"/>
      <c r="G65" s="1231"/>
      <c r="H65" s="1232" t="str">
        <f>G60</f>
        <v>-</v>
      </c>
      <c r="I65" s="1011" t="str">
        <f>IF($T49&lt;&gt;TRUE,"",INDEX('B+C_SubInstallations'!$L:$L,MATCH(Q65,'B+C_SubInstallations'!$W:$W,0)))</f>
        <v/>
      </c>
      <c r="J65" s="1012" t="str">
        <f>IF($T49&lt;&gt;TRUE,"",IF(AND(V65&gt;=3,CNTR_ReportingYear&gt;J64-1),AVERAGE(SUM(H60),SUM(I60)),""))</f>
        <v/>
      </c>
      <c r="K65" s="927" t="str">
        <f>IF($T49&lt;&gt;TRUE,"",IF(AND(W65&gt;=3,CNTR_ReportingYear&gt;K64-1),AVERAGE(SUM(I60),SUM(J60)),""))</f>
        <v/>
      </c>
      <c r="L65" s="927" t="str">
        <f>IF($T49&lt;&gt;TRUE,"",IF(AND(X65&gt;=3,CNTR_ReportingYear&gt;L64-1),AVERAGE(SUM(J60),SUM(K60)),""))</f>
        <v/>
      </c>
      <c r="M65" s="927" t="str">
        <f>IF($T49&lt;&gt;TRUE,"",IF(AND(Y65&gt;=3,CNTR_ReportingYear&gt;M64-1),AVERAGE(SUM(K60),SUM(L60)),""))</f>
        <v/>
      </c>
      <c r="N65" s="1222" t="str">
        <f>IF($T49&lt;&gt;TRUE,"",IF(AND(Z65&gt;=3,CNTR_ReportingYear&gt;N64-1),AVERAGE(SUM(L60),SUM(M60)),""))</f>
        <v/>
      </c>
      <c r="O65" s="15"/>
      <c r="P65" s="15"/>
      <c r="Q65" s="165" t="str">
        <f>EUconst_CNTR_HAL &amp; EUconst_CNTR_ELEXCHInitial &amp; I13</f>
        <v>HAL_ELEXCHIni_</v>
      </c>
      <c r="R65" s="2"/>
      <c r="S65" s="2"/>
      <c r="T65" s="2"/>
      <c r="U65" s="1079" t="s">
        <v>1850</v>
      </c>
      <c r="V65" s="663">
        <f>V35</f>
        <v>0</v>
      </c>
      <c r="W65" s="663">
        <f>W35</f>
        <v>0</v>
      </c>
      <c r="X65" s="663">
        <f>X35</f>
        <v>0</v>
      </c>
      <c r="Y65" s="663">
        <f>Y35</f>
        <v>0</v>
      </c>
      <c r="Z65" s="1080">
        <f>Z35</f>
        <v>0</v>
      </c>
      <c r="AA65" s="2"/>
      <c r="AB65" s="2"/>
      <c r="AC65" s="2"/>
      <c r="AD65" s="2"/>
      <c r="AE65" s="2"/>
      <c r="AF65" s="2"/>
      <c r="AG65" s="2"/>
      <c r="AH65" s="2"/>
      <c r="AI65" s="2"/>
      <c r="AJ65" s="2"/>
      <c r="AK65" s="2"/>
      <c r="AL65" s="343"/>
    </row>
    <row r="66" spans="1:38" ht="12.75" hidden="1" customHeight="1" x14ac:dyDescent="0.25">
      <c r="A66" s="343" t="s">
        <v>346</v>
      </c>
      <c r="B66" s="178"/>
      <c r="C66" s="178"/>
      <c r="D66" s="1246"/>
      <c r="E66" s="1231" t="s">
        <v>1980</v>
      </c>
      <c r="F66" s="1231"/>
      <c r="G66" s="1231"/>
      <c r="H66" s="1233"/>
      <c r="I66" s="1235"/>
      <c r="J66" s="1013" t="str">
        <f>IF(J65="","",IF($I68=0,IF(J65=0,0%,100%),J65/$I68-1))</f>
        <v/>
      </c>
      <c r="K66" s="938" t="str">
        <f>IF(K65="","",IF($I68=0,IF(K65=0,0%,100%),K65/$I68-1))</f>
        <v/>
      </c>
      <c r="L66" s="938" t="str">
        <f>IF(L65="","",IF($I68=0,IF(L65=0,0%,100%),L65/$I68-1))</f>
        <v/>
      </c>
      <c r="M66" s="938" t="str">
        <f>IF(M65="","",IF($I68=0,IF(M65=0,0%,100%),M65/$I68-1))</f>
        <v/>
      </c>
      <c r="N66" s="1223" t="str">
        <f>IF(N65="","",IF($I68=0,IF(N65=0,0%,100%),N65/$I68-1))</f>
        <v/>
      </c>
      <c r="O66" s="15"/>
      <c r="P66" s="15"/>
      <c r="Q66" s="165" t="str">
        <f>EUconst_CNTR_RelThreshold &amp; Q68</f>
        <v>RelThresh_HALprelim_ELEXCH_</v>
      </c>
      <c r="R66" s="2"/>
      <c r="S66" s="2"/>
      <c r="T66" s="2"/>
      <c r="U66" s="1079" t="s">
        <v>1855</v>
      </c>
      <c r="V66" s="603" t="str">
        <f>IF(J65="","",ABS(J66)&gt;15%)</f>
        <v/>
      </c>
      <c r="W66" s="603" t="str">
        <f>IF(K65="","",ABS(K66)&gt;15%)</f>
        <v/>
      </c>
      <c r="X66" s="603" t="str">
        <f>IF(L65="","",ABS(L66)&gt;15%)</f>
        <v/>
      </c>
      <c r="Y66" s="603" t="str">
        <f>IF(M65="","",ABS(M66)&gt;15%)</f>
        <v/>
      </c>
      <c r="Z66" s="1756" t="str">
        <f>IF(N65="","",ABS(N66)&gt;15%)</f>
        <v/>
      </c>
      <c r="AA66" s="2"/>
      <c r="AB66" s="2"/>
      <c r="AC66" s="2"/>
      <c r="AD66" s="2"/>
      <c r="AE66" s="2"/>
      <c r="AF66" s="2"/>
      <c r="AG66" s="2"/>
      <c r="AH66" s="2"/>
      <c r="AI66" s="2"/>
      <c r="AJ66" s="2"/>
      <c r="AK66" s="2"/>
      <c r="AL66" s="343"/>
    </row>
    <row r="67" spans="1:38" ht="12.75" customHeight="1" x14ac:dyDescent="0.25">
      <c r="A67" s="343"/>
      <c r="B67" s="178"/>
      <c r="C67" s="178"/>
      <c r="D67" s="1246" t="s">
        <v>9</v>
      </c>
      <c r="E67" s="1231" t="str">
        <f>Translations!$B$1474</f>
        <v>Preliminär justering (om relativa tröskelvärden överskrids)</v>
      </c>
      <c r="F67" s="1231"/>
      <c r="G67" s="1231"/>
      <c r="H67" s="1233"/>
      <c r="I67" s="1235"/>
      <c r="J67" s="992" t="str">
        <f>IF(J65="","",IF(V66=FALSE,0%,J66))</f>
        <v/>
      </c>
      <c r="K67" s="937" t="str">
        <f>IF(K65="","",IF(W66=FALSE,0%,K66))</f>
        <v/>
      </c>
      <c r="L67" s="937" t="str">
        <f>IF(L65="","",IF(X66=FALSE,0%,L66))</f>
        <v/>
      </c>
      <c r="M67" s="937" t="str">
        <f>IF(M65="","",IF(Y66=FALSE,0%,M66))</f>
        <v/>
      </c>
      <c r="N67" s="1220" t="str">
        <f>IF(N65="","",IF(Z66=FALSE,0%,N66))</f>
        <v/>
      </c>
      <c r="O67" s="15"/>
      <c r="P67" s="15"/>
      <c r="Q67" s="343"/>
      <c r="R67" s="2"/>
      <c r="S67" s="2"/>
      <c r="T67" s="2"/>
      <c r="U67" s="1081"/>
      <c r="V67" s="2"/>
      <c r="W67" s="2"/>
      <c r="X67" s="2"/>
      <c r="Y67" s="2"/>
      <c r="Z67" s="228"/>
      <c r="AA67" s="2"/>
      <c r="AB67" s="2"/>
      <c r="AC67" s="2"/>
      <c r="AD67" s="2"/>
      <c r="AE67" s="2"/>
      <c r="AF67" s="2"/>
      <c r="AG67" s="2"/>
      <c r="AH67" s="2"/>
      <c r="AI67" s="2"/>
      <c r="AJ67" s="2"/>
      <c r="AK67" s="2"/>
      <c r="AL67" s="343"/>
    </row>
    <row r="68" spans="1:38" ht="12.75" hidden="1" customHeight="1" x14ac:dyDescent="0.25">
      <c r="A68" s="343" t="s">
        <v>346</v>
      </c>
      <c r="B68" s="178"/>
      <c r="C68" s="178"/>
      <c r="D68" s="1246"/>
      <c r="E68" s="1231" t="s">
        <v>1889</v>
      </c>
      <c r="F68" s="1231"/>
      <c r="G68" s="1231"/>
      <c r="H68" s="1232" t="str">
        <f>H65</f>
        <v>-</v>
      </c>
      <c r="I68" s="1011" t="str">
        <f>IF($T49&lt;&gt;TRUE,"",IF(AB13=FALSE,EUconst_NA,IF(V13&gt;($J$3042-3),INDEX(H60:N60,MATCH(V13,H53:N53,0)),SUM(I65))))</f>
        <v/>
      </c>
      <c r="J68" s="1014" t="str">
        <f>IF(OR($I13="",$T49=FALSE),"",IF(V65&lt;2,SUM(J60),IF(V65&lt;3,SUM(I60),IF(V68="",I68,V68))))</f>
        <v/>
      </c>
      <c r="K68" s="928" t="str">
        <f>IF(OR($I13="",$T49=FALSE),"",IF(W65&lt;2,SUM(K60),IF(W65&lt;3,SUM(J60),IF(W68="",J68,W68))))</f>
        <v/>
      </c>
      <c r="L68" s="928" t="str">
        <f>IF(OR($I13="",$T49=FALSE),"",IF(X65&lt;2,SUM(L60),IF(X65&lt;3,SUM(K60),IF(X68="",K68,X68))))</f>
        <v/>
      </c>
      <c r="M68" s="928" t="str">
        <f>IF(OR($I13="",$T49=FALSE),"",IF(Y65&lt;2,SUM(M60),IF(Y65&lt;3,SUM(L60),IF(Y68="",L68,Y68))))</f>
        <v/>
      </c>
      <c r="N68" s="1224" t="str">
        <f>IF(OR($I13="",$T49=FALSE),"",IF(Z65&lt;2,SUM(N60),IF(Z65&lt;3,SUM(M60),IF(Z68="",M68,Z68))))</f>
        <v/>
      </c>
      <c r="O68" s="15"/>
      <c r="P68" s="15"/>
      <c r="Q68" s="165" t="str">
        <f>EUconst_CNTR_HALprelim&amp;EUconst_CNTR_ELEXCH &amp; I13</f>
        <v>HALprelim_ELEXCH_</v>
      </c>
      <c r="R68" s="2"/>
      <c r="S68" s="2"/>
      <c r="T68" s="2"/>
      <c r="U68" s="1079" t="s">
        <v>1898</v>
      </c>
      <c r="V68" s="1753" t="str">
        <f>IF(J65="","",IF(CNTR_ReportingYear&lt;J64,I67,IF($I68=0,J65,$I68*(1+J67))))</f>
        <v/>
      </c>
      <c r="W68" s="1753" t="str">
        <f>IF(K65="","",IF(CNTR_ReportingYear&lt;K64,J67,IF($I68=0,K65,$I68*(1+K67))))</f>
        <v/>
      </c>
      <c r="X68" s="1753" t="str">
        <f>IF(L65="","",IF(CNTR_ReportingYear&lt;L64,K67,IF($I68=0,L65,$I68*(1+L67))))</f>
        <v/>
      </c>
      <c r="Y68" s="1753" t="str">
        <f>IF(M65="","",IF(CNTR_ReportingYear&lt;M64,L67,IF($I68=0,M65,$I68*(1+M67))))</f>
        <v/>
      </c>
      <c r="Z68" s="1760" t="str">
        <f>IF(N65="","",IF(CNTR_ReportingYear&lt;N64,M67,IF($I68=0,N65,$I68*(1+N67))))</f>
        <v/>
      </c>
      <c r="AA68" s="2"/>
      <c r="AB68" s="2"/>
      <c r="AC68" s="2"/>
      <c r="AD68" s="2"/>
      <c r="AE68" s="2"/>
      <c r="AF68" s="2"/>
      <c r="AG68" s="2"/>
      <c r="AH68" s="2"/>
      <c r="AI68" s="2"/>
      <c r="AJ68" s="2"/>
      <c r="AK68" s="2"/>
      <c r="AL68" s="343"/>
    </row>
    <row r="69" spans="1:38" ht="5.15" customHeight="1" x14ac:dyDescent="0.25">
      <c r="A69" s="343"/>
      <c r="B69" s="178"/>
      <c r="C69" s="178"/>
      <c r="D69" s="1246"/>
      <c r="E69" s="1244"/>
      <c r="F69" s="1244"/>
      <c r="G69" s="1244"/>
      <c r="H69" s="1244"/>
      <c r="I69" s="1244"/>
      <c r="J69" s="1236"/>
      <c r="K69" s="1236"/>
      <c r="L69" s="1236"/>
      <c r="M69" s="1236"/>
      <c r="N69" s="1247"/>
      <c r="O69" s="15"/>
      <c r="P69" s="15"/>
      <c r="Q69" s="343"/>
      <c r="R69" s="2"/>
      <c r="S69" s="2"/>
      <c r="T69" s="2"/>
      <c r="U69" s="1086"/>
      <c r="V69" s="343"/>
      <c r="W69" s="2"/>
      <c r="X69" s="2"/>
      <c r="Y69" s="2"/>
      <c r="Z69" s="228"/>
      <c r="AA69" s="2"/>
      <c r="AB69" s="2"/>
      <c r="AC69" s="2"/>
      <c r="AD69" s="2"/>
      <c r="AE69" s="2"/>
      <c r="AF69" s="2"/>
      <c r="AG69" s="2"/>
      <c r="AH69" s="2"/>
      <c r="AI69" s="2"/>
      <c r="AJ69" s="2"/>
      <c r="AK69" s="2"/>
      <c r="AL69" s="343"/>
    </row>
    <row r="70" spans="1:38" ht="12.75" customHeight="1" x14ac:dyDescent="0.25">
      <c r="A70" s="343"/>
      <c r="B70" s="178"/>
      <c r="C70" s="178"/>
      <c r="D70" s="1246"/>
      <c r="E70" s="1234" t="str">
        <f>Translations!$B$1475</f>
        <v>Faktisk justering (grund för följande år)</v>
      </c>
      <c r="F70" s="1234"/>
      <c r="G70" s="1234"/>
      <c r="H70" s="1234"/>
      <c r="I70" s="1234"/>
      <c r="J70" s="1268">
        <f>J$3042</f>
        <v>2021</v>
      </c>
      <c r="K70" s="1230">
        <f>K$3042</f>
        <v>2022</v>
      </c>
      <c r="L70" s="1230">
        <f>L$3042</f>
        <v>2023</v>
      </c>
      <c r="M70" s="1230">
        <f>M$3042</f>
        <v>2024</v>
      </c>
      <c r="N70" s="1258">
        <f>N$3042</f>
        <v>2025</v>
      </c>
      <c r="O70" s="15"/>
      <c r="P70" s="15"/>
      <c r="Q70" s="343"/>
      <c r="R70" s="2"/>
      <c r="S70" s="2"/>
      <c r="T70" s="2"/>
      <c r="U70" s="584"/>
      <c r="V70" s="2"/>
      <c r="W70" s="2"/>
      <c r="X70" s="2"/>
      <c r="Y70" s="2"/>
      <c r="Z70" s="228"/>
      <c r="AA70" s="2"/>
      <c r="AB70" s="2"/>
      <c r="AC70" s="2"/>
      <c r="AD70" s="2"/>
      <c r="AE70" s="2"/>
      <c r="AF70" s="2"/>
      <c r="AG70" s="2"/>
      <c r="AH70" s="2"/>
      <c r="AI70" s="2"/>
      <c r="AJ70" s="2"/>
      <c r="AK70" s="2"/>
      <c r="AL70" s="343"/>
    </row>
    <row r="71" spans="1:38" ht="12.75" customHeight="1" x14ac:dyDescent="0.25">
      <c r="A71" s="343"/>
      <c r="B71" s="178"/>
      <c r="C71" s="178"/>
      <c r="D71" s="1246" t="s">
        <v>10</v>
      </c>
      <c r="E71" s="1231" t="str">
        <f>Translations!$B$1476</f>
        <v>&gt;= 100 utsläppsrätter kriterium uppnått?</v>
      </c>
      <c r="F71" s="1231"/>
      <c r="G71" s="1231"/>
      <c r="H71" s="1231"/>
      <c r="I71" s="1231"/>
      <c r="J71" s="994" t="str">
        <f>IF(OR($I13="",$T49=FALSE),"",INDEX(K_Summary!J:J,MATCH($Q71,K_Summary!$P:$P,0)))</f>
        <v/>
      </c>
      <c r="K71" s="912" t="str">
        <f>IF(OR($I13="",$T49=FALSE),"",INDEX(K_Summary!K:K,MATCH($Q71,K_Summary!$P:$P,0)))</f>
        <v/>
      </c>
      <c r="L71" s="912" t="str">
        <f>IF(OR($I13="",$T49=FALSE),"",INDEX(K_Summary!L:L,MATCH($Q71,K_Summary!$P:$P,0)))</f>
        <v/>
      </c>
      <c r="M71" s="912" t="str">
        <f>IF(OR($I13="",$T49=FALSE),"",INDEX(K_Summary!M:M,MATCH($Q71,K_Summary!$P:$P,0)))</f>
        <v/>
      </c>
      <c r="N71" s="1221" t="str">
        <f>IF(OR($I13="",$T49=FALSE),"",INDEX(K_Summary!N:N,MATCH($Q71,K_Summary!$P:$P,0)))</f>
        <v/>
      </c>
      <c r="O71" s="15"/>
      <c r="P71" s="15"/>
      <c r="Q71" s="165" t="str">
        <f>EUconst_CNTR_100EUA_ElExch&amp;I13</f>
        <v>EUA100ElExch_</v>
      </c>
      <c r="R71" s="2"/>
      <c r="S71" s="2"/>
      <c r="T71" s="2"/>
      <c r="U71" s="584"/>
      <c r="V71" s="2"/>
      <c r="W71" s="2"/>
      <c r="X71" s="2"/>
      <c r="Y71" s="2"/>
      <c r="Z71" s="228"/>
      <c r="AA71" s="2"/>
      <c r="AB71" s="2"/>
      <c r="AC71" s="2"/>
      <c r="AD71" s="2"/>
      <c r="AE71" s="2"/>
      <c r="AF71" s="2"/>
      <c r="AG71" s="2"/>
      <c r="AH71" s="2"/>
      <c r="AI71" s="2"/>
      <c r="AJ71" s="2"/>
      <c r="AK71" s="2"/>
      <c r="AL71" s="343"/>
    </row>
    <row r="72" spans="1:38" ht="5.15" customHeight="1" thickBot="1" x14ac:dyDescent="0.3">
      <c r="A72" s="343"/>
      <c r="B72" s="178"/>
      <c r="C72" s="178"/>
      <c r="D72" s="1246"/>
      <c r="E72" s="1244"/>
      <c r="F72" s="1244"/>
      <c r="G72" s="1244"/>
      <c r="H72" s="1244"/>
      <c r="I72" s="1244"/>
      <c r="J72" s="1244"/>
      <c r="K72" s="1244"/>
      <c r="L72" s="1244"/>
      <c r="M72" s="1244"/>
      <c r="N72" s="1248"/>
      <c r="O72" s="15"/>
      <c r="P72" s="15"/>
      <c r="Q72" s="343"/>
      <c r="R72" s="2"/>
      <c r="S72" s="2"/>
      <c r="T72" s="2"/>
      <c r="U72" s="1086"/>
      <c r="V72" s="343"/>
      <c r="W72" s="2"/>
      <c r="X72" s="2"/>
      <c r="Y72" s="2"/>
      <c r="Z72" s="228"/>
      <c r="AA72" s="2"/>
      <c r="AB72" s="2"/>
      <c r="AC72" s="2"/>
      <c r="AD72" s="2"/>
      <c r="AE72" s="2"/>
      <c r="AF72" s="2"/>
      <c r="AG72" s="2"/>
      <c r="AH72" s="2"/>
      <c r="AI72" s="2"/>
      <c r="AJ72" s="2"/>
      <c r="AK72" s="2"/>
      <c r="AL72" s="343"/>
    </row>
    <row r="73" spans="1:38" ht="12.75" customHeight="1" thickBot="1" x14ac:dyDescent="0.3">
      <c r="A73" s="2"/>
      <c r="B73" s="178"/>
      <c r="C73" s="178"/>
      <c r="D73" s="1246" t="s">
        <v>23</v>
      </c>
      <c r="E73" s="1231" t="str">
        <f>Translations!$B$1477</f>
        <v>Faktisk justering (om alla tröskelvärden överskrids)</v>
      </c>
      <c r="F73" s="1231"/>
      <c r="G73" s="1231"/>
      <c r="H73" s="1233"/>
      <c r="I73" s="1237"/>
      <c r="J73" s="1099" t="str">
        <f>IF(J71="","",IF(OR(J71,V65&lt;1),J67,I73))</f>
        <v/>
      </c>
      <c r="K73" s="1100" t="str">
        <f>IF(K71="","",IF(OR(K71,W65&lt;1),K67,J73))</f>
        <v/>
      </c>
      <c r="L73" s="1100" t="str">
        <f>IF(L71="","",IF(OR(L71,X65&lt;1),L67,K73))</f>
        <v/>
      </c>
      <c r="M73" s="1100" t="str">
        <f>IF(M71="","",IF(OR(M71,Y65&lt;1),M67,L73))</f>
        <v/>
      </c>
      <c r="N73" s="1101" t="str">
        <f>IF(N71="","",IF(OR(N71,Z65&lt;1),N67,M73))</f>
        <v/>
      </c>
      <c r="O73" s="15"/>
      <c r="P73" s="15"/>
      <c r="Q73" s="343"/>
      <c r="R73" s="2"/>
      <c r="S73" s="2"/>
      <c r="T73" s="2"/>
      <c r="U73" s="1086" t="s">
        <v>1858</v>
      </c>
      <c r="V73" s="1068">
        <f>J70</f>
        <v>2021</v>
      </c>
      <c r="W73" s="1068">
        <f>K70</f>
        <v>2022</v>
      </c>
      <c r="X73" s="1068">
        <f>L70</f>
        <v>2023</v>
      </c>
      <c r="Y73" s="1068">
        <f>M70</f>
        <v>2024</v>
      </c>
      <c r="Z73" s="1087">
        <f>N70</f>
        <v>2025</v>
      </c>
      <c r="AA73" s="2"/>
      <c r="AB73" s="2"/>
      <c r="AC73" s="2"/>
      <c r="AD73" s="2"/>
      <c r="AE73" s="2"/>
      <c r="AF73" s="2"/>
      <c r="AG73" s="2"/>
      <c r="AH73" s="2"/>
      <c r="AI73" s="2"/>
      <c r="AJ73" s="2"/>
      <c r="AK73" s="2"/>
      <c r="AL73" s="343"/>
    </row>
    <row r="74" spans="1:38" ht="12.75" customHeight="1" thickBot="1" x14ac:dyDescent="0.3">
      <c r="A74" s="343"/>
      <c r="B74" s="178"/>
      <c r="C74" s="178"/>
      <c r="D74" s="1246" t="s">
        <v>859</v>
      </c>
      <c r="E74" s="1231" t="str">
        <f>Translations!$B$1478</f>
        <v>Faktiskt värde</v>
      </c>
      <c r="F74" s="1231"/>
      <c r="G74" s="1231"/>
      <c r="H74" s="1232" t="str">
        <f>H65</f>
        <v>-</v>
      </c>
      <c r="I74" s="1011" t="str">
        <f>I68</f>
        <v/>
      </c>
      <c r="J74" s="1069" t="str">
        <f>IF(OR($I13="",$T49=FALSE),"",IF(OR($I74=0,$I74=EUconst_NA,J73="",J70&lt;=$V13),J68,$I74*(1+SUM(J73))))</f>
        <v/>
      </c>
      <c r="K74" s="1070" t="str">
        <f>IF(OR($I13="",$T49=FALSE),"",IF(OR($I74=0,$I74=EUconst_NA,K73="",K70&lt;=$V13),K68,$I74*(1+SUM(K73))))</f>
        <v/>
      </c>
      <c r="L74" s="1070" t="str">
        <f>IF(OR($I13="",$T49=FALSE),"",IF(OR($I74=0,$I74=EUconst_NA,L73="",L70&lt;=$V13),L68,$I74*(1+SUM(L73))))</f>
        <v/>
      </c>
      <c r="M74" s="1070" t="str">
        <f>IF(OR($I13="",$T49=FALSE),"",IF(OR($I74=0,$I74=EUconst_NA,M73="",M70&lt;=$V13),M68,$I74*(1+SUM(M73))))</f>
        <v/>
      </c>
      <c r="N74" s="1071" t="str">
        <f>IF(OR($I13="",$T49=FALSE),"",IF(OR($I74=0,$I74=EUconst_NA,N73="",N70&lt;=$V13),N68,$I74*(1+SUM(N73))))</f>
        <v/>
      </c>
      <c r="O74" s="15"/>
      <c r="P74" s="15"/>
      <c r="Q74" s="165" t="str">
        <f>EUconst_CNTR_HALfinal&amp;EUconst_CNTR_ELEXCH &amp; I13</f>
        <v>HALfinal_ELEXCH_</v>
      </c>
      <c r="R74" s="2"/>
      <c r="S74" s="2"/>
      <c r="T74" s="2"/>
      <c r="U74" s="1765" t="b">
        <v>0</v>
      </c>
      <c r="V74" s="1757" t="str">
        <f>IF(V21,IF(J71=TRUE,V66,U74),"")</f>
        <v/>
      </c>
      <c r="W74" s="1757" t="str">
        <f>IF(W21,IF(K71=TRUE,W66,V74),"")</f>
        <v/>
      </c>
      <c r="X74" s="1757" t="str">
        <f>IF(X21,IF(L71=TRUE,X66,W74),"")</f>
        <v/>
      </c>
      <c r="Y74" s="1757" t="str">
        <f>IF(Y21,IF(M71=TRUE,Y66,X74),"")</f>
        <v/>
      </c>
      <c r="Z74" s="1758" t="str">
        <f>IF(Z21,IF(N71=TRUE,Z66,Y74),"")</f>
        <v/>
      </c>
      <c r="AA74" s="2"/>
      <c r="AB74" s="2"/>
      <c r="AC74" s="2"/>
      <c r="AD74" s="2"/>
      <c r="AE74" s="2"/>
      <c r="AF74" s="2"/>
      <c r="AG74" s="2"/>
      <c r="AH74" s="2"/>
      <c r="AI74" s="2"/>
      <c r="AJ74" s="553" t="s">
        <v>2242</v>
      </c>
      <c r="AK74" s="108" t="str">
        <f>IF(OR(ISERROR(J74),ISERROR(K74),ISERROR(L74),ISERROR(M74),ISERROR(N74)),EUconst_Error &amp; "BM" &amp; Q13,"")</f>
        <v/>
      </c>
      <c r="AL74" s="343"/>
    </row>
    <row r="75" spans="1:38" ht="5.15" customHeight="1" thickBot="1" x14ac:dyDescent="0.3">
      <c r="A75" s="2"/>
      <c r="B75" s="178"/>
      <c r="C75" s="178"/>
      <c r="D75" s="1269"/>
      <c r="E75" s="1270"/>
      <c r="F75" s="1270"/>
      <c r="G75" s="1270"/>
      <c r="H75" s="1270"/>
      <c r="I75" s="1270"/>
      <c r="J75" s="1270"/>
      <c r="K75" s="1270"/>
      <c r="L75" s="1270"/>
      <c r="M75" s="1272"/>
      <c r="N75" s="1273"/>
      <c r="O75" s="15"/>
      <c r="P75" s="15"/>
      <c r="Q75" s="343"/>
      <c r="R75" s="2"/>
      <c r="S75" s="2"/>
      <c r="T75" s="2"/>
      <c r="U75" s="2"/>
      <c r="V75" s="2"/>
      <c r="W75" s="2"/>
      <c r="X75" s="2"/>
      <c r="Y75" s="2"/>
      <c r="Z75" s="2"/>
      <c r="AA75" s="2"/>
      <c r="AB75" s="2"/>
      <c r="AC75" s="2"/>
      <c r="AD75" s="2"/>
      <c r="AE75" s="2"/>
      <c r="AF75" s="2"/>
      <c r="AG75" s="2"/>
      <c r="AH75" s="2"/>
      <c r="AI75" s="2"/>
      <c r="AJ75" s="2"/>
      <c r="AK75" s="2"/>
      <c r="AL75" s="2"/>
    </row>
    <row r="76" spans="1:38" ht="5.15" customHeight="1" x14ac:dyDescent="0.25">
      <c r="A76" s="2"/>
      <c r="B76" s="178"/>
      <c r="C76" s="178"/>
      <c r="D76" s="178"/>
      <c r="E76" s="178"/>
      <c r="F76" s="178"/>
      <c r="G76" s="178"/>
      <c r="H76" s="178"/>
      <c r="I76" s="178"/>
      <c r="J76" s="178"/>
      <c r="K76" s="178"/>
      <c r="L76" s="178"/>
      <c r="M76" s="15"/>
      <c r="N76" s="15"/>
      <c r="O76" s="15"/>
      <c r="P76" s="15"/>
      <c r="Q76" s="343"/>
      <c r="R76" s="2"/>
      <c r="S76" s="2"/>
      <c r="T76" s="2"/>
      <c r="U76" s="2"/>
      <c r="V76" s="2"/>
      <c r="W76" s="2"/>
      <c r="X76" s="2"/>
      <c r="Y76" s="2"/>
      <c r="Z76" s="2"/>
      <c r="AA76" s="2"/>
      <c r="AB76" s="2"/>
      <c r="AC76" s="2"/>
      <c r="AD76" s="2"/>
      <c r="AE76" s="2"/>
      <c r="AF76" s="2"/>
      <c r="AG76" s="2"/>
      <c r="AH76" s="2"/>
      <c r="AI76" s="2"/>
      <c r="AJ76" s="2"/>
      <c r="AK76" s="2"/>
      <c r="AL76" s="2"/>
    </row>
    <row r="77" spans="1:38" ht="13" x14ac:dyDescent="0.25">
      <c r="A77" s="2"/>
      <c r="B77" s="178"/>
      <c r="C77" s="178"/>
      <c r="D77" s="13" t="s">
        <v>960</v>
      </c>
      <c r="E77" s="1943" t="str">
        <f>Translations!$B$533</f>
        <v>Värme som importeras från anläggningar eller enheter utanför ETS:</v>
      </c>
      <c r="F77" s="1943"/>
      <c r="G77" s="1943"/>
      <c r="H77" s="1943"/>
      <c r="I77" s="2067"/>
      <c r="J77" s="2652" t="str">
        <f>IF(I13="","",HYPERLINK(R77,EUconst_MsgGoOnIfNotRelevant))</f>
        <v/>
      </c>
      <c r="K77" s="2653"/>
      <c r="L77" s="2653"/>
      <c r="M77" s="2653"/>
      <c r="N77" s="2654"/>
      <c r="O77" s="15"/>
      <c r="P77" s="15"/>
      <c r="Q77" s="2" t="s">
        <v>484</v>
      </c>
      <c r="R77" s="294" t="str">
        <f>"#"&amp;ADDRESS(ROW(D102),COLUMN(D102))</f>
        <v>#$D$102</v>
      </c>
      <c r="S77" s="2"/>
      <c r="T77" s="2"/>
      <c r="U77" s="2"/>
      <c r="V77" s="2"/>
      <c r="W77" s="2"/>
      <c r="X77" s="2"/>
      <c r="Y77" s="2"/>
      <c r="Z77" s="2"/>
      <c r="AA77" s="2"/>
      <c r="AB77" s="2"/>
      <c r="AC77" s="2"/>
      <c r="AD77" s="2"/>
      <c r="AE77" s="2"/>
      <c r="AF77" s="2"/>
      <c r="AG77" s="2"/>
      <c r="AH77" s="2"/>
      <c r="AI77" s="2"/>
      <c r="AJ77" s="2"/>
      <c r="AK77" s="2"/>
      <c r="AL77" s="2"/>
    </row>
    <row r="78" spans="1:38" x14ac:dyDescent="0.25">
      <c r="A78" s="2"/>
      <c r="B78" s="178"/>
      <c r="C78" s="178"/>
      <c r="D78" s="15"/>
      <c r="E78" s="2061" t="str">
        <f>Translations!$B$534</f>
        <v>Enligt artikel 21 i FAR måste en utsläppsmängd dras av från det preliminära årsantalet utsläppsrätter från delanläggningar med produktriktmärke.</v>
      </c>
      <c r="F78" s="1963"/>
      <c r="G78" s="1963"/>
      <c r="H78" s="1963"/>
      <c r="I78" s="1963"/>
      <c r="J78" s="1963"/>
      <c r="K78" s="1963"/>
      <c r="L78" s="1963"/>
      <c r="M78" s="1963"/>
      <c r="N78" s="1963"/>
      <c r="O78" s="15"/>
      <c r="P78" s="15"/>
      <c r="Q78" s="343"/>
      <c r="R78" s="2"/>
      <c r="S78" s="2"/>
      <c r="T78" s="2"/>
      <c r="U78" s="343"/>
      <c r="V78" s="343"/>
      <c r="W78" s="2"/>
      <c r="X78" s="2"/>
      <c r="Y78" s="2"/>
      <c r="Z78" s="2"/>
      <c r="AA78" s="2"/>
      <c r="AB78" s="2"/>
      <c r="AC78" s="2"/>
      <c r="AD78" s="2"/>
      <c r="AE78" s="2"/>
      <c r="AF78" s="2"/>
      <c r="AG78" s="2"/>
      <c r="AH78" s="2"/>
      <c r="AI78" s="2"/>
      <c r="AJ78" s="2"/>
      <c r="AK78" s="2"/>
      <c r="AL78" s="2"/>
    </row>
    <row r="79" spans="1:38" x14ac:dyDescent="0.25">
      <c r="A79" s="2"/>
      <c r="B79" s="178"/>
      <c r="C79" s="178"/>
      <c r="D79" s="15"/>
      <c r="E79" s="2061" t="str">
        <f>Translations!$B$535</f>
        <v>Detta är mängden mätbar värme som importeras från anläggningar utanför ETS (inklusive eventuell värme från delanläggningar för salpetersyra) eller enheter multiplicerat med värmeriktmärket.</v>
      </c>
      <c r="F79" s="1963"/>
      <c r="G79" s="1963"/>
      <c r="H79" s="1963"/>
      <c r="I79" s="1963"/>
      <c r="J79" s="1963"/>
      <c r="K79" s="1963"/>
      <c r="L79" s="1963"/>
      <c r="M79" s="1963"/>
      <c r="N79" s="1963"/>
      <c r="O79" s="15"/>
      <c r="P79" s="15"/>
      <c r="Q79" s="343"/>
      <c r="R79" s="2"/>
      <c r="S79" s="2"/>
      <c r="T79" s="2"/>
      <c r="U79" s="343"/>
      <c r="V79" s="343"/>
      <c r="W79" s="2"/>
      <c r="X79" s="2"/>
      <c r="Y79" s="2"/>
      <c r="Z79" s="2"/>
      <c r="AA79" s="2"/>
      <c r="AB79" s="2"/>
      <c r="AC79" s="2"/>
      <c r="AD79" s="2"/>
      <c r="AE79" s="2"/>
      <c r="AF79" s="2"/>
      <c r="AG79" s="2"/>
      <c r="AH79" s="2"/>
      <c r="AI79" s="2"/>
      <c r="AJ79" s="2"/>
      <c r="AK79" s="2"/>
      <c r="AL79" s="2"/>
    </row>
    <row r="80" spans="1:38" x14ac:dyDescent="0.25">
      <c r="A80" s="2"/>
      <c r="B80" s="178"/>
      <c r="C80" s="178"/>
      <c r="D80" s="15"/>
      <c r="E80" s="2061" t="str">
        <f>Translations!$B$536</f>
        <v>Var god ange relevanta värden här. Notera att värdena måste överensstämma med delsummorna för import från anläggningar och enheter utanför ETS enligt punkt E.II.c i bladet ”E_Energy flows”.</v>
      </c>
      <c r="F80" s="1963"/>
      <c r="G80" s="1963"/>
      <c r="H80" s="1963"/>
      <c r="I80" s="1963"/>
      <c r="J80" s="1963"/>
      <c r="K80" s="1963"/>
      <c r="L80" s="1963"/>
      <c r="M80" s="1963"/>
      <c r="N80" s="1963"/>
      <c r="O80" s="15"/>
      <c r="P80" s="15"/>
      <c r="Q80" s="343"/>
      <c r="R80" s="2"/>
      <c r="S80" s="2"/>
      <c r="T80" s="2"/>
      <c r="U80" s="343"/>
      <c r="V80" s="343"/>
      <c r="W80" s="2"/>
      <c r="X80" s="2"/>
      <c r="Y80" s="2"/>
      <c r="Z80" s="2"/>
      <c r="AA80" s="2"/>
      <c r="AB80" s="2"/>
      <c r="AC80" s="2"/>
      <c r="AD80" s="2"/>
      <c r="AE80" s="2"/>
      <c r="AF80" s="2"/>
      <c r="AG80" s="2"/>
      <c r="AH80" s="2"/>
      <c r="AI80" s="2"/>
      <c r="AJ80" s="2"/>
      <c r="AK80" s="2"/>
      <c r="AL80" s="2"/>
    </row>
    <row r="81" spans="1:38" x14ac:dyDescent="0.25">
      <c r="A81" s="2"/>
      <c r="B81" s="178"/>
      <c r="C81" s="178"/>
      <c r="D81" s="15"/>
      <c r="E81" s="2061" t="str">
        <f>Translations!$B$537</f>
        <v>Uppgifterna måste också överensstämma med den totala mätbara nettovärme som importeras, vilken anges i punkt k.i nedan.</v>
      </c>
      <c r="F81" s="1963"/>
      <c r="G81" s="1963"/>
      <c r="H81" s="1963"/>
      <c r="I81" s="1963"/>
      <c r="J81" s="1963"/>
      <c r="K81" s="1963"/>
      <c r="L81" s="1963"/>
      <c r="M81" s="1963"/>
      <c r="N81" s="1963"/>
      <c r="O81" s="15"/>
      <c r="P81" s="15"/>
      <c r="Q81" s="343"/>
      <c r="R81" s="2"/>
      <c r="S81" s="2"/>
      <c r="T81" s="2"/>
      <c r="U81" s="343"/>
      <c r="V81" s="343"/>
      <c r="W81" s="343"/>
      <c r="X81" s="343"/>
      <c r="Y81" s="343"/>
      <c r="Z81" s="343"/>
      <c r="AA81" s="2"/>
      <c r="AB81" s="2"/>
      <c r="AC81" s="2"/>
      <c r="AD81" s="2"/>
      <c r="AE81" s="2"/>
      <c r="AF81" s="2"/>
      <c r="AG81" s="2"/>
      <c r="AH81" s="2"/>
      <c r="AI81" s="2"/>
      <c r="AJ81" s="2"/>
      <c r="AK81" s="2"/>
      <c r="AL81" s="2"/>
    </row>
    <row r="82" spans="1:38" ht="13.5" thickBot="1" x14ac:dyDescent="0.3">
      <c r="A82" s="2"/>
      <c r="B82" s="19"/>
      <c r="C82" s="19"/>
      <c r="D82" s="13"/>
      <c r="E82" s="914" t="str">
        <f>Translations!$B$527</f>
        <v>Parameter</v>
      </c>
      <c r="F82" s="913"/>
      <c r="G82" s="30" t="str">
        <f>EUconst_Unit</f>
        <v>Enhet</v>
      </c>
      <c r="H82" s="320">
        <f>H$3042</f>
        <v>2019</v>
      </c>
      <c r="I82" s="342">
        <f>I$3042</f>
        <v>2020</v>
      </c>
      <c r="J82" s="987">
        <f>J$112</f>
        <v>2021</v>
      </c>
      <c r="K82" s="320">
        <f>K$112</f>
        <v>2022</v>
      </c>
      <c r="L82" s="320">
        <f>L$112</f>
        <v>2023</v>
      </c>
      <c r="M82" s="320">
        <f>M$112</f>
        <v>2024</v>
      </c>
      <c r="N82" s="320">
        <f>N$112</f>
        <v>2025</v>
      </c>
      <c r="O82" s="15"/>
      <c r="P82" s="15"/>
      <c r="Q82" s="2"/>
      <c r="R82" s="40"/>
      <c r="S82" s="553" t="s">
        <v>2072</v>
      </c>
      <c r="T82" s="1044">
        <f>H82</f>
        <v>2019</v>
      </c>
      <c r="U82" s="1044">
        <f t="shared" ref="U82:Z82" si="16">I82</f>
        <v>2020</v>
      </c>
      <c r="V82" s="1044">
        <f t="shared" si="16"/>
        <v>2021</v>
      </c>
      <c r="W82" s="1044">
        <f t="shared" si="16"/>
        <v>2022</v>
      </c>
      <c r="X82" s="1044">
        <f t="shared" si="16"/>
        <v>2023</v>
      </c>
      <c r="Y82" s="1044">
        <f t="shared" si="16"/>
        <v>2024</v>
      </c>
      <c r="Z82" s="1044">
        <f t="shared" si="16"/>
        <v>2025</v>
      </c>
      <c r="AA82" s="40"/>
      <c r="AB82" s="2"/>
      <c r="AC82" s="1044">
        <f t="shared" ref="AC82:AI82" si="17">H$20</f>
        <v>2019</v>
      </c>
      <c r="AD82" s="1044">
        <f t="shared" si="17"/>
        <v>2020</v>
      </c>
      <c r="AE82" s="1044">
        <f t="shared" si="17"/>
        <v>2021</v>
      </c>
      <c r="AF82" s="1044">
        <f t="shared" si="17"/>
        <v>2022</v>
      </c>
      <c r="AG82" s="1044">
        <f t="shared" si="17"/>
        <v>2023</v>
      </c>
      <c r="AH82" s="1044">
        <f t="shared" si="17"/>
        <v>2024</v>
      </c>
      <c r="AI82" s="1044">
        <f t="shared" si="17"/>
        <v>2025</v>
      </c>
      <c r="AJ82" s="2"/>
      <c r="AK82" s="2"/>
      <c r="AL82" s="2"/>
    </row>
    <row r="83" spans="1:38" ht="13" customHeight="1" thickBot="1" x14ac:dyDescent="0.3">
      <c r="A83" s="2"/>
      <c r="B83" s="19"/>
      <c r="C83" s="19"/>
      <c r="D83" s="175" t="s">
        <v>8</v>
      </c>
      <c r="E83" s="915" t="str">
        <f>Translations!$B$538</f>
        <v>Mätbar värme som importeras från anläggningar utanför ETS:</v>
      </c>
      <c r="F83" s="915"/>
      <c r="G83" s="43" t="str">
        <f>EUconst_TJpa</f>
        <v>TJ / år</v>
      </c>
      <c r="H83" s="260"/>
      <c r="I83" s="670"/>
      <c r="J83" s="671"/>
      <c r="K83" s="260"/>
      <c r="L83" s="260"/>
      <c r="M83" s="260"/>
      <c r="N83" s="260"/>
      <c r="O83" s="15"/>
      <c r="P83" s="1362"/>
      <c r="Q83" s="108" t="str">
        <f>EUconst_CNTR_HAL&amp;EUconst_CNTR_nonETSMeasHeat</f>
        <v>HAL_mätbar värme utanför ETS</v>
      </c>
      <c r="R83" s="2"/>
      <c r="S83" s="553"/>
      <c r="T83" s="1551" t="str">
        <f t="shared" ref="T83:Z83" si="18">IF(H83="","",SUM(H83)*EUconst_HeatBMvalue)</f>
        <v/>
      </c>
      <c r="U83" s="1551" t="str">
        <f t="shared" si="18"/>
        <v/>
      </c>
      <c r="V83" s="1551" t="str">
        <f t="shared" si="18"/>
        <v/>
      </c>
      <c r="W83" s="1551" t="str">
        <f t="shared" si="18"/>
        <v/>
      </c>
      <c r="X83" s="1551" t="str">
        <f t="shared" si="18"/>
        <v/>
      </c>
      <c r="Y83" s="1551" t="str">
        <f t="shared" si="18"/>
        <v/>
      </c>
      <c r="Z83" s="1551" t="str">
        <f t="shared" si="18"/>
        <v/>
      </c>
      <c r="AA83" s="2"/>
      <c r="AB83" s="672" t="s">
        <v>782</v>
      </c>
      <c r="AC83" s="1755" t="b">
        <f t="shared" ref="AC83:AI83" si="19">IF(CNTR_ExistSubInstEntries,OR($I13="",H20&gt;=CNTR_ReportingYear,AC82&lt;$V13-1),FALSE)</f>
        <v>0</v>
      </c>
      <c r="AD83" s="1042" t="b">
        <f t="shared" si="19"/>
        <v>0</v>
      </c>
      <c r="AE83" s="1042" t="b">
        <f t="shared" si="19"/>
        <v>0</v>
      </c>
      <c r="AF83" s="1042" t="b">
        <f t="shared" si="19"/>
        <v>0</v>
      </c>
      <c r="AG83" s="1042" t="b">
        <f t="shared" si="19"/>
        <v>0</v>
      </c>
      <c r="AH83" s="1042" t="b">
        <f t="shared" si="19"/>
        <v>0</v>
      </c>
      <c r="AI83" s="1043" t="b">
        <f t="shared" si="19"/>
        <v>0</v>
      </c>
      <c r="AJ83" s="553" t="s">
        <v>2248</v>
      </c>
      <c r="AK83" s="663" t="str">
        <f>IF(AND(CNTR_ExistSubInstEntries,COUNTIFS(AC83:AI83,FALSE,H83:N83,"")&gt;0),EUconst_Error&amp;"BM"&amp;$Q13,"")</f>
        <v/>
      </c>
      <c r="AL83" s="2"/>
    </row>
    <row r="84" spans="1:38" ht="25.5" customHeight="1" x14ac:dyDescent="0.25">
      <c r="A84" s="2"/>
      <c r="B84" s="19"/>
      <c r="C84" s="19"/>
      <c r="D84" s="175" t="s">
        <v>9</v>
      </c>
      <c r="E84" s="916" t="str">
        <f>Translations!$B$539</f>
        <v>Konsekvenskontroll mot blad ”E_Energy flows”:</v>
      </c>
      <c r="F84" s="916"/>
      <c r="G84" s="549" t="s">
        <v>1113</v>
      </c>
      <c r="H84" s="247" t="str">
        <f>IF(AND(ISNUMBER(H83),ISNUMBER(E_EnergyFlows!H$114)), H83/E_EnergyFlows!H$114*100,"")</f>
        <v/>
      </c>
      <c r="I84" s="1015" t="str">
        <f>IF(AND(ISNUMBER(I83),ISNUMBER(E_EnergyFlows!I$114)), I83/E_EnergyFlows!I$114*100,"")</f>
        <v/>
      </c>
      <c r="J84" s="1017" t="str">
        <f>IF(AND(ISNUMBER(J83),ISNUMBER(E_EnergyFlows!J$114)), J83/E_EnergyFlows!J$114*100,"")</f>
        <v/>
      </c>
      <c r="K84" s="247" t="str">
        <f>IF(AND(ISNUMBER(K83),ISNUMBER(E_EnergyFlows!K$114)), K83/E_EnergyFlows!K$114*100,"")</f>
        <v/>
      </c>
      <c r="L84" s="247" t="str">
        <f>IF(AND(ISNUMBER(L83),ISNUMBER(E_EnergyFlows!L$114)), L83/E_EnergyFlows!L$114*100,"")</f>
        <v/>
      </c>
      <c r="M84" s="247" t="str">
        <f>IF(AND(ISNUMBER(M83),ISNUMBER(E_EnergyFlows!M$114)), M83/E_EnergyFlows!M$114*100,"")</f>
        <v/>
      </c>
      <c r="N84" s="247" t="str">
        <f>IF(AND(ISNUMBER(N83),ISNUMBER(E_EnergyFlows!N$114)), N83/E_EnergyFlows!N$114*100,"")</f>
        <v/>
      </c>
      <c r="O84" s="15"/>
      <c r="P84" s="15"/>
      <c r="Q84" s="152" t="str">
        <f>EUconst_CNTR_HEAT &amp; I13</f>
        <v>HEAT_</v>
      </c>
      <c r="R84" s="343"/>
      <c r="S84" s="2"/>
      <c r="T84" s="2"/>
      <c r="U84" s="343"/>
      <c r="V84" s="343"/>
      <c r="W84" s="2"/>
      <c r="X84" s="2"/>
      <c r="Y84" s="2"/>
      <c r="Z84" s="2"/>
      <c r="AA84" s="2"/>
      <c r="AB84" s="2"/>
      <c r="AC84" s="2"/>
      <c r="AD84" s="2"/>
      <c r="AE84" s="2"/>
      <c r="AF84" s="2"/>
      <c r="AG84" s="2"/>
      <c r="AH84" s="2"/>
      <c r="AI84" s="2"/>
      <c r="AJ84" s="2"/>
      <c r="AK84" s="2"/>
      <c r="AL84" s="2"/>
    </row>
    <row r="85" spans="1:38" ht="12.65" customHeight="1" x14ac:dyDescent="0.25">
      <c r="A85" s="2"/>
      <c r="B85" s="19"/>
      <c r="C85" s="19"/>
      <c r="D85" s="175" t="s">
        <v>10</v>
      </c>
      <c r="E85" s="1783" t="str">
        <f>Translations!$B$540</f>
        <v>Konsekvenskontroll mot punkt k.i:</v>
      </c>
      <c r="F85" s="1035"/>
      <c r="G85" s="919" t="s">
        <v>1113</v>
      </c>
      <c r="H85" s="246" t="str">
        <f t="shared" ref="H85:N85" si="20">IF(AND(H206&gt;0,ISNUMBER(H83)), H83/H206*100,"")</f>
        <v/>
      </c>
      <c r="I85" s="1016" t="str">
        <f t="shared" si="20"/>
        <v/>
      </c>
      <c r="J85" s="1018" t="str">
        <f t="shared" si="20"/>
        <v/>
      </c>
      <c r="K85" s="246" t="str">
        <f t="shared" si="20"/>
        <v/>
      </c>
      <c r="L85" s="246" t="str">
        <f t="shared" si="20"/>
        <v/>
      </c>
      <c r="M85" s="246" t="str">
        <f t="shared" si="20"/>
        <v/>
      </c>
      <c r="N85" s="246" t="str">
        <f t="shared" si="20"/>
        <v/>
      </c>
      <c r="O85" s="15"/>
      <c r="P85" s="15"/>
      <c r="Q85" s="2"/>
      <c r="R85" s="2"/>
      <c r="S85" s="2"/>
      <c r="T85" s="2"/>
      <c r="U85" s="343"/>
      <c r="V85" s="343"/>
      <c r="W85" s="2"/>
      <c r="X85" s="2"/>
      <c r="Y85" s="2"/>
      <c r="Z85" s="2"/>
      <c r="AA85" s="2"/>
      <c r="AB85" s="2"/>
      <c r="AC85" s="2"/>
      <c r="AD85" s="2"/>
      <c r="AE85" s="2"/>
      <c r="AF85" s="2"/>
      <c r="AG85" s="2"/>
      <c r="AH85" s="2"/>
      <c r="AI85" s="2"/>
      <c r="AJ85" s="2"/>
      <c r="AK85" s="2"/>
      <c r="AL85" s="2"/>
    </row>
    <row r="86" spans="1:38" ht="5.15" customHeight="1" x14ac:dyDescent="0.25">
      <c r="A86" s="2"/>
      <c r="B86" s="19"/>
      <c r="C86" s="19"/>
      <c r="D86" s="19"/>
      <c r="E86" s="19"/>
      <c r="F86" s="19"/>
      <c r="G86" s="19"/>
      <c r="H86" s="19"/>
      <c r="I86" s="99"/>
      <c r="J86" s="19"/>
      <c r="K86" s="19"/>
      <c r="L86" s="19"/>
      <c r="M86" s="19"/>
      <c r="N86" s="19"/>
      <c r="O86" s="15"/>
      <c r="P86" s="15"/>
      <c r="Q86" s="130"/>
      <c r="R86" s="2"/>
      <c r="S86" s="2"/>
      <c r="T86" s="2"/>
      <c r="U86" s="343"/>
      <c r="V86" s="343"/>
      <c r="W86" s="2"/>
      <c r="X86" s="2"/>
      <c r="Y86" s="2"/>
      <c r="Z86" s="2"/>
      <c r="AA86" s="2"/>
      <c r="AB86" s="2"/>
      <c r="AC86" s="2"/>
      <c r="AD86" s="2"/>
      <c r="AE86" s="2"/>
      <c r="AF86" s="2"/>
      <c r="AG86" s="2"/>
      <c r="AH86" s="2"/>
      <c r="AI86" s="2"/>
      <c r="AJ86" s="2"/>
      <c r="AK86" s="2"/>
      <c r="AL86" s="2"/>
    </row>
    <row r="87" spans="1:38" ht="25.5" customHeight="1" thickBot="1" x14ac:dyDescent="0.3">
      <c r="A87" s="2"/>
      <c r="B87" s="178"/>
      <c r="C87" s="178"/>
      <c r="D87" s="15"/>
      <c r="E87" s="2061" t="str">
        <f>Translations!$B$1479</f>
        <v>Baserat på uppgifterna ovan bestäms ett genomsnittligt årligt värde. Tilldelningen kommer endast att ändras om det relativa tröskelvärdet (15 % jämfört med värdet från de nationella genomförandeåtgärderna) och det absoluta tröskelvärdet (ändring leder till mer än 100 utsläppsrätter) överskrids, enligt artikel 6.4 i verksamhetsändringsförordningen.</v>
      </c>
      <c r="F87" s="1963"/>
      <c r="G87" s="1963"/>
      <c r="H87" s="1963"/>
      <c r="I87" s="1963"/>
      <c r="J87" s="1963"/>
      <c r="K87" s="1963"/>
      <c r="L87" s="1963"/>
      <c r="M87" s="1963"/>
      <c r="N87" s="1963"/>
      <c r="O87" s="15"/>
      <c r="P87" s="15"/>
      <c r="Q87" s="343"/>
      <c r="R87" s="2"/>
      <c r="S87" s="343"/>
      <c r="T87" s="343"/>
      <c r="U87" s="343"/>
      <c r="V87" s="2"/>
      <c r="W87" s="2"/>
      <c r="X87" s="2"/>
      <c r="Y87" s="2"/>
      <c r="Z87" s="2"/>
      <c r="AA87" s="2"/>
      <c r="AB87" s="2"/>
      <c r="AC87" s="2"/>
      <c r="AD87" s="2"/>
      <c r="AE87" s="2"/>
      <c r="AF87" s="2"/>
      <c r="AG87" s="2"/>
      <c r="AH87" s="2"/>
      <c r="AI87" s="2"/>
      <c r="AJ87" s="2"/>
      <c r="AK87" s="2"/>
      <c r="AL87" s="2"/>
    </row>
    <row r="88" spans="1:38" ht="5.15" customHeight="1" thickBot="1" x14ac:dyDescent="0.3">
      <c r="A88" s="2"/>
      <c r="B88" s="178"/>
      <c r="C88" s="178"/>
      <c r="D88" s="1238"/>
      <c r="E88" s="1239"/>
      <c r="F88" s="1240"/>
      <c r="G88" s="1240"/>
      <c r="H88" s="1240"/>
      <c r="I88" s="1240"/>
      <c r="J88" s="1240"/>
      <c r="K88" s="1240"/>
      <c r="L88" s="1240"/>
      <c r="M88" s="1240"/>
      <c r="N88" s="1241"/>
      <c r="O88" s="15"/>
      <c r="P88" s="15"/>
      <c r="Q88" s="343"/>
      <c r="R88" s="2"/>
      <c r="S88" s="343"/>
      <c r="T88" s="343"/>
      <c r="U88" s="343"/>
      <c r="V88" s="2"/>
      <c r="W88" s="2"/>
      <c r="X88" s="2"/>
      <c r="Y88" s="2"/>
      <c r="Z88" s="2"/>
      <c r="AA88" s="2"/>
      <c r="AB88" s="2"/>
      <c r="AC88" s="2"/>
      <c r="AD88" s="2"/>
      <c r="AE88" s="2"/>
      <c r="AF88" s="2"/>
      <c r="AG88" s="2"/>
      <c r="AH88" s="2"/>
      <c r="AI88" s="2"/>
      <c r="AJ88" s="2"/>
      <c r="AK88" s="2"/>
      <c r="AL88" s="2"/>
    </row>
    <row r="89" spans="1:38" ht="12.75" customHeight="1" x14ac:dyDescent="0.25">
      <c r="A89" s="2"/>
      <c r="B89" s="178"/>
      <c r="C89" s="178"/>
      <c r="D89" s="1290" t="s">
        <v>2192</v>
      </c>
      <c r="E89" s="1243" t="str">
        <f>Translations!$B$1483</f>
        <v>Justeringar: Värme från icke-ETS</v>
      </c>
      <c r="F89" s="1244"/>
      <c r="G89" s="1244"/>
      <c r="H89" s="1228" t="str">
        <f>EUconst_Unit</f>
        <v>Enhet</v>
      </c>
      <c r="I89" s="1229" t="str">
        <f>Translations!$B$1481</f>
        <v>Värde (NIMs)</v>
      </c>
      <c r="J89" s="1268">
        <f>J$3042</f>
        <v>2021</v>
      </c>
      <c r="K89" s="1230">
        <f>K$3042</f>
        <v>2022</v>
      </c>
      <c r="L89" s="1230">
        <f>L$3042</f>
        <v>2023</v>
      </c>
      <c r="M89" s="1230">
        <f>M$3042</f>
        <v>2024</v>
      </c>
      <c r="N89" s="1258">
        <f>N$3042</f>
        <v>2025</v>
      </c>
      <c r="O89" s="15"/>
      <c r="P89" s="15"/>
      <c r="Q89" s="343"/>
      <c r="R89" s="2"/>
      <c r="S89" s="2"/>
      <c r="T89" s="2"/>
      <c r="U89" s="772"/>
      <c r="V89" s="1077">
        <f>J89</f>
        <v>2021</v>
      </c>
      <c r="W89" s="1077">
        <f>K89</f>
        <v>2022</v>
      </c>
      <c r="X89" s="1077">
        <f>L89</f>
        <v>2023</v>
      </c>
      <c r="Y89" s="1077">
        <f>M89</f>
        <v>2024</v>
      </c>
      <c r="Z89" s="1078">
        <f>N89</f>
        <v>2025</v>
      </c>
      <c r="AA89" s="2"/>
      <c r="AB89" s="2"/>
      <c r="AC89" s="2"/>
      <c r="AD89" s="2"/>
      <c r="AE89" s="2"/>
      <c r="AF89" s="2"/>
      <c r="AG89" s="2"/>
      <c r="AH89" s="2"/>
      <c r="AI89" s="2"/>
      <c r="AJ89" s="2"/>
      <c r="AK89" s="2"/>
      <c r="AL89" s="2"/>
    </row>
    <row r="90" spans="1:38" ht="12.75" customHeight="1" x14ac:dyDescent="0.25">
      <c r="A90" s="2"/>
      <c r="B90" s="178"/>
      <c r="C90" s="178"/>
      <c r="D90" s="1246" t="s">
        <v>8</v>
      </c>
      <c r="E90" s="1231" t="str">
        <f>Translations!$B$1482</f>
        <v>Genomsnittligt årligt värde</v>
      </c>
      <c r="F90" s="1231"/>
      <c r="G90" s="1231"/>
      <c r="H90" s="1232" t="str">
        <f>EUconst_tCO2</f>
        <v>t CO2</v>
      </c>
      <c r="I90" s="990" t="str">
        <f>INDEX('B+C_SubInstallations'!$J:$J,MATCH(Q90,'B+C_SubInstallations'!$U:$U,0))</f>
        <v/>
      </c>
      <c r="J90" s="1215" t="str">
        <f>IF(AND(V90&gt;=3,CNTR_ReportingYear&gt;J89-1),AVERAGE(SUM(T83),SUM(U83)),"")</f>
        <v/>
      </c>
      <c r="K90" s="1216" t="str">
        <f>IF(AND(W90&gt;=3,CNTR_ReportingYear&gt;K89-1),AVERAGE(SUM(U83),SUM(V83)),"")</f>
        <v/>
      </c>
      <c r="L90" s="1216" t="str">
        <f>IF(AND(X90&gt;=3,CNTR_ReportingYear&gt;L89-1),AVERAGE(SUM(V83),SUM(W83)),"")</f>
        <v/>
      </c>
      <c r="M90" s="1216" t="str">
        <f>IF(AND(Y90&gt;=3,CNTR_ReportingYear&gt;M89-1),AVERAGE(SUM(W83),SUM(X83)),"")</f>
        <v/>
      </c>
      <c r="N90" s="1227" t="str">
        <f>IF(AND(Z90&gt;=3,CNTR_ReportingYear&gt;N89-1),AVERAGE(SUM(X83),SUM(Y83)),"")</f>
        <v/>
      </c>
      <c r="O90" s="15"/>
      <c r="P90" s="15"/>
      <c r="Q90" s="1217" t="str">
        <f>EUconst_CNTR_HEATInitial &amp; I13</f>
        <v>HEATIni_</v>
      </c>
      <c r="R90" s="2"/>
      <c r="S90" s="2"/>
      <c r="T90" s="2"/>
      <c r="U90" s="1086" t="s">
        <v>1850</v>
      </c>
      <c r="V90" s="663">
        <f>V35</f>
        <v>0</v>
      </c>
      <c r="W90" s="663">
        <f>W35</f>
        <v>0</v>
      </c>
      <c r="X90" s="663">
        <f>X35</f>
        <v>0</v>
      </c>
      <c r="Y90" s="663">
        <f>Y35</f>
        <v>0</v>
      </c>
      <c r="Z90" s="1080">
        <f>Z35</f>
        <v>0</v>
      </c>
      <c r="AA90" s="2"/>
      <c r="AB90" s="2"/>
      <c r="AC90" s="2"/>
      <c r="AD90" s="2"/>
      <c r="AE90" s="2"/>
      <c r="AF90" s="2"/>
      <c r="AG90" s="2"/>
      <c r="AH90" s="2"/>
      <c r="AI90" s="2"/>
      <c r="AJ90" s="2"/>
      <c r="AK90" s="2"/>
      <c r="AL90" s="2"/>
    </row>
    <row r="91" spans="1:38" ht="12.75" hidden="1" customHeight="1" x14ac:dyDescent="0.25">
      <c r="A91" s="343" t="s">
        <v>346</v>
      </c>
      <c r="B91" s="178"/>
      <c r="C91" s="178"/>
      <c r="D91" s="1246"/>
      <c r="E91" s="1231" t="s">
        <v>1980</v>
      </c>
      <c r="F91" s="1231"/>
      <c r="G91" s="1231"/>
      <c r="H91" s="1233"/>
      <c r="I91" s="1235"/>
      <c r="J91" s="1013" t="str">
        <f>IF(J90="","",IF($I93=0,IF(J90=0,0%,100%),J90/$I93-1))</f>
        <v/>
      </c>
      <c r="K91" s="938" t="str">
        <f>IF(K90="","",IF($I93=0,IF(K90=0,0%,100%),K90/$I93-1))</f>
        <v/>
      </c>
      <c r="L91" s="938" t="str">
        <f>IF(L90="","",IF($I93=0,IF(L90=0,0%,100%),L90/$I93-1))</f>
        <v/>
      </c>
      <c r="M91" s="938" t="str">
        <f>IF(M90="","",IF($I93=0,IF(M90=0,0%,100%),M90/$I93-1))</f>
        <v/>
      </c>
      <c r="N91" s="1223" t="str">
        <f>IF(N90="","",IF($I93=0,IF(N90=0,0%,100%),N90/$I93-1))</f>
        <v/>
      </c>
      <c r="O91" s="15"/>
      <c r="P91" s="15"/>
      <c r="Q91" s="165" t="str">
        <f>EUconst_CNTR_RelThreshold &amp; Q93</f>
        <v>RelThresh_HEATprelim_</v>
      </c>
      <c r="R91" s="2"/>
      <c r="S91" s="2"/>
      <c r="T91" s="2"/>
      <c r="U91" s="1086" t="s">
        <v>1855</v>
      </c>
      <c r="V91" s="603" t="str">
        <f>IF(J90="","",ABS(J91)&gt;15%)</f>
        <v/>
      </c>
      <c r="W91" s="603" t="str">
        <f>IF(K90="","",ABS(K91)&gt;15%)</f>
        <v/>
      </c>
      <c r="X91" s="603" t="str">
        <f>IF(L90="","",ABS(L91)&gt;15%)</f>
        <v/>
      </c>
      <c r="Y91" s="603" t="str">
        <f>IF(M90="","",ABS(M91)&gt;15%)</f>
        <v/>
      </c>
      <c r="Z91" s="1756" t="str">
        <f>IF(N90="","",ABS(N91)&gt;15%)</f>
        <v/>
      </c>
      <c r="AA91" s="2"/>
      <c r="AB91" s="2"/>
      <c r="AC91" s="2"/>
      <c r="AD91" s="2"/>
      <c r="AE91" s="2"/>
      <c r="AF91" s="2"/>
      <c r="AG91" s="2"/>
      <c r="AH91" s="2"/>
      <c r="AI91" s="2"/>
      <c r="AJ91" s="2"/>
      <c r="AK91" s="2"/>
      <c r="AL91" s="2"/>
    </row>
    <row r="92" spans="1:38" ht="12.75" customHeight="1" x14ac:dyDescent="0.25">
      <c r="A92" s="343"/>
      <c r="B92" s="178"/>
      <c r="C92" s="178"/>
      <c r="D92" s="1246" t="s">
        <v>9</v>
      </c>
      <c r="E92" s="1231" t="str">
        <f>Translations!$B$1474</f>
        <v>Preliminär justering (om relativa tröskelvärden överskrids)</v>
      </c>
      <c r="F92" s="1231"/>
      <c r="G92" s="1231"/>
      <c r="H92" s="1233"/>
      <c r="I92" s="1235"/>
      <c r="J92" s="992" t="str">
        <f>IF(J90="","",IF(V91=FALSE,0%,J91))</f>
        <v/>
      </c>
      <c r="K92" s="937" t="str">
        <f>IF(K90="","",IF(W91=FALSE,0%,K91))</f>
        <v/>
      </c>
      <c r="L92" s="937" t="str">
        <f>IF(L90="","",IF(X91=FALSE,0%,L91))</f>
        <v/>
      </c>
      <c r="M92" s="937" t="str">
        <f>IF(M90="","",IF(Y91=FALSE,0%,M91))</f>
        <v/>
      </c>
      <c r="N92" s="1220" t="str">
        <f>IF(N90="","",IF(Z91=FALSE,0%,N91))</f>
        <v/>
      </c>
      <c r="O92" s="15"/>
      <c r="P92" s="15"/>
      <c r="Q92" s="343"/>
      <c r="R92" s="2"/>
      <c r="S92" s="2"/>
      <c r="T92" s="2"/>
      <c r="U92" s="584"/>
      <c r="V92" s="2"/>
      <c r="W92" s="2"/>
      <c r="X92" s="2"/>
      <c r="Y92" s="2"/>
      <c r="Z92" s="228"/>
      <c r="AA92" s="2"/>
      <c r="AB92" s="2"/>
      <c r="AC92" s="2"/>
      <c r="AD92" s="2"/>
      <c r="AE92" s="2"/>
      <c r="AF92" s="2"/>
      <c r="AG92" s="2"/>
      <c r="AH92" s="2"/>
      <c r="AI92" s="2"/>
      <c r="AJ92" s="2"/>
      <c r="AK92" s="2"/>
      <c r="AL92" s="343"/>
    </row>
    <row r="93" spans="1:38" ht="12.75" hidden="1" customHeight="1" x14ac:dyDescent="0.25">
      <c r="A93" s="343" t="s">
        <v>346</v>
      </c>
      <c r="B93" s="178"/>
      <c r="C93" s="178"/>
      <c r="D93" s="1246"/>
      <c r="E93" s="1231" t="s">
        <v>1889</v>
      </c>
      <c r="F93" s="1231"/>
      <c r="G93" s="1231"/>
      <c r="H93" s="1232" t="str">
        <f>H90</f>
        <v>t CO2</v>
      </c>
      <c r="I93" s="990" t="str">
        <f>IF($I13="","",IF(AB13=FALSE,EUconst_NA,IF(V13&gt;($J$3042-3),SUM(INDEX(H83:N83,MATCH(V13,H82:N82,0))*EUconst_HeatBMvalue),SUM(I90))))</f>
        <v/>
      </c>
      <c r="J93" s="993" t="str">
        <f>IF($I13="","",IF(V90&lt;2,SUM(V83),IF(V90&lt;3,SUM(U83),IF(V93="",I93,V93))))</f>
        <v/>
      </c>
      <c r="K93" s="920" t="str">
        <f>IF($I13="","",IF(W90&lt;2,SUM(W83),IF(W90&lt;3,SUM(V83),IF(W93="",J93,W93))))</f>
        <v/>
      </c>
      <c r="L93" s="920" t="str">
        <f>IF($I13="","",IF(X90&lt;2,SUM(X83),IF(X90&lt;3,SUM(W83),IF(X93="",K93,X93))))</f>
        <v/>
      </c>
      <c r="M93" s="920" t="str">
        <f>IF($I13="","",IF(Y90&lt;2,SUM(Y83),IF(Y90&lt;3,SUM(X83),IF(Y93="",L93,Y93))))</f>
        <v/>
      </c>
      <c r="N93" s="1218" t="str">
        <f>IF($I13="","",IF(Z90&lt;2,SUM(Z83),IF(Z90&lt;3,SUM(Y83),IF(Z93="",M93,Z93))))</f>
        <v/>
      </c>
      <c r="O93" s="15"/>
      <c r="P93" s="15"/>
      <c r="Q93" s="165" t="str">
        <f>EUconst_CNTR_HEATprelim &amp; I13</f>
        <v>HEATprelim_</v>
      </c>
      <c r="R93" s="2"/>
      <c r="S93" s="2"/>
      <c r="T93" s="2"/>
      <c r="U93" s="1086" t="s">
        <v>1898</v>
      </c>
      <c r="V93" s="1754" t="str">
        <f>IF(J90="","",IF(CNTR_ReportingYear&lt;J89,I92,IF($I93=0,J90,$I93*(1+J92))))</f>
        <v/>
      </c>
      <c r="W93" s="1754" t="str">
        <f>IF(K90="","",IF(CNTR_ReportingYear&lt;K89,J92,IF($I93=0,K90,$I93*(1+K92))))</f>
        <v/>
      </c>
      <c r="X93" s="1754" t="str">
        <f>IF(L90="","",IF(CNTR_ReportingYear&lt;L89,K92,IF($I93=0,L90,$I93*(1+L92))))</f>
        <v/>
      </c>
      <c r="Y93" s="1754" t="str">
        <f>IF(M90="","",IF(CNTR_ReportingYear&lt;M89,L92,IF($I93=0,M90,$I93*(1+M92))))</f>
        <v/>
      </c>
      <c r="Z93" s="1759" t="str">
        <f>IF(N90="","",IF(CNTR_ReportingYear&lt;N89,M92,IF($I93=0,N90,$I93*(1+N92))))</f>
        <v/>
      </c>
      <c r="AA93" s="2"/>
      <c r="AB93" s="2"/>
      <c r="AC93" s="2"/>
      <c r="AD93" s="2"/>
      <c r="AE93" s="2"/>
      <c r="AF93" s="2"/>
      <c r="AG93" s="2"/>
      <c r="AH93" s="2"/>
      <c r="AI93" s="2"/>
      <c r="AJ93" s="2"/>
      <c r="AK93" s="2"/>
      <c r="AL93" s="343"/>
    </row>
    <row r="94" spans="1:38" ht="5.15" customHeight="1" x14ac:dyDescent="0.25">
      <c r="A94" s="343"/>
      <c r="B94" s="178"/>
      <c r="C94" s="178"/>
      <c r="D94" s="1246"/>
      <c r="E94" s="1244"/>
      <c r="F94" s="1244"/>
      <c r="G94" s="1244"/>
      <c r="H94" s="1244"/>
      <c r="I94" s="1244"/>
      <c r="J94" s="1236"/>
      <c r="K94" s="1236"/>
      <c r="L94" s="1236"/>
      <c r="M94" s="1236"/>
      <c r="N94" s="1247"/>
      <c r="O94" s="15"/>
      <c r="P94" s="15"/>
      <c r="Q94" s="343"/>
      <c r="R94" s="2"/>
      <c r="S94" s="2"/>
      <c r="T94" s="2"/>
      <c r="U94" s="1086"/>
      <c r="V94" s="343"/>
      <c r="W94" s="2"/>
      <c r="X94" s="2"/>
      <c r="Y94" s="2"/>
      <c r="Z94" s="228"/>
      <c r="AA94" s="2"/>
      <c r="AB94" s="2"/>
      <c r="AC94" s="2"/>
      <c r="AD94" s="2"/>
      <c r="AE94" s="2"/>
      <c r="AF94" s="2"/>
      <c r="AG94" s="2"/>
      <c r="AH94" s="2"/>
      <c r="AI94" s="2"/>
      <c r="AJ94" s="2"/>
      <c r="AK94" s="2"/>
      <c r="AL94" s="343"/>
    </row>
    <row r="95" spans="1:38" ht="12.75" customHeight="1" x14ac:dyDescent="0.25">
      <c r="A95" s="343"/>
      <c r="B95" s="178"/>
      <c r="C95" s="178"/>
      <c r="D95" s="1246"/>
      <c r="E95" s="1234" t="str">
        <f>Translations!$B$1475</f>
        <v>Faktisk justering (grund för följande år)</v>
      </c>
      <c r="F95" s="1234"/>
      <c r="G95" s="1234"/>
      <c r="H95" s="1234"/>
      <c r="I95" s="1234"/>
      <c r="J95" s="1268">
        <f>J$3042</f>
        <v>2021</v>
      </c>
      <c r="K95" s="1230">
        <f>K$3042</f>
        <v>2022</v>
      </c>
      <c r="L95" s="1230">
        <f>L$3042</f>
        <v>2023</v>
      </c>
      <c r="M95" s="1230">
        <f>M$3042</f>
        <v>2024</v>
      </c>
      <c r="N95" s="1258">
        <f>N$3042</f>
        <v>2025</v>
      </c>
      <c r="O95" s="15"/>
      <c r="P95" s="15"/>
      <c r="Q95" s="343"/>
      <c r="R95" s="2"/>
      <c r="S95" s="2"/>
      <c r="T95" s="2"/>
      <c r="U95" s="584"/>
      <c r="V95" s="2"/>
      <c r="W95" s="2"/>
      <c r="X95" s="2"/>
      <c r="Y95" s="2"/>
      <c r="Z95" s="228"/>
      <c r="AA95" s="2"/>
      <c r="AB95" s="2"/>
      <c r="AC95" s="2"/>
      <c r="AD95" s="2"/>
      <c r="AE95" s="2"/>
      <c r="AF95" s="2"/>
      <c r="AG95" s="2"/>
      <c r="AH95" s="2"/>
      <c r="AI95" s="2"/>
      <c r="AJ95" s="2"/>
      <c r="AK95" s="2"/>
      <c r="AL95" s="343"/>
    </row>
    <row r="96" spans="1:38" ht="12.75" customHeight="1" x14ac:dyDescent="0.25">
      <c r="A96" s="343"/>
      <c r="B96" s="178"/>
      <c r="C96" s="178"/>
      <c r="D96" s="1246" t="s">
        <v>10</v>
      </c>
      <c r="E96" s="1231" t="str">
        <f>Translations!$B$1476</f>
        <v>&gt;= 100 utsläppsrätter kriterium uppnått?</v>
      </c>
      <c r="F96" s="1231"/>
      <c r="G96" s="1231"/>
      <c r="H96" s="1231"/>
      <c r="I96" s="1231"/>
      <c r="J96" s="994" t="str">
        <f>IF($I13="","",INDEX(K_Summary!J:J,MATCH($Q96,K_Summary!$P:$P,0)))</f>
        <v/>
      </c>
      <c r="K96" s="912" t="str">
        <f>IF($I13="","",INDEX(K_Summary!K:K,MATCH($Q96,K_Summary!$P:$P,0)))</f>
        <v/>
      </c>
      <c r="L96" s="912" t="str">
        <f>IF($I13="","",INDEX(K_Summary!L:L,MATCH($Q96,K_Summary!$P:$P,0)))</f>
        <v/>
      </c>
      <c r="M96" s="912" t="str">
        <f>IF($I13="","",INDEX(K_Summary!M:M,MATCH($Q96,K_Summary!$P:$P,0)))</f>
        <v/>
      </c>
      <c r="N96" s="1221" t="str">
        <f>IF($I13="","",INDEX(K_Summary!N:N,MATCH($Q96,K_Summary!$P:$P,0)))</f>
        <v/>
      </c>
      <c r="O96" s="15"/>
      <c r="P96" s="15"/>
      <c r="Q96" s="165" t="str">
        <f>EUconst_CNTR_100EUA_HEAT&amp;I13</f>
        <v>EUA100HEAT_</v>
      </c>
      <c r="R96" s="2"/>
      <c r="S96" s="2"/>
      <c r="T96" s="2"/>
      <c r="U96" s="584"/>
      <c r="V96" s="2"/>
      <c r="W96" s="2"/>
      <c r="X96" s="2"/>
      <c r="Y96" s="2"/>
      <c r="Z96" s="228"/>
      <c r="AA96" s="2"/>
      <c r="AB96" s="2"/>
      <c r="AC96" s="2"/>
      <c r="AD96" s="2"/>
      <c r="AE96" s="2"/>
      <c r="AF96" s="2"/>
      <c r="AG96" s="2"/>
      <c r="AH96" s="2"/>
      <c r="AI96" s="2"/>
      <c r="AJ96" s="2"/>
      <c r="AK96" s="2"/>
      <c r="AL96" s="343"/>
    </row>
    <row r="97" spans="1:38" ht="5.15" customHeight="1" thickBot="1" x14ac:dyDescent="0.3">
      <c r="A97" s="343"/>
      <c r="B97" s="178"/>
      <c r="C97" s="178"/>
      <c r="D97" s="1246"/>
      <c r="E97" s="1244"/>
      <c r="F97" s="1244"/>
      <c r="G97" s="1244"/>
      <c r="H97" s="1244"/>
      <c r="I97" s="1244"/>
      <c r="J97" s="1244"/>
      <c r="K97" s="1244"/>
      <c r="L97" s="1244"/>
      <c r="M97" s="1244"/>
      <c r="N97" s="1248"/>
      <c r="O97" s="15"/>
      <c r="P97" s="15"/>
      <c r="Q97" s="343"/>
      <c r="R97" s="2"/>
      <c r="S97" s="2"/>
      <c r="T97" s="2"/>
      <c r="U97" s="1086"/>
      <c r="V97" s="343"/>
      <c r="W97" s="2"/>
      <c r="X97" s="2"/>
      <c r="Y97" s="2"/>
      <c r="Z97" s="228"/>
      <c r="AA97" s="2"/>
      <c r="AB97" s="2"/>
      <c r="AC97" s="2"/>
      <c r="AD97" s="2"/>
      <c r="AE97" s="2"/>
      <c r="AF97" s="2"/>
      <c r="AG97" s="2"/>
      <c r="AH97" s="2"/>
      <c r="AI97" s="2"/>
      <c r="AJ97" s="2"/>
      <c r="AK97" s="2"/>
      <c r="AL97" s="343"/>
    </row>
    <row r="98" spans="1:38" ht="12.75" customHeight="1" thickBot="1" x14ac:dyDescent="0.3">
      <c r="A98" s="2"/>
      <c r="B98" s="178"/>
      <c r="C98" s="178"/>
      <c r="D98" s="1246" t="s">
        <v>23</v>
      </c>
      <c r="E98" s="1231" t="str">
        <f>Translations!$B$1477</f>
        <v>Faktisk justering (om alla tröskelvärden överskrids)</v>
      </c>
      <c r="F98" s="1231"/>
      <c r="G98" s="1231"/>
      <c r="H98" s="1233"/>
      <c r="I98" s="1237"/>
      <c r="J98" s="1099" t="str">
        <f>IF(J96="","",IF(OR(J96,V90&lt;1),J92,I98))</f>
        <v/>
      </c>
      <c r="K98" s="1100" t="str">
        <f>IF(K96="","",IF(OR(K96,W90&lt;1),K92,J98))</f>
        <v/>
      </c>
      <c r="L98" s="1100" t="str">
        <f>IF(L96="","",IF(OR(L96,X90&lt;1),L92,K98))</f>
        <v/>
      </c>
      <c r="M98" s="1100" t="str">
        <f>IF(M96="","",IF(OR(M96,Y90&lt;1),M92,L98))</f>
        <v/>
      </c>
      <c r="N98" s="1101" t="str">
        <f>IF(N96="","",IF(OR(N96,Z90&lt;1),N92,M98))</f>
        <v/>
      </c>
      <c r="O98" s="15"/>
      <c r="P98" s="15"/>
      <c r="Q98" s="343"/>
      <c r="R98" s="2"/>
      <c r="S98" s="2"/>
      <c r="T98" s="2"/>
      <c r="U98" s="1086" t="s">
        <v>1858</v>
      </c>
      <c r="V98" s="1068">
        <f>J95</f>
        <v>2021</v>
      </c>
      <c r="W98" s="1068">
        <f>K95</f>
        <v>2022</v>
      </c>
      <c r="X98" s="1068">
        <f>L95</f>
        <v>2023</v>
      </c>
      <c r="Y98" s="1068">
        <f>M95</f>
        <v>2024</v>
      </c>
      <c r="Z98" s="1087">
        <f>N95</f>
        <v>2025</v>
      </c>
      <c r="AA98" s="2"/>
      <c r="AB98" s="2"/>
      <c r="AC98" s="2"/>
      <c r="AD98" s="2"/>
      <c r="AE98" s="2"/>
      <c r="AF98" s="2"/>
      <c r="AG98" s="2"/>
      <c r="AH98" s="2"/>
      <c r="AI98" s="2"/>
      <c r="AJ98" s="2"/>
      <c r="AK98" s="2"/>
      <c r="AL98" s="343"/>
    </row>
    <row r="99" spans="1:38" ht="12.75" customHeight="1" thickBot="1" x14ac:dyDescent="0.3">
      <c r="A99" s="343"/>
      <c r="B99" s="178"/>
      <c r="C99" s="178"/>
      <c r="D99" s="1246" t="s">
        <v>859</v>
      </c>
      <c r="E99" s="1231" t="str">
        <f>Translations!$B$1478</f>
        <v>Faktiskt värde</v>
      </c>
      <c r="F99" s="1231"/>
      <c r="G99" s="1231"/>
      <c r="H99" s="1232" t="str">
        <f>H90</f>
        <v>t CO2</v>
      </c>
      <c r="I99" s="990" t="str">
        <f>I93</f>
        <v/>
      </c>
      <c r="J99" s="1072" t="str">
        <f>IF($I13="","",IF(OR($I99=0,$I99=EUconst_NA,J98=""),IF(OR(J96=TRUE,J95&lt;=$V13),J93,SUM(I99)),$I99*(1+SUM(J98))))</f>
        <v/>
      </c>
      <c r="K99" s="1073" t="str">
        <f>IF($I13="","",IF(OR($I99=0,$I99=EUconst_NA,K98=""),IF(OR(K96=TRUE,K95&lt;=$V13),K93,SUM(J99)),$I99*(1+SUM(K98))))</f>
        <v/>
      </c>
      <c r="L99" s="1073" t="str">
        <f>IF($I13="","",IF(OR($I99=0,$I99=EUconst_NA,L98=""),IF(OR(L96=TRUE,L95&lt;=$V13),L93,SUM(K99)),$I99*(1+SUM(L98))))</f>
        <v/>
      </c>
      <c r="M99" s="1073" t="str">
        <f>IF($I13="","",IF(OR($I99=0,$I99=EUconst_NA,M98=""),IF(OR(M96=TRUE,M95&lt;=$V13),M93,SUM(L99)),$I99*(1+SUM(M98))))</f>
        <v/>
      </c>
      <c r="N99" s="1074" t="str">
        <f>IF($I13="","",IF(OR($I99=0,$I99=EUconst_NA,N98=""),IF(OR(N96=TRUE,N95&lt;=$V13),N93,SUM(M99)),$I99*(1+SUM(N98))))</f>
        <v/>
      </c>
      <c r="O99" s="15"/>
      <c r="P99" s="15"/>
      <c r="Q99" s="165" t="str">
        <f>EUconst_CNTR_HEATfinal &amp; I13</f>
        <v>HEATfinal_</v>
      </c>
      <c r="R99" s="2"/>
      <c r="S99" s="2"/>
      <c r="T99" s="2"/>
      <c r="U99" s="1765" t="b">
        <v>0</v>
      </c>
      <c r="V99" s="1757" t="str">
        <f>IF(V21,IF(J96=TRUE,V91,U99),"")</f>
        <v/>
      </c>
      <c r="W99" s="1757" t="str">
        <f>IF(W21,IF(K96=TRUE,W91,V99),"")</f>
        <v/>
      </c>
      <c r="X99" s="1757" t="str">
        <f>IF(X21,IF(L96=TRUE,X91,W99),"")</f>
        <v/>
      </c>
      <c r="Y99" s="1757" t="str">
        <f>IF(Y21,IF(M96=TRUE,Y91,X99),"")</f>
        <v/>
      </c>
      <c r="Z99" s="1758" t="str">
        <f>IF(Z21,IF(N96=TRUE,Z91,Y99),"")</f>
        <v/>
      </c>
      <c r="AA99" s="2"/>
      <c r="AB99" s="2"/>
      <c r="AC99" s="2"/>
      <c r="AD99" s="2"/>
      <c r="AE99" s="2"/>
      <c r="AF99" s="2"/>
      <c r="AG99" s="2"/>
      <c r="AH99" s="2"/>
      <c r="AI99" s="2"/>
      <c r="AJ99" s="553" t="s">
        <v>2242</v>
      </c>
      <c r="AK99" s="108" t="str">
        <f>IF(OR(ISERROR(J99),ISERROR(K99),ISERROR(L99),ISERROR(M99),ISERROR(N99)),EUconst_Error &amp; "BM" &amp; Q13,"")</f>
        <v/>
      </c>
      <c r="AL99" s="2"/>
    </row>
    <row r="100" spans="1:38" ht="5.15" customHeight="1" thickBot="1" x14ac:dyDescent="0.3">
      <c r="A100" s="2"/>
      <c r="B100" s="19"/>
      <c r="C100" s="19"/>
      <c r="D100" s="1274"/>
      <c r="E100" s="1275"/>
      <c r="F100" s="1275"/>
      <c r="G100" s="1275"/>
      <c r="H100" s="1275"/>
      <c r="I100" s="1276"/>
      <c r="J100" s="1275"/>
      <c r="K100" s="1275"/>
      <c r="L100" s="1275"/>
      <c r="M100" s="1275"/>
      <c r="N100" s="1277"/>
      <c r="O100" s="15"/>
      <c r="P100" s="15"/>
      <c r="Q100" s="130"/>
      <c r="R100" s="2"/>
      <c r="S100" s="343"/>
      <c r="T100" s="343"/>
      <c r="U100" s="2"/>
      <c r="V100" s="2"/>
      <c r="W100" s="2"/>
      <c r="X100" s="2"/>
      <c r="Y100" s="2"/>
      <c r="Z100" s="2"/>
      <c r="AA100" s="2"/>
      <c r="AB100" s="2"/>
      <c r="AC100" s="2"/>
      <c r="AD100" s="2"/>
      <c r="AE100" s="2"/>
      <c r="AF100" s="2"/>
      <c r="AG100" s="2"/>
      <c r="AH100" s="2"/>
      <c r="AI100" s="2"/>
      <c r="AJ100" s="2"/>
      <c r="AK100" s="2"/>
      <c r="AL100" s="2"/>
    </row>
    <row r="101" spans="1:38" ht="5.15" customHeight="1" x14ac:dyDescent="0.25">
      <c r="A101" s="2"/>
      <c r="B101" s="19"/>
      <c r="C101" s="19"/>
      <c r="D101" s="19"/>
      <c r="E101" s="19"/>
      <c r="F101" s="19"/>
      <c r="G101" s="19"/>
      <c r="H101" s="19"/>
      <c r="I101" s="99"/>
      <c r="J101" s="19"/>
      <c r="K101" s="19"/>
      <c r="L101" s="19"/>
      <c r="M101" s="19"/>
      <c r="N101" s="19"/>
      <c r="O101" s="15"/>
      <c r="P101" s="15"/>
      <c r="Q101" s="130"/>
      <c r="R101" s="2"/>
      <c r="S101" s="343"/>
      <c r="T101" s="343"/>
      <c r="U101" s="2"/>
      <c r="V101" s="2"/>
      <c r="W101" s="2"/>
      <c r="X101" s="2"/>
      <c r="Y101" s="2"/>
      <c r="Z101" s="2"/>
      <c r="AA101" s="2"/>
      <c r="AB101" s="2"/>
      <c r="AC101" s="2"/>
      <c r="AD101" s="2"/>
      <c r="AE101" s="2"/>
      <c r="AF101" s="2"/>
      <c r="AG101" s="2"/>
      <c r="AH101" s="2"/>
      <c r="AI101" s="2"/>
      <c r="AJ101" s="2"/>
      <c r="AK101" s="2"/>
      <c r="AL101" s="2"/>
    </row>
    <row r="102" spans="1:38" ht="14" x14ac:dyDescent="0.25">
      <c r="A102" s="2"/>
      <c r="B102" s="19"/>
      <c r="C102" s="619"/>
      <c r="D102" s="2053" t="str">
        <f>Translations!$B$541</f>
        <v>Produktionsuppgifter</v>
      </c>
      <c r="E102" s="1963"/>
      <c r="F102" s="1963"/>
      <c r="G102" s="1963"/>
      <c r="H102" s="1963"/>
      <c r="I102" s="1963"/>
      <c r="J102" s="1963"/>
      <c r="K102" s="1963"/>
      <c r="L102" s="1963"/>
      <c r="M102" s="1963"/>
      <c r="N102" s="1963"/>
      <c r="O102" s="15"/>
      <c r="P102" s="15"/>
      <c r="Q102" s="2"/>
      <c r="R102" s="2"/>
      <c r="S102" s="343"/>
      <c r="T102" s="343"/>
      <c r="U102" s="2"/>
      <c r="V102" s="2"/>
      <c r="W102" s="2"/>
      <c r="X102" s="2"/>
      <c r="Y102" s="2"/>
      <c r="Z102" s="2"/>
      <c r="AA102" s="2"/>
      <c r="AB102" s="2"/>
      <c r="AC102" s="2"/>
      <c r="AD102" s="2"/>
      <c r="AE102" s="2"/>
      <c r="AF102" s="2"/>
      <c r="AG102" s="2"/>
      <c r="AH102" s="2"/>
      <c r="AI102" s="2"/>
      <c r="AJ102" s="2"/>
      <c r="AK102" s="2"/>
      <c r="AL102" s="2"/>
    </row>
    <row r="103" spans="1:38" ht="5.15" customHeight="1" x14ac:dyDescent="0.25">
      <c r="A103" s="2"/>
      <c r="B103" s="178"/>
      <c r="C103" s="178"/>
      <c r="D103" s="178"/>
      <c r="E103" s="178"/>
      <c r="F103" s="178"/>
      <c r="G103" s="178"/>
      <c r="H103" s="178"/>
      <c r="I103" s="178"/>
      <c r="J103" s="178"/>
      <c r="K103" s="178"/>
      <c r="L103" s="178"/>
      <c r="M103" s="178"/>
      <c r="N103" s="178"/>
      <c r="O103" s="15"/>
      <c r="P103" s="15"/>
      <c r="Q103" s="343"/>
      <c r="R103" s="343"/>
      <c r="S103" s="343"/>
      <c r="T103" s="343"/>
      <c r="U103" s="2"/>
      <c r="V103" s="2"/>
      <c r="W103" s="2"/>
      <c r="X103" s="2"/>
      <c r="Y103" s="2"/>
      <c r="Z103" s="2"/>
      <c r="AA103" s="2"/>
      <c r="AB103" s="2"/>
      <c r="AC103" s="2"/>
      <c r="AD103" s="2"/>
      <c r="AE103" s="2"/>
      <c r="AF103" s="2"/>
      <c r="AG103" s="2"/>
      <c r="AH103" s="2"/>
      <c r="AI103" s="2"/>
      <c r="AJ103" s="2"/>
      <c r="AK103" s="2"/>
      <c r="AL103" s="2"/>
    </row>
    <row r="104" spans="1:38" ht="13" x14ac:dyDescent="0.25">
      <c r="A104" s="2"/>
      <c r="B104" s="178"/>
      <c r="C104" s="13"/>
      <c r="D104" s="13" t="s">
        <v>65</v>
      </c>
      <c r="E104" s="1943" t="str">
        <f>Translations!$B$542</f>
        <v>Identifiering av produkter som ingår i delanläggningen med produktriktmärke</v>
      </c>
      <c r="F104" s="1963"/>
      <c r="G104" s="1963"/>
      <c r="H104" s="1963"/>
      <c r="I104" s="1963"/>
      <c r="J104" s="1963"/>
      <c r="K104" s="1963"/>
      <c r="L104" s="1963"/>
      <c r="M104" s="1963"/>
      <c r="N104" s="1963"/>
      <c r="O104" s="15"/>
      <c r="P104" s="15"/>
      <c r="Q104" s="343"/>
      <c r="R104" s="2"/>
      <c r="S104" s="343"/>
      <c r="T104" s="343"/>
      <c r="U104" s="2"/>
      <c r="V104" s="2"/>
      <c r="W104" s="2"/>
      <c r="X104" s="2"/>
      <c r="Y104" s="2"/>
      <c r="Z104" s="2"/>
      <c r="AA104" s="2"/>
      <c r="AB104" s="2"/>
      <c r="AC104" s="2"/>
      <c r="AD104" s="2"/>
      <c r="AE104" s="2"/>
      <c r="AF104" s="2"/>
      <c r="AG104" s="2"/>
      <c r="AH104" s="2"/>
      <c r="AI104" s="2"/>
      <c r="AJ104" s="2"/>
      <c r="AK104" s="2"/>
      <c r="AL104" s="2"/>
    </row>
    <row r="105" spans="1:38" ht="25.5" customHeight="1" x14ac:dyDescent="0.25">
      <c r="A105" s="2"/>
      <c r="B105" s="178"/>
      <c r="C105" s="15"/>
      <c r="D105" s="15"/>
      <c r="E105" s="2061" t="s">
        <v>2215</v>
      </c>
      <c r="F105" s="1963"/>
      <c r="G105" s="1963"/>
      <c r="H105" s="1963"/>
      <c r="I105" s="1963"/>
      <c r="J105" s="1963"/>
      <c r="K105" s="1963"/>
      <c r="L105" s="1963"/>
      <c r="M105" s="1963"/>
      <c r="N105" s="1963"/>
      <c r="O105" s="15"/>
      <c r="P105" s="15"/>
      <c r="Q105" s="343"/>
      <c r="R105" s="2"/>
      <c r="S105" s="343"/>
      <c r="T105" s="343"/>
      <c r="U105" s="2"/>
      <c r="V105" s="2"/>
      <c r="W105" s="2"/>
      <c r="X105" s="2"/>
      <c r="Y105" s="2"/>
      <c r="Z105" s="2"/>
      <c r="AA105" s="2"/>
      <c r="AB105" s="2"/>
      <c r="AC105" s="2"/>
      <c r="AD105" s="2"/>
      <c r="AE105" s="2"/>
      <c r="AF105" s="2"/>
      <c r="AG105" s="2"/>
      <c r="AH105" s="2"/>
      <c r="AI105" s="2"/>
      <c r="AJ105" s="2"/>
      <c r="AK105" s="2"/>
      <c r="AL105" s="2"/>
    </row>
    <row r="106" spans="1:38" ht="25.5" customHeight="1" x14ac:dyDescent="0.25">
      <c r="A106" s="2"/>
      <c r="B106" s="178"/>
      <c r="C106" s="15"/>
      <c r="D106" s="15"/>
      <c r="E106" s="2061" t="str">
        <f>Translations!$B$543</f>
        <v>Prodcom-koder ska anges i formatet ”nnnnnnnn”, dvs. utan punkter eller andra avgränsare. Endast om Prodcom-koder inte finns ska en Nace-kod på fyra siffror anges i formatet ”nnnn”.</v>
      </c>
      <c r="F106" s="1963"/>
      <c r="G106" s="1963"/>
      <c r="H106" s="1963"/>
      <c r="I106" s="1963"/>
      <c r="J106" s="1963"/>
      <c r="K106" s="1963"/>
      <c r="L106" s="1963"/>
      <c r="M106" s="1963"/>
      <c r="N106" s="1963"/>
      <c r="O106" s="15"/>
      <c r="P106" s="15"/>
      <c r="Q106" s="343"/>
      <c r="R106" s="2"/>
      <c r="S106" s="343"/>
      <c r="T106" s="343"/>
      <c r="U106" s="2"/>
      <c r="V106" s="2"/>
      <c r="W106" s="2"/>
      <c r="X106" s="2"/>
      <c r="Y106" s="2"/>
      <c r="Z106" s="2"/>
      <c r="AA106" s="2"/>
      <c r="AB106" s="2"/>
      <c r="AC106" s="2"/>
      <c r="AD106" s="2"/>
      <c r="AE106" s="2"/>
      <c r="AF106" s="2"/>
      <c r="AG106" s="2"/>
      <c r="AH106" s="2"/>
      <c r="AI106" s="2"/>
      <c r="AJ106" s="2"/>
      <c r="AK106" s="2"/>
      <c r="AL106" s="2"/>
    </row>
    <row r="107" spans="1:38" x14ac:dyDescent="0.25">
      <c r="A107" s="2"/>
      <c r="B107" s="178"/>
      <c r="C107" s="15"/>
      <c r="D107" s="15"/>
      <c r="E107" s="2061" t="str">
        <f>Translations!$B$544</f>
        <v>En förteckning över 2010 års Prodcom-koder finns här:</v>
      </c>
      <c r="F107" s="1963"/>
      <c r="G107" s="1963"/>
      <c r="H107" s="1963"/>
      <c r="I107" s="1963"/>
      <c r="J107" s="1963"/>
      <c r="K107" s="1963"/>
      <c r="L107" s="1963"/>
      <c r="M107" s="1963"/>
      <c r="N107" s="1963"/>
      <c r="O107" s="15"/>
      <c r="P107" s="15"/>
      <c r="Q107" s="343"/>
      <c r="R107" s="2"/>
      <c r="S107" s="343"/>
      <c r="T107" s="343"/>
      <c r="U107" s="2"/>
      <c r="V107" s="2"/>
      <c r="W107" s="2"/>
      <c r="X107" s="2"/>
      <c r="Y107" s="2"/>
      <c r="Z107" s="2"/>
      <c r="AA107" s="2"/>
      <c r="AB107" s="2"/>
      <c r="AC107" s="2"/>
      <c r="AD107" s="2"/>
      <c r="AE107" s="2"/>
      <c r="AF107" s="2"/>
      <c r="AG107" s="2"/>
      <c r="AH107" s="2"/>
      <c r="AI107" s="2"/>
      <c r="AJ107" s="2"/>
      <c r="AK107" s="2"/>
      <c r="AL107" s="2"/>
    </row>
    <row r="108" spans="1:38" x14ac:dyDescent="0.25">
      <c r="A108" s="2"/>
      <c r="B108" s="178"/>
      <c r="C108" s="15"/>
      <c r="D108" s="15"/>
      <c r="E108" s="2644" t="str">
        <f>Translations!$B$545</f>
        <v>http://ec.europa.eu/eurostat/ramon/nomenclatures/index.cfm?TargetUrl=LST_CLS_DLD&amp;StrNom=PRD_2010&amp;StrLanguageCode=EN&amp;StrLayoutCode=HIERARCHIC</v>
      </c>
      <c r="F108" s="1940"/>
      <c r="G108" s="1940"/>
      <c r="H108" s="1940"/>
      <c r="I108" s="1940"/>
      <c r="J108" s="1940"/>
      <c r="K108" s="1940"/>
      <c r="L108" s="1940"/>
      <c r="M108" s="1940"/>
      <c r="N108" s="1940"/>
      <c r="O108" s="15"/>
      <c r="P108" s="15"/>
      <c r="Q108" s="343"/>
      <c r="R108" s="2"/>
      <c r="S108" s="343"/>
      <c r="T108" s="343"/>
      <c r="U108" s="2"/>
      <c r="V108" s="2"/>
      <c r="W108" s="2"/>
      <c r="X108" s="2"/>
      <c r="Y108" s="2"/>
      <c r="Z108" s="2"/>
      <c r="AA108" s="2"/>
      <c r="AB108" s="2"/>
      <c r="AC108" s="2"/>
      <c r="AD108" s="2"/>
      <c r="AE108" s="2"/>
      <c r="AF108" s="2"/>
      <c r="AG108" s="2"/>
      <c r="AH108" s="2"/>
      <c r="AI108" s="2"/>
      <c r="AJ108" s="2"/>
      <c r="AK108" s="2"/>
      <c r="AL108" s="2"/>
    </row>
    <row r="109" spans="1:38" ht="5.15" customHeight="1" x14ac:dyDescent="0.25">
      <c r="A109" s="2"/>
      <c r="B109" s="178"/>
      <c r="C109" s="178"/>
      <c r="D109" s="178"/>
      <c r="E109" s="178"/>
      <c r="F109" s="178"/>
      <c r="G109" s="178"/>
      <c r="H109" s="178"/>
      <c r="I109" s="178"/>
      <c r="J109" s="178"/>
      <c r="K109" s="178"/>
      <c r="L109" s="178"/>
      <c r="M109" s="178"/>
      <c r="N109" s="178"/>
      <c r="O109" s="15"/>
      <c r="P109" s="15"/>
      <c r="Q109" s="343"/>
      <c r="R109" s="343"/>
      <c r="S109" s="343"/>
      <c r="T109" s="343"/>
      <c r="U109" s="2"/>
      <c r="V109" s="2"/>
      <c r="W109" s="2"/>
      <c r="X109" s="2"/>
      <c r="Y109" s="2"/>
      <c r="Z109" s="2"/>
      <c r="AA109" s="2"/>
      <c r="AB109" s="2"/>
      <c r="AC109" s="2"/>
      <c r="AD109" s="2"/>
      <c r="AE109" s="2"/>
      <c r="AF109" s="2"/>
      <c r="AG109" s="2"/>
      <c r="AH109" s="2"/>
      <c r="AI109" s="2"/>
      <c r="AJ109" s="2"/>
      <c r="AK109" s="2"/>
      <c r="AL109" s="2"/>
    </row>
    <row r="110" spans="1:38" ht="13" x14ac:dyDescent="0.25">
      <c r="A110" s="2"/>
      <c r="B110" s="178"/>
      <c r="C110" s="13"/>
      <c r="D110" s="13" t="s">
        <v>66</v>
      </c>
      <c r="E110" s="1943" t="str">
        <f>Translations!$B$546</f>
        <v>Individuella produktionsnivåer för produkter som ingår i delanläggningen med produktriktmärke</v>
      </c>
      <c r="F110" s="1963"/>
      <c r="G110" s="1963"/>
      <c r="H110" s="1963"/>
      <c r="I110" s="1963"/>
      <c r="J110" s="1963"/>
      <c r="K110" s="1963"/>
      <c r="L110" s="1963"/>
      <c r="M110" s="1963"/>
      <c r="N110" s="1963"/>
      <c r="O110" s="15"/>
      <c r="P110" s="15"/>
      <c r="Q110" s="343"/>
      <c r="R110" s="2"/>
      <c r="S110" s="343"/>
      <c r="T110" s="343"/>
      <c r="U110" s="2"/>
      <c r="V110" s="2"/>
      <c r="W110" s="2"/>
      <c r="X110" s="2"/>
      <c r="Y110" s="2"/>
      <c r="Z110" s="2"/>
      <c r="AA110" s="2"/>
      <c r="AB110" s="2"/>
      <c r="AC110" s="2"/>
      <c r="AD110" s="2"/>
      <c r="AE110" s="2"/>
      <c r="AF110" s="2"/>
      <c r="AG110" s="2"/>
      <c r="AH110" s="2"/>
      <c r="AI110" s="2"/>
      <c r="AJ110" s="2"/>
      <c r="AK110" s="2"/>
      <c r="AL110" s="2"/>
    </row>
    <row r="111" spans="1:38" ht="5.15" customHeight="1" x14ac:dyDescent="0.25">
      <c r="A111" s="2"/>
      <c r="B111" s="178"/>
      <c r="C111" s="178"/>
      <c r="D111" s="15"/>
      <c r="E111" s="16"/>
      <c r="F111" s="16"/>
      <c r="G111" s="16"/>
      <c r="H111" s="16"/>
      <c r="I111" s="16"/>
      <c r="J111" s="20"/>
      <c r="K111" s="20"/>
      <c r="L111" s="20"/>
      <c r="M111" s="15"/>
      <c r="N111" s="15"/>
      <c r="O111" s="15"/>
      <c r="P111" s="15"/>
      <c r="Q111" s="343"/>
      <c r="R111" s="2"/>
      <c r="S111" s="343"/>
      <c r="T111" s="343"/>
      <c r="U111" s="2"/>
      <c r="V111" s="2"/>
      <c r="W111" s="2"/>
      <c r="X111" s="2"/>
      <c r="Y111" s="2"/>
      <c r="Z111" s="2"/>
      <c r="AA111" s="2"/>
      <c r="AB111" s="2"/>
      <c r="AC111" s="2"/>
      <c r="AD111" s="2"/>
      <c r="AE111" s="2"/>
      <c r="AF111" s="2"/>
      <c r="AG111" s="2"/>
      <c r="AH111" s="2"/>
      <c r="AI111" s="2"/>
      <c r="AJ111" s="2"/>
      <c r="AK111" s="2"/>
      <c r="AL111" s="2"/>
    </row>
    <row r="112" spans="1:38" ht="25.5" customHeight="1" thickBot="1" x14ac:dyDescent="0.3">
      <c r="A112" s="2"/>
      <c r="B112" s="19"/>
      <c r="C112" s="19"/>
      <c r="D112" s="38"/>
      <c r="E112" s="321" t="s">
        <v>1030</v>
      </c>
      <c r="F112" s="1027" t="str">
        <f>Translations!$B$547</f>
        <v>Namn på produkt eller produktgrupp</v>
      </c>
      <c r="G112" s="774" t="str">
        <f>EUconst_Unit</f>
        <v>Enhet</v>
      </c>
      <c r="H112" s="320">
        <f t="shared" ref="H112:N112" si="21">H$3042</f>
        <v>2019</v>
      </c>
      <c r="I112" s="342">
        <f t="shared" si="21"/>
        <v>2020</v>
      </c>
      <c r="J112" s="987">
        <f t="shared" si="21"/>
        <v>2021</v>
      </c>
      <c r="K112" s="320">
        <f t="shared" si="21"/>
        <v>2022</v>
      </c>
      <c r="L112" s="320">
        <f t="shared" si="21"/>
        <v>2023</v>
      </c>
      <c r="M112" s="320">
        <f t="shared" si="21"/>
        <v>2024</v>
      </c>
      <c r="N112" s="320">
        <f t="shared" si="21"/>
        <v>2025</v>
      </c>
      <c r="O112" s="15"/>
      <c r="P112" s="15"/>
      <c r="Q112" s="2"/>
      <c r="R112" s="2"/>
      <c r="S112" s="343"/>
      <c r="T112" s="343"/>
      <c r="U112" s="2"/>
      <c r="V112" s="2"/>
      <c r="W112" s="2"/>
      <c r="X112" s="2"/>
      <c r="Y112" s="2"/>
      <c r="Z112" s="1055" t="s">
        <v>782</v>
      </c>
      <c r="AA112" s="2"/>
      <c r="AB112" s="2"/>
      <c r="AC112" s="1044">
        <f t="shared" ref="AC112:AI112" si="22">H$20</f>
        <v>2019</v>
      </c>
      <c r="AD112" s="1044">
        <f t="shared" si="22"/>
        <v>2020</v>
      </c>
      <c r="AE112" s="1044">
        <f t="shared" si="22"/>
        <v>2021</v>
      </c>
      <c r="AF112" s="1044">
        <f t="shared" si="22"/>
        <v>2022</v>
      </c>
      <c r="AG112" s="1044">
        <f t="shared" si="22"/>
        <v>2023</v>
      </c>
      <c r="AH112" s="1044">
        <f t="shared" si="22"/>
        <v>2024</v>
      </c>
      <c r="AI112" s="1044">
        <f t="shared" si="22"/>
        <v>2025</v>
      </c>
      <c r="AJ112" s="2"/>
      <c r="AK112" s="2"/>
      <c r="AL112" s="2"/>
    </row>
    <row r="113" spans="1:38" x14ac:dyDescent="0.25">
      <c r="A113" s="2"/>
      <c r="B113" s="19"/>
      <c r="C113" s="19"/>
      <c r="D113" s="32">
        <v>1</v>
      </c>
      <c r="E113" s="1787"/>
      <c r="F113" s="1047"/>
      <c r="G113" s="602"/>
      <c r="H113" s="383"/>
      <c r="I113" s="467"/>
      <c r="J113" s="1106"/>
      <c r="K113" s="383"/>
      <c r="L113" s="383"/>
      <c r="M113" s="383"/>
      <c r="N113" s="383"/>
      <c r="O113" s="15"/>
      <c r="P113" s="1362"/>
      <c r="Q113" s="2"/>
      <c r="R113" s="2"/>
      <c r="S113" s="343"/>
      <c r="T113" s="343"/>
      <c r="U113" s="2"/>
      <c r="V113" s="2"/>
      <c r="W113" s="2"/>
      <c r="X113" s="2"/>
      <c r="Y113" s="2"/>
      <c r="Z113" s="1056" t="b">
        <f t="shared" ref="Z113:AA122" si="23">AA113</f>
        <v>0</v>
      </c>
      <c r="AA113" s="1057" t="b">
        <f t="shared" si="23"/>
        <v>0</v>
      </c>
      <c r="AB113" s="1363" t="b">
        <f>AND(AC113:AI113)</f>
        <v>0</v>
      </c>
      <c r="AC113" s="1054" t="b">
        <f t="shared" ref="AC113:AI113" si="24">AC83</f>
        <v>0</v>
      </c>
      <c r="AD113" s="1052" t="b">
        <f t="shared" si="24"/>
        <v>0</v>
      </c>
      <c r="AE113" s="1052" t="b">
        <f>AE83</f>
        <v>0</v>
      </c>
      <c r="AF113" s="1052" t="b">
        <f t="shared" si="24"/>
        <v>0</v>
      </c>
      <c r="AG113" s="1052" t="b">
        <f>AG83</f>
        <v>0</v>
      </c>
      <c r="AH113" s="1052" t="b">
        <f t="shared" si="24"/>
        <v>0</v>
      </c>
      <c r="AI113" s="1053" t="b">
        <f t="shared" si="24"/>
        <v>0</v>
      </c>
      <c r="AJ113" s="553" t="s">
        <v>2248</v>
      </c>
      <c r="AK113" s="663" t="str">
        <f>IF(AND(CNTR_ExistSubInstEntries,COUNTIFS(AC113:AI113,FALSE,H113:N113,"")&gt;0),EUconst_Error&amp;"BM"&amp;$Q13,"")</f>
        <v/>
      </c>
      <c r="AL113" s="2"/>
    </row>
    <row r="114" spans="1:38" x14ac:dyDescent="0.25">
      <c r="A114" s="2"/>
      <c r="B114" s="19"/>
      <c r="C114" s="19"/>
      <c r="D114" s="33">
        <f>D113+1</f>
        <v>2</v>
      </c>
      <c r="E114" s="1788"/>
      <c r="F114" s="1048"/>
      <c r="G114" s="446"/>
      <c r="H114" s="431"/>
      <c r="I114" s="468"/>
      <c r="J114" s="1120"/>
      <c r="K114" s="431"/>
      <c r="L114" s="431"/>
      <c r="M114" s="431"/>
      <c r="N114" s="431"/>
      <c r="O114" s="15"/>
      <c r="P114" s="1362"/>
      <c r="Q114" s="2"/>
      <c r="R114" s="2"/>
      <c r="S114" s="343"/>
      <c r="T114" s="343"/>
      <c r="U114" s="2"/>
      <c r="V114" s="2"/>
      <c r="W114" s="2"/>
      <c r="X114" s="2"/>
      <c r="Y114" s="2"/>
      <c r="Z114" s="583" t="b">
        <f t="shared" si="23"/>
        <v>0</v>
      </c>
      <c r="AA114" s="108" t="b">
        <f t="shared" si="23"/>
        <v>0</v>
      </c>
      <c r="AB114" s="109" t="b">
        <f t="shared" ref="AB114:AB122" si="25">AND(AC114:AI114)</f>
        <v>0</v>
      </c>
      <c r="AC114" s="153" t="b">
        <f>AC113</f>
        <v>0</v>
      </c>
      <c r="AD114" s="108" t="b">
        <f t="shared" ref="AD114:AD122" si="26">AD113</f>
        <v>0</v>
      </c>
      <c r="AE114" s="108" t="b">
        <f t="shared" ref="AE114:AE122" si="27">AE113</f>
        <v>0</v>
      </c>
      <c r="AF114" s="108" t="b">
        <f t="shared" ref="AF114:AF122" si="28">AF113</f>
        <v>0</v>
      </c>
      <c r="AG114" s="108" t="b">
        <f t="shared" ref="AG114:AG122" si="29">AG113</f>
        <v>0</v>
      </c>
      <c r="AH114" s="108" t="b">
        <f t="shared" ref="AH114:AH122" si="30">AH113</f>
        <v>0</v>
      </c>
      <c r="AI114" s="109" t="b">
        <f t="shared" ref="AI114:AI122" si="31">AI113</f>
        <v>0</v>
      </c>
      <c r="AJ114" s="2"/>
      <c r="AK114" s="2"/>
      <c r="AL114" s="2"/>
    </row>
    <row r="115" spans="1:38" x14ac:dyDescent="0.25">
      <c r="A115" s="2"/>
      <c r="B115" s="19"/>
      <c r="C115" s="19"/>
      <c r="D115" s="33">
        <f t="shared" ref="D115:D122" si="32">D114+1</f>
        <v>3</v>
      </c>
      <c r="E115" s="1788"/>
      <c r="F115" s="1049"/>
      <c r="G115" s="446"/>
      <c r="H115" s="431"/>
      <c r="I115" s="468"/>
      <c r="J115" s="1120"/>
      <c r="K115" s="431"/>
      <c r="L115" s="431"/>
      <c r="M115" s="431"/>
      <c r="N115" s="431"/>
      <c r="O115" s="15"/>
      <c r="P115" s="1362"/>
      <c r="Q115" s="2"/>
      <c r="R115" s="2"/>
      <c r="S115" s="343"/>
      <c r="T115" s="343"/>
      <c r="U115" s="2"/>
      <c r="V115" s="2"/>
      <c r="W115" s="2"/>
      <c r="X115" s="2"/>
      <c r="Y115" s="2"/>
      <c r="Z115" s="583" t="b">
        <f t="shared" si="23"/>
        <v>0</v>
      </c>
      <c r="AA115" s="108" t="b">
        <f t="shared" si="23"/>
        <v>0</v>
      </c>
      <c r="AB115" s="109" t="b">
        <f t="shared" si="25"/>
        <v>0</v>
      </c>
      <c r="AC115" s="153" t="b">
        <f t="shared" ref="AC115:AC122" si="33">AC114</f>
        <v>0</v>
      </c>
      <c r="AD115" s="108" t="b">
        <f t="shared" si="26"/>
        <v>0</v>
      </c>
      <c r="AE115" s="108" t="b">
        <f t="shared" si="27"/>
        <v>0</v>
      </c>
      <c r="AF115" s="108" t="b">
        <f t="shared" si="28"/>
        <v>0</v>
      </c>
      <c r="AG115" s="108" t="b">
        <f t="shared" si="29"/>
        <v>0</v>
      </c>
      <c r="AH115" s="108" t="b">
        <f t="shared" si="30"/>
        <v>0</v>
      </c>
      <c r="AI115" s="109" t="b">
        <f t="shared" si="31"/>
        <v>0</v>
      </c>
      <c r="AJ115" s="2"/>
      <c r="AK115" s="2"/>
      <c r="AL115" s="2"/>
    </row>
    <row r="116" spans="1:38" x14ac:dyDescent="0.25">
      <c r="A116" s="2"/>
      <c r="B116" s="19"/>
      <c r="C116" s="19"/>
      <c r="D116" s="33">
        <f t="shared" si="32"/>
        <v>4</v>
      </c>
      <c r="E116" s="1788"/>
      <c r="F116" s="1049"/>
      <c r="G116" s="446"/>
      <c r="H116" s="431"/>
      <c r="I116" s="468"/>
      <c r="J116" s="1120"/>
      <c r="K116" s="431"/>
      <c r="L116" s="431"/>
      <c r="M116" s="431"/>
      <c r="N116" s="431"/>
      <c r="O116" s="15"/>
      <c r="P116" s="1362"/>
      <c r="Q116" s="2"/>
      <c r="R116" s="2"/>
      <c r="S116" s="343"/>
      <c r="T116" s="343"/>
      <c r="U116" s="2"/>
      <c r="V116" s="2"/>
      <c r="W116" s="2"/>
      <c r="X116" s="2"/>
      <c r="Y116" s="2"/>
      <c r="Z116" s="583" t="b">
        <f t="shared" si="23"/>
        <v>0</v>
      </c>
      <c r="AA116" s="108" t="b">
        <f t="shared" si="23"/>
        <v>0</v>
      </c>
      <c r="AB116" s="109" t="b">
        <f t="shared" si="25"/>
        <v>0</v>
      </c>
      <c r="AC116" s="153" t="b">
        <f t="shared" si="33"/>
        <v>0</v>
      </c>
      <c r="AD116" s="108" t="b">
        <f t="shared" si="26"/>
        <v>0</v>
      </c>
      <c r="AE116" s="108" t="b">
        <f t="shared" si="27"/>
        <v>0</v>
      </c>
      <c r="AF116" s="108" t="b">
        <f t="shared" si="28"/>
        <v>0</v>
      </c>
      <c r="AG116" s="108" t="b">
        <f t="shared" si="29"/>
        <v>0</v>
      </c>
      <c r="AH116" s="108" t="b">
        <f t="shared" si="30"/>
        <v>0</v>
      </c>
      <c r="AI116" s="109" t="b">
        <f t="shared" si="31"/>
        <v>0</v>
      </c>
      <c r="AJ116" s="2"/>
      <c r="AK116" s="2"/>
      <c r="AL116" s="2"/>
    </row>
    <row r="117" spans="1:38" x14ac:dyDescent="0.25">
      <c r="A117" s="2"/>
      <c r="B117" s="19"/>
      <c r="C117" s="19"/>
      <c r="D117" s="33">
        <f t="shared" si="32"/>
        <v>5</v>
      </c>
      <c r="E117" s="1788"/>
      <c r="F117" s="1049"/>
      <c r="G117" s="446"/>
      <c r="H117" s="431"/>
      <c r="I117" s="468"/>
      <c r="J117" s="1120"/>
      <c r="K117" s="431"/>
      <c r="L117" s="431"/>
      <c r="M117" s="431"/>
      <c r="N117" s="431"/>
      <c r="O117" s="15"/>
      <c r="P117" s="1362"/>
      <c r="Q117" s="2"/>
      <c r="R117" s="2"/>
      <c r="S117" s="343"/>
      <c r="T117" s="343"/>
      <c r="U117" s="2"/>
      <c r="V117" s="2"/>
      <c r="W117" s="2"/>
      <c r="X117" s="2"/>
      <c r="Y117" s="2"/>
      <c r="Z117" s="583" t="b">
        <f t="shared" si="23"/>
        <v>0</v>
      </c>
      <c r="AA117" s="108" t="b">
        <f t="shared" si="23"/>
        <v>0</v>
      </c>
      <c r="AB117" s="109" t="b">
        <f t="shared" si="25"/>
        <v>0</v>
      </c>
      <c r="AC117" s="153" t="b">
        <f t="shared" si="33"/>
        <v>0</v>
      </c>
      <c r="AD117" s="108" t="b">
        <f t="shared" si="26"/>
        <v>0</v>
      </c>
      <c r="AE117" s="108" t="b">
        <f t="shared" si="27"/>
        <v>0</v>
      </c>
      <c r="AF117" s="108" t="b">
        <f t="shared" si="28"/>
        <v>0</v>
      </c>
      <c r="AG117" s="108" t="b">
        <f t="shared" si="29"/>
        <v>0</v>
      </c>
      <c r="AH117" s="108" t="b">
        <f t="shared" si="30"/>
        <v>0</v>
      </c>
      <c r="AI117" s="109" t="b">
        <f t="shared" si="31"/>
        <v>0</v>
      </c>
      <c r="AJ117" s="2"/>
      <c r="AK117" s="2"/>
      <c r="AL117" s="2"/>
    </row>
    <row r="118" spans="1:38" x14ac:dyDescent="0.25">
      <c r="A118" s="2"/>
      <c r="B118" s="19"/>
      <c r="C118" s="19"/>
      <c r="D118" s="33">
        <f t="shared" si="32"/>
        <v>6</v>
      </c>
      <c r="E118" s="1788"/>
      <c r="F118" s="1049"/>
      <c r="G118" s="446"/>
      <c r="H118" s="431"/>
      <c r="I118" s="468"/>
      <c r="J118" s="1120"/>
      <c r="K118" s="431"/>
      <c r="L118" s="431"/>
      <c r="M118" s="431"/>
      <c r="N118" s="431"/>
      <c r="O118" s="15"/>
      <c r="P118" s="1362"/>
      <c r="Q118" s="2"/>
      <c r="R118" s="2"/>
      <c r="S118" s="343"/>
      <c r="T118" s="343"/>
      <c r="U118" s="2"/>
      <c r="V118" s="2"/>
      <c r="W118" s="2"/>
      <c r="X118" s="2"/>
      <c r="Y118" s="2"/>
      <c r="Z118" s="583" t="b">
        <f t="shared" si="23"/>
        <v>0</v>
      </c>
      <c r="AA118" s="108" t="b">
        <f t="shared" si="23"/>
        <v>0</v>
      </c>
      <c r="AB118" s="109" t="b">
        <f t="shared" si="25"/>
        <v>0</v>
      </c>
      <c r="AC118" s="153" t="b">
        <f t="shared" si="33"/>
        <v>0</v>
      </c>
      <c r="AD118" s="108" t="b">
        <f t="shared" si="26"/>
        <v>0</v>
      </c>
      <c r="AE118" s="108" t="b">
        <f t="shared" si="27"/>
        <v>0</v>
      </c>
      <c r="AF118" s="108" t="b">
        <f t="shared" si="28"/>
        <v>0</v>
      </c>
      <c r="AG118" s="108" t="b">
        <f t="shared" si="29"/>
        <v>0</v>
      </c>
      <c r="AH118" s="108" t="b">
        <f t="shared" si="30"/>
        <v>0</v>
      </c>
      <c r="AI118" s="109" t="b">
        <f t="shared" si="31"/>
        <v>0</v>
      </c>
      <c r="AJ118" s="2"/>
      <c r="AK118" s="2"/>
      <c r="AL118" s="2"/>
    </row>
    <row r="119" spans="1:38" x14ac:dyDescent="0.25">
      <c r="A119" s="2"/>
      <c r="B119" s="19"/>
      <c r="C119" s="19"/>
      <c r="D119" s="33">
        <f t="shared" si="32"/>
        <v>7</v>
      </c>
      <c r="E119" s="1788"/>
      <c r="F119" s="1049"/>
      <c r="G119" s="446"/>
      <c r="H119" s="431"/>
      <c r="I119" s="468"/>
      <c r="J119" s="1120"/>
      <c r="K119" s="431"/>
      <c r="L119" s="431"/>
      <c r="M119" s="431"/>
      <c r="N119" s="431"/>
      <c r="O119" s="15"/>
      <c r="P119" s="1362"/>
      <c r="Q119" s="2"/>
      <c r="R119" s="2"/>
      <c r="S119" s="343"/>
      <c r="T119" s="343"/>
      <c r="U119" s="2"/>
      <c r="V119" s="2"/>
      <c r="W119" s="2"/>
      <c r="X119" s="2"/>
      <c r="Y119" s="2"/>
      <c r="Z119" s="583" t="b">
        <f t="shared" si="23"/>
        <v>0</v>
      </c>
      <c r="AA119" s="108" t="b">
        <f t="shared" si="23"/>
        <v>0</v>
      </c>
      <c r="AB119" s="109" t="b">
        <f t="shared" si="25"/>
        <v>0</v>
      </c>
      <c r="AC119" s="153" t="b">
        <f t="shared" si="33"/>
        <v>0</v>
      </c>
      <c r="AD119" s="108" t="b">
        <f t="shared" si="26"/>
        <v>0</v>
      </c>
      <c r="AE119" s="108" t="b">
        <f t="shared" si="27"/>
        <v>0</v>
      </c>
      <c r="AF119" s="108" t="b">
        <f t="shared" si="28"/>
        <v>0</v>
      </c>
      <c r="AG119" s="108" t="b">
        <f t="shared" si="29"/>
        <v>0</v>
      </c>
      <c r="AH119" s="108" t="b">
        <f t="shared" si="30"/>
        <v>0</v>
      </c>
      <c r="AI119" s="109" t="b">
        <f t="shared" si="31"/>
        <v>0</v>
      </c>
      <c r="AJ119" s="2"/>
      <c r="AK119" s="2"/>
      <c r="AL119" s="2"/>
    </row>
    <row r="120" spans="1:38" x14ac:dyDescent="0.25">
      <c r="A120" s="2"/>
      <c r="B120" s="19"/>
      <c r="C120" s="19"/>
      <c r="D120" s="33">
        <f t="shared" si="32"/>
        <v>8</v>
      </c>
      <c r="E120" s="1788"/>
      <c r="F120" s="1049"/>
      <c r="G120" s="446"/>
      <c r="H120" s="431"/>
      <c r="I120" s="468"/>
      <c r="J120" s="1120"/>
      <c r="K120" s="431"/>
      <c r="L120" s="431"/>
      <c r="M120" s="431"/>
      <c r="N120" s="431"/>
      <c r="O120" s="15"/>
      <c r="P120" s="1362"/>
      <c r="Q120" s="2"/>
      <c r="R120" s="2"/>
      <c r="S120" s="343"/>
      <c r="T120" s="343"/>
      <c r="U120" s="2"/>
      <c r="V120" s="2"/>
      <c r="W120" s="2"/>
      <c r="X120" s="2"/>
      <c r="Y120" s="2"/>
      <c r="Z120" s="583" t="b">
        <f t="shared" si="23"/>
        <v>0</v>
      </c>
      <c r="AA120" s="108" t="b">
        <f t="shared" si="23"/>
        <v>0</v>
      </c>
      <c r="AB120" s="109" t="b">
        <f t="shared" si="25"/>
        <v>0</v>
      </c>
      <c r="AC120" s="153" t="b">
        <f t="shared" si="33"/>
        <v>0</v>
      </c>
      <c r="AD120" s="108" t="b">
        <f t="shared" si="26"/>
        <v>0</v>
      </c>
      <c r="AE120" s="108" t="b">
        <f t="shared" si="27"/>
        <v>0</v>
      </c>
      <c r="AF120" s="108" t="b">
        <f t="shared" si="28"/>
        <v>0</v>
      </c>
      <c r="AG120" s="108" t="b">
        <f t="shared" si="29"/>
        <v>0</v>
      </c>
      <c r="AH120" s="108" t="b">
        <f t="shared" si="30"/>
        <v>0</v>
      </c>
      <c r="AI120" s="109" t="b">
        <f t="shared" si="31"/>
        <v>0</v>
      </c>
      <c r="AJ120" s="2"/>
      <c r="AK120" s="2"/>
      <c r="AL120" s="2"/>
    </row>
    <row r="121" spans="1:38" x14ac:dyDescent="0.25">
      <c r="A121" s="2"/>
      <c r="B121" s="19"/>
      <c r="C121" s="19"/>
      <c r="D121" s="33">
        <f t="shared" si="32"/>
        <v>9</v>
      </c>
      <c r="E121" s="1788"/>
      <c r="F121" s="1049"/>
      <c r="G121" s="446"/>
      <c r="H121" s="431"/>
      <c r="I121" s="468"/>
      <c r="J121" s="1120"/>
      <c r="K121" s="431"/>
      <c r="L121" s="431"/>
      <c r="M121" s="431"/>
      <c r="N121" s="431"/>
      <c r="O121" s="15"/>
      <c r="P121" s="1362"/>
      <c r="Q121" s="2"/>
      <c r="R121" s="2"/>
      <c r="S121" s="343"/>
      <c r="T121" s="343"/>
      <c r="U121" s="2"/>
      <c r="V121" s="2"/>
      <c r="W121" s="2"/>
      <c r="X121" s="2"/>
      <c r="Y121" s="2"/>
      <c r="Z121" s="583" t="b">
        <f t="shared" si="23"/>
        <v>0</v>
      </c>
      <c r="AA121" s="108" t="b">
        <f t="shared" si="23"/>
        <v>0</v>
      </c>
      <c r="AB121" s="109" t="b">
        <f t="shared" si="25"/>
        <v>0</v>
      </c>
      <c r="AC121" s="153" t="b">
        <f t="shared" si="33"/>
        <v>0</v>
      </c>
      <c r="AD121" s="108" t="b">
        <f t="shared" si="26"/>
        <v>0</v>
      </c>
      <c r="AE121" s="108" t="b">
        <f t="shared" si="27"/>
        <v>0</v>
      </c>
      <c r="AF121" s="108" t="b">
        <f t="shared" si="28"/>
        <v>0</v>
      </c>
      <c r="AG121" s="108" t="b">
        <f t="shared" si="29"/>
        <v>0</v>
      </c>
      <c r="AH121" s="108" t="b">
        <f t="shared" si="30"/>
        <v>0</v>
      </c>
      <c r="AI121" s="109" t="b">
        <f t="shared" si="31"/>
        <v>0</v>
      </c>
      <c r="AJ121" s="2"/>
      <c r="AK121" s="2"/>
      <c r="AL121" s="2"/>
    </row>
    <row r="122" spans="1:38" ht="13" thickBot="1" x14ac:dyDescent="0.3">
      <c r="A122" s="2"/>
      <c r="B122" s="19"/>
      <c r="C122" s="19"/>
      <c r="D122" s="36">
        <f t="shared" si="32"/>
        <v>10</v>
      </c>
      <c r="E122" s="1790"/>
      <c r="F122" s="1050"/>
      <c r="G122" s="447"/>
      <c r="H122" s="357"/>
      <c r="I122" s="469"/>
      <c r="J122" s="1112"/>
      <c r="K122" s="357"/>
      <c r="L122" s="357"/>
      <c r="M122" s="357"/>
      <c r="N122" s="357"/>
      <c r="O122" s="15"/>
      <c r="P122" s="1362"/>
      <c r="Q122" s="2"/>
      <c r="R122" s="2"/>
      <c r="S122" s="343"/>
      <c r="T122" s="343"/>
      <c r="U122" s="2"/>
      <c r="V122" s="2"/>
      <c r="W122" s="2"/>
      <c r="X122" s="2"/>
      <c r="Y122" s="2"/>
      <c r="Z122" s="110" t="b">
        <f t="shared" si="23"/>
        <v>0</v>
      </c>
      <c r="AA122" s="111" t="b">
        <f t="shared" si="23"/>
        <v>0</v>
      </c>
      <c r="AB122" s="112" t="b">
        <f t="shared" si="25"/>
        <v>0</v>
      </c>
      <c r="AC122" s="156" t="b">
        <f t="shared" si="33"/>
        <v>0</v>
      </c>
      <c r="AD122" s="111" t="b">
        <f t="shared" si="26"/>
        <v>0</v>
      </c>
      <c r="AE122" s="111" t="b">
        <f t="shared" si="27"/>
        <v>0</v>
      </c>
      <c r="AF122" s="111" t="b">
        <f t="shared" si="28"/>
        <v>0</v>
      </c>
      <c r="AG122" s="111" t="b">
        <f t="shared" si="29"/>
        <v>0</v>
      </c>
      <c r="AH122" s="111" t="b">
        <f t="shared" si="30"/>
        <v>0</v>
      </c>
      <c r="AI122" s="112" t="b">
        <f t="shared" si="31"/>
        <v>0</v>
      </c>
      <c r="AJ122" s="2"/>
      <c r="AK122" s="2"/>
      <c r="AL122" s="2"/>
    </row>
    <row r="123" spans="1:38" ht="12.75" customHeight="1" thickBot="1" x14ac:dyDescent="0.3">
      <c r="A123" s="2"/>
      <c r="B123" s="19"/>
      <c r="C123" s="19"/>
      <c r="D123" s="90"/>
      <c r="E123" s="1026" t="str">
        <f>Translations!$B$548</f>
        <v>Summa av produktionsnivåer</v>
      </c>
      <c r="F123" s="915"/>
      <c r="G123" s="554"/>
      <c r="H123" s="275" t="str">
        <f t="shared" ref="H123:N123" si="34">IF(COUNT(H113:H122)&gt;0,SUM(H113:H122),"")</f>
        <v/>
      </c>
      <c r="I123" s="281" t="str">
        <f t="shared" si="34"/>
        <v/>
      </c>
      <c r="J123" s="1118" t="str">
        <f t="shared" si="34"/>
        <v/>
      </c>
      <c r="K123" s="275" t="str">
        <f t="shared" si="34"/>
        <v/>
      </c>
      <c r="L123" s="275" t="str">
        <f t="shared" si="34"/>
        <v/>
      </c>
      <c r="M123" s="275" t="str">
        <f t="shared" si="34"/>
        <v/>
      </c>
      <c r="N123" s="275" t="str">
        <f t="shared" si="34"/>
        <v/>
      </c>
      <c r="O123" s="15"/>
      <c r="P123" s="15"/>
      <c r="Q123" s="2"/>
      <c r="R123" s="2"/>
      <c r="S123" s="343"/>
      <c r="T123" s="343"/>
      <c r="U123" s="2"/>
      <c r="V123" s="2"/>
      <c r="W123" s="2"/>
      <c r="X123" s="2"/>
      <c r="Y123" s="2"/>
      <c r="Z123" s="2"/>
      <c r="AA123" s="2"/>
      <c r="AB123" s="555" t="b">
        <f>AND(AB113:AB122)</f>
        <v>0</v>
      </c>
      <c r="AC123" s="2"/>
      <c r="AD123" s="2"/>
      <c r="AE123" s="2"/>
      <c r="AF123" s="2"/>
      <c r="AG123" s="2"/>
      <c r="AH123" s="2"/>
      <c r="AI123" s="2"/>
      <c r="AJ123" s="2"/>
      <c r="AK123" s="2"/>
      <c r="AL123" s="2"/>
    </row>
    <row r="124" spans="1:38" ht="12.75" customHeight="1" thickBot="1" x14ac:dyDescent="0.3">
      <c r="A124" s="2"/>
      <c r="B124" s="178"/>
      <c r="C124" s="178"/>
      <c r="D124" s="178"/>
      <c r="E124" s="178"/>
      <c r="F124" s="178"/>
      <c r="G124" s="178"/>
      <c r="H124" s="178"/>
      <c r="I124" s="178"/>
      <c r="J124" s="178"/>
      <c r="K124" s="178"/>
      <c r="L124" s="178"/>
      <c r="M124" s="15"/>
      <c r="N124" s="15"/>
      <c r="O124" s="15"/>
      <c r="P124" s="15"/>
      <c r="Q124" s="343"/>
      <c r="R124" s="2"/>
      <c r="S124" s="343"/>
      <c r="T124" s="343"/>
      <c r="U124" s="2"/>
      <c r="V124" s="2"/>
      <c r="W124" s="2"/>
      <c r="X124" s="2"/>
      <c r="Y124" s="2"/>
      <c r="Z124" s="2"/>
      <c r="AA124" s="2"/>
      <c r="AB124" s="2"/>
      <c r="AC124" s="2"/>
      <c r="AD124" s="2"/>
      <c r="AE124" s="2"/>
      <c r="AF124" s="2"/>
      <c r="AG124" s="2"/>
      <c r="AH124" s="2"/>
      <c r="AI124" s="2"/>
      <c r="AJ124" s="2"/>
      <c r="AK124" s="2"/>
      <c r="AL124" s="2"/>
    </row>
    <row r="125" spans="1:38" ht="5.15" customHeight="1" x14ac:dyDescent="0.25">
      <c r="A125" s="2"/>
      <c r="B125" s="178"/>
      <c r="C125" s="775"/>
      <c r="D125" s="776"/>
      <c r="E125" s="776"/>
      <c r="F125" s="776"/>
      <c r="G125" s="776"/>
      <c r="H125" s="776"/>
      <c r="I125" s="776"/>
      <c r="J125" s="776"/>
      <c r="K125" s="776"/>
      <c r="L125" s="776"/>
      <c r="M125" s="777"/>
      <c r="N125" s="778"/>
      <c r="O125" s="15"/>
      <c r="P125" s="15"/>
      <c r="Q125" s="343"/>
      <c r="R125" s="2"/>
      <c r="S125" s="343"/>
      <c r="T125" s="343"/>
      <c r="U125" s="2"/>
      <c r="V125" s="2"/>
      <c r="W125" s="2"/>
      <c r="X125" s="2"/>
      <c r="Y125" s="2"/>
      <c r="Z125" s="2"/>
      <c r="AA125" s="2"/>
      <c r="AB125" s="2"/>
      <c r="AC125" s="2"/>
      <c r="AD125" s="2"/>
      <c r="AE125" s="2"/>
      <c r="AF125" s="2"/>
      <c r="AG125" s="2"/>
      <c r="AH125" s="2"/>
      <c r="AI125" s="2"/>
      <c r="AJ125" s="2"/>
      <c r="AK125" s="2"/>
      <c r="AL125" s="2"/>
    </row>
    <row r="126" spans="1:38" ht="15" customHeight="1" x14ac:dyDescent="0.25">
      <c r="A126" s="2"/>
      <c r="B126" s="19"/>
      <c r="C126" s="779"/>
      <c r="D126" s="2645" t="str">
        <f>Translations!$B$549</f>
        <v>Uppgifter som krävs för att fastställa den riktmärkesrelaterade förbättringsfaktorn enligt artikel 10a.2 i ETS-direktivet</v>
      </c>
      <c r="E126" s="2635"/>
      <c r="F126" s="2635"/>
      <c r="G126" s="2635"/>
      <c r="H126" s="2635"/>
      <c r="I126" s="2635"/>
      <c r="J126" s="2635"/>
      <c r="K126" s="2635"/>
      <c r="L126" s="2635"/>
      <c r="M126" s="2635"/>
      <c r="N126" s="2636"/>
      <c r="O126" s="15"/>
      <c r="P126" s="15"/>
      <c r="Q126" s="2"/>
      <c r="R126" s="2"/>
      <c r="S126" s="343"/>
      <c r="T126" s="343"/>
      <c r="U126" s="2"/>
      <c r="V126" s="2"/>
      <c r="W126" s="2"/>
      <c r="X126" s="2"/>
      <c r="Y126" s="2"/>
      <c r="Z126" s="2"/>
      <c r="AA126" s="2"/>
      <c r="AB126" s="2"/>
      <c r="AC126" s="2"/>
      <c r="AD126" s="2"/>
      <c r="AE126" s="2"/>
      <c r="AF126" s="2"/>
      <c r="AG126" s="2"/>
      <c r="AH126" s="2"/>
      <c r="AI126" s="2"/>
      <c r="AJ126" s="2"/>
      <c r="AK126" s="2"/>
      <c r="AL126" s="2"/>
    </row>
    <row r="127" spans="1:38" ht="5.15" customHeight="1" x14ac:dyDescent="0.25">
      <c r="A127" s="2"/>
      <c r="B127" s="19"/>
      <c r="C127" s="371"/>
      <c r="D127" s="360"/>
      <c r="E127" s="360"/>
      <c r="F127" s="360"/>
      <c r="G127" s="360"/>
      <c r="H127" s="360"/>
      <c r="I127" s="360"/>
      <c r="J127" s="360"/>
      <c r="K127" s="360"/>
      <c r="L127" s="360"/>
      <c r="M127" s="360"/>
      <c r="N127" s="372"/>
      <c r="O127" s="15"/>
      <c r="P127" s="15"/>
      <c r="Q127" s="2"/>
      <c r="R127" s="2"/>
      <c r="S127" s="343"/>
      <c r="T127" s="343"/>
      <c r="U127" s="2"/>
      <c r="V127" s="2"/>
      <c r="W127" s="2"/>
      <c r="X127" s="2"/>
      <c r="Y127" s="2"/>
      <c r="Z127" s="2"/>
      <c r="AA127" s="2"/>
      <c r="AB127" s="2"/>
      <c r="AC127" s="2"/>
      <c r="AD127" s="2"/>
      <c r="AE127" s="2"/>
      <c r="AF127" s="2"/>
      <c r="AG127" s="2"/>
      <c r="AH127" s="2"/>
      <c r="AI127" s="2"/>
      <c r="AJ127" s="2"/>
      <c r="AK127" s="2"/>
      <c r="AL127" s="2"/>
    </row>
    <row r="128" spans="1:38" ht="15" customHeight="1" x14ac:dyDescent="0.25">
      <c r="A128" s="2"/>
      <c r="B128" s="19"/>
      <c r="C128" s="371"/>
      <c r="D128" s="2646" t="str">
        <f>EUconst_BMSubinst &amp; ":"</f>
        <v>Delanläggning med produktriktmärke:</v>
      </c>
      <c r="E128" s="2642"/>
      <c r="F128" s="2642"/>
      <c r="G128" s="2642"/>
      <c r="H128" s="2647"/>
      <c r="I128" s="2090" t="str">
        <f>I13</f>
        <v/>
      </c>
      <c r="J128" s="2120"/>
      <c r="K128" s="2120"/>
      <c r="L128" s="2120"/>
      <c r="M128" s="2120"/>
      <c r="N128" s="2648"/>
      <c r="O128" s="15"/>
      <c r="P128" s="15"/>
      <c r="Q128" s="2"/>
      <c r="R128" s="2"/>
      <c r="S128" s="343"/>
      <c r="T128" s="343"/>
      <c r="U128" s="2"/>
      <c r="V128" s="2"/>
      <c r="W128" s="2"/>
      <c r="X128" s="2"/>
      <c r="Y128" s="2"/>
      <c r="Z128" s="2"/>
      <c r="AA128" s="2"/>
      <c r="AB128" s="2"/>
      <c r="AC128" s="2"/>
      <c r="AD128" s="2"/>
      <c r="AE128" s="2"/>
      <c r="AF128" s="2"/>
      <c r="AG128" s="2"/>
      <c r="AH128" s="2"/>
      <c r="AI128" s="2"/>
      <c r="AJ128" s="2"/>
      <c r="AK128" s="2"/>
      <c r="AL128" s="2"/>
    </row>
    <row r="129" spans="1:38" ht="5.15" customHeight="1" x14ac:dyDescent="0.25">
      <c r="A129" s="2"/>
      <c r="B129" s="19"/>
      <c r="C129" s="371"/>
      <c r="D129" s="360"/>
      <c r="E129" s="360"/>
      <c r="F129" s="360"/>
      <c r="G129" s="360"/>
      <c r="H129" s="360"/>
      <c r="I129" s="360"/>
      <c r="J129" s="360"/>
      <c r="K129" s="360"/>
      <c r="L129" s="360"/>
      <c r="M129" s="360"/>
      <c r="N129" s="372"/>
      <c r="O129" s="15"/>
      <c r="P129" s="15"/>
      <c r="Q129" s="2"/>
      <c r="R129" s="2"/>
      <c r="S129" s="343"/>
      <c r="T129" s="343"/>
      <c r="U129" s="2"/>
      <c r="V129" s="2"/>
      <c r="W129" s="2"/>
      <c r="X129" s="2"/>
      <c r="Y129" s="2"/>
      <c r="Z129" s="2"/>
      <c r="AA129" s="2"/>
      <c r="AB129" s="2"/>
      <c r="AC129" s="2"/>
      <c r="AD129" s="2"/>
      <c r="AE129" s="2"/>
      <c r="AF129" s="2"/>
      <c r="AG129" s="2"/>
      <c r="AH129" s="2"/>
      <c r="AI129" s="2"/>
      <c r="AJ129" s="2"/>
      <c r="AK129" s="2"/>
      <c r="AL129" s="2"/>
    </row>
    <row r="130" spans="1:38" ht="30" customHeight="1" x14ac:dyDescent="0.25">
      <c r="A130" s="2"/>
      <c r="B130" s="178"/>
      <c r="C130" s="779"/>
      <c r="D130" s="780"/>
      <c r="E130" s="2649" t="str">
        <f>Translations!$B$550</f>
        <v>Detta underavsnitt avser tillskrivning av utsläpp från bränsle-/materialmängder, utsläppskällor, import och export av mätbar värme och restgaser inklusive värmeförluster i enlighet med avsnitt 10 i bilaga VII till FAR.</v>
      </c>
      <c r="F130" s="2649"/>
      <c r="G130" s="2649"/>
      <c r="H130" s="2649"/>
      <c r="I130" s="2649"/>
      <c r="J130" s="2649"/>
      <c r="K130" s="2649"/>
      <c r="L130" s="2649"/>
      <c r="M130" s="2649"/>
      <c r="N130" s="2650"/>
      <c r="O130" s="15"/>
      <c r="P130" s="15"/>
      <c r="Q130" s="343"/>
      <c r="R130" s="2"/>
      <c r="S130" s="2"/>
      <c r="T130" s="2"/>
      <c r="U130" s="2"/>
      <c r="V130" s="2"/>
      <c r="W130" s="2"/>
      <c r="X130" s="2"/>
      <c r="Y130" s="2"/>
      <c r="Z130" s="2"/>
      <c r="AA130" s="2"/>
      <c r="AB130" s="2"/>
      <c r="AC130" s="2"/>
      <c r="AD130" s="2"/>
      <c r="AE130" s="2"/>
      <c r="AF130" s="2"/>
      <c r="AG130" s="2"/>
      <c r="AH130" s="2"/>
      <c r="AI130" s="2"/>
      <c r="AJ130" s="2"/>
      <c r="AK130" s="2"/>
      <c r="AL130" s="2"/>
    </row>
    <row r="131" spans="1:38" ht="30" customHeight="1" x14ac:dyDescent="0.25">
      <c r="A131" s="2"/>
      <c r="B131" s="178"/>
      <c r="C131" s="779"/>
      <c r="D131" s="780"/>
      <c r="E131" s="2649" t="str">
        <f>Translations!$B$551</f>
        <v xml:space="preserve">Var god notera att även om viss vägledning ges för varje punkt nedan bör ytterligare information inhämtas från vägledning 5 (”Monitoring and Reporting in relation to the FAR”), som också innehåller exempel. </v>
      </c>
      <c r="F131" s="2649"/>
      <c r="G131" s="2649"/>
      <c r="H131" s="2649"/>
      <c r="I131" s="2649"/>
      <c r="J131" s="2649"/>
      <c r="K131" s="2649"/>
      <c r="L131" s="2649"/>
      <c r="M131" s="2649"/>
      <c r="N131" s="2597"/>
      <c r="O131" s="15"/>
      <c r="P131" s="15"/>
      <c r="Q131" s="343"/>
      <c r="R131" s="2"/>
      <c r="S131" s="2"/>
      <c r="T131" s="2"/>
      <c r="U131" s="2"/>
      <c r="V131" s="2"/>
      <c r="W131" s="2"/>
      <c r="X131" s="2"/>
      <c r="Y131" s="2"/>
      <c r="Z131" s="2"/>
      <c r="AA131" s="2"/>
      <c r="AB131" s="2"/>
      <c r="AC131" s="2"/>
      <c r="AD131" s="2"/>
      <c r="AE131" s="2"/>
      <c r="AF131" s="2"/>
      <c r="AG131" s="2"/>
      <c r="AH131" s="2"/>
      <c r="AI131" s="2"/>
      <c r="AJ131" s="2"/>
      <c r="AK131" s="2"/>
      <c r="AL131" s="2"/>
    </row>
    <row r="132" spans="1:38" ht="12.75" customHeight="1" x14ac:dyDescent="0.25">
      <c r="A132" s="2"/>
      <c r="B132" s="178"/>
      <c r="C132" s="779"/>
      <c r="D132" s="780"/>
      <c r="E132" s="2649" t="str">
        <f>Translations!$B$552</f>
        <v xml:space="preserve">Vägledningen kan laddas ner via följande länk: </v>
      </c>
      <c r="F132" s="1960"/>
      <c r="G132" s="1960"/>
      <c r="H132" s="1960"/>
      <c r="I132" s="1960"/>
      <c r="J132" s="1960"/>
      <c r="K132" s="1960"/>
      <c r="L132" s="1960"/>
      <c r="M132" s="1960"/>
      <c r="N132" s="2597"/>
      <c r="O132" s="15"/>
      <c r="P132" s="15"/>
      <c r="Q132" s="343"/>
      <c r="R132" s="2"/>
      <c r="S132" s="2"/>
      <c r="T132" s="2"/>
      <c r="U132" s="2"/>
      <c r="V132" s="2"/>
      <c r="W132" s="2"/>
      <c r="X132" s="2"/>
      <c r="Y132" s="2"/>
      <c r="Z132" s="2"/>
      <c r="AA132" s="2"/>
      <c r="AB132" s="2"/>
      <c r="AC132" s="2"/>
      <c r="AD132" s="2"/>
      <c r="AE132" s="2"/>
      <c r="AF132" s="2"/>
      <c r="AG132" s="2"/>
      <c r="AH132" s="2"/>
      <c r="AI132" s="2"/>
      <c r="AJ132" s="2"/>
      <c r="AK132" s="2"/>
      <c r="AL132" s="2"/>
    </row>
    <row r="133" spans="1:38" ht="15" customHeight="1" x14ac:dyDescent="0.25">
      <c r="A133" s="2"/>
      <c r="B133" s="178"/>
      <c r="C133" s="779"/>
      <c r="D133" s="780"/>
      <c r="E133" s="2651" t="str">
        <f>Translations!$B$553</f>
        <v>https://ec.europa.eu/clima/policies/ets/allowances_en#tab-0-1</v>
      </c>
      <c r="F133" s="2651"/>
      <c r="G133" s="2651"/>
      <c r="H133" s="2651"/>
      <c r="I133" s="2651"/>
      <c r="J133" s="2651"/>
      <c r="K133" s="2651"/>
      <c r="L133" s="2651"/>
      <c r="M133" s="2651"/>
      <c r="N133" s="2624"/>
      <c r="O133" s="15"/>
      <c r="P133" s="15"/>
      <c r="Q133" s="343"/>
      <c r="R133" s="2"/>
      <c r="S133" s="2"/>
      <c r="T133" s="2"/>
      <c r="U133" s="2"/>
      <c r="V133" s="2"/>
      <c r="W133" s="2"/>
      <c r="X133" s="2"/>
      <c r="Y133" s="2"/>
      <c r="Z133" s="2"/>
      <c r="AA133" s="2"/>
      <c r="AB133" s="2"/>
      <c r="AC133" s="2"/>
      <c r="AD133" s="2"/>
      <c r="AE133" s="2"/>
      <c r="AF133" s="2"/>
      <c r="AG133" s="2"/>
      <c r="AH133" s="2"/>
      <c r="AI133" s="2"/>
      <c r="AJ133" s="2"/>
      <c r="AK133" s="2"/>
      <c r="AL133" s="2"/>
    </row>
    <row r="134" spans="1:38" ht="5.15" customHeight="1" x14ac:dyDescent="0.25">
      <c r="A134" s="2"/>
      <c r="B134" s="19"/>
      <c r="C134" s="371"/>
      <c r="D134" s="360"/>
      <c r="E134" s="360"/>
      <c r="F134" s="360"/>
      <c r="G134" s="360"/>
      <c r="H134" s="360"/>
      <c r="I134" s="360"/>
      <c r="J134" s="360"/>
      <c r="K134" s="360"/>
      <c r="L134" s="360"/>
      <c r="M134" s="360"/>
      <c r="N134" s="372"/>
      <c r="O134" s="15"/>
      <c r="P134" s="15"/>
      <c r="Q134" s="2"/>
      <c r="R134" s="2"/>
      <c r="S134" s="343"/>
      <c r="T134" s="343"/>
      <c r="U134" s="2"/>
      <c r="V134" s="2"/>
      <c r="W134" s="2"/>
      <c r="X134" s="2"/>
      <c r="Y134" s="2"/>
      <c r="Z134" s="2"/>
      <c r="AA134" s="2"/>
      <c r="AB134" s="2"/>
      <c r="AC134" s="2"/>
      <c r="AD134" s="2"/>
      <c r="AE134" s="2"/>
      <c r="AF134" s="2"/>
      <c r="AG134" s="2"/>
      <c r="AH134" s="2"/>
      <c r="AI134" s="2"/>
      <c r="AJ134" s="2"/>
      <c r="AK134" s="2"/>
      <c r="AL134" s="2"/>
    </row>
    <row r="135" spans="1:38" ht="15" customHeight="1" x14ac:dyDescent="0.25">
      <c r="A135" s="2"/>
      <c r="B135" s="178"/>
      <c r="C135" s="779"/>
      <c r="D135" s="780"/>
      <c r="E135" s="2633" t="str">
        <f>Translations!$B$554</f>
        <v>Utifrån de uppgifter som anges nedan beräknas de tillskrivna utsläppen i avsnitt K.III.2 i det sammanfattande bladet "K_Summary".</v>
      </c>
      <c r="F135" s="2633"/>
      <c r="G135" s="2633"/>
      <c r="H135" s="2633"/>
      <c r="I135" s="2633"/>
      <c r="J135" s="2633"/>
      <c r="K135" s="2633"/>
      <c r="L135" s="2633"/>
      <c r="M135" s="2633"/>
      <c r="N135" s="2624"/>
      <c r="O135" s="15"/>
      <c r="P135" s="15"/>
      <c r="Q135" s="343"/>
      <c r="R135" s="2"/>
      <c r="S135" s="2"/>
      <c r="T135" s="2"/>
      <c r="U135" s="2"/>
      <c r="V135" s="2"/>
      <c r="W135" s="2"/>
      <c r="X135" s="2"/>
      <c r="Y135" s="2"/>
      <c r="Z135" s="2"/>
      <c r="AA135" s="2"/>
      <c r="AB135" s="2"/>
      <c r="AC135" s="2"/>
      <c r="AD135" s="2"/>
      <c r="AE135" s="2"/>
      <c r="AF135" s="2"/>
      <c r="AG135" s="2"/>
      <c r="AH135" s="2"/>
      <c r="AI135" s="2"/>
      <c r="AJ135" s="2"/>
      <c r="AK135" s="2"/>
      <c r="AL135" s="2"/>
    </row>
    <row r="136" spans="1:38" ht="5.15" customHeight="1" x14ac:dyDescent="0.25">
      <c r="A136" s="2"/>
      <c r="B136" s="19"/>
      <c r="C136" s="371"/>
      <c r="D136" s="360"/>
      <c r="E136" s="360"/>
      <c r="F136" s="360"/>
      <c r="G136" s="360"/>
      <c r="H136" s="360"/>
      <c r="I136" s="360"/>
      <c r="J136" s="360"/>
      <c r="K136" s="360"/>
      <c r="L136" s="360"/>
      <c r="M136" s="360"/>
      <c r="N136" s="372"/>
      <c r="O136" s="15"/>
      <c r="P136" s="15"/>
      <c r="Q136" s="2"/>
      <c r="R136" s="2"/>
      <c r="S136" s="343"/>
      <c r="T136" s="343"/>
      <c r="U136" s="2"/>
      <c r="V136" s="2"/>
      <c r="W136" s="2"/>
      <c r="X136" s="2"/>
      <c r="Y136" s="2"/>
      <c r="Z136" s="2"/>
      <c r="AA136" s="2"/>
      <c r="AB136" s="2"/>
      <c r="AC136" s="2"/>
      <c r="AD136" s="2"/>
      <c r="AE136" s="2"/>
      <c r="AF136" s="2"/>
      <c r="AG136" s="2"/>
      <c r="AH136" s="2"/>
      <c r="AI136" s="2"/>
      <c r="AJ136" s="2"/>
      <c r="AK136" s="2"/>
      <c r="AL136" s="2"/>
    </row>
    <row r="137" spans="1:38" ht="12.75" customHeight="1" x14ac:dyDescent="0.25">
      <c r="A137" s="2"/>
      <c r="B137" s="178"/>
      <c r="C137" s="779"/>
      <c r="D137" s="373" t="s">
        <v>299</v>
      </c>
      <c r="E137" s="2634" t="str">
        <f>Translations!$B$555</f>
        <v>Utsläpp som direkt kan tillskrivas (DirEm* (bränsle-/materialmängder enligt övervakningsplan)) delanläggningen</v>
      </c>
      <c r="F137" s="2635"/>
      <c r="G137" s="2635"/>
      <c r="H137" s="2635"/>
      <c r="I137" s="2635"/>
      <c r="J137" s="2635"/>
      <c r="K137" s="2635"/>
      <c r="L137" s="2635"/>
      <c r="M137" s="2635"/>
      <c r="N137" s="2636"/>
      <c r="O137" s="15"/>
      <c r="P137" s="15"/>
      <c r="Q137" s="343"/>
      <c r="R137" s="2"/>
      <c r="S137" s="343"/>
      <c r="T137" s="343"/>
      <c r="U137" s="2"/>
      <c r="V137" s="2"/>
      <c r="W137" s="2"/>
      <c r="X137" s="2"/>
      <c r="Y137" s="2"/>
      <c r="Z137" s="2"/>
      <c r="AA137" s="2"/>
      <c r="AB137" s="2"/>
      <c r="AC137" s="2"/>
      <c r="AD137" s="2"/>
      <c r="AE137" s="2"/>
      <c r="AF137" s="2"/>
      <c r="AG137" s="2"/>
      <c r="AH137" s="2"/>
      <c r="AI137" s="2"/>
      <c r="AJ137" s="2"/>
      <c r="AK137" s="2"/>
      <c r="AL137" s="2"/>
    </row>
    <row r="138" spans="1:38" ht="12.75" customHeight="1" x14ac:dyDescent="0.25">
      <c r="A138" s="2"/>
      <c r="B138" s="178"/>
      <c r="C138" s="779"/>
      <c r="D138" s="416"/>
      <c r="E138" s="2637" t="str">
        <f>Translations!$B$556</f>
        <v>De uppgifter som anges här påverkar de utsläpp som kan tillskrivas i enlighet med avsnitt 10.1.1 i bilaga VII till FAR.</v>
      </c>
      <c r="F138" s="2634"/>
      <c r="G138" s="2634"/>
      <c r="H138" s="2634"/>
      <c r="I138" s="2634"/>
      <c r="J138" s="2634"/>
      <c r="K138" s="2634"/>
      <c r="L138" s="2634"/>
      <c r="M138" s="2634"/>
      <c r="N138" s="2638"/>
      <c r="O138" s="15"/>
      <c r="P138" s="15"/>
      <c r="Q138" s="343"/>
      <c r="R138" s="2"/>
      <c r="S138" s="343"/>
      <c r="T138" s="343"/>
      <c r="U138" s="2"/>
      <c r="V138" s="2"/>
      <c r="W138" s="2"/>
      <c r="X138" s="2"/>
      <c r="Y138" s="2"/>
      <c r="Z138" s="2"/>
      <c r="AA138" s="2"/>
      <c r="AB138" s="2"/>
      <c r="AC138" s="2"/>
      <c r="AD138" s="2"/>
      <c r="AE138" s="2"/>
      <c r="AF138" s="2"/>
      <c r="AG138" s="2"/>
      <c r="AH138" s="2"/>
      <c r="AI138" s="2"/>
      <c r="AJ138" s="2"/>
      <c r="AK138" s="2"/>
      <c r="AL138" s="2"/>
    </row>
    <row r="139" spans="1:38" ht="12.75" customHeight="1" x14ac:dyDescent="0.25">
      <c r="A139" s="2"/>
      <c r="B139" s="178"/>
      <c r="C139" s="779"/>
      <c r="D139" s="780"/>
      <c r="E139" s="2639" t="str">
        <f>Translations!$B$557</f>
        <v>Var god ange utsläpp som direkt kan tillskrivas (DirEm* (bränsle-/materialmängder enligt övervakningsplan)) delanläggningen med beaktande av följande bestämmelser:</v>
      </c>
      <c r="F139" s="2639"/>
      <c r="G139" s="2639"/>
      <c r="H139" s="2639"/>
      <c r="I139" s="2639"/>
      <c r="J139" s="2639"/>
      <c r="K139" s="2639"/>
      <c r="L139" s="2639"/>
      <c r="M139" s="2639"/>
      <c r="N139" s="2640"/>
      <c r="O139" s="15"/>
      <c r="P139" s="15"/>
      <c r="Q139" s="343"/>
      <c r="R139" s="2"/>
      <c r="S139" s="343"/>
      <c r="T139" s="2"/>
      <c r="U139" s="2"/>
      <c r="V139" s="2"/>
      <c r="W139" s="2"/>
      <c r="X139" s="2"/>
      <c r="Y139" s="2"/>
      <c r="Z139" s="2"/>
      <c r="AA139" s="2"/>
      <c r="AB139" s="2"/>
      <c r="AC139" s="2"/>
      <c r="AD139" s="2"/>
      <c r="AE139" s="2"/>
      <c r="AF139" s="2"/>
      <c r="AG139" s="2"/>
      <c r="AH139" s="2"/>
      <c r="AI139" s="2"/>
      <c r="AJ139" s="2"/>
      <c r="AK139" s="2"/>
      <c r="AL139" s="2"/>
    </row>
    <row r="140" spans="1:38" ht="25.5" customHeight="1" x14ac:dyDescent="0.25">
      <c r="A140" s="2"/>
      <c r="B140" s="178"/>
      <c r="C140" s="779"/>
      <c r="D140" s="780"/>
      <c r="E140" s="1140" t="s">
        <v>1112</v>
      </c>
      <c r="F140" s="2641" t="str">
        <f>Translations!$B$558</f>
        <v>”Utsläpp som direkt kan tillskrivas” övervakas enligt den övervakningsplan som ska godkännas enligt M&amp;R-förordningen, dvs. med hänsyn tagen till de utsläpp som fastställts utifrån beräkningsbaserade metoder (med hjälp av bränsle-/materialmängder), mätbaserade metoder (Cems) och nivålösa metoder (”alternativa övervakningsmetoder”/”fall-back”).</v>
      </c>
      <c r="G140" s="2642"/>
      <c r="H140" s="2642"/>
      <c r="I140" s="2642"/>
      <c r="J140" s="2642"/>
      <c r="K140" s="2642"/>
      <c r="L140" s="2642"/>
      <c r="M140" s="2642"/>
      <c r="N140" s="2643"/>
      <c r="O140" s="15"/>
      <c r="P140" s="15"/>
      <c r="Q140" s="343"/>
      <c r="R140" s="2"/>
      <c r="S140" s="343"/>
      <c r="T140" s="2"/>
      <c r="U140" s="2"/>
      <c r="V140" s="2"/>
      <c r="W140" s="2"/>
      <c r="X140" s="2"/>
      <c r="Y140" s="2"/>
      <c r="Z140" s="2"/>
      <c r="AA140" s="2"/>
      <c r="AB140" s="2"/>
      <c r="AC140" s="2"/>
      <c r="AD140" s="2"/>
      <c r="AE140" s="2"/>
      <c r="AF140" s="2"/>
      <c r="AG140" s="2"/>
      <c r="AH140" s="2"/>
      <c r="AI140" s="2"/>
      <c r="AJ140" s="2"/>
      <c r="AK140" s="2"/>
      <c r="AL140" s="2"/>
    </row>
    <row r="141" spans="1:38" ht="38.25" customHeight="1" x14ac:dyDescent="0.25">
      <c r="A141" s="2"/>
      <c r="B141" s="178"/>
      <c r="C141" s="779"/>
      <c r="D141" s="780"/>
      <c r="E141" s="1140"/>
      <c r="F141" s="2610" t="str">
        <f>Translations!$B$559</f>
        <v>I flera situationer är ”utsläppen som direkt kan tillskrivas” i detta avsnitt dock inte identiska med de som ska rapporteras enligt M&amp;R-förordningen. Sådana situationer är bland annat när bränsle-/materialmängder används för produktion av mätbar värme, restgaser osv. Med andra ord måste man därför vara uppmärksam när man fyller i avsnitten nedan, så att man följer instruktionerna noggrant för att undvika dubbelräkning eller utelämnanden.</v>
      </c>
      <c r="G141" s="1960"/>
      <c r="H141" s="1960"/>
      <c r="I141" s="1960"/>
      <c r="J141" s="1960"/>
      <c r="K141" s="1960"/>
      <c r="L141" s="1960"/>
      <c r="M141" s="1960"/>
      <c r="N141" s="2597"/>
      <c r="O141" s="15"/>
      <c r="P141" s="15"/>
      <c r="Q141" s="343"/>
      <c r="R141" s="2"/>
      <c r="S141" s="343"/>
      <c r="T141" s="2"/>
      <c r="U141" s="2"/>
      <c r="V141" s="2"/>
      <c r="W141" s="2"/>
      <c r="X141" s="2"/>
      <c r="Y141" s="2"/>
      <c r="Z141" s="2"/>
      <c r="AA141" s="2"/>
      <c r="AB141" s="2"/>
      <c r="AC141" s="2"/>
      <c r="AD141" s="2"/>
      <c r="AE141" s="2"/>
      <c r="AF141" s="2"/>
      <c r="AG141" s="2"/>
      <c r="AH141" s="2"/>
      <c r="AI141" s="2"/>
      <c r="AJ141" s="2"/>
      <c r="AK141" s="2"/>
      <c r="AL141" s="2"/>
    </row>
    <row r="142" spans="1:38" ht="12.75" customHeight="1" x14ac:dyDescent="0.25">
      <c r="A142" s="2"/>
      <c r="B142" s="178"/>
      <c r="C142" s="779"/>
      <c r="D142" s="780"/>
      <c r="E142" s="1140" t="s">
        <v>1112</v>
      </c>
      <c r="F142" s="2641" t="str">
        <f>Translations!$B$560</f>
        <v xml:space="preserve">Mätbar värme: om värmen enbart produceras för en delanläggning kan utsläppen tillskrivas direkt här via bränslets utsläpp. </v>
      </c>
      <c r="G142" s="2642"/>
      <c r="H142" s="2642"/>
      <c r="I142" s="2642"/>
      <c r="J142" s="2642"/>
      <c r="K142" s="2642"/>
      <c r="L142" s="2642"/>
      <c r="M142" s="2642"/>
      <c r="N142" s="2643"/>
      <c r="O142" s="15"/>
      <c r="P142" s="15"/>
      <c r="Q142" s="343"/>
      <c r="R142" s="2"/>
      <c r="S142" s="343"/>
      <c r="T142" s="2"/>
      <c r="U142" s="2"/>
      <c r="V142" s="2"/>
      <c r="W142" s="2"/>
      <c r="X142" s="2"/>
      <c r="Y142" s="2"/>
      <c r="Z142" s="2"/>
      <c r="AA142" s="2"/>
      <c r="AB142" s="2"/>
      <c r="AC142" s="2"/>
      <c r="AD142" s="2"/>
      <c r="AE142" s="2"/>
      <c r="AF142" s="2"/>
      <c r="AG142" s="2"/>
      <c r="AH142" s="2"/>
      <c r="AI142" s="2"/>
      <c r="AJ142" s="2"/>
      <c r="AK142" s="2"/>
      <c r="AL142" s="2"/>
    </row>
    <row r="143" spans="1:38" ht="38.9" customHeight="1" x14ac:dyDescent="0.25">
      <c r="A143" s="2"/>
      <c r="B143" s="178"/>
      <c r="C143" s="779"/>
      <c r="D143" s="780"/>
      <c r="E143" s="1140"/>
      <c r="F143" s="2641" t="str">
        <f>Translations!$B$561</f>
        <v>I samtliga fall där bränslen används för att producera mätbar värme som används i mer än en delanläggning där värmen förbrukas (vilket innefattar situationer med import från och export till andra anläggningar), bör bränslena inte räknas med i de ”utsläpp som direkt kan tillskrivas” delanläggningen utan tas med i punkt k nedan.</v>
      </c>
      <c r="G143" s="2642"/>
      <c r="H143" s="2642"/>
      <c r="I143" s="2642"/>
      <c r="J143" s="2642"/>
      <c r="K143" s="2642"/>
      <c r="L143" s="2642"/>
      <c r="M143" s="2642"/>
      <c r="N143" s="2643"/>
      <c r="O143" s="15"/>
      <c r="P143" s="15"/>
      <c r="Q143" s="343"/>
      <c r="R143" s="2"/>
      <c r="S143" s="343"/>
      <c r="T143" s="2"/>
      <c r="U143" s="2"/>
      <c r="V143" s="2"/>
      <c r="W143" s="2"/>
      <c r="X143" s="2"/>
      <c r="Y143" s="2"/>
      <c r="Z143" s="2"/>
      <c r="AA143" s="2"/>
      <c r="AB143" s="2"/>
      <c r="AC143" s="2"/>
      <c r="AD143" s="2"/>
      <c r="AE143" s="2"/>
      <c r="AF143" s="2"/>
      <c r="AG143" s="2"/>
      <c r="AH143" s="2"/>
      <c r="AI143" s="2"/>
      <c r="AJ143" s="2"/>
      <c r="AK143" s="2"/>
      <c r="AL143" s="2"/>
    </row>
    <row r="144" spans="1:38" ht="25.5" customHeight="1" x14ac:dyDescent="0.25">
      <c r="A144" s="2"/>
      <c r="B144" s="178"/>
      <c r="C144" s="779"/>
      <c r="D144" s="780"/>
      <c r="E144" s="1140"/>
      <c r="F144" s="2641" t="str">
        <f>Translations!$B$562</f>
        <v>Detta innefattar mätbar värme från en enhet på platsen (t.ex. en energicentral vid anläggningen eller ett mer komplext ångnätverk med flera värmeproducerande enheter) som ger värme till mer än en delanläggning. I ett sådant fall bör utsläppen inte heller tillskrivas här utan i punkt k.i nedan.</v>
      </c>
      <c r="G144" s="2642"/>
      <c r="H144" s="2642"/>
      <c r="I144" s="2642"/>
      <c r="J144" s="2642"/>
      <c r="K144" s="2642"/>
      <c r="L144" s="2642"/>
      <c r="M144" s="2642"/>
      <c r="N144" s="2643"/>
      <c r="O144" s="15"/>
      <c r="P144" s="15"/>
      <c r="Q144" s="343"/>
      <c r="R144" s="2"/>
      <c r="S144" s="343"/>
      <c r="T144" s="2"/>
      <c r="U144" s="2"/>
      <c r="V144" s="2"/>
      <c r="W144" s="2"/>
      <c r="X144" s="2"/>
      <c r="Y144" s="2"/>
      <c r="Z144" s="2"/>
      <c r="AA144" s="2"/>
      <c r="AB144" s="2"/>
      <c r="AC144" s="2"/>
      <c r="AD144" s="2"/>
      <c r="AE144" s="2"/>
      <c r="AF144" s="2"/>
      <c r="AG144" s="2"/>
      <c r="AH144" s="2"/>
      <c r="AI144" s="2"/>
      <c r="AJ144" s="2"/>
      <c r="AK144" s="2"/>
      <c r="AL144" s="2"/>
    </row>
    <row r="145" spans="1:38" ht="25.5" customHeight="1" x14ac:dyDescent="0.25">
      <c r="A145" s="2"/>
      <c r="B145" s="178"/>
      <c r="C145" s="779"/>
      <c r="D145" s="780"/>
      <c r="E145" s="1140" t="s">
        <v>1112</v>
      </c>
      <c r="F145" s="2641" t="str">
        <f>Translations!$B$563</f>
        <v>Exporterad mätbar värme: inga korrigeringar bör göras här om sådan värme återvinns från processen och exporteras. Avdrag för tillhörande utsläpp görs utifrån de uppgifter som ges i punkt k.v nedan.</v>
      </c>
      <c r="G145" s="2642"/>
      <c r="H145" s="2642"/>
      <c r="I145" s="2642"/>
      <c r="J145" s="2642"/>
      <c r="K145" s="2642"/>
      <c r="L145" s="2642"/>
      <c r="M145" s="2642"/>
      <c r="N145" s="2643"/>
      <c r="O145" s="15"/>
      <c r="P145" s="15"/>
      <c r="Q145" s="343"/>
      <c r="R145" s="2"/>
      <c r="S145" s="343"/>
      <c r="T145" s="2"/>
      <c r="U145" s="2"/>
      <c r="V145" s="2"/>
      <c r="W145" s="2"/>
      <c r="X145" s="2"/>
      <c r="Y145" s="2"/>
      <c r="Z145" s="2"/>
      <c r="AA145" s="2"/>
      <c r="AB145" s="2"/>
      <c r="AC145" s="2"/>
      <c r="AD145" s="2"/>
      <c r="AE145" s="2"/>
      <c r="AF145" s="2"/>
      <c r="AG145" s="2"/>
      <c r="AH145" s="2"/>
      <c r="AI145" s="2"/>
      <c r="AJ145" s="2"/>
      <c r="AK145" s="2"/>
      <c r="AL145" s="2"/>
    </row>
    <row r="146" spans="1:38" ht="25.5" customHeight="1" thickBot="1" x14ac:dyDescent="0.3">
      <c r="A146" s="2"/>
      <c r="B146" s="178"/>
      <c r="C146" s="779"/>
      <c r="D146" s="780"/>
      <c r="E146" s="1140" t="s">
        <v>1112</v>
      </c>
      <c r="F146" s="2641" t="str">
        <f>Translations!$B$564</f>
        <v>Restgaser: utsläpp från restgaser som IMPORTERAS från andra anläggningar eller delanläggningar och förbrukas i denna delanläggning bör inte tas med här utan i punkt l nedan.</v>
      </c>
      <c r="G146" s="2642"/>
      <c r="H146" s="2642"/>
      <c r="I146" s="2642"/>
      <c r="J146" s="2642"/>
      <c r="K146" s="2642"/>
      <c r="L146" s="2642"/>
      <c r="M146" s="2642"/>
      <c r="N146" s="2643"/>
      <c r="O146" s="15"/>
      <c r="P146" s="15"/>
      <c r="Q146" s="343"/>
      <c r="R146" s="2"/>
      <c r="S146" s="343"/>
      <c r="T146" s="2"/>
      <c r="U146" s="2"/>
      <c r="V146" s="2"/>
      <c r="W146" s="2"/>
      <c r="X146" s="2"/>
      <c r="Y146" s="2"/>
      <c r="Z146" s="2"/>
      <c r="AA146" s="2"/>
      <c r="AB146" s="2"/>
      <c r="AC146" s="2"/>
      <c r="AD146" s="2"/>
      <c r="AE146" s="2"/>
      <c r="AF146" s="2"/>
      <c r="AG146" s="2"/>
      <c r="AH146" s="2"/>
      <c r="AI146" s="2"/>
      <c r="AJ146" s="2"/>
      <c r="AK146" s="2"/>
      <c r="AL146" s="2"/>
    </row>
    <row r="147" spans="1:38" ht="12.75" customHeight="1" thickBot="1" x14ac:dyDescent="0.3">
      <c r="A147" s="2"/>
      <c r="B147" s="178"/>
      <c r="C147" s="779"/>
      <c r="D147" s="373"/>
      <c r="E147" s="2605" t="str">
        <f>Translations!$B$565</f>
        <v>Utsläpp som direkt kan tillskrivas (DirEm*)</v>
      </c>
      <c r="F147" s="2605"/>
      <c r="G147" s="361" t="str">
        <f>EUconst_Unit</f>
        <v>Enhet</v>
      </c>
      <c r="H147" s="362">
        <f t="shared" ref="H147:N147" si="35">H$3042</f>
        <v>2019</v>
      </c>
      <c r="I147" s="1103">
        <f t="shared" si="35"/>
        <v>2020</v>
      </c>
      <c r="J147" s="1104">
        <f t="shared" si="35"/>
        <v>2021</v>
      </c>
      <c r="K147" s="362">
        <f t="shared" si="35"/>
        <v>2022</v>
      </c>
      <c r="L147" s="362">
        <f t="shared" si="35"/>
        <v>2023</v>
      </c>
      <c r="M147" s="362">
        <f t="shared" si="35"/>
        <v>2024</v>
      </c>
      <c r="N147" s="1141">
        <f t="shared" si="35"/>
        <v>2025</v>
      </c>
      <c r="O147" s="15"/>
      <c r="P147" s="15"/>
      <c r="Q147" s="343"/>
      <c r="R147" s="2"/>
      <c r="S147" s="772"/>
      <c r="T147" s="609">
        <f t="shared" ref="T147:Z147" si="36">H147</f>
        <v>2019</v>
      </c>
      <c r="U147" s="609">
        <f t="shared" si="36"/>
        <v>2020</v>
      </c>
      <c r="V147" s="609">
        <f t="shared" si="36"/>
        <v>2021</v>
      </c>
      <c r="W147" s="609">
        <f t="shared" si="36"/>
        <v>2022</v>
      </c>
      <c r="X147" s="609">
        <f t="shared" si="36"/>
        <v>2023</v>
      </c>
      <c r="Y147" s="609">
        <f t="shared" si="36"/>
        <v>2024</v>
      </c>
      <c r="Z147" s="610">
        <f t="shared" si="36"/>
        <v>2025</v>
      </c>
      <c r="AA147" s="2"/>
      <c r="AB147" s="2"/>
      <c r="AC147" s="1044">
        <f t="shared" ref="AC147:AI147" si="37">H$20</f>
        <v>2019</v>
      </c>
      <c r="AD147" s="1044">
        <f t="shared" si="37"/>
        <v>2020</v>
      </c>
      <c r="AE147" s="1044">
        <f t="shared" si="37"/>
        <v>2021</v>
      </c>
      <c r="AF147" s="1044">
        <f t="shared" si="37"/>
        <v>2022</v>
      </c>
      <c r="AG147" s="1044">
        <f t="shared" si="37"/>
        <v>2023</v>
      </c>
      <c r="AH147" s="1044">
        <f t="shared" si="37"/>
        <v>2024</v>
      </c>
      <c r="AI147" s="1044">
        <f t="shared" si="37"/>
        <v>2025</v>
      </c>
      <c r="AJ147" s="2"/>
      <c r="AK147" s="2"/>
      <c r="AL147" s="2"/>
    </row>
    <row r="148" spans="1:38" ht="12.75" customHeight="1" thickBot="1" x14ac:dyDescent="0.3">
      <c r="A148" s="2"/>
      <c r="B148" s="178"/>
      <c r="C148" s="779"/>
      <c r="D148" s="780"/>
      <c r="E148" s="2617" t="str">
        <f>I13</f>
        <v/>
      </c>
      <c r="F148" s="1997"/>
      <c r="G148" s="363" t="str">
        <f>EUconst_tCO2epa</f>
        <v>t CO2e/år</v>
      </c>
      <c r="H148" s="582"/>
      <c r="I148" s="1105"/>
      <c r="J148" s="1115"/>
      <c r="K148" s="582"/>
      <c r="L148" s="582"/>
      <c r="M148" s="582"/>
      <c r="N148" s="1146"/>
      <c r="O148" s="15"/>
      <c r="P148" s="1362"/>
      <c r="Q148" s="165" t="str">
        <f>EUconst_CNTR_Emissions &amp; I13</f>
        <v>DirEmissions_</v>
      </c>
      <c r="R148" s="2"/>
      <c r="S148" s="773" t="str">
        <f>EUconst_CNTR_AttributedEmissions &amp; I13</f>
        <v>AttrEmissions_</v>
      </c>
      <c r="T148" s="111" t="str">
        <f t="shared" ref="T148:Z148" si="38">IF(T21,SUM(H148),"")</f>
        <v/>
      </c>
      <c r="U148" s="111" t="str">
        <f t="shared" si="38"/>
        <v/>
      </c>
      <c r="V148" s="111" t="str">
        <f t="shared" si="38"/>
        <v/>
      </c>
      <c r="W148" s="111" t="str">
        <f t="shared" si="38"/>
        <v/>
      </c>
      <c r="X148" s="111" t="str">
        <f t="shared" si="38"/>
        <v/>
      </c>
      <c r="Y148" s="111" t="str">
        <f t="shared" si="38"/>
        <v/>
      </c>
      <c r="Z148" s="112" t="str">
        <f t="shared" si="38"/>
        <v/>
      </c>
      <c r="AA148" s="2"/>
      <c r="AB148" s="672" t="s">
        <v>782</v>
      </c>
      <c r="AC148" s="108" t="b">
        <f>AC83</f>
        <v>0</v>
      </c>
      <c r="AD148" s="108" t="b">
        <f t="shared" ref="AD148:AI148" si="39">AD83</f>
        <v>0</v>
      </c>
      <c r="AE148" s="108" t="b">
        <f t="shared" si="39"/>
        <v>0</v>
      </c>
      <c r="AF148" s="108" t="b">
        <f t="shared" si="39"/>
        <v>0</v>
      </c>
      <c r="AG148" s="108" t="b">
        <f t="shared" si="39"/>
        <v>0</v>
      </c>
      <c r="AH148" s="108" t="b">
        <f t="shared" si="39"/>
        <v>0</v>
      </c>
      <c r="AI148" s="108" t="b">
        <f t="shared" si="39"/>
        <v>0</v>
      </c>
      <c r="AJ148" s="553" t="s">
        <v>2248</v>
      </c>
      <c r="AK148" s="663" t="str">
        <f>IF(AND(CNTR_ExistSubInstEntries,MSconst_RequireSubAttrEmissions,COUNTIFS(AC148:AI148,FALSE,H148:N148,"")&gt;0),EUconst_Error&amp;"BM"&amp;$Q13,"")</f>
        <v/>
      </c>
      <c r="AL148" s="2"/>
    </row>
    <row r="149" spans="1:38" ht="12.75" customHeight="1" x14ac:dyDescent="0.25">
      <c r="A149" s="2"/>
      <c r="B149" s="178"/>
      <c r="C149" s="779"/>
      <c r="D149" s="780"/>
      <c r="E149" s="780"/>
      <c r="F149" s="780"/>
      <c r="G149" s="780"/>
      <c r="H149" s="780"/>
      <c r="I149" s="780"/>
      <c r="J149" s="780"/>
      <c r="K149" s="780"/>
      <c r="L149" s="780"/>
      <c r="M149" s="623"/>
      <c r="N149" s="519"/>
      <c r="O149" s="15"/>
      <c r="P149" s="15"/>
      <c r="Q149" s="343"/>
      <c r="R149" s="2"/>
      <c r="S149" s="343"/>
      <c r="T149" s="2"/>
      <c r="U149" s="2"/>
      <c r="V149" s="2"/>
      <c r="W149" s="2"/>
      <c r="X149" s="2"/>
      <c r="Y149" s="2"/>
      <c r="Z149" s="2"/>
      <c r="AA149" s="2"/>
      <c r="AB149" s="2"/>
      <c r="AC149" s="2"/>
      <c r="AD149" s="2"/>
      <c r="AE149" s="2"/>
      <c r="AF149" s="2"/>
      <c r="AG149" s="2"/>
      <c r="AH149" s="2"/>
      <c r="AI149" s="2"/>
      <c r="AJ149" s="2"/>
      <c r="AK149" s="2"/>
      <c r="AL149" s="2"/>
    </row>
    <row r="150" spans="1:38" ht="12.75" customHeight="1" x14ac:dyDescent="0.25">
      <c r="A150" s="2"/>
      <c r="B150" s="178"/>
      <c r="C150" s="779"/>
      <c r="D150" s="373" t="s">
        <v>303</v>
      </c>
      <c r="E150" s="2614" t="str">
        <f>Translations!$B$566</f>
        <v>Insatsbränsle till delanläggningen och relevant emissionsfaktor</v>
      </c>
      <c r="F150" s="1960"/>
      <c r="G150" s="1960"/>
      <c r="H150" s="1960"/>
      <c r="I150" s="1960"/>
      <c r="J150" s="1960"/>
      <c r="K150" s="1960"/>
      <c r="L150" s="1960"/>
      <c r="M150" s="1960"/>
      <c r="N150" s="2597"/>
      <c r="O150" s="15"/>
      <c r="P150" s="15"/>
      <c r="Q150" s="343"/>
      <c r="R150" s="343"/>
      <c r="S150" s="343"/>
      <c r="T150" s="2"/>
      <c r="U150" s="2"/>
      <c r="V150" s="2"/>
      <c r="W150" s="2"/>
      <c r="X150" s="2"/>
      <c r="Y150" s="2"/>
      <c r="Z150" s="2"/>
      <c r="AA150" s="2"/>
      <c r="AB150" s="2"/>
      <c r="AC150" s="2"/>
      <c r="AD150" s="2"/>
      <c r="AE150" s="2"/>
      <c r="AF150" s="2"/>
      <c r="AG150" s="2"/>
      <c r="AH150" s="2"/>
      <c r="AI150" s="2"/>
      <c r="AJ150" s="2"/>
      <c r="AK150" s="2"/>
      <c r="AL150" s="2"/>
    </row>
    <row r="151" spans="1:38" ht="25.5" customHeight="1" x14ac:dyDescent="0.25">
      <c r="A151" s="2"/>
      <c r="B151" s="178"/>
      <c r="C151" s="779"/>
      <c r="D151" s="780"/>
      <c r="E151" s="2639" t="str">
        <f>Translations!$B$567</f>
        <v>I enlighet med kravet i avsnitt 2.4 a i bilaga IV till FAR, var god ange den totala bränsletillförseln till delanläggningen och motsvarande viktad emissionsfaktor, med beaktande av energiinnehållet hos varje bränsle som finns med under punkt g och med tillämpning av samma systemgränser som för punkt g.</v>
      </c>
      <c r="F151" s="2639"/>
      <c r="G151" s="2639"/>
      <c r="H151" s="2639"/>
      <c r="I151" s="2639"/>
      <c r="J151" s="2639"/>
      <c r="K151" s="2639"/>
      <c r="L151" s="2639"/>
      <c r="M151" s="2639"/>
      <c r="N151" s="2640"/>
      <c r="O151" s="15"/>
      <c r="P151" s="15"/>
      <c r="Q151" s="343"/>
      <c r="R151" s="343"/>
      <c r="S151" s="343"/>
      <c r="T151" s="2"/>
      <c r="U151" s="2"/>
      <c r="V151" s="2"/>
      <c r="W151" s="2"/>
      <c r="X151" s="2"/>
      <c r="Y151" s="2"/>
      <c r="Z151" s="2"/>
      <c r="AA151" s="2"/>
      <c r="AB151" s="2"/>
      <c r="AC151" s="2"/>
      <c r="AD151" s="2"/>
      <c r="AE151" s="2"/>
      <c r="AF151" s="2"/>
      <c r="AG151" s="2"/>
      <c r="AH151" s="2"/>
      <c r="AI151" s="2"/>
      <c r="AJ151" s="2"/>
      <c r="AK151" s="2"/>
      <c r="AL151" s="2"/>
    </row>
    <row r="152" spans="1:38" ht="25.5" customHeight="1" x14ac:dyDescent="0.25">
      <c r="A152" s="2"/>
      <c r="B152" s="178"/>
      <c r="C152" s="779"/>
      <c r="D152" s="780"/>
      <c r="E152" s="2639" t="str">
        <f>Translations!$B$568</f>
        <v>Med ”bränsle” avses varje bränsle-/materialmängd enligt M&amp;R-förordningen som är brännbar och för vilken ett effektivt värmevärde kan fastställas. Den viktade emissionsfaktorn motsvarar de ackumulerade bränsleutsläppen delat med det totala energiinnehållet.</v>
      </c>
      <c r="F152" s="2639"/>
      <c r="G152" s="2639"/>
      <c r="H152" s="2639"/>
      <c r="I152" s="2639"/>
      <c r="J152" s="2639"/>
      <c r="K152" s="2639"/>
      <c r="L152" s="2639"/>
      <c r="M152" s="2639"/>
      <c r="N152" s="2640"/>
      <c r="O152" s="15"/>
      <c r="P152" s="15"/>
      <c r="Q152" s="343"/>
      <c r="R152" s="2"/>
      <c r="S152" s="343"/>
      <c r="T152" s="2"/>
      <c r="U152" s="2"/>
      <c r="V152" s="2"/>
      <c r="W152" s="2"/>
      <c r="X152" s="2"/>
      <c r="Y152" s="2"/>
      <c r="Z152" s="2"/>
      <c r="AA152" s="2"/>
      <c r="AB152" s="2"/>
      <c r="AC152" s="2"/>
      <c r="AD152" s="2"/>
      <c r="AE152" s="2"/>
      <c r="AF152" s="2"/>
      <c r="AG152" s="2"/>
      <c r="AH152" s="2"/>
      <c r="AI152" s="2"/>
      <c r="AJ152" s="2"/>
      <c r="AK152" s="2"/>
      <c r="AL152" s="2"/>
    </row>
    <row r="153" spans="1:38" ht="12.75" customHeight="1" x14ac:dyDescent="0.25">
      <c r="A153" s="2"/>
      <c r="B153" s="178"/>
      <c r="C153" s="779"/>
      <c r="D153" s="780"/>
      <c r="E153" s="2639" t="str">
        <f>Translations!$B$569</f>
        <v>Den viktade emissionsfaktorn bör dessutom innefatta utsläpp från motsvarande rökgasrening, i tillämpliga fall.</v>
      </c>
      <c r="F153" s="2639"/>
      <c r="G153" s="2639"/>
      <c r="H153" s="2639"/>
      <c r="I153" s="2639"/>
      <c r="J153" s="2639"/>
      <c r="K153" s="2639"/>
      <c r="L153" s="2639"/>
      <c r="M153" s="2639"/>
      <c r="N153" s="2640"/>
      <c r="O153" s="15"/>
      <c r="P153" s="15"/>
      <c r="Q153" s="343"/>
      <c r="R153" s="2"/>
      <c r="S153" s="343"/>
      <c r="T153" s="2"/>
      <c r="U153" s="2"/>
      <c r="V153" s="2"/>
      <c r="W153" s="2"/>
      <c r="X153" s="2"/>
      <c r="Y153" s="2"/>
      <c r="Z153" s="2"/>
      <c r="AA153" s="2"/>
      <c r="AB153" s="2"/>
      <c r="AC153" s="2"/>
      <c r="AD153" s="2"/>
      <c r="AE153" s="2"/>
      <c r="AF153" s="2"/>
      <c r="AG153" s="2"/>
      <c r="AH153" s="2"/>
      <c r="AI153" s="2"/>
      <c r="AJ153" s="2"/>
      <c r="AK153" s="2"/>
      <c r="AL153" s="2"/>
    </row>
    <row r="154" spans="1:38" ht="12.75" customHeight="1" x14ac:dyDescent="0.25">
      <c r="A154" s="2"/>
      <c r="B154" s="178"/>
      <c r="C154" s="779"/>
      <c r="D154" s="780"/>
      <c r="E154" s="2596" t="str">
        <f>Translations!$B$570</f>
        <v>De uppgifter som anges här används bara för konsekvenskontroll och har ingen direkt inverkan på vare sig de utsläpp som kan tillskrivas eller tilldelningen.</v>
      </c>
      <c r="F154" s="1960"/>
      <c r="G154" s="1960"/>
      <c r="H154" s="1960"/>
      <c r="I154" s="1960"/>
      <c r="J154" s="1960"/>
      <c r="K154" s="1960"/>
      <c r="L154" s="1960"/>
      <c r="M154" s="1960"/>
      <c r="N154" s="2597"/>
      <c r="O154" s="15"/>
      <c r="P154" s="15"/>
      <c r="Q154" s="343"/>
      <c r="R154" s="2"/>
      <c r="S154" s="343"/>
      <c r="T154" s="2"/>
      <c r="U154" s="2"/>
      <c r="V154" s="2"/>
      <c r="W154" s="2"/>
      <c r="X154" s="2"/>
      <c r="Y154" s="2"/>
      <c r="Z154" s="2"/>
      <c r="AA154" s="2"/>
      <c r="AB154" s="2"/>
      <c r="AC154" s="2"/>
      <c r="AD154" s="2"/>
      <c r="AE154" s="2"/>
      <c r="AF154" s="2"/>
      <c r="AG154" s="2"/>
      <c r="AH154" s="2"/>
      <c r="AI154" s="2"/>
      <c r="AJ154" s="2"/>
      <c r="AK154" s="2"/>
      <c r="AL154" s="2"/>
    </row>
    <row r="155" spans="1:38" ht="12.75" customHeight="1" thickBot="1" x14ac:dyDescent="0.3">
      <c r="A155" s="2"/>
      <c r="B155" s="178"/>
      <c r="C155" s="779"/>
      <c r="D155" s="373"/>
      <c r="E155" s="1716"/>
      <c r="F155" s="1717"/>
      <c r="G155" s="361" t="str">
        <f>EUconst_Unit</f>
        <v>Enhet</v>
      </c>
      <c r="H155" s="362">
        <f t="shared" ref="H155:N155" si="40">H$3042</f>
        <v>2019</v>
      </c>
      <c r="I155" s="1103">
        <f t="shared" si="40"/>
        <v>2020</v>
      </c>
      <c r="J155" s="1104">
        <f t="shared" si="40"/>
        <v>2021</v>
      </c>
      <c r="K155" s="362">
        <f t="shared" si="40"/>
        <v>2022</v>
      </c>
      <c r="L155" s="362">
        <f t="shared" si="40"/>
        <v>2023</v>
      </c>
      <c r="M155" s="362">
        <f t="shared" si="40"/>
        <v>2024</v>
      </c>
      <c r="N155" s="1141">
        <f t="shared" si="40"/>
        <v>2025</v>
      </c>
      <c r="O155" s="15"/>
      <c r="P155" s="15"/>
      <c r="Q155" s="343"/>
      <c r="R155" s="2"/>
      <c r="S155" s="343"/>
      <c r="T155" s="2"/>
      <c r="U155" s="2"/>
      <c r="V155" s="2"/>
      <c r="W155" s="2"/>
      <c r="X155" s="2"/>
      <c r="Y155" s="2"/>
      <c r="Z155" s="2"/>
      <c r="AA155" s="2"/>
      <c r="AB155" s="2"/>
      <c r="AC155" s="1044">
        <f t="shared" ref="AC155:AI155" si="41">H$20</f>
        <v>2019</v>
      </c>
      <c r="AD155" s="1044">
        <f t="shared" si="41"/>
        <v>2020</v>
      </c>
      <c r="AE155" s="1044">
        <f t="shared" si="41"/>
        <v>2021</v>
      </c>
      <c r="AF155" s="1044">
        <f t="shared" si="41"/>
        <v>2022</v>
      </c>
      <c r="AG155" s="1044">
        <f t="shared" si="41"/>
        <v>2023</v>
      </c>
      <c r="AH155" s="1044">
        <f t="shared" si="41"/>
        <v>2024</v>
      </c>
      <c r="AI155" s="1044">
        <f t="shared" si="41"/>
        <v>2025</v>
      </c>
      <c r="AJ155" s="2"/>
      <c r="AK155" s="2"/>
      <c r="AL155" s="2"/>
    </row>
    <row r="156" spans="1:38" ht="12.75" customHeight="1" x14ac:dyDescent="0.25">
      <c r="A156" s="2"/>
      <c r="B156" s="178"/>
      <c r="C156" s="779"/>
      <c r="D156" s="416" t="s">
        <v>8</v>
      </c>
      <c r="E156" s="2613" t="str">
        <f>Translations!$B$571</f>
        <v>Insatsbränsle</v>
      </c>
      <c r="F156" s="1997"/>
      <c r="G156" s="364" t="str">
        <f>EUconst_TJpa</f>
        <v>TJ / år</v>
      </c>
      <c r="H156" s="582"/>
      <c r="I156" s="1105"/>
      <c r="J156" s="1115"/>
      <c r="K156" s="582"/>
      <c r="L156" s="582"/>
      <c r="M156" s="582"/>
      <c r="N156" s="1146"/>
      <c r="O156" s="15"/>
      <c r="P156" s="1362"/>
      <c r="Q156" s="165" t="str">
        <f>EUconst_CNTR_FuelInput &amp; I13</f>
        <v>FuelInput_</v>
      </c>
      <c r="R156" s="2"/>
      <c r="S156" s="343"/>
      <c r="T156" s="2"/>
      <c r="U156" s="2"/>
      <c r="V156" s="2"/>
      <c r="W156" s="2"/>
      <c r="X156" s="2"/>
      <c r="Y156" s="2"/>
      <c r="Z156" s="2"/>
      <c r="AA156" s="2"/>
      <c r="AB156" s="672" t="s">
        <v>782</v>
      </c>
      <c r="AC156" s="108" t="b">
        <f>AC83</f>
        <v>0</v>
      </c>
      <c r="AD156" s="108" t="b">
        <f t="shared" ref="AD156:AI156" si="42">AD83</f>
        <v>0</v>
      </c>
      <c r="AE156" s="108" t="b">
        <f t="shared" si="42"/>
        <v>0</v>
      </c>
      <c r="AF156" s="108" t="b">
        <f t="shared" si="42"/>
        <v>0</v>
      </c>
      <c r="AG156" s="108" t="b">
        <f t="shared" si="42"/>
        <v>0</v>
      </c>
      <c r="AH156" s="108" t="b">
        <f t="shared" si="42"/>
        <v>0</v>
      </c>
      <c r="AI156" s="108" t="b">
        <f t="shared" si="42"/>
        <v>0</v>
      </c>
      <c r="AJ156" s="553" t="s">
        <v>2248</v>
      </c>
      <c r="AK156" s="663" t="str">
        <f>IF(AND(CNTR_ExistSubInstEntries,MSconst_RequireSubAttrEmissions,COUNTIFS(AC156:AI156,FALSE,H156:N156,"")&gt;0),EUconst_Error&amp;"BM"&amp;$Q13,"")</f>
        <v/>
      </c>
      <c r="AL156" s="2"/>
    </row>
    <row r="157" spans="1:38" ht="12.75" customHeight="1" x14ac:dyDescent="0.25">
      <c r="A157" s="2"/>
      <c r="B157" s="178"/>
      <c r="C157" s="779"/>
      <c r="D157" s="416" t="s">
        <v>9</v>
      </c>
      <c r="E157" s="2613" t="str">
        <f>Translations!$B$572</f>
        <v>Viktad emissionsfaktor</v>
      </c>
      <c r="F157" s="1997"/>
      <c r="G157" s="449" t="str">
        <f>EUconst_tCO2pTJ</f>
        <v>t CO2 / TJ</v>
      </c>
      <c r="H157" s="747"/>
      <c r="I157" s="1295"/>
      <c r="J157" s="1296"/>
      <c r="K157" s="747"/>
      <c r="L157" s="747"/>
      <c r="M157" s="747"/>
      <c r="N157" s="1297"/>
      <c r="O157" s="15"/>
      <c r="P157" s="1362"/>
      <c r="Q157" s="165" t="str">
        <f>EUconst_CNTR_FuelEF &amp; I13</f>
        <v>FuelEF_</v>
      </c>
      <c r="R157" s="2"/>
      <c r="S157" s="343"/>
      <c r="T157" s="2"/>
      <c r="U157" s="2"/>
      <c r="V157" s="2"/>
      <c r="W157" s="2"/>
      <c r="X157" s="2"/>
      <c r="Y157" s="2"/>
      <c r="Z157" s="2"/>
      <c r="AA157" s="2"/>
      <c r="AB157" s="2"/>
      <c r="AC157" s="108" t="b">
        <f>AC156</f>
        <v>0</v>
      </c>
      <c r="AD157" s="108" t="b">
        <f t="shared" ref="AD157:AI157" si="43">AD156</f>
        <v>0</v>
      </c>
      <c r="AE157" s="108" t="b">
        <f t="shared" si="43"/>
        <v>0</v>
      </c>
      <c r="AF157" s="108" t="b">
        <f t="shared" si="43"/>
        <v>0</v>
      </c>
      <c r="AG157" s="108" t="b">
        <f t="shared" si="43"/>
        <v>0</v>
      </c>
      <c r="AH157" s="108" t="b">
        <f t="shared" si="43"/>
        <v>0</v>
      </c>
      <c r="AI157" s="108" t="b">
        <f t="shared" si="43"/>
        <v>0</v>
      </c>
      <c r="AJ157" s="553" t="s">
        <v>2248</v>
      </c>
      <c r="AK157" s="663" t="str">
        <f>IF(AND(CNTR_ExistSubInstEntries,MSconst_RequireSubAttrEmissions,COUNTIFS(AC157:AI157,FALSE,H157:N157,"")&gt;0),EUconst_Error&amp;"BM"&amp;$Q13,"")</f>
        <v/>
      </c>
      <c r="AL157" s="2"/>
    </row>
    <row r="158" spans="1:38" ht="12.75" customHeight="1" x14ac:dyDescent="0.25">
      <c r="A158" s="2"/>
      <c r="B158" s="178"/>
      <c r="C158" s="779"/>
      <c r="D158" s="780"/>
      <c r="E158" s="780"/>
      <c r="F158" s="780"/>
      <c r="G158" s="780"/>
      <c r="H158" s="780"/>
      <c r="I158" s="780"/>
      <c r="J158" s="780"/>
      <c r="K158" s="780"/>
      <c r="L158" s="780"/>
      <c r="M158" s="623"/>
      <c r="N158" s="519"/>
      <c r="O158" s="15"/>
      <c r="P158" s="15"/>
      <c r="Q158" s="343"/>
      <c r="R158" s="2"/>
      <c r="S158" s="343"/>
      <c r="T158" s="2"/>
      <c r="U158" s="2"/>
      <c r="V158" s="2"/>
      <c r="W158" s="2"/>
      <c r="X158" s="2"/>
      <c r="Y158" s="2"/>
      <c r="Z158" s="2"/>
      <c r="AA158" s="2"/>
      <c r="AB158" s="2"/>
      <c r="AC158" s="2"/>
      <c r="AD158" s="2"/>
      <c r="AE158" s="2"/>
      <c r="AF158" s="2"/>
      <c r="AG158" s="2"/>
      <c r="AH158" s="2"/>
      <c r="AI158" s="2"/>
      <c r="AJ158" s="2"/>
      <c r="AK158" s="2"/>
      <c r="AL158" s="2"/>
    </row>
    <row r="159" spans="1:38" ht="12.75" customHeight="1" x14ac:dyDescent="0.25">
      <c r="A159" s="2"/>
      <c r="B159" s="178"/>
      <c r="C159" s="779"/>
      <c r="D159" s="373" t="s">
        <v>305</v>
      </c>
      <c r="E159" s="2614" t="str">
        <f>Translations!$B$573</f>
        <v>Andra interna bränsle-/materialmängder som importeras till eller exporteras från delanläggningen</v>
      </c>
      <c r="F159" s="1960"/>
      <c r="G159" s="1960"/>
      <c r="H159" s="1960"/>
      <c r="I159" s="1960"/>
      <c r="J159" s="1960"/>
      <c r="K159" s="1960"/>
      <c r="L159" s="1960"/>
      <c r="M159" s="1960"/>
      <c r="N159" s="2597"/>
      <c r="O159" s="15"/>
      <c r="P159" s="15"/>
      <c r="Q159" s="343"/>
      <c r="R159" s="343"/>
      <c r="S159" s="343"/>
      <c r="T159" s="2"/>
      <c r="U159" s="2"/>
      <c r="V159" s="2"/>
      <c r="W159" s="2"/>
      <c r="X159" s="2"/>
      <c r="Y159" s="2"/>
      <c r="Z159" s="2"/>
      <c r="AA159" s="2"/>
      <c r="AB159" s="2"/>
      <c r="AC159" s="2"/>
      <c r="AD159" s="2"/>
      <c r="AE159" s="2"/>
      <c r="AF159" s="2"/>
      <c r="AG159" s="2"/>
      <c r="AH159" s="2"/>
      <c r="AI159" s="2"/>
      <c r="AJ159" s="2"/>
      <c r="AK159" s="2"/>
      <c r="AL159" s="2"/>
    </row>
    <row r="160" spans="1:38" ht="12.75" customHeight="1" x14ac:dyDescent="0.25">
      <c r="A160" s="2"/>
      <c r="B160" s="178"/>
      <c r="C160" s="779"/>
      <c r="D160" s="416"/>
      <c r="E160" s="2596" t="str">
        <f>Translations!$B$556</f>
        <v>De uppgifter som anges här påverkar de utsläpp som kan tillskrivas i enlighet med avsnitt 10.1.1 i bilaga VII till FAR.</v>
      </c>
      <c r="F160" s="1960"/>
      <c r="G160" s="1960"/>
      <c r="H160" s="1960"/>
      <c r="I160" s="1960"/>
      <c r="J160" s="1960"/>
      <c r="K160" s="1960"/>
      <c r="L160" s="1960"/>
      <c r="M160" s="1960"/>
      <c r="N160" s="2597"/>
      <c r="O160" s="15"/>
      <c r="P160" s="15"/>
      <c r="Q160" s="343"/>
      <c r="R160" s="2"/>
      <c r="S160" s="343"/>
      <c r="T160" s="343"/>
      <c r="U160" s="343"/>
      <c r="V160" s="343"/>
      <c r="W160" s="2"/>
      <c r="X160" s="2"/>
      <c r="Y160" s="2"/>
      <c r="Z160" s="2"/>
      <c r="AA160" s="2"/>
      <c r="AB160" s="2"/>
      <c r="AC160" s="2"/>
      <c r="AD160" s="2"/>
      <c r="AE160" s="2"/>
      <c r="AF160" s="2"/>
      <c r="AG160" s="2"/>
      <c r="AH160" s="2"/>
      <c r="AI160" s="2"/>
      <c r="AJ160" s="2"/>
      <c r="AK160" s="2"/>
      <c r="AL160" s="2"/>
    </row>
    <row r="161" spans="1:38" ht="25.5" customHeight="1" x14ac:dyDescent="0.25">
      <c r="A161" s="2"/>
      <c r="B161" s="178"/>
      <c r="C161" s="779"/>
      <c r="D161" s="780"/>
      <c r="E161" s="2596" t="str">
        <f>Translations!$B$574</f>
        <v>Det bör noteras att alla bränsle-/materialmängder endast bör anges här om de inte redan omfattas av de direkta utsläppen i punkt g ovan, i syfte att undvika eventuella dataluckor eller eventuell dubbelräkning. Utsläpp i samband med restgaser bör INTE anges här utan i punkt l nedan.</v>
      </c>
      <c r="F161" s="1960"/>
      <c r="G161" s="1960"/>
      <c r="H161" s="1960"/>
      <c r="I161" s="1960"/>
      <c r="J161" s="1960"/>
      <c r="K161" s="1960"/>
      <c r="L161" s="1960"/>
      <c r="M161" s="1960"/>
      <c r="N161" s="2597"/>
      <c r="O161" s="15"/>
      <c r="P161" s="15"/>
      <c r="Q161" s="343"/>
      <c r="R161" s="343"/>
      <c r="S161" s="343"/>
      <c r="T161" s="2"/>
      <c r="U161" s="2"/>
      <c r="V161" s="2"/>
      <c r="W161" s="2"/>
      <c r="X161" s="2"/>
      <c r="Y161" s="2"/>
      <c r="Z161" s="2"/>
      <c r="AA161" s="2"/>
      <c r="AB161" s="2"/>
      <c r="AC161" s="2"/>
      <c r="AD161" s="2"/>
      <c r="AE161" s="2"/>
      <c r="AF161" s="2"/>
      <c r="AG161" s="2"/>
      <c r="AH161" s="2"/>
      <c r="AI161" s="2"/>
      <c r="AJ161" s="2"/>
      <c r="AK161" s="2"/>
      <c r="AL161" s="2"/>
    </row>
    <row r="162" spans="1:38" ht="12.75" customHeight="1" x14ac:dyDescent="0.25">
      <c r="A162" s="2"/>
      <c r="B162" s="178"/>
      <c r="C162" s="779"/>
      <c r="D162" s="780"/>
      <c r="E162" s="2610" t="str">
        <f>Translations!$B$575</f>
        <v>Var god ange information om de så kallade interna bränsle-/materialmängderna som överförs mellan delanläggningar, dvs. importeras till eller exporteras från delanläggningen.</v>
      </c>
      <c r="F162" s="1960"/>
      <c r="G162" s="1960"/>
      <c r="H162" s="1960"/>
      <c r="I162" s="1960"/>
      <c r="J162" s="1960"/>
      <c r="K162" s="1960"/>
      <c r="L162" s="1960"/>
      <c r="M162" s="1960"/>
      <c r="N162" s="2597"/>
      <c r="O162" s="15"/>
      <c r="P162" s="15"/>
      <c r="Q162" s="343"/>
      <c r="R162" s="343"/>
      <c r="S162" s="343"/>
      <c r="T162" s="2"/>
      <c r="U162" s="2"/>
      <c r="V162" s="2"/>
      <c r="W162" s="2"/>
      <c r="X162" s="2"/>
      <c r="Y162" s="2"/>
      <c r="Z162" s="2"/>
      <c r="AA162" s="2"/>
      <c r="AB162" s="2"/>
      <c r="AC162" s="2"/>
      <c r="AD162" s="2"/>
      <c r="AE162" s="2"/>
      <c r="AF162" s="2"/>
      <c r="AG162" s="2"/>
      <c r="AH162" s="2"/>
      <c r="AI162" s="2"/>
      <c r="AJ162" s="2"/>
      <c r="AK162" s="2"/>
      <c r="AL162" s="2"/>
    </row>
    <row r="163" spans="1:38" ht="38.9" customHeight="1" x14ac:dyDescent="0.25">
      <c r="A163" s="2"/>
      <c r="B163" s="178"/>
      <c r="C163" s="779"/>
      <c r="D163" s="780"/>
      <c r="E163" s="2610" t="str">
        <f>Translations!$B$576</f>
        <v>Om det rör sig om en koksdelanläggning vid en integrerad järn- och stålanläggning förekommer utsläppen i samband med förbrukningen av koks i masugnen och bör därför inte tillskrivas delanläggningen (dvs. koksdelanläggningen). En del av utsläppen ska dock tas med i punkt g ovan, eftersom det kol som förs in i koksugnen kommer att vara en av de bränsle-/materialmängder som tillskrivs i ett första steg.</v>
      </c>
      <c r="F163" s="1960"/>
      <c r="G163" s="1960"/>
      <c r="H163" s="1960"/>
      <c r="I163" s="1960"/>
      <c r="J163" s="1960"/>
      <c r="K163" s="1960"/>
      <c r="L163" s="1960"/>
      <c r="M163" s="1960"/>
      <c r="N163" s="2597"/>
      <c r="O163" s="15"/>
      <c r="P163" s="15"/>
      <c r="Q163" s="343"/>
      <c r="R163" s="2"/>
      <c r="S163" s="343"/>
      <c r="T163" s="2"/>
      <c r="U163" s="2"/>
      <c r="V163" s="2"/>
      <c r="W163" s="2"/>
      <c r="X163" s="2"/>
      <c r="Y163" s="2"/>
      <c r="Z163" s="2"/>
      <c r="AA163" s="2"/>
      <c r="AB163" s="2"/>
      <c r="AC163" s="2"/>
      <c r="AD163" s="2"/>
      <c r="AE163" s="2"/>
      <c r="AF163" s="2"/>
      <c r="AG163" s="2"/>
      <c r="AH163" s="2"/>
      <c r="AI163" s="2"/>
      <c r="AJ163" s="2"/>
      <c r="AK163" s="2"/>
      <c r="AL163" s="2"/>
    </row>
    <row r="164" spans="1:38" ht="51" customHeight="1" x14ac:dyDescent="0.25">
      <c r="A164" s="2"/>
      <c r="B164" s="178"/>
      <c r="C164" s="779"/>
      <c r="D164" s="780"/>
      <c r="E164" s="2610" t="str">
        <f>Translations!$B$577</f>
        <v>För att undvika dubbelräkning måste korrigering göras för den koks som lämnar koksdelanläggningen som utgående ”intern bränsle-/materialmängd”. Detta görs genom ett negativt värde på mängden koks i händelse av ”export”. För att få en komplett balans i utsläppen från den kol som kommer in till koksdelanläggningen omfattas utsläppen i samband med användningen av koksugnsgas (= en restgas) redan av punkt g ovan (eftersom de ingår i kolutsläppen) i den mån som gasen används inom delanläggningen. Korrigeringar för att beakta exporterade mängder av restgasen bör inte göras här utan i punkt l.xx nedan.</v>
      </c>
      <c r="F164" s="1960"/>
      <c r="G164" s="1960"/>
      <c r="H164" s="1960"/>
      <c r="I164" s="1960"/>
      <c r="J164" s="1960"/>
      <c r="K164" s="1960"/>
      <c r="L164" s="1960"/>
      <c r="M164" s="1960"/>
      <c r="N164" s="2597"/>
      <c r="O164" s="15"/>
      <c r="P164" s="15"/>
      <c r="Q164" s="343"/>
      <c r="R164" s="2"/>
      <c r="S164" s="343"/>
      <c r="T164" s="2"/>
      <c r="U164" s="2"/>
      <c r="V164" s="2"/>
      <c r="W164" s="2"/>
      <c r="X164" s="2"/>
      <c r="Y164" s="2"/>
      <c r="Z164" s="2"/>
      <c r="AA164" s="2"/>
      <c r="AB164" s="2"/>
      <c r="AC164" s="2"/>
      <c r="AD164" s="2"/>
      <c r="AE164" s="2"/>
      <c r="AF164" s="2"/>
      <c r="AG164" s="2"/>
      <c r="AH164" s="2"/>
      <c r="AI164" s="2"/>
      <c r="AJ164" s="2"/>
      <c r="AK164" s="2"/>
      <c r="AL164" s="2"/>
    </row>
    <row r="165" spans="1:38" ht="25.5" customHeight="1" x14ac:dyDescent="0.25">
      <c r="A165" s="2"/>
      <c r="B165" s="178"/>
      <c r="C165" s="779"/>
      <c r="D165" s="780"/>
      <c r="E165" s="2610" t="str">
        <f>Translations!$B$578</f>
        <v>Omvänt innebär detta att om det rör sig om en delanläggning med råjärnsriktmärke vid en integrerad järn- och stålanläggning måste koksen anges här som en ingående/importerad ”intern” bränsle/materialmängd med positiva siffror.</v>
      </c>
      <c r="F165" s="1960"/>
      <c r="G165" s="1960"/>
      <c r="H165" s="1960"/>
      <c r="I165" s="1960"/>
      <c r="J165" s="1960"/>
      <c r="K165" s="1960"/>
      <c r="L165" s="1960"/>
      <c r="M165" s="1960"/>
      <c r="N165" s="2597"/>
      <c r="O165" s="15"/>
      <c r="P165" s="15"/>
      <c r="Q165" s="343"/>
      <c r="R165" s="2"/>
      <c r="S165" s="343"/>
      <c r="T165" s="2"/>
      <c r="U165" s="2"/>
      <c r="V165" s="2"/>
      <c r="W165" s="2"/>
      <c r="X165" s="2"/>
      <c r="Y165" s="2"/>
      <c r="Z165" s="2"/>
      <c r="AA165" s="2"/>
      <c r="AB165" s="2"/>
      <c r="AC165" s="2"/>
      <c r="AD165" s="2"/>
      <c r="AE165" s="2"/>
      <c r="AF165" s="2"/>
      <c r="AG165" s="2"/>
      <c r="AH165" s="2"/>
      <c r="AI165" s="2"/>
      <c r="AJ165" s="2"/>
      <c r="AK165" s="2"/>
      <c r="AL165" s="2"/>
    </row>
    <row r="166" spans="1:38" ht="12.75" customHeight="1" x14ac:dyDescent="0.25">
      <c r="A166" s="2"/>
      <c r="B166" s="178"/>
      <c r="C166" s="779"/>
      <c r="D166" s="416" t="s">
        <v>8</v>
      </c>
      <c r="E166" s="2598" t="str">
        <f>Translations!$B$579</f>
        <v>Är andra importerade eller exporterade interna bränsle-/materialmängder relevanta för delanläggningen?</v>
      </c>
      <c r="F166" s="1960"/>
      <c r="G166" s="1960"/>
      <c r="H166" s="1960"/>
      <c r="I166" s="1960"/>
      <c r="J166" s="1960"/>
      <c r="K166" s="2520"/>
      <c r="L166" s="749"/>
      <c r="M166" s="1806"/>
      <c r="N166" s="1807"/>
      <c r="O166" s="15"/>
      <c r="P166" s="1362"/>
      <c r="Q166" s="343"/>
      <c r="R166" s="2"/>
      <c r="S166" s="343"/>
      <c r="T166" s="2"/>
      <c r="U166" s="2"/>
      <c r="V166" s="2"/>
      <c r="W166" s="2"/>
      <c r="X166" s="2"/>
      <c r="Y166" s="2"/>
      <c r="Z166" s="2"/>
      <c r="AA166" s="2"/>
      <c r="AB166" s="2"/>
      <c r="AC166" s="2"/>
      <c r="AD166" s="2"/>
      <c r="AE166" s="2"/>
      <c r="AF166" s="672" t="s">
        <v>782</v>
      </c>
      <c r="AG166" s="1196" t="b">
        <f>AND(CNTR_ExistSubInstEntries,I13="")</f>
        <v>0</v>
      </c>
      <c r="AH166" s="2"/>
      <c r="AI166" s="2"/>
      <c r="AJ166" s="2"/>
      <c r="AK166" s="2"/>
      <c r="AL166" s="2"/>
    </row>
    <row r="167" spans="1:38" ht="12.75" customHeight="1" x14ac:dyDescent="0.25">
      <c r="A167" s="2"/>
      <c r="B167" s="178"/>
      <c r="C167" s="779"/>
      <c r="D167" s="780"/>
      <c r="E167" s="2610" t="str">
        <f>Translations!$B$580</f>
        <v>Om det finns mer än två importerade eller exporterade bränsle-/materialmängder bör de olika bränsle-/materialmängderna slås samman och namnen på var och en av dessa anges.</v>
      </c>
      <c r="F167" s="1960"/>
      <c r="G167" s="1960"/>
      <c r="H167" s="1960"/>
      <c r="I167" s="1960"/>
      <c r="J167" s="1960"/>
      <c r="K167" s="1960"/>
      <c r="L167" s="1960"/>
      <c r="M167" s="1960"/>
      <c r="N167" s="2597"/>
      <c r="O167" s="15"/>
      <c r="P167" s="15"/>
      <c r="Q167" s="343"/>
      <c r="R167" s="2"/>
      <c r="S167" s="343"/>
      <c r="T167" s="2"/>
      <c r="U167" s="2"/>
      <c r="V167" s="2"/>
      <c r="W167" s="2"/>
      <c r="X167" s="2"/>
      <c r="Y167" s="2"/>
      <c r="Z167" s="2"/>
      <c r="AA167" s="2"/>
      <c r="AB167" s="2"/>
      <c r="AC167" s="2"/>
      <c r="AD167" s="2"/>
      <c r="AE167" s="2"/>
      <c r="AF167" s="2"/>
      <c r="AG167" s="2"/>
      <c r="AH167" s="2"/>
      <c r="AI167" s="2"/>
      <c r="AJ167" s="2"/>
      <c r="AK167" s="2"/>
      <c r="AL167" s="2"/>
    </row>
    <row r="168" spans="1:38" ht="12.75" customHeight="1" x14ac:dyDescent="0.25">
      <c r="A168" s="2"/>
      <c r="B168" s="178"/>
      <c r="C168" s="779"/>
      <c r="D168" s="416" t="s">
        <v>9</v>
      </c>
      <c r="E168" s="2614" t="str">
        <f>Translations!$B$581</f>
        <v>Namn på andra bränsle-/materialmängder – 1:</v>
      </c>
      <c r="F168" s="1960"/>
      <c r="G168" s="1960"/>
      <c r="H168" s="2520"/>
      <c r="I168" s="2621"/>
      <c r="J168" s="2631"/>
      <c r="K168" s="2631"/>
      <c r="L168" s="2631"/>
      <c r="M168" s="2632"/>
      <c r="N168" s="518"/>
      <c r="O168" s="15"/>
      <c r="P168" s="1362"/>
      <c r="Q168" s="343"/>
      <c r="R168" s="2"/>
      <c r="S168" s="343"/>
      <c r="T168" s="2"/>
      <c r="U168" s="2"/>
      <c r="V168" s="2"/>
      <c r="W168" s="2"/>
      <c r="X168" s="2"/>
      <c r="Y168" s="2"/>
      <c r="Z168" s="2"/>
      <c r="AA168" s="2"/>
      <c r="AB168" s="2"/>
      <c r="AC168" s="672" t="s">
        <v>782</v>
      </c>
      <c r="AD168" s="1196" t="b">
        <f>OR(AG166,AND($L166&lt;&gt;"",$L166=FALSE))</f>
        <v>0</v>
      </c>
      <c r="AE168" s="2"/>
      <c r="AF168" s="2"/>
      <c r="AG168" s="2"/>
      <c r="AH168" s="2"/>
      <c r="AI168" s="2"/>
      <c r="AJ168" s="2"/>
      <c r="AK168" s="2"/>
      <c r="AL168" s="2"/>
    </row>
    <row r="169" spans="1:38" ht="5.15" customHeight="1" x14ac:dyDescent="0.25">
      <c r="A169" s="2"/>
      <c r="B169" s="178"/>
      <c r="C169" s="779"/>
      <c r="D169" s="780"/>
      <c r="E169" s="1804"/>
      <c r="F169" s="1806"/>
      <c r="G169" s="1806"/>
      <c r="H169" s="1806"/>
      <c r="I169" s="1806"/>
      <c r="J169" s="1806"/>
      <c r="K169" s="1806"/>
      <c r="L169" s="1806"/>
      <c r="M169" s="1806"/>
      <c r="N169" s="1807"/>
      <c r="O169" s="15"/>
      <c r="P169" s="15"/>
      <c r="Q169" s="343"/>
      <c r="R169" s="2"/>
      <c r="S169" s="343"/>
      <c r="T169" s="2"/>
      <c r="U169" s="2"/>
      <c r="V169" s="2"/>
      <c r="W169" s="2"/>
      <c r="X169" s="2"/>
      <c r="Y169" s="2"/>
      <c r="Z169" s="2"/>
      <c r="AA169" s="2"/>
      <c r="AB169" s="2"/>
      <c r="AC169" s="2"/>
      <c r="AD169" s="2"/>
      <c r="AE169" s="2"/>
      <c r="AF169" s="2"/>
      <c r="AG169" s="2"/>
      <c r="AH169" s="2"/>
      <c r="AI169" s="2"/>
      <c r="AJ169" s="2"/>
      <c r="AK169" s="2"/>
      <c r="AL169" s="2"/>
    </row>
    <row r="170" spans="1:38" ht="12.75" customHeight="1" thickBot="1" x14ac:dyDescent="0.3">
      <c r="A170" s="2"/>
      <c r="B170" s="178"/>
      <c r="C170" s="779"/>
      <c r="D170" s="780"/>
      <c r="E170" s="2605" t="str">
        <f>Translations!$B$582</f>
        <v>Andra bränsle-/materialmängder – 1</v>
      </c>
      <c r="F170" s="2497"/>
      <c r="G170" s="361" t="str">
        <f>EUconst_Unit</f>
        <v>Enhet</v>
      </c>
      <c r="H170" s="362">
        <f t="shared" ref="H170:N170" si="44">H$3042</f>
        <v>2019</v>
      </c>
      <c r="I170" s="1103">
        <f t="shared" si="44"/>
        <v>2020</v>
      </c>
      <c r="J170" s="1104">
        <f t="shared" si="44"/>
        <v>2021</v>
      </c>
      <c r="K170" s="362">
        <f t="shared" si="44"/>
        <v>2022</v>
      </c>
      <c r="L170" s="362">
        <f t="shared" si="44"/>
        <v>2023</v>
      </c>
      <c r="M170" s="362">
        <f t="shared" si="44"/>
        <v>2024</v>
      </c>
      <c r="N170" s="1141">
        <f t="shared" si="44"/>
        <v>2025</v>
      </c>
      <c r="O170" s="15"/>
      <c r="P170" s="15"/>
      <c r="Q170" s="343"/>
      <c r="R170" s="2"/>
      <c r="S170" s="343"/>
      <c r="T170" s="2"/>
      <c r="U170" s="2"/>
      <c r="V170" s="2"/>
      <c r="W170" s="2"/>
      <c r="X170" s="2"/>
      <c r="Y170" s="2"/>
      <c r="Z170" s="2"/>
      <c r="AA170" s="2"/>
      <c r="AB170" s="2"/>
      <c r="AC170" s="1044">
        <f t="shared" ref="AC170:AI170" si="45">H$20</f>
        <v>2019</v>
      </c>
      <c r="AD170" s="1044">
        <f t="shared" si="45"/>
        <v>2020</v>
      </c>
      <c r="AE170" s="1044">
        <f t="shared" si="45"/>
        <v>2021</v>
      </c>
      <c r="AF170" s="1044">
        <f t="shared" si="45"/>
        <v>2022</v>
      </c>
      <c r="AG170" s="1044">
        <f t="shared" si="45"/>
        <v>2023</v>
      </c>
      <c r="AH170" s="1044">
        <f t="shared" si="45"/>
        <v>2024</v>
      </c>
      <c r="AI170" s="1044">
        <f t="shared" si="45"/>
        <v>2025</v>
      </c>
      <c r="AJ170" s="2"/>
      <c r="AK170" s="2"/>
      <c r="AL170" s="2"/>
    </row>
    <row r="171" spans="1:38" ht="12.75" customHeight="1" x14ac:dyDescent="0.25">
      <c r="A171" s="2"/>
      <c r="B171" s="178"/>
      <c r="C171" s="779"/>
      <c r="D171" s="416" t="s">
        <v>10</v>
      </c>
      <c r="E171" s="2611" t="str">
        <f>Translations!$B$583</f>
        <v>Importerad eller exporterad mängd</v>
      </c>
      <c r="F171" s="2484"/>
      <c r="G171" s="365" t="str">
        <f>EUconst_tpa</f>
        <v>t / år</v>
      </c>
      <c r="H171" s="1298"/>
      <c r="I171" s="1299"/>
      <c r="J171" s="1300"/>
      <c r="K171" s="1298"/>
      <c r="L171" s="1298"/>
      <c r="M171" s="1298"/>
      <c r="N171" s="1301"/>
      <c r="O171" s="15"/>
      <c r="P171" s="1362"/>
      <c r="Q171" s="343"/>
      <c r="R171" s="2"/>
      <c r="S171" s="343"/>
      <c r="T171" s="2"/>
      <c r="U171" s="2"/>
      <c r="V171" s="2"/>
      <c r="W171" s="2"/>
      <c r="X171" s="2"/>
      <c r="Y171" s="2"/>
      <c r="Z171" s="2"/>
      <c r="AA171" s="2"/>
      <c r="AB171" s="672" t="s">
        <v>782</v>
      </c>
      <c r="AC171" s="1196" t="b">
        <f>OR(AND($L166&lt;&gt;"",$L166=FALSE),AC83)</f>
        <v>0</v>
      </c>
      <c r="AD171" s="108" t="b">
        <f t="shared" ref="AD171:AI171" si="46">OR(AND($L166&lt;&gt;"",$L166=FALSE),AD83)</f>
        <v>0</v>
      </c>
      <c r="AE171" s="108" t="b">
        <f t="shared" si="46"/>
        <v>0</v>
      </c>
      <c r="AF171" s="108" t="b">
        <f t="shared" si="46"/>
        <v>0</v>
      </c>
      <c r="AG171" s="108" t="b">
        <f t="shared" si="46"/>
        <v>0</v>
      </c>
      <c r="AH171" s="108" t="b">
        <f t="shared" si="46"/>
        <v>0</v>
      </c>
      <c r="AI171" s="108" t="b">
        <f t="shared" si="46"/>
        <v>0</v>
      </c>
      <c r="AJ171" s="553" t="s">
        <v>2248</v>
      </c>
      <c r="AK171" s="663" t="str">
        <f>IF(AND(CNTR_ExistSubInstEntries,MSconst_RequireSubAttrEmissions,COUNTIFS(AC171:AI171,FALSE,H171:N171,"")&gt;0),EUconst_Error&amp;"BM"&amp;$Q13,"")</f>
        <v/>
      </c>
      <c r="AL171" s="2"/>
    </row>
    <row r="172" spans="1:38" ht="12.75" customHeight="1" x14ac:dyDescent="0.25">
      <c r="A172" s="2"/>
      <c r="B172" s="178"/>
      <c r="C172" s="779"/>
      <c r="D172" s="416" t="s">
        <v>23</v>
      </c>
      <c r="E172" s="2625" t="str">
        <f>Translations!$B$584</f>
        <v>Effektivt värmevärde, i tillämpliga fall</v>
      </c>
      <c r="F172" s="2476"/>
      <c r="G172" s="424" t="str">
        <f>EUconst_GJpt</f>
        <v>GJ / t</v>
      </c>
      <c r="H172" s="1302"/>
      <c r="I172" s="1303"/>
      <c r="J172" s="1304"/>
      <c r="K172" s="1302"/>
      <c r="L172" s="1302"/>
      <c r="M172" s="1302"/>
      <c r="N172" s="1305"/>
      <c r="O172" s="15"/>
      <c r="P172" s="1362"/>
      <c r="Q172" s="343"/>
      <c r="R172" s="2"/>
      <c r="S172" s="343"/>
      <c r="T172" s="2"/>
      <c r="U172" s="2"/>
      <c r="V172" s="2"/>
      <c r="W172" s="2"/>
      <c r="X172" s="2"/>
      <c r="Y172" s="2"/>
      <c r="Z172" s="2"/>
      <c r="AA172" s="2"/>
      <c r="AB172" s="2"/>
      <c r="AC172" s="108" t="b">
        <f t="shared" ref="AC172:AI174" si="47">AC171</f>
        <v>0</v>
      </c>
      <c r="AD172" s="108" t="b">
        <f t="shared" si="47"/>
        <v>0</v>
      </c>
      <c r="AE172" s="108" t="b">
        <f t="shared" si="47"/>
        <v>0</v>
      </c>
      <c r="AF172" s="108" t="b">
        <f t="shared" si="47"/>
        <v>0</v>
      </c>
      <c r="AG172" s="108" t="b">
        <f t="shared" si="47"/>
        <v>0</v>
      </c>
      <c r="AH172" s="108" t="b">
        <f t="shared" si="47"/>
        <v>0</v>
      </c>
      <c r="AI172" s="108" t="b">
        <f t="shared" si="47"/>
        <v>0</v>
      </c>
      <c r="AJ172" s="553" t="s">
        <v>2248</v>
      </c>
      <c r="AK172" s="663" t="str">
        <f>IF(AND(CNTR_ExistSubInstEntries,MSconst_RequireSubAttrEmissions,COUNTIFS(AC172:AI172,FALSE,H172:N172,"")&gt;0),EUconst_Error&amp;"BM"&amp;$Q13,"")</f>
        <v/>
      </c>
      <c r="AL172" s="2"/>
    </row>
    <row r="173" spans="1:38" ht="12.75" customHeight="1" thickBot="1" x14ac:dyDescent="0.3">
      <c r="A173" s="2"/>
      <c r="B173" s="178"/>
      <c r="C173" s="779"/>
      <c r="D173" s="416" t="s">
        <v>859</v>
      </c>
      <c r="E173" s="2625" t="str">
        <f>Translations!$B$585</f>
        <v>Kolinnehåll (viktprocent)</v>
      </c>
      <c r="F173" s="2476"/>
      <c r="G173" s="425" t="s">
        <v>957</v>
      </c>
      <c r="H173" s="1302"/>
      <c r="I173" s="1303"/>
      <c r="J173" s="1304"/>
      <c r="K173" s="1302"/>
      <c r="L173" s="1302"/>
      <c r="M173" s="1302"/>
      <c r="N173" s="1305"/>
      <c r="O173" s="15"/>
      <c r="P173" s="1362"/>
      <c r="Q173" s="343"/>
      <c r="R173" s="2"/>
      <c r="S173" s="343"/>
      <c r="T173" s="2"/>
      <c r="U173" s="2"/>
      <c r="V173" s="2"/>
      <c r="W173" s="2"/>
      <c r="X173" s="2"/>
      <c r="Y173" s="2"/>
      <c r="Z173" s="2"/>
      <c r="AA173" s="2"/>
      <c r="AB173" s="2"/>
      <c r="AC173" s="108" t="b">
        <f t="shared" si="47"/>
        <v>0</v>
      </c>
      <c r="AD173" s="108" t="b">
        <f t="shared" si="47"/>
        <v>0</v>
      </c>
      <c r="AE173" s="108" t="b">
        <f t="shared" si="47"/>
        <v>0</v>
      </c>
      <c r="AF173" s="108" t="b">
        <f t="shared" si="47"/>
        <v>0</v>
      </c>
      <c r="AG173" s="108" t="b">
        <f t="shared" si="47"/>
        <v>0</v>
      </c>
      <c r="AH173" s="108" t="b">
        <f t="shared" si="47"/>
        <v>0</v>
      </c>
      <c r="AI173" s="108" t="b">
        <f t="shared" si="47"/>
        <v>0</v>
      </c>
      <c r="AJ173" s="553" t="s">
        <v>2248</v>
      </c>
      <c r="AK173" s="663" t="str">
        <f>IF(AND(CNTR_ExistSubInstEntries,MSconst_RequireSubAttrEmissions,COUNTIFS(AC173:AI173,FALSE,H173:N173,"")&gt;0),EUconst_Error&amp;"BM"&amp;$Q13,"")</f>
        <v/>
      </c>
      <c r="AL173" s="2"/>
    </row>
    <row r="174" spans="1:38" ht="12.75" customHeight="1" x14ac:dyDescent="0.25">
      <c r="A174" s="2"/>
      <c r="B174" s="178"/>
      <c r="C174" s="779"/>
      <c r="D174" s="416" t="s">
        <v>860</v>
      </c>
      <c r="E174" s="2626" t="str">
        <f>Translations!$B$586</f>
        <v>Biomassahalt (som kolfraktion)</v>
      </c>
      <c r="F174" s="2487"/>
      <c r="G174" s="384" t="s">
        <v>957</v>
      </c>
      <c r="H174" s="1306"/>
      <c r="I174" s="1307"/>
      <c r="J174" s="1308"/>
      <c r="K174" s="1306"/>
      <c r="L174" s="1306"/>
      <c r="M174" s="1306"/>
      <c r="N174" s="1309"/>
      <c r="O174" s="15"/>
      <c r="P174" s="1362"/>
      <c r="Q174" s="343"/>
      <c r="R174" s="2"/>
      <c r="S174" s="772"/>
      <c r="T174" s="609">
        <f t="shared" ref="T174:Z174" si="48">H170</f>
        <v>2019</v>
      </c>
      <c r="U174" s="609">
        <f t="shared" si="48"/>
        <v>2020</v>
      </c>
      <c r="V174" s="609">
        <f t="shared" si="48"/>
        <v>2021</v>
      </c>
      <c r="W174" s="609">
        <f t="shared" si="48"/>
        <v>2022</v>
      </c>
      <c r="X174" s="609">
        <f t="shared" si="48"/>
        <v>2023</v>
      </c>
      <c r="Y174" s="609">
        <f t="shared" si="48"/>
        <v>2024</v>
      </c>
      <c r="Z174" s="610">
        <f t="shared" si="48"/>
        <v>2025</v>
      </c>
      <c r="AA174" s="2"/>
      <c r="AB174" s="2"/>
      <c r="AC174" s="108" t="b">
        <f t="shared" si="47"/>
        <v>0</v>
      </c>
      <c r="AD174" s="108" t="b">
        <f t="shared" si="47"/>
        <v>0</v>
      </c>
      <c r="AE174" s="108" t="b">
        <f t="shared" si="47"/>
        <v>0</v>
      </c>
      <c r="AF174" s="108" t="b">
        <f t="shared" si="47"/>
        <v>0</v>
      </c>
      <c r="AG174" s="108" t="b">
        <f t="shared" si="47"/>
        <v>0</v>
      </c>
      <c r="AH174" s="108" t="b">
        <f t="shared" si="47"/>
        <v>0</v>
      </c>
      <c r="AI174" s="108" t="b">
        <f t="shared" si="47"/>
        <v>0</v>
      </c>
      <c r="AJ174" s="553" t="s">
        <v>2248</v>
      </c>
      <c r="AK174" s="663" t="str">
        <f>IF(AND(CNTR_ExistSubInstEntries,MSconst_RequireSubAttrEmissions,COUNTIFS(AC174:AI174,FALSE,H174:N174,"")&gt;0),EUconst_Error&amp;"BM"&amp;$Q13,"")</f>
        <v/>
      </c>
      <c r="AL174" s="2"/>
    </row>
    <row r="175" spans="1:38" ht="12.75" customHeight="1" thickBot="1" x14ac:dyDescent="0.3">
      <c r="A175" s="2"/>
      <c r="B175" s="178"/>
      <c r="C175" s="779"/>
      <c r="D175" s="416" t="s">
        <v>861</v>
      </c>
      <c r="E175" s="2627" t="str">
        <f>Translations!$B$587</f>
        <v>Utsläpp (fossila, beräknade)</v>
      </c>
      <c r="F175" s="2484"/>
      <c r="G175" s="426" t="str">
        <f>EUconst_tCO2pa</f>
        <v>t CO2 / år</v>
      </c>
      <c r="H175" s="273" t="str">
        <f t="shared" ref="H175:N175" si="49">IF(AND(COUNT(H171:H174)&gt;0,H178=""),3.664*H171*(H173/100)*(1-H174/100),"")</f>
        <v/>
      </c>
      <c r="I175" s="1109" t="str">
        <f t="shared" si="49"/>
        <v/>
      </c>
      <c r="J175" s="1116" t="str">
        <f t="shared" si="49"/>
        <v/>
      </c>
      <c r="K175" s="273" t="str">
        <f t="shared" si="49"/>
        <v/>
      </c>
      <c r="L175" s="273" t="str">
        <f t="shared" si="49"/>
        <v/>
      </c>
      <c r="M175" s="273" t="str">
        <f t="shared" si="49"/>
        <v/>
      </c>
      <c r="N175" s="1142" t="str">
        <f t="shared" si="49"/>
        <v/>
      </c>
      <c r="O175" s="15"/>
      <c r="P175" s="15"/>
      <c r="Q175" s="165" t="str">
        <f>EUconst_CNTR_EmissionsIntSource1 &amp; I13</f>
        <v>EmInternalSource1_</v>
      </c>
      <c r="R175" s="2"/>
      <c r="S175" s="773" t="str">
        <f>EUconst_CNTR_AttributedEmissions &amp; I13</f>
        <v>AttrEmissions_</v>
      </c>
      <c r="T175" s="111" t="str">
        <f t="shared" ref="T175:Z175" si="50">IF(T21,SUM(H175),"")</f>
        <v/>
      </c>
      <c r="U175" s="111" t="str">
        <f t="shared" si="50"/>
        <v/>
      </c>
      <c r="V175" s="111" t="str">
        <f t="shared" si="50"/>
        <v/>
      </c>
      <c r="W175" s="111" t="str">
        <f t="shared" si="50"/>
        <v/>
      </c>
      <c r="X175" s="111" t="str">
        <f t="shared" si="50"/>
        <v/>
      </c>
      <c r="Y175" s="111" t="str">
        <f t="shared" si="50"/>
        <v/>
      </c>
      <c r="Z175" s="112" t="str">
        <f t="shared" si="50"/>
        <v/>
      </c>
      <c r="AA175" s="2"/>
      <c r="AB175" s="2"/>
      <c r="AC175" s="2"/>
      <c r="AD175" s="2"/>
      <c r="AE175" s="2"/>
      <c r="AF175" s="2"/>
      <c r="AG175" s="2"/>
      <c r="AH175" s="2"/>
      <c r="AI175" s="2"/>
      <c r="AJ175" s="2"/>
      <c r="AK175" s="2"/>
      <c r="AL175" s="2"/>
    </row>
    <row r="176" spans="1:38" ht="12.75" customHeight="1" x14ac:dyDescent="0.25">
      <c r="A176" s="2"/>
      <c r="B176" s="178"/>
      <c r="C176" s="779"/>
      <c r="D176" s="416" t="s">
        <v>862</v>
      </c>
      <c r="E176" s="2628" t="str">
        <f>Translations!$B$588</f>
        <v>Memorandumpost: Utsläpp biomassa</v>
      </c>
      <c r="F176" s="2476"/>
      <c r="G176" s="427" t="str">
        <f>EUconst_tCO2pa</f>
        <v>t CO2 / år</v>
      </c>
      <c r="H176" s="272" t="str">
        <f t="shared" ref="H176:N176" si="51">IF(ISNUMBER(H175),3.664*H171*(H173/100)*(H174/100),"")</f>
        <v/>
      </c>
      <c r="I176" s="1110" t="str">
        <f t="shared" si="51"/>
        <v/>
      </c>
      <c r="J176" s="1117" t="str">
        <f t="shared" si="51"/>
        <v/>
      </c>
      <c r="K176" s="272" t="str">
        <f t="shared" si="51"/>
        <v/>
      </c>
      <c r="L176" s="272" t="str">
        <f t="shared" si="51"/>
        <v/>
      </c>
      <c r="M176" s="272" t="str">
        <f t="shared" si="51"/>
        <v/>
      </c>
      <c r="N176" s="1143" t="str">
        <f t="shared" si="51"/>
        <v/>
      </c>
      <c r="O176" s="15"/>
      <c r="P176" s="15"/>
      <c r="Q176" s="343"/>
      <c r="R176" s="2"/>
      <c r="S176" s="343"/>
      <c r="T176" s="2"/>
      <c r="U176" s="2"/>
      <c r="V176" s="2"/>
      <c r="W176" s="2"/>
      <c r="X176" s="2"/>
      <c r="Y176" s="2"/>
      <c r="Z176" s="2"/>
      <c r="AA176" s="2"/>
      <c r="AB176" s="2"/>
      <c r="AC176" s="2"/>
      <c r="AD176" s="2"/>
      <c r="AE176" s="2"/>
      <c r="AF176" s="2"/>
      <c r="AG176" s="2"/>
      <c r="AH176" s="2"/>
      <c r="AI176" s="2"/>
      <c r="AJ176" s="2"/>
      <c r="AK176" s="2"/>
      <c r="AL176" s="2"/>
    </row>
    <row r="177" spans="1:38" ht="12.75" customHeight="1" x14ac:dyDescent="0.25">
      <c r="A177" s="2"/>
      <c r="B177" s="178"/>
      <c r="C177" s="779"/>
      <c r="D177" s="416" t="s">
        <v>863</v>
      </c>
      <c r="E177" s="2626" t="str">
        <f>Translations!$B$589</f>
        <v>Energiinnehåll (beräknat)</v>
      </c>
      <c r="F177" s="2487"/>
      <c r="G177" s="428" t="str">
        <f>EUconst_TJpa</f>
        <v>TJ / år</v>
      </c>
      <c r="H177" s="275" t="str">
        <f t="shared" ref="H177:N177" si="52">IF(COUNT(H171:H172)=2,H171*H172/1000,"")</f>
        <v/>
      </c>
      <c r="I177" s="281" t="str">
        <f t="shared" si="52"/>
        <v/>
      </c>
      <c r="J177" s="1118" t="str">
        <f t="shared" si="52"/>
        <v/>
      </c>
      <c r="K177" s="275" t="str">
        <f t="shared" si="52"/>
        <v/>
      </c>
      <c r="L177" s="275" t="str">
        <f t="shared" si="52"/>
        <v/>
      </c>
      <c r="M177" s="275" t="str">
        <f t="shared" si="52"/>
        <v/>
      </c>
      <c r="N177" s="1144" t="str">
        <f t="shared" si="52"/>
        <v/>
      </c>
      <c r="O177" s="15"/>
      <c r="P177" s="15"/>
      <c r="Q177" s="343"/>
      <c r="R177" s="2"/>
      <c r="S177" s="343"/>
      <c r="T177" s="2"/>
      <c r="U177" s="2"/>
      <c r="V177" s="2"/>
      <c r="W177" s="2"/>
      <c r="X177" s="2"/>
      <c r="Y177" s="2"/>
      <c r="Z177" s="2"/>
      <c r="AA177" s="2"/>
      <c r="AB177" s="2"/>
      <c r="AC177" s="2"/>
      <c r="AD177" s="2"/>
      <c r="AE177" s="2"/>
      <c r="AF177" s="2"/>
      <c r="AG177" s="2"/>
      <c r="AH177" s="2"/>
      <c r="AI177" s="2"/>
      <c r="AJ177" s="2"/>
      <c r="AK177" s="2"/>
      <c r="AL177" s="2"/>
    </row>
    <row r="178" spans="1:38" ht="12.75" customHeight="1" x14ac:dyDescent="0.25">
      <c r="A178" s="2"/>
      <c r="B178" s="178"/>
      <c r="C178" s="779"/>
      <c r="D178" s="416" t="s">
        <v>72</v>
      </c>
      <c r="E178" s="2629" t="str">
        <f>Translations!$B$590</f>
        <v>Felmeddelanden (utsläpp)</v>
      </c>
      <c r="F178" s="2630"/>
      <c r="G178" s="429"/>
      <c r="H178" s="520" t="str">
        <f t="shared" ref="H178:N178" si="53">IF(COUNT(H171,H173:H174)&gt;0,IF(COUNTIF(H172:H174,"&lt;0")&gt;0,EUconst_Negative,IF(COUNT(H171,H173:H174)&lt;3,EUconst_Incomplete,"")),"")</f>
        <v/>
      </c>
      <c r="I178" s="1111" t="str">
        <f t="shared" si="53"/>
        <v/>
      </c>
      <c r="J178" s="1119" t="str">
        <f t="shared" si="53"/>
        <v/>
      </c>
      <c r="K178" s="520" t="str">
        <f t="shared" si="53"/>
        <v/>
      </c>
      <c r="L178" s="520" t="str">
        <f t="shared" si="53"/>
        <v/>
      </c>
      <c r="M178" s="520" t="str">
        <f t="shared" si="53"/>
        <v/>
      </c>
      <c r="N178" s="1145" t="str">
        <f t="shared" si="53"/>
        <v/>
      </c>
      <c r="O178" s="15"/>
      <c r="P178" s="15"/>
      <c r="Q178" s="343"/>
      <c r="R178" s="2"/>
      <c r="S178" s="343"/>
      <c r="T178" s="2"/>
      <c r="U178" s="2"/>
      <c r="V178" s="2"/>
      <c r="W178" s="2"/>
      <c r="X178" s="2"/>
      <c r="Y178" s="2"/>
      <c r="Z178" s="2"/>
      <c r="AA178" s="2"/>
      <c r="AB178" s="2"/>
      <c r="AC178" s="2"/>
      <c r="AD178" s="2"/>
      <c r="AE178" s="2"/>
      <c r="AF178" s="2"/>
      <c r="AG178" s="2"/>
      <c r="AH178" s="2"/>
      <c r="AI178" s="2"/>
      <c r="AJ178" s="2"/>
      <c r="AK178" s="2"/>
      <c r="AL178" s="2"/>
    </row>
    <row r="179" spans="1:38" ht="12.75" customHeight="1" x14ac:dyDescent="0.25">
      <c r="A179" s="2"/>
      <c r="B179" s="178"/>
      <c r="C179" s="779"/>
      <c r="D179" s="416"/>
      <c r="E179" s="780"/>
      <c r="F179" s="780"/>
      <c r="G179" s="780"/>
      <c r="H179" s="780"/>
      <c r="I179" s="780"/>
      <c r="J179" s="780"/>
      <c r="K179" s="780"/>
      <c r="L179" s="780"/>
      <c r="M179" s="623"/>
      <c r="N179" s="519"/>
      <c r="O179" s="15"/>
      <c r="P179" s="15"/>
      <c r="Q179" s="343"/>
      <c r="R179" s="2"/>
      <c r="S179" s="343"/>
      <c r="T179" s="2"/>
      <c r="U179" s="2"/>
      <c r="V179" s="2"/>
      <c r="W179" s="2"/>
      <c r="X179" s="2"/>
      <c r="Y179" s="2"/>
      <c r="Z179" s="2"/>
      <c r="AA179" s="2"/>
      <c r="AB179" s="2"/>
      <c r="AC179" s="2"/>
      <c r="AD179" s="2"/>
      <c r="AE179" s="2"/>
      <c r="AF179" s="2"/>
      <c r="AG179" s="2"/>
      <c r="AH179" s="2"/>
      <c r="AI179" s="2"/>
      <c r="AJ179" s="2"/>
      <c r="AK179" s="2"/>
      <c r="AL179" s="2"/>
    </row>
    <row r="180" spans="1:38" ht="12.75" customHeight="1" x14ac:dyDescent="0.25">
      <c r="A180" s="2"/>
      <c r="B180" s="178"/>
      <c r="C180" s="779"/>
      <c r="D180" s="416" t="s">
        <v>73</v>
      </c>
      <c r="E180" s="2614" t="str">
        <f>Translations!$B$591</f>
        <v>Namn på andra bränsle-/materialmängder – 2:</v>
      </c>
      <c r="F180" s="1960"/>
      <c r="G180" s="1960"/>
      <c r="H180" s="2520"/>
      <c r="I180" s="2621"/>
      <c r="J180" s="2510"/>
      <c r="K180" s="2510"/>
      <c r="L180" s="2510"/>
      <c r="M180" s="2511"/>
      <c r="N180" s="1807"/>
      <c r="O180" s="15"/>
      <c r="P180" s="1362"/>
      <c r="Q180" s="343"/>
      <c r="R180" s="2"/>
      <c r="S180" s="343"/>
      <c r="T180" s="2"/>
      <c r="U180" s="2"/>
      <c r="V180" s="2"/>
      <c r="W180" s="2"/>
      <c r="X180" s="2"/>
      <c r="Y180" s="2"/>
      <c r="Z180" s="2"/>
      <c r="AA180" s="2"/>
      <c r="AB180" s="2"/>
      <c r="AC180" s="672" t="s">
        <v>782</v>
      </c>
      <c r="AD180" s="108" t="b">
        <f>AD168</f>
        <v>0</v>
      </c>
      <c r="AE180" s="2"/>
      <c r="AF180" s="2"/>
      <c r="AG180" s="2"/>
      <c r="AH180" s="2"/>
      <c r="AI180" s="2"/>
      <c r="AJ180" s="2"/>
      <c r="AK180" s="2"/>
      <c r="AL180" s="2"/>
    </row>
    <row r="181" spans="1:38" ht="5.15" customHeight="1" x14ac:dyDescent="0.25">
      <c r="A181" s="2"/>
      <c r="B181" s="178"/>
      <c r="C181" s="779"/>
      <c r="D181" s="780"/>
      <c r="E181" s="1804"/>
      <c r="F181" s="1806"/>
      <c r="G181" s="780"/>
      <c r="H181" s="780"/>
      <c r="I181" s="1806"/>
      <c r="J181" s="1806"/>
      <c r="K181" s="1806"/>
      <c r="L181" s="1806"/>
      <c r="M181" s="1806"/>
      <c r="N181" s="1807"/>
      <c r="O181" s="15"/>
      <c r="P181" s="15"/>
      <c r="Q181" s="343"/>
      <c r="R181" s="2"/>
      <c r="S181" s="343"/>
      <c r="T181" s="2"/>
      <c r="U181" s="2"/>
      <c r="V181" s="2"/>
      <c r="W181" s="2"/>
      <c r="X181" s="2"/>
      <c r="Y181" s="2"/>
      <c r="Z181" s="2"/>
      <c r="AA181" s="2"/>
      <c r="AB181" s="2"/>
      <c r="AC181" s="2"/>
      <c r="AD181" s="2"/>
      <c r="AE181" s="2"/>
      <c r="AF181" s="2"/>
      <c r="AG181" s="2"/>
      <c r="AH181" s="2"/>
      <c r="AI181" s="2"/>
      <c r="AJ181" s="2"/>
      <c r="AK181" s="2"/>
      <c r="AL181" s="2"/>
    </row>
    <row r="182" spans="1:38" ht="12.75" customHeight="1" thickBot="1" x14ac:dyDescent="0.3">
      <c r="A182" s="2"/>
      <c r="B182" s="178"/>
      <c r="C182" s="779"/>
      <c r="D182" s="416"/>
      <c r="E182" s="2605" t="str">
        <f>Translations!$B$592</f>
        <v>Andra bränsle-/materialmängder – 2</v>
      </c>
      <c r="F182" s="2497"/>
      <c r="G182" s="361" t="str">
        <f>EUconst_Unit</f>
        <v>Enhet</v>
      </c>
      <c r="H182" s="362">
        <f t="shared" ref="H182:N182" si="54">H$3042</f>
        <v>2019</v>
      </c>
      <c r="I182" s="1103">
        <f t="shared" si="54"/>
        <v>2020</v>
      </c>
      <c r="J182" s="1104">
        <f t="shared" si="54"/>
        <v>2021</v>
      </c>
      <c r="K182" s="362">
        <f t="shared" si="54"/>
        <v>2022</v>
      </c>
      <c r="L182" s="362">
        <f t="shared" si="54"/>
        <v>2023</v>
      </c>
      <c r="M182" s="362">
        <f t="shared" si="54"/>
        <v>2024</v>
      </c>
      <c r="N182" s="1141">
        <f t="shared" si="54"/>
        <v>2025</v>
      </c>
      <c r="O182" s="15"/>
      <c r="P182" s="15"/>
      <c r="Q182" s="343"/>
      <c r="R182" s="2"/>
      <c r="S182" s="343"/>
      <c r="T182" s="2"/>
      <c r="U182" s="2"/>
      <c r="V182" s="2"/>
      <c r="W182" s="2"/>
      <c r="X182" s="2"/>
      <c r="Y182" s="2"/>
      <c r="Z182" s="2"/>
      <c r="AA182" s="2"/>
      <c r="AB182" s="2"/>
      <c r="AC182" s="1044">
        <f t="shared" ref="AC182:AI182" si="55">H$20</f>
        <v>2019</v>
      </c>
      <c r="AD182" s="1044">
        <f t="shared" si="55"/>
        <v>2020</v>
      </c>
      <c r="AE182" s="1044">
        <f t="shared" si="55"/>
        <v>2021</v>
      </c>
      <c r="AF182" s="1044">
        <f t="shared" si="55"/>
        <v>2022</v>
      </c>
      <c r="AG182" s="1044">
        <f t="shared" si="55"/>
        <v>2023</v>
      </c>
      <c r="AH182" s="1044">
        <f t="shared" si="55"/>
        <v>2024</v>
      </c>
      <c r="AI182" s="1044">
        <f t="shared" si="55"/>
        <v>2025</v>
      </c>
      <c r="AJ182" s="2"/>
      <c r="AK182" s="2"/>
      <c r="AL182" s="2"/>
    </row>
    <row r="183" spans="1:38" ht="12.75" customHeight="1" x14ac:dyDescent="0.25">
      <c r="A183" s="2"/>
      <c r="B183" s="178"/>
      <c r="C183" s="779"/>
      <c r="D183" s="416" t="s">
        <v>74</v>
      </c>
      <c r="E183" s="2611" t="str">
        <f>Translations!$B$583</f>
        <v>Importerad eller exporterad mängd</v>
      </c>
      <c r="F183" s="2484"/>
      <c r="G183" s="365" t="str">
        <f>EUconst_tpa</f>
        <v>t / år</v>
      </c>
      <c r="H183" s="1298"/>
      <c r="I183" s="1299"/>
      <c r="J183" s="1300"/>
      <c r="K183" s="1298"/>
      <c r="L183" s="1298"/>
      <c r="M183" s="1298"/>
      <c r="N183" s="1301"/>
      <c r="O183" s="15"/>
      <c r="P183" s="1362"/>
      <c r="Q183" s="343"/>
      <c r="R183" s="2"/>
      <c r="S183" s="343"/>
      <c r="T183" s="2"/>
      <c r="U183" s="2"/>
      <c r="V183" s="2"/>
      <c r="W183" s="2"/>
      <c r="X183" s="2"/>
      <c r="Y183" s="2"/>
      <c r="Z183" s="2"/>
      <c r="AA183" s="2"/>
      <c r="AB183" s="672" t="s">
        <v>782</v>
      </c>
      <c r="AC183" s="108" t="b">
        <f>AC171</f>
        <v>0</v>
      </c>
      <c r="AD183" s="108" t="b">
        <f t="shared" ref="AD183:AI183" si="56">AD171</f>
        <v>0</v>
      </c>
      <c r="AE183" s="108" t="b">
        <f t="shared" si="56"/>
        <v>0</v>
      </c>
      <c r="AF183" s="108" t="b">
        <f t="shared" si="56"/>
        <v>0</v>
      </c>
      <c r="AG183" s="108" t="b">
        <f t="shared" si="56"/>
        <v>0</v>
      </c>
      <c r="AH183" s="108" t="b">
        <f t="shared" si="56"/>
        <v>0</v>
      </c>
      <c r="AI183" s="108" t="b">
        <f t="shared" si="56"/>
        <v>0</v>
      </c>
      <c r="AJ183" s="553" t="s">
        <v>2248</v>
      </c>
      <c r="AK183" s="663" t="str">
        <f>IF(AND(CNTR_ExistSubInstEntries,MSconst_RequireSubAttrEmissions,COUNTIFS(AC183:AI183,FALSE,H183:N183,"")&gt;0),EUconst_Error&amp;"BM"&amp;$Q13,"")</f>
        <v/>
      </c>
      <c r="AL183" s="2"/>
    </row>
    <row r="184" spans="1:38" ht="12.75" customHeight="1" x14ac:dyDescent="0.25">
      <c r="A184" s="2"/>
      <c r="B184" s="178"/>
      <c r="C184" s="779"/>
      <c r="D184" s="416" t="s">
        <v>1201</v>
      </c>
      <c r="E184" s="2625" t="str">
        <f>Translations!$B$584</f>
        <v>Effektivt värmevärde, i tillämpliga fall</v>
      </c>
      <c r="F184" s="2476"/>
      <c r="G184" s="424" t="str">
        <f>EUconst_GJpt</f>
        <v>GJ / t</v>
      </c>
      <c r="H184" s="1302"/>
      <c r="I184" s="1303"/>
      <c r="J184" s="1304"/>
      <c r="K184" s="1302"/>
      <c r="L184" s="1302"/>
      <c r="M184" s="1302"/>
      <c r="N184" s="1305"/>
      <c r="O184" s="15"/>
      <c r="P184" s="1362"/>
      <c r="Q184" s="343"/>
      <c r="R184" s="2"/>
      <c r="S184" s="343"/>
      <c r="T184" s="2"/>
      <c r="U184" s="2"/>
      <c r="V184" s="2"/>
      <c r="W184" s="2"/>
      <c r="X184" s="2"/>
      <c r="Y184" s="2"/>
      <c r="Z184" s="2"/>
      <c r="AA184" s="2"/>
      <c r="AB184" s="2"/>
      <c r="AC184" s="108" t="b">
        <f t="shared" ref="AC184:AI184" si="57">AC172</f>
        <v>0</v>
      </c>
      <c r="AD184" s="108" t="b">
        <f t="shared" si="57"/>
        <v>0</v>
      </c>
      <c r="AE184" s="108" t="b">
        <f t="shared" si="57"/>
        <v>0</v>
      </c>
      <c r="AF184" s="108" t="b">
        <f t="shared" si="57"/>
        <v>0</v>
      </c>
      <c r="AG184" s="108" t="b">
        <f t="shared" si="57"/>
        <v>0</v>
      </c>
      <c r="AH184" s="108" t="b">
        <f t="shared" si="57"/>
        <v>0</v>
      </c>
      <c r="AI184" s="108" t="b">
        <f t="shared" si="57"/>
        <v>0</v>
      </c>
      <c r="AJ184" s="553" t="s">
        <v>2248</v>
      </c>
      <c r="AK184" s="663" t="str">
        <f>IF(AND(CNTR_ExistSubInstEntries,MSconst_RequireSubAttrEmissions,COUNTIFS(AC184:AI184,FALSE,H184:N184,"")&gt;0),EUconst_Error&amp;"BM"&amp;$Q13,"")</f>
        <v/>
      </c>
      <c r="AL184" s="2"/>
    </row>
    <row r="185" spans="1:38" ht="12.75" customHeight="1" thickBot="1" x14ac:dyDescent="0.3">
      <c r="A185" s="2"/>
      <c r="B185" s="178"/>
      <c r="C185" s="779"/>
      <c r="D185" s="416" t="s">
        <v>1202</v>
      </c>
      <c r="E185" s="2625" t="str">
        <f>Translations!$B$585</f>
        <v>Kolinnehåll (viktprocent)</v>
      </c>
      <c r="F185" s="2476"/>
      <c r="G185" s="425" t="s">
        <v>957</v>
      </c>
      <c r="H185" s="1302"/>
      <c r="I185" s="1303"/>
      <c r="J185" s="1304"/>
      <c r="K185" s="1302"/>
      <c r="L185" s="1302"/>
      <c r="M185" s="1302"/>
      <c r="N185" s="1305"/>
      <c r="O185" s="15"/>
      <c r="P185" s="1362"/>
      <c r="Q185" s="343"/>
      <c r="R185" s="2"/>
      <c r="S185" s="343"/>
      <c r="T185" s="2"/>
      <c r="U185" s="2"/>
      <c r="V185" s="2"/>
      <c r="W185" s="2"/>
      <c r="X185" s="2"/>
      <c r="Y185" s="2"/>
      <c r="Z185" s="2"/>
      <c r="AA185" s="2"/>
      <c r="AB185" s="2"/>
      <c r="AC185" s="108" t="b">
        <f t="shared" ref="AC185:AI185" si="58">AC173</f>
        <v>0</v>
      </c>
      <c r="AD185" s="108" t="b">
        <f t="shared" si="58"/>
        <v>0</v>
      </c>
      <c r="AE185" s="108" t="b">
        <f t="shared" si="58"/>
        <v>0</v>
      </c>
      <c r="AF185" s="108" t="b">
        <f t="shared" si="58"/>
        <v>0</v>
      </c>
      <c r="AG185" s="108" t="b">
        <f t="shared" si="58"/>
        <v>0</v>
      </c>
      <c r="AH185" s="108" t="b">
        <f t="shared" si="58"/>
        <v>0</v>
      </c>
      <c r="AI185" s="108" t="b">
        <f t="shared" si="58"/>
        <v>0</v>
      </c>
      <c r="AJ185" s="553" t="s">
        <v>2248</v>
      </c>
      <c r="AK185" s="663" t="str">
        <f>IF(AND(CNTR_ExistSubInstEntries,MSconst_RequireSubAttrEmissions,COUNTIFS(AC185:AI185,FALSE,H185:N185,"")&gt;0),EUconst_Error&amp;"BM"&amp;$Q13,"")</f>
        <v/>
      </c>
      <c r="AL185" s="2"/>
    </row>
    <row r="186" spans="1:38" ht="12.75" customHeight="1" x14ac:dyDescent="0.25">
      <c r="A186" s="2"/>
      <c r="B186" s="178"/>
      <c r="C186" s="779"/>
      <c r="D186" s="416" t="s">
        <v>1203</v>
      </c>
      <c r="E186" s="2626" t="str">
        <f>Translations!$B$586</f>
        <v>Biomassahalt (som kolfraktion)</v>
      </c>
      <c r="F186" s="2487"/>
      <c r="G186" s="384" t="s">
        <v>957</v>
      </c>
      <c r="H186" s="1306"/>
      <c r="I186" s="1307"/>
      <c r="J186" s="1308"/>
      <c r="K186" s="1306"/>
      <c r="L186" s="1306"/>
      <c r="M186" s="1306"/>
      <c r="N186" s="1309"/>
      <c r="O186" s="15"/>
      <c r="P186" s="1362"/>
      <c r="Q186" s="343"/>
      <c r="R186" s="2"/>
      <c r="S186" s="772"/>
      <c r="T186" s="609">
        <f t="shared" ref="T186:Z186" si="59">H182</f>
        <v>2019</v>
      </c>
      <c r="U186" s="609">
        <f t="shared" si="59"/>
        <v>2020</v>
      </c>
      <c r="V186" s="609">
        <f t="shared" si="59"/>
        <v>2021</v>
      </c>
      <c r="W186" s="609">
        <f t="shared" si="59"/>
        <v>2022</v>
      </c>
      <c r="X186" s="609">
        <f t="shared" si="59"/>
        <v>2023</v>
      </c>
      <c r="Y186" s="609">
        <f t="shared" si="59"/>
        <v>2024</v>
      </c>
      <c r="Z186" s="610">
        <f t="shared" si="59"/>
        <v>2025</v>
      </c>
      <c r="AA186" s="2"/>
      <c r="AB186" s="2"/>
      <c r="AC186" s="108" t="b">
        <f t="shared" ref="AC186:AI186" si="60">AC174</f>
        <v>0</v>
      </c>
      <c r="AD186" s="108" t="b">
        <f t="shared" si="60"/>
        <v>0</v>
      </c>
      <c r="AE186" s="108" t="b">
        <f t="shared" si="60"/>
        <v>0</v>
      </c>
      <c r="AF186" s="108" t="b">
        <f t="shared" si="60"/>
        <v>0</v>
      </c>
      <c r="AG186" s="108" t="b">
        <f t="shared" si="60"/>
        <v>0</v>
      </c>
      <c r="AH186" s="108" t="b">
        <f t="shared" si="60"/>
        <v>0</v>
      </c>
      <c r="AI186" s="108" t="b">
        <f t="shared" si="60"/>
        <v>0</v>
      </c>
      <c r="AJ186" s="553" t="s">
        <v>2248</v>
      </c>
      <c r="AK186" s="663" t="str">
        <f>IF(AND(CNTR_ExistSubInstEntries,MSconst_RequireSubAttrEmissions,COUNTIFS(AC186:AI186,FALSE,H186:N186,"")&gt;0),EUconst_Error&amp;"BM"&amp;$Q13,"")</f>
        <v/>
      </c>
      <c r="AL186" s="2"/>
    </row>
    <row r="187" spans="1:38" ht="12.75" customHeight="1" thickBot="1" x14ac:dyDescent="0.3">
      <c r="A187" s="2"/>
      <c r="B187" s="178"/>
      <c r="C187" s="779"/>
      <c r="D187" s="416" t="s">
        <v>1204</v>
      </c>
      <c r="E187" s="2627" t="str">
        <f>Translations!$B$587</f>
        <v>Utsläpp (fossila, beräknade)</v>
      </c>
      <c r="F187" s="2484"/>
      <c r="G187" s="426" t="str">
        <f>EUconst_tCO2pa</f>
        <v>t CO2 / år</v>
      </c>
      <c r="H187" s="273" t="str">
        <f t="shared" ref="H187:N187" si="61">IF(AND(COUNT(H183:H186)&gt;0,H190=""),3.664*H183*(H185/100)*(1-H186/100),"")</f>
        <v/>
      </c>
      <c r="I187" s="1109" t="str">
        <f t="shared" si="61"/>
        <v/>
      </c>
      <c r="J187" s="1116" t="str">
        <f t="shared" si="61"/>
        <v/>
      </c>
      <c r="K187" s="273" t="str">
        <f t="shared" si="61"/>
        <v/>
      </c>
      <c r="L187" s="273" t="str">
        <f t="shared" si="61"/>
        <v/>
      </c>
      <c r="M187" s="273" t="str">
        <f t="shared" si="61"/>
        <v/>
      </c>
      <c r="N187" s="1142" t="str">
        <f t="shared" si="61"/>
        <v/>
      </c>
      <c r="O187" s="15"/>
      <c r="P187" s="15"/>
      <c r="Q187" s="165" t="str">
        <f>EUconst_CNTR_EmissionsIntSource2 &amp; I13</f>
        <v>EmInternalSource2_</v>
      </c>
      <c r="R187" s="2"/>
      <c r="S187" s="773" t="str">
        <f>EUconst_CNTR_AttributedEmissions &amp; I13</f>
        <v>AttrEmissions_</v>
      </c>
      <c r="T187" s="111" t="str">
        <f t="shared" ref="T187:Z187" si="62">IF(T21,SUM(H187),"")</f>
        <v/>
      </c>
      <c r="U187" s="111" t="str">
        <f t="shared" si="62"/>
        <v/>
      </c>
      <c r="V187" s="111" t="str">
        <f t="shared" si="62"/>
        <v/>
      </c>
      <c r="W187" s="111" t="str">
        <f t="shared" si="62"/>
        <v/>
      </c>
      <c r="X187" s="111" t="str">
        <f t="shared" si="62"/>
        <v/>
      </c>
      <c r="Y187" s="111" t="str">
        <f t="shared" si="62"/>
        <v/>
      </c>
      <c r="Z187" s="112" t="str">
        <f t="shared" si="62"/>
        <v/>
      </c>
      <c r="AA187" s="2"/>
      <c r="AB187" s="2"/>
      <c r="AC187" s="2"/>
      <c r="AD187" s="2"/>
      <c r="AE187" s="2"/>
      <c r="AF187" s="2"/>
      <c r="AG187" s="2"/>
      <c r="AH187" s="2"/>
      <c r="AI187" s="2"/>
      <c r="AJ187" s="2"/>
      <c r="AK187" s="2"/>
      <c r="AL187" s="2"/>
    </row>
    <row r="188" spans="1:38" ht="12.75" customHeight="1" x14ac:dyDescent="0.25">
      <c r="A188" s="2"/>
      <c r="B188" s="178"/>
      <c r="C188" s="779"/>
      <c r="D188" s="416" t="s">
        <v>1205</v>
      </c>
      <c r="E188" s="2628" t="str">
        <f>Translations!$B$588</f>
        <v>Memorandumpost: Utsläpp biomassa</v>
      </c>
      <c r="F188" s="2476"/>
      <c r="G188" s="427" t="str">
        <f>EUconst_tCO2pa</f>
        <v>t CO2 / år</v>
      </c>
      <c r="H188" s="272" t="str">
        <f t="shared" ref="H188:N188" si="63">IF(ISNUMBER(H187),3.664*H183*(H185/100)*(H186/100),"")</f>
        <v/>
      </c>
      <c r="I188" s="1110" t="str">
        <f t="shared" si="63"/>
        <v/>
      </c>
      <c r="J188" s="1117" t="str">
        <f t="shared" si="63"/>
        <v/>
      </c>
      <c r="K188" s="272" t="str">
        <f t="shared" si="63"/>
        <v/>
      </c>
      <c r="L188" s="272" t="str">
        <f t="shared" si="63"/>
        <v/>
      </c>
      <c r="M188" s="272" t="str">
        <f t="shared" si="63"/>
        <v/>
      </c>
      <c r="N188" s="1143" t="str">
        <f t="shared" si="63"/>
        <v/>
      </c>
      <c r="O188" s="15"/>
      <c r="P188" s="15"/>
      <c r="Q188" s="343"/>
      <c r="R188" s="2"/>
      <c r="S188" s="343"/>
      <c r="T188" s="2"/>
      <c r="U188" s="2"/>
      <c r="V188" s="2"/>
      <c r="W188" s="2"/>
      <c r="X188" s="2"/>
      <c r="Y188" s="2"/>
      <c r="Z188" s="2"/>
      <c r="AA188" s="2"/>
      <c r="AB188" s="2"/>
      <c r="AC188" s="2"/>
      <c r="AD188" s="2"/>
      <c r="AE188" s="2"/>
      <c r="AF188" s="2"/>
      <c r="AG188" s="2"/>
      <c r="AH188" s="2"/>
      <c r="AI188" s="2"/>
      <c r="AJ188" s="2"/>
      <c r="AK188" s="2"/>
      <c r="AL188" s="2"/>
    </row>
    <row r="189" spans="1:38" ht="12.75" customHeight="1" x14ac:dyDescent="0.25">
      <c r="A189" s="2"/>
      <c r="B189" s="178"/>
      <c r="C189" s="779"/>
      <c r="D189" s="416" t="s">
        <v>1206</v>
      </c>
      <c r="E189" s="2626" t="str">
        <f>Translations!$B$589</f>
        <v>Energiinnehåll (beräknat)</v>
      </c>
      <c r="F189" s="2487"/>
      <c r="G189" s="428" t="str">
        <f>EUconst_TJpa</f>
        <v>TJ / år</v>
      </c>
      <c r="H189" s="275" t="str">
        <f t="shared" ref="H189:N189" si="64">IF(COUNT(H183:H184)=2,H183*H184/1000,"")</f>
        <v/>
      </c>
      <c r="I189" s="281" t="str">
        <f t="shared" si="64"/>
        <v/>
      </c>
      <c r="J189" s="1118" t="str">
        <f t="shared" si="64"/>
        <v/>
      </c>
      <c r="K189" s="275" t="str">
        <f t="shared" si="64"/>
        <v/>
      </c>
      <c r="L189" s="275" t="str">
        <f t="shared" si="64"/>
        <v/>
      </c>
      <c r="M189" s="275" t="str">
        <f t="shared" si="64"/>
        <v/>
      </c>
      <c r="N189" s="1144" t="str">
        <f t="shared" si="64"/>
        <v/>
      </c>
      <c r="O189" s="15"/>
      <c r="P189" s="15"/>
      <c r="Q189" s="343"/>
      <c r="R189" s="2"/>
      <c r="S189" s="343"/>
      <c r="T189" s="2"/>
      <c r="U189" s="2"/>
      <c r="V189" s="2"/>
      <c r="W189" s="2"/>
      <c r="X189" s="2"/>
      <c r="Y189" s="2"/>
      <c r="Z189" s="2"/>
      <c r="AA189" s="2"/>
      <c r="AB189" s="2"/>
      <c r="AC189" s="2"/>
      <c r="AD189" s="2"/>
      <c r="AE189" s="2"/>
      <c r="AF189" s="2"/>
      <c r="AG189" s="2"/>
      <c r="AH189" s="2"/>
      <c r="AI189" s="2"/>
      <c r="AJ189" s="2"/>
      <c r="AK189" s="2"/>
      <c r="AL189" s="2"/>
    </row>
    <row r="190" spans="1:38" ht="12.75" customHeight="1" x14ac:dyDescent="0.25">
      <c r="A190" s="2"/>
      <c r="B190" s="178"/>
      <c r="C190" s="779"/>
      <c r="D190" s="416" t="s">
        <v>1202</v>
      </c>
      <c r="E190" s="2629" t="str">
        <f>Translations!$B$590</f>
        <v>Felmeddelanden (utsläpp)</v>
      </c>
      <c r="F190" s="2630"/>
      <c r="G190" s="429"/>
      <c r="H190" s="520" t="str">
        <f t="shared" ref="H190:N190" si="65">IF(COUNT(H183,H185:H186)&gt;0,IF(COUNTIF(H184:H186,"&lt;0")&gt;0,EUconst_Negative,IF(COUNT(H183,H185:H186)&lt;3,EUconst_Incomplete,"")),"")</f>
        <v/>
      </c>
      <c r="I190" s="1111" t="str">
        <f t="shared" si="65"/>
        <v/>
      </c>
      <c r="J190" s="1119" t="str">
        <f t="shared" si="65"/>
        <v/>
      </c>
      <c r="K190" s="520" t="str">
        <f t="shared" si="65"/>
        <v/>
      </c>
      <c r="L190" s="520" t="str">
        <f t="shared" si="65"/>
        <v/>
      </c>
      <c r="M190" s="520" t="str">
        <f t="shared" si="65"/>
        <v/>
      </c>
      <c r="N190" s="1145" t="str">
        <f t="shared" si="65"/>
        <v/>
      </c>
      <c r="O190" s="15"/>
      <c r="P190" s="15"/>
      <c r="Q190" s="343"/>
      <c r="R190" s="2"/>
      <c r="S190" s="343"/>
      <c r="T190" s="2"/>
      <c r="U190" s="2"/>
      <c r="V190" s="2"/>
      <c r="W190" s="2"/>
      <c r="X190" s="2"/>
      <c r="Y190" s="2"/>
      <c r="Z190" s="2"/>
      <c r="AA190" s="2"/>
      <c r="AB190" s="2"/>
      <c r="AC190" s="2"/>
      <c r="AD190" s="2"/>
      <c r="AE190" s="2"/>
      <c r="AF190" s="2"/>
      <c r="AG190" s="2"/>
      <c r="AH190" s="2"/>
      <c r="AI190" s="2"/>
      <c r="AJ190" s="2"/>
      <c r="AK190" s="2"/>
      <c r="AL190" s="2"/>
    </row>
    <row r="191" spans="1:38" ht="12.75" customHeight="1" x14ac:dyDescent="0.25">
      <c r="A191" s="2"/>
      <c r="B191" s="178"/>
      <c r="C191" s="779"/>
      <c r="D191" s="780"/>
      <c r="E191" s="780"/>
      <c r="F191" s="780"/>
      <c r="G191" s="780"/>
      <c r="H191" s="780"/>
      <c r="I191" s="780"/>
      <c r="J191" s="780"/>
      <c r="K191" s="780"/>
      <c r="L191" s="780"/>
      <c r="M191" s="623"/>
      <c r="N191" s="519"/>
      <c r="O191" s="15"/>
      <c r="P191" s="15"/>
      <c r="Q191" s="343"/>
      <c r="R191" s="2"/>
      <c r="S191" s="343"/>
      <c r="T191" s="2"/>
      <c r="U191" s="2"/>
      <c r="V191" s="2"/>
      <c r="W191" s="2"/>
      <c r="X191" s="2"/>
      <c r="Y191" s="2"/>
      <c r="Z191" s="2"/>
      <c r="AA191" s="2"/>
      <c r="AB191" s="2"/>
      <c r="AC191" s="2"/>
      <c r="AD191" s="2"/>
      <c r="AE191" s="2"/>
      <c r="AF191" s="2"/>
      <c r="AG191" s="2"/>
      <c r="AH191" s="2"/>
      <c r="AI191" s="2"/>
      <c r="AJ191" s="2"/>
      <c r="AK191" s="2"/>
      <c r="AL191" s="2"/>
    </row>
    <row r="192" spans="1:38" ht="12.75" customHeight="1" x14ac:dyDescent="0.25">
      <c r="A192" s="2"/>
      <c r="B192" s="178"/>
      <c r="C192" s="779"/>
      <c r="D192" s="373" t="s">
        <v>523</v>
      </c>
      <c r="E192" s="2614" t="str">
        <f>Translations!$B$593</f>
        <v>Mängd växthusgaser som importerats eller exporterats som råvaror</v>
      </c>
      <c r="F192" s="1960"/>
      <c r="G192" s="1960"/>
      <c r="H192" s="1960"/>
      <c r="I192" s="1960"/>
      <c r="J192" s="1960"/>
      <c r="K192" s="1960"/>
      <c r="L192" s="1960"/>
      <c r="M192" s="1960"/>
      <c r="N192" s="2597"/>
      <c r="O192" s="15"/>
      <c r="P192" s="15"/>
      <c r="Q192" s="343"/>
      <c r="R192" s="2"/>
      <c r="S192" s="343"/>
      <c r="T192" s="2"/>
      <c r="U192" s="2"/>
      <c r="V192" s="2"/>
      <c r="W192" s="2"/>
      <c r="X192" s="2"/>
      <c r="Y192" s="2"/>
      <c r="Z192" s="2"/>
      <c r="AA192" s="2"/>
      <c r="AB192" s="2"/>
      <c r="AC192" s="2"/>
      <c r="AD192" s="2"/>
      <c r="AE192" s="2"/>
      <c r="AF192" s="2"/>
      <c r="AG192" s="2"/>
      <c r="AH192" s="2"/>
      <c r="AI192" s="2"/>
      <c r="AJ192" s="2"/>
      <c r="AK192" s="2"/>
      <c r="AL192" s="2"/>
    </row>
    <row r="193" spans="1:38" ht="12.75" customHeight="1" x14ac:dyDescent="0.25">
      <c r="A193" s="2"/>
      <c r="B193" s="178"/>
      <c r="C193" s="779"/>
      <c r="D193" s="416"/>
      <c r="E193" s="2596" t="str">
        <f>Translations!$B$556</f>
        <v>De uppgifter som anges här påverkar de utsläpp som kan tillskrivas i enlighet med avsnitt 10.1.1 i bilaga VII till FAR.</v>
      </c>
      <c r="F193" s="1960"/>
      <c r="G193" s="1960"/>
      <c r="H193" s="1960"/>
      <c r="I193" s="1960"/>
      <c r="J193" s="1960"/>
      <c r="K193" s="1960"/>
      <c r="L193" s="1960"/>
      <c r="M193" s="1960"/>
      <c r="N193" s="2597"/>
      <c r="O193" s="15"/>
      <c r="P193" s="15"/>
      <c r="Q193" s="343"/>
      <c r="R193" s="2"/>
      <c r="S193" s="343"/>
      <c r="T193" s="343"/>
      <c r="U193" s="343"/>
      <c r="V193" s="343"/>
      <c r="W193" s="2"/>
      <c r="X193" s="2"/>
      <c r="Y193" s="2"/>
      <c r="Z193" s="2"/>
      <c r="AA193" s="2"/>
      <c r="AB193" s="2"/>
      <c r="AC193" s="2"/>
      <c r="AD193" s="2"/>
      <c r="AE193" s="2"/>
      <c r="AF193" s="2"/>
      <c r="AG193" s="2"/>
      <c r="AH193" s="2"/>
      <c r="AI193" s="2"/>
      <c r="AJ193" s="2"/>
      <c r="AK193" s="2"/>
      <c r="AL193" s="2"/>
    </row>
    <row r="194" spans="1:38" ht="25.5" customHeight="1" x14ac:dyDescent="0.25">
      <c r="A194" s="2"/>
      <c r="B194" s="178"/>
      <c r="C194" s="779"/>
      <c r="D194" s="780"/>
      <c r="E194" s="2610" t="str">
        <f>Translations!$B$594</f>
        <v>I enlighet med kravet i avsnitt 3.1 k och 3.1 l i bilaga IV till FAR, var god ange mängden överförd koldioxid som importeras från eller exporteras till andra delanläggningar, anläggningar eller andra enheter, i enlighet med M&amp;R-förordningens regler.</v>
      </c>
      <c r="F194" s="1960"/>
      <c r="G194" s="1960"/>
      <c r="H194" s="1960"/>
      <c r="I194" s="1960"/>
      <c r="J194" s="1960"/>
      <c r="K194" s="1960"/>
      <c r="L194" s="1960"/>
      <c r="M194" s="1960"/>
      <c r="N194" s="2597"/>
      <c r="O194" s="15"/>
      <c r="P194" s="15"/>
      <c r="Q194" s="343"/>
      <c r="R194" s="2"/>
      <c r="S194" s="343"/>
      <c r="T194" s="2"/>
      <c r="U194" s="2"/>
      <c r="V194" s="2"/>
      <c r="W194" s="2"/>
      <c r="X194" s="2"/>
      <c r="Y194" s="2"/>
      <c r="Z194" s="2"/>
      <c r="AA194" s="2"/>
      <c r="AB194" s="2"/>
      <c r="AC194" s="2"/>
      <c r="AD194" s="2"/>
      <c r="AE194" s="2"/>
      <c r="AF194" s="2"/>
      <c r="AG194" s="2"/>
      <c r="AH194" s="2"/>
      <c r="AI194" s="2"/>
      <c r="AJ194" s="2"/>
      <c r="AK194" s="2"/>
      <c r="AL194" s="2"/>
    </row>
    <row r="195" spans="1:38" ht="12.75" customHeight="1" thickBot="1" x14ac:dyDescent="0.3">
      <c r="A195" s="2"/>
      <c r="B195" s="178"/>
      <c r="C195" s="779"/>
      <c r="D195" s="780"/>
      <c r="E195" s="2610" t="str">
        <f>Translations!$B$595</f>
        <v>Exporterade mängder bör anges i negativa värden och motsvara den koldioxid som exporteras och som inte släpps ut i atmosfären av delanläggningen.</v>
      </c>
      <c r="F195" s="1960"/>
      <c r="G195" s="1960"/>
      <c r="H195" s="1960"/>
      <c r="I195" s="1960"/>
      <c r="J195" s="1960"/>
      <c r="K195" s="1960"/>
      <c r="L195" s="1960"/>
      <c r="M195" s="1960"/>
      <c r="N195" s="2597"/>
      <c r="O195" s="15"/>
      <c r="P195" s="15"/>
      <c r="Q195" s="343"/>
      <c r="R195" s="2"/>
      <c r="S195" s="343"/>
      <c r="T195" s="2"/>
      <c r="U195" s="2"/>
      <c r="V195" s="2"/>
      <c r="W195" s="2"/>
      <c r="X195" s="2"/>
      <c r="Y195" s="2"/>
      <c r="Z195" s="2"/>
      <c r="AA195" s="2"/>
      <c r="AB195" s="2"/>
      <c r="AC195" s="2"/>
      <c r="AD195" s="2"/>
      <c r="AE195" s="2"/>
      <c r="AF195" s="2"/>
      <c r="AG195" s="2"/>
      <c r="AH195" s="2"/>
      <c r="AI195" s="2"/>
      <c r="AJ195" s="2"/>
      <c r="AK195" s="2"/>
      <c r="AL195" s="2"/>
    </row>
    <row r="196" spans="1:38" ht="12.75" customHeight="1" thickBot="1" x14ac:dyDescent="0.3">
      <c r="A196" s="2"/>
      <c r="B196" s="178"/>
      <c r="C196" s="779"/>
      <c r="D196" s="373"/>
      <c r="E196" s="1716"/>
      <c r="F196" s="1717"/>
      <c r="G196" s="361" t="str">
        <f>EUconst_Unit</f>
        <v>Enhet</v>
      </c>
      <c r="H196" s="362">
        <f t="shared" ref="H196:N196" si="66">H$3042</f>
        <v>2019</v>
      </c>
      <c r="I196" s="1103">
        <f t="shared" si="66"/>
        <v>2020</v>
      </c>
      <c r="J196" s="1104">
        <f t="shared" si="66"/>
        <v>2021</v>
      </c>
      <c r="K196" s="362">
        <f t="shared" si="66"/>
        <v>2022</v>
      </c>
      <c r="L196" s="362">
        <f t="shared" si="66"/>
        <v>2023</v>
      </c>
      <c r="M196" s="362">
        <f t="shared" si="66"/>
        <v>2024</v>
      </c>
      <c r="N196" s="1141">
        <f t="shared" si="66"/>
        <v>2025</v>
      </c>
      <c r="O196" s="15"/>
      <c r="P196" s="15"/>
      <c r="Q196" s="343"/>
      <c r="R196" s="2"/>
      <c r="S196" s="772"/>
      <c r="T196" s="609">
        <f t="shared" ref="T196:Z196" si="67">H196</f>
        <v>2019</v>
      </c>
      <c r="U196" s="609">
        <f t="shared" si="67"/>
        <v>2020</v>
      </c>
      <c r="V196" s="609">
        <f t="shared" si="67"/>
        <v>2021</v>
      </c>
      <c r="W196" s="609">
        <f t="shared" si="67"/>
        <v>2022</v>
      </c>
      <c r="X196" s="609">
        <f t="shared" si="67"/>
        <v>2023</v>
      </c>
      <c r="Y196" s="609">
        <f t="shared" si="67"/>
        <v>2024</v>
      </c>
      <c r="Z196" s="610">
        <f t="shared" si="67"/>
        <v>2025</v>
      </c>
      <c r="AA196" s="2"/>
      <c r="AB196" s="2"/>
      <c r="AC196" s="1044">
        <f t="shared" ref="AC196:AI196" si="68">H$20</f>
        <v>2019</v>
      </c>
      <c r="AD196" s="1044">
        <f t="shared" si="68"/>
        <v>2020</v>
      </c>
      <c r="AE196" s="1044">
        <f t="shared" si="68"/>
        <v>2021</v>
      </c>
      <c r="AF196" s="1044">
        <f t="shared" si="68"/>
        <v>2022</v>
      </c>
      <c r="AG196" s="1044">
        <f t="shared" si="68"/>
        <v>2023</v>
      </c>
      <c r="AH196" s="1044">
        <f t="shared" si="68"/>
        <v>2024</v>
      </c>
      <c r="AI196" s="1044">
        <f t="shared" si="68"/>
        <v>2025</v>
      </c>
      <c r="AJ196" s="2"/>
      <c r="AK196" s="2"/>
      <c r="AL196" s="2"/>
    </row>
    <row r="197" spans="1:38" ht="12.75" customHeight="1" thickBot="1" x14ac:dyDescent="0.3">
      <c r="A197" s="2"/>
      <c r="B197" s="178"/>
      <c r="C197" s="779"/>
      <c r="D197" s="416"/>
      <c r="E197" s="2613" t="str">
        <f>Translations!$B$596</f>
        <v>Importerade eller exporterade växthusgaser</v>
      </c>
      <c r="F197" s="1997"/>
      <c r="G197" s="364" t="str">
        <f>EUconst_tCO2epa</f>
        <v>t CO2e/år</v>
      </c>
      <c r="H197" s="582"/>
      <c r="I197" s="1105"/>
      <c r="J197" s="1115"/>
      <c r="K197" s="582"/>
      <c r="L197" s="582"/>
      <c r="M197" s="582"/>
      <c r="N197" s="1146"/>
      <c r="O197" s="15"/>
      <c r="P197" s="1362"/>
      <c r="Q197" s="165" t="str">
        <f>EUconst_CNTR_CO2Feedstock &amp; I13</f>
        <v>EmCO2Feedstock_</v>
      </c>
      <c r="R197" s="2"/>
      <c r="S197" s="773" t="str">
        <f>EUconst_CNTR_AttributedEmissions &amp; I13</f>
        <v>AttrEmissions_</v>
      </c>
      <c r="T197" s="111" t="str">
        <f t="shared" ref="T197:Z197" si="69">IF(T21,SUM(H197),"")</f>
        <v/>
      </c>
      <c r="U197" s="111" t="str">
        <f t="shared" si="69"/>
        <v/>
      </c>
      <c r="V197" s="111" t="str">
        <f t="shared" si="69"/>
        <v/>
      </c>
      <c r="W197" s="111" t="str">
        <f t="shared" si="69"/>
        <v/>
      </c>
      <c r="X197" s="111" t="str">
        <f t="shared" si="69"/>
        <v/>
      </c>
      <c r="Y197" s="111" t="str">
        <f t="shared" si="69"/>
        <v/>
      </c>
      <c r="Z197" s="112" t="str">
        <f t="shared" si="69"/>
        <v/>
      </c>
      <c r="AA197" s="2"/>
      <c r="AB197" s="672" t="s">
        <v>782</v>
      </c>
      <c r="AC197" s="108" t="b">
        <f>AC83</f>
        <v>0</v>
      </c>
      <c r="AD197" s="108" t="b">
        <f t="shared" ref="AD197:AI197" si="70">AD83</f>
        <v>0</v>
      </c>
      <c r="AE197" s="108" t="b">
        <f t="shared" si="70"/>
        <v>0</v>
      </c>
      <c r="AF197" s="108" t="b">
        <f t="shared" si="70"/>
        <v>0</v>
      </c>
      <c r="AG197" s="108" t="b">
        <f t="shared" si="70"/>
        <v>0</v>
      </c>
      <c r="AH197" s="108" t="b">
        <f t="shared" si="70"/>
        <v>0</v>
      </c>
      <c r="AI197" s="108" t="b">
        <f t="shared" si="70"/>
        <v>0</v>
      </c>
      <c r="AJ197" s="553" t="s">
        <v>2248</v>
      </c>
      <c r="AK197" s="663" t="str">
        <f>IF(AND(CNTR_ExistSubInstEntries,MSconst_RequireSubAttrEmissions,COUNTIFS(AC197:AI197,FALSE,H197:N197,"")&gt;0),EUconst_Error&amp;"BM"&amp;$Q13,"")</f>
        <v/>
      </c>
      <c r="AL197" s="2"/>
    </row>
    <row r="198" spans="1:38" ht="12.75" customHeight="1" x14ac:dyDescent="0.25">
      <c r="A198" s="2"/>
      <c r="B198" s="178"/>
      <c r="C198" s="779"/>
      <c r="D198" s="780"/>
      <c r="E198" s="780"/>
      <c r="F198" s="780"/>
      <c r="G198" s="780"/>
      <c r="H198" s="780"/>
      <c r="I198" s="780"/>
      <c r="J198" s="780"/>
      <c r="K198" s="780"/>
      <c r="L198" s="780"/>
      <c r="M198" s="623"/>
      <c r="N198" s="519"/>
      <c r="O198" s="15"/>
      <c r="P198" s="15"/>
      <c r="Q198" s="343"/>
      <c r="R198" s="2"/>
      <c r="S198" s="343"/>
      <c r="T198" s="2"/>
      <c r="U198" s="2"/>
      <c r="V198" s="2"/>
      <c r="W198" s="2"/>
      <c r="X198" s="2"/>
      <c r="Y198" s="2"/>
      <c r="Z198" s="2"/>
      <c r="AA198" s="2"/>
      <c r="AB198" s="2"/>
      <c r="AC198" s="2"/>
      <c r="AD198" s="2"/>
      <c r="AE198" s="2"/>
      <c r="AF198" s="2"/>
      <c r="AG198" s="2"/>
      <c r="AH198" s="2"/>
      <c r="AI198" s="2"/>
      <c r="AJ198" s="2"/>
      <c r="AK198" s="2"/>
      <c r="AL198" s="2"/>
    </row>
    <row r="199" spans="1:38" ht="12.75" customHeight="1" x14ac:dyDescent="0.25">
      <c r="A199" s="2"/>
      <c r="B199" s="178"/>
      <c r="C199" s="779"/>
      <c r="D199" s="373" t="s">
        <v>524</v>
      </c>
      <c r="E199" s="2614" t="str">
        <f>Translations!$B$597</f>
        <v>Import till och export från delanläggningen av mätbar värme</v>
      </c>
      <c r="F199" s="1960"/>
      <c r="G199" s="1960"/>
      <c r="H199" s="1960"/>
      <c r="I199" s="1960"/>
      <c r="J199" s="1960"/>
      <c r="K199" s="1960"/>
      <c r="L199" s="1960"/>
      <c r="M199" s="1960"/>
      <c r="N199" s="2597"/>
      <c r="O199" s="15"/>
      <c r="P199" s="15"/>
      <c r="Q199" s="343"/>
      <c r="R199" s="2"/>
      <c r="S199" s="343"/>
      <c r="T199" s="2"/>
      <c r="U199" s="2"/>
      <c r="V199" s="2"/>
      <c r="W199" s="2"/>
      <c r="X199" s="2"/>
      <c r="Y199" s="2"/>
      <c r="Z199" s="2"/>
      <c r="AA199" s="2"/>
      <c r="AB199" s="2"/>
      <c r="AC199" s="2"/>
      <c r="AD199" s="2"/>
      <c r="AE199" s="2"/>
      <c r="AF199" s="2"/>
      <c r="AG199" s="2"/>
      <c r="AH199" s="2"/>
      <c r="AI199" s="2"/>
      <c r="AJ199" s="2"/>
      <c r="AK199" s="2"/>
      <c r="AL199" s="2"/>
    </row>
    <row r="200" spans="1:38" ht="12.75" customHeight="1" x14ac:dyDescent="0.25">
      <c r="A200" s="2"/>
      <c r="B200" s="178"/>
      <c r="C200" s="779"/>
      <c r="D200" s="416"/>
      <c r="E200" s="2596" t="str">
        <f>Translations!$B$598</f>
        <v>De uppgifter som anges här påverkar de utsläpp som kan tillskrivas i enlighet med avsnitt 10.1.2 och 10.1.3 i bilaga VII till FAR.</v>
      </c>
      <c r="F200" s="1960"/>
      <c r="G200" s="1960"/>
      <c r="H200" s="1960"/>
      <c r="I200" s="1960"/>
      <c r="J200" s="1960"/>
      <c r="K200" s="1960"/>
      <c r="L200" s="1960"/>
      <c r="M200" s="1960"/>
      <c r="N200" s="2597"/>
      <c r="O200" s="15"/>
      <c r="P200" s="15"/>
      <c r="Q200" s="343"/>
      <c r="R200" s="2"/>
      <c r="S200" s="343"/>
      <c r="T200" s="343"/>
      <c r="U200" s="343"/>
      <c r="V200" s="343"/>
      <c r="W200" s="2"/>
      <c r="X200" s="2"/>
      <c r="Y200" s="2"/>
      <c r="Z200" s="2"/>
      <c r="AA200" s="2"/>
      <c r="AB200" s="2"/>
      <c r="AC200" s="2"/>
      <c r="AD200" s="2"/>
      <c r="AE200" s="2"/>
      <c r="AF200" s="2"/>
      <c r="AG200" s="2"/>
      <c r="AH200" s="2"/>
      <c r="AI200" s="2"/>
      <c r="AJ200" s="2"/>
      <c r="AK200" s="2"/>
      <c r="AL200" s="2"/>
    </row>
    <row r="201" spans="1:38" ht="38.9" customHeight="1" x14ac:dyDescent="0.25">
      <c r="A201" s="2"/>
      <c r="B201" s="178"/>
      <c r="C201" s="779"/>
      <c r="D201" s="780"/>
      <c r="E201" s="2610" t="str">
        <f>Translations!$B$599</f>
        <v>Detta innefattar den totala mängd värme som produceras i, importeras från eller exporteras till (del)anläggningar inom ETS eller anläggningar eller enheter utanför ETS. De särskilda emissionsfaktorerna för värmen bör vara förenliga med bestämmelserna i avsnitten 8 och 10 i bilaga VII till FAR, särskilt avsnitt 10.1.2 och 10.1.3.</v>
      </c>
      <c r="F201" s="1960"/>
      <c r="G201" s="1960"/>
      <c r="H201" s="1960"/>
      <c r="I201" s="1960"/>
      <c r="J201" s="1960"/>
      <c r="K201" s="1960"/>
      <c r="L201" s="1960"/>
      <c r="M201" s="1960"/>
      <c r="N201" s="2597"/>
      <c r="O201" s="15"/>
      <c r="P201" s="15"/>
      <c r="Q201" s="343"/>
      <c r="R201" s="2"/>
      <c r="S201" s="343"/>
      <c r="T201" s="2"/>
      <c r="U201" s="2"/>
      <c r="V201" s="2"/>
      <c r="W201" s="2"/>
      <c r="X201" s="2"/>
      <c r="Y201" s="2"/>
      <c r="Z201" s="2"/>
      <c r="AA201" s="2"/>
      <c r="AB201" s="2"/>
      <c r="AC201" s="2"/>
      <c r="AD201" s="2"/>
      <c r="AE201" s="2"/>
      <c r="AF201" s="2"/>
      <c r="AG201" s="2"/>
      <c r="AH201" s="2"/>
      <c r="AI201" s="2"/>
      <c r="AJ201" s="2"/>
      <c r="AK201" s="2"/>
      <c r="AL201" s="2"/>
    </row>
    <row r="202" spans="1:38" ht="25.5" customHeight="1" x14ac:dyDescent="0.25">
      <c r="A202" s="2"/>
      <c r="B202" s="178"/>
      <c r="C202" s="779"/>
      <c r="D202" s="780"/>
      <c r="E202" s="2610" t="str">
        <f>Translations!$B$600</f>
        <v>Utsläpp avseende mätbar värme som produceras på platsen från enheter som tjänar mer än en delanläggning bör också anges här under ”import” i stället för att utsläppen direkt tillskrivs genom bränslets emissionsfaktor i punkt g ovan. Detsamma gäller för all värme som ”importeras” från andra delanläggningar.</v>
      </c>
      <c r="F202" s="1960"/>
      <c r="G202" s="1960"/>
      <c r="H202" s="1960"/>
      <c r="I202" s="1960"/>
      <c r="J202" s="1960"/>
      <c r="K202" s="1960"/>
      <c r="L202" s="1960"/>
      <c r="M202" s="1960"/>
      <c r="N202" s="2597"/>
      <c r="O202" s="15"/>
      <c r="P202" s="15"/>
      <c r="Q202" s="343"/>
      <c r="R202" s="2"/>
      <c r="S202" s="343"/>
      <c r="T202" s="2"/>
      <c r="U202" s="2"/>
      <c r="V202" s="2"/>
      <c r="W202" s="2"/>
      <c r="X202" s="2"/>
      <c r="Y202" s="2"/>
      <c r="Z202" s="2"/>
      <c r="AA202" s="2"/>
      <c r="AB202" s="2"/>
      <c r="AC202" s="2"/>
      <c r="AD202" s="2"/>
      <c r="AE202" s="2"/>
      <c r="AF202" s="2"/>
      <c r="AG202" s="2"/>
      <c r="AH202" s="2"/>
      <c r="AI202" s="2"/>
      <c r="AJ202" s="2"/>
      <c r="AK202" s="2"/>
      <c r="AL202" s="2"/>
    </row>
    <row r="203" spans="1:38" ht="25.5" customHeight="1" x14ac:dyDescent="0.25">
      <c r="A203" s="2"/>
      <c r="B203" s="178"/>
      <c r="C203" s="779"/>
      <c r="D203" s="780"/>
      <c r="E203" s="2610" t="str">
        <f>Translations!$B$601</f>
        <v xml:space="preserve">Om värmen endast produceras för en delanläggning och de motsvarande utsläppen därför anges i punkt g ovan, bör mängderna inte anges här som import för att undvika dubbelräkning. </v>
      </c>
      <c r="F203" s="1960"/>
      <c r="G203" s="1960"/>
      <c r="H203" s="1960"/>
      <c r="I203" s="1960"/>
      <c r="J203" s="1960"/>
      <c r="K203" s="1960"/>
      <c r="L203" s="1960"/>
      <c r="M203" s="1960"/>
      <c r="N203" s="2597"/>
      <c r="O203" s="15"/>
      <c r="P203" s="15"/>
      <c r="Q203" s="343"/>
      <c r="R203" s="2"/>
      <c r="S203" s="343"/>
      <c r="T203" s="2"/>
      <c r="U203" s="2"/>
      <c r="V203" s="2"/>
      <c r="W203" s="2"/>
      <c r="X203" s="2"/>
      <c r="Y203" s="2"/>
      <c r="Z203" s="2"/>
      <c r="AA203" s="2"/>
      <c r="AB203" s="2"/>
      <c r="AC203" s="2"/>
      <c r="AD203" s="2"/>
      <c r="AE203" s="2"/>
      <c r="AF203" s="2"/>
      <c r="AG203" s="2"/>
      <c r="AH203" s="2"/>
      <c r="AI203" s="2"/>
      <c r="AJ203" s="2"/>
      <c r="AK203" s="2"/>
      <c r="AL203" s="2"/>
    </row>
    <row r="204" spans="1:38" ht="12.75" customHeight="1" thickBot="1" x14ac:dyDescent="0.3">
      <c r="A204" s="2"/>
      <c r="B204" s="178"/>
      <c r="C204" s="779"/>
      <c r="D204" s="780"/>
      <c r="E204" s="2622" t="str">
        <f>Translations!$B$602</f>
        <v>Kraftvärmeverktyget i avsnitt D.III i bladet "D_Emissions" måste användas för att tillskriva utsläpp från kraftvärme till produktion av mätbar värme.</v>
      </c>
      <c r="F204" s="2623"/>
      <c r="G204" s="2623"/>
      <c r="H204" s="2623"/>
      <c r="I204" s="2623"/>
      <c r="J204" s="2623"/>
      <c r="K204" s="2623"/>
      <c r="L204" s="2623"/>
      <c r="M204" s="2623"/>
      <c r="N204" s="2624"/>
      <c r="O204" s="15"/>
      <c r="P204" s="15"/>
      <c r="Q204" s="343"/>
      <c r="R204" s="2"/>
      <c r="S204" s="2"/>
      <c r="T204" s="2"/>
      <c r="U204" s="2"/>
      <c r="V204" s="2"/>
      <c r="W204" s="2"/>
      <c r="X204" s="2"/>
      <c r="Y204" s="2"/>
      <c r="Z204" s="2"/>
      <c r="AA204" s="2"/>
      <c r="AB204" s="2"/>
      <c r="AC204" s="2"/>
      <c r="AD204" s="2"/>
      <c r="AE204" s="2"/>
      <c r="AF204" s="2"/>
      <c r="AG204" s="2"/>
      <c r="AH204" s="2"/>
      <c r="AI204" s="2"/>
      <c r="AJ204" s="2"/>
      <c r="AK204" s="2"/>
      <c r="AL204" s="2"/>
    </row>
    <row r="205" spans="1:38" ht="12.75" customHeight="1" thickBot="1" x14ac:dyDescent="0.3">
      <c r="A205" s="2"/>
      <c r="B205" s="178"/>
      <c r="C205" s="779"/>
      <c r="D205" s="780"/>
      <c r="E205" s="2605" t="str">
        <f>Translations!$B$603</f>
        <v>Total importerad värme</v>
      </c>
      <c r="F205" s="2497"/>
      <c r="G205" s="361" t="str">
        <f>EUconst_Unit</f>
        <v>Enhet</v>
      </c>
      <c r="H205" s="362">
        <f t="shared" ref="H205:N205" si="71">H$3042</f>
        <v>2019</v>
      </c>
      <c r="I205" s="1103">
        <f t="shared" si="71"/>
        <v>2020</v>
      </c>
      <c r="J205" s="1104">
        <f t="shared" si="71"/>
        <v>2021</v>
      </c>
      <c r="K205" s="362">
        <f t="shared" si="71"/>
        <v>2022</v>
      </c>
      <c r="L205" s="362">
        <f t="shared" si="71"/>
        <v>2023</v>
      </c>
      <c r="M205" s="362">
        <f t="shared" si="71"/>
        <v>2024</v>
      </c>
      <c r="N205" s="1141">
        <f t="shared" si="71"/>
        <v>2025</v>
      </c>
      <c r="O205" s="15"/>
      <c r="P205" s="15"/>
      <c r="Q205" s="343"/>
      <c r="R205" s="2"/>
      <c r="S205" s="772"/>
      <c r="T205" s="609">
        <f t="shared" ref="T205:Z205" si="72">H205</f>
        <v>2019</v>
      </c>
      <c r="U205" s="609">
        <f t="shared" si="72"/>
        <v>2020</v>
      </c>
      <c r="V205" s="609">
        <f t="shared" si="72"/>
        <v>2021</v>
      </c>
      <c r="W205" s="609">
        <f t="shared" si="72"/>
        <v>2022</v>
      </c>
      <c r="X205" s="609">
        <f t="shared" si="72"/>
        <v>2023</v>
      </c>
      <c r="Y205" s="609">
        <f t="shared" si="72"/>
        <v>2024</v>
      </c>
      <c r="Z205" s="610">
        <f t="shared" si="72"/>
        <v>2025</v>
      </c>
      <c r="AA205" s="2"/>
      <c r="AB205" s="2"/>
      <c r="AC205" s="1044">
        <f t="shared" ref="AC205:AI205" si="73">H$20</f>
        <v>2019</v>
      </c>
      <c r="AD205" s="1044">
        <f t="shared" si="73"/>
        <v>2020</v>
      </c>
      <c r="AE205" s="1044">
        <f t="shared" si="73"/>
        <v>2021</v>
      </c>
      <c r="AF205" s="1044">
        <f t="shared" si="73"/>
        <v>2022</v>
      </c>
      <c r="AG205" s="1044">
        <f t="shared" si="73"/>
        <v>2023</v>
      </c>
      <c r="AH205" s="1044">
        <f t="shared" si="73"/>
        <v>2024</v>
      </c>
      <c r="AI205" s="1044">
        <f t="shared" si="73"/>
        <v>2025</v>
      </c>
      <c r="AJ205" s="2"/>
      <c r="AK205" s="2"/>
      <c r="AL205" s="2"/>
    </row>
    <row r="206" spans="1:38" ht="12.75" customHeight="1" x14ac:dyDescent="0.25">
      <c r="A206" s="2"/>
      <c r="B206" s="178"/>
      <c r="C206" s="779"/>
      <c r="D206" s="416" t="s">
        <v>8</v>
      </c>
      <c r="E206" s="2613" t="str">
        <f>Translations!$B$604</f>
        <v>Nettomängd importerad värme</v>
      </c>
      <c r="F206" s="1997"/>
      <c r="G206" s="364" t="str">
        <f>EUconst_TJpa</f>
        <v>TJ / år</v>
      </c>
      <c r="H206" s="582"/>
      <c r="I206" s="1105"/>
      <c r="J206" s="1115"/>
      <c r="K206" s="582"/>
      <c r="L206" s="582"/>
      <c r="M206" s="582"/>
      <c r="N206" s="1146"/>
      <c r="O206" s="15"/>
      <c r="P206" s="1362"/>
      <c r="Q206" s="165" t="str">
        <f>EUconst_CNTR_HeatImport &amp; I13</f>
        <v>HeatIm_</v>
      </c>
      <c r="R206" s="2"/>
      <c r="S206" s="1751" t="str">
        <f>EUconst_ERR_AttrEmBMapplied &amp; I13</f>
        <v>ERR_AttrEmBM_</v>
      </c>
      <c r="T206" s="108">
        <f t="shared" ref="T206:Z206" si="74">IF(AND(H206&lt;&gt;0,H207="",EUconst_StatusOfDataCollection=FALSE),1,0)</f>
        <v>0</v>
      </c>
      <c r="U206" s="108">
        <f t="shared" si="74"/>
        <v>0</v>
      </c>
      <c r="V206" s="108">
        <f t="shared" si="74"/>
        <v>0</v>
      </c>
      <c r="W206" s="108">
        <f t="shared" si="74"/>
        <v>0</v>
      </c>
      <c r="X206" s="108">
        <f t="shared" si="74"/>
        <v>0</v>
      </c>
      <c r="Y206" s="108">
        <f t="shared" si="74"/>
        <v>0</v>
      </c>
      <c r="Z206" s="109">
        <f t="shared" si="74"/>
        <v>0</v>
      </c>
      <c r="AA206" s="40"/>
      <c r="AB206" s="672" t="s">
        <v>782</v>
      </c>
      <c r="AC206" s="108" t="b">
        <f t="shared" ref="AC206:AI206" si="75">AC83</f>
        <v>0</v>
      </c>
      <c r="AD206" s="108" t="b">
        <f t="shared" si="75"/>
        <v>0</v>
      </c>
      <c r="AE206" s="108" t="b">
        <f t="shared" si="75"/>
        <v>0</v>
      </c>
      <c r="AF206" s="108" t="b">
        <f t="shared" si="75"/>
        <v>0</v>
      </c>
      <c r="AG206" s="108" t="b">
        <f t="shared" si="75"/>
        <v>0</v>
      </c>
      <c r="AH206" s="108" t="b">
        <f t="shared" si="75"/>
        <v>0</v>
      </c>
      <c r="AI206" s="108" t="b">
        <f t="shared" si="75"/>
        <v>0</v>
      </c>
      <c r="AJ206" s="553" t="s">
        <v>2248</v>
      </c>
      <c r="AK206" s="663" t="str">
        <f>IF(AND(CNTR_ExistSubInstEntries,MSconst_RequireSubAttrEmissions,COUNTIFS(AC206:AI206,FALSE,H206:N206,"")&gt;0),EUconst_Error&amp;"BM"&amp;$Q13,"")</f>
        <v/>
      </c>
      <c r="AL206" s="2"/>
    </row>
    <row r="207" spans="1:38" ht="12.75" customHeight="1" thickBot="1" x14ac:dyDescent="0.3">
      <c r="A207" s="2"/>
      <c r="B207" s="178"/>
      <c r="C207" s="779"/>
      <c r="D207" s="416" t="s">
        <v>9</v>
      </c>
      <c r="E207" s="2613" t="str">
        <f>Translations!$B$605</f>
        <v>Särskild emissionsfaktor (importerad värme)</v>
      </c>
      <c r="F207" s="1997"/>
      <c r="G207" s="364" t="str">
        <f>EUconst_tCO2pTJ</f>
        <v>t CO2 / TJ</v>
      </c>
      <c r="H207" s="582"/>
      <c r="I207" s="1105"/>
      <c r="J207" s="1115"/>
      <c r="K207" s="582"/>
      <c r="L207" s="582"/>
      <c r="M207" s="582"/>
      <c r="N207" s="1146"/>
      <c r="O207" s="15"/>
      <c r="P207" s="1362"/>
      <c r="Q207" s="165" t="str">
        <f>EUconst_CNTR_HeatImportEF &amp; I13</f>
        <v>HeatImEF_</v>
      </c>
      <c r="R207" s="2"/>
      <c r="S207" s="773" t="str">
        <f>EUconst_CNTR_AttributedEmissions &amp; I13</f>
        <v>AttrEmissions_</v>
      </c>
      <c r="T207" s="111" t="str">
        <f t="shared" ref="T207:Z207" si="76">IF(T21,SUM(H206)*IF(ISNUMBER(H207),H207,EUconst_HeatBMvalue),"")</f>
        <v/>
      </c>
      <c r="U207" s="111" t="str">
        <f t="shared" si="76"/>
        <v/>
      </c>
      <c r="V207" s="111" t="str">
        <f t="shared" si="76"/>
        <v/>
      </c>
      <c r="W207" s="111" t="str">
        <f t="shared" si="76"/>
        <v/>
      </c>
      <c r="X207" s="111" t="str">
        <f t="shared" si="76"/>
        <v/>
      </c>
      <c r="Y207" s="111" t="str">
        <f t="shared" si="76"/>
        <v/>
      </c>
      <c r="Z207" s="112" t="str">
        <f t="shared" si="76"/>
        <v/>
      </c>
      <c r="AA207" s="2"/>
      <c r="AB207" s="2"/>
      <c r="AC207" s="108" t="b">
        <f>AC206</f>
        <v>0</v>
      </c>
      <c r="AD207" s="108" t="b">
        <f t="shared" ref="AD207:AI207" si="77">AD206</f>
        <v>0</v>
      </c>
      <c r="AE207" s="108" t="b">
        <f t="shared" si="77"/>
        <v>0</v>
      </c>
      <c r="AF207" s="108" t="b">
        <f t="shared" si="77"/>
        <v>0</v>
      </c>
      <c r="AG207" s="108" t="b">
        <f t="shared" si="77"/>
        <v>0</v>
      </c>
      <c r="AH207" s="108" t="b">
        <f t="shared" si="77"/>
        <v>0</v>
      </c>
      <c r="AI207" s="108" t="b">
        <f t="shared" si="77"/>
        <v>0</v>
      </c>
      <c r="AJ207" s="2"/>
      <c r="AK207" s="2"/>
      <c r="AL207" s="2"/>
    </row>
    <row r="208" spans="1:38" ht="5.15" customHeight="1" x14ac:dyDescent="0.25">
      <c r="A208" s="2"/>
      <c r="B208" s="178"/>
      <c r="C208" s="779"/>
      <c r="D208" s="780"/>
      <c r="E208" s="780"/>
      <c r="F208" s="780"/>
      <c r="G208" s="780"/>
      <c r="H208" s="780"/>
      <c r="I208" s="780"/>
      <c r="J208" s="780"/>
      <c r="K208" s="780"/>
      <c r="L208" s="780"/>
      <c r="M208" s="780"/>
      <c r="N208" s="519"/>
      <c r="O208" s="15"/>
      <c r="P208" s="15"/>
      <c r="Q208" s="343"/>
      <c r="R208" s="2"/>
      <c r="S208" s="343"/>
      <c r="T208" s="343"/>
      <c r="U208" s="343"/>
      <c r="V208" s="343"/>
      <c r="W208" s="2"/>
      <c r="X208" s="2"/>
      <c r="Y208" s="2"/>
      <c r="Z208" s="2"/>
      <c r="AA208" s="2"/>
      <c r="AB208" s="2"/>
      <c r="AC208" s="2"/>
      <c r="AD208" s="2"/>
      <c r="AE208" s="2"/>
      <c r="AF208" s="2"/>
      <c r="AG208" s="2"/>
      <c r="AH208" s="2"/>
      <c r="AI208" s="2"/>
      <c r="AJ208" s="2"/>
      <c r="AK208" s="2"/>
      <c r="AL208" s="2"/>
    </row>
    <row r="209" spans="1:38" ht="12.75" customHeight="1" thickBot="1" x14ac:dyDescent="0.3">
      <c r="A209" s="2"/>
      <c r="B209" s="178"/>
      <c r="C209" s="779"/>
      <c r="D209" s="780"/>
      <c r="E209" s="2605" t="str">
        <f>Translations!$B$606</f>
        <v>Särskild värmeimport</v>
      </c>
      <c r="F209" s="2497"/>
      <c r="G209" s="361" t="str">
        <f>EUconst_Unit</f>
        <v>Enhet</v>
      </c>
      <c r="H209" s="362">
        <f t="shared" ref="H209:N209" si="78">H$3042</f>
        <v>2019</v>
      </c>
      <c r="I209" s="1103">
        <f t="shared" si="78"/>
        <v>2020</v>
      </c>
      <c r="J209" s="1104">
        <f t="shared" si="78"/>
        <v>2021</v>
      </c>
      <c r="K209" s="362">
        <f t="shared" si="78"/>
        <v>2022</v>
      </c>
      <c r="L209" s="362">
        <f t="shared" si="78"/>
        <v>2023</v>
      </c>
      <c r="M209" s="362">
        <f t="shared" si="78"/>
        <v>2024</v>
      </c>
      <c r="N209" s="1141">
        <f t="shared" si="78"/>
        <v>2025</v>
      </c>
      <c r="O209" s="15"/>
      <c r="P209" s="15"/>
      <c r="Q209" s="343"/>
      <c r="R209" s="2"/>
      <c r="S209" s="343"/>
      <c r="T209" s="343"/>
      <c r="U209" s="343"/>
      <c r="V209" s="343"/>
      <c r="W209" s="2"/>
      <c r="X209" s="2"/>
      <c r="Y209" s="2"/>
      <c r="Z209" s="2"/>
      <c r="AA209" s="2"/>
      <c r="AB209" s="2"/>
      <c r="AC209" s="1044">
        <f t="shared" ref="AC209:AI209" si="79">H$20</f>
        <v>2019</v>
      </c>
      <c r="AD209" s="1044">
        <f t="shared" si="79"/>
        <v>2020</v>
      </c>
      <c r="AE209" s="1044">
        <f t="shared" si="79"/>
        <v>2021</v>
      </c>
      <c r="AF209" s="1044">
        <f t="shared" si="79"/>
        <v>2022</v>
      </c>
      <c r="AG209" s="1044">
        <f t="shared" si="79"/>
        <v>2023</v>
      </c>
      <c r="AH209" s="1044">
        <f t="shared" si="79"/>
        <v>2024</v>
      </c>
      <c r="AI209" s="1044">
        <f t="shared" si="79"/>
        <v>2025</v>
      </c>
      <c r="AJ209" s="2"/>
      <c r="AK209" s="2"/>
      <c r="AL209" s="2"/>
    </row>
    <row r="210" spans="1:38" ht="12.75" customHeight="1" x14ac:dyDescent="0.25">
      <c r="A210" s="2"/>
      <c r="B210" s="178"/>
      <c r="C210" s="779"/>
      <c r="D210" s="416" t="s">
        <v>10</v>
      </c>
      <c r="E210" s="2613" t="str">
        <f>Translations!$B$607</f>
        <v>Nettomängd importerad värme från massadelanläggningar</v>
      </c>
      <c r="F210" s="1997"/>
      <c r="G210" s="364" t="str">
        <f>EUconst_TJpa</f>
        <v>TJ / år</v>
      </c>
      <c r="H210" s="1310"/>
      <c r="I210" s="1311"/>
      <c r="J210" s="1312"/>
      <c r="K210" s="1310"/>
      <c r="L210" s="1310"/>
      <c r="M210" s="1310"/>
      <c r="N210" s="1313"/>
      <c r="O210" s="15"/>
      <c r="P210" s="1362"/>
      <c r="Q210" s="165" t="str">
        <f>EUconst_CNTR_HeatImportPulp &amp; I13</f>
        <v>HeatImPulp_</v>
      </c>
      <c r="R210" s="2"/>
      <c r="S210" s="343"/>
      <c r="T210" s="343"/>
      <c r="U210" s="343"/>
      <c r="V210" s="343"/>
      <c r="W210" s="2"/>
      <c r="X210" s="2"/>
      <c r="Y210" s="2"/>
      <c r="Z210" s="2"/>
      <c r="AA210" s="2"/>
      <c r="AB210" s="672" t="s">
        <v>782</v>
      </c>
      <c r="AC210" s="108" t="b">
        <f>AC83</f>
        <v>0</v>
      </c>
      <c r="AD210" s="108" t="b">
        <f t="shared" ref="AD210:AI210" si="80">AD83</f>
        <v>0</v>
      </c>
      <c r="AE210" s="108" t="b">
        <f t="shared" si="80"/>
        <v>0</v>
      </c>
      <c r="AF210" s="108" t="b">
        <f t="shared" si="80"/>
        <v>0</v>
      </c>
      <c r="AG210" s="108" t="b">
        <f t="shared" si="80"/>
        <v>0</v>
      </c>
      <c r="AH210" s="108" t="b">
        <f t="shared" si="80"/>
        <v>0</v>
      </c>
      <c r="AI210" s="108" t="b">
        <f t="shared" si="80"/>
        <v>0</v>
      </c>
      <c r="AJ210" s="553" t="s">
        <v>2248</v>
      </c>
      <c r="AK210" s="663" t="str">
        <f>IF(AND(CNTR_ExistSubInstEntries,MSconst_RequireSubAttrEmissions,COUNTIFS(AC210:AI210,FALSE,H210:N210,"")&gt;0),EUconst_Error&amp;"BM"&amp;$Q13,"")</f>
        <v/>
      </c>
      <c r="AL210" s="2"/>
    </row>
    <row r="211" spans="1:38" ht="25.5" customHeight="1" x14ac:dyDescent="0.25">
      <c r="A211" s="2"/>
      <c r="B211" s="178"/>
      <c r="C211" s="779"/>
      <c r="D211" s="416" t="s">
        <v>23</v>
      </c>
      <c r="E211" s="2613" t="str">
        <f>Translations!$B$608</f>
        <v>Nettomängd importerad värme från delanläggningar för salpetersyra</v>
      </c>
      <c r="F211" s="1997"/>
      <c r="G211" s="364" t="str">
        <f>EUconst_TJpa</f>
        <v>TJ / år</v>
      </c>
      <c r="H211" s="582"/>
      <c r="I211" s="1105"/>
      <c r="J211" s="1115"/>
      <c r="K211" s="582"/>
      <c r="L211" s="582"/>
      <c r="M211" s="582"/>
      <c r="N211" s="1146"/>
      <c r="O211" s="15"/>
      <c r="P211" s="1362"/>
      <c r="Q211" s="165" t="str">
        <f>EUconst_CNTR_HeatImportNitric &amp; I13</f>
        <v>HeatImNitric_</v>
      </c>
      <c r="R211" s="2"/>
      <c r="S211" s="343"/>
      <c r="T211" s="343"/>
      <c r="U211" s="343"/>
      <c r="V211" s="343"/>
      <c r="W211" s="2"/>
      <c r="X211" s="2"/>
      <c r="Y211" s="2"/>
      <c r="Z211" s="2"/>
      <c r="AA211" s="2"/>
      <c r="AB211" s="2"/>
      <c r="AC211" s="108" t="b">
        <f>AC210</f>
        <v>0</v>
      </c>
      <c r="AD211" s="108" t="b">
        <f t="shared" ref="AD211:AI211" si="81">AD210</f>
        <v>0</v>
      </c>
      <c r="AE211" s="108" t="b">
        <f t="shared" si="81"/>
        <v>0</v>
      </c>
      <c r="AF211" s="108" t="b">
        <f t="shared" si="81"/>
        <v>0</v>
      </c>
      <c r="AG211" s="108" t="b">
        <f t="shared" si="81"/>
        <v>0</v>
      </c>
      <c r="AH211" s="108" t="b">
        <f t="shared" si="81"/>
        <v>0</v>
      </c>
      <c r="AI211" s="108" t="b">
        <f t="shared" si="81"/>
        <v>0</v>
      </c>
      <c r="AJ211" s="553" t="s">
        <v>2248</v>
      </c>
      <c r="AK211" s="663" t="str">
        <f>IF(AND(CNTR_ExistSubInstEntries,MSconst_RequireSubAttrEmissions,COUNTIFS(AC211:AI211,FALSE,H211:N211,"")&gt;0),EUconst_Error&amp;"BM"&amp;$Q13,"")</f>
        <v/>
      </c>
      <c r="AL211" s="2"/>
    </row>
    <row r="212" spans="1:38" ht="5.15" customHeight="1" thickBot="1" x14ac:dyDescent="0.3">
      <c r="A212" s="2"/>
      <c r="B212" s="178"/>
      <c r="C212" s="779"/>
      <c r="D212" s="780"/>
      <c r="E212" s="780"/>
      <c r="F212" s="780"/>
      <c r="G212" s="780"/>
      <c r="H212" s="780"/>
      <c r="I212" s="780"/>
      <c r="J212" s="780"/>
      <c r="K212" s="780"/>
      <c r="L212" s="780"/>
      <c r="M212" s="780"/>
      <c r="N212" s="519"/>
      <c r="O212" s="15"/>
      <c r="P212" s="15"/>
      <c r="Q212" s="343"/>
      <c r="R212" s="2"/>
      <c r="S212" s="343"/>
      <c r="T212" s="343"/>
      <c r="U212" s="343"/>
      <c r="V212" s="343"/>
      <c r="W212" s="2"/>
      <c r="X212" s="2"/>
      <c r="Y212" s="2"/>
      <c r="Z212" s="2"/>
      <c r="AA212" s="2"/>
      <c r="AB212" s="2"/>
      <c r="AC212" s="2"/>
      <c r="AD212" s="2"/>
      <c r="AE212" s="2"/>
      <c r="AF212" s="2"/>
      <c r="AG212" s="2"/>
      <c r="AH212" s="2"/>
      <c r="AI212" s="2"/>
      <c r="AJ212" s="2"/>
      <c r="AK212" s="2"/>
      <c r="AL212" s="2"/>
    </row>
    <row r="213" spans="1:38" ht="12.75" customHeight="1" thickBot="1" x14ac:dyDescent="0.3">
      <c r="A213" s="2"/>
      <c r="B213" s="178"/>
      <c r="C213" s="779"/>
      <c r="D213" s="780"/>
      <c r="E213" s="2605" t="str">
        <f>Translations!$B$609</f>
        <v>Total exporterad värme</v>
      </c>
      <c r="F213" s="2497"/>
      <c r="G213" s="361" t="str">
        <f>EUconst_Unit</f>
        <v>Enhet</v>
      </c>
      <c r="H213" s="362">
        <f t="shared" ref="H213:N213" si="82">H$3042</f>
        <v>2019</v>
      </c>
      <c r="I213" s="1103">
        <f t="shared" si="82"/>
        <v>2020</v>
      </c>
      <c r="J213" s="1104">
        <f t="shared" si="82"/>
        <v>2021</v>
      </c>
      <c r="K213" s="362">
        <f t="shared" si="82"/>
        <v>2022</v>
      </c>
      <c r="L213" s="362">
        <f t="shared" si="82"/>
        <v>2023</v>
      </c>
      <c r="M213" s="362">
        <f t="shared" si="82"/>
        <v>2024</v>
      </c>
      <c r="N213" s="1141">
        <f t="shared" si="82"/>
        <v>2025</v>
      </c>
      <c r="O213" s="15"/>
      <c r="P213" s="15"/>
      <c r="Q213" s="343"/>
      <c r="R213" s="2"/>
      <c r="S213" s="772"/>
      <c r="T213" s="609">
        <f t="shared" ref="T213:Z213" si="83">H213</f>
        <v>2019</v>
      </c>
      <c r="U213" s="609">
        <f t="shared" si="83"/>
        <v>2020</v>
      </c>
      <c r="V213" s="609">
        <f t="shared" si="83"/>
        <v>2021</v>
      </c>
      <c r="W213" s="609">
        <f t="shared" si="83"/>
        <v>2022</v>
      </c>
      <c r="X213" s="609">
        <f t="shared" si="83"/>
        <v>2023</v>
      </c>
      <c r="Y213" s="609">
        <f t="shared" si="83"/>
        <v>2024</v>
      </c>
      <c r="Z213" s="610">
        <f t="shared" si="83"/>
        <v>2025</v>
      </c>
      <c r="AA213" s="2"/>
      <c r="AB213" s="2"/>
      <c r="AC213" s="1044">
        <f t="shared" ref="AC213:AI213" si="84">H$20</f>
        <v>2019</v>
      </c>
      <c r="AD213" s="1044">
        <f t="shared" si="84"/>
        <v>2020</v>
      </c>
      <c r="AE213" s="1044">
        <f t="shared" si="84"/>
        <v>2021</v>
      </c>
      <c r="AF213" s="1044">
        <f t="shared" si="84"/>
        <v>2022</v>
      </c>
      <c r="AG213" s="1044">
        <f t="shared" si="84"/>
        <v>2023</v>
      </c>
      <c r="AH213" s="1044">
        <f t="shared" si="84"/>
        <v>2024</v>
      </c>
      <c r="AI213" s="1044">
        <f t="shared" si="84"/>
        <v>2025</v>
      </c>
      <c r="AJ213" s="2"/>
      <c r="AK213" s="2"/>
      <c r="AL213" s="2"/>
    </row>
    <row r="214" spans="1:38" ht="12.75" customHeight="1" x14ac:dyDescent="0.25">
      <c r="A214" s="2"/>
      <c r="B214" s="178"/>
      <c r="C214" s="779"/>
      <c r="D214" s="416" t="s">
        <v>859</v>
      </c>
      <c r="E214" s="2613" t="str">
        <f>Translations!$B$610</f>
        <v>Nettomängd exporterad värme</v>
      </c>
      <c r="F214" s="1997"/>
      <c r="G214" s="364" t="str">
        <f>EUconst_TJpa</f>
        <v>TJ / år</v>
      </c>
      <c r="H214" s="582"/>
      <c r="I214" s="1105"/>
      <c r="J214" s="1115"/>
      <c r="K214" s="582"/>
      <c r="L214" s="582"/>
      <c r="M214" s="582"/>
      <c r="N214" s="1146"/>
      <c r="O214" s="15"/>
      <c r="P214" s="1362"/>
      <c r="Q214" s="165" t="str">
        <f>EUconst_CNTR_HeatExport &amp; I13</f>
        <v>HeatEx_</v>
      </c>
      <c r="R214" s="2"/>
      <c r="S214" s="1751" t="str">
        <f>EUconst_ERR_AttrEmBMapplied &amp; I13</f>
        <v>ERR_AttrEmBM_</v>
      </c>
      <c r="T214" s="108">
        <f t="shared" ref="T214:Z214" si="85">IF(AND(H214&lt;&gt;0,H215="",EUconst_StatusOfDataCollection=FALSE),1,0)</f>
        <v>0</v>
      </c>
      <c r="U214" s="108">
        <f t="shared" si="85"/>
        <v>0</v>
      </c>
      <c r="V214" s="108">
        <f t="shared" si="85"/>
        <v>0</v>
      </c>
      <c r="W214" s="108">
        <f t="shared" si="85"/>
        <v>0</v>
      </c>
      <c r="X214" s="108">
        <f t="shared" si="85"/>
        <v>0</v>
      </c>
      <c r="Y214" s="108">
        <f t="shared" si="85"/>
        <v>0</v>
      </c>
      <c r="Z214" s="109">
        <f t="shared" si="85"/>
        <v>0</v>
      </c>
      <c r="AA214" s="2"/>
      <c r="AB214" s="672" t="s">
        <v>782</v>
      </c>
      <c r="AC214" s="108" t="b">
        <f>AC210</f>
        <v>0</v>
      </c>
      <c r="AD214" s="108" t="b">
        <f t="shared" ref="AD214:AI214" si="86">AD210</f>
        <v>0</v>
      </c>
      <c r="AE214" s="108" t="b">
        <f t="shared" si="86"/>
        <v>0</v>
      </c>
      <c r="AF214" s="108" t="b">
        <f t="shared" si="86"/>
        <v>0</v>
      </c>
      <c r="AG214" s="108" t="b">
        <f t="shared" si="86"/>
        <v>0</v>
      </c>
      <c r="AH214" s="108" t="b">
        <f t="shared" si="86"/>
        <v>0</v>
      </c>
      <c r="AI214" s="108" t="b">
        <f t="shared" si="86"/>
        <v>0</v>
      </c>
      <c r="AJ214" s="553" t="s">
        <v>2248</v>
      </c>
      <c r="AK214" s="663" t="str">
        <f>IF(AND(CNTR_ExistSubInstEntries,MSconst_RequireSubAttrEmissions,COUNTIFS(AC214:AI214,FALSE,H214:N214,"")&gt;0),EUconst_Error&amp;"BM"&amp;$Q13,"")</f>
        <v/>
      </c>
      <c r="AL214" s="2"/>
    </row>
    <row r="215" spans="1:38" ht="12.75" customHeight="1" thickBot="1" x14ac:dyDescent="0.3">
      <c r="A215" s="2"/>
      <c r="B215" s="178"/>
      <c r="C215" s="779"/>
      <c r="D215" s="416" t="s">
        <v>860</v>
      </c>
      <c r="E215" s="2613" t="str">
        <f>Translations!$B$611</f>
        <v>Särskild emissionsfaktor (exporterad värme)</v>
      </c>
      <c r="F215" s="1997"/>
      <c r="G215" s="364" t="str">
        <f>EUconst_tCO2pTJ</f>
        <v>t CO2 / TJ</v>
      </c>
      <c r="H215" s="582"/>
      <c r="I215" s="1105"/>
      <c r="J215" s="1115"/>
      <c r="K215" s="582"/>
      <c r="L215" s="582"/>
      <c r="M215" s="582"/>
      <c r="N215" s="1146"/>
      <c r="O215" s="15"/>
      <c r="P215" s="1362"/>
      <c r="Q215" s="165" t="str">
        <f>EUconst_CNTR_HeatExportEF &amp; I13</f>
        <v>HeatExEF_</v>
      </c>
      <c r="R215" s="2"/>
      <c r="S215" s="773" t="str">
        <f>EUconst_CNTR_AttributedEmissions &amp; I13</f>
        <v>AttrEmissions_</v>
      </c>
      <c r="T215" s="111" t="str">
        <f t="shared" ref="T215:Z215" si="87">IF(T21,-SUM(H214)*IF(INDEX(EUconst_BMlistNumberOfBM,MATCH($I13,EUconst_BMlistNames,0))=39,0,IF(ISNUMBER(H215),H215,EUconst_HeatBMvalue)),"")</f>
        <v/>
      </c>
      <c r="U215" s="111" t="str">
        <f t="shared" si="87"/>
        <v/>
      </c>
      <c r="V215" s="111" t="str">
        <f t="shared" si="87"/>
        <v/>
      </c>
      <c r="W215" s="111" t="str">
        <f t="shared" si="87"/>
        <v/>
      </c>
      <c r="X215" s="111" t="str">
        <f t="shared" si="87"/>
        <v/>
      </c>
      <c r="Y215" s="111" t="str">
        <f t="shared" si="87"/>
        <v/>
      </c>
      <c r="Z215" s="112" t="str">
        <f t="shared" si="87"/>
        <v/>
      </c>
      <c r="AA215" s="2"/>
      <c r="AB215" s="2"/>
      <c r="AC215" s="108" t="b">
        <f>AC214</f>
        <v>0</v>
      </c>
      <c r="AD215" s="108" t="b">
        <f t="shared" ref="AD215:AI215" si="88">AD214</f>
        <v>0</v>
      </c>
      <c r="AE215" s="108" t="b">
        <f t="shared" si="88"/>
        <v>0</v>
      </c>
      <c r="AF215" s="108" t="b">
        <f t="shared" si="88"/>
        <v>0</v>
      </c>
      <c r="AG215" s="108" t="b">
        <f t="shared" si="88"/>
        <v>0</v>
      </c>
      <c r="AH215" s="108" t="b">
        <f t="shared" si="88"/>
        <v>0</v>
      </c>
      <c r="AI215" s="108" t="b">
        <f t="shared" si="88"/>
        <v>0</v>
      </c>
      <c r="AJ215" s="2"/>
      <c r="AK215" s="2"/>
      <c r="AL215" s="2"/>
    </row>
    <row r="216" spans="1:38" ht="12.75" customHeight="1" x14ac:dyDescent="0.25">
      <c r="A216" s="2"/>
      <c r="B216" s="178"/>
      <c r="C216" s="779"/>
      <c r="D216" s="780"/>
      <c r="E216" s="780"/>
      <c r="F216" s="780"/>
      <c r="G216" s="780"/>
      <c r="H216" s="780"/>
      <c r="I216" s="780"/>
      <c r="J216" s="780"/>
      <c r="K216" s="780"/>
      <c r="L216" s="780"/>
      <c r="M216" s="623"/>
      <c r="N216" s="519"/>
      <c r="O216" s="15"/>
      <c r="P216" s="15"/>
      <c r="Q216" s="343"/>
      <c r="R216" s="2"/>
      <c r="S216" s="343"/>
      <c r="T216" s="343"/>
      <c r="U216" s="343"/>
      <c r="V216" s="343"/>
      <c r="W216" s="2"/>
      <c r="X216" s="2"/>
      <c r="Y216" s="2"/>
      <c r="Z216" s="2"/>
      <c r="AA216" s="2"/>
      <c r="AB216" s="2"/>
      <c r="AC216" s="2"/>
      <c r="AD216" s="2"/>
      <c r="AE216" s="2"/>
      <c r="AF216" s="2"/>
      <c r="AG216" s="2"/>
      <c r="AH216" s="2"/>
      <c r="AI216" s="2"/>
      <c r="AJ216" s="2"/>
      <c r="AK216" s="2"/>
      <c r="AL216" s="2"/>
    </row>
    <row r="217" spans="1:38" ht="12.75" customHeight="1" x14ac:dyDescent="0.25">
      <c r="A217" s="2"/>
      <c r="B217" s="178"/>
      <c r="C217" s="779"/>
      <c r="D217" s="373" t="s">
        <v>526</v>
      </c>
      <c r="E217" s="2614" t="str">
        <f>Translations!$B$612</f>
        <v>Delanläggningens restgasbalans</v>
      </c>
      <c r="F217" s="1960"/>
      <c r="G217" s="1960"/>
      <c r="H217" s="1960"/>
      <c r="I217" s="1960"/>
      <c r="J217" s="1960"/>
      <c r="K217" s="1960"/>
      <c r="L217" s="1960"/>
      <c r="M217" s="1960"/>
      <c r="N217" s="2597"/>
      <c r="O217" s="15"/>
      <c r="P217" s="15"/>
      <c r="Q217" s="343"/>
      <c r="R217" s="2"/>
      <c r="S217" s="343"/>
      <c r="T217" s="343"/>
      <c r="U217" s="343"/>
      <c r="V217" s="343"/>
      <c r="W217" s="2"/>
      <c r="X217" s="2"/>
      <c r="Y217" s="2"/>
      <c r="Z217" s="2"/>
      <c r="AA217" s="2"/>
      <c r="AB217" s="2"/>
      <c r="AC217" s="2"/>
      <c r="AD217" s="2"/>
      <c r="AE217" s="2"/>
      <c r="AF217" s="2"/>
      <c r="AG217" s="2"/>
      <c r="AH217" s="2"/>
      <c r="AI217" s="2"/>
      <c r="AJ217" s="2"/>
      <c r="AK217" s="2"/>
      <c r="AL217" s="2"/>
    </row>
    <row r="218" spans="1:38" ht="5.15" customHeight="1" x14ac:dyDescent="0.25">
      <c r="A218" s="2"/>
      <c r="B218" s="178"/>
      <c r="C218" s="779"/>
      <c r="D218" s="780"/>
      <c r="E218" s="1804"/>
      <c r="F218" s="1804"/>
      <c r="G218" s="1804"/>
      <c r="H218" s="1804"/>
      <c r="I218" s="1804"/>
      <c r="J218" s="1804"/>
      <c r="K218" s="1804"/>
      <c r="L218" s="1804"/>
      <c r="M218" s="1804"/>
      <c r="N218" s="1810"/>
      <c r="O218" s="15"/>
      <c r="P218" s="15"/>
      <c r="Q218" s="343"/>
      <c r="R218" s="2"/>
      <c r="S218" s="343"/>
      <c r="T218" s="343"/>
      <c r="U218" s="343"/>
      <c r="V218" s="343"/>
      <c r="W218" s="2"/>
      <c r="X218" s="2"/>
      <c r="Y218" s="2"/>
      <c r="Z218" s="2"/>
      <c r="AA218" s="2"/>
      <c r="AB218" s="2"/>
      <c r="AC218" s="2"/>
      <c r="AD218" s="2"/>
      <c r="AE218" s="2"/>
      <c r="AF218" s="2"/>
      <c r="AG218" s="2"/>
      <c r="AH218" s="2"/>
      <c r="AI218" s="2"/>
      <c r="AJ218" s="2"/>
      <c r="AK218" s="2"/>
      <c r="AL218" s="2"/>
    </row>
    <row r="219" spans="1:38" ht="12.75" customHeight="1" x14ac:dyDescent="0.25">
      <c r="A219" s="2"/>
      <c r="B219" s="178"/>
      <c r="C219" s="779"/>
      <c r="D219" s="416" t="s">
        <v>8</v>
      </c>
      <c r="E219" s="2614" t="str">
        <f>Translations!$B$613</f>
        <v>Är restgaser relevanta för delanläggningen?</v>
      </c>
      <c r="F219" s="1960"/>
      <c r="G219" s="1960"/>
      <c r="H219" s="1960"/>
      <c r="I219" s="1960"/>
      <c r="J219" s="1960"/>
      <c r="K219" s="2520"/>
      <c r="L219" s="749"/>
      <c r="M219" s="1806"/>
      <c r="N219" s="1807"/>
      <c r="O219" s="15"/>
      <c r="P219" s="1362"/>
      <c r="Q219" s="343"/>
      <c r="R219" s="2"/>
      <c r="S219" s="343"/>
      <c r="T219" s="2"/>
      <c r="U219" s="2"/>
      <c r="V219" s="2"/>
      <c r="W219" s="2"/>
      <c r="X219" s="2"/>
      <c r="Y219" s="2"/>
      <c r="Z219" s="2"/>
      <c r="AA219" s="2"/>
      <c r="AB219" s="2"/>
      <c r="AC219" s="2"/>
      <c r="AD219" s="2"/>
      <c r="AE219" s="2"/>
      <c r="AF219" s="672" t="s">
        <v>782</v>
      </c>
      <c r="AG219" s="1196" t="b">
        <f>AND(CNTR_ExistSubInstEntries,I13="")</f>
        <v>0</v>
      </c>
      <c r="AH219" s="2"/>
      <c r="AI219" s="2"/>
      <c r="AJ219" s="2"/>
      <c r="AK219" s="2"/>
      <c r="AL219" s="2"/>
    </row>
    <row r="220" spans="1:38" ht="12.75" customHeight="1" x14ac:dyDescent="0.25">
      <c r="A220" s="2"/>
      <c r="B220" s="178"/>
      <c r="C220" s="779"/>
      <c r="D220" s="780"/>
      <c r="E220" s="2610" t="str">
        <f>Translations!$B$614</f>
        <v>Om svaret ”FALSKT” anges kommer hela avsnittet att gråmarkeras och ni kan gå vidare till nästa punkt nedan.</v>
      </c>
      <c r="F220" s="1960"/>
      <c r="G220" s="1960"/>
      <c r="H220" s="1960"/>
      <c r="I220" s="1960"/>
      <c r="J220" s="1960"/>
      <c r="K220" s="1960"/>
      <c r="L220" s="1960"/>
      <c r="M220" s="1960"/>
      <c r="N220" s="2597"/>
      <c r="O220" s="15"/>
      <c r="P220" s="15"/>
      <c r="Q220" s="343"/>
      <c r="R220" s="2"/>
      <c r="S220" s="343"/>
      <c r="T220" s="2"/>
      <c r="U220" s="2"/>
      <c r="V220" s="2"/>
      <c r="W220" s="2"/>
      <c r="X220" s="2"/>
      <c r="Y220" s="2"/>
      <c r="Z220" s="2"/>
      <c r="AA220" s="2"/>
      <c r="AB220" s="2"/>
      <c r="AC220" s="2"/>
      <c r="AD220" s="2"/>
      <c r="AE220" s="2"/>
      <c r="AF220" s="2"/>
      <c r="AG220" s="2"/>
      <c r="AH220" s="2"/>
      <c r="AI220" s="2"/>
      <c r="AJ220" s="2"/>
      <c r="AK220" s="2"/>
      <c r="AL220" s="2"/>
    </row>
    <row r="221" spans="1:38" ht="12.75" customHeight="1" x14ac:dyDescent="0.25">
      <c r="A221" s="2"/>
      <c r="B221" s="178"/>
      <c r="C221" s="779"/>
      <c r="D221" s="416" t="s">
        <v>9</v>
      </c>
      <c r="E221" s="2614" t="str">
        <f>Translations!$B$615</f>
        <v>Typer av producerade restgaser:</v>
      </c>
      <c r="F221" s="1960"/>
      <c r="G221" s="1960"/>
      <c r="H221" s="2520"/>
      <c r="I221" s="2621"/>
      <c r="J221" s="2510"/>
      <c r="K221" s="2510"/>
      <c r="L221" s="2510"/>
      <c r="M221" s="2511"/>
      <c r="N221" s="1807"/>
      <c r="O221" s="15"/>
      <c r="P221" s="1362"/>
      <c r="Q221" s="343"/>
      <c r="R221" s="2"/>
      <c r="S221" s="343"/>
      <c r="T221" s="2"/>
      <c r="U221" s="2"/>
      <c r="V221" s="2"/>
      <c r="W221" s="2"/>
      <c r="X221" s="2"/>
      <c r="Y221" s="2"/>
      <c r="Z221" s="2"/>
      <c r="AA221" s="2"/>
      <c r="AB221" s="2"/>
      <c r="AC221" s="672" t="s">
        <v>782</v>
      </c>
      <c r="AD221" s="1196" t="b">
        <f>OR(AG219,AND($L219&lt;&gt;"",$L219=FALSE))</f>
        <v>0</v>
      </c>
      <c r="AE221" s="2"/>
      <c r="AF221" s="2"/>
      <c r="AG221" s="2"/>
      <c r="AH221" s="2"/>
      <c r="AI221" s="2"/>
      <c r="AJ221" s="2"/>
      <c r="AK221" s="2"/>
      <c r="AL221" s="2"/>
    </row>
    <row r="222" spans="1:38" ht="12.75" customHeight="1" x14ac:dyDescent="0.25">
      <c r="A222" s="2"/>
      <c r="B222" s="178"/>
      <c r="C222" s="779"/>
      <c r="D222" s="780"/>
      <c r="E222" s="2610" t="str">
        <f>Translations!$B$616</f>
        <v>Ni kan välja att rapportera i ton eller i 1 000 Nm3. Enheterna måste stämma överens med de som används för effektivt värmevärde och emissionsfaktorn nedan.</v>
      </c>
      <c r="F222" s="1960"/>
      <c r="G222" s="1960"/>
      <c r="H222" s="1960"/>
      <c r="I222" s="1960"/>
      <c r="J222" s="1960"/>
      <c r="K222" s="1960"/>
      <c r="L222" s="1960"/>
      <c r="M222" s="1960"/>
      <c r="N222" s="2597"/>
      <c r="O222" s="15"/>
      <c r="P222" s="15"/>
      <c r="Q222" s="343"/>
      <c r="R222" s="2"/>
      <c r="S222" s="343"/>
      <c r="T222" s="343"/>
      <c r="U222" s="343"/>
      <c r="V222" s="343"/>
      <c r="W222" s="2"/>
      <c r="X222" s="2"/>
      <c r="Y222" s="2"/>
      <c r="Z222" s="2"/>
      <c r="AA222" s="2"/>
      <c r="AB222" s="2"/>
      <c r="AC222" s="2"/>
      <c r="AD222" s="2"/>
      <c r="AE222" s="2"/>
      <c r="AF222" s="2"/>
      <c r="AG222" s="2"/>
      <c r="AH222" s="2"/>
      <c r="AI222" s="2"/>
      <c r="AJ222" s="2"/>
      <c r="AK222" s="2"/>
      <c r="AL222" s="2"/>
    </row>
    <row r="223" spans="1:38" ht="12.75" customHeight="1" x14ac:dyDescent="0.25">
      <c r="A223" s="2"/>
      <c r="B223" s="178"/>
      <c r="C223" s="779"/>
      <c r="D223" s="780"/>
      <c r="E223" s="2596" t="str">
        <f>Translations!$B$570</f>
        <v>De uppgifter som anges här används bara för konsekvenskontroll och har ingen direkt inverkan på vare sig de utsläpp som kan tillskrivas eller tilldelningen.</v>
      </c>
      <c r="F223" s="1960"/>
      <c r="G223" s="1960"/>
      <c r="H223" s="1960"/>
      <c r="I223" s="1960"/>
      <c r="J223" s="1960"/>
      <c r="K223" s="1960"/>
      <c r="L223" s="1960"/>
      <c r="M223" s="1960"/>
      <c r="N223" s="2597"/>
      <c r="O223" s="15"/>
      <c r="P223" s="15"/>
      <c r="Q223" s="343"/>
      <c r="R223" s="2"/>
      <c r="S223" s="343"/>
      <c r="T223" s="343"/>
      <c r="U223" s="343"/>
      <c r="V223" s="343"/>
      <c r="W223" s="2"/>
      <c r="X223" s="2"/>
      <c r="Y223" s="2"/>
      <c r="Z223" s="2"/>
      <c r="AA223" s="2"/>
      <c r="AB223" s="2"/>
      <c r="AC223" s="2"/>
      <c r="AD223" s="2"/>
      <c r="AE223" s="2"/>
      <c r="AF223" s="2"/>
      <c r="AG223" s="2"/>
      <c r="AH223" s="2"/>
      <c r="AI223" s="2"/>
      <c r="AJ223" s="2"/>
      <c r="AK223" s="2"/>
      <c r="AL223" s="2"/>
    </row>
    <row r="224" spans="1:38" ht="12.75" customHeight="1" thickBot="1" x14ac:dyDescent="0.3">
      <c r="A224" s="2"/>
      <c r="B224" s="178"/>
      <c r="C224" s="779"/>
      <c r="D224" s="780"/>
      <c r="E224" s="1716"/>
      <c r="F224" s="1717"/>
      <c r="G224" s="361" t="str">
        <f>EUconst_Unit</f>
        <v>Enhet</v>
      </c>
      <c r="H224" s="362">
        <f t="shared" ref="H224:N224" si="89">H$3042</f>
        <v>2019</v>
      </c>
      <c r="I224" s="1103">
        <f t="shared" si="89"/>
        <v>2020</v>
      </c>
      <c r="J224" s="1104">
        <f t="shared" si="89"/>
        <v>2021</v>
      </c>
      <c r="K224" s="362">
        <f t="shared" si="89"/>
        <v>2022</v>
      </c>
      <c r="L224" s="362">
        <f t="shared" si="89"/>
        <v>2023</v>
      </c>
      <c r="M224" s="362">
        <f t="shared" si="89"/>
        <v>2024</v>
      </c>
      <c r="N224" s="1141">
        <f t="shared" si="89"/>
        <v>2025</v>
      </c>
      <c r="O224" s="15"/>
      <c r="P224" s="15"/>
      <c r="Q224" s="343"/>
      <c r="R224" s="2"/>
      <c r="S224" s="343"/>
      <c r="T224" s="343"/>
      <c r="U224" s="343"/>
      <c r="V224" s="343"/>
      <c r="W224" s="2"/>
      <c r="X224" s="2"/>
      <c r="Y224" s="2"/>
      <c r="Z224" s="2"/>
      <c r="AA224" s="2"/>
      <c r="AB224" s="2"/>
      <c r="AC224" s="1044">
        <f t="shared" ref="AC224:AI224" si="90">H$20</f>
        <v>2019</v>
      </c>
      <c r="AD224" s="1044">
        <f t="shared" si="90"/>
        <v>2020</v>
      </c>
      <c r="AE224" s="1044">
        <f t="shared" si="90"/>
        <v>2021</v>
      </c>
      <c r="AF224" s="1044">
        <f t="shared" si="90"/>
        <v>2022</v>
      </c>
      <c r="AG224" s="1044">
        <f t="shared" si="90"/>
        <v>2023</v>
      </c>
      <c r="AH224" s="1044">
        <f t="shared" si="90"/>
        <v>2024</v>
      </c>
      <c r="AI224" s="1044">
        <f t="shared" si="90"/>
        <v>2025</v>
      </c>
      <c r="AJ224" s="2"/>
      <c r="AK224" s="2"/>
      <c r="AL224" s="2"/>
    </row>
    <row r="225" spans="1:38" ht="12.75" customHeight="1" x14ac:dyDescent="0.25">
      <c r="A225" s="2"/>
      <c r="B225" s="178"/>
      <c r="C225" s="779"/>
      <c r="D225" s="416" t="s">
        <v>10</v>
      </c>
      <c r="E225" s="2611" t="str">
        <f>Translations!$B$617</f>
        <v>Producerade mängder</v>
      </c>
      <c r="F225" s="2484"/>
      <c r="G225" s="1314"/>
      <c r="H225" s="1298"/>
      <c r="I225" s="1299"/>
      <c r="J225" s="1300"/>
      <c r="K225" s="1298"/>
      <c r="L225" s="1298"/>
      <c r="M225" s="1298"/>
      <c r="N225" s="1301"/>
      <c r="O225" s="15"/>
      <c r="P225" s="1362"/>
      <c r="Q225" s="343"/>
      <c r="R225" s="2"/>
      <c r="S225" s="343"/>
      <c r="T225" s="343"/>
      <c r="U225" s="343"/>
      <c r="V225" s="343"/>
      <c r="W225" s="2"/>
      <c r="X225" s="2"/>
      <c r="Y225" s="2"/>
      <c r="Z225" s="2"/>
      <c r="AA225" s="2"/>
      <c r="AB225" s="672" t="s">
        <v>782</v>
      </c>
      <c r="AC225" s="1196" t="b">
        <f>OR(AND($L219&lt;&gt;"",$L219=FALSE),AC83)</f>
        <v>0</v>
      </c>
      <c r="AD225" s="108" t="b">
        <f t="shared" ref="AD225:AI225" si="91">OR(AND($L219&lt;&gt;"",$L219=FALSE),AD83)</f>
        <v>0</v>
      </c>
      <c r="AE225" s="108" t="b">
        <f t="shared" si="91"/>
        <v>0</v>
      </c>
      <c r="AF225" s="108" t="b">
        <f t="shared" si="91"/>
        <v>0</v>
      </c>
      <c r="AG225" s="108" t="b">
        <f t="shared" si="91"/>
        <v>0</v>
      </c>
      <c r="AH225" s="108" t="b">
        <f t="shared" si="91"/>
        <v>0</v>
      </c>
      <c r="AI225" s="108" t="b">
        <f t="shared" si="91"/>
        <v>0</v>
      </c>
      <c r="AJ225" s="553" t="s">
        <v>2248</v>
      </c>
      <c r="AK225" s="663" t="str">
        <f>IF(AND(CNTR_ExistSubInstEntries,MSconst_RequireSubAttrEmissions,COUNTIFS(AC225:AI225,FALSE,H225:N225,"")&gt;0),EUconst_Error&amp;"BM"&amp;$Q13,"")</f>
        <v/>
      </c>
      <c r="AL225" s="2"/>
    </row>
    <row r="226" spans="1:38" ht="12.75" customHeight="1" x14ac:dyDescent="0.25">
      <c r="A226" s="2"/>
      <c r="B226" s="178"/>
      <c r="C226" s="779"/>
      <c r="D226" s="416" t="s">
        <v>23</v>
      </c>
      <c r="E226" s="2612" t="str">
        <f>Translations!$B$318</f>
        <v>Effektivt värmevärde</v>
      </c>
      <c r="F226" s="2487"/>
      <c r="G226" s="51" t="str">
        <f>IF(ISBLANK(G225),EUconst_GJperUnit,INDEX(EUconst_GJperTorKNm3,MATCH(G225,EUconst_TonnesOrkNm3pa,0)))</f>
        <v>GJ / Enhet</v>
      </c>
      <c r="H226" s="1306"/>
      <c r="I226" s="1307"/>
      <c r="J226" s="1308"/>
      <c r="K226" s="1306"/>
      <c r="L226" s="1306"/>
      <c r="M226" s="1306"/>
      <c r="N226" s="1309"/>
      <c r="O226" s="15"/>
      <c r="P226" s="1362"/>
      <c r="Q226" s="2"/>
      <c r="R226" s="2"/>
      <c r="S226" s="343"/>
      <c r="T226" s="343"/>
      <c r="U226" s="343"/>
      <c r="V226" s="343"/>
      <c r="W226" s="343"/>
      <c r="X226" s="343"/>
      <c r="Y226" s="343"/>
      <c r="Z226" s="343"/>
      <c r="AA226" s="2"/>
      <c r="AB226" s="2"/>
      <c r="AC226" s="108" t="b">
        <f>AC225</f>
        <v>0</v>
      </c>
      <c r="AD226" s="108" t="b">
        <f t="shared" ref="AD226:AI226" si="92">AD225</f>
        <v>0</v>
      </c>
      <c r="AE226" s="108" t="b">
        <f t="shared" si="92"/>
        <v>0</v>
      </c>
      <c r="AF226" s="108" t="b">
        <f t="shared" si="92"/>
        <v>0</v>
      </c>
      <c r="AG226" s="108" t="b">
        <f t="shared" si="92"/>
        <v>0</v>
      </c>
      <c r="AH226" s="108" t="b">
        <f t="shared" si="92"/>
        <v>0</v>
      </c>
      <c r="AI226" s="108" t="b">
        <f t="shared" si="92"/>
        <v>0</v>
      </c>
      <c r="AJ226" s="553" t="s">
        <v>2248</v>
      </c>
      <c r="AK226" s="663" t="str">
        <f>IF(AND(CNTR_ExistSubInstEntries,MSconst_RequireSubAttrEmissions,COUNTIFS(AC226:AI226,FALSE,H226:N226,"")&gt;0),EUconst_Error&amp;"BM"&amp;$Q13,"")</f>
        <v/>
      </c>
      <c r="AL226" s="2"/>
    </row>
    <row r="227" spans="1:38" ht="12.75" customHeight="1" x14ac:dyDescent="0.25">
      <c r="A227" s="2"/>
      <c r="B227" s="178"/>
      <c r="C227" s="779"/>
      <c r="D227" s="416" t="s">
        <v>859</v>
      </c>
      <c r="E227" s="2613" t="str">
        <f>Translations!$B$618</f>
        <v>Producerad restgas</v>
      </c>
      <c r="F227" s="1997"/>
      <c r="G227" s="364" t="str">
        <f>EUconst_TJpa</f>
        <v>TJ / år</v>
      </c>
      <c r="H227" s="414" t="str">
        <f t="shared" ref="H227:N227" si="93">IF(COUNT(H225:H226)=2,H225*H226/1000,"")</f>
        <v/>
      </c>
      <c r="I227" s="1108" t="str">
        <f t="shared" si="93"/>
        <v/>
      </c>
      <c r="J227" s="1114" t="str">
        <f t="shared" si="93"/>
        <v/>
      </c>
      <c r="K227" s="414" t="str">
        <f t="shared" si="93"/>
        <v/>
      </c>
      <c r="L227" s="414" t="str">
        <f t="shared" si="93"/>
        <v/>
      </c>
      <c r="M227" s="414" t="str">
        <f t="shared" si="93"/>
        <v/>
      </c>
      <c r="N227" s="1147" t="str">
        <f t="shared" si="93"/>
        <v/>
      </c>
      <c r="O227" s="15"/>
      <c r="P227" s="15"/>
      <c r="Q227" s="165" t="str">
        <f>EUconst_CNTR_WGProduced &amp; I13</f>
        <v>WasteGasProd_</v>
      </c>
      <c r="R227" s="2"/>
      <c r="S227" s="343"/>
      <c r="T227" s="343"/>
      <c r="U227" s="343"/>
      <c r="V227" s="343"/>
      <c r="W227" s="343"/>
      <c r="X227" s="343"/>
      <c r="Y227" s="343"/>
      <c r="Z227" s="343"/>
      <c r="AA227" s="2"/>
      <c r="AB227" s="2"/>
      <c r="AC227" s="2"/>
      <c r="AD227" s="2"/>
      <c r="AE227" s="2"/>
      <c r="AF227" s="2"/>
      <c r="AG227" s="2"/>
      <c r="AH227" s="2"/>
      <c r="AI227" s="2"/>
      <c r="AJ227" s="2"/>
      <c r="AK227" s="2"/>
      <c r="AL227" s="2"/>
    </row>
    <row r="228" spans="1:38" ht="12.75" customHeight="1" x14ac:dyDescent="0.25">
      <c r="A228" s="2"/>
      <c r="B228" s="178"/>
      <c r="C228" s="779"/>
      <c r="D228" s="416" t="s">
        <v>860</v>
      </c>
      <c r="E228" s="2613" t="str">
        <f>Translations!$B$619</f>
        <v>Särskild emissionsfaktor (producerad restgas)</v>
      </c>
      <c r="F228" s="1997"/>
      <c r="G228" s="364" t="str">
        <f>EUconst_tCO2pTJ</f>
        <v>t CO2 / TJ</v>
      </c>
      <c r="H228" s="582"/>
      <c r="I228" s="1105"/>
      <c r="J228" s="1115"/>
      <c r="K228" s="582"/>
      <c r="L228" s="582"/>
      <c r="M228" s="582"/>
      <c r="N228" s="1146"/>
      <c r="O228" s="15"/>
      <c r="P228" s="1362"/>
      <c r="Q228" s="165" t="str">
        <f>EUconst_CNTR_WGProducedEF &amp; I13</f>
        <v>WasteGasProdEF_</v>
      </c>
      <c r="R228" s="2"/>
      <c r="S228" s="343"/>
      <c r="T228" s="343"/>
      <c r="U228" s="343"/>
      <c r="V228" s="343"/>
      <c r="W228" s="343"/>
      <c r="X228" s="343"/>
      <c r="Y228" s="343"/>
      <c r="Z228" s="343"/>
      <c r="AA228" s="2"/>
      <c r="AB228" s="672" t="s">
        <v>782</v>
      </c>
      <c r="AC228" s="108" t="b">
        <f>AC226</f>
        <v>0</v>
      </c>
      <c r="AD228" s="108" t="b">
        <f t="shared" ref="AD228:AI228" si="94">AD226</f>
        <v>0</v>
      </c>
      <c r="AE228" s="108" t="b">
        <f t="shared" si="94"/>
        <v>0</v>
      </c>
      <c r="AF228" s="108" t="b">
        <f t="shared" si="94"/>
        <v>0</v>
      </c>
      <c r="AG228" s="108" t="b">
        <f t="shared" si="94"/>
        <v>0</v>
      </c>
      <c r="AH228" s="108" t="b">
        <f t="shared" si="94"/>
        <v>0</v>
      </c>
      <c r="AI228" s="108" t="b">
        <f t="shared" si="94"/>
        <v>0</v>
      </c>
      <c r="AJ228" s="553" t="s">
        <v>2248</v>
      </c>
      <c r="AK228" s="663" t="str">
        <f>IF(AND(CNTR_ExistSubInstEntries,MSconst_RequireSubAttrEmissions,COUNTIFS(AC228:AI228,FALSE,H228:N228,"")&gt;0),EUconst_Error&amp;"BM"&amp;$Q13,"")</f>
        <v/>
      </c>
      <c r="AL228" s="2"/>
    </row>
    <row r="229" spans="1:38" ht="12.75" customHeight="1" x14ac:dyDescent="0.25">
      <c r="A229" s="2"/>
      <c r="B229" s="178"/>
      <c r="C229" s="779"/>
      <c r="D229" s="780"/>
      <c r="E229" s="780"/>
      <c r="F229" s="780"/>
      <c r="G229" s="780"/>
      <c r="H229" s="1805"/>
      <c r="I229" s="780"/>
      <c r="J229" s="780"/>
      <c r="K229" s="780"/>
      <c r="L229" s="780"/>
      <c r="M229" s="623"/>
      <c r="N229" s="519"/>
      <c r="O229" s="15"/>
      <c r="P229" s="15"/>
      <c r="Q229" s="343"/>
      <c r="R229" s="2"/>
      <c r="S229" s="343"/>
      <c r="T229" s="343"/>
      <c r="U229" s="343"/>
      <c r="V229" s="343"/>
      <c r="W229" s="343"/>
      <c r="X229" s="343"/>
      <c r="Y229" s="343"/>
      <c r="Z229" s="343"/>
      <c r="AA229" s="2"/>
      <c r="AB229" s="2"/>
      <c r="AC229" s="2"/>
      <c r="AD229" s="2"/>
      <c r="AE229" s="2"/>
      <c r="AF229" s="2"/>
      <c r="AG229" s="2"/>
      <c r="AH229" s="2"/>
      <c r="AI229" s="2"/>
      <c r="AJ229" s="2"/>
      <c r="AK229" s="2"/>
      <c r="AL229" s="2"/>
    </row>
    <row r="230" spans="1:38" ht="12.75" customHeight="1" x14ac:dyDescent="0.25">
      <c r="A230" s="2"/>
      <c r="B230" s="178"/>
      <c r="C230" s="779"/>
      <c r="D230" s="416" t="s">
        <v>861</v>
      </c>
      <c r="E230" s="2614" t="str">
        <f>Translations!$B$620</f>
        <v>Typer av restgaser som förbrukas:</v>
      </c>
      <c r="F230" s="1960"/>
      <c r="G230" s="1960"/>
      <c r="H230" s="2520"/>
      <c r="I230" s="2621"/>
      <c r="J230" s="2510"/>
      <c r="K230" s="2510"/>
      <c r="L230" s="2510"/>
      <c r="M230" s="2511"/>
      <c r="N230" s="1807"/>
      <c r="O230" s="15"/>
      <c r="P230" s="1362"/>
      <c r="Q230" s="343"/>
      <c r="R230" s="2"/>
      <c r="S230" s="343"/>
      <c r="T230" s="343"/>
      <c r="U230" s="343"/>
      <c r="V230" s="343"/>
      <c r="W230" s="343"/>
      <c r="X230" s="343"/>
      <c r="Y230" s="343"/>
      <c r="Z230" s="343"/>
      <c r="AA230" s="2"/>
      <c r="AB230" s="2"/>
      <c r="AC230" s="672" t="s">
        <v>782</v>
      </c>
      <c r="AD230" s="108" t="b">
        <f>AD221</f>
        <v>0</v>
      </c>
      <c r="AE230" s="2"/>
      <c r="AF230" s="2"/>
      <c r="AG230" s="2"/>
      <c r="AH230" s="2"/>
      <c r="AI230" s="2"/>
      <c r="AJ230" s="2"/>
      <c r="AK230" s="2"/>
      <c r="AL230" s="2"/>
    </row>
    <row r="231" spans="1:38" ht="25.5" customHeight="1" x14ac:dyDescent="0.25">
      <c r="A231" s="2"/>
      <c r="B231" s="178"/>
      <c r="C231" s="779"/>
      <c r="D231" s="416"/>
      <c r="E231" s="2610" t="str">
        <f>Translations!$B$621</f>
        <v>Detta innefattar alla restgastyper som förbrukas av delanläggningen för produktion av mätbar värme, icke-mätbar värme (inklusive för säkerhetsfackling) eller mekanisk energi (annan än för elproduktion). Mängden avgaser för fackling utom för säkerhetsfackling bör rapporteras i nästa punkt nedan.</v>
      </c>
      <c r="F231" s="1960"/>
      <c r="G231" s="1960"/>
      <c r="H231" s="1960"/>
      <c r="I231" s="1960"/>
      <c r="J231" s="1960"/>
      <c r="K231" s="1960"/>
      <c r="L231" s="1960"/>
      <c r="M231" s="1960"/>
      <c r="N231" s="2597"/>
      <c r="O231" s="15"/>
      <c r="P231" s="15"/>
      <c r="Q231" s="343"/>
      <c r="R231" s="2"/>
      <c r="S231" s="343"/>
      <c r="T231" s="343"/>
      <c r="U231" s="343"/>
      <c r="V231" s="343"/>
      <c r="W231" s="343"/>
      <c r="X231" s="343"/>
      <c r="Y231" s="343"/>
      <c r="Z231" s="343"/>
      <c r="AA231" s="2"/>
      <c r="AB231" s="2"/>
      <c r="AC231" s="2"/>
      <c r="AD231" s="2"/>
      <c r="AE231" s="2"/>
      <c r="AF231" s="2"/>
      <c r="AG231" s="2"/>
      <c r="AH231" s="2"/>
      <c r="AI231" s="2"/>
      <c r="AJ231" s="2"/>
      <c r="AK231" s="2"/>
      <c r="AL231" s="2"/>
    </row>
    <row r="232" spans="1:38" ht="12.75" customHeight="1" x14ac:dyDescent="0.25">
      <c r="A232" s="2"/>
      <c r="B232" s="178"/>
      <c r="C232" s="779"/>
      <c r="D232" s="780"/>
      <c r="E232" s="2596" t="str">
        <f>Translations!$B$570</f>
        <v>De uppgifter som anges här används bara för konsekvenskontroll och har ingen direkt inverkan på vare sig de utsläpp som kan tillskrivas eller tilldelningen.</v>
      </c>
      <c r="F232" s="1960"/>
      <c r="G232" s="1960"/>
      <c r="H232" s="1960"/>
      <c r="I232" s="1960"/>
      <c r="J232" s="1960"/>
      <c r="K232" s="1960"/>
      <c r="L232" s="1960"/>
      <c r="M232" s="1960"/>
      <c r="N232" s="2597"/>
      <c r="O232" s="15"/>
      <c r="P232" s="15"/>
      <c r="Q232" s="343"/>
      <c r="R232" s="2"/>
      <c r="S232" s="343"/>
      <c r="T232" s="343"/>
      <c r="U232" s="343"/>
      <c r="V232" s="343"/>
      <c r="W232" s="343"/>
      <c r="X232" s="343"/>
      <c r="Y232" s="343"/>
      <c r="Z232" s="343"/>
      <c r="AA232" s="2"/>
      <c r="AB232" s="2"/>
      <c r="AC232" s="2"/>
      <c r="AD232" s="2"/>
      <c r="AE232" s="2"/>
      <c r="AF232" s="2"/>
      <c r="AG232" s="2"/>
      <c r="AH232" s="2"/>
      <c r="AI232" s="2"/>
      <c r="AJ232" s="2"/>
      <c r="AK232" s="2"/>
      <c r="AL232" s="2"/>
    </row>
    <row r="233" spans="1:38" ht="12.75" customHeight="1" thickBot="1" x14ac:dyDescent="0.3">
      <c r="A233" s="2"/>
      <c r="B233" s="178"/>
      <c r="C233" s="779"/>
      <c r="D233" s="780"/>
      <c r="E233" s="1716"/>
      <c r="F233" s="1717"/>
      <c r="G233" s="361" t="str">
        <f>EUconst_Unit</f>
        <v>Enhet</v>
      </c>
      <c r="H233" s="362">
        <f t="shared" ref="H233:N233" si="95">H$3042</f>
        <v>2019</v>
      </c>
      <c r="I233" s="1103">
        <f t="shared" si="95"/>
        <v>2020</v>
      </c>
      <c r="J233" s="1104">
        <f t="shared" si="95"/>
        <v>2021</v>
      </c>
      <c r="K233" s="362">
        <f t="shared" si="95"/>
        <v>2022</v>
      </c>
      <c r="L233" s="362">
        <f t="shared" si="95"/>
        <v>2023</v>
      </c>
      <c r="M233" s="362">
        <f t="shared" si="95"/>
        <v>2024</v>
      </c>
      <c r="N233" s="1141">
        <f t="shared" si="95"/>
        <v>2025</v>
      </c>
      <c r="O233" s="15"/>
      <c r="P233" s="15"/>
      <c r="Q233" s="343"/>
      <c r="R233" s="2"/>
      <c r="S233" s="343"/>
      <c r="T233" s="343"/>
      <c r="U233" s="343"/>
      <c r="V233" s="343"/>
      <c r="W233" s="343"/>
      <c r="X233" s="343"/>
      <c r="Y233" s="343"/>
      <c r="Z233" s="343"/>
      <c r="AA233" s="2"/>
      <c r="AB233" s="2"/>
      <c r="AC233" s="1044">
        <f t="shared" ref="AC233:AI233" si="96">H$20</f>
        <v>2019</v>
      </c>
      <c r="AD233" s="1044">
        <f t="shared" si="96"/>
        <v>2020</v>
      </c>
      <c r="AE233" s="1044">
        <f t="shared" si="96"/>
        <v>2021</v>
      </c>
      <c r="AF233" s="1044">
        <f t="shared" si="96"/>
        <v>2022</v>
      </c>
      <c r="AG233" s="1044">
        <f t="shared" si="96"/>
        <v>2023</v>
      </c>
      <c r="AH233" s="1044">
        <f t="shared" si="96"/>
        <v>2024</v>
      </c>
      <c r="AI233" s="1044">
        <f t="shared" si="96"/>
        <v>2025</v>
      </c>
      <c r="AJ233" s="2"/>
      <c r="AK233" s="2"/>
      <c r="AL233" s="2"/>
    </row>
    <row r="234" spans="1:38" ht="12.75" customHeight="1" x14ac:dyDescent="0.25">
      <c r="A234" s="2"/>
      <c r="B234" s="178"/>
      <c r="C234" s="779"/>
      <c r="D234" s="416" t="s">
        <v>862</v>
      </c>
      <c r="E234" s="2611" t="str">
        <f>Translations!$B$622</f>
        <v>Förbrukade mängder</v>
      </c>
      <c r="F234" s="2484"/>
      <c r="G234" s="1314"/>
      <c r="H234" s="1298"/>
      <c r="I234" s="1299"/>
      <c r="J234" s="1300"/>
      <c r="K234" s="1298"/>
      <c r="L234" s="1298"/>
      <c r="M234" s="1298"/>
      <c r="N234" s="1301"/>
      <c r="O234" s="15"/>
      <c r="P234" s="1362"/>
      <c r="Q234" s="343"/>
      <c r="R234" s="2"/>
      <c r="S234" s="343"/>
      <c r="T234" s="343"/>
      <c r="U234" s="343"/>
      <c r="V234" s="343"/>
      <c r="W234" s="343"/>
      <c r="X234" s="343"/>
      <c r="Y234" s="343"/>
      <c r="Z234" s="343"/>
      <c r="AA234" s="2"/>
      <c r="AB234" s="672" t="s">
        <v>782</v>
      </c>
      <c r="AC234" s="108" t="b">
        <f>AC225</f>
        <v>0</v>
      </c>
      <c r="AD234" s="108" t="b">
        <f t="shared" ref="AD234:AI234" si="97">AD225</f>
        <v>0</v>
      </c>
      <c r="AE234" s="108" t="b">
        <f t="shared" si="97"/>
        <v>0</v>
      </c>
      <c r="AF234" s="108" t="b">
        <f t="shared" si="97"/>
        <v>0</v>
      </c>
      <c r="AG234" s="108" t="b">
        <f t="shared" si="97"/>
        <v>0</v>
      </c>
      <c r="AH234" s="108" t="b">
        <f t="shared" si="97"/>
        <v>0</v>
      </c>
      <c r="AI234" s="108" t="b">
        <f t="shared" si="97"/>
        <v>0</v>
      </c>
      <c r="AJ234" s="553" t="s">
        <v>2248</v>
      </c>
      <c r="AK234" s="663" t="str">
        <f>IF(AND(CNTR_ExistSubInstEntries,MSconst_RequireSubAttrEmissions,COUNTIFS(AC234:AI234,FALSE,H234:N234,"")&gt;0),EUconst_Error&amp;"BM"&amp;$Q13,"")</f>
        <v/>
      </c>
      <c r="AL234" s="2"/>
    </row>
    <row r="235" spans="1:38" ht="12.75" customHeight="1" x14ac:dyDescent="0.25">
      <c r="A235" s="2"/>
      <c r="B235" s="178"/>
      <c r="C235" s="779"/>
      <c r="D235" s="416" t="s">
        <v>863</v>
      </c>
      <c r="E235" s="2612" t="str">
        <f>Translations!$B$318</f>
        <v>Effektivt värmevärde</v>
      </c>
      <c r="F235" s="2487"/>
      <c r="G235" s="51" t="str">
        <f>IF(ISBLANK(G234),EUconst_GJperUnit,INDEX(EUconst_GJperTorKNm3,MATCH(G234,EUconst_TonnesOrkNm3pa,0)))</f>
        <v>GJ / Enhet</v>
      </c>
      <c r="H235" s="1306"/>
      <c r="I235" s="1307"/>
      <c r="J235" s="1308"/>
      <c r="K235" s="1306"/>
      <c r="L235" s="1306"/>
      <c r="M235" s="1306"/>
      <c r="N235" s="1309"/>
      <c r="O235" s="15"/>
      <c r="P235" s="1362"/>
      <c r="Q235" s="2"/>
      <c r="R235" s="2"/>
      <c r="S235" s="343"/>
      <c r="T235" s="343"/>
      <c r="U235" s="343"/>
      <c r="V235" s="343"/>
      <c r="W235" s="343"/>
      <c r="X235" s="343"/>
      <c r="Y235" s="343"/>
      <c r="Z235" s="343"/>
      <c r="AA235" s="2"/>
      <c r="AB235" s="2"/>
      <c r="AC235" s="108" t="b">
        <f>AC234</f>
        <v>0</v>
      </c>
      <c r="AD235" s="108" t="b">
        <f t="shared" ref="AD235:AI235" si="98">AD234</f>
        <v>0</v>
      </c>
      <c r="AE235" s="108" t="b">
        <f t="shared" si="98"/>
        <v>0</v>
      </c>
      <c r="AF235" s="108" t="b">
        <f t="shared" si="98"/>
        <v>0</v>
      </c>
      <c r="AG235" s="108" t="b">
        <f t="shared" si="98"/>
        <v>0</v>
      </c>
      <c r="AH235" s="108" t="b">
        <f t="shared" si="98"/>
        <v>0</v>
      </c>
      <c r="AI235" s="108" t="b">
        <f t="shared" si="98"/>
        <v>0</v>
      </c>
      <c r="AJ235" s="553" t="s">
        <v>2248</v>
      </c>
      <c r="AK235" s="663" t="str">
        <f>IF(AND(CNTR_ExistSubInstEntries,MSconst_RequireSubAttrEmissions,COUNTIFS(AC235:AI235,FALSE,H235:N235,"")&gt;0),EUconst_Error&amp;"BM"&amp;$Q13,"")</f>
        <v/>
      </c>
      <c r="AL235" s="2"/>
    </row>
    <row r="236" spans="1:38" ht="12.75" customHeight="1" x14ac:dyDescent="0.25">
      <c r="A236" s="2"/>
      <c r="B236" s="178"/>
      <c r="C236" s="779"/>
      <c r="D236" s="416" t="s">
        <v>72</v>
      </c>
      <c r="E236" s="2613" t="str">
        <f>Translations!$B$623</f>
        <v>Förbrukad restgas</v>
      </c>
      <c r="F236" s="1997"/>
      <c r="G236" s="364" t="str">
        <f>EUconst_TJpa</f>
        <v>TJ / år</v>
      </c>
      <c r="H236" s="414" t="str">
        <f t="shared" ref="H236:N236" si="99">IF(COUNT(H234:H235)=2,H234*H235/1000,"")</f>
        <v/>
      </c>
      <c r="I236" s="1108" t="str">
        <f t="shared" si="99"/>
        <v/>
      </c>
      <c r="J236" s="1114" t="str">
        <f t="shared" si="99"/>
        <v/>
      </c>
      <c r="K236" s="414" t="str">
        <f t="shared" si="99"/>
        <v/>
      </c>
      <c r="L236" s="414" t="str">
        <f t="shared" si="99"/>
        <v/>
      </c>
      <c r="M236" s="414" t="str">
        <f t="shared" si="99"/>
        <v/>
      </c>
      <c r="N236" s="1147" t="str">
        <f t="shared" si="99"/>
        <v/>
      </c>
      <c r="O236" s="15"/>
      <c r="P236" s="15"/>
      <c r="Q236" s="165" t="str">
        <f>EUconst_CNTR_WGConsumed &amp; I13</f>
        <v>WasteGasCons_</v>
      </c>
      <c r="R236" s="2"/>
      <c r="S236" s="343"/>
      <c r="T236" s="343"/>
      <c r="U236" s="343"/>
      <c r="V236" s="343"/>
      <c r="W236" s="343"/>
      <c r="X236" s="343"/>
      <c r="Y236" s="343"/>
      <c r="Z236" s="343"/>
      <c r="AA236" s="2"/>
      <c r="AB236" s="2"/>
      <c r="AC236" s="2"/>
      <c r="AD236" s="2"/>
      <c r="AE236" s="2"/>
      <c r="AF236" s="2"/>
      <c r="AG236" s="2"/>
      <c r="AH236" s="2"/>
      <c r="AI236" s="2"/>
      <c r="AJ236" s="2"/>
      <c r="AK236" s="2"/>
      <c r="AL236" s="2"/>
    </row>
    <row r="237" spans="1:38" ht="12.75" customHeight="1" x14ac:dyDescent="0.25">
      <c r="A237" s="2"/>
      <c r="B237" s="178"/>
      <c r="C237" s="779"/>
      <c r="D237" s="416" t="s">
        <v>73</v>
      </c>
      <c r="E237" s="2613" t="str">
        <f>Translations!$B$624</f>
        <v>Särskild emissionsfaktor (förbrukad restgas)</v>
      </c>
      <c r="F237" s="1997"/>
      <c r="G237" s="364" t="str">
        <f>EUconst_tCO2pTJ</f>
        <v>t CO2 / TJ</v>
      </c>
      <c r="H237" s="582"/>
      <c r="I237" s="1105"/>
      <c r="J237" s="1115"/>
      <c r="K237" s="582"/>
      <c r="L237" s="582"/>
      <c r="M237" s="582"/>
      <c r="N237" s="1146"/>
      <c r="O237" s="15"/>
      <c r="P237" s="1362"/>
      <c r="Q237" s="165" t="str">
        <f>EUconst_CNTR_WGConsumedEF &amp; I13</f>
        <v>WasteGasConsEF_</v>
      </c>
      <c r="R237" s="2"/>
      <c r="S237" s="343"/>
      <c r="T237" s="343"/>
      <c r="U237" s="343"/>
      <c r="V237" s="343"/>
      <c r="W237" s="343"/>
      <c r="X237" s="343"/>
      <c r="Y237" s="343"/>
      <c r="Z237" s="343"/>
      <c r="AA237" s="2"/>
      <c r="AB237" s="672" t="s">
        <v>782</v>
      </c>
      <c r="AC237" s="108" t="b">
        <f>AC235</f>
        <v>0</v>
      </c>
      <c r="AD237" s="108" t="b">
        <f t="shared" ref="AD237:AI237" si="100">AD235</f>
        <v>0</v>
      </c>
      <c r="AE237" s="108" t="b">
        <f t="shared" si="100"/>
        <v>0</v>
      </c>
      <c r="AF237" s="108" t="b">
        <f t="shared" si="100"/>
        <v>0</v>
      </c>
      <c r="AG237" s="108" t="b">
        <f t="shared" si="100"/>
        <v>0</v>
      </c>
      <c r="AH237" s="108" t="b">
        <f t="shared" si="100"/>
        <v>0</v>
      </c>
      <c r="AI237" s="108" t="b">
        <f t="shared" si="100"/>
        <v>0</v>
      </c>
      <c r="AJ237" s="553" t="s">
        <v>2248</v>
      </c>
      <c r="AK237" s="663" t="str">
        <f>IF(AND(CNTR_ExistSubInstEntries,MSconst_RequireSubAttrEmissions,COUNTIFS(AC237:AI237,FALSE,H237:N237,"")&gt;0),EUconst_Error&amp;"BM"&amp;$Q13,"")</f>
        <v/>
      </c>
      <c r="AL237" s="2"/>
    </row>
    <row r="238" spans="1:38" ht="12.75" customHeight="1" x14ac:dyDescent="0.25">
      <c r="A238" s="2"/>
      <c r="B238" s="178"/>
      <c r="C238" s="779"/>
      <c r="D238" s="780"/>
      <c r="E238" s="780"/>
      <c r="F238" s="780"/>
      <c r="G238" s="780"/>
      <c r="H238" s="1805"/>
      <c r="I238" s="780"/>
      <c r="J238" s="780"/>
      <c r="K238" s="780"/>
      <c r="L238" s="780"/>
      <c r="M238" s="623"/>
      <c r="N238" s="519"/>
      <c r="O238" s="15"/>
      <c r="P238" s="15"/>
      <c r="Q238" s="343"/>
      <c r="R238" s="2"/>
      <c r="S238" s="343"/>
      <c r="T238" s="343"/>
      <c r="U238" s="343"/>
      <c r="V238" s="343"/>
      <c r="W238" s="2"/>
      <c r="X238" s="2"/>
      <c r="Y238" s="2"/>
      <c r="Z238" s="2"/>
      <c r="AA238" s="2"/>
      <c r="AB238" s="2"/>
      <c r="AC238" s="2"/>
      <c r="AD238" s="2"/>
      <c r="AE238" s="2"/>
      <c r="AF238" s="2"/>
      <c r="AG238" s="2"/>
      <c r="AH238" s="2"/>
      <c r="AI238" s="2"/>
      <c r="AJ238" s="2"/>
      <c r="AK238" s="2"/>
      <c r="AL238" s="2"/>
    </row>
    <row r="239" spans="1:38" ht="12.75" customHeight="1" x14ac:dyDescent="0.25">
      <c r="A239" s="2"/>
      <c r="B239" s="178"/>
      <c r="C239" s="779"/>
      <c r="D239" s="416" t="s">
        <v>74</v>
      </c>
      <c r="E239" s="2614" t="str">
        <f>Translations!$B$625</f>
        <v>Facklade restgastyper:</v>
      </c>
      <c r="F239" s="1960"/>
      <c r="G239" s="1960"/>
      <c r="H239" s="2520"/>
      <c r="I239" s="2621"/>
      <c r="J239" s="2510"/>
      <c r="K239" s="2510"/>
      <c r="L239" s="2510"/>
      <c r="M239" s="2511"/>
      <c r="N239" s="1807"/>
      <c r="O239" s="15"/>
      <c r="P239" s="1362"/>
      <c r="Q239" s="343"/>
      <c r="R239" s="2"/>
      <c r="S239" s="343"/>
      <c r="T239" s="2"/>
      <c r="U239" s="2"/>
      <c r="V239" s="2"/>
      <c r="W239" s="2"/>
      <c r="X239" s="2"/>
      <c r="Y239" s="2"/>
      <c r="Z239" s="2"/>
      <c r="AA239" s="2"/>
      <c r="AB239" s="2"/>
      <c r="AC239" s="672" t="s">
        <v>782</v>
      </c>
      <c r="AD239" s="108" t="b">
        <f>AD230</f>
        <v>0</v>
      </c>
      <c r="AE239" s="2"/>
      <c r="AF239" s="2"/>
      <c r="AG239" s="2"/>
      <c r="AH239" s="2"/>
      <c r="AI239" s="2"/>
      <c r="AJ239" s="2"/>
      <c r="AK239" s="2"/>
      <c r="AL239" s="2"/>
    </row>
    <row r="240" spans="1:38" ht="12.75" customHeight="1" x14ac:dyDescent="0.25">
      <c r="A240" s="2"/>
      <c r="B240" s="178"/>
      <c r="C240" s="779"/>
      <c r="D240" s="416"/>
      <c r="E240" s="2610" t="str">
        <f>Translations!$B$626</f>
        <v>Detta innefattar alla restgastyper som i slutändan blir föremål för annan fackling än säkerhetsfackling, antingen inom eller utanför delanläggningen.</v>
      </c>
      <c r="F240" s="1960"/>
      <c r="G240" s="1960"/>
      <c r="H240" s="1960"/>
      <c r="I240" s="1960"/>
      <c r="J240" s="1960"/>
      <c r="K240" s="1960"/>
      <c r="L240" s="1960"/>
      <c r="M240" s="1960"/>
      <c r="N240" s="2597"/>
      <c r="O240" s="15"/>
      <c r="P240" s="15"/>
      <c r="Q240" s="343"/>
      <c r="R240" s="2"/>
      <c r="S240" s="2"/>
      <c r="T240" s="343"/>
      <c r="U240" s="343"/>
      <c r="V240" s="343"/>
      <c r="W240" s="2"/>
      <c r="X240" s="2"/>
      <c r="Y240" s="2"/>
      <c r="Z240" s="2"/>
      <c r="AA240" s="2"/>
      <c r="AB240" s="2"/>
      <c r="AC240" s="2"/>
      <c r="AD240" s="2"/>
      <c r="AE240" s="2"/>
      <c r="AF240" s="2"/>
      <c r="AG240" s="2"/>
      <c r="AH240" s="2"/>
      <c r="AI240" s="2"/>
      <c r="AJ240" s="2"/>
      <c r="AK240" s="2"/>
      <c r="AL240" s="2"/>
    </row>
    <row r="241" spans="1:38" ht="12.75" customHeight="1" x14ac:dyDescent="0.25">
      <c r="A241" s="2"/>
      <c r="B241" s="178"/>
      <c r="C241" s="779"/>
      <c r="D241" s="780"/>
      <c r="E241" s="2610" t="str">
        <f>Translations!$B$627</f>
        <v>De uppgifter som anges här används bara i konsekvenskontrollsyfte och får ingen direkt påverkan på de utsläpp som kan tillskrivas.</v>
      </c>
      <c r="F241" s="1960"/>
      <c r="G241" s="1960"/>
      <c r="H241" s="1960"/>
      <c r="I241" s="1960"/>
      <c r="J241" s="1960"/>
      <c r="K241" s="1960"/>
      <c r="L241" s="1960"/>
      <c r="M241" s="1960"/>
      <c r="N241" s="2597"/>
      <c r="O241" s="15"/>
      <c r="P241" s="15"/>
      <c r="Q241" s="343"/>
      <c r="R241" s="2"/>
      <c r="S241" s="343"/>
      <c r="T241" s="343"/>
      <c r="U241" s="343"/>
      <c r="V241" s="343"/>
      <c r="W241" s="2"/>
      <c r="X241" s="2"/>
      <c r="Y241" s="2"/>
      <c r="Z241" s="2"/>
      <c r="AA241" s="2"/>
      <c r="AB241" s="2"/>
      <c r="AC241" s="2"/>
      <c r="AD241" s="2"/>
      <c r="AE241" s="2"/>
      <c r="AF241" s="2"/>
      <c r="AG241" s="2"/>
      <c r="AH241" s="2"/>
      <c r="AI241" s="2"/>
      <c r="AJ241" s="2"/>
      <c r="AK241" s="2"/>
      <c r="AL241" s="2"/>
    </row>
    <row r="242" spans="1:38" ht="12.75" customHeight="1" x14ac:dyDescent="0.25">
      <c r="A242" s="2"/>
      <c r="B242" s="178"/>
      <c r="C242" s="779"/>
      <c r="D242" s="780"/>
      <c r="E242" s="2596" t="str">
        <f>Translations!$B$628</f>
        <v>Från och med 2026 kommer dock tilldelningen att minskas med avseende på annan fackling av restgaser än säkerhetsfackling.</v>
      </c>
      <c r="F242" s="1960"/>
      <c r="G242" s="1960"/>
      <c r="H242" s="1960"/>
      <c r="I242" s="1960"/>
      <c r="J242" s="1960"/>
      <c r="K242" s="1960"/>
      <c r="L242" s="1960"/>
      <c r="M242" s="1960"/>
      <c r="N242" s="2597"/>
      <c r="O242" s="15"/>
      <c r="P242" s="15"/>
      <c r="Q242" s="343"/>
      <c r="R242" s="2"/>
      <c r="S242" s="343"/>
      <c r="T242" s="343"/>
      <c r="U242" s="343"/>
      <c r="V242" s="343"/>
      <c r="W242" s="343"/>
      <c r="X242" s="343"/>
      <c r="Y242" s="343"/>
      <c r="Z242" s="343"/>
      <c r="AA242" s="2"/>
      <c r="AB242" s="2"/>
      <c r="AC242" s="2"/>
      <c r="AD242" s="2"/>
      <c r="AE242" s="2"/>
      <c r="AF242" s="2"/>
      <c r="AG242" s="2"/>
      <c r="AH242" s="2"/>
      <c r="AI242" s="2"/>
      <c r="AJ242" s="2"/>
      <c r="AK242" s="2"/>
      <c r="AL242" s="2"/>
    </row>
    <row r="243" spans="1:38" ht="12.75" customHeight="1" thickBot="1" x14ac:dyDescent="0.3">
      <c r="A243" s="2"/>
      <c r="B243" s="178"/>
      <c r="C243" s="779"/>
      <c r="D243" s="780"/>
      <c r="E243" s="1716"/>
      <c r="F243" s="1717"/>
      <c r="G243" s="361" t="str">
        <f>EUconst_Unit</f>
        <v>Enhet</v>
      </c>
      <c r="H243" s="362">
        <f t="shared" ref="H243:N243" si="101">H$3042</f>
        <v>2019</v>
      </c>
      <c r="I243" s="1103">
        <f t="shared" si="101"/>
        <v>2020</v>
      </c>
      <c r="J243" s="1104">
        <f t="shared" si="101"/>
        <v>2021</v>
      </c>
      <c r="K243" s="362">
        <f t="shared" si="101"/>
        <v>2022</v>
      </c>
      <c r="L243" s="362">
        <f t="shared" si="101"/>
        <v>2023</v>
      </c>
      <c r="M243" s="362">
        <f t="shared" si="101"/>
        <v>2024</v>
      </c>
      <c r="N243" s="1141">
        <f t="shared" si="101"/>
        <v>2025</v>
      </c>
      <c r="O243" s="15"/>
      <c r="P243" s="15"/>
      <c r="Q243" s="343"/>
      <c r="R243" s="2"/>
      <c r="S243" s="343"/>
      <c r="T243" s="343"/>
      <c r="U243" s="343"/>
      <c r="V243" s="343"/>
      <c r="W243" s="343"/>
      <c r="X243" s="343"/>
      <c r="Y243" s="343"/>
      <c r="Z243" s="343"/>
      <c r="AA243" s="2"/>
      <c r="AB243" s="2"/>
      <c r="AC243" s="1044">
        <f t="shared" ref="AC243:AI243" si="102">H$20</f>
        <v>2019</v>
      </c>
      <c r="AD243" s="1044">
        <f t="shared" si="102"/>
        <v>2020</v>
      </c>
      <c r="AE243" s="1044">
        <f t="shared" si="102"/>
        <v>2021</v>
      </c>
      <c r="AF243" s="1044">
        <f t="shared" si="102"/>
        <v>2022</v>
      </c>
      <c r="AG243" s="1044">
        <f t="shared" si="102"/>
        <v>2023</v>
      </c>
      <c r="AH243" s="1044">
        <f t="shared" si="102"/>
        <v>2024</v>
      </c>
      <c r="AI243" s="1044">
        <f t="shared" si="102"/>
        <v>2025</v>
      </c>
      <c r="AJ243" s="2"/>
      <c r="AK243" s="2"/>
      <c r="AL243" s="2"/>
    </row>
    <row r="244" spans="1:38" ht="12.75" customHeight="1" x14ac:dyDescent="0.25">
      <c r="A244" s="2"/>
      <c r="B244" s="178"/>
      <c r="C244" s="779"/>
      <c r="D244" s="416" t="s">
        <v>1201</v>
      </c>
      <c r="E244" s="2611" t="str">
        <f>Translations!$B$629</f>
        <v>Facklade mängder</v>
      </c>
      <c r="F244" s="2484"/>
      <c r="G244" s="1314" t="s">
        <v>2202</v>
      </c>
      <c r="H244" s="1298"/>
      <c r="I244" s="1299"/>
      <c r="J244" s="1300"/>
      <c r="K244" s="1298"/>
      <c r="L244" s="1298"/>
      <c r="M244" s="1298"/>
      <c r="N244" s="1301"/>
      <c r="O244" s="15"/>
      <c r="P244" s="1362"/>
      <c r="Q244" s="343"/>
      <c r="R244" s="2"/>
      <c r="S244" s="343"/>
      <c r="T244" s="343"/>
      <c r="U244" s="343"/>
      <c r="V244" s="343"/>
      <c r="W244" s="343"/>
      <c r="X244" s="343"/>
      <c r="Y244" s="343"/>
      <c r="Z244" s="343"/>
      <c r="AA244" s="2"/>
      <c r="AB244" s="672" t="s">
        <v>782</v>
      </c>
      <c r="AC244" s="108" t="b">
        <f>AC234</f>
        <v>0</v>
      </c>
      <c r="AD244" s="108" t="b">
        <f t="shared" ref="AD244:AI244" si="103">AD234</f>
        <v>0</v>
      </c>
      <c r="AE244" s="108" t="b">
        <f t="shared" si="103"/>
        <v>0</v>
      </c>
      <c r="AF244" s="108" t="b">
        <f t="shared" si="103"/>
        <v>0</v>
      </c>
      <c r="AG244" s="108" t="b">
        <f t="shared" si="103"/>
        <v>0</v>
      </c>
      <c r="AH244" s="108" t="b">
        <f t="shared" si="103"/>
        <v>0</v>
      </c>
      <c r="AI244" s="108" t="b">
        <f t="shared" si="103"/>
        <v>0</v>
      </c>
      <c r="AJ244" s="553" t="s">
        <v>2248</v>
      </c>
      <c r="AK244" s="663" t="str">
        <f>IF(AND(CNTR_ExistSubInstEntries,MSconst_RequireSubAttrEmissions,COUNTIFS(AC244:AI244,FALSE,H244:N244,"")&gt;0),EUconst_Error&amp;"BM"&amp;$Q13,"")</f>
        <v/>
      </c>
      <c r="AL244" s="2"/>
    </row>
    <row r="245" spans="1:38" ht="12.75" customHeight="1" x14ac:dyDescent="0.25">
      <c r="A245" s="2"/>
      <c r="B245" s="178"/>
      <c r="C245" s="779"/>
      <c r="D245" s="416" t="s">
        <v>1202</v>
      </c>
      <c r="E245" s="2612" t="str">
        <f>Translations!$B$318</f>
        <v>Effektivt värmevärde</v>
      </c>
      <c r="F245" s="2487"/>
      <c r="G245" s="51" t="e">
        <f>IF(ISBLANK(G244),EUconst_GJperUnit,INDEX(EUconst_GJperTorKNm3,MATCH(G244,EUconst_TonnesOrkNm3pa,0)))</f>
        <v>#N/A</v>
      </c>
      <c r="H245" s="1306"/>
      <c r="I245" s="1307"/>
      <c r="J245" s="1308"/>
      <c r="K245" s="1306"/>
      <c r="L245" s="1306"/>
      <c r="M245" s="1306"/>
      <c r="N245" s="1309"/>
      <c r="O245" s="15"/>
      <c r="P245" s="1362"/>
      <c r="Q245" s="2"/>
      <c r="R245" s="2"/>
      <c r="S245" s="343"/>
      <c r="T245" s="343"/>
      <c r="U245" s="343"/>
      <c r="V245" s="343"/>
      <c r="W245" s="343"/>
      <c r="X245" s="343"/>
      <c r="Y245" s="343"/>
      <c r="Z245" s="343"/>
      <c r="AA245" s="2"/>
      <c r="AB245" s="2"/>
      <c r="AC245" s="108" t="b">
        <f>AC244</f>
        <v>0</v>
      </c>
      <c r="AD245" s="108" t="b">
        <f t="shared" ref="AD245:AI245" si="104">AD244</f>
        <v>0</v>
      </c>
      <c r="AE245" s="108" t="b">
        <f t="shared" si="104"/>
        <v>0</v>
      </c>
      <c r="AF245" s="108" t="b">
        <f t="shared" si="104"/>
        <v>0</v>
      </c>
      <c r="AG245" s="108" t="b">
        <f t="shared" si="104"/>
        <v>0</v>
      </c>
      <c r="AH245" s="108" t="b">
        <f t="shared" si="104"/>
        <v>0</v>
      </c>
      <c r="AI245" s="108" t="b">
        <f t="shared" si="104"/>
        <v>0</v>
      </c>
      <c r="AJ245" s="553" t="s">
        <v>2248</v>
      </c>
      <c r="AK245" s="663" t="str">
        <f>IF(AND(CNTR_ExistSubInstEntries,MSconst_RequireSubAttrEmissions,COUNTIFS(AC245:AI245,FALSE,H245:N245,"")&gt;0),EUconst_Error&amp;"BM"&amp;$Q13,"")</f>
        <v/>
      </c>
      <c r="AL245" s="2"/>
    </row>
    <row r="246" spans="1:38" ht="12.75" customHeight="1" x14ac:dyDescent="0.25">
      <c r="A246" s="2"/>
      <c r="B246" s="178"/>
      <c r="C246" s="779"/>
      <c r="D246" s="416" t="s">
        <v>1203</v>
      </c>
      <c r="E246" s="2613" t="str">
        <f>Translations!$B$630</f>
        <v>Facklad restgas</v>
      </c>
      <c r="F246" s="1997"/>
      <c r="G246" s="364" t="str">
        <f>EUconst_TJpa</f>
        <v>TJ / år</v>
      </c>
      <c r="H246" s="414" t="str">
        <f t="shared" ref="H246:N246" si="105">IF(COUNT(H244:H245)=2,H244*H245/1000,"")</f>
        <v/>
      </c>
      <c r="I246" s="1108" t="str">
        <f t="shared" si="105"/>
        <v/>
      </c>
      <c r="J246" s="1114" t="str">
        <f t="shared" si="105"/>
        <v/>
      </c>
      <c r="K246" s="414" t="str">
        <f t="shared" si="105"/>
        <v/>
      </c>
      <c r="L246" s="414" t="str">
        <f t="shared" si="105"/>
        <v/>
      </c>
      <c r="M246" s="414" t="str">
        <f t="shared" si="105"/>
        <v/>
      </c>
      <c r="N246" s="1147" t="str">
        <f t="shared" si="105"/>
        <v/>
      </c>
      <c r="O246" s="15"/>
      <c r="P246" s="15"/>
      <c r="Q246" s="165" t="str">
        <f>EUconst_CNTR_WGFlared &amp; I13</f>
        <v>WasteGasFlare_</v>
      </c>
      <c r="R246" s="2"/>
      <c r="S246" s="343"/>
      <c r="T246" s="343"/>
      <c r="U246" s="343"/>
      <c r="V246" s="343"/>
      <c r="W246" s="343"/>
      <c r="X246" s="343"/>
      <c r="Y246" s="343"/>
      <c r="Z246" s="343"/>
      <c r="AA246" s="2"/>
      <c r="AB246" s="2"/>
      <c r="AC246" s="2"/>
      <c r="AD246" s="2"/>
      <c r="AE246" s="2"/>
      <c r="AF246" s="2"/>
      <c r="AG246" s="2"/>
      <c r="AH246" s="2"/>
      <c r="AI246" s="2"/>
      <c r="AJ246" s="2"/>
      <c r="AK246" s="2"/>
      <c r="AL246" s="2"/>
    </row>
    <row r="247" spans="1:38" ht="12.75" customHeight="1" x14ac:dyDescent="0.25">
      <c r="A247" s="2"/>
      <c r="B247" s="178"/>
      <c r="C247" s="779"/>
      <c r="D247" s="416" t="s">
        <v>1204</v>
      </c>
      <c r="E247" s="2613" t="str">
        <f>Translations!$B$631</f>
        <v>Särskild emissionsfaktor (facklad restgas)</v>
      </c>
      <c r="F247" s="1997"/>
      <c r="G247" s="364" t="str">
        <f>EUconst_tCO2pTJ</f>
        <v>t CO2 / TJ</v>
      </c>
      <c r="H247" s="582"/>
      <c r="I247" s="1105"/>
      <c r="J247" s="1115"/>
      <c r="K247" s="582"/>
      <c r="L247" s="582"/>
      <c r="M247" s="582"/>
      <c r="N247" s="1146"/>
      <c r="O247" s="15"/>
      <c r="P247" s="1362"/>
      <c r="Q247" s="165" t="str">
        <f>EUconst_CNTR_WGFlaredEF &amp; I13</f>
        <v>WasteGasFlareEF_</v>
      </c>
      <c r="R247" s="2"/>
      <c r="S247" s="343"/>
      <c r="T247" s="343"/>
      <c r="U247" s="343"/>
      <c r="V247" s="343"/>
      <c r="W247" s="343"/>
      <c r="X247" s="343"/>
      <c r="Y247" s="343"/>
      <c r="Z247" s="343"/>
      <c r="AA247" s="2"/>
      <c r="AB247" s="672" t="s">
        <v>782</v>
      </c>
      <c r="AC247" s="108" t="b">
        <f>AC245</f>
        <v>0</v>
      </c>
      <c r="AD247" s="108" t="b">
        <f t="shared" ref="AD247:AI247" si="106">AD245</f>
        <v>0</v>
      </c>
      <c r="AE247" s="108" t="b">
        <f t="shared" si="106"/>
        <v>0</v>
      </c>
      <c r="AF247" s="108" t="b">
        <f t="shared" si="106"/>
        <v>0</v>
      </c>
      <c r="AG247" s="108" t="b">
        <f t="shared" si="106"/>
        <v>0</v>
      </c>
      <c r="AH247" s="108" t="b">
        <f t="shared" si="106"/>
        <v>0</v>
      </c>
      <c r="AI247" s="108" t="b">
        <f t="shared" si="106"/>
        <v>0</v>
      </c>
      <c r="AJ247" s="553" t="s">
        <v>2248</v>
      </c>
      <c r="AK247" s="663" t="str">
        <f>IF(AND(CNTR_ExistSubInstEntries,MSconst_RequireSubAttrEmissions,COUNTIFS(AC247:AI247,FALSE,H247:N247,"")&gt;0),EUconst_Error&amp;"BM"&amp;$Q13,"")</f>
        <v/>
      </c>
      <c r="AL247" s="2"/>
    </row>
    <row r="248" spans="1:38" ht="5.15" customHeight="1" thickBot="1" x14ac:dyDescent="0.3">
      <c r="A248" s="2"/>
      <c r="B248" s="178"/>
      <c r="C248" s="779"/>
      <c r="D248" s="780"/>
      <c r="E248" s="780"/>
      <c r="F248" s="780"/>
      <c r="G248" s="780"/>
      <c r="H248" s="1805"/>
      <c r="I248" s="780"/>
      <c r="J248" s="780"/>
      <c r="K248" s="780"/>
      <c r="L248" s="780"/>
      <c r="M248" s="623"/>
      <c r="N248" s="519"/>
      <c r="O248" s="15"/>
      <c r="P248" s="15"/>
      <c r="Q248" s="343"/>
      <c r="R248" s="2"/>
      <c r="S248" s="343"/>
      <c r="T248" s="343"/>
      <c r="U248" s="343"/>
      <c r="V248" s="343"/>
      <c r="W248" s="2"/>
      <c r="X248" s="2"/>
      <c r="Y248" s="2"/>
      <c r="Z248" s="2"/>
      <c r="AA248" s="2"/>
      <c r="AB248" s="2"/>
      <c r="AC248" s="2"/>
      <c r="AD248" s="2"/>
      <c r="AE248" s="2"/>
      <c r="AF248" s="2"/>
      <c r="AG248" s="2"/>
      <c r="AH248" s="2"/>
      <c r="AI248" s="2"/>
      <c r="AJ248" s="2"/>
      <c r="AK248" s="2"/>
      <c r="AL248" s="2"/>
    </row>
    <row r="249" spans="1:38" ht="12.75" customHeight="1" thickBot="1" x14ac:dyDescent="0.3">
      <c r="A249" s="2"/>
      <c r="B249" s="178"/>
      <c r="C249" s="779"/>
      <c r="D249" s="780"/>
      <c r="E249" s="2613" t="str">
        <f>Translations!$B$1484</f>
        <v>Mängd facklad restgas</v>
      </c>
      <c r="F249" s="2613"/>
      <c r="G249" s="1206" t="str">
        <f>EUconst_tCO2</f>
        <v>t CO2</v>
      </c>
      <c r="H249" s="626" t="str">
        <f t="shared" ref="H249:N249" si="107">IF(T21,SUM(H246)*SUM(H247),"")</f>
        <v/>
      </c>
      <c r="I249" s="1364" t="str">
        <f t="shared" si="107"/>
        <v/>
      </c>
      <c r="J249" s="1365" t="str">
        <f t="shared" si="107"/>
        <v/>
      </c>
      <c r="K249" s="626" t="str">
        <f t="shared" si="107"/>
        <v/>
      </c>
      <c r="L249" s="626" t="str">
        <f t="shared" si="107"/>
        <v/>
      </c>
      <c r="M249" s="626" t="str">
        <f t="shared" si="107"/>
        <v/>
      </c>
      <c r="N249" s="626" t="str">
        <f t="shared" si="107"/>
        <v/>
      </c>
      <c r="O249" s="15"/>
      <c r="P249" s="15"/>
      <c r="Q249" s="165" t="str">
        <f>EUconst_CNTR_HAL &amp; EUconst_CNTR_WGFlared &amp; I13</f>
        <v>HAL_WasteGasFlare_</v>
      </c>
      <c r="R249" s="2"/>
      <c r="S249" s="553" t="s">
        <v>1962</v>
      </c>
      <c r="T249" s="445" t="b">
        <f>CNTR_SubPeriod=2</f>
        <v>1</v>
      </c>
      <c r="U249" s="343"/>
      <c r="V249" s="343"/>
      <c r="W249" s="2"/>
      <c r="X249" s="2"/>
      <c r="Y249" s="2"/>
      <c r="Z249" s="2"/>
      <c r="AA249" s="2"/>
      <c r="AB249" s="2"/>
      <c r="AC249" s="2"/>
      <c r="AD249" s="2"/>
      <c r="AE249" s="2"/>
      <c r="AF249" s="2"/>
      <c r="AG249" s="2"/>
      <c r="AH249" s="2"/>
      <c r="AI249" s="2"/>
      <c r="AJ249" s="2"/>
      <c r="AK249" s="2"/>
      <c r="AL249" s="2"/>
    </row>
    <row r="250" spans="1:38" ht="5.15" customHeight="1" thickBot="1" x14ac:dyDescent="0.3">
      <c r="A250" s="2"/>
      <c r="B250" s="178"/>
      <c r="C250" s="779"/>
      <c r="D250" s="780"/>
      <c r="E250" s="780"/>
      <c r="F250" s="780"/>
      <c r="G250" s="780"/>
      <c r="H250" s="1805"/>
      <c r="I250" s="780"/>
      <c r="J250" s="780"/>
      <c r="K250" s="780"/>
      <c r="L250" s="780"/>
      <c r="M250" s="623"/>
      <c r="N250" s="519"/>
      <c r="O250" s="15"/>
      <c r="P250" s="15"/>
      <c r="Q250" s="343"/>
      <c r="R250" s="2"/>
      <c r="S250" s="343"/>
      <c r="T250" s="343"/>
      <c r="U250" s="343"/>
      <c r="V250" s="343"/>
      <c r="W250" s="2"/>
      <c r="X250" s="2"/>
      <c r="Y250" s="2"/>
      <c r="Z250" s="2"/>
      <c r="AA250" s="2"/>
      <c r="AB250" s="2"/>
      <c r="AC250" s="2"/>
      <c r="AD250" s="2"/>
      <c r="AE250" s="2"/>
      <c r="AF250" s="2"/>
      <c r="AG250" s="2"/>
      <c r="AH250" s="2"/>
      <c r="AI250" s="2"/>
      <c r="AJ250" s="2"/>
      <c r="AK250" s="2"/>
      <c r="AL250" s="2"/>
    </row>
    <row r="251" spans="1:38" ht="5.15" customHeight="1" thickBot="1" x14ac:dyDescent="0.3">
      <c r="A251" s="2"/>
      <c r="B251" s="178"/>
      <c r="C251" s="779"/>
      <c r="D251" s="1263"/>
      <c r="E251" s="1264"/>
      <c r="F251" s="1264"/>
      <c r="G251" s="1264"/>
      <c r="H251" s="1265"/>
      <c r="I251" s="1264"/>
      <c r="J251" s="1264"/>
      <c r="K251" s="1264"/>
      <c r="L251" s="1264"/>
      <c r="M251" s="1266"/>
      <c r="N251" s="1267"/>
      <c r="O251" s="15"/>
      <c r="P251" s="15"/>
      <c r="Q251" s="343"/>
      <c r="R251" s="2"/>
      <c r="S251" s="343"/>
      <c r="T251" s="343"/>
      <c r="U251" s="343"/>
      <c r="V251" s="343"/>
      <c r="W251" s="2"/>
      <c r="X251" s="2"/>
      <c r="Y251" s="2"/>
      <c r="Z251" s="2"/>
      <c r="AA251" s="2"/>
      <c r="AB251" s="2"/>
      <c r="AC251" s="2"/>
      <c r="AD251" s="2"/>
      <c r="AE251" s="2"/>
      <c r="AF251" s="2"/>
      <c r="AG251" s="2"/>
      <c r="AH251" s="2"/>
      <c r="AI251" s="2"/>
      <c r="AJ251" s="2"/>
      <c r="AK251" s="2"/>
      <c r="AL251" s="2"/>
    </row>
    <row r="252" spans="1:38" ht="12.75" customHeight="1" x14ac:dyDescent="0.25">
      <c r="A252" s="2"/>
      <c r="B252" s="178"/>
      <c r="C252" s="779"/>
      <c r="D252" s="1290" t="s">
        <v>2193</v>
      </c>
      <c r="E252" s="2619" t="str">
        <f>Translations!$B$1485</f>
        <v>Justeringar: facklad restgas</v>
      </c>
      <c r="F252" s="2497"/>
      <c r="G252" s="2497"/>
      <c r="H252" s="1228" t="str">
        <f>EUconst_Unit</f>
        <v>Enhet</v>
      </c>
      <c r="I252" s="1229" t="str">
        <f>Translations!$B$1481</f>
        <v>Värde (NIMs)</v>
      </c>
      <c r="J252" s="1268">
        <f>J$3042</f>
        <v>2021</v>
      </c>
      <c r="K252" s="1230">
        <f>K$3042</f>
        <v>2022</v>
      </c>
      <c r="L252" s="1230">
        <f>L$3042</f>
        <v>2023</v>
      </c>
      <c r="M252" s="1230">
        <f>M$3042</f>
        <v>2024</v>
      </c>
      <c r="N252" s="1258">
        <f>N$3042</f>
        <v>2025</v>
      </c>
      <c r="O252" s="15"/>
      <c r="P252" s="15"/>
      <c r="Q252" s="343"/>
      <c r="R252" s="2"/>
      <c r="S252" s="2"/>
      <c r="T252" s="2"/>
      <c r="U252" s="772"/>
      <c r="V252" s="1077">
        <f>J252</f>
        <v>2021</v>
      </c>
      <c r="W252" s="1077">
        <f>K252</f>
        <v>2022</v>
      </c>
      <c r="X252" s="1077">
        <f>L252</f>
        <v>2023</v>
      </c>
      <c r="Y252" s="1077">
        <f>M252</f>
        <v>2024</v>
      </c>
      <c r="Z252" s="1078">
        <f>N252</f>
        <v>2025</v>
      </c>
      <c r="AA252" s="2"/>
      <c r="AB252" s="2"/>
      <c r="AC252" s="2"/>
      <c r="AD252" s="2"/>
      <c r="AE252" s="2"/>
      <c r="AF252" s="2"/>
      <c r="AG252" s="2"/>
      <c r="AH252" s="2"/>
      <c r="AI252" s="2"/>
      <c r="AJ252" s="2"/>
      <c r="AK252" s="2"/>
      <c r="AL252" s="2"/>
    </row>
    <row r="253" spans="1:38" ht="12.75" customHeight="1" x14ac:dyDescent="0.25">
      <c r="A253" s="2"/>
      <c r="B253" s="178"/>
      <c r="C253" s="779"/>
      <c r="D253" s="1246" t="s">
        <v>8</v>
      </c>
      <c r="E253" s="2618" t="str">
        <f>Translations!$B$1482</f>
        <v>Genomsnittligt årligt värde</v>
      </c>
      <c r="F253" s="1997"/>
      <c r="G253" s="1997"/>
      <c r="H253" s="1232" t="str">
        <f>G249</f>
        <v>t CO2</v>
      </c>
      <c r="I253" s="990" t="str">
        <f>INDEX('B+C_SubInstallations'!$K:$K,MATCH(Q253,'B+C_SubInstallations'!$V:$V,0))</f>
        <v/>
      </c>
      <c r="J253" s="1215" t="str">
        <f>IF($T249&lt;&gt;TRUE,"",IF(AND(V253&gt;=3,CNTR_ReportingYear&gt;J252-1),AVERAGE(SUM(H249),SUM(I249)),""))</f>
        <v/>
      </c>
      <c r="K253" s="1216" t="str">
        <f>IF($T249&lt;&gt;TRUE,"",IF(AND(W253&gt;=3,CNTR_ReportingYear&gt;K252-1),AVERAGE(SUM(I249),SUM(J249)),""))</f>
        <v/>
      </c>
      <c r="L253" s="1216" t="str">
        <f>IF($T249&lt;&gt;TRUE,"",IF(AND(X253&gt;=3,CNTR_ReportingYear&gt;L252-1),AVERAGE(SUM(J249),SUM(K249)),""))</f>
        <v/>
      </c>
      <c r="M253" s="1216" t="str">
        <f>IF($T249&lt;&gt;TRUE,"",IF(AND(Y253&gt;=3,CNTR_ReportingYear&gt;M252-1),AVERAGE(SUM(K249),SUM(L249)),""))</f>
        <v/>
      </c>
      <c r="N253" s="1227" t="str">
        <f>IF($T249&lt;&gt;TRUE,"",IF(AND(Z253&gt;=3,CNTR_ReportingYear&gt;N252-1),AVERAGE(SUM(L249),SUM(M249)),""))</f>
        <v/>
      </c>
      <c r="O253" s="15"/>
      <c r="P253" s="15"/>
      <c r="Q253" s="165" t="str">
        <f>EUconst_CNTR_HALinitial &amp; EUconst_CNTR_WGFlared &amp; I13</f>
        <v>HALini_WasteGasFlare_</v>
      </c>
      <c r="R253" s="2"/>
      <c r="S253" s="2"/>
      <c r="T253" s="2"/>
      <c r="U253" s="1079" t="s">
        <v>1850</v>
      </c>
      <c r="V253" s="663">
        <f>V35</f>
        <v>0</v>
      </c>
      <c r="W253" s="663">
        <f>W35</f>
        <v>0</v>
      </c>
      <c r="X253" s="663">
        <f>X35</f>
        <v>0</v>
      </c>
      <c r="Y253" s="663">
        <f>Y35</f>
        <v>0</v>
      </c>
      <c r="Z253" s="1080">
        <f>Z35</f>
        <v>0</v>
      </c>
      <c r="AA253" s="2"/>
      <c r="AB253" s="2"/>
      <c r="AC253" s="2"/>
      <c r="AD253" s="2"/>
      <c r="AE253" s="2"/>
      <c r="AF253" s="2"/>
      <c r="AG253" s="2"/>
      <c r="AH253" s="2"/>
      <c r="AI253" s="2"/>
      <c r="AJ253" s="2"/>
      <c r="AK253" s="2"/>
      <c r="AL253" s="2"/>
    </row>
    <row r="254" spans="1:38" ht="12.75" hidden="1" customHeight="1" x14ac:dyDescent="0.25">
      <c r="A254" s="343" t="s">
        <v>346</v>
      </c>
      <c r="B254" s="178"/>
      <c r="C254" s="779"/>
      <c r="D254" s="1246"/>
      <c r="E254" s="2618" t="s">
        <v>1980</v>
      </c>
      <c r="F254" s="1997"/>
      <c r="G254" s="1997"/>
      <c r="H254" s="1233"/>
      <c r="I254" s="1235"/>
      <c r="J254" s="1013" t="str">
        <f>IF(J253="","",IF($I256=0,IF(J253=0,0%,100%),J253/$I256-1))</f>
        <v/>
      </c>
      <c r="K254" s="938" t="str">
        <f>IF(K253="","",IF($I256=0,IF(K253=0,0%,100%),K253/$I256-1))</f>
        <v/>
      </c>
      <c r="L254" s="938" t="str">
        <f>IF(L253="","",IF($I256=0,IF(L253=0,0%,100%),L253/$I256-1))</f>
        <v/>
      </c>
      <c r="M254" s="938" t="str">
        <f>IF(M253="","",IF($I256=0,IF(M253=0,0%,100%),M253/$I256-1))</f>
        <v/>
      </c>
      <c r="N254" s="1223" t="str">
        <f>IF(N253="","",IF($I256=0,IF(N253=0,0%,100%),N253/$I256-1))</f>
        <v/>
      </c>
      <c r="O254" s="15"/>
      <c r="P254" s="15"/>
      <c r="Q254" s="165" t="str">
        <f>EUconst_CNTR_RelThreshold &amp; Q256</f>
        <v>RelThresh_HALprelim_WasteGasFlare_</v>
      </c>
      <c r="R254" s="2"/>
      <c r="S254" s="2"/>
      <c r="T254" s="2"/>
      <c r="U254" s="1079" t="s">
        <v>1855</v>
      </c>
      <c r="V254" s="603" t="str">
        <f>IF(J253="","",ABS(J254)&gt;15%)</f>
        <v/>
      </c>
      <c r="W254" s="603" t="str">
        <f>IF(K253="","",ABS(K254)&gt;15%)</f>
        <v/>
      </c>
      <c r="X254" s="603" t="str">
        <f>IF(L253="","",ABS(L254)&gt;15%)</f>
        <v/>
      </c>
      <c r="Y254" s="603" t="str">
        <f>IF(M253="","",ABS(M254)&gt;15%)</f>
        <v/>
      </c>
      <c r="Z254" s="1756" t="str">
        <f>IF(N253="","",ABS(N254)&gt;15%)</f>
        <v/>
      </c>
      <c r="AA254" s="2"/>
      <c r="AB254" s="2"/>
      <c r="AC254" s="2"/>
      <c r="AD254" s="2"/>
      <c r="AE254" s="2"/>
      <c r="AF254" s="2"/>
      <c r="AG254" s="2"/>
      <c r="AH254" s="2"/>
      <c r="AI254" s="2"/>
      <c r="AJ254" s="2"/>
      <c r="AK254" s="2"/>
      <c r="AL254" s="2"/>
    </row>
    <row r="255" spans="1:38" ht="12.75" customHeight="1" x14ac:dyDescent="0.25">
      <c r="A255" s="343"/>
      <c r="B255" s="178"/>
      <c r="C255" s="779"/>
      <c r="D255" s="1246" t="s">
        <v>9</v>
      </c>
      <c r="E255" s="2618" t="str">
        <f>Translations!$B$1474</f>
        <v>Preliminär justering (om relativa tröskelvärden överskrids)</v>
      </c>
      <c r="F255" s="1997"/>
      <c r="G255" s="1997"/>
      <c r="H255" s="1233"/>
      <c r="I255" s="1235"/>
      <c r="J255" s="992" t="str">
        <f>IF(J253="","",IF(V254=FALSE,0%,J254))</f>
        <v/>
      </c>
      <c r="K255" s="937" t="str">
        <f>IF(K253="","",IF(W254=FALSE,0%,K254))</f>
        <v/>
      </c>
      <c r="L255" s="937" t="str">
        <f>IF(L253="","",IF(X254=FALSE,0%,L254))</f>
        <v/>
      </c>
      <c r="M255" s="937" t="str">
        <f>IF(M253="","",IF(Y254=FALSE,0%,M254))</f>
        <v/>
      </c>
      <c r="N255" s="1220" t="str">
        <f>IF(N253="","",IF(Z254=FALSE,0%,N254))</f>
        <v/>
      </c>
      <c r="O255" s="15"/>
      <c r="P255" s="15"/>
      <c r="Q255" s="343"/>
      <c r="R255" s="2"/>
      <c r="S255" s="2"/>
      <c r="T255" s="2"/>
      <c r="U255" s="1081"/>
      <c r="V255" s="2"/>
      <c r="W255" s="2"/>
      <c r="X255" s="2"/>
      <c r="Y255" s="2"/>
      <c r="Z255" s="228"/>
      <c r="AA255" s="2"/>
      <c r="AB255" s="2"/>
      <c r="AC255" s="2"/>
      <c r="AD255" s="2"/>
      <c r="AE255" s="2"/>
      <c r="AF255" s="2"/>
      <c r="AG255" s="2"/>
      <c r="AH255" s="2"/>
      <c r="AI255" s="2"/>
      <c r="AJ255" s="2"/>
      <c r="AK255" s="2"/>
      <c r="AL255" s="2"/>
    </row>
    <row r="256" spans="1:38" ht="12.75" hidden="1" customHeight="1" x14ac:dyDescent="0.25">
      <c r="A256" s="343" t="s">
        <v>346</v>
      </c>
      <c r="B256" s="178"/>
      <c r="C256" s="779"/>
      <c r="D256" s="1246"/>
      <c r="E256" s="2618" t="s">
        <v>1889</v>
      </c>
      <c r="F256" s="1997"/>
      <c r="G256" s="1997"/>
      <c r="H256" s="1232" t="str">
        <f>H253</f>
        <v>t CO2</v>
      </c>
      <c r="I256" s="990" t="str">
        <f>IF($I13="","",IF(AB13=FALSE,EUconst_NA,IF(V13&gt;($J$3042-3),INDEX(H249:N249,MATCH(V13,H243:N243,0)),SUM(I253))))</f>
        <v/>
      </c>
      <c r="J256" s="993" t="str">
        <f>IF($I13="","",IF(V253&lt;2,SUM(J249),IF(V253&lt;3,SUM(I249),IF(V256="",I256,V256))))</f>
        <v/>
      </c>
      <c r="K256" s="920" t="str">
        <f>IF($I13="","",IF(W253&lt;2,SUM(K249),IF(W253&lt;3,SUM(J249),IF(W256="",J256,W256))))</f>
        <v/>
      </c>
      <c r="L256" s="920" t="str">
        <f>IF($I13="","",IF(X253&lt;2,SUM(L249),IF(X253&lt;3,SUM(K249),IF(X256="",K256,X256))))</f>
        <v/>
      </c>
      <c r="M256" s="920" t="str">
        <f>IF($I13="","",IF(Y253&lt;2,SUM(M249),IF(Y253&lt;3,SUM(L249),IF(Y256="",L256,Y256))))</f>
        <v/>
      </c>
      <c r="N256" s="1218" t="str">
        <f>IF($I13="","",IF(Z253&lt;2,SUM(N249),IF(Z253&lt;3,SUM(M249),IF(Z256="",M256,Z256))))</f>
        <v/>
      </c>
      <c r="O256" s="15"/>
      <c r="P256" s="15"/>
      <c r="Q256" s="165" t="str">
        <f>EUconst_CNTR_HALprelim&amp;EUconst_CNTR_WGFlared &amp; I13</f>
        <v>HALprelim_WasteGasFlare_</v>
      </c>
      <c r="R256" s="2"/>
      <c r="S256" s="2"/>
      <c r="T256" s="2"/>
      <c r="U256" s="1079" t="s">
        <v>1898</v>
      </c>
      <c r="V256" s="1752" t="str">
        <f>IF(J253="","",IF(CNTR_ReportingYear&lt;J252,I255,IF($I256=0,J253,$I256*(1+J255))))</f>
        <v/>
      </c>
      <c r="W256" s="1752" t="str">
        <f>IF(K253="","",IF(CNTR_ReportingYear&lt;K252,J255,IF($I256=0,K253,$I256*(1+K255))))</f>
        <v/>
      </c>
      <c r="X256" s="1752" t="str">
        <f>IF(L253="","",IF(CNTR_ReportingYear&lt;L252,K255,IF($I256=0,L253,$I256*(1+L255))))</f>
        <v/>
      </c>
      <c r="Y256" s="1752" t="str">
        <f>IF(M253="","",IF(CNTR_ReportingYear&lt;M252,L255,IF($I256=0,M253,$I256*(1+M255))))</f>
        <v/>
      </c>
      <c r="Z256" s="1761" t="str">
        <f>IF(N253="","",IF(CNTR_ReportingYear&lt;N252,M255,IF($I256=0,N253,$I256*(1+N255))))</f>
        <v/>
      </c>
      <c r="AA256" s="2"/>
      <c r="AB256" s="2"/>
      <c r="AC256" s="2"/>
      <c r="AD256" s="2"/>
      <c r="AE256" s="2"/>
      <c r="AF256" s="2"/>
      <c r="AG256" s="2"/>
      <c r="AH256" s="2"/>
      <c r="AI256" s="2"/>
      <c r="AJ256" s="2"/>
      <c r="AK256" s="2"/>
      <c r="AL256" s="2"/>
    </row>
    <row r="257" spans="1:38" ht="5.15" customHeight="1" x14ac:dyDescent="0.25">
      <c r="A257" s="343"/>
      <c r="B257" s="178"/>
      <c r="C257" s="779"/>
      <c r="D257" s="1246"/>
      <c r="E257" s="1244"/>
      <c r="F257" s="1244"/>
      <c r="G257" s="1244"/>
      <c r="H257" s="1244"/>
      <c r="I257" s="1244"/>
      <c r="J257" s="1236"/>
      <c r="K257" s="1236"/>
      <c r="L257" s="1236"/>
      <c r="M257" s="1236"/>
      <c r="N257" s="1247"/>
      <c r="O257" s="15"/>
      <c r="P257" s="15"/>
      <c r="Q257" s="343"/>
      <c r="R257" s="2"/>
      <c r="S257" s="2"/>
      <c r="T257" s="2"/>
      <c r="U257" s="1086"/>
      <c r="V257" s="343"/>
      <c r="W257" s="2"/>
      <c r="X257" s="2"/>
      <c r="Y257" s="2"/>
      <c r="Z257" s="228"/>
      <c r="AA257" s="2"/>
      <c r="AB257" s="2"/>
      <c r="AC257" s="2"/>
      <c r="AD257" s="2"/>
      <c r="AE257" s="2"/>
      <c r="AF257" s="2"/>
      <c r="AG257" s="2"/>
      <c r="AH257" s="2"/>
      <c r="AI257" s="2"/>
      <c r="AJ257" s="2"/>
      <c r="AK257" s="2"/>
      <c r="AL257" s="2"/>
    </row>
    <row r="258" spans="1:38" ht="12.75" customHeight="1" x14ac:dyDescent="0.25">
      <c r="A258" s="343"/>
      <c r="B258" s="178"/>
      <c r="C258" s="779"/>
      <c r="D258" s="1246"/>
      <c r="E258" s="2619" t="str">
        <f>Translations!$B$1475</f>
        <v>Faktisk justering (grund för följande år)</v>
      </c>
      <c r="F258" s="2497"/>
      <c r="G258" s="2497"/>
      <c r="H258" s="2497"/>
      <c r="I258" s="2616"/>
      <c r="J258" s="1268">
        <f>J$3042</f>
        <v>2021</v>
      </c>
      <c r="K258" s="1230">
        <f>K$3042</f>
        <v>2022</v>
      </c>
      <c r="L258" s="1230">
        <f>L$3042</f>
        <v>2023</v>
      </c>
      <c r="M258" s="1230">
        <f>M$3042</f>
        <v>2024</v>
      </c>
      <c r="N258" s="1258">
        <f>N$3042</f>
        <v>2025</v>
      </c>
      <c r="O258" s="15"/>
      <c r="P258" s="15"/>
      <c r="Q258" s="343"/>
      <c r="R258" s="2"/>
      <c r="S258" s="2"/>
      <c r="T258" s="2"/>
      <c r="U258" s="584"/>
      <c r="V258" s="2"/>
      <c r="W258" s="2"/>
      <c r="X258" s="2"/>
      <c r="Y258" s="2"/>
      <c r="Z258" s="228"/>
      <c r="AA258" s="2"/>
      <c r="AB258" s="2"/>
      <c r="AC258" s="2"/>
      <c r="AD258" s="2"/>
      <c r="AE258" s="2"/>
      <c r="AF258" s="2"/>
      <c r="AG258" s="2"/>
      <c r="AH258" s="2"/>
      <c r="AI258" s="2"/>
      <c r="AJ258" s="2"/>
      <c r="AK258" s="2"/>
      <c r="AL258" s="2"/>
    </row>
    <row r="259" spans="1:38" ht="12.75" customHeight="1" x14ac:dyDescent="0.25">
      <c r="A259" s="343"/>
      <c r="B259" s="178"/>
      <c r="C259" s="779"/>
      <c r="D259" s="1246" t="s">
        <v>10</v>
      </c>
      <c r="E259" s="2618" t="str">
        <f>Translations!$B$1476</f>
        <v>&gt;= 100 utsläppsrätter kriterium uppnått?</v>
      </c>
      <c r="F259" s="1997"/>
      <c r="G259" s="1997"/>
      <c r="H259" s="1997"/>
      <c r="I259" s="2620"/>
      <c r="J259" s="994" t="str">
        <f>IF($I13="","",INDEX(K_Summary!J:J,MATCH($Q259,K_Summary!$P:$P,0)))</f>
        <v/>
      </c>
      <c r="K259" s="912" t="str">
        <f>IF($I13="","",INDEX(K_Summary!K:K,MATCH($Q259,K_Summary!$P:$P,0)))</f>
        <v/>
      </c>
      <c r="L259" s="912" t="str">
        <f>IF($I13="","",INDEX(K_Summary!L:L,MATCH($Q259,K_Summary!$P:$P,0)))</f>
        <v/>
      </c>
      <c r="M259" s="912" t="str">
        <f>IF($I13="","",INDEX(K_Summary!M:M,MATCH($Q259,K_Summary!$P:$P,0)))</f>
        <v/>
      </c>
      <c r="N259" s="1221" t="str">
        <f>IF($I13="","",INDEX(K_Summary!N:N,MATCH($Q259,K_Summary!$P:$P,0)))</f>
        <v/>
      </c>
      <c r="O259" s="15"/>
      <c r="P259" s="15"/>
      <c r="Q259" s="165" t="str">
        <f>EUconst_CNTR_100EUA_WGFlare&amp;I13</f>
        <v>EUA100WGFlare_</v>
      </c>
      <c r="R259" s="2"/>
      <c r="S259" s="2"/>
      <c r="T259" s="2"/>
      <c r="U259" s="584"/>
      <c r="V259" s="2"/>
      <c r="W259" s="2"/>
      <c r="X259" s="2"/>
      <c r="Y259" s="2"/>
      <c r="Z259" s="228"/>
      <c r="AA259" s="2"/>
      <c r="AB259" s="2"/>
      <c r="AC259" s="2"/>
      <c r="AD259" s="2"/>
      <c r="AE259" s="2"/>
      <c r="AF259" s="2"/>
      <c r="AG259" s="2"/>
      <c r="AH259" s="2"/>
      <c r="AI259" s="2"/>
      <c r="AJ259" s="2"/>
      <c r="AK259" s="2"/>
      <c r="AL259" s="2"/>
    </row>
    <row r="260" spans="1:38" ht="5.15" customHeight="1" thickBot="1" x14ac:dyDescent="0.3">
      <c r="A260" s="343"/>
      <c r="B260" s="178"/>
      <c r="C260" s="779"/>
      <c r="D260" s="1246"/>
      <c r="E260" s="1244"/>
      <c r="F260" s="1244"/>
      <c r="G260" s="1244"/>
      <c r="H260" s="1244"/>
      <c r="I260" s="1244"/>
      <c r="J260" s="1244"/>
      <c r="K260" s="1244"/>
      <c r="L260" s="1244"/>
      <c r="M260" s="1244"/>
      <c r="N260" s="1248"/>
      <c r="O260" s="15"/>
      <c r="P260" s="15"/>
      <c r="Q260" s="343"/>
      <c r="R260" s="2"/>
      <c r="S260" s="2"/>
      <c r="T260" s="2"/>
      <c r="U260" s="1086"/>
      <c r="V260" s="343"/>
      <c r="W260" s="2"/>
      <c r="X260" s="2"/>
      <c r="Y260" s="2"/>
      <c r="Z260" s="228"/>
      <c r="AA260" s="2"/>
      <c r="AB260" s="2"/>
      <c r="AC260" s="2"/>
      <c r="AD260" s="2"/>
      <c r="AE260" s="2"/>
      <c r="AF260" s="2"/>
      <c r="AG260" s="2"/>
      <c r="AH260" s="2"/>
      <c r="AI260" s="2"/>
      <c r="AJ260" s="2"/>
      <c r="AK260" s="2"/>
      <c r="AL260" s="2"/>
    </row>
    <row r="261" spans="1:38" ht="12.75" customHeight="1" thickBot="1" x14ac:dyDescent="0.3">
      <c r="A261" s="2"/>
      <c r="B261" s="178"/>
      <c r="C261" s="779"/>
      <c r="D261" s="1246" t="s">
        <v>23</v>
      </c>
      <c r="E261" s="2618" t="str">
        <f>Translations!$B$1477</f>
        <v>Faktisk justering (om alla tröskelvärden överskrids)</v>
      </c>
      <c r="F261" s="1997"/>
      <c r="G261" s="1997"/>
      <c r="H261" s="1997"/>
      <c r="I261" s="2620"/>
      <c r="J261" s="1099" t="str">
        <f>IF(J259="","",IF(OR(J259,V253&lt;1),J255,I261))</f>
        <v/>
      </c>
      <c r="K261" s="1100" t="str">
        <f>IF(K259="","",IF(OR(K259,W253&lt;1),K255,J261))</f>
        <v/>
      </c>
      <c r="L261" s="1100" t="str">
        <f>IF(L259="","",IF(OR(L259,X253&lt;1),L255,K261))</f>
        <v/>
      </c>
      <c r="M261" s="1100" t="str">
        <f>IF(M259="","",IF(OR(M259,Y253&lt;1),M255,L261))</f>
        <v/>
      </c>
      <c r="N261" s="1101" t="str">
        <f>IF(N259="","",IF(OR(N259,Z253&lt;1),N255,M261))</f>
        <v/>
      </c>
      <c r="O261" s="15"/>
      <c r="P261" s="15"/>
      <c r="Q261" s="343"/>
      <c r="R261" s="2"/>
      <c r="S261" s="2"/>
      <c r="T261" s="2"/>
      <c r="U261" s="1086" t="s">
        <v>1858</v>
      </c>
      <c r="V261" s="1068">
        <f>J258</f>
        <v>2021</v>
      </c>
      <c r="W261" s="1068">
        <f>K258</f>
        <v>2022</v>
      </c>
      <c r="X261" s="1068">
        <f>L258</f>
        <v>2023</v>
      </c>
      <c r="Y261" s="1068">
        <f>M258</f>
        <v>2024</v>
      </c>
      <c r="Z261" s="1087">
        <f>N258</f>
        <v>2025</v>
      </c>
      <c r="AA261" s="2"/>
      <c r="AB261" s="2"/>
      <c r="AC261" s="2"/>
      <c r="AD261" s="2"/>
      <c r="AE261" s="2"/>
      <c r="AF261" s="2"/>
      <c r="AG261" s="2"/>
      <c r="AH261" s="2"/>
      <c r="AI261" s="2"/>
      <c r="AJ261" s="2"/>
      <c r="AK261" s="2"/>
      <c r="AL261" s="2"/>
    </row>
    <row r="262" spans="1:38" ht="12.75" customHeight="1" thickBot="1" x14ac:dyDescent="0.3">
      <c r="A262" s="343"/>
      <c r="B262" s="178"/>
      <c r="C262" s="779"/>
      <c r="D262" s="1246" t="s">
        <v>859</v>
      </c>
      <c r="E262" s="2618" t="str">
        <f>Translations!$B$1478</f>
        <v>Faktiskt värde</v>
      </c>
      <c r="F262" s="1997"/>
      <c r="G262" s="1997"/>
      <c r="H262" s="1232" t="str">
        <f>H253</f>
        <v>t CO2</v>
      </c>
      <c r="I262" s="990" t="str">
        <f>I256</f>
        <v/>
      </c>
      <c r="J262" s="1072" t="str">
        <f>IF($I13="","",IF(OR($I262=0,$I262=EUconst_NA),IF(OR(J259=TRUE,J258=$V13),J256,SUM(I262)),IF(J261="",J256,$I262*(1+SUM(J261)))))</f>
        <v/>
      </c>
      <c r="K262" s="1073" t="str">
        <f>IF($I13="","",IF(OR($I262=0,$I262=EUconst_NA),IF(OR(K259=TRUE,K258=$V13),K256,SUM(J262)),IF(K261="",K256,$I262*(1+SUM(K261)))))</f>
        <v/>
      </c>
      <c r="L262" s="1073" t="str">
        <f>IF($I13="","",IF(OR($I262=0,$I262=EUconst_NA),IF(OR(L259=TRUE,L258=$V13),L256,SUM(K262)),IF(L261="",L256,$I262*(1+SUM(L261)))))</f>
        <v/>
      </c>
      <c r="M262" s="1073" t="str">
        <f>IF($I13="","",IF(OR($I262=0,$I262=EUconst_NA),IF(OR(M259=TRUE,M258=$V13),M256,SUM(L262)),IF(M261="",M256,$I262*(1+SUM(M261)))))</f>
        <v/>
      </c>
      <c r="N262" s="1074" t="str">
        <f>IF($I13="","",IF(OR($I262=0,$I262=EUconst_NA),IF(OR(N259=TRUE,N258=$V13),N256,SUM(M262)),IF(N261="",N256,$I262*(1+SUM(N261)))))</f>
        <v/>
      </c>
      <c r="O262" s="15"/>
      <c r="P262" s="15"/>
      <c r="Q262" s="165" t="str">
        <f>EUconst_CNTR_HALfinal&amp;EUconst_CNTR_WGFlared &amp; I13</f>
        <v>HALfinal_WasteGasFlare_</v>
      </c>
      <c r="R262" s="2"/>
      <c r="S262" s="2"/>
      <c r="T262" s="2"/>
      <c r="U262" s="1765" t="b">
        <v>0</v>
      </c>
      <c r="V262" s="1757" t="str">
        <f>IF(V212,IF(J259=TRUE,V21,U262),"")</f>
        <v/>
      </c>
      <c r="W262" s="1757" t="str">
        <f>IF(W212,IF(K259=TRUE,W21,V262),"")</f>
        <v/>
      </c>
      <c r="X262" s="1757" t="str">
        <f>IF(X212,IF(L259=TRUE,X21,W262),"")</f>
        <v/>
      </c>
      <c r="Y262" s="1757" t="str">
        <f>IF(Y212,IF(M259=TRUE,Y21,X262),"")</f>
        <v/>
      </c>
      <c r="Z262" s="1758" t="str">
        <f>IF(Z212,IF(N259=TRUE,Z21,Y262),"")</f>
        <v/>
      </c>
      <c r="AA262" s="2"/>
      <c r="AB262" s="2"/>
      <c r="AC262" s="2"/>
      <c r="AD262" s="2"/>
      <c r="AE262" s="2"/>
      <c r="AF262" s="2"/>
      <c r="AG262" s="2"/>
      <c r="AH262" s="2"/>
      <c r="AI262" s="2"/>
      <c r="AJ262" s="553" t="s">
        <v>2242</v>
      </c>
      <c r="AK262" s="108" t="str">
        <f>IF(OR(ISERROR(J262),ISERROR(K262),ISERROR(L262),ISERROR(M262),ISERROR(N262)),EUconst_Error &amp; "BM" &amp; Q13,"")</f>
        <v/>
      </c>
      <c r="AL262" s="2"/>
    </row>
    <row r="263" spans="1:38" ht="5.15" customHeight="1" thickBot="1" x14ac:dyDescent="0.3">
      <c r="A263" s="2"/>
      <c r="B263" s="178"/>
      <c r="C263" s="779"/>
      <c r="D263" s="1269"/>
      <c r="E263" s="1270"/>
      <c r="F263" s="1270"/>
      <c r="G263" s="1270"/>
      <c r="H263" s="1271"/>
      <c r="I263" s="1270"/>
      <c r="J263" s="1270"/>
      <c r="K263" s="1270"/>
      <c r="L263" s="1270"/>
      <c r="M263" s="1272"/>
      <c r="N263" s="1273"/>
      <c r="O263" s="15"/>
      <c r="P263" s="15"/>
      <c r="Q263" s="343"/>
      <c r="R263" s="2"/>
      <c r="S263" s="343"/>
      <c r="T263" s="343"/>
      <c r="U263" s="343"/>
      <c r="V263" s="343"/>
      <c r="W263" s="2"/>
      <c r="X263" s="2"/>
      <c r="Y263" s="2"/>
      <c r="Z263" s="2"/>
      <c r="AA263" s="2"/>
      <c r="AB263" s="2"/>
      <c r="AC263" s="2"/>
      <c r="AD263" s="2"/>
      <c r="AE263" s="2"/>
      <c r="AF263" s="2"/>
      <c r="AG263" s="2"/>
      <c r="AH263" s="2"/>
      <c r="AI263" s="2"/>
      <c r="AJ263" s="2"/>
      <c r="AK263" s="2"/>
      <c r="AL263" s="2"/>
    </row>
    <row r="264" spans="1:38" ht="5.15" customHeight="1" x14ac:dyDescent="0.25">
      <c r="A264" s="2"/>
      <c r="B264" s="178"/>
      <c r="C264" s="779"/>
      <c r="D264" s="780"/>
      <c r="E264" s="780"/>
      <c r="F264" s="780"/>
      <c r="G264" s="780"/>
      <c r="H264" s="1805"/>
      <c r="I264" s="780"/>
      <c r="J264" s="780"/>
      <c r="K264" s="780"/>
      <c r="L264" s="780"/>
      <c r="M264" s="623"/>
      <c r="N264" s="519"/>
      <c r="O264" s="15"/>
      <c r="P264" s="15"/>
      <c r="Q264" s="343"/>
      <c r="R264" s="2"/>
      <c r="S264" s="343"/>
      <c r="T264" s="343"/>
      <c r="U264" s="343"/>
      <c r="V264" s="343"/>
      <c r="W264" s="2"/>
      <c r="X264" s="2"/>
      <c r="Y264" s="2"/>
      <c r="Z264" s="2"/>
      <c r="AA264" s="2"/>
      <c r="AB264" s="2"/>
      <c r="AC264" s="2"/>
      <c r="AD264" s="2"/>
      <c r="AE264" s="2"/>
      <c r="AF264" s="2"/>
      <c r="AG264" s="2"/>
      <c r="AH264" s="2"/>
      <c r="AI264" s="2"/>
      <c r="AJ264" s="2"/>
      <c r="AK264" s="2"/>
      <c r="AL264" s="2"/>
    </row>
    <row r="265" spans="1:38" ht="12.75" customHeight="1" x14ac:dyDescent="0.25">
      <c r="A265" s="2"/>
      <c r="B265" s="178"/>
      <c r="C265" s="779"/>
      <c r="D265" s="416" t="s">
        <v>1205</v>
      </c>
      <c r="E265" s="2614" t="str">
        <f>Translations!$B$632</f>
        <v>Importerade restgastyper:</v>
      </c>
      <c r="F265" s="1960"/>
      <c r="G265" s="1960"/>
      <c r="H265" s="2520"/>
      <c r="I265" s="2621"/>
      <c r="J265" s="2510"/>
      <c r="K265" s="2510"/>
      <c r="L265" s="2510"/>
      <c r="M265" s="2511"/>
      <c r="N265" s="519"/>
      <c r="O265" s="15"/>
      <c r="P265" s="1362"/>
      <c r="Q265" s="343"/>
      <c r="R265" s="2"/>
      <c r="S265" s="343"/>
      <c r="T265" s="2"/>
      <c r="U265" s="2"/>
      <c r="V265" s="2"/>
      <c r="W265" s="2"/>
      <c r="X265" s="2"/>
      <c r="Y265" s="2"/>
      <c r="Z265" s="2"/>
      <c r="AA265" s="2"/>
      <c r="AB265" s="2"/>
      <c r="AC265" s="672" t="s">
        <v>782</v>
      </c>
      <c r="AD265" s="108" t="b">
        <f>AD239</f>
        <v>0</v>
      </c>
      <c r="AE265" s="2"/>
      <c r="AF265" s="2"/>
      <c r="AG265" s="2"/>
      <c r="AH265" s="2"/>
      <c r="AI265" s="2"/>
      <c r="AJ265" s="2"/>
      <c r="AK265" s="2"/>
      <c r="AL265" s="2"/>
    </row>
    <row r="266" spans="1:38" ht="12.75" customHeight="1" x14ac:dyDescent="0.25">
      <c r="A266" s="2"/>
      <c r="B266" s="178"/>
      <c r="C266" s="779"/>
      <c r="D266" s="416"/>
      <c r="E266" s="2596" t="str">
        <f>Translations!$B$633</f>
        <v>De uppgifter som anges här påverkar de utsläpp som kan tillskrivas i enlighet med avsnitt 10.1.5 i bilaga VII till FAR.</v>
      </c>
      <c r="F266" s="1960"/>
      <c r="G266" s="1960"/>
      <c r="H266" s="1960"/>
      <c r="I266" s="1960"/>
      <c r="J266" s="1960"/>
      <c r="K266" s="1960"/>
      <c r="L266" s="1960"/>
      <c r="M266" s="1960"/>
      <c r="N266" s="2597"/>
      <c r="O266" s="15"/>
      <c r="P266" s="15"/>
      <c r="Q266" s="343"/>
      <c r="R266" s="2"/>
      <c r="S266" s="343"/>
      <c r="T266" s="343"/>
      <c r="U266" s="343"/>
      <c r="V266" s="343"/>
      <c r="W266" s="2"/>
      <c r="X266" s="2"/>
      <c r="Y266" s="2"/>
      <c r="Z266" s="2"/>
      <c r="AA266" s="2"/>
      <c r="AB266" s="2"/>
      <c r="AC266" s="2"/>
      <c r="AD266" s="2"/>
      <c r="AE266" s="2"/>
      <c r="AF266" s="2"/>
      <c r="AG266" s="2"/>
      <c r="AH266" s="2"/>
      <c r="AI266" s="2"/>
      <c r="AJ266" s="2"/>
      <c r="AK266" s="2"/>
      <c r="AL266" s="2"/>
    </row>
    <row r="267" spans="1:38" ht="25.5" customHeight="1" x14ac:dyDescent="0.25">
      <c r="A267" s="2"/>
      <c r="B267" s="178"/>
      <c r="C267" s="779"/>
      <c r="D267" s="416"/>
      <c r="E267" s="2610" t="str">
        <f>Translations!$B$634</f>
        <v>Detta innefattar alla restgastyper som produceras utanför delanläggningens systemgränser men som importeras till delanläggningen och används för produktion av mätbar värme, icke-mätbar värme (inklusive för säkerhetsfackling) eller mekanisk energi (annat än för elproduktion).</v>
      </c>
      <c r="F267" s="1960"/>
      <c r="G267" s="1960"/>
      <c r="H267" s="1960"/>
      <c r="I267" s="1960"/>
      <c r="J267" s="1960"/>
      <c r="K267" s="1960"/>
      <c r="L267" s="1960"/>
      <c r="M267" s="1960"/>
      <c r="N267" s="2597"/>
      <c r="O267" s="15"/>
      <c r="P267" s="15"/>
      <c r="Q267" s="343"/>
      <c r="R267" s="2"/>
      <c r="S267" s="343"/>
      <c r="T267" s="343"/>
      <c r="U267" s="343"/>
      <c r="V267" s="343"/>
      <c r="W267" s="2"/>
      <c r="X267" s="2"/>
      <c r="Y267" s="2"/>
      <c r="Z267" s="2"/>
      <c r="AA267" s="2"/>
      <c r="AB267" s="2"/>
      <c r="AC267" s="2"/>
      <c r="AD267" s="2"/>
      <c r="AE267" s="2"/>
      <c r="AF267" s="2"/>
      <c r="AG267" s="2"/>
      <c r="AH267" s="2"/>
      <c r="AI267" s="2"/>
      <c r="AJ267" s="2"/>
      <c r="AK267" s="2"/>
      <c r="AL267" s="2"/>
    </row>
    <row r="268" spans="1:38" ht="12.75" customHeight="1" thickBot="1" x14ac:dyDescent="0.3">
      <c r="A268" s="2"/>
      <c r="B268" s="178"/>
      <c r="C268" s="779"/>
      <c r="D268" s="780"/>
      <c r="E268" s="1716"/>
      <c r="F268" s="1717"/>
      <c r="G268" s="361" t="str">
        <f>EUconst_Unit</f>
        <v>Enhet</v>
      </c>
      <c r="H268" s="362">
        <f t="shared" ref="H268:N268" si="108">H$3042</f>
        <v>2019</v>
      </c>
      <c r="I268" s="1103">
        <f t="shared" si="108"/>
        <v>2020</v>
      </c>
      <c r="J268" s="1104">
        <f t="shared" si="108"/>
        <v>2021</v>
      </c>
      <c r="K268" s="362">
        <f t="shared" si="108"/>
        <v>2022</v>
      </c>
      <c r="L268" s="362">
        <f t="shared" si="108"/>
        <v>2023</v>
      </c>
      <c r="M268" s="362">
        <f t="shared" si="108"/>
        <v>2024</v>
      </c>
      <c r="N268" s="1141">
        <f t="shared" si="108"/>
        <v>2025</v>
      </c>
      <c r="O268" s="15"/>
      <c r="P268" s="15"/>
      <c r="Q268" s="343"/>
      <c r="R268" s="2"/>
      <c r="S268" s="343"/>
      <c r="T268" s="343"/>
      <c r="U268" s="343"/>
      <c r="V268" s="343"/>
      <c r="W268" s="2"/>
      <c r="X268" s="2"/>
      <c r="Y268" s="2"/>
      <c r="Z268" s="2"/>
      <c r="AA268" s="2"/>
      <c r="AB268" s="2"/>
      <c r="AC268" s="1044">
        <f t="shared" ref="AC268:AI268" si="109">H$20</f>
        <v>2019</v>
      </c>
      <c r="AD268" s="1044">
        <f t="shared" si="109"/>
        <v>2020</v>
      </c>
      <c r="AE268" s="1044">
        <f t="shared" si="109"/>
        <v>2021</v>
      </c>
      <c r="AF268" s="1044">
        <f t="shared" si="109"/>
        <v>2022</v>
      </c>
      <c r="AG268" s="1044">
        <f t="shared" si="109"/>
        <v>2023</v>
      </c>
      <c r="AH268" s="1044">
        <f t="shared" si="109"/>
        <v>2024</v>
      </c>
      <c r="AI268" s="1044">
        <f t="shared" si="109"/>
        <v>2025</v>
      </c>
      <c r="AJ268" s="2"/>
      <c r="AK268" s="2"/>
      <c r="AL268" s="2"/>
    </row>
    <row r="269" spans="1:38" ht="12.75" customHeight="1" thickBot="1" x14ac:dyDescent="0.3">
      <c r="A269" s="2"/>
      <c r="B269" s="178"/>
      <c r="C269" s="779"/>
      <c r="D269" s="416" t="s">
        <v>1206</v>
      </c>
      <c r="E269" s="2611" t="str">
        <f>Translations!$B$635</f>
        <v>Importerade mängder</v>
      </c>
      <c r="F269" s="2484"/>
      <c r="G269" s="1314"/>
      <c r="H269" s="1298"/>
      <c r="I269" s="1299"/>
      <c r="J269" s="1300"/>
      <c r="K269" s="1298"/>
      <c r="L269" s="1298"/>
      <c r="M269" s="1298"/>
      <c r="N269" s="1301"/>
      <c r="O269" s="15"/>
      <c r="P269" s="1362"/>
      <c r="Q269" s="343"/>
      <c r="R269" s="2"/>
      <c r="S269" s="343"/>
      <c r="T269" s="343"/>
      <c r="U269" s="343"/>
      <c r="V269" s="343"/>
      <c r="W269" s="2"/>
      <c r="X269" s="2"/>
      <c r="Y269" s="2"/>
      <c r="Z269" s="2"/>
      <c r="AA269" s="2"/>
      <c r="AB269" s="672" t="s">
        <v>782</v>
      </c>
      <c r="AC269" s="108" t="b">
        <f t="shared" ref="AC269:AI269" si="110">AC225</f>
        <v>0</v>
      </c>
      <c r="AD269" s="108" t="b">
        <f t="shared" si="110"/>
        <v>0</v>
      </c>
      <c r="AE269" s="108" t="b">
        <f t="shared" si="110"/>
        <v>0</v>
      </c>
      <c r="AF269" s="108" t="b">
        <f t="shared" si="110"/>
        <v>0</v>
      </c>
      <c r="AG269" s="108" t="b">
        <f t="shared" si="110"/>
        <v>0</v>
      </c>
      <c r="AH269" s="108" t="b">
        <f t="shared" si="110"/>
        <v>0</v>
      </c>
      <c r="AI269" s="108" t="b">
        <f t="shared" si="110"/>
        <v>0</v>
      </c>
      <c r="AJ269" s="553" t="s">
        <v>2248</v>
      </c>
      <c r="AK269" s="663" t="str">
        <f>IF(AND(CNTR_ExistSubInstEntries,MSconst_RequireSubAttrEmissions,COUNTIFS(AC269:AI269,FALSE,H269:N269,"")&gt;0),EUconst_Error&amp;"BM"&amp;$Q13,"")</f>
        <v/>
      </c>
      <c r="AL269" s="2"/>
    </row>
    <row r="270" spans="1:38" ht="12.75" customHeight="1" x14ac:dyDescent="0.25">
      <c r="A270" s="2"/>
      <c r="B270" s="178"/>
      <c r="C270" s="779"/>
      <c r="D270" s="416" t="s">
        <v>1207</v>
      </c>
      <c r="E270" s="2612" t="str">
        <f>Translations!$B$318</f>
        <v>Effektivt värmevärde</v>
      </c>
      <c r="F270" s="2487"/>
      <c r="G270" s="51" t="str">
        <f>IF(ISBLANK(G269),EUconst_GJperUnit,INDEX(EUconst_GJperTorKNm3,MATCH(G269,EUconst_TonnesOrkNm3pa,0)))</f>
        <v>GJ / Enhet</v>
      </c>
      <c r="H270" s="1306"/>
      <c r="I270" s="1307"/>
      <c r="J270" s="1308"/>
      <c r="K270" s="1306"/>
      <c r="L270" s="1306"/>
      <c r="M270" s="1306"/>
      <c r="N270" s="1309"/>
      <c r="O270" s="15"/>
      <c r="P270" s="1362"/>
      <c r="Q270" s="343"/>
      <c r="R270" s="2"/>
      <c r="S270" s="772"/>
      <c r="T270" s="609">
        <f t="shared" ref="T270:Z270" si="111">H268</f>
        <v>2019</v>
      </c>
      <c r="U270" s="609">
        <f t="shared" si="111"/>
        <v>2020</v>
      </c>
      <c r="V270" s="609">
        <f t="shared" si="111"/>
        <v>2021</v>
      </c>
      <c r="W270" s="609">
        <f t="shared" si="111"/>
        <v>2022</v>
      </c>
      <c r="X270" s="609">
        <f t="shared" si="111"/>
        <v>2023</v>
      </c>
      <c r="Y270" s="609">
        <f t="shared" si="111"/>
        <v>2024</v>
      </c>
      <c r="Z270" s="610">
        <f t="shared" si="111"/>
        <v>2025</v>
      </c>
      <c r="AA270" s="2"/>
      <c r="AB270" s="2"/>
      <c r="AC270" s="108" t="b">
        <f>AC269</f>
        <v>0</v>
      </c>
      <c r="AD270" s="108" t="b">
        <f t="shared" ref="AD270:AI270" si="112">AD269</f>
        <v>0</v>
      </c>
      <c r="AE270" s="108" t="b">
        <f t="shared" si="112"/>
        <v>0</v>
      </c>
      <c r="AF270" s="108" t="b">
        <f t="shared" si="112"/>
        <v>0</v>
      </c>
      <c r="AG270" s="108" t="b">
        <f t="shared" si="112"/>
        <v>0</v>
      </c>
      <c r="AH270" s="108" t="b">
        <f t="shared" si="112"/>
        <v>0</v>
      </c>
      <c r="AI270" s="108" t="b">
        <f t="shared" si="112"/>
        <v>0</v>
      </c>
      <c r="AJ270" s="553" t="s">
        <v>2248</v>
      </c>
      <c r="AK270" s="663" t="str">
        <f>IF(AND(CNTR_ExistSubInstEntries,MSconst_RequireSubAttrEmissions,COUNTIFS(AC270:AI270,FALSE,H270:N270,"")&gt;0),EUconst_Error&amp;"BM"&amp;$Q13,"")</f>
        <v/>
      </c>
      <c r="AL270" s="2"/>
    </row>
    <row r="271" spans="1:38" ht="12.75" customHeight="1" x14ac:dyDescent="0.25">
      <c r="A271" s="2"/>
      <c r="B271" s="178"/>
      <c r="C271" s="779"/>
      <c r="D271" s="416" t="s">
        <v>1208</v>
      </c>
      <c r="E271" s="2613" t="str">
        <f>Translations!$B$636</f>
        <v>Importerad restgas</v>
      </c>
      <c r="F271" s="1997"/>
      <c r="G271" s="364" t="str">
        <f>EUconst_TJpa</f>
        <v>TJ / år</v>
      </c>
      <c r="H271" s="351" t="str">
        <f t="shared" ref="H271:N271" si="113">IF(COUNT(H269:H270)=2,H269*H270/1000,"")</f>
        <v/>
      </c>
      <c r="I271" s="1107" t="str">
        <f t="shared" si="113"/>
        <v/>
      </c>
      <c r="J271" s="1113" t="str">
        <f t="shared" si="113"/>
        <v/>
      </c>
      <c r="K271" s="351" t="str">
        <f t="shared" si="113"/>
        <v/>
      </c>
      <c r="L271" s="351" t="str">
        <f t="shared" si="113"/>
        <v/>
      </c>
      <c r="M271" s="351" t="str">
        <f t="shared" si="113"/>
        <v/>
      </c>
      <c r="N271" s="1148" t="str">
        <f t="shared" si="113"/>
        <v/>
      </c>
      <c r="O271" s="15"/>
      <c r="P271" s="15"/>
      <c r="Q271" s="165" t="str">
        <f>EUconst_CNTR_WGImport &amp; I13</f>
        <v>WasteGasIm_</v>
      </c>
      <c r="R271" s="2"/>
      <c r="S271" s="1751" t="str">
        <f>EUconst_ERR_AttrEmBMapplied &amp; I13</f>
        <v>ERR_AttrEmBM_</v>
      </c>
      <c r="T271" s="108">
        <f t="shared" ref="T271:Z271" si="114">IF(AND(H271&lt;&gt;"",EUconst_StatusOfDataCollection=FALSE),1,0)</f>
        <v>0</v>
      </c>
      <c r="U271" s="108">
        <f t="shared" si="114"/>
        <v>0</v>
      </c>
      <c r="V271" s="108">
        <f t="shared" si="114"/>
        <v>0</v>
      </c>
      <c r="W271" s="108">
        <f t="shared" si="114"/>
        <v>0</v>
      </c>
      <c r="X271" s="108">
        <f t="shared" si="114"/>
        <v>0</v>
      </c>
      <c r="Y271" s="108">
        <f t="shared" si="114"/>
        <v>0</v>
      </c>
      <c r="Z271" s="109">
        <f t="shared" si="114"/>
        <v>0</v>
      </c>
      <c r="AA271" s="2"/>
      <c r="AB271" s="2"/>
      <c r="AC271" s="2"/>
      <c r="AD271" s="2"/>
      <c r="AE271" s="2"/>
      <c r="AF271" s="2"/>
      <c r="AG271" s="2"/>
      <c r="AH271" s="2"/>
      <c r="AI271" s="2"/>
      <c r="AJ271" s="2"/>
      <c r="AK271" s="2"/>
      <c r="AL271" s="2"/>
    </row>
    <row r="272" spans="1:38" s="534" customFormat="1" ht="12.75" customHeight="1" thickBot="1" x14ac:dyDescent="0.3">
      <c r="A272" s="343"/>
      <c r="B272" s="178"/>
      <c r="C272" s="779"/>
      <c r="D272" s="416" t="s">
        <v>1209</v>
      </c>
      <c r="E272" s="2613" t="str">
        <f>Translations!$B$637</f>
        <v>Särskild emissionsfaktor (importerad restgas)</v>
      </c>
      <c r="F272" s="1997"/>
      <c r="G272" s="363" t="str">
        <f>EUconst_tCO2pTJ</f>
        <v>t CO2 / TJ</v>
      </c>
      <c r="H272" s="1315"/>
      <c r="I272" s="1316"/>
      <c r="J272" s="1317"/>
      <c r="K272" s="1315"/>
      <c r="L272" s="1315"/>
      <c r="M272" s="1315"/>
      <c r="N272" s="1318"/>
      <c r="O272" s="15"/>
      <c r="P272" s="1362"/>
      <c r="Q272" s="165" t="str">
        <f>EUconst_CNTR_WGImportEF &amp; I13</f>
        <v>WasteGasImEF_</v>
      </c>
      <c r="R272" s="343"/>
      <c r="S272" s="773" t="str">
        <f>EUconst_CNTR_AttributedEmissions &amp; I13</f>
        <v>AttrEmissions_</v>
      </c>
      <c r="T272" s="111" t="str">
        <f t="shared" ref="T272:Z272" si="115">IF(T21,SUM(H271)*EUconst_FuelBMvalue,"")</f>
        <v/>
      </c>
      <c r="U272" s="111" t="str">
        <f t="shared" si="115"/>
        <v/>
      </c>
      <c r="V272" s="111" t="str">
        <f t="shared" si="115"/>
        <v/>
      </c>
      <c r="W272" s="111" t="str">
        <f t="shared" si="115"/>
        <v/>
      </c>
      <c r="X272" s="111" t="str">
        <f t="shared" si="115"/>
        <v/>
      </c>
      <c r="Y272" s="111" t="str">
        <f t="shared" si="115"/>
        <v/>
      </c>
      <c r="Z272" s="112" t="str">
        <f t="shared" si="115"/>
        <v/>
      </c>
      <c r="AA272" s="343"/>
      <c r="AB272" s="672" t="s">
        <v>782</v>
      </c>
      <c r="AC272" s="108" t="b">
        <f>AC270</f>
        <v>0</v>
      </c>
      <c r="AD272" s="108" t="b">
        <f t="shared" ref="AD272:AI272" si="116">AD270</f>
        <v>0</v>
      </c>
      <c r="AE272" s="108" t="b">
        <f t="shared" si="116"/>
        <v>0</v>
      </c>
      <c r="AF272" s="108" t="b">
        <f t="shared" si="116"/>
        <v>0</v>
      </c>
      <c r="AG272" s="108" t="b">
        <f t="shared" si="116"/>
        <v>0</v>
      </c>
      <c r="AH272" s="108" t="b">
        <f t="shared" si="116"/>
        <v>0</v>
      </c>
      <c r="AI272" s="108" t="b">
        <f t="shared" si="116"/>
        <v>0</v>
      </c>
      <c r="AJ272" s="553" t="s">
        <v>2248</v>
      </c>
      <c r="AK272" s="663" t="str">
        <f>IF(AND(CNTR_ExistSubInstEntries,MSconst_RequireSubAttrEmissions,COUNTIFS(AC272:AI272,FALSE,H272:N272,"")&gt;0),EUconst_Error&amp;"BM"&amp;$Q13,"")</f>
        <v/>
      </c>
      <c r="AL272" s="2"/>
    </row>
    <row r="273" spans="1:38" ht="12.75" customHeight="1" x14ac:dyDescent="0.25">
      <c r="A273" s="2"/>
      <c r="B273" s="178"/>
      <c r="C273" s="779"/>
      <c r="D273" s="780"/>
      <c r="E273" s="780"/>
      <c r="F273" s="780"/>
      <c r="G273" s="780"/>
      <c r="H273" s="1805"/>
      <c r="I273" s="780"/>
      <c r="J273" s="780"/>
      <c r="K273" s="780"/>
      <c r="L273" s="780"/>
      <c r="M273" s="623"/>
      <c r="N273" s="519"/>
      <c r="O273" s="15"/>
      <c r="P273" s="15"/>
      <c r="Q273" s="343"/>
      <c r="R273" s="2"/>
      <c r="S273" s="343"/>
      <c r="T273" s="343"/>
      <c r="U273" s="343"/>
      <c r="V273" s="343"/>
      <c r="W273" s="2"/>
      <c r="X273" s="2"/>
      <c r="Y273" s="2"/>
      <c r="Z273" s="2"/>
      <c r="AA273" s="2"/>
      <c r="AB273" s="2"/>
      <c r="AC273" s="2"/>
      <c r="AD273" s="2"/>
      <c r="AE273" s="2"/>
      <c r="AF273" s="2"/>
      <c r="AG273" s="2"/>
      <c r="AH273" s="2"/>
      <c r="AI273" s="2"/>
      <c r="AJ273" s="2"/>
      <c r="AK273" s="2"/>
      <c r="AL273" s="2"/>
    </row>
    <row r="274" spans="1:38" ht="12.75" customHeight="1" x14ac:dyDescent="0.25">
      <c r="A274" s="2"/>
      <c r="B274" s="178"/>
      <c r="C274" s="779"/>
      <c r="D274" s="416" t="s">
        <v>1210</v>
      </c>
      <c r="E274" s="2614" t="str">
        <f>Translations!$B$638</f>
        <v>Exporterade restgastyper:</v>
      </c>
      <c r="F274" s="1960"/>
      <c r="G274" s="1960"/>
      <c r="H274" s="2520"/>
      <c r="I274" s="2621"/>
      <c r="J274" s="2510"/>
      <c r="K274" s="2510"/>
      <c r="L274" s="2510"/>
      <c r="M274" s="2511"/>
      <c r="N274" s="1807"/>
      <c r="O274" s="15"/>
      <c r="P274" s="1362"/>
      <c r="Q274" s="343"/>
      <c r="R274" s="2"/>
      <c r="S274" s="343"/>
      <c r="T274" s="2"/>
      <c r="U274" s="2"/>
      <c r="V274" s="2"/>
      <c r="W274" s="2"/>
      <c r="X274" s="2"/>
      <c r="Y274" s="2"/>
      <c r="Z274" s="2"/>
      <c r="AA274" s="2"/>
      <c r="AB274" s="2"/>
      <c r="AC274" s="672" t="s">
        <v>782</v>
      </c>
      <c r="AD274" s="108" t="b">
        <f>AD265</f>
        <v>0</v>
      </c>
      <c r="AE274" s="2"/>
      <c r="AF274" s="2"/>
      <c r="AG274" s="2"/>
      <c r="AH274" s="2"/>
      <c r="AI274" s="2"/>
      <c r="AJ274" s="2"/>
      <c r="AK274" s="2"/>
      <c r="AL274" s="2"/>
    </row>
    <row r="275" spans="1:38" ht="12.75" customHeight="1" x14ac:dyDescent="0.25">
      <c r="A275" s="2"/>
      <c r="B275" s="178"/>
      <c r="C275" s="779"/>
      <c r="D275" s="416"/>
      <c r="E275" s="2596" t="str">
        <f>Translations!$B$633</f>
        <v>De uppgifter som anges här påverkar de utsläpp som kan tillskrivas i enlighet med avsnitt 10.1.5 i bilaga VII till FAR.</v>
      </c>
      <c r="F275" s="1960"/>
      <c r="G275" s="1960"/>
      <c r="H275" s="1960"/>
      <c r="I275" s="1960"/>
      <c r="J275" s="1960"/>
      <c r="K275" s="1960"/>
      <c r="L275" s="1960"/>
      <c r="M275" s="1960"/>
      <c r="N275" s="2597"/>
      <c r="O275" s="15"/>
      <c r="P275" s="15"/>
      <c r="Q275" s="343"/>
      <c r="R275" s="2"/>
      <c r="S275" s="343"/>
      <c r="T275" s="343"/>
      <c r="U275" s="343"/>
      <c r="V275" s="343"/>
      <c r="W275" s="2"/>
      <c r="X275" s="2"/>
      <c r="Y275" s="2"/>
      <c r="Z275" s="2"/>
      <c r="AA275" s="2"/>
      <c r="AB275" s="2"/>
      <c r="AC275" s="2"/>
      <c r="AD275" s="2"/>
      <c r="AE275" s="2"/>
      <c r="AF275" s="2"/>
      <c r="AG275" s="2"/>
      <c r="AH275" s="2"/>
      <c r="AI275" s="2"/>
      <c r="AJ275" s="2"/>
      <c r="AK275" s="2"/>
      <c r="AL275" s="2"/>
    </row>
    <row r="276" spans="1:38" ht="25.5" customHeight="1" x14ac:dyDescent="0.25">
      <c r="A276" s="2"/>
      <c r="B276" s="178"/>
      <c r="C276" s="779"/>
      <c r="D276" s="416"/>
      <c r="E276" s="2610" t="str">
        <f>Translations!$B$639</f>
        <v>Detta innefattar alla restgastyper som produceras inom delanläggningens systemgränser och som exporteras från delanläggningen till en annan delanläggning samt till eventuella andra anläggningar eller enheter.</v>
      </c>
      <c r="F276" s="1960"/>
      <c r="G276" s="1960"/>
      <c r="H276" s="1960"/>
      <c r="I276" s="1960"/>
      <c r="J276" s="1960"/>
      <c r="K276" s="1960"/>
      <c r="L276" s="1960"/>
      <c r="M276" s="1960"/>
      <c r="N276" s="2597"/>
      <c r="O276" s="15"/>
      <c r="P276" s="15"/>
      <c r="Q276" s="343"/>
      <c r="R276" s="2"/>
      <c r="S276" s="343"/>
      <c r="T276" s="343"/>
      <c r="U276" s="343"/>
      <c r="V276" s="343"/>
      <c r="W276" s="2"/>
      <c r="X276" s="2"/>
      <c r="Y276" s="2"/>
      <c r="Z276" s="2"/>
      <c r="AA276" s="2"/>
      <c r="AB276" s="2"/>
      <c r="AC276" s="2"/>
      <c r="AD276" s="2"/>
      <c r="AE276" s="2"/>
      <c r="AF276" s="2"/>
      <c r="AG276" s="2"/>
      <c r="AH276" s="2"/>
      <c r="AI276" s="2"/>
      <c r="AJ276" s="2"/>
      <c r="AK276" s="2"/>
      <c r="AL276" s="2"/>
    </row>
    <row r="277" spans="1:38" ht="12.75" customHeight="1" thickBot="1" x14ac:dyDescent="0.3">
      <c r="A277" s="2"/>
      <c r="B277" s="178"/>
      <c r="C277" s="779"/>
      <c r="D277" s="780"/>
      <c r="E277" s="1716"/>
      <c r="F277" s="1717"/>
      <c r="G277" s="361" t="str">
        <f>EUconst_Unit</f>
        <v>Enhet</v>
      </c>
      <c r="H277" s="362">
        <f t="shared" ref="H277:N277" si="117">H$3042</f>
        <v>2019</v>
      </c>
      <c r="I277" s="1103">
        <f t="shared" si="117"/>
        <v>2020</v>
      </c>
      <c r="J277" s="1104">
        <f t="shared" si="117"/>
        <v>2021</v>
      </c>
      <c r="K277" s="362">
        <f t="shared" si="117"/>
        <v>2022</v>
      </c>
      <c r="L277" s="362">
        <f t="shared" si="117"/>
        <v>2023</v>
      </c>
      <c r="M277" s="362">
        <f t="shared" si="117"/>
        <v>2024</v>
      </c>
      <c r="N277" s="1141">
        <f t="shared" si="117"/>
        <v>2025</v>
      </c>
      <c r="O277" s="15"/>
      <c r="P277" s="15"/>
      <c r="Q277" s="343"/>
      <c r="R277" s="2"/>
      <c r="S277" s="343"/>
      <c r="T277" s="343"/>
      <c r="U277" s="343"/>
      <c r="V277" s="343"/>
      <c r="W277" s="2"/>
      <c r="X277" s="2"/>
      <c r="Y277" s="2"/>
      <c r="Z277" s="2"/>
      <c r="AA277" s="2"/>
      <c r="AB277" s="2"/>
      <c r="AC277" s="1044">
        <f t="shared" ref="AC277:AI277" si="118">H$20</f>
        <v>2019</v>
      </c>
      <c r="AD277" s="1044">
        <f t="shared" si="118"/>
        <v>2020</v>
      </c>
      <c r="AE277" s="1044">
        <f t="shared" si="118"/>
        <v>2021</v>
      </c>
      <c r="AF277" s="1044">
        <f t="shared" si="118"/>
        <v>2022</v>
      </c>
      <c r="AG277" s="1044">
        <f t="shared" si="118"/>
        <v>2023</v>
      </c>
      <c r="AH277" s="1044">
        <f t="shared" si="118"/>
        <v>2024</v>
      </c>
      <c r="AI277" s="1044">
        <f t="shared" si="118"/>
        <v>2025</v>
      </c>
      <c r="AJ277" s="2"/>
      <c r="AK277" s="2"/>
      <c r="AL277" s="2"/>
    </row>
    <row r="278" spans="1:38" ht="12.75" customHeight="1" x14ac:dyDescent="0.25">
      <c r="A278" s="2"/>
      <c r="B278" s="178"/>
      <c r="C278" s="779"/>
      <c r="D278" s="416" t="s">
        <v>1211</v>
      </c>
      <c r="E278" s="2611" t="str">
        <f>Translations!$B$640</f>
        <v>Exporterade mängder</v>
      </c>
      <c r="F278" s="2484"/>
      <c r="G278" s="1314"/>
      <c r="H278" s="1298"/>
      <c r="I278" s="1299"/>
      <c r="J278" s="1300"/>
      <c r="K278" s="1298"/>
      <c r="L278" s="1298"/>
      <c r="M278" s="1298"/>
      <c r="N278" s="1301"/>
      <c r="O278" s="15"/>
      <c r="P278" s="1362"/>
      <c r="Q278" s="343"/>
      <c r="R278" s="2"/>
      <c r="S278" s="343"/>
      <c r="T278" s="343"/>
      <c r="U278" s="343"/>
      <c r="V278" s="343"/>
      <c r="W278" s="2"/>
      <c r="X278" s="2"/>
      <c r="Y278" s="2"/>
      <c r="Z278" s="2"/>
      <c r="AA278" s="2"/>
      <c r="AB278" s="672" t="s">
        <v>782</v>
      </c>
      <c r="AC278" s="108" t="b">
        <f>AC225</f>
        <v>0</v>
      </c>
      <c r="AD278" s="108" t="b">
        <f t="shared" ref="AD278:AI278" si="119">AD225</f>
        <v>0</v>
      </c>
      <c r="AE278" s="108" t="b">
        <f t="shared" si="119"/>
        <v>0</v>
      </c>
      <c r="AF278" s="108" t="b">
        <f t="shared" si="119"/>
        <v>0</v>
      </c>
      <c r="AG278" s="108" t="b">
        <f t="shared" si="119"/>
        <v>0</v>
      </c>
      <c r="AH278" s="108" t="b">
        <f t="shared" si="119"/>
        <v>0</v>
      </c>
      <c r="AI278" s="108" t="b">
        <f t="shared" si="119"/>
        <v>0</v>
      </c>
      <c r="AJ278" s="553" t="s">
        <v>2248</v>
      </c>
      <c r="AK278" s="663" t="str">
        <f>IF(AND(CNTR_ExistSubInstEntries,MSconst_RequireSubAttrEmissions,COUNTIFS(AC278:AI278,FALSE,H278:N278,"")&gt;0),EUconst_Error&amp;"BM"&amp;$Q13,"")</f>
        <v/>
      </c>
      <c r="AL278" s="2"/>
    </row>
    <row r="279" spans="1:38" ht="12.75" customHeight="1" thickBot="1" x14ac:dyDescent="0.3">
      <c r="A279" s="2"/>
      <c r="B279" s="178"/>
      <c r="C279" s="779"/>
      <c r="D279" s="416" t="s">
        <v>1733</v>
      </c>
      <c r="E279" s="2612" t="str">
        <f>Translations!$B$318</f>
        <v>Effektivt värmevärde</v>
      </c>
      <c r="F279" s="2487"/>
      <c r="G279" s="51" t="str">
        <f>IF(ISBLANK(G278),EUconst_GJperUnit,INDEX(EUconst_GJperTorKNm3,MATCH(G278,EUconst_TonnesOrkNm3pa,0)))</f>
        <v>GJ / Enhet</v>
      </c>
      <c r="H279" s="1306"/>
      <c r="I279" s="1307"/>
      <c r="J279" s="1308"/>
      <c r="K279" s="1306"/>
      <c r="L279" s="1306"/>
      <c r="M279" s="1306"/>
      <c r="N279" s="1309"/>
      <c r="O279" s="15"/>
      <c r="P279" s="1362"/>
      <c r="Q279" s="343"/>
      <c r="R279" s="2"/>
      <c r="S279" s="343"/>
      <c r="T279" s="343"/>
      <c r="U279" s="343"/>
      <c r="V279" s="343"/>
      <c r="W279" s="2"/>
      <c r="X279" s="2"/>
      <c r="Y279" s="2"/>
      <c r="Z279" s="2"/>
      <c r="AA279" s="2"/>
      <c r="AB279" s="2"/>
      <c r="AC279" s="108" t="b">
        <f>AC278</f>
        <v>0</v>
      </c>
      <c r="AD279" s="108" t="b">
        <f t="shared" ref="AD279:AI279" si="120">AD278</f>
        <v>0</v>
      </c>
      <c r="AE279" s="108" t="b">
        <f t="shared" si="120"/>
        <v>0</v>
      </c>
      <c r="AF279" s="108" t="b">
        <f t="shared" si="120"/>
        <v>0</v>
      </c>
      <c r="AG279" s="108" t="b">
        <f t="shared" si="120"/>
        <v>0</v>
      </c>
      <c r="AH279" s="108" t="b">
        <f t="shared" si="120"/>
        <v>0</v>
      </c>
      <c r="AI279" s="108" t="b">
        <f t="shared" si="120"/>
        <v>0</v>
      </c>
      <c r="AJ279" s="553" t="s">
        <v>2248</v>
      </c>
      <c r="AK279" s="663" t="str">
        <f>IF(AND(CNTR_ExistSubInstEntries,MSconst_RequireSubAttrEmissions,COUNTIFS(AC279:AI279,FALSE,H279:N279,"")&gt;0),EUconst_Error&amp;"BM"&amp;$Q13,"")</f>
        <v/>
      </c>
      <c r="AL279" s="2"/>
    </row>
    <row r="280" spans="1:38" ht="12.75" customHeight="1" x14ac:dyDescent="0.25">
      <c r="A280" s="2"/>
      <c r="B280" s="178"/>
      <c r="C280" s="779"/>
      <c r="D280" s="416" t="s">
        <v>1787</v>
      </c>
      <c r="E280" s="2613" t="str">
        <f>Translations!$B$641</f>
        <v>Exporterad restgas</v>
      </c>
      <c r="F280" s="1997"/>
      <c r="G280" s="364" t="str">
        <f>EUconst_TJpa</f>
        <v>TJ / år</v>
      </c>
      <c r="H280" s="351" t="str">
        <f t="shared" ref="H280:N280" si="121">IF(COUNT(H278:H279)=2,H278*H279/1000,"")</f>
        <v/>
      </c>
      <c r="I280" s="1107" t="str">
        <f t="shared" si="121"/>
        <v/>
      </c>
      <c r="J280" s="1113" t="str">
        <f t="shared" si="121"/>
        <v/>
      </c>
      <c r="K280" s="351" t="str">
        <f t="shared" si="121"/>
        <v/>
      </c>
      <c r="L280" s="351" t="str">
        <f t="shared" si="121"/>
        <v/>
      </c>
      <c r="M280" s="351" t="str">
        <f t="shared" si="121"/>
        <v/>
      </c>
      <c r="N280" s="1148" t="str">
        <f t="shared" si="121"/>
        <v/>
      </c>
      <c r="O280" s="15"/>
      <c r="P280" s="15"/>
      <c r="Q280" s="165" t="str">
        <f>EUconst_CNTR_WGExport &amp; I13</f>
        <v>WasteGasEx_</v>
      </c>
      <c r="R280" s="2"/>
      <c r="S280" s="772"/>
      <c r="T280" s="609">
        <f t="shared" ref="T280:Z280" si="122">H277</f>
        <v>2019</v>
      </c>
      <c r="U280" s="609">
        <f t="shared" si="122"/>
        <v>2020</v>
      </c>
      <c r="V280" s="609">
        <f t="shared" si="122"/>
        <v>2021</v>
      </c>
      <c r="W280" s="609">
        <f t="shared" si="122"/>
        <v>2022</v>
      </c>
      <c r="X280" s="609">
        <f t="shared" si="122"/>
        <v>2023</v>
      </c>
      <c r="Y280" s="609">
        <f t="shared" si="122"/>
        <v>2024</v>
      </c>
      <c r="Z280" s="610">
        <f t="shared" si="122"/>
        <v>2025</v>
      </c>
      <c r="AA280" s="2"/>
      <c r="AB280" s="2"/>
      <c r="AC280" s="2"/>
      <c r="AD280" s="2"/>
      <c r="AE280" s="2"/>
      <c r="AF280" s="2"/>
      <c r="AG280" s="2"/>
      <c r="AH280" s="2"/>
      <c r="AI280" s="2"/>
      <c r="AJ280" s="2"/>
      <c r="AK280" s="2"/>
      <c r="AL280" s="2"/>
    </row>
    <row r="281" spans="1:38" s="534" customFormat="1" ht="12.75" customHeight="1" thickBot="1" x14ac:dyDescent="0.3">
      <c r="A281" s="2"/>
      <c r="B281" s="178"/>
      <c r="C281" s="779"/>
      <c r="D281" s="416" t="s">
        <v>1788</v>
      </c>
      <c r="E281" s="2613" t="str">
        <f>Translations!$B$642</f>
        <v>Särskild emissionsfaktor (exporterad restgas)</v>
      </c>
      <c r="F281" s="1997"/>
      <c r="G281" s="363" t="str">
        <f>EUconst_tCO2pTJ</f>
        <v>t CO2 / TJ</v>
      </c>
      <c r="H281" s="1315"/>
      <c r="I281" s="1316"/>
      <c r="J281" s="1317"/>
      <c r="K281" s="1315"/>
      <c r="L281" s="1315"/>
      <c r="M281" s="1315"/>
      <c r="N281" s="1318"/>
      <c r="O281" s="15"/>
      <c r="P281" s="1362"/>
      <c r="Q281" s="165" t="str">
        <f>EUconst_CNTR_WGExportEF &amp; I13</f>
        <v>WasteGasExEF_</v>
      </c>
      <c r="R281" s="343"/>
      <c r="S281" s="773" t="str">
        <f>EUconst_CNTR_AttributedEmissions &amp; I13</f>
        <v>AttrEmissions_</v>
      </c>
      <c r="T281" s="111" t="str">
        <f t="shared" ref="T281:Z281" si="123">IF(T21,-SUM(H280)*EUconst_NGEFvalue*EUconst_WasteGasCorrFactor,"")</f>
        <v/>
      </c>
      <c r="U281" s="111" t="str">
        <f t="shared" si="123"/>
        <v/>
      </c>
      <c r="V281" s="111" t="str">
        <f t="shared" si="123"/>
        <v/>
      </c>
      <c r="W281" s="111" t="str">
        <f t="shared" si="123"/>
        <v/>
      </c>
      <c r="X281" s="111" t="str">
        <f t="shared" si="123"/>
        <v/>
      </c>
      <c r="Y281" s="111" t="str">
        <f t="shared" si="123"/>
        <v/>
      </c>
      <c r="Z281" s="112" t="str">
        <f t="shared" si="123"/>
        <v/>
      </c>
      <c r="AA281" s="343"/>
      <c r="AB281" s="672" t="s">
        <v>782</v>
      </c>
      <c r="AC281" s="108" t="b">
        <f t="shared" ref="AC281:AI281" si="124">AC228</f>
        <v>0</v>
      </c>
      <c r="AD281" s="108" t="b">
        <f t="shared" si="124"/>
        <v>0</v>
      </c>
      <c r="AE281" s="108" t="b">
        <f t="shared" si="124"/>
        <v>0</v>
      </c>
      <c r="AF281" s="108" t="b">
        <f t="shared" si="124"/>
        <v>0</v>
      </c>
      <c r="AG281" s="108" t="b">
        <f t="shared" si="124"/>
        <v>0</v>
      </c>
      <c r="AH281" s="108" t="b">
        <f t="shared" si="124"/>
        <v>0</v>
      </c>
      <c r="AI281" s="108" t="b">
        <f t="shared" si="124"/>
        <v>0</v>
      </c>
      <c r="AJ281" s="553" t="s">
        <v>2248</v>
      </c>
      <c r="AK281" s="663" t="str">
        <f>IF(AND(CNTR_ExistSubInstEntries,MSconst_RequireSubAttrEmissions,COUNTIFS(AC281:AI281,FALSE,H281:N281,"")&gt;0),EUconst_Error&amp;"BM"&amp;$Q13,"")</f>
        <v/>
      </c>
      <c r="AL281" s="2"/>
    </row>
    <row r="282" spans="1:38" ht="12.75" customHeight="1" x14ac:dyDescent="0.25">
      <c r="A282" s="2"/>
      <c r="B282" s="178"/>
      <c r="C282" s="779"/>
      <c r="D282" s="780"/>
      <c r="E282" s="780"/>
      <c r="F282" s="780"/>
      <c r="G282" s="780"/>
      <c r="H282" s="780"/>
      <c r="I282" s="1805"/>
      <c r="J282" s="780"/>
      <c r="K282" s="780"/>
      <c r="L282" s="780"/>
      <c r="M282" s="780"/>
      <c r="N282" s="519"/>
      <c r="O282" s="15"/>
      <c r="P282" s="15"/>
      <c r="Q282" s="343"/>
      <c r="R282" s="2"/>
      <c r="S282" s="343"/>
      <c r="T282" s="2"/>
      <c r="U282" s="2"/>
      <c r="V282" s="2"/>
      <c r="W282" s="2"/>
      <c r="X282" s="2"/>
      <c r="Y282" s="2"/>
      <c r="Z282" s="2"/>
      <c r="AA282" s="2"/>
      <c r="AB282" s="2"/>
      <c r="AC282" s="2"/>
      <c r="AD282" s="2"/>
      <c r="AE282" s="2"/>
      <c r="AF282" s="2"/>
      <c r="AG282" s="2"/>
      <c r="AH282" s="2"/>
      <c r="AI282" s="2"/>
      <c r="AJ282" s="2"/>
      <c r="AK282" s="2"/>
      <c r="AL282" s="2"/>
    </row>
    <row r="283" spans="1:38" ht="12.75" customHeight="1" x14ac:dyDescent="0.25">
      <c r="A283" s="2"/>
      <c r="B283" s="178"/>
      <c r="C283" s="779"/>
      <c r="D283" s="373" t="s">
        <v>527</v>
      </c>
      <c r="E283" s="2614" t="str">
        <f>Translations!$B$268</f>
        <v>Elproduktion</v>
      </c>
      <c r="F283" s="1960"/>
      <c r="G283" s="1960"/>
      <c r="H283" s="1960"/>
      <c r="I283" s="1960"/>
      <c r="J283" s="1960"/>
      <c r="K283" s="1960"/>
      <c r="L283" s="1960"/>
      <c r="M283" s="1960"/>
      <c r="N283" s="2597"/>
      <c r="O283" s="15"/>
      <c r="P283" s="15"/>
      <c r="Q283" s="343"/>
      <c r="R283" s="2"/>
      <c r="S283" s="343"/>
      <c r="T283" s="2"/>
      <c r="U283" s="2"/>
      <c r="V283" s="2"/>
      <c r="W283" s="2"/>
      <c r="X283" s="2"/>
      <c r="Y283" s="2"/>
      <c r="Z283" s="2"/>
      <c r="AA283" s="2"/>
      <c r="AB283" s="2"/>
      <c r="AC283" s="2"/>
      <c r="AD283" s="2"/>
      <c r="AE283" s="2"/>
      <c r="AF283" s="2"/>
      <c r="AG283" s="2"/>
      <c r="AH283" s="2"/>
      <c r="AI283" s="2"/>
      <c r="AJ283" s="2"/>
      <c r="AK283" s="2"/>
      <c r="AL283" s="2"/>
    </row>
    <row r="284" spans="1:38" ht="12.75" customHeight="1" x14ac:dyDescent="0.25">
      <c r="A284" s="2"/>
      <c r="B284" s="178"/>
      <c r="C284" s="779"/>
      <c r="D284" s="416"/>
      <c r="E284" s="2596" t="str">
        <f>Translations!$B$643</f>
        <v>De uppgifter som anges här påverkar de utsläpp som kan tillskrivas i enlighet med kapitel 10 i bilaga VII till FAR.</v>
      </c>
      <c r="F284" s="1960"/>
      <c r="G284" s="1960"/>
      <c r="H284" s="1960"/>
      <c r="I284" s="1960"/>
      <c r="J284" s="1960"/>
      <c r="K284" s="1960"/>
      <c r="L284" s="1960"/>
      <c r="M284" s="1960"/>
      <c r="N284" s="2597"/>
      <c r="O284" s="15"/>
      <c r="P284" s="15"/>
      <c r="Q284" s="343"/>
      <c r="R284" s="2"/>
      <c r="S284" s="343"/>
      <c r="T284" s="343"/>
      <c r="U284" s="343"/>
      <c r="V284" s="343"/>
      <c r="W284" s="2"/>
      <c r="X284" s="2"/>
      <c r="Y284" s="2"/>
      <c r="Z284" s="2"/>
      <c r="AA284" s="2"/>
      <c r="AB284" s="2"/>
      <c r="AC284" s="2"/>
      <c r="AD284" s="2"/>
      <c r="AE284" s="2"/>
      <c r="AF284" s="2"/>
      <c r="AG284" s="2"/>
      <c r="AH284" s="2"/>
      <c r="AI284" s="2"/>
      <c r="AJ284" s="2"/>
      <c r="AK284" s="2"/>
      <c r="AL284" s="2"/>
    </row>
    <row r="285" spans="1:38" ht="25.5" customHeight="1" thickBot="1" x14ac:dyDescent="0.3">
      <c r="A285" s="2"/>
      <c r="B285" s="178"/>
      <c r="C285" s="779"/>
      <c r="D285" s="780"/>
      <c r="E285" s="2610" t="str">
        <f>Translations!$B$644</f>
        <v>Detta innefattar el som produceras direkt från delanläggningen i enlighet med avsnitt 3.1 (i) i bilaga IV till FAR. El som produceras via intermediär mätbar värme bör inte anges här utan som export av mätbar värme i punkt k.v ovan.</v>
      </c>
      <c r="F285" s="1960"/>
      <c r="G285" s="1960"/>
      <c r="H285" s="1960"/>
      <c r="I285" s="1960"/>
      <c r="J285" s="1960"/>
      <c r="K285" s="1960"/>
      <c r="L285" s="1960"/>
      <c r="M285" s="1960"/>
      <c r="N285" s="2597"/>
      <c r="O285" s="15"/>
      <c r="P285" s="15"/>
      <c r="Q285" s="343"/>
      <c r="R285" s="2"/>
      <c r="S285" s="343"/>
      <c r="T285" s="2"/>
      <c r="U285" s="2"/>
      <c r="V285" s="2"/>
      <c r="W285" s="2"/>
      <c r="X285" s="2"/>
      <c r="Y285" s="2"/>
      <c r="Z285" s="2"/>
      <c r="AA285" s="2"/>
      <c r="AB285" s="2"/>
      <c r="AC285" s="2"/>
      <c r="AD285" s="2"/>
      <c r="AE285" s="2"/>
      <c r="AF285" s="2"/>
      <c r="AG285" s="2"/>
      <c r="AH285" s="2"/>
      <c r="AI285" s="2"/>
      <c r="AJ285" s="2"/>
      <c r="AK285" s="2"/>
      <c r="AL285" s="2"/>
    </row>
    <row r="286" spans="1:38" ht="12.75" customHeight="1" thickBot="1" x14ac:dyDescent="0.3">
      <c r="A286" s="2"/>
      <c r="B286" s="178"/>
      <c r="C286" s="779"/>
      <c r="D286" s="373"/>
      <c r="E286" s="1716"/>
      <c r="F286" s="1717"/>
      <c r="G286" s="361" t="str">
        <f>EUconst_Unit</f>
        <v>Enhet</v>
      </c>
      <c r="H286" s="362">
        <f t="shared" ref="H286:N286" si="125">H$3042</f>
        <v>2019</v>
      </c>
      <c r="I286" s="1103">
        <f t="shared" si="125"/>
        <v>2020</v>
      </c>
      <c r="J286" s="1104">
        <f t="shared" si="125"/>
        <v>2021</v>
      </c>
      <c r="K286" s="362">
        <f t="shared" si="125"/>
        <v>2022</v>
      </c>
      <c r="L286" s="362">
        <f t="shared" si="125"/>
        <v>2023</v>
      </c>
      <c r="M286" s="362">
        <f t="shared" si="125"/>
        <v>2024</v>
      </c>
      <c r="N286" s="1141">
        <f t="shared" si="125"/>
        <v>2025</v>
      </c>
      <c r="O286" s="15"/>
      <c r="P286" s="15"/>
      <c r="Q286" s="343"/>
      <c r="R286" s="2"/>
      <c r="S286" s="772"/>
      <c r="T286" s="609">
        <f t="shared" ref="T286:Z286" si="126">H286</f>
        <v>2019</v>
      </c>
      <c r="U286" s="609">
        <f t="shared" si="126"/>
        <v>2020</v>
      </c>
      <c r="V286" s="609">
        <f t="shared" si="126"/>
        <v>2021</v>
      </c>
      <c r="W286" s="609">
        <f t="shared" si="126"/>
        <v>2022</v>
      </c>
      <c r="X286" s="609">
        <f t="shared" si="126"/>
        <v>2023</v>
      </c>
      <c r="Y286" s="609">
        <f t="shared" si="126"/>
        <v>2024</v>
      </c>
      <c r="Z286" s="610">
        <f t="shared" si="126"/>
        <v>2025</v>
      </c>
      <c r="AA286" s="2"/>
      <c r="AB286" s="2"/>
      <c r="AC286" s="1044">
        <f t="shared" ref="AC286:AI286" si="127">H$20</f>
        <v>2019</v>
      </c>
      <c r="AD286" s="1044">
        <f t="shared" si="127"/>
        <v>2020</v>
      </c>
      <c r="AE286" s="1044">
        <f t="shared" si="127"/>
        <v>2021</v>
      </c>
      <c r="AF286" s="1044">
        <f t="shared" si="127"/>
        <v>2022</v>
      </c>
      <c r="AG286" s="1044">
        <f t="shared" si="127"/>
        <v>2023</v>
      </c>
      <c r="AH286" s="1044">
        <f t="shared" si="127"/>
        <v>2024</v>
      </c>
      <c r="AI286" s="1044">
        <f t="shared" si="127"/>
        <v>2025</v>
      </c>
      <c r="AJ286" s="2"/>
      <c r="AK286" s="2"/>
      <c r="AL286" s="2"/>
    </row>
    <row r="287" spans="1:38" ht="12.75" customHeight="1" thickBot="1" x14ac:dyDescent="0.3">
      <c r="A287" s="2"/>
      <c r="B287" s="178"/>
      <c r="C287" s="779"/>
      <c r="D287" s="416"/>
      <c r="E287" s="2613" t="str">
        <f>Translations!$B$645</f>
        <v>Producerad el</v>
      </c>
      <c r="F287" s="1997"/>
      <c r="G287" s="364" t="str">
        <f>EUconst_MWhpa</f>
        <v>MWh / år</v>
      </c>
      <c r="H287" s="582"/>
      <c r="I287" s="1105"/>
      <c r="J287" s="1115"/>
      <c r="K287" s="582"/>
      <c r="L287" s="582"/>
      <c r="M287" s="582"/>
      <c r="N287" s="1146"/>
      <c r="O287" s="15"/>
      <c r="P287" s="1362"/>
      <c r="Q287" s="165" t="str">
        <f>EUconst_CNTR_ElectricityExported &amp; I13</f>
        <v>ElecEx_</v>
      </c>
      <c r="R287" s="2"/>
      <c r="S287" s="773" t="str">
        <f>EUconst_CNTR_AttributedEmissions &amp; I13</f>
        <v>AttrEmissions_</v>
      </c>
      <c r="T287" s="111" t="str">
        <f t="shared" ref="T287:Z287" si="128">IF(T21,-SUM(H287)*EUconst_ElBM,"")</f>
        <v/>
      </c>
      <c r="U287" s="111" t="str">
        <f t="shared" si="128"/>
        <v/>
      </c>
      <c r="V287" s="111" t="str">
        <f t="shared" si="128"/>
        <v/>
      </c>
      <c r="W287" s="111" t="str">
        <f t="shared" si="128"/>
        <v/>
      </c>
      <c r="X287" s="111" t="str">
        <f t="shared" si="128"/>
        <v/>
      </c>
      <c r="Y287" s="111" t="str">
        <f t="shared" si="128"/>
        <v/>
      </c>
      <c r="Z287" s="112" t="str">
        <f t="shared" si="128"/>
        <v/>
      </c>
      <c r="AA287" s="2"/>
      <c r="AB287" s="672" t="s">
        <v>782</v>
      </c>
      <c r="AC287" s="108" t="b">
        <f>AC83</f>
        <v>0</v>
      </c>
      <c r="AD287" s="108" t="b">
        <f t="shared" ref="AD287:AI287" si="129">AD83</f>
        <v>0</v>
      </c>
      <c r="AE287" s="108" t="b">
        <f t="shared" si="129"/>
        <v>0</v>
      </c>
      <c r="AF287" s="108" t="b">
        <f t="shared" si="129"/>
        <v>0</v>
      </c>
      <c r="AG287" s="108" t="b">
        <f t="shared" si="129"/>
        <v>0</v>
      </c>
      <c r="AH287" s="108" t="b">
        <f t="shared" si="129"/>
        <v>0</v>
      </c>
      <c r="AI287" s="108" t="b">
        <f t="shared" si="129"/>
        <v>0</v>
      </c>
      <c r="AJ287" s="553" t="s">
        <v>2248</v>
      </c>
      <c r="AK287" s="663" t="str">
        <f>IF(AND(CNTR_ExistSubInstEntries,MSconst_RequireSubAttrEmissions,COUNTIFS(AC287:AI287,FALSE,H287:N287,"")&gt;0),EUconst_Error&amp;"BM"&amp;$Q13,"")</f>
        <v/>
      </c>
      <c r="AL287" s="2"/>
    </row>
    <row r="288" spans="1:38" ht="12.75" customHeight="1" x14ac:dyDescent="0.25">
      <c r="A288" s="2"/>
      <c r="B288" s="178"/>
      <c r="C288" s="779"/>
      <c r="D288" s="780"/>
      <c r="E288" s="780"/>
      <c r="F288" s="780"/>
      <c r="G288" s="780"/>
      <c r="H288" s="780"/>
      <c r="I288" s="1805"/>
      <c r="J288" s="780"/>
      <c r="K288" s="780"/>
      <c r="L288" s="780"/>
      <c r="M288" s="780"/>
      <c r="N288" s="519"/>
      <c r="O288" s="15"/>
      <c r="P288" s="15"/>
      <c r="Q288" s="343"/>
      <c r="R288" s="2"/>
      <c r="S288" s="343"/>
      <c r="T288" s="2"/>
      <c r="U288" s="2"/>
      <c r="V288" s="343"/>
      <c r="W288" s="2"/>
      <c r="X288" s="2"/>
      <c r="Y288" s="2"/>
      <c r="Z288" s="2"/>
      <c r="AA288" s="2"/>
      <c r="AB288" s="2"/>
      <c r="AC288" s="2"/>
      <c r="AD288" s="2"/>
      <c r="AE288" s="2"/>
      <c r="AF288" s="2"/>
      <c r="AG288" s="2"/>
      <c r="AH288" s="2"/>
      <c r="AI288" s="2"/>
      <c r="AJ288" s="2"/>
      <c r="AK288" s="2"/>
      <c r="AL288" s="2"/>
    </row>
    <row r="289" spans="1:38" ht="12.75" customHeight="1" x14ac:dyDescent="0.25">
      <c r="A289" s="2"/>
      <c r="B289" s="178"/>
      <c r="C289" s="779"/>
      <c r="D289" s="373" t="s">
        <v>271</v>
      </c>
      <c r="E289" s="2614" t="str">
        <f>Translations!$B$646</f>
        <v>Total producerad massamängd</v>
      </c>
      <c r="F289" s="1960"/>
      <c r="G289" s="1960"/>
      <c r="H289" s="1960"/>
      <c r="I289" s="1960"/>
      <c r="J289" s="1960"/>
      <c r="K289" s="1960"/>
      <c r="L289" s="1960"/>
      <c r="M289" s="1960"/>
      <c r="N289" s="2597"/>
      <c r="O289" s="15"/>
      <c r="P289" s="15"/>
      <c r="Q289" s="2"/>
      <c r="R289" s="2"/>
      <c r="S289" s="2"/>
      <c r="T289" s="2"/>
      <c r="U289" s="2"/>
      <c r="V289" s="343"/>
      <c r="W289" s="2"/>
      <c r="X289" s="2"/>
      <c r="Y289" s="2"/>
      <c r="Z289" s="2"/>
      <c r="AA289" s="2"/>
      <c r="AB289" s="2"/>
      <c r="AC289" s="2"/>
      <c r="AD289" s="2"/>
      <c r="AE289" s="2"/>
      <c r="AF289" s="2"/>
      <c r="AG289" s="2"/>
      <c r="AH289" s="2"/>
      <c r="AI289" s="2"/>
      <c r="AJ289" s="2"/>
      <c r="AK289" s="2"/>
      <c r="AL289" s="2"/>
    </row>
    <row r="290" spans="1:38" ht="25.5" customHeight="1" x14ac:dyDescent="0.25">
      <c r="A290" s="2"/>
      <c r="B290" s="178"/>
      <c r="C290" s="779"/>
      <c r="D290" s="780"/>
      <c r="E290" s="2610" t="str">
        <f>Translations!$B$647</f>
        <v>Enligt avsnitt 2.7 k i bilaga IV till FAR ska det lämnas uppgift om den totala mängden massa som produceras för delanläggningar med produktriktmärke för kortfibrig sulfatmassa, långfibrig sulfatmassa, termomekanisk massa och mekanisk massa samt sulfitmassa.</v>
      </c>
      <c r="F290" s="1960"/>
      <c r="G290" s="1960"/>
      <c r="H290" s="1960"/>
      <c r="I290" s="1960"/>
      <c r="J290" s="1960"/>
      <c r="K290" s="1960"/>
      <c r="L290" s="1960"/>
      <c r="M290" s="1960"/>
      <c r="N290" s="2597"/>
      <c r="O290" s="15"/>
      <c r="P290" s="15"/>
      <c r="Q290" s="343"/>
      <c r="R290" s="2"/>
      <c r="S290" s="343"/>
      <c r="T290" s="2"/>
      <c r="U290" s="2"/>
      <c r="V290" s="343"/>
      <c r="W290" s="2"/>
      <c r="X290" s="2"/>
      <c r="Y290" s="2"/>
      <c r="Z290" s="2"/>
      <c r="AA290" s="2"/>
      <c r="AB290" s="2"/>
      <c r="AC290" s="2"/>
      <c r="AD290" s="2"/>
      <c r="AE290" s="2"/>
      <c r="AF290" s="2"/>
      <c r="AG290" s="2"/>
      <c r="AH290" s="2"/>
      <c r="AI290" s="2"/>
      <c r="AJ290" s="2"/>
      <c r="AK290" s="2"/>
      <c r="AL290" s="2"/>
    </row>
    <row r="291" spans="1:38" ht="12.75" customHeight="1" x14ac:dyDescent="0.25">
      <c r="A291" s="2"/>
      <c r="B291" s="178"/>
      <c r="C291" s="779"/>
      <c r="D291" s="780"/>
      <c r="E291" s="2610" t="str">
        <f>Translations!$B$648</f>
        <v>Avsnittet kommer att gråmarkeras om det inte rör sig om någon massaproducerande delanläggning av dessa slag. Var god gå vidare till nedanstående punkter, i sådana fall.</v>
      </c>
      <c r="F291" s="1960"/>
      <c r="G291" s="1960"/>
      <c r="H291" s="1960"/>
      <c r="I291" s="1960"/>
      <c r="J291" s="1960"/>
      <c r="K291" s="1960"/>
      <c r="L291" s="1960"/>
      <c r="M291" s="1960"/>
      <c r="N291" s="2597"/>
      <c r="O291" s="15"/>
      <c r="P291" s="15"/>
      <c r="Q291" s="343"/>
      <c r="R291" s="2"/>
      <c r="S291" s="343"/>
      <c r="T291" s="2"/>
      <c r="U291" s="2"/>
      <c r="V291" s="343"/>
      <c r="W291" s="2"/>
      <c r="X291" s="2"/>
      <c r="Y291" s="2"/>
      <c r="Z291" s="2"/>
      <c r="AA291" s="2"/>
      <c r="AB291" s="2"/>
      <c r="AC291" s="2"/>
      <c r="AD291" s="2"/>
      <c r="AE291" s="2"/>
      <c r="AF291" s="2"/>
      <c r="AG291" s="2"/>
      <c r="AH291" s="2"/>
      <c r="AI291" s="2"/>
      <c r="AJ291" s="2"/>
      <c r="AK291" s="2"/>
      <c r="AL291" s="2"/>
    </row>
    <row r="292" spans="1:38" ht="12.75" customHeight="1" thickBot="1" x14ac:dyDescent="0.3">
      <c r="A292" s="2"/>
      <c r="B292" s="178"/>
      <c r="C292" s="779"/>
      <c r="D292" s="416"/>
      <c r="E292" s="2615" t="str">
        <f>Translations!$B$649</f>
        <v>De uppgifter som anges här är relevanta för uppdateringen av det särskilda riktmärket för massa.</v>
      </c>
      <c r="F292" s="2497"/>
      <c r="G292" s="2497"/>
      <c r="H292" s="2497"/>
      <c r="I292" s="2497"/>
      <c r="J292" s="2497"/>
      <c r="K292" s="2497"/>
      <c r="L292" s="2497"/>
      <c r="M292" s="2497"/>
      <c r="N292" s="2616"/>
      <c r="O292" s="15"/>
      <c r="P292" s="15"/>
      <c r="Q292" s="343"/>
      <c r="R292" s="2"/>
      <c r="S292" s="343"/>
      <c r="T292" s="2"/>
      <c r="U292" s="2"/>
      <c r="V292" s="343"/>
      <c r="W292" s="2"/>
      <c r="X292" s="2"/>
      <c r="Y292" s="2"/>
      <c r="Z292" s="2"/>
      <c r="AA292" s="2"/>
      <c r="AB292" s="2"/>
      <c r="AC292" s="1044">
        <f t="shared" ref="AC292:AI292" si="130">H$20</f>
        <v>2019</v>
      </c>
      <c r="AD292" s="1044">
        <f t="shared" si="130"/>
        <v>2020</v>
      </c>
      <c r="AE292" s="1044">
        <f t="shared" si="130"/>
        <v>2021</v>
      </c>
      <c r="AF292" s="1044">
        <f t="shared" si="130"/>
        <v>2022</v>
      </c>
      <c r="AG292" s="1044">
        <f t="shared" si="130"/>
        <v>2023</v>
      </c>
      <c r="AH292" s="1044">
        <f t="shared" si="130"/>
        <v>2024</v>
      </c>
      <c r="AI292" s="1044">
        <f t="shared" si="130"/>
        <v>2025</v>
      </c>
      <c r="AJ292" s="2"/>
      <c r="AK292" s="2"/>
      <c r="AL292" s="2"/>
    </row>
    <row r="293" spans="1:38" ht="12.75" customHeight="1" x14ac:dyDescent="0.25">
      <c r="A293" s="2"/>
      <c r="B293" s="178"/>
      <c r="C293" s="779"/>
      <c r="D293" s="416"/>
      <c r="E293" s="2617" t="str">
        <f>IF(I13="","",IF(INDEX(EUconst_BMlistPulp,MATCH(I13,EUconst_BMlistNames,0)),I13,""))</f>
        <v/>
      </c>
      <c r="F293" s="1997"/>
      <c r="G293" s="364" t="str">
        <f>EUconst_Tons</f>
        <v>ton</v>
      </c>
      <c r="H293" s="582"/>
      <c r="I293" s="1105"/>
      <c r="J293" s="1115"/>
      <c r="K293" s="582"/>
      <c r="L293" s="582"/>
      <c r="M293" s="582"/>
      <c r="N293" s="1146"/>
      <c r="O293" s="15"/>
      <c r="P293" s="1362"/>
      <c r="Q293" s="165" t="str">
        <f>EUconst_CNTR_HALPulpTotal &amp; I13</f>
        <v>HALPulpTotal_</v>
      </c>
      <c r="R293" s="2"/>
      <c r="S293" s="343"/>
      <c r="T293" s="2"/>
      <c r="U293" s="2"/>
      <c r="V293" s="2"/>
      <c r="W293" s="2"/>
      <c r="X293" s="2"/>
      <c r="Y293" s="2"/>
      <c r="Z293" s="2"/>
      <c r="AA293" s="2"/>
      <c r="AB293" s="672" t="s">
        <v>782</v>
      </c>
      <c r="AC293" s="1196" t="b">
        <f t="shared" ref="AC293:AI293" si="131">IF($I13&lt;&gt;"",IF(INDEX(EUconst_BMlistPulp,MATCH($I13,EUconst_BMlistNames,0))=TRUE,FALSE,TRUE),AC83)</f>
        <v>0</v>
      </c>
      <c r="AD293" s="108" t="b">
        <f t="shared" si="131"/>
        <v>0</v>
      </c>
      <c r="AE293" s="108" t="b">
        <f t="shared" si="131"/>
        <v>0</v>
      </c>
      <c r="AF293" s="108" t="b">
        <f t="shared" si="131"/>
        <v>0</v>
      </c>
      <c r="AG293" s="108" t="b">
        <f t="shared" si="131"/>
        <v>0</v>
      </c>
      <c r="AH293" s="108" t="b">
        <f t="shared" si="131"/>
        <v>0</v>
      </c>
      <c r="AI293" s="108" t="b">
        <f t="shared" si="131"/>
        <v>0</v>
      </c>
      <c r="AJ293" s="553" t="s">
        <v>2248</v>
      </c>
      <c r="AK293" s="663" t="str">
        <f>IF(AND(CNTR_ExistSubInstEntries,MSconst_RequireSubAttrEmissions,COUNTIFS(AC293:AI293,FALSE,H293:N293,"")&gt;0),EUconst_Error&amp;"BM"&amp;$Q13,"")</f>
        <v/>
      </c>
      <c r="AL293" s="2"/>
    </row>
    <row r="294" spans="1:38" ht="12.75" customHeight="1" x14ac:dyDescent="0.25">
      <c r="A294" s="2"/>
      <c r="B294" s="178"/>
      <c r="C294" s="779"/>
      <c r="D294" s="416"/>
      <c r="E294" s="416"/>
      <c r="F294" s="416"/>
      <c r="G294" s="416"/>
      <c r="H294" s="1805"/>
      <c r="I294" s="416"/>
      <c r="J294" s="416"/>
      <c r="K294" s="416"/>
      <c r="L294" s="416"/>
      <c r="M294" s="416"/>
      <c r="N294" s="1810"/>
      <c r="O294" s="15"/>
      <c r="P294" s="15"/>
      <c r="Q294" s="343"/>
      <c r="R294" s="2"/>
      <c r="S294" s="343"/>
      <c r="T294" s="2"/>
      <c r="U294" s="2"/>
      <c r="V294" s="343"/>
      <c r="W294" s="2"/>
      <c r="X294" s="2"/>
      <c r="Y294" s="2"/>
      <c r="Z294" s="2"/>
      <c r="AA294" s="2"/>
      <c r="AB294" s="2"/>
      <c r="AC294" s="2"/>
      <c r="AD294" s="2"/>
      <c r="AE294" s="2"/>
      <c r="AF294" s="2"/>
      <c r="AG294" s="2"/>
      <c r="AH294" s="2"/>
      <c r="AI294" s="2"/>
      <c r="AJ294" s="2"/>
      <c r="AK294" s="2"/>
      <c r="AL294" s="2"/>
    </row>
    <row r="295" spans="1:38" ht="12.75" customHeight="1" x14ac:dyDescent="0.25">
      <c r="A295" s="2"/>
      <c r="B295" s="178"/>
      <c r="C295" s="779"/>
      <c r="D295" s="373" t="s">
        <v>906</v>
      </c>
      <c r="E295" s="2614" t="str">
        <f>Translations!$B$650</f>
        <v>Import eller export av mellanprodukter som omfattas av produktriktmärken</v>
      </c>
      <c r="F295" s="1960"/>
      <c r="G295" s="1960"/>
      <c r="H295" s="1960"/>
      <c r="I295" s="1960"/>
      <c r="J295" s="1960"/>
      <c r="K295" s="1960"/>
      <c r="L295" s="1960"/>
      <c r="M295" s="1960"/>
      <c r="N295" s="2597"/>
      <c r="O295" s="15"/>
      <c r="P295" s="15"/>
      <c r="Q295" s="343"/>
      <c r="R295" s="2"/>
      <c r="S295" s="343"/>
      <c r="T295" s="2"/>
      <c r="U295" s="2"/>
      <c r="V295" s="343"/>
      <c r="W295" s="2"/>
      <c r="X295" s="2"/>
      <c r="Y295" s="2"/>
      <c r="Z295" s="2"/>
      <c r="AA295" s="2"/>
      <c r="AB295" s="2"/>
      <c r="AC295" s="2"/>
      <c r="AD295" s="2"/>
      <c r="AE295" s="2"/>
      <c r="AF295" s="2"/>
      <c r="AG295" s="2"/>
      <c r="AH295" s="2"/>
      <c r="AI295" s="2"/>
      <c r="AJ295" s="2"/>
      <c r="AK295" s="2"/>
      <c r="AL295" s="2"/>
    </row>
    <row r="296" spans="1:38" ht="25.5" customHeight="1" x14ac:dyDescent="0.25">
      <c r="A296" s="2"/>
      <c r="B296" s="178"/>
      <c r="C296" s="779"/>
      <c r="D296" s="780"/>
      <c r="E296" s="2610" t="str">
        <f>Translations!$B$651</f>
        <v>För att undvika eventuell dubbelräkning eller luckor i tilldelade utsläpp vid fastställandet av de uppdaterade riktmärkena ska man enligt avsnitt 2.7 d i bilaga IV till FAR ange eventuell import eller export av mellanprodukter som omfattas av något av produktriktmärkena i bilaga I till FAR.</v>
      </c>
      <c r="F296" s="1960"/>
      <c r="G296" s="1960"/>
      <c r="H296" s="1960"/>
      <c r="I296" s="1960"/>
      <c r="J296" s="1960"/>
      <c r="K296" s="1960"/>
      <c r="L296" s="1960"/>
      <c r="M296" s="1960"/>
      <c r="N296" s="2597"/>
      <c r="O296" s="15"/>
      <c r="P296" s="15"/>
      <c r="Q296" s="343"/>
      <c r="R296" s="2"/>
      <c r="S296" s="343"/>
      <c r="T296" s="2"/>
      <c r="U296" s="2"/>
      <c r="V296" s="343"/>
      <c r="W296" s="2"/>
      <c r="X296" s="2"/>
      <c r="Y296" s="2"/>
      <c r="Z296" s="2"/>
      <c r="AA296" s="2"/>
      <c r="AB296" s="2"/>
      <c r="AC296" s="2"/>
      <c r="AD296" s="2"/>
      <c r="AE296" s="2"/>
      <c r="AF296" s="2"/>
      <c r="AG296" s="2"/>
      <c r="AH296" s="2"/>
      <c r="AI296" s="2"/>
      <c r="AJ296" s="2"/>
      <c r="AK296" s="2"/>
      <c r="AL296" s="2"/>
    </row>
    <row r="297" spans="1:38" ht="12.75" customHeight="1" x14ac:dyDescent="0.25">
      <c r="A297" s="2"/>
      <c r="B297" s="178"/>
      <c r="C297" s="779"/>
      <c r="D297" s="780"/>
      <c r="E297" s="2596" t="str">
        <f>Translations!$B$652</f>
        <v>De uppgifter som anges här kan påverka uppdateringen av det särskilda riktmärket.</v>
      </c>
      <c r="F297" s="1960"/>
      <c r="G297" s="1960"/>
      <c r="H297" s="1960"/>
      <c r="I297" s="1960"/>
      <c r="J297" s="1960"/>
      <c r="K297" s="1960"/>
      <c r="L297" s="1960"/>
      <c r="M297" s="1960"/>
      <c r="N297" s="2597"/>
      <c r="O297" s="15"/>
      <c r="P297" s="15"/>
      <c r="Q297" s="343"/>
      <c r="R297" s="2"/>
      <c r="S297" s="343"/>
      <c r="T297" s="2"/>
      <c r="U297" s="2"/>
      <c r="V297" s="343"/>
      <c r="W297" s="2"/>
      <c r="X297" s="2"/>
      <c r="Y297" s="2"/>
      <c r="Z297" s="2"/>
      <c r="AA297" s="2"/>
      <c r="AB297" s="2"/>
      <c r="AC297" s="2"/>
      <c r="AD297" s="2"/>
      <c r="AE297" s="2"/>
      <c r="AF297" s="2"/>
      <c r="AG297" s="2"/>
      <c r="AH297" s="2"/>
      <c r="AI297" s="2"/>
      <c r="AJ297" s="2"/>
      <c r="AK297" s="2"/>
      <c r="AL297" s="2"/>
    </row>
    <row r="298" spans="1:38" ht="12.75" customHeight="1" x14ac:dyDescent="0.25">
      <c r="A298" s="2"/>
      <c r="B298" s="19"/>
      <c r="C298" s="779"/>
      <c r="D298" s="416" t="s">
        <v>8</v>
      </c>
      <c r="E298" s="2598" t="str">
        <f>Translations!$B$653</f>
        <v>Förekommer import eller export av mellanprodukter som omfattas av produktriktmärken?</v>
      </c>
      <c r="F298" s="1960"/>
      <c r="G298" s="1960"/>
      <c r="H298" s="1960"/>
      <c r="I298" s="1960"/>
      <c r="J298" s="1960"/>
      <c r="K298" s="2520"/>
      <c r="L298" s="749"/>
      <c r="M298" s="360"/>
      <c r="N298" s="535"/>
      <c r="O298" s="15"/>
      <c r="P298" s="1362"/>
      <c r="Q298" s="2"/>
      <c r="R298" s="2"/>
      <c r="S298" s="2"/>
      <c r="T298" s="2"/>
      <c r="U298" s="2"/>
      <c r="V298" s="2"/>
      <c r="W298" s="2"/>
      <c r="X298" s="2"/>
      <c r="Y298" s="2"/>
      <c r="Z298" s="2"/>
      <c r="AA298" s="2"/>
      <c r="AB298" s="2"/>
      <c r="AC298" s="2"/>
      <c r="AD298" s="2"/>
      <c r="AE298" s="2"/>
      <c r="AF298" s="672" t="s">
        <v>782</v>
      </c>
      <c r="AG298" s="1196" t="b">
        <f>AND(CNTR_ExistSubInstEntries,I13="")</f>
        <v>0</v>
      </c>
      <c r="AH298" s="2"/>
      <c r="AI298" s="2"/>
      <c r="AJ298" s="2"/>
      <c r="AK298" s="2"/>
      <c r="AL298" s="2"/>
    </row>
    <row r="299" spans="1:38" ht="5.15" customHeight="1" x14ac:dyDescent="0.25">
      <c r="A299" s="2"/>
      <c r="B299" s="178"/>
      <c r="C299" s="779"/>
      <c r="D299" s="416"/>
      <c r="E299" s="416"/>
      <c r="F299" s="416"/>
      <c r="G299" s="416"/>
      <c r="H299" s="1805"/>
      <c r="I299" s="416"/>
      <c r="J299" s="416"/>
      <c r="K299" s="416"/>
      <c r="L299" s="416"/>
      <c r="M299" s="416"/>
      <c r="N299" s="1810"/>
      <c r="O299" s="15"/>
      <c r="P299" s="15"/>
      <c r="Q299" s="343"/>
      <c r="R299" s="2"/>
      <c r="S299" s="343"/>
      <c r="T299" s="2"/>
      <c r="U299" s="2"/>
      <c r="V299" s="343"/>
      <c r="W299" s="2"/>
      <c r="X299" s="2"/>
      <c r="Y299" s="2"/>
      <c r="Z299" s="2"/>
      <c r="AA299" s="2"/>
      <c r="AB299" s="2"/>
      <c r="AC299" s="2"/>
      <c r="AD299" s="2"/>
      <c r="AE299" s="2"/>
      <c r="AF299" s="2"/>
      <c r="AG299" s="2"/>
      <c r="AH299" s="2"/>
      <c r="AI299" s="2"/>
      <c r="AJ299" s="2"/>
      <c r="AK299" s="2"/>
      <c r="AL299" s="2"/>
    </row>
    <row r="300" spans="1:38" ht="12.75" customHeight="1" thickBot="1" x14ac:dyDescent="0.3">
      <c r="A300" s="2"/>
      <c r="B300" s="178"/>
      <c r="C300" s="779"/>
      <c r="D300" s="373"/>
      <c r="E300" s="2605" t="str">
        <f>Translations!$B$654</f>
        <v>Importerade mängder:</v>
      </c>
      <c r="F300" s="2497"/>
      <c r="G300" s="415" t="str">
        <f>EUconst_Unit</f>
        <v>Enhet</v>
      </c>
      <c r="H300" s="362">
        <f t="shared" ref="H300:N300" si="132">H$3042</f>
        <v>2019</v>
      </c>
      <c r="I300" s="1103">
        <f t="shared" si="132"/>
        <v>2020</v>
      </c>
      <c r="J300" s="1104">
        <f t="shared" si="132"/>
        <v>2021</v>
      </c>
      <c r="K300" s="362">
        <f t="shared" si="132"/>
        <v>2022</v>
      </c>
      <c r="L300" s="362">
        <f t="shared" si="132"/>
        <v>2023</v>
      </c>
      <c r="M300" s="362">
        <f t="shared" si="132"/>
        <v>2024</v>
      </c>
      <c r="N300" s="1141">
        <f t="shared" si="132"/>
        <v>2025</v>
      </c>
      <c r="O300" s="15"/>
      <c r="P300" s="15"/>
      <c r="Q300" s="343"/>
      <c r="R300" s="2"/>
      <c r="S300" s="343"/>
      <c r="T300" s="2"/>
      <c r="U300" s="2"/>
      <c r="V300" s="343"/>
      <c r="W300" s="2"/>
      <c r="X300" s="2"/>
      <c r="Y300" s="2"/>
      <c r="Z300" s="2"/>
      <c r="AA300" s="2"/>
      <c r="AB300" s="2"/>
      <c r="AC300" s="1044">
        <f t="shared" ref="AC300:AI300" si="133">H$20</f>
        <v>2019</v>
      </c>
      <c r="AD300" s="1044">
        <f t="shared" si="133"/>
        <v>2020</v>
      </c>
      <c r="AE300" s="1044">
        <f t="shared" si="133"/>
        <v>2021</v>
      </c>
      <c r="AF300" s="1044">
        <f t="shared" si="133"/>
        <v>2022</v>
      </c>
      <c r="AG300" s="1044">
        <f t="shared" si="133"/>
        <v>2023</v>
      </c>
      <c r="AH300" s="1044">
        <f t="shared" si="133"/>
        <v>2024</v>
      </c>
      <c r="AI300" s="1044">
        <f t="shared" si="133"/>
        <v>2025</v>
      </c>
      <c r="AJ300" s="2"/>
      <c r="AK300" s="2"/>
      <c r="AL300" s="2"/>
    </row>
    <row r="301" spans="1:38" ht="12.75" customHeight="1" x14ac:dyDescent="0.25">
      <c r="A301" s="2"/>
      <c r="B301" s="178"/>
      <c r="C301" s="779"/>
      <c r="D301" s="416" t="s">
        <v>9</v>
      </c>
      <c r="E301" s="2606"/>
      <c r="F301" s="2607"/>
      <c r="G301" s="59" t="str">
        <f>IF(E301&lt;&gt;"",INDEX(EUconst_BMlistUnits,MATCH(E301,EUconst_BMlistNames,0)),EUconst_Tons)</f>
        <v>ton</v>
      </c>
      <c r="H301" s="1319"/>
      <c r="I301" s="1320"/>
      <c r="J301" s="1321"/>
      <c r="K301" s="1319"/>
      <c r="L301" s="1319"/>
      <c r="M301" s="1319"/>
      <c r="N301" s="1322"/>
      <c r="O301" s="15"/>
      <c r="P301" s="1362"/>
      <c r="Q301" s="165" t="str">
        <f>EUconst_CNTR_IntermediateImport &amp; S301 &amp; "_" &amp; I13</f>
        <v>IntImp_1_</v>
      </c>
      <c r="R301" s="2"/>
      <c r="S301" s="165">
        <v>1</v>
      </c>
      <c r="T301" s="2"/>
      <c r="U301" s="2"/>
      <c r="V301" s="343"/>
      <c r="W301" s="2"/>
      <c r="X301" s="2"/>
      <c r="Y301" s="2"/>
      <c r="Z301" s="2"/>
      <c r="AA301" s="2"/>
      <c r="AB301" s="672" t="s">
        <v>782</v>
      </c>
      <c r="AC301" s="1196" t="b">
        <f>OR(AND($L298&lt;&gt;"",$L298=FALSE),AC83)</f>
        <v>0</v>
      </c>
      <c r="AD301" s="108" t="b">
        <f t="shared" ref="AD301:AI301" si="134">OR(AND($L298&lt;&gt;"",$L298=FALSE),AD83)</f>
        <v>0</v>
      </c>
      <c r="AE301" s="108" t="b">
        <f t="shared" si="134"/>
        <v>0</v>
      </c>
      <c r="AF301" s="108" t="b">
        <f t="shared" si="134"/>
        <v>0</v>
      </c>
      <c r="AG301" s="108" t="b">
        <f t="shared" si="134"/>
        <v>0</v>
      </c>
      <c r="AH301" s="108" t="b">
        <f t="shared" si="134"/>
        <v>0</v>
      </c>
      <c r="AI301" s="108" t="b">
        <f t="shared" si="134"/>
        <v>0</v>
      </c>
      <c r="AJ301" s="553" t="s">
        <v>2248</v>
      </c>
      <c r="AK301" s="663" t="str">
        <f>IF(AND(CNTR_ExistSubInstEntries,MSconst_RequireSubAttrEmissions,COUNTIFS(AC301:AI301,FALSE,H301:N301,"")&gt;0),EUconst_Error&amp;"BM"&amp;$Q13,"")</f>
        <v/>
      </c>
      <c r="AL301" s="2"/>
    </row>
    <row r="302" spans="1:38" ht="12.75" customHeight="1" x14ac:dyDescent="0.25">
      <c r="A302" s="2"/>
      <c r="B302" s="178"/>
      <c r="C302" s="779"/>
      <c r="D302" s="416" t="s">
        <v>10</v>
      </c>
      <c r="E302" s="2608"/>
      <c r="F302" s="2609"/>
      <c r="G302" s="51" t="str">
        <f>IF(E302&lt;&gt;"",INDEX(EUconst_BMlistUnits,MATCH(E302,EUconst_BMlistNames,0)),EUconst_Tons)</f>
        <v>ton</v>
      </c>
      <c r="H302" s="1323"/>
      <c r="I302" s="1324"/>
      <c r="J302" s="1325"/>
      <c r="K302" s="1323"/>
      <c r="L302" s="1323"/>
      <c r="M302" s="1323"/>
      <c r="N302" s="1326"/>
      <c r="O302" s="15"/>
      <c r="P302" s="1362"/>
      <c r="Q302" s="165" t="str">
        <f>EUconst_CNTR_IntermediateImport &amp; S302 &amp; "_" &amp; I13</f>
        <v>IntImp_2_</v>
      </c>
      <c r="R302" s="2"/>
      <c r="S302" s="165">
        <v>2</v>
      </c>
      <c r="T302" s="2"/>
      <c r="U302" s="2"/>
      <c r="V302" s="343"/>
      <c r="W302" s="2"/>
      <c r="X302" s="2"/>
      <c r="Y302" s="2"/>
      <c r="Z302" s="2"/>
      <c r="AA302" s="2"/>
      <c r="AB302" s="2"/>
      <c r="AC302" s="108" t="b">
        <f>AC301</f>
        <v>0</v>
      </c>
      <c r="AD302" s="108" t="b">
        <f t="shared" ref="AD302:AI302" si="135">AD301</f>
        <v>0</v>
      </c>
      <c r="AE302" s="108" t="b">
        <f t="shared" si="135"/>
        <v>0</v>
      </c>
      <c r="AF302" s="108" t="b">
        <f t="shared" si="135"/>
        <v>0</v>
      </c>
      <c r="AG302" s="108" t="b">
        <f t="shared" si="135"/>
        <v>0</v>
      </c>
      <c r="AH302" s="108" t="b">
        <f t="shared" si="135"/>
        <v>0</v>
      </c>
      <c r="AI302" s="108" t="b">
        <f t="shared" si="135"/>
        <v>0</v>
      </c>
      <c r="AJ302" s="2"/>
      <c r="AK302" s="2"/>
      <c r="AL302" s="2"/>
    </row>
    <row r="303" spans="1:38" ht="5.15" customHeight="1" x14ac:dyDescent="0.25">
      <c r="A303" s="2"/>
      <c r="B303" s="178"/>
      <c r="C303" s="779"/>
      <c r="D303" s="416"/>
      <c r="E303" s="416"/>
      <c r="F303" s="416"/>
      <c r="G303" s="416"/>
      <c r="H303" s="416"/>
      <c r="I303" s="416"/>
      <c r="J303" s="416"/>
      <c r="K303" s="416"/>
      <c r="L303" s="416"/>
      <c r="M303" s="416"/>
      <c r="N303" s="1149"/>
      <c r="O303" s="15"/>
      <c r="P303" s="15"/>
      <c r="Q303" s="343"/>
      <c r="R303" s="2"/>
      <c r="S303" s="343"/>
      <c r="T303" s="2"/>
      <c r="U303" s="2"/>
      <c r="V303" s="343"/>
      <c r="W303" s="2"/>
      <c r="X303" s="2"/>
      <c r="Y303" s="2"/>
      <c r="Z303" s="2"/>
      <c r="AA303" s="2"/>
      <c r="AB303" s="2"/>
      <c r="AC303" s="2"/>
      <c r="AD303" s="2"/>
      <c r="AE303" s="2"/>
      <c r="AF303" s="2"/>
      <c r="AG303" s="2"/>
      <c r="AH303" s="2"/>
      <c r="AI303" s="2"/>
      <c r="AJ303" s="2"/>
      <c r="AK303" s="2"/>
      <c r="AL303" s="2"/>
    </row>
    <row r="304" spans="1:38" ht="12.75" customHeight="1" thickBot="1" x14ac:dyDescent="0.3">
      <c r="A304" s="2"/>
      <c r="B304" s="178"/>
      <c r="C304" s="779"/>
      <c r="D304" s="373"/>
      <c r="E304" s="2605" t="str">
        <f>Translations!$B$655</f>
        <v>Exporterade mängder:</v>
      </c>
      <c r="F304" s="2497"/>
      <c r="G304" s="415" t="str">
        <f>EUconst_Unit</f>
        <v>Enhet</v>
      </c>
      <c r="H304" s="362">
        <f t="shared" ref="H304:N304" si="136">H$3042</f>
        <v>2019</v>
      </c>
      <c r="I304" s="1103">
        <f t="shared" si="136"/>
        <v>2020</v>
      </c>
      <c r="J304" s="1104">
        <f t="shared" si="136"/>
        <v>2021</v>
      </c>
      <c r="K304" s="362">
        <f t="shared" si="136"/>
        <v>2022</v>
      </c>
      <c r="L304" s="362">
        <f t="shared" si="136"/>
        <v>2023</v>
      </c>
      <c r="M304" s="362">
        <f t="shared" si="136"/>
        <v>2024</v>
      </c>
      <c r="N304" s="1141">
        <f t="shared" si="136"/>
        <v>2025</v>
      </c>
      <c r="O304" s="15"/>
      <c r="P304" s="15"/>
      <c r="Q304" s="343"/>
      <c r="R304" s="2"/>
      <c r="S304" s="343"/>
      <c r="T304" s="2"/>
      <c r="U304" s="2"/>
      <c r="V304" s="343"/>
      <c r="W304" s="2"/>
      <c r="X304" s="2"/>
      <c r="Y304" s="2"/>
      <c r="Z304" s="2"/>
      <c r="AA304" s="2"/>
      <c r="AB304" s="2"/>
      <c r="AC304" s="1044">
        <f t="shared" ref="AC304:AI304" si="137">H$20</f>
        <v>2019</v>
      </c>
      <c r="AD304" s="1044">
        <f t="shared" si="137"/>
        <v>2020</v>
      </c>
      <c r="AE304" s="1044">
        <f t="shared" si="137"/>
        <v>2021</v>
      </c>
      <c r="AF304" s="1044">
        <f t="shared" si="137"/>
        <v>2022</v>
      </c>
      <c r="AG304" s="1044">
        <f t="shared" si="137"/>
        <v>2023</v>
      </c>
      <c r="AH304" s="1044">
        <f t="shared" si="137"/>
        <v>2024</v>
      </c>
      <c r="AI304" s="1044">
        <f t="shared" si="137"/>
        <v>2025</v>
      </c>
      <c r="AJ304" s="2"/>
      <c r="AK304" s="2"/>
      <c r="AL304" s="2"/>
    </row>
    <row r="305" spans="1:38" ht="12.75" customHeight="1" x14ac:dyDescent="0.25">
      <c r="A305" s="2"/>
      <c r="B305" s="178"/>
      <c r="C305" s="779"/>
      <c r="D305" s="416" t="s">
        <v>23</v>
      </c>
      <c r="E305" s="2606"/>
      <c r="F305" s="2607"/>
      <c r="G305" s="59" t="str">
        <f>IF(E305&lt;&gt;"",INDEX(EUconst_BMlistUnits,MATCH(E305,EUconst_BMlistNames,0)),EUconst_Tons)</f>
        <v>ton</v>
      </c>
      <c r="H305" s="1319"/>
      <c r="I305" s="1320"/>
      <c r="J305" s="1321"/>
      <c r="K305" s="1319"/>
      <c r="L305" s="1319"/>
      <c r="M305" s="1319"/>
      <c r="N305" s="1322"/>
      <c r="O305" s="15"/>
      <c r="P305" s="1362"/>
      <c r="Q305" s="165" t="str">
        <f>EUconst_CNTR_IntermediateExport &amp; S301 &amp; "_" &amp; I13</f>
        <v>IntExp_1_</v>
      </c>
      <c r="R305" s="2"/>
      <c r="S305" s="165">
        <v>1</v>
      </c>
      <c r="T305" s="2"/>
      <c r="U305" s="2"/>
      <c r="V305" s="343"/>
      <c r="W305" s="2"/>
      <c r="X305" s="413"/>
      <c r="Y305" s="413"/>
      <c r="Z305" s="2"/>
      <c r="AA305" s="2"/>
      <c r="AB305" s="672" t="s">
        <v>782</v>
      </c>
      <c r="AC305" s="108" t="b">
        <f>AC301</f>
        <v>0</v>
      </c>
      <c r="AD305" s="108" t="b">
        <f t="shared" ref="AD305:AI305" si="138">AD301</f>
        <v>0</v>
      </c>
      <c r="AE305" s="108" t="b">
        <f t="shared" si="138"/>
        <v>0</v>
      </c>
      <c r="AF305" s="108" t="b">
        <f t="shared" si="138"/>
        <v>0</v>
      </c>
      <c r="AG305" s="108" t="b">
        <f t="shared" si="138"/>
        <v>0</v>
      </c>
      <c r="AH305" s="108" t="b">
        <f t="shared" si="138"/>
        <v>0</v>
      </c>
      <c r="AI305" s="108" t="b">
        <f t="shared" si="138"/>
        <v>0</v>
      </c>
      <c r="AJ305" s="553" t="s">
        <v>2248</v>
      </c>
      <c r="AK305" s="663" t="str">
        <f>IF(AND(CNTR_ExistSubInstEntries,MSconst_RequireSubAttrEmissions,COUNTIFS(AC305:AI305,FALSE,H305:N305,"")&gt;0),EUconst_Error&amp;"BM"&amp;$Q13,"")</f>
        <v/>
      </c>
      <c r="AL305" s="2"/>
    </row>
    <row r="306" spans="1:38" ht="12.75" customHeight="1" x14ac:dyDescent="0.25">
      <c r="A306" s="2"/>
      <c r="B306" s="178"/>
      <c r="C306" s="779"/>
      <c r="D306" s="416" t="s">
        <v>859</v>
      </c>
      <c r="E306" s="2608"/>
      <c r="F306" s="2609"/>
      <c r="G306" s="51" t="str">
        <f>IF(E306&lt;&gt;"",INDEX(EUconst_BMlistUnits,MATCH(E306,EUconst_BMlistNames,0)),EUconst_Tons)</f>
        <v>ton</v>
      </c>
      <c r="H306" s="1323"/>
      <c r="I306" s="1324"/>
      <c r="J306" s="1325"/>
      <c r="K306" s="1323"/>
      <c r="L306" s="1323"/>
      <c r="M306" s="1323"/>
      <c r="N306" s="1326"/>
      <c r="O306" s="15"/>
      <c r="P306" s="1362"/>
      <c r="Q306" s="165" t="str">
        <f>EUconst_CNTR_IntermediateExport &amp; S306 &amp; "_" &amp; I13</f>
        <v>IntExp_2_</v>
      </c>
      <c r="R306" s="2"/>
      <c r="S306" s="165">
        <v>2</v>
      </c>
      <c r="T306" s="2"/>
      <c r="U306" s="2"/>
      <c r="V306" s="343"/>
      <c r="W306" s="2"/>
      <c r="X306" s="413"/>
      <c r="Y306" s="413"/>
      <c r="Z306" s="2"/>
      <c r="AA306" s="2"/>
      <c r="AB306" s="2"/>
      <c r="AC306" s="108" t="b">
        <f t="shared" ref="AC306:AI306" si="139">AC302</f>
        <v>0</v>
      </c>
      <c r="AD306" s="108" t="b">
        <f t="shared" si="139"/>
        <v>0</v>
      </c>
      <c r="AE306" s="108" t="b">
        <f t="shared" si="139"/>
        <v>0</v>
      </c>
      <c r="AF306" s="108" t="b">
        <f t="shared" si="139"/>
        <v>0</v>
      </c>
      <c r="AG306" s="108" t="b">
        <f t="shared" si="139"/>
        <v>0</v>
      </c>
      <c r="AH306" s="108" t="b">
        <f t="shared" si="139"/>
        <v>0</v>
      </c>
      <c r="AI306" s="108" t="b">
        <f t="shared" si="139"/>
        <v>0</v>
      </c>
      <c r="AJ306" s="2"/>
      <c r="AK306" s="2"/>
      <c r="AL306" s="2"/>
    </row>
    <row r="307" spans="1:38" ht="5.15" customHeight="1" x14ac:dyDescent="0.25">
      <c r="A307" s="2"/>
      <c r="B307" s="178"/>
      <c r="C307" s="779"/>
      <c r="D307" s="416"/>
      <c r="E307" s="416"/>
      <c r="F307" s="416"/>
      <c r="G307" s="416"/>
      <c r="H307" s="416"/>
      <c r="I307" s="416"/>
      <c r="J307" s="416"/>
      <c r="K307" s="416"/>
      <c r="L307" s="416"/>
      <c r="M307" s="416"/>
      <c r="N307" s="1810"/>
      <c r="O307" s="15"/>
      <c r="P307" s="15"/>
      <c r="Q307" s="343"/>
      <c r="R307" s="2"/>
      <c r="S307" s="343"/>
      <c r="T307" s="2"/>
      <c r="U307" s="2"/>
      <c r="V307" s="343"/>
      <c r="W307" s="2"/>
      <c r="X307" s="413"/>
      <c r="Y307" s="413"/>
      <c r="Z307" s="2"/>
      <c r="AA307" s="2"/>
      <c r="AB307" s="2"/>
      <c r="AC307" s="2"/>
      <c r="AD307" s="2"/>
      <c r="AE307" s="2"/>
      <c r="AF307" s="2"/>
      <c r="AG307" s="2"/>
      <c r="AH307" s="2"/>
      <c r="AI307" s="2"/>
      <c r="AJ307" s="2"/>
      <c r="AK307" s="2"/>
      <c r="AL307" s="2"/>
    </row>
    <row r="308" spans="1:38" ht="12.75" customHeight="1" x14ac:dyDescent="0.25">
      <c r="A308" s="2"/>
      <c r="B308" s="178"/>
      <c r="C308" s="779"/>
      <c r="D308" s="416" t="s">
        <v>860</v>
      </c>
      <c r="E308" s="623" t="str">
        <f>Translations!$B$656</f>
        <v>Beskrivning av importerade eller exporterade mellanprodukter</v>
      </c>
      <c r="F308" s="623"/>
      <c r="G308" s="623"/>
      <c r="H308" s="623"/>
      <c r="I308" s="623"/>
      <c r="J308" s="623"/>
      <c r="K308" s="623"/>
      <c r="L308" s="623"/>
      <c r="M308" s="623"/>
      <c r="N308" s="1810"/>
      <c r="O308" s="15"/>
      <c r="P308" s="15"/>
      <c r="Q308" s="343"/>
      <c r="R308" s="2"/>
      <c r="S308" s="343"/>
      <c r="T308" s="2"/>
      <c r="U308" s="2"/>
      <c r="V308" s="343"/>
      <c r="W308" s="2"/>
      <c r="X308" s="413"/>
      <c r="Y308" s="413"/>
      <c r="Z308" s="2"/>
      <c r="AA308" s="2"/>
      <c r="AB308" s="2"/>
      <c r="AC308" s="2"/>
      <c r="AD308" s="2"/>
      <c r="AE308" s="2"/>
      <c r="AF308" s="2"/>
      <c r="AG308" s="2"/>
      <c r="AH308" s="2"/>
      <c r="AI308" s="2"/>
      <c r="AJ308" s="2"/>
      <c r="AK308" s="2"/>
      <c r="AL308" s="2"/>
    </row>
    <row r="309" spans="1:38" ht="12.75" customHeight="1" x14ac:dyDescent="0.25">
      <c r="A309" s="2"/>
      <c r="B309" s="178"/>
      <c r="C309" s="779"/>
      <c r="D309" s="416"/>
      <c r="E309" s="1139" t="str">
        <f>Translations!$B$657</f>
        <v>Var god ge en kort beskrivning av produktionsprocessen för importerade eller exporterade mellanprodukter</v>
      </c>
      <c r="F309" s="1806"/>
      <c r="G309" s="1806"/>
      <c r="H309" s="1806"/>
      <c r="I309" s="1806"/>
      <c r="J309" s="1806"/>
      <c r="K309" s="1806"/>
      <c r="L309" s="1806"/>
      <c r="M309" s="1806"/>
      <c r="N309" s="1807"/>
      <c r="O309" s="15"/>
      <c r="P309" s="15"/>
      <c r="Q309" s="343"/>
      <c r="R309" s="2"/>
      <c r="S309" s="343"/>
      <c r="T309" s="2"/>
      <c r="U309" s="2"/>
      <c r="V309" s="343"/>
      <c r="W309" s="2"/>
      <c r="X309" s="413"/>
      <c r="Y309" s="413"/>
      <c r="Z309" s="2"/>
      <c r="AA309" s="2"/>
      <c r="AB309" s="2"/>
      <c r="AC309" s="2"/>
      <c r="AD309" s="2"/>
      <c r="AE309" s="2"/>
      <c r="AF309" s="2"/>
      <c r="AG309" s="2"/>
      <c r="AH309" s="2"/>
      <c r="AI309" s="2"/>
      <c r="AJ309" s="2"/>
      <c r="AK309" s="2"/>
      <c r="AL309" s="2"/>
    </row>
    <row r="310" spans="1:38" ht="12.75" customHeight="1" x14ac:dyDescent="0.25">
      <c r="A310" s="2"/>
      <c r="B310" s="178"/>
      <c r="C310" s="779"/>
      <c r="D310" s="416"/>
      <c r="E310" s="2599"/>
      <c r="F310" s="2600"/>
      <c r="G310" s="2600"/>
      <c r="H310" s="2600"/>
      <c r="I310" s="2600"/>
      <c r="J310" s="2600"/>
      <c r="K310" s="2600"/>
      <c r="L310" s="2600"/>
      <c r="M310" s="2601"/>
      <c r="N310" s="1810"/>
      <c r="O310" s="15"/>
      <c r="P310" s="1362"/>
      <c r="Q310" s="343"/>
      <c r="R310" s="2"/>
      <c r="S310" s="343"/>
      <c r="T310" s="2"/>
      <c r="U310" s="2"/>
      <c r="V310" s="343"/>
      <c r="W310" s="2"/>
      <c r="X310" s="413"/>
      <c r="Y310" s="413"/>
      <c r="Z310" s="2"/>
      <c r="AA310" s="2"/>
      <c r="AB310" s="672" t="s">
        <v>782</v>
      </c>
      <c r="AC310" s="108" t="b">
        <f>AND(AC305:AI305)</f>
        <v>0</v>
      </c>
      <c r="AD310" s="2"/>
      <c r="AE310" s="2"/>
      <c r="AF310" s="2"/>
      <c r="AG310" s="2"/>
      <c r="AH310" s="2"/>
      <c r="AI310" s="2"/>
      <c r="AJ310" s="2"/>
      <c r="AK310" s="2"/>
      <c r="AL310" s="2"/>
    </row>
    <row r="311" spans="1:38" ht="12.75" customHeight="1" x14ac:dyDescent="0.25">
      <c r="A311" s="2"/>
      <c r="B311" s="178"/>
      <c r="C311" s="779"/>
      <c r="D311" s="416"/>
      <c r="E311" s="2602"/>
      <c r="F311" s="2603"/>
      <c r="G311" s="2603"/>
      <c r="H311" s="2603"/>
      <c r="I311" s="2603"/>
      <c r="J311" s="2603"/>
      <c r="K311" s="2603"/>
      <c r="L311" s="2603"/>
      <c r="M311" s="2604"/>
      <c r="N311" s="1810"/>
      <c r="O311" s="15"/>
      <c r="P311" s="15"/>
      <c r="Q311" s="343"/>
      <c r="R311" s="2"/>
      <c r="S311" s="343"/>
      <c r="T311" s="2"/>
      <c r="U311" s="2"/>
      <c r="V311" s="343"/>
      <c r="W311" s="2"/>
      <c r="X311" s="413"/>
      <c r="Y311" s="413"/>
      <c r="Z311" s="2"/>
      <c r="AA311" s="2"/>
      <c r="AB311" s="2"/>
      <c r="AC311" s="108" t="b">
        <f>AC310</f>
        <v>0</v>
      </c>
      <c r="AD311" s="2"/>
      <c r="AE311" s="2"/>
      <c r="AF311" s="2"/>
      <c r="AG311" s="2"/>
      <c r="AH311" s="2"/>
      <c r="AI311" s="2"/>
      <c r="AJ311" s="2"/>
      <c r="AK311" s="2"/>
      <c r="AL311" s="2"/>
    </row>
    <row r="312" spans="1:38" ht="12.75" customHeight="1" thickBot="1" x14ac:dyDescent="0.3">
      <c r="A312" s="2"/>
      <c r="B312" s="178"/>
      <c r="C312" s="781"/>
      <c r="D312" s="782"/>
      <c r="E312" s="782"/>
      <c r="F312" s="782"/>
      <c r="G312" s="782"/>
      <c r="H312" s="782"/>
      <c r="I312" s="782"/>
      <c r="J312" s="782"/>
      <c r="K312" s="782"/>
      <c r="L312" s="782"/>
      <c r="M312" s="783"/>
      <c r="N312" s="784"/>
      <c r="O312" s="15"/>
      <c r="P312" s="15"/>
      <c r="Q312" s="343"/>
      <c r="R312" s="2"/>
      <c r="S312" s="343"/>
      <c r="T312" s="2"/>
      <c r="U312" s="2"/>
      <c r="V312" s="343"/>
      <c r="W312" s="2"/>
      <c r="X312" s="2"/>
      <c r="Y312" s="2"/>
      <c r="Z312" s="2"/>
      <c r="AA312" s="2"/>
      <c r="AB312" s="2"/>
      <c r="AC312" s="2"/>
      <c r="AD312" s="2"/>
      <c r="AE312" s="2"/>
      <c r="AF312" s="2"/>
      <c r="AG312" s="2"/>
      <c r="AH312" s="2"/>
      <c r="AI312" s="2"/>
      <c r="AJ312" s="2"/>
      <c r="AK312" s="2"/>
      <c r="AL312" s="2"/>
    </row>
    <row r="313" spans="1:38" ht="12.75" customHeight="1" thickBot="1" x14ac:dyDescent="0.3">
      <c r="A313" s="343"/>
      <c r="B313" s="3"/>
      <c r="C313" s="3"/>
      <c r="D313" s="3"/>
      <c r="E313" s="3"/>
      <c r="F313" s="3"/>
      <c r="G313" s="3"/>
      <c r="H313" s="3"/>
      <c r="I313" s="3"/>
      <c r="J313" s="3"/>
      <c r="K313" s="3"/>
      <c r="L313" s="3"/>
      <c r="M313" s="6"/>
      <c r="N313" s="6"/>
      <c r="O313" s="6"/>
      <c r="P313" s="6"/>
      <c r="Q313" s="294" t="str">
        <f>IF(OR(AND(CNTR_ExistProductSubEntries=FALSE,Q13=1),AND(I13&lt;&gt;"",COUNTIF(Q314:$Q3071,"PRINT")=0)),"PRINT","")</f>
        <v>PRINT</v>
      </c>
      <c r="R313" s="7"/>
      <c r="S313" s="7"/>
      <c r="T313" s="7"/>
      <c r="U313" s="7"/>
      <c r="V313" s="7"/>
      <c r="W313" s="7"/>
      <c r="X313" s="7"/>
      <c r="Y313" s="7"/>
      <c r="Z313" s="2"/>
      <c r="AA313" s="2"/>
      <c r="AB313" s="2"/>
      <c r="AC313" s="2"/>
      <c r="AD313" s="2"/>
      <c r="AE313" s="349"/>
      <c r="AF313" s="349"/>
      <c r="AG313" s="349"/>
      <c r="AH313" s="349"/>
      <c r="AI313" s="349"/>
      <c r="AJ313" s="349"/>
      <c r="AK313" s="349"/>
      <c r="AL313" s="349"/>
    </row>
    <row r="314" spans="1:38" ht="5.15" customHeight="1" thickBot="1" x14ac:dyDescent="0.3">
      <c r="A314" s="2"/>
      <c r="B314" s="178"/>
      <c r="C314" s="785"/>
      <c r="D314" s="785"/>
      <c r="E314" s="785"/>
      <c r="F314" s="785"/>
      <c r="G314" s="785"/>
      <c r="H314" s="785"/>
      <c r="I314" s="785"/>
      <c r="J314" s="785"/>
      <c r="K314" s="785"/>
      <c r="L314" s="785"/>
      <c r="M314" s="785"/>
      <c r="N314" s="785"/>
      <c r="O314" s="15"/>
      <c r="P314" s="15"/>
      <c r="Q314" s="1723"/>
      <c r="R314" s="1723"/>
      <c r="S314" s="1723"/>
      <c r="T314" s="1723"/>
      <c r="U314" s="1723"/>
      <c r="V314" s="1723"/>
      <c r="W314" s="1723"/>
      <c r="X314" s="1723"/>
      <c r="Y314" s="1723"/>
      <c r="Z314" s="1723"/>
      <c r="AA314" s="1723"/>
      <c r="AB314" s="1723"/>
      <c r="AC314" s="1723"/>
      <c r="AD314" s="1723"/>
      <c r="AE314" s="1723"/>
      <c r="AF314" s="1723"/>
      <c r="AG314" s="1723"/>
      <c r="AH314" s="1723"/>
      <c r="AI314" s="1723"/>
      <c r="AJ314" s="1723"/>
      <c r="AK314" s="1723"/>
      <c r="AL314" s="1723"/>
    </row>
    <row r="315" spans="1:38" ht="14.5" thickBot="1" x14ac:dyDescent="0.3">
      <c r="A315" s="2"/>
      <c r="B315" s="178"/>
      <c r="C315" s="771">
        <f>C13+1</f>
        <v>2</v>
      </c>
      <c r="D315" s="2053" t="str">
        <f>EUconst_BMSubinst &amp; ":"</f>
        <v>Delanläggning med produktriktmärke:</v>
      </c>
      <c r="E315" s="1963"/>
      <c r="F315" s="1963"/>
      <c r="G315" s="1963"/>
      <c r="H315" s="2060"/>
      <c r="I315" s="2090" t="str">
        <f>IF(INDEX(CNTR_SubInstListIsProdBM,$C315),INDEX(CNTR_SubInstListNames,$C315),"")</f>
        <v/>
      </c>
      <c r="J315" s="2120"/>
      <c r="K315" s="2120"/>
      <c r="L315" s="2120"/>
      <c r="M315" s="2120"/>
      <c r="N315" s="2154"/>
      <c r="O315" s="15"/>
      <c r="P315" s="15"/>
      <c r="Q315" s="294">
        <f>C315</f>
        <v>2</v>
      </c>
      <c r="R315" s="2"/>
      <c r="S315" s="553" t="s">
        <v>608</v>
      </c>
      <c r="T315" s="979" t="str">
        <f>IF(I315="","",MAX(INDEX(CNTR_SubInstStartDate,MATCH($I315,CNTR_SubInstListNames,0)),DATE(2005,1,1)))</f>
        <v/>
      </c>
      <c r="U315" s="343" t="s">
        <v>1873</v>
      </c>
      <c r="V315" s="663">
        <f>IF(ISNUMBER(T315),YEAR($T315-IF(YEAR(T315)&gt;=2022,0,1))+1,2005)</f>
        <v>2005</v>
      </c>
      <c r="W315" s="553" t="s">
        <v>1876</v>
      </c>
      <c r="X315" s="979" t="str">
        <f>IF(I315="","",INDEX(CNTR_SubInstCessationDate,MATCH($I315,CNTR_SubInstListNames,0)))</f>
        <v/>
      </c>
      <c r="Y315" s="553" t="s">
        <v>1877</v>
      </c>
      <c r="Z315" s="663">
        <f>IF(SUM(X315)=0,2050,YEAR($X315))</f>
        <v>2050</v>
      </c>
      <c r="AA315" s="553" t="s">
        <v>2201</v>
      </c>
      <c r="AB315" s="663" t="b">
        <f>CNTR_ReportingYear&gt;V315</f>
        <v>1</v>
      </c>
      <c r="AC315" s="2"/>
      <c r="AD315" s="2"/>
      <c r="AE315" s="2"/>
      <c r="AF315" s="2"/>
      <c r="AG315" s="2"/>
      <c r="AH315" s="2"/>
      <c r="AI315" s="2"/>
      <c r="AJ315" s="2"/>
      <c r="AK315" s="2"/>
      <c r="AL315" s="555" t="b">
        <f>AND(CNTR_ExistSubInstEntries,I315="")</f>
        <v>0</v>
      </c>
    </row>
    <row r="316" spans="1:38" ht="12.75" customHeight="1" x14ac:dyDescent="0.25">
      <c r="A316" s="2"/>
      <c r="B316" s="178"/>
      <c r="C316" s="178"/>
      <c r="D316" s="15"/>
      <c r="E316" s="2061" t="str">
        <f>Translations!$B$360</f>
        <v>Namnet på delanläggningen med produktriktmärke visas automatiskt i inmatningsfälten i blad ”A_InstallationData”.</v>
      </c>
      <c r="F316" s="1963"/>
      <c r="G316" s="1963"/>
      <c r="H316" s="1963"/>
      <c r="I316" s="1963"/>
      <c r="J316" s="1963"/>
      <c r="K316" s="1963"/>
      <c r="L316" s="1963"/>
      <c r="M316" s="1963"/>
      <c r="N316" s="1963"/>
      <c r="O316" s="15"/>
      <c r="P316" s="15"/>
      <c r="Q316" s="343"/>
      <c r="R316" s="2"/>
      <c r="S316" s="343"/>
      <c r="T316" s="343"/>
      <c r="U316" s="2"/>
      <c r="V316" s="2"/>
      <c r="W316" s="2"/>
      <c r="X316" s="2"/>
      <c r="Y316" s="2"/>
      <c r="Z316" s="2"/>
      <c r="AA316" s="2"/>
      <c r="AB316" s="2"/>
      <c r="AC316" s="2"/>
      <c r="AD316" s="2"/>
      <c r="AE316" s="2"/>
      <c r="AF316" s="2"/>
      <c r="AG316" s="2"/>
      <c r="AH316" s="2"/>
      <c r="AI316" s="2"/>
      <c r="AJ316" s="2"/>
      <c r="AK316" s="2"/>
      <c r="AL316" s="2"/>
    </row>
    <row r="317" spans="1:38" ht="5.15" customHeight="1" x14ac:dyDescent="0.25">
      <c r="A317" s="2"/>
      <c r="B317" s="178"/>
      <c r="C317" s="178"/>
      <c r="D317" s="178"/>
      <c r="E317" s="178"/>
      <c r="F317" s="178"/>
      <c r="G317" s="178"/>
      <c r="H317" s="178"/>
      <c r="I317" s="178"/>
      <c r="J317" s="178"/>
      <c r="K317" s="178"/>
      <c r="L317" s="178"/>
      <c r="M317" s="15"/>
      <c r="N317" s="15"/>
      <c r="O317" s="15"/>
      <c r="P317" s="15"/>
      <c r="Q317" s="343"/>
      <c r="R317" s="2"/>
      <c r="S317" s="343"/>
      <c r="T317" s="343"/>
      <c r="U317" s="2"/>
      <c r="V317" s="2"/>
      <c r="W317" s="2"/>
      <c r="X317" s="2"/>
      <c r="Y317" s="2"/>
      <c r="Z317" s="2"/>
      <c r="AA317" s="2"/>
      <c r="AB317" s="2"/>
      <c r="AC317" s="2"/>
      <c r="AD317" s="2"/>
      <c r="AE317" s="2"/>
      <c r="AF317" s="2"/>
      <c r="AG317" s="2"/>
      <c r="AH317" s="2"/>
      <c r="AI317" s="2"/>
      <c r="AJ317" s="2"/>
      <c r="AK317" s="2"/>
      <c r="AL317" s="2"/>
    </row>
    <row r="318" spans="1:38" ht="13" x14ac:dyDescent="0.25">
      <c r="A318" s="2"/>
      <c r="B318" s="178"/>
      <c r="C318" s="178"/>
      <c r="D318" s="13" t="s">
        <v>442</v>
      </c>
      <c r="E318" s="1943" t="str">
        <f>Translations!$B$1466</f>
        <v>Verksamhetsnivåer</v>
      </c>
      <c r="F318" s="1963"/>
      <c r="G318" s="1963"/>
      <c r="H318" s="1963"/>
      <c r="I318" s="1963"/>
      <c r="J318" s="1963"/>
      <c r="K318" s="1963"/>
      <c r="L318" s="1963"/>
      <c r="M318" s="1963"/>
      <c r="N318" s="1963"/>
      <c r="O318" s="15"/>
      <c r="P318" s="15"/>
      <c r="Q318" s="343"/>
      <c r="R318" s="2"/>
      <c r="S318" s="2"/>
      <c r="T318" s="2"/>
      <c r="U318" s="2"/>
      <c r="V318" s="2"/>
      <c r="W318" s="2"/>
      <c r="X318" s="2"/>
      <c r="Y318" s="2"/>
      <c r="Z318" s="2"/>
      <c r="AA318" s="2"/>
      <c r="AB318" s="2"/>
      <c r="AC318" s="2"/>
      <c r="AD318" s="2"/>
      <c r="AE318" s="2"/>
      <c r="AF318" s="2"/>
      <c r="AG318" s="2"/>
      <c r="AH318" s="2"/>
      <c r="AI318" s="2"/>
      <c r="AJ318" s="2"/>
      <c r="AK318" s="2"/>
      <c r="AL318" s="2"/>
    </row>
    <row r="319" spans="1:38" ht="12.75" customHeight="1" x14ac:dyDescent="0.25">
      <c r="A319" s="2"/>
      <c r="B319" s="178"/>
      <c r="C319" s="178"/>
      <c r="D319" s="15"/>
      <c r="E319" s="2061" t="str">
        <f>Translations!$B$514</f>
        <v>I denna punkt ska de ”huvudsakliga verksamhetsnivåerna” anges, dvs. de uppgifter som är direkt tillämpliga för att beräkna tilldelningen.</v>
      </c>
      <c r="F319" s="1963"/>
      <c r="G319" s="1963"/>
      <c r="H319" s="1963"/>
      <c r="I319" s="1963"/>
      <c r="J319" s="1963"/>
      <c r="K319" s="1963"/>
      <c r="L319" s="1963"/>
      <c r="M319" s="1963"/>
      <c r="N319" s="1963"/>
      <c r="O319" s="15"/>
      <c r="P319" s="15"/>
      <c r="Q319" s="343"/>
      <c r="R319" s="2"/>
      <c r="S319" s="343"/>
      <c r="T319" s="343"/>
      <c r="U319" s="343"/>
      <c r="V319" s="2"/>
      <c r="W319" s="2"/>
      <c r="X319" s="2"/>
      <c r="Y319" s="2"/>
      <c r="Z319" s="2"/>
      <c r="AA319" s="2"/>
      <c r="AB319" s="2"/>
      <c r="AC319" s="2"/>
      <c r="AD319" s="2"/>
      <c r="AE319" s="2"/>
      <c r="AF319" s="2"/>
      <c r="AG319" s="2"/>
      <c r="AH319" s="2"/>
      <c r="AI319" s="2"/>
      <c r="AJ319" s="2"/>
      <c r="AK319" s="2"/>
      <c r="AL319" s="2"/>
    </row>
    <row r="320" spans="1:38" ht="12.75" customHeight="1" x14ac:dyDescent="0.25">
      <c r="A320" s="2"/>
      <c r="B320" s="178"/>
      <c r="C320" s="178"/>
      <c r="D320" s="15"/>
      <c r="E320" s="2061" t="str">
        <f>Translations!$B$515</f>
        <v xml:space="preserve">Detta är i regel produktionsuppgifter för produkten, t.ex. grå cementklinker i ton eller glasflaskor i ton, i enlighet med bilaga I till FAR. </v>
      </c>
      <c r="F320" s="1963"/>
      <c r="G320" s="1963"/>
      <c r="H320" s="1963"/>
      <c r="I320" s="1963"/>
      <c r="J320" s="1963"/>
      <c r="K320" s="1963"/>
      <c r="L320" s="1963"/>
      <c r="M320" s="1963"/>
      <c r="N320" s="1963"/>
      <c r="O320" s="15"/>
      <c r="P320" s="15"/>
      <c r="Q320" s="343"/>
      <c r="R320" s="2"/>
      <c r="S320" s="343"/>
      <c r="T320" s="343"/>
      <c r="U320" s="343"/>
      <c r="V320" s="2"/>
      <c r="W320" s="2"/>
      <c r="X320" s="2"/>
      <c r="Y320" s="2"/>
      <c r="Z320" s="2"/>
      <c r="AA320" s="2"/>
      <c r="AB320" s="2"/>
      <c r="AC320" s="2"/>
      <c r="AD320" s="2"/>
      <c r="AE320" s="2"/>
      <c r="AF320" s="2"/>
      <c r="AG320" s="2"/>
      <c r="AH320" s="2"/>
      <c r="AI320" s="2"/>
      <c r="AJ320" s="2"/>
      <c r="AK320" s="2"/>
      <c r="AL320" s="2"/>
    </row>
    <row r="321" spans="1:38" ht="12.75" customHeight="1" x14ac:dyDescent="0.25">
      <c r="A321" s="2"/>
      <c r="B321" s="178"/>
      <c r="C321" s="178"/>
      <c r="D321" s="15"/>
      <c r="E321" s="2061" t="str">
        <f>Translations!$B$516</f>
        <v>Om ett meddelande visas i punkt iv måste dock lämpligt beräkningsverktyg användas, och resultaten kopieras automatiskt in i tabellen i punkt ii.</v>
      </c>
      <c r="F321" s="1963"/>
      <c r="G321" s="1963"/>
      <c r="H321" s="1963"/>
      <c r="I321" s="1963"/>
      <c r="J321" s="1963"/>
      <c r="K321" s="1963"/>
      <c r="L321" s="1963"/>
      <c r="M321" s="1963"/>
      <c r="N321" s="1963"/>
      <c r="O321" s="15"/>
      <c r="P321" s="15"/>
      <c r="Q321" s="343"/>
      <c r="R321" s="2"/>
      <c r="S321" s="343"/>
      <c r="T321" s="2"/>
      <c r="U321" s="2"/>
      <c r="V321" s="2"/>
      <c r="W321" s="2"/>
      <c r="X321" s="2"/>
      <c r="Y321" s="2"/>
      <c r="Z321" s="343"/>
      <c r="AA321" s="2"/>
      <c r="AB321" s="2"/>
      <c r="AC321" s="2"/>
      <c r="AD321" s="2"/>
      <c r="AE321" s="2"/>
      <c r="AF321" s="2"/>
      <c r="AG321" s="2"/>
      <c r="AH321" s="2"/>
      <c r="AI321" s="2"/>
      <c r="AJ321" s="2"/>
      <c r="AK321" s="2"/>
      <c r="AL321" s="2"/>
    </row>
    <row r="322" spans="1:38" ht="13.5" customHeight="1" thickBot="1" x14ac:dyDescent="0.3">
      <c r="A322" s="2"/>
      <c r="B322" s="19"/>
      <c r="C322" s="19"/>
      <c r="D322" s="13"/>
      <c r="E322" s="2062" t="str">
        <f>Translations!$B$517</f>
        <v>Årliga verksamhetsnivåer:</v>
      </c>
      <c r="F322" s="2062"/>
      <c r="G322" s="30" t="str">
        <f>EUconst_Unit</f>
        <v>Enhet</v>
      </c>
      <c r="H322" s="320">
        <f t="shared" ref="H322:N322" si="140">H$3042</f>
        <v>2019</v>
      </c>
      <c r="I322" s="342">
        <f t="shared" si="140"/>
        <v>2020</v>
      </c>
      <c r="J322" s="987">
        <f t="shared" si="140"/>
        <v>2021</v>
      </c>
      <c r="K322" s="320">
        <f t="shared" si="140"/>
        <v>2022</v>
      </c>
      <c r="L322" s="320">
        <f t="shared" si="140"/>
        <v>2023</v>
      </c>
      <c r="M322" s="320">
        <f t="shared" si="140"/>
        <v>2024</v>
      </c>
      <c r="N322" s="350">
        <f t="shared" si="140"/>
        <v>2025</v>
      </c>
      <c r="O322" s="15"/>
      <c r="P322" s="15"/>
      <c r="Q322" s="343"/>
      <c r="R322" s="2"/>
      <c r="S322" s="2"/>
      <c r="T322" s="1044">
        <f t="shared" ref="T322:Z322" si="141">H322</f>
        <v>2019</v>
      </c>
      <c r="U322" s="1044">
        <f t="shared" si="141"/>
        <v>2020</v>
      </c>
      <c r="V322" s="1044">
        <f t="shared" si="141"/>
        <v>2021</v>
      </c>
      <c r="W322" s="1044">
        <f t="shared" si="141"/>
        <v>2022</v>
      </c>
      <c r="X322" s="1044">
        <f t="shared" si="141"/>
        <v>2023</v>
      </c>
      <c r="Y322" s="1044">
        <f t="shared" si="141"/>
        <v>2024</v>
      </c>
      <c r="Z322" s="1044">
        <f t="shared" si="141"/>
        <v>2025</v>
      </c>
      <c r="AA322" s="2"/>
      <c r="AB322" s="2"/>
      <c r="AC322" s="1044">
        <f t="shared" ref="AC322:AI322" si="142">H$20</f>
        <v>2019</v>
      </c>
      <c r="AD322" s="1044">
        <f t="shared" si="142"/>
        <v>2020</v>
      </c>
      <c r="AE322" s="1044">
        <f t="shared" si="142"/>
        <v>2021</v>
      </c>
      <c r="AF322" s="1044">
        <f t="shared" si="142"/>
        <v>2022</v>
      </c>
      <c r="AG322" s="1044">
        <f t="shared" si="142"/>
        <v>2023</v>
      </c>
      <c r="AH322" s="1044">
        <f t="shared" si="142"/>
        <v>2024</v>
      </c>
      <c r="AI322" s="1044">
        <f t="shared" si="142"/>
        <v>2025</v>
      </c>
      <c r="AJ322" s="2"/>
      <c r="AK322" s="2"/>
      <c r="AL322" s="343"/>
    </row>
    <row r="323" spans="1:38" ht="13" thickBot="1" x14ac:dyDescent="0.3">
      <c r="A323" s="2"/>
      <c r="B323" s="19"/>
      <c r="C323" s="19"/>
      <c r="D323" s="175" t="s">
        <v>8</v>
      </c>
      <c r="E323" s="2655" t="str">
        <f>I315</f>
        <v/>
      </c>
      <c r="F323" s="2655"/>
      <c r="G323" s="91" t="str">
        <f>IF(INDEX(CNTR_SubInstListIsProdBM,$C315),INDEX(CNTR_SubInstListHALUnit,$C315),EUconst_Tons)</f>
        <v>ton</v>
      </c>
      <c r="H323" s="921"/>
      <c r="I323" s="985"/>
      <c r="J323" s="988"/>
      <c r="K323" s="921"/>
      <c r="L323" s="921"/>
      <c r="M323" s="921"/>
      <c r="N323" s="1124"/>
      <c r="O323" s="15"/>
      <c r="P323" s="1362"/>
      <c r="Q323" s="2"/>
      <c r="R323" s="2"/>
      <c r="S323" s="343" t="s">
        <v>1874</v>
      </c>
      <c r="T323" s="1762" t="b">
        <f t="shared" ref="T323:Z323" si="143">AND($I315&lt;&gt;"",H322&lt;CNTR_ReportingYear,H322&gt;=$V315-1)</f>
        <v>0</v>
      </c>
      <c r="U323" s="1763" t="b">
        <f t="shared" si="143"/>
        <v>0</v>
      </c>
      <c r="V323" s="1763" t="b">
        <f t="shared" si="143"/>
        <v>0</v>
      </c>
      <c r="W323" s="1763" t="b">
        <f t="shared" si="143"/>
        <v>0</v>
      </c>
      <c r="X323" s="1763" t="b">
        <f t="shared" si="143"/>
        <v>0</v>
      </c>
      <c r="Y323" s="1763" t="b">
        <f t="shared" si="143"/>
        <v>0</v>
      </c>
      <c r="Z323" s="1764" t="b">
        <f t="shared" si="143"/>
        <v>0</v>
      </c>
      <c r="AA323" s="343"/>
      <c r="AB323" s="672" t="s">
        <v>782</v>
      </c>
      <c r="AC323" s="1755" t="b">
        <f t="shared" ref="AC323:AI323" si="144">IF(CNTR_ExistSubInstEntries,OR($I315="",$R327,H322&gt;=CNTR_ReportingYear,AC322&lt;$V315-1),FALSE)</f>
        <v>0</v>
      </c>
      <c r="AD323" s="1042" t="b">
        <f t="shared" si="144"/>
        <v>0</v>
      </c>
      <c r="AE323" s="1042" t="b">
        <f t="shared" si="144"/>
        <v>0</v>
      </c>
      <c r="AF323" s="1042" t="b">
        <f t="shared" si="144"/>
        <v>0</v>
      </c>
      <c r="AG323" s="1042" t="b">
        <f t="shared" si="144"/>
        <v>0</v>
      </c>
      <c r="AH323" s="1042" t="b">
        <f t="shared" si="144"/>
        <v>0</v>
      </c>
      <c r="AI323" s="1043" t="b">
        <f t="shared" si="144"/>
        <v>0</v>
      </c>
      <c r="AJ323" s="553" t="s">
        <v>2248</v>
      </c>
      <c r="AK323" s="663" t="str">
        <f>IF(AND(CNTR_ExistSubInstEntries,COUNTIFS(AC323:AI323,FALSE,H323:N323,"")&gt;0),EUconst_Error&amp;"BM"&amp;$Q315,"")</f>
        <v/>
      </c>
      <c r="AL323" s="2"/>
    </row>
    <row r="324" spans="1:38" ht="13" customHeight="1" thickBot="1" x14ac:dyDescent="0.3">
      <c r="A324" s="2"/>
      <c r="B324" s="19"/>
      <c r="C324" s="19"/>
      <c r="D324" s="175" t="s">
        <v>9</v>
      </c>
      <c r="E324" s="2655" t="str">
        <f>Translations!$B$518</f>
        <v>Från blad ”H_SpecialBM”:</v>
      </c>
      <c r="F324" s="2655"/>
      <c r="G324" s="91" t="str">
        <f>G323</f>
        <v>ton</v>
      </c>
      <c r="H324" s="922" t="str">
        <f>IF(OR($I315="",H322&gt;=CNTR_ReportingYear),"",IF($R327,SUMIF(H_SpecialBM!$Q$9:$Q$414,$Q324,H_SpecialBM!H$9:H$414),""))</f>
        <v/>
      </c>
      <c r="I324" s="986" t="str">
        <f>IF(OR($I315="",I322&gt;=CNTR_ReportingYear),"",IF($R327,SUMIF(H_SpecialBM!$Q$9:$Q$414,$Q324,H_SpecialBM!I$9:I$414),""))</f>
        <v/>
      </c>
      <c r="J324" s="989" t="str">
        <f>IF(OR($I315="",J322&gt;=CNTR_ReportingYear),"",IF($R327,SUMIF(H_SpecialBM!$Q$9:$Q$414,$Q324,H_SpecialBM!J$9:J$414),""))</f>
        <v/>
      </c>
      <c r="K324" s="922" t="str">
        <f>IF(OR($I315="",K322&gt;=CNTR_ReportingYear),"",IF($R327,SUMIF(H_SpecialBM!$Q$9:$Q$414,$Q324,H_SpecialBM!K$9:K$414),""))</f>
        <v/>
      </c>
      <c r="L324" s="922" t="str">
        <f>IF(OR($I315="",L322&gt;=CNTR_ReportingYear),"",IF($R327,SUMIF(H_SpecialBM!$Q$9:$Q$414,$Q324,H_SpecialBM!L$9:L$414),""))</f>
        <v/>
      </c>
      <c r="M324" s="922" t="str">
        <f>IF(OR($I315="",M322&gt;=CNTR_ReportingYear),"",IF($R327,SUMIF(H_SpecialBM!$Q$9:$Q$414,$Q324,H_SpecialBM!M$9:M$414),""))</f>
        <v/>
      </c>
      <c r="N324" s="1125" t="str">
        <f>IF(OR($I315="",N322&gt;=CNTR_ReportingYear),"",IF($R327,SUMIF(H_SpecialBM!$Q$9:$Q$414,$Q324,H_SpecialBM!N$9:N$414),""))</f>
        <v/>
      </c>
      <c r="O324" s="15"/>
      <c r="P324" s="15"/>
      <c r="Q324" s="165" t="str">
        <f>EUconst_CNTR_HALspecial&amp;I315</f>
        <v>HALspecial_</v>
      </c>
      <c r="R324" s="2"/>
      <c r="S324" s="2"/>
      <c r="T324" s="2"/>
      <c r="U324" s="2"/>
      <c r="V324" s="2"/>
      <c r="W324" s="2"/>
      <c r="X324" s="2"/>
      <c r="Y324" s="2"/>
      <c r="Z324" s="2"/>
      <c r="AA324" s="2"/>
      <c r="AB324" s="672" t="s">
        <v>782</v>
      </c>
      <c r="AC324" s="1755" t="b">
        <f t="shared" ref="AC324:AI324" si="145">AND(CNTR_HasEntries_A_I,OR($R327=FALSE,H322&gt;=CNTR_ReportingYear))</f>
        <v>0</v>
      </c>
      <c r="AD324" s="1042" t="b">
        <f t="shared" si="145"/>
        <v>0</v>
      </c>
      <c r="AE324" s="1042" t="b">
        <f t="shared" si="145"/>
        <v>0</v>
      </c>
      <c r="AF324" s="1042" t="b">
        <f t="shared" si="145"/>
        <v>0</v>
      </c>
      <c r="AG324" s="1042" t="b">
        <f t="shared" si="145"/>
        <v>0</v>
      </c>
      <c r="AH324" s="1042" t="b">
        <f t="shared" si="145"/>
        <v>0</v>
      </c>
      <c r="AI324" s="1043" t="b">
        <f t="shared" si="145"/>
        <v>0</v>
      </c>
      <c r="AJ324" s="766"/>
      <c r="AK324" s="766"/>
      <c r="AL324" s="343"/>
    </row>
    <row r="325" spans="1:38" ht="13" customHeight="1" x14ac:dyDescent="0.25">
      <c r="A325" s="2"/>
      <c r="B325" s="19"/>
      <c r="C325" s="19"/>
      <c r="D325" s="175" t="s">
        <v>10</v>
      </c>
      <c r="E325" s="2655" t="str">
        <f>Translations!$B$519</f>
        <v>Värden som används för beräkning:</v>
      </c>
      <c r="F325" s="2655"/>
      <c r="G325" s="91" t="str">
        <f>G324</f>
        <v>ton</v>
      </c>
      <c r="H325" s="922" t="str">
        <f t="shared" ref="H325:N325" si="146">IF(OR($I315="",H322&gt;=CNTR_ReportingYear),"",IF($R327=TRUE,IF(ISNUMBER(H324),H324,0),IF(AND(H322&gt;=$V315-1,ISNUMBER(H323)),H323,0)))</f>
        <v/>
      </c>
      <c r="I325" s="986" t="str">
        <f t="shared" si="146"/>
        <v/>
      </c>
      <c r="J325" s="989" t="str">
        <f t="shared" si="146"/>
        <v/>
      </c>
      <c r="K325" s="922" t="str">
        <f t="shared" si="146"/>
        <v/>
      </c>
      <c r="L325" s="922" t="str">
        <f t="shared" si="146"/>
        <v/>
      </c>
      <c r="M325" s="922" t="str">
        <f t="shared" si="146"/>
        <v/>
      </c>
      <c r="N325" s="1125" t="str">
        <f t="shared" si="146"/>
        <v/>
      </c>
      <c r="O325" s="15"/>
      <c r="P325" s="918"/>
      <c r="Q325" s="165" t="str">
        <f>EUconst_CNTR_HAL&amp;I315</f>
        <v>HAL_</v>
      </c>
      <c r="R325" s="2"/>
      <c r="S325" s="2"/>
      <c r="T325" s="2"/>
      <c r="U325" s="2"/>
      <c r="V325" s="2"/>
      <c r="W325" s="2"/>
      <c r="X325" s="2"/>
      <c r="Y325" s="2"/>
      <c r="Z325" s="2"/>
      <c r="AA325" s="2"/>
      <c r="AB325" s="2"/>
      <c r="AC325" s="2"/>
      <c r="AD325" s="2"/>
      <c r="AE325" s="2"/>
      <c r="AF325" s="2"/>
      <c r="AG325" s="2"/>
      <c r="AH325" s="2"/>
      <c r="AI325" s="2"/>
      <c r="AJ325" s="553" t="s">
        <v>2242</v>
      </c>
      <c r="AK325" s="108" t="str">
        <f>IF(COUNTIFS(H322:N322,"&lt;"&amp;YEAR(SUM(T315)),H325:N325,"&gt;"&amp;0)&gt;0,EUconst_Error&amp;"BM"&amp;Q315,"")</f>
        <v/>
      </c>
      <c r="AL325" s="343"/>
    </row>
    <row r="326" spans="1:38" ht="5.15" customHeight="1" x14ac:dyDescent="0.25">
      <c r="A326" s="2"/>
      <c r="B326" s="178"/>
      <c r="C326" s="178"/>
      <c r="D326" s="178"/>
      <c r="E326" s="178"/>
      <c r="F326" s="178"/>
      <c r="G326" s="178"/>
      <c r="H326" s="178"/>
      <c r="I326" s="178"/>
      <c r="J326" s="178"/>
      <c r="K326" s="178"/>
      <c r="L326" s="178"/>
      <c r="M326" s="15"/>
      <c r="N326" s="15"/>
      <c r="O326" s="15"/>
      <c r="P326" s="15"/>
      <c r="Q326" s="343"/>
      <c r="R326" s="2"/>
      <c r="S326" s="343"/>
      <c r="T326" s="343"/>
      <c r="U326" s="2"/>
      <c r="V326" s="2"/>
      <c r="W326" s="2"/>
      <c r="X326" s="2"/>
      <c r="Y326" s="2"/>
      <c r="Z326" s="2"/>
      <c r="AA326" s="2"/>
      <c r="AB326" s="2"/>
      <c r="AC326" s="2"/>
      <c r="AD326" s="2"/>
      <c r="AE326" s="2"/>
      <c r="AF326" s="2"/>
      <c r="AG326" s="2"/>
      <c r="AH326" s="2"/>
      <c r="AI326" s="2"/>
      <c r="AJ326" s="2"/>
      <c r="AK326" s="2"/>
      <c r="AL326" s="2"/>
    </row>
    <row r="327" spans="1:38" ht="12.75" customHeight="1" x14ac:dyDescent="0.25">
      <c r="A327" s="2"/>
      <c r="B327" s="178"/>
      <c r="C327" s="178"/>
      <c r="D327" s="289" t="s">
        <v>23</v>
      </c>
      <c r="E327" s="1943" t="str">
        <f>Translations!$B$520</f>
        <v>Särskilda rapporteringskrav:</v>
      </c>
      <c r="F327" s="1943"/>
      <c r="G327" s="2067"/>
      <c r="H327" s="2652" t="str">
        <f>IF(I315="","",HYPERLINK(INDEX(EUconst_BMlistSpecialJumpTable,MATCH(I315,EUconst_BMlistNames,0)),INDEX(EUconst_BMlistSpecialReporting,MATCH(I315,EUconst_BMlistNames,0))))</f>
        <v/>
      </c>
      <c r="I327" s="2656"/>
      <c r="J327" s="2656"/>
      <c r="K327" s="2656"/>
      <c r="L327" s="2656"/>
      <c r="M327" s="2656"/>
      <c r="N327" s="2657"/>
      <c r="O327" s="15"/>
      <c r="P327" s="15"/>
      <c r="Q327" s="553" t="s">
        <v>133</v>
      </c>
      <c r="R327" s="108" t="str">
        <f>IF(I315="","",IF(AND(INDEX(EUconst_BMlistSpecialJumpTable,MATCH(I315,EUconst_BMlistNames,0))&lt;&gt;"",MATCH(I315,EUconst_BMlistNames,0)&lt;&gt;47),TRUE,FALSE))</f>
        <v/>
      </c>
      <c r="S327" s="343"/>
      <c r="T327" s="343"/>
      <c r="U327" s="2"/>
      <c r="V327" s="2"/>
      <c r="W327" s="2"/>
      <c r="X327" s="2"/>
      <c r="Y327" s="2"/>
      <c r="Z327" s="2"/>
      <c r="AA327" s="2"/>
      <c r="AB327" s="2"/>
      <c r="AC327" s="2"/>
      <c r="AD327" s="2"/>
      <c r="AE327" s="2"/>
      <c r="AF327" s="2"/>
      <c r="AG327" s="2"/>
      <c r="AH327" s="2"/>
      <c r="AI327" s="2"/>
      <c r="AJ327" s="2"/>
      <c r="AK327" s="2"/>
      <c r="AL327" s="2"/>
    </row>
    <row r="328" spans="1:38" ht="12.75" customHeight="1" x14ac:dyDescent="0.25">
      <c r="A328" s="2"/>
      <c r="B328" s="178"/>
      <c r="C328" s="178"/>
      <c r="D328" s="15"/>
      <c r="E328" s="2061" t="str">
        <f>Translations!$B$521</f>
        <v>Särskild information måste ges när det gäller vissa produktriktmärken (t.ex. CWT-värden). Ett automatiskt meddelande kommer att visas här, i relevanta fall.</v>
      </c>
      <c r="F328" s="1963"/>
      <c r="G328" s="1963"/>
      <c r="H328" s="1963"/>
      <c r="I328" s="1963"/>
      <c r="J328" s="1963"/>
      <c r="K328" s="1963"/>
      <c r="L328" s="1963"/>
      <c r="M328" s="1963"/>
      <c r="N328" s="1963"/>
      <c r="O328" s="15"/>
      <c r="P328" s="15"/>
      <c r="Q328" s="343"/>
      <c r="R328" s="2"/>
      <c r="S328" s="343"/>
      <c r="T328" s="343"/>
      <c r="U328" s="2"/>
      <c r="V328" s="2"/>
      <c r="W328" s="2"/>
      <c r="X328" s="2"/>
      <c r="Y328" s="2"/>
      <c r="Z328" s="2"/>
      <c r="AA328" s="2"/>
      <c r="AB328" s="2"/>
      <c r="AC328" s="2"/>
      <c r="AD328" s="2"/>
      <c r="AE328" s="2"/>
      <c r="AF328" s="2"/>
      <c r="AG328" s="2"/>
      <c r="AH328" s="2"/>
      <c r="AI328" s="2"/>
      <c r="AJ328" s="2"/>
      <c r="AK328" s="2"/>
      <c r="AL328" s="2"/>
    </row>
    <row r="329" spans="1:38" ht="5.15" customHeight="1" x14ac:dyDescent="0.25">
      <c r="A329" s="2"/>
      <c r="B329" s="178"/>
      <c r="C329" s="178"/>
      <c r="D329" s="15"/>
      <c r="E329" s="15"/>
      <c r="F329" s="15"/>
      <c r="G329" s="15"/>
      <c r="H329" s="15"/>
      <c r="I329" s="15"/>
      <c r="J329" s="15"/>
      <c r="K329" s="15"/>
      <c r="L329" s="15"/>
      <c r="M329" s="15"/>
      <c r="N329" s="15"/>
      <c r="O329" s="15"/>
      <c r="P329" s="15"/>
      <c r="Q329" s="343"/>
      <c r="R329" s="2"/>
      <c r="S329" s="343"/>
      <c r="T329" s="343"/>
      <c r="U329" s="2"/>
      <c r="V329" s="2"/>
      <c r="W329" s="2"/>
      <c r="X329" s="2"/>
      <c r="Y329" s="2"/>
      <c r="Z329" s="343"/>
      <c r="AA329" s="2"/>
      <c r="AB329" s="2"/>
      <c r="AC329" s="2"/>
      <c r="AD329" s="2"/>
      <c r="AE329" s="2"/>
      <c r="AF329" s="2"/>
      <c r="AG329" s="2"/>
      <c r="AH329" s="2"/>
      <c r="AI329" s="2"/>
      <c r="AJ329" s="2"/>
      <c r="AK329" s="2"/>
      <c r="AL329" s="343"/>
    </row>
    <row r="330" spans="1:38" ht="12.75" customHeight="1" x14ac:dyDescent="0.25">
      <c r="A330" s="2"/>
      <c r="B330" s="178"/>
      <c r="C330" s="178"/>
      <c r="D330" s="13" t="s">
        <v>955</v>
      </c>
      <c r="E330" s="1943" t="str">
        <f>Translations!$B$1467</f>
        <v>Eventuella justeringar av verksamhetsnivå</v>
      </c>
      <c r="F330" s="1963"/>
      <c r="G330" s="1963"/>
      <c r="H330" s="1963"/>
      <c r="I330" s="1963"/>
      <c r="J330" s="1963"/>
      <c r="K330" s="1963"/>
      <c r="L330" s="1963"/>
      <c r="M330" s="1963"/>
      <c r="N330" s="1963"/>
      <c r="O330" s="15"/>
      <c r="P330" s="15"/>
      <c r="Q330" s="343"/>
      <c r="R330" s="2"/>
      <c r="S330" s="343"/>
      <c r="T330" s="343"/>
      <c r="U330" s="2"/>
      <c r="V330" s="2"/>
      <c r="W330" s="2"/>
      <c r="X330" s="2"/>
      <c r="Y330" s="2"/>
      <c r="Z330" s="343"/>
      <c r="AA330" s="2"/>
      <c r="AB330" s="2"/>
      <c r="AC330" s="2"/>
      <c r="AD330" s="2"/>
      <c r="AE330" s="2"/>
      <c r="AF330" s="2"/>
      <c r="AG330" s="2"/>
      <c r="AH330" s="2"/>
      <c r="AI330" s="2"/>
      <c r="AJ330" s="2"/>
      <c r="AK330" s="2"/>
      <c r="AL330" s="343"/>
    </row>
    <row r="331" spans="1:38" ht="12.75" customHeight="1" x14ac:dyDescent="0.25">
      <c r="A331" s="2"/>
      <c r="B331" s="178"/>
      <c r="C331" s="178"/>
      <c r="D331" s="15"/>
      <c r="E331" s="2061" t="str">
        <f>Translations!$B$1468</f>
        <v>Den historiska verksamhetsnivån (HAL) kommer att bestämmas automatiskt baserat på uppgifter under punkt a) ovan och uppgifter i blad B+C_SubInstallations. För nya delanläggningar kommer HAL att visas under v) baserat på det första fullständiga verksamhetsåret.</v>
      </c>
      <c r="F331" s="1963"/>
      <c r="G331" s="1963"/>
      <c r="H331" s="1963"/>
      <c r="I331" s="1963"/>
      <c r="J331" s="1963"/>
      <c r="K331" s="1963"/>
      <c r="L331" s="1963"/>
      <c r="M331" s="1963"/>
      <c r="N331" s="1963"/>
      <c r="O331" s="15"/>
      <c r="P331" s="15"/>
      <c r="Q331" s="343"/>
      <c r="R331" s="2"/>
      <c r="S331" s="343"/>
      <c r="T331" s="343"/>
      <c r="U331" s="343"/>
      <c r="V331" s="2"/>
      <c r="W331" s="2"/>
      <c r="X331" s="2"/>
      <c r="Y331" s="2"/>
      <c r="Z331" s="2"/>
      <c r="AA331" s="2"/>
      <c r="AB331" s="2"/>
      <c r="AC331" s="2"/>
      <c r="AD331" s="2"/>
      <c r="AE331" s="2"/>
      <c r="AF331" s="2"/>
      <c r="AG331" s="2"/>
      <c r="AH331" s="2"/>
      <c r="AI331" s="2"/>
      <c r="AJ331" s="2"/>
      <c r="AK331" s="2"/>
      <c r="AL331" s="2"/>
    </row>
    <row r="332" spans="1:38" ht="25.5" customHeight="1" x14ac:dyDescent="0.25">
      <c r="A332" s="2"/>
      <c r="B332" s="178"/>
      <c r="C332" s="178"/>
      <c r="D332" s="15"/>
      <c r="E332" s="2061" t="str">
        <f>Translations!$B$1469</f>
        <v>Baserat på värdena för HAL och värdena under punkt a) ovan bestäms de genomsnittliga verksamhetsnivåerna här. Tilldelningen kommer endast att ändras om alla följande tröskelvärden i artikel 5 i verksamhetsändringsförordningen överskrids:</v>
      </c>
      <c r="F332" s="1963"/>
      <c r="G332" s="1963"/>
      <c r="H332" s="1963"/>
      <c r="I332" s="1963"/>
      <c r="J332" s="1963"/>
      <c r="K332" s="1963"/>
      <c r="L332" s="1963"/>
      <c r="M332" s="1963"/>
      <c r="N332" s="1963"/>
      <c r="O332" s="15"/>
      <c r="P332" s="15"/>
      <c r="Q332" s="343"/>
      <c r="R332" s="2"/>
      <c r="S332" s="343"/>
      <c r="T332" s="343"/>
      <c r="U332" s="343"/>
      <c r="V332" s="2"/>
      <c r="W332" s="2"/>
      <c r="X332" s="2"/>
      <c r="Y332" s="2"/>
      <c r="Z332" s="2"/>
      <c r="AA332" s="2"/>
      <c r="AB332" s="2"/>
      <c r="AC332" s="2"/>
      <c r="AD332" s="2"/>
      <c r="AE332" s="2"/>
      <c r="AF332" s="2"/>
      <c r="AG332" s="2"/>
      <c r="AH332" s="2"/>
      <c r="AI332" s="2"/>
      <c r="AJ332" s="2"/>
      <c r="AK332" s="2"/>
      <c r="AL332" s="2"/>
    </row>
    <row r="333" spans="1:38" ht="12.75" customHeight="1" x14ac:dyDescent="0.25">
      <c r="A333" s="2"/>
      <c r="B333" s="178"/>
      <c r="C333" s="178"/>
      <c r="D333" s="15"/>
      <c r="E333" s="1102" t="s">
        <v>1112</v>
      </c>
      <c r="F333" s="2095" t="str">
        <f>Translations!$B$1470</f>
        <v>De relativa tröskelvärdena (15 % och 5 % för efterföljande ändringar) för de genomsnittliga verksamhetsnivåerna jämfört med HAL</v>
      </c>
      <c r="G333" s="2159"/>
      <c r="H333" s="2159"/>
      <c r="I333" s="2159"/>
      <c r="J333" s="2159"/>
      <c r="K333" s="2159"/>
      <c r="L333" s="2159"/>
      <c r="M333" s="2159"/>
      <c r="N333" s="2159"/>
      <c r="O333" s="15"/>
      <c r="P333" s="15"/>
      <c r="Q333" s="343"/>
      <c r="R333" s="2"/>
      <c r="S333" s="343"/>
      <c r="T333" s="343"/>
      <c r="U333" s="343"/>
      <c r="V333" s="2"/>
      <c r="W333" s="2"/>
      <c r="X333" s="2"/>
      <c r="Y333" s="2"/>
      <c r="Z333" s="2"/>
      <c r="AA333" s="2"/>
      <c r="AB333" s="2"/>
      <c r="AC333" s="2"/>
      <c r="AD333" s="2"/>
      <c r="AE333" s="2"/>
      <c r="AF333" s="2"/>
      <c r="AG333" s="2"/>
      <c r="AH333" s="2"/>
      <c r="AI333" s="2"/>
      <c r="AJ333" s="2"/>
      <c r="AK333" s="2"/>
      <c r="AL333" s="2"/>
    </row>
    <row r="334" spans="1:38" ht="12.75" customHeight="1" thickBot="1" x14ac:dyDescent="0.3">
      <c r="A334" s="2"/>
      <c r="B334" s="178"/>
      <c r="C334" s="178"/>
      <c r="D334" s="15"/>
      <c r="E334" s="1102" t="s">
        <v>1112</v>
      </c>
      <c r="F334" s="2095" t="str">
        <f>Translations!$B$1471</f>
        <v>Det absoluta tröskelvärdet, dvs. en ändring skulle leda till en ändring av den preliminära tilldelningen på minst 100 utsläppsrätter</v>
      </c>
      <c r="G334" s="2159"/>
      <c r="H334" s="2159"/>
      <c r="I334" s="2159"/>
      <c r="J334" s="2159"/>
      <c r="K334" s="2159"/>
      <c r="L334" s="2159"/>
      <c r="M334" s="2159"/>
      <c r="N334" s="2159"/>
      <c r="O334" s="15"/>
      <c r="P334" s="15"/>
      <c r="Q334" s="343"/>
      <c r="R334" s="2"/>
      <c r="S334" s="343"/>
      <c r="T334" s="343"/>
      <c r="U334" s="343"/>
      <c r="V334" s="2"/>
      <c r="W334" s="2"/>
      <c r="X334" s="2"/>
      <c r="Y334" s="2"/>
      <c r="Z334" s="2"/>
      <c r="AA334" s="2"/>
      <c r="AB334" s="2"/>
      <c r="AC334" s="2"/>
      <c r="AD334" s="2"/>
      <c r="AE334" s="2"/>
      <c r="AF334" s="2"/>
      <c r="AG334" s="2"/>
      <c r="AH334" s="2"/>
      <c r="AI334" s="2"/>
      <c r="AJ334" s="2"/>
      <c r="AK334" s="2"/>
      <c r="AL334" s="2"/>
    </row>
    <row r="335" spans="1:38" ht="5.15" customHeight="1" thickBot="1" x14ac:dyDescent="0.3">
      <c r="A335" s="2"/>
      <c r="B335" s="178"/>
      <c r="C335" s="178"/>
      <c r="D335" s="1238"/>
      <c r="E335" s="1278"/>
      <c r="F335" s="1239"/>
      <c r="G335" s="1279"/>
      <c r="H335" s="1279"/>
      <c r="I335" s="1279"/>
      <c r="J335" s="1279"/>
      <c r="K335" s="1279"/>
      <c r="L335" s="1279"/>
      <c r="M335" s="1279"/>
      <c r="N335" s="1280"/>
      <c r="O335" s="15"/>
      <c r="P335" s="15"/>
      <c r="Q335" s="343"/>
      <c r="R335" s="2"/>
      <c r="S335" s="343"/>
      <c r="T335" s="343"/>
      <c r="U335" s="343"/>
      <c r="V335" s="2"/>
      <c r="W335" s="2"/>
      <c r="X335" s="2"/>
      <c r="Y335" s="2"/>
      <c r="Z335" s="2"/>
      <c r="AA335" s="2"/>
      <c r="AB335" s="2"/>
      <c r="AC335" s="2"/>
      <c r="AD335" s="2"/>
      <c r="AE335" s="2"/>
      <c r="AF335" s="2"/>
      <c r="AG335" s="2"/>
      <c r="AH335" s="2"/>
      <c r="AI335" s="2"/>
      <c r="AJ335" s="2"/>
      <c r="AK335" s="2"/>
      <c r="AL335" s="2"/>
    </row>
    <row r="336" spans="1:38" ht="12.75" customHeight="1" x14ac:dyDescent="0.25">
      <c r="A336" s="2"/>
      <c r="B336" s="178"/>
      <c r="C336" s="178"/>
      <c r="D336" s="1290"/>
      <c r="E336" s="1243" t="str">
        <f>Translations!$B$1340</f>
        <v>Justeringar</v>
      </c>
      <c r="F336" s="1244"/>
      <c r="G336" s="1244"/>
      <c r="H336" s="1228" t="str">
        <f>EUconst_Unit</f>
        <v>Enhet</v>
      </c>
      <c r="I336" s="1229" t="str">
        <f>Translations!$B$1472</f>
        <v>HAL</v>
      </c>
      <c r="J336" s="1268">
        <f>J$3042</f>
        <v>2021</v>
      </c>
      <c r="K336" s="1230">
        <f>K$3042</f>
        <v>2022</v>
      </c>
      <c r="L336" s="1230">
        <f>L$3042</f>
        <v>2023</v>
      </c>
      <c r="M336" s="1230">
        <f>M$3042</f>
        <v>2024</v>
      </c>
      <c r="N336" s="1258">
        <f>N$3042</f>
        <v>2025</v>
      </c>
      <c r="O336" s="15"/>
      <c r="P336" s="15"/>
      <c r="Q336" s="343"/>
      <c r="R336" s="2"/>
      <c r="S336" s="2"/>
      <c r="T336" s="2"/>
      <c r="U336" s="772"/>
      <c r="V336" s="1077">
        <f>J336</f>
        <v>2021</v>
      </c>
      <c r="W336" s="1077">
        <f>K336</f>
        <v>2022</v>
      </c>
      <c r="X336" s="1077">
        <f>L336</f>
        <v>2023</v>
      </c>
      <c r="Y336" s="1077">
        <f>M336</f>
        <v>2024</v>
      </c>
      <c r="Z336" s="1078">
        <f>N336</f>
        <v>2025</v>
      </c>
      <c r="AA336" s="2"/>
      <c r="AB336" s="2"/>
      <c r="AC336" s="2"/>
      <c r="AD336" s="2"/>
      <c r="AE336" s="2"/>
      <c r="AF336" s="2"/>
      <c r="AG336" s="2"/>
      <c r="AH336" s="2"/>
      <c r="AI336" s="2"/>
      <c r="AJ336" s="2"/>
      <c r="AK336" s="2"/>
      <c r="AL336" s="2"/>
    </row>
    <row r="337" spans="1:38" ht="12.75" customHeight="1" x14ac:dyDescent="0.25">
      <c r="A337" s="2"/>
      <c r="B337" s="178"/>
      <c r="C337" s="178"/>
      <c r="D337" s="1246" t="s">
        <v>8</v>
      </c>
      <c r="E337" s="1231" t="str">
        <f>Translations!$B$1473</f>
        <v>Genomsnittlig årlig verksamhetsnivå</v>
      </c>
      <c r="F337" s="1231"/>
      <c r="G337" s="1231"/>
      <c r="H337" s="917" t="str">
        <f>IF(INDEX(CNTR_SubInstListIsProdBM,$C315),INDEX(CNTR_SubInstListHALUnit,$C315),EUconst_Tons)</f>
        <v>ton</v>
      </c>
      <c r="I337" s="990" t="str">
        <f>IF(V315&gt;($J$3042-3),EUconst_NA,INDEX('B+C_SubInstallations'!$I:$I,MATCH(Q337,'B+C_SubInstallations'!$T:$T,0)))</f>
        <v/>
      </c>
      <c r="J337" s="993" t="str">
        <f>IF(AND(V337&gt;=3,CNTR_ReportingYear&gt;J336-1),AVERAGE(H325:I325),"")</f>
        <v/>
      </c>
      <c r="K337" s="920" t="str">
        <f>IF(AND(W337&gt;=3,CNTR_ReportingYear&gt;K336-1),AVERAGE(I325:J325),"")</f>
        <v/>
      </c>
      <c r="L337" s="920" t="str">
        <f>IF(AND(X337&gt;=3,CNTR_ReportingYear&gt;L336-1),AVERAGE(J325:K325),"")</f>
        <v/>
      </c>
      <c r="M337" s="920" t="str">
        <f>IF(AND(Y337&gt;=3,CNTR_ReportingYear&gt;M336-1),AVERAGE(K325:L325),"")</f>
        <v/>
      </c>
      <c r="N337" s="1218" t="str">
        <f>IF(AND(Z337&gt;=3,CNTR_ReportingYear&gt;N336-1),AVERAGE(L325:M325),"")</f>
        <v/>
      </c>
      <c r="O337" s="15"/>
      <c r="P337" s="15"/>
      <c r="Q337" s="672" t="str">
        <f>EUconst_CNTR_HALinitial&amp;I315</f>
        <v>HALini_</v>
      </c>
      <c r="R337" s="2"/>
      <c r="S337" s="2"/>
      <c r="T337" s="2"/>
      <c r="U337" s="1088" t="s">
        <v>1850</v>
      </c>
      <c r="V337" s="663">
        <f>IF($I315="",0,V336-$V315+1)</f>
        <v>0</v>
      </c>
      <c r="W337" s="663">
        <f>IF($I315="",0,W336-$V315+1)</f>
        <v>0</v>
      </c>
      <c r="X337" s="663">
        <f>IF($I315="",0,X336-$V315+1)</f>
        <v>0</v>
      </c>
      <c r="Y337" s="663">
        <f>IF($I315="",0,Y336-$V315+1)</f>
        <v>0</v>
      </c>
      <c r="Z337" s="1080">
        <f>IF($I315="",0,Z336-$V315+1)</f>
        <v>0</v>
      </c>
      <c r="AA337" s="2"/>
      <c r="AB337" s="2"/>
      <c r="AC337" s="2"/>
      <c r="AD337" s="2"/>
      <c r="AE337" s="2"/>
      <c r="AF337" s="2"/>
      <c r="AG337" s="2"/>
      <c r="AH337" s="2"/>
      <c r="AI337" s="2"/>
      <c r="AJ337" s="2"/>
      <c r="AK337" s="2"/>
      <c r="AL337" s="2"/>
    </row>
    <row r="338" spans="1:38" ht="12.75" hidden="1" customHeight="1" x14ac:dyDescent="0.25">
      <c r="A338" s="343" t="s">
        <v>346</v>
      </c>
      <c r="B338" s="178"/>
      <c r="C338" s="178"/>
      <c r="D338" s="1242"/>
      <c r="E338" s="1281" t="s">
        <v>1848</v>
      </c>
      <c r="F338" s="1281"/>
      <c r="G338" s="1281"/>
      <c r="H338" s="1283"/>
      <c r="I338" s="1284"/>
      <c r="J338" s="991" t="str">
        <f>IF(J337="","",IF($I340=0,IF(J337=0,0%,100%),J337/$I340-1))</f>
        <v/>
      </c>
      <c r="K338" s="960" t="str">
        <f>IF(K337="","",IF($I340=0,IF(K337=0,0%,100%),K337/$I340-1))</f>
        <v/>
      </c>
      <c r="L338" s="960" t="str">
        <f>IF(L337="","",IF($I340=0,IF(L337=0,0%,100%),L337/$I340-1))</f>
        <v/>
      </c>
      <c r="M338" s="960" t="str">
        <f>IF(M337="","",IF($I340=0,IF(M337=0,0%,100%),M337/$I340-1))</f>
        <v/>
      </c>
      <c r="N338" s="1219" t="str">
        <f>IF(N337="","",IF($I340=0,IF(N337=0,0%,100%),N337/$I340-1))</f>
        <v/>
      </c>
      <c r="O338" s="15"/>
      <c r="P338" s="15"/>
      <c r="Q338" s="165" t="str">
        <f>EUconst_CNTR_RelThreshold &amp; Q340</f>
        <v>RelThresh_HALprelim_</v>
      </c>
      <c r="R338" s="2"/>
      <c r="S338" s="2"/>
      <c r="T338" s="2"/>
      <c r="U338" s="1088" t="s">
        <v>1855</v>
      </c>
      <c r="V338" s="603" t="str">
        <f>IF(J337="","",ABS(J338)&gt;15%)</f>
        <v/>
      </c>
      <c r="W338" s="603" t="str">
        <f>IF(K337="","",ABS(K338)&gt;15%)</f>
        <v/>
      </c>
      <c r="X338" s="603" t="str">
        <f>IF(L337="","",ABS(L338)&gt;15%)</f>
        <v/>
      </c>
      <c r="Y338" s="603" t="str">
        <f>IF(M337="","",ABS(M338)&gt;15%)</f>
        <v/>
      </c>
      <c r="Z338" s="1756" t="str">
        <f>IF(N337="","",ABS(N338)&gt;15%)</f>
        <v/>
      </c>
      <c r="AA338" s="2"/>
      <c r="AB338" s="2"/>
      <c r="AC338" s="2"/>
      <c r="AD338" s="2"/>
      <c r="AE338" s="2"/>
      <c r="AF338" s="2"/>
      <c r="AG338" s="2"/>
      <c r="AH338" s="2"/>
      <c r="AI338" s="2"/>
      <c r="AJ338" s="2"/>
      <c r="AK338" s="2"/>
      <c r="AL338" s="343"/>
    </row>
    <row r="339" spans="1:38" ht="12.75" customHeight="1" x14ac:dyDescent="0.25">
      <c r="A339" s="343"/>
      <c r="B339" s="178"/>
      <c r="C339" s="178"/>
      <c r="D339" s="1246" t="s">
        <v>9</v>
      </c>
      <c r="E339" s="1231" t="str">
        <f>Translations!$B$1474</f>
        <v>Preliminär justering (om relativa tröskelvärden överskrids)</v>
      </c>
      <c r="F339" s="1231"/>
      <c r="G339" s="1231"/>
      <c r="H339" s="1233"/>
      <c r="I339" s="1235"/>
      <c r="J339" s="992" t="str">
        <f>IF(J337="","",IF(V338=FALSE,0%,IF(V339,J338,I345)))</f>
        <v/>
      </c>
      <c r="K339" s="937" t="str">
        <f>IF(K337="","",IF(W338=FALSE,0%,IF(W339,K338,J345)))</f>
        <v/>
      </c>
      <c r="L339" s="937" t="str">
        <f>IF(L337="","",IF(X338=FALSE,0%,IF(X339,L338,K345)))</f>
        <v/>
      </c>
      <c r="M339" s="937" t="str">
        <f>IF(M337="","",IF(Y338=FALSE,0%,IF(Y339,M338,L345)))</f>
        <v/>
      </c>
      <c r="N339" s="1220" t="str">
        <f>IF(N337="","",IF(Z338=FALSE,0%,IF(Z339,N338,M345)))</f>
        <v/>
      </c>
      <c r="O339" s="15"/>
      <c r="P339" s="15"/>
      <c r="Q339" s="2"/>
      <c r="R339" s="2"/>
      <c r="S339" s="2"/>
      <c r="T339" s="2"/>
      <c r="U339" s="1088" t="s">
        <v>1856</v>
      </c>
      <c r="V339" s="603" t="str">
        <f>IF(J337="","",AND(V338,IF(SUM(I345)&lt;0,OR(SUM(J338)&lt;SUM(I345)-MOD(SUM(I345),5%),J338&gt;=SUM(I345)+5%-MOD(SUM(I345),5%)),OR(SUM(J338)&lt;=SUM(I345)-MOD(SUM(I345),5%),SUM(J338)&gt;SUM(I345)+5%-MOD(SUM(I345),5%)))))</f>
        <v/>
      </c>
      <c r="W339" s="603" t="str">
        <f>IF(K337="","",AND(W338,IF(SUM(J345)&lt;0,OR(SUM(K338)&lt;SUM(J345)-MOD(SUM(J345),5%),K338&gt;=SUM(J345)+5%-MOD(SUM(J345),5%)),OR(SUM(K338)&lt;=SUM(J345)-MOD(SUM(J345),5%),SUM(K338)&gt;SUM(J345)+5%-MOD(SUM(J345),5%)))))</f>
        <v/>
      </c>
      <c r="X339" s="603" t="str">
        <f>IF(L337="","",AND(X338,IF(SUM(K345)&lt;0,OR(SUM(L338)&lt;SUM(K345)-MOD(SUM(K345),5%),L338&gt;=SUM(K345)+5%-MOD(SUM(K345),5%)),OR(SUM(L338)&lt;=SUM(K345)-MOD(SUM(K345),5%),SUM(L338)&gt;SUM(K345)+5%-MOD(SUM(K345),5%)))))</f>
        <v/>
      </c>
      <c r="Y339" s="603" t="str">
        <f>IF(M337="","",AND(Y338,IF(SUM(L345)&lt;0,OR(SUM(M338)&lt;SUM(L345)-MOD(SUM(L345),5%),M338&gt;=SUM(L345)+5%-MOD(SUM(L345),5%)),OR(SUM(M338)&lt;=SUM(L345)-MOD(SUM(L345),5%),SUM(M338)&gt;SUM(L345)+5%-MOD(SUM(L345),5%)))))</f>
        <v/>
      </c>
      <c r="Z339" s="1756" t="str">
        <f>IF(N337="","",AND(Z338,IF(SUM(M345)&lt;0,OR(SUM(N338)&lt;SUM(M345)-MOD(SUM(M345),5%),N338&gt;=SUM(M345)+5%-MOD(SUM(M345),5%)),OR(SUM(N338)&lt;=SUM(M345)-MOD(SUM(M345),5%),SUM(N338)&gt;SUM(M345)+5%-MOD(SUM(M345),5%)))))</f>
        <v/>
      </c>
      <c r="AA339" s="2"/>
      <c r="AB339" s="2"/>
      <c r="AC339" s="2"/>
      <c r="AD339" s="2"/>
      <c r="AE339" s="2"/>
      <c r="AF339" s="2"/>
      <c r="AG339" s="2"/>
      <c r="AH339" s="2"/>
      <c r="AI339" s="2"/>
      <c r="AJ339" s="2"/>
      <c r="AK339" s="2"/>
      <c r="AL339" s="343"/>
    </row>
    <row r="340" spans="1:38" ht="12.75" hidden="1" customHeight="1" x14ac:dyDescent="0.25">
      <c r="A340" s="343" t="s">
        <v>346</v>
      </c>
      <c r="B340" s="178"/>
      <c r="C340" s="178"/>
      <c r="D340" s="1242"/>
      <c r="E340" s="1231" t="s">
        <v>1889</v>
      </c>
      <c r="F340" s="1231"/>
      <c r="G340" s="1231"/>
      <c r="H340" s="917" t="str">
        <f>H337</f>
        <v>ton</v>
      </c>
      <c r="I340" s="990" t="str">
        <f>IF(I315="","",IF(AB315=FALSE,EUconst_NA,IF(V315&gt;($J$3042-3),INDEX(H325:N325,MATCH(V315,H322:N322,0)),SUM(I337))))</f>
        <v/>
      </c>
      <c r="J340" s="993" t="str">
        <f>IF($I315="","",IF(V337&lt;2,SUM(J325),IF(V337&lt;3,SUM(I325),IF(V340="",I340,V340))))</f>
        <v/>
      </c>
      <c r="K340" s="920" t="str">
        <f>IF($I315="","",IF(W337&lt;2,SUM(K325),IF(W337&lt;3,SUM(J325),IF(W340="",J340,W340))))</f>
        <v/>
      </c>
      <c r="L340" s="920" t="str">
        <f>IF($I315="","",IF(X337&lt;2,SUM(L325),IF(X337&lt;3,SUM(K325),IF(X340="",K340,X340))))</f>
        <v/>
      </c>
      <c r="M340" s="920" t="str">
        <f>IF($I315="","",IF(Y337&lt;2,SUM(M325),IF(Y337&lt;3,SUM(L325),IF(Y340="",L340,Y340))))</f>
        <v/>
      </c>
      <c r="N340" s="1218" t="str">
        <f>IF($I315="","",IF(Z337&lt;2,SUM(N325),IF(Z337&lt;3,SUM(M325),IF(Z340="",M340,Z340))))</f>
        <v/>
      </c>
      <c r="O340" s="15"/>
      <c r="P340" s="15"/>
      <c r="Q340" s="672" t="str">
        <f>EUconst_CNTR_HALprelim&amp;I315</f>
        <v>HALprelim_</v>
      </c>
      <c r="R340" s="2"/>
      <c r="S340" s="2"/>
      <c r="T340" s="2"/>
      <c r="U340" s="1088" t="s">
        <v>1898</v>
      </c>
      <c r="V340" s="1752" t="str">
        <f>IF(J337="","",IF(CNTR_ReportingYear&lt;J336,I339,IF($I340=0,J337,$I340*(1+J339))))</f>
        <v/>
      </c>
      <c r="W340" s="1752" t="str">
        <f>IF(K337="","",IF(CNTR_ReportingYear&lt;K336,J339,IF($I340=0,K337,$I340*(1+K339))))</f>
        <v/>
      </c>
      <c r="X340" s="1752" t="str">
        <f>IF(L337="","",IF(CNTR_ReportingYear&lt;L336,K339,IF($I340=0,L337,$I340*(1+L339))))</f>
        <v/>
      </c>
      <c r="Y340" s="1752" t="str">
        <f>IF(M337="","",IF(CNTR_ReportingYear&lt;M336,L339,IF($I340=0,M337,$I340*(1+M339))))</f>
        <v/>
      </c>
      <c r="Z340" s="1761" t="str">
        <f>IF(N337="","",IF(CNTR_ReportingYear&lt;N336,M339,IF($I340=0,N337,$I340*(1+N339))))</f>
        <v/>
      </c>
      <c r="AA340" s="2"/>
      <c r="AB340" s="2"/>
      <c r="AC340" s="2"/>
      <c r="AD340" s="2"/>
      <c r="AE340" s="2"/>
      <c r="AF340" s="2"/>
      <c r="AG340" s="2"/>
      <c r="AH340" s="2"/>
      <c r="AI340" s="2"/>
      <c r="AJ340" s="2"/>
      <c r="AK340" s="2"/>
      <c r="AL340" s="343"/>
    </row>
    <row r="341" spans="1:38" ht="5.15" customHeight="1" x14ac:dyDescent="0.25">
      <c r="A341" s="343"/>
      <c r="B341" s="178"/>
      <c r="C341" s="178"/>
      <c r="D341" s="1242"/>
      <c r="E341" s="1244"/>
      <c r="F341" s="1244"/>
      <c r="G341" s="1244"/>
      <c r="H341" s="1244"/>
      <c r="I341" s="1244"/>
      <c r="J341" s="1236"/>
      <c r="K341" s="1236"/>
      <c r="L341" s="1236"/>
      <c r="M341" s="1236"/>
      <c r="N341" s="1247"/>
      <c r="O341" s="15"/>
      <c r="P341" s="15"/>
      <c r="Q341" s="343"/>
      <c r="R341" s="2"/>
      <c r="S341" s="2"/>
      <c r="T341" s="2"/>
      <c r="U341" s="1086"/>
      <c r="V341" s="343"/>
      <c r="W341" s="2"/>
      <c r="X341" s="2"/>
      <c r="Y341" s="2"/>
      <c r="Z341" s="228"/>
      <c r="AA341" s="2"/>
      <c r="AB341" s="2"/>
      <c r="AC341" s="2"/>
      <c r="AD341" s="2"/>
      <c r="AE341" s="2"/>
      <c r="AF341" s="2"/>
      <c r="AG341" s="2"/>
      <c r="AH341" s="2"/>
      <c r="AI341" s="2"/>
      <c r="AJ341" s="2"/>
      <c r="AK341" s="2"/>
      <c r="AL341" s="343"/>
    </row>
    <row r="342" spans="1:38" ht="12.75" customHeight="1" x14ac:dyDescent="0.25">
      <c r="A342" s="343"/>
      <c r="B342" s="178"/>
      <c r="C342" s="178"/>
      <c r="D342" s="1242"/>
      <c r="E342" s="1234" t="str">
        <f>Translations!$B$1475</f>
        <v>Faktisk justering (grund för följande år)</v>
      </c>
      <c r="F342" s="1234"/>
      <c r="G342" s="1234"/>
      <c r="H342" s="1234"/>
      <c r="I342" s="1234"/>
      <c r="J342" s="1268">
        <f>J$3042</f>
        <v>2021</v>
      </c>
      <c r="K342" s="1230">
        <f>K$3042</f>
        <v>2022</v>
      </c>
      <c r="L342" s="1230">
        <f>L$3042</f>
        <v>2023</v>
      </c>
      <c r="M342" s="1230">
        <f>M$3042</f>
        <v>2024</v>
      </c>
      <c r="N342" s="1258">
        <f>N$3042</f>
        <v>2025</v>
      </c>
      <c r="O342" s="15"/>
      <c r="P342" s="15"/>
      <c r="Q342" s="343"/>
      <c r="R342" s="2"/>
      <c r="S342" s="2"/>
      <c r="T342" s="2"/>
      <c r="U342" s="584"/>
      <c r="V342" s="2"/>
      <c r="W342" s="2"/>
      <c r="X342" s="2"/>
      <c r="Y342" s="2"/>
      <c r="Z342" s="228"/>
      <c r="AA342" s="2"/>
      <c r="AB342" s="2"/>
      <c r="AC342" s="2"/>
      <c r="AD342" s="2"/>
      <c r="AE342" s="2"/>
      <c r="AF342" s="2"/>
      <c r="AG342" s="2"/>
      <c r="AH342" s="2"/>
      <c r="AI342" s="2"/>
      <c r="AJ342" s="2"/>
      <c r="AK342" s="2"/>
      <c r="AL342" s="343"/>
    </row>
    <row r="343" spans="1:38" ht="12.75" customHeight="1" x14ac:dyDescent="0.25">
      <c r="A343" s="343"/>
      <c r="B343" s="178"/>
      <c r="C343" s="178"/>
      <c r="D343" s="1246" t="s">
        <v>10</v>
      </c>
      <c r="E343" s="1231" t="str">
        <f>Translations!$B$1476</f>
        <v>&gt;= 100 utsläppsrätter kriterium uppnått?</v>
      </c>
      <c r="F343" s="1231"/>
      <c r="G343" s="1231"/>
      <c r="H343" s="1231"/>
      <c r="I343" s="1231"/>
      <c r="J343" s="994" t="str">
        <f>IF($I315="","",INDEX(K_Summary!J:J,MATCH($Q343,K_Summary!$P:$P,0)))</f>
        <v/>
      </c>
      <c r="K343" s="912" t="str">
        <f>IF($I315="","",INDEX(K_Summary!K:K,MATCH($Q343,K_Summary!$P:$P,0)))</f>
        <v/>
      </c>
      <c r="L343" s="912" t="str">
        <f>IF($I315="","",INDEX(K_Summary!L:L,MATCH($Q343,K_Summary!$P:$P,0)))</f>
        <v/>
      </c>
      <c r="M343" s="912" t="str">
        <f>IF($I315="","",INDEX(K_Summary!M:M,MATCH($Q343,K_Summary!$P:$P,0)))</f>
        <v/>
      </c>
      <c r="N343" s="1221" t="str">
        <f>IF($I315="","",INDEX(K_Summary!N:N,MATCH($Q343,K_Summary!$P:$P,0)))</f>
        <v/>
      </c>
      <c r="O343" s="15"/>
      <c r="P343" s="15"/>
      <c r="Q343" s="672" t="str">
        <f>EUconst_CNTR_100EUA_ActivityLevel&amp;I315</f>
        <v>EUA100AL_</v>
      </c>
      <c r="R343" s="2"/>
      <c r="S343" s="2"/>
      <c r="T343" s="2"/>
      <c r="U343" s="584"/>
      <c r="V343" s="1123"/>
      <c r="W343" s="1123"/>
      <c r="X343" s="1123"/>
      <c r="Y343" s="1123"/>
      <c r="Z343" s="228"/>
      <c r="AA343" s="2"/>
      <c r="AB343" s="2"/>
      <c r="AC343" s="2"/>
      <c r="AD343" s="2"/>
      <c r="AE343" s="2"/>
      <c r="AF343" s="2"/>
      <c r="AG343" s="2"/>
      <c r="AH343" s="2"/>
      <c r="AI343" s="2"/>
      <c r="AJ343" s="2"/>
      <c r="AK343" s="2"/>
      <c r="AL343" s="343"/>
    </row>
    <row r="344" spans="1:38" ht="5.15" customHeight="1" thickBot="1" x14ac:dyDescent="0.3">
      <c r="A344" s="343"/>
      <c r="B344" s="178"/>
      <c r="C344" s="178"/>
      <c r="D344" s="1242"/>
      <c r="E344" s="1244"/>
      <c r="F344" s="1244"/>
      <c r="G344" s="1244"/>
      <c r="H344" s="1244"/>
      <c r="I344" s="1244"/>
      <c r="J344" s="1244"/>
      <c r="K344" s="1244"/>
      <c r="L344" s="1244"/>
      <c r="M344" s="1244"/>
      <c r="N344" s="1248"/>
      <c r="O344" s="15"/>
      <c r="P344" s="15"/>
      <c r="Q344" s="343"/>
      <c r="R344" s="2"/>
      <c r="S344" s="2"/>
      <c r="T344" s="2"/>
      <c r="U344" s="1086"/>
      <c r="V344" s="343"/>
      <c r="W344" s="2"/>
      <c r="X344" s="2"/>
      <c r="Y344" s="2"/>
      <c r="Z344" s="228"/>
      <c r="AA344" s="2"/>
      <c r="AB344" s="2"/>
      <c r="AC344" s="2"/>
      <c r="AD344" s="2"/>
      <c r="AE344" s="2"/>
      <c r="AF344" s="2"/>
      <c r="AG344" s="2"/>
      <c r="AH344" s="2"/>
      <c r="AI344" s="2"/>
      <c r="AJ344" s="2"/>
      <c r="AK344" s="2"/>
      <c r="AL344" s="343"/>
    </row>
    <row r="345" spans="1:38" ht="12.75" customHeight="1" thickBot="1" x14ac:dyDescent="0.3">
      <c r="A345" s="2"/>
      <c r="B345" s="178"/>
      <c r="C345" s="178"/>
      <c r="D345" s="1246" t="s">
        <v>23</v>
      </c>
      <c r="E345" s="1231" t="str">
        <f>Translations!$B$1477</f>
        <v>Faktisk justering (om alla tröskelvärden överskrids)</v>
      </c>
      <c r="F345" s="1231"/>
      <c r="G345" s="1231"/>
      <c r="H345" s="1233"/>
      <c r="I345" s="1237"/>
      <c r="J345" s="1099" t="str">
        <f>IF(J343="","",IF(J336&gt;$Z315,-100%,IF(OR(J343,V337&lt;1),J339,I345)))</f>
        <v/>
      </c>
      <c r="K345" s="1100" t="str">
        <f>IF(K343="","",IF(K336&gt;$Z315,-100%,IF(OR(K343,W337&lt;1),K339,J345)))</f>
        <v/>
      </c>
      <c r="L345" s="1100" t="str">
        <f>IF(L343="","",IF(L336&gt;$Z315,-100%,IF(OR(L343,X337&lt;1),L339,K345)))</f>
        <v/>
      </c>
      <c r="M345" s="1100" t="str">
        <f>IF(M343="","",IF(M336&gt;$Z315,-100%,IF(OR(M343,Y337&lt;1),M339,L345)))</f>
        <v/>
      </c>
      <c r="N345" s="1101" t="str">
        <f>IF(N343="","",IF(N336&gt;$Z315,-100%,IF(OR(N343,Z337&lt;1),N339,M345)))</f>
        <v/>
      </c>
      <c r="O345" s="15"/>
      <c r="P345" s="918"/>
      <c r="Q345" s="165" t="str">
        <f>EUconst_CNTR_HALAdjPct &amp; I315</f>
        <v>HALAdjPct_</v>
      </c>
      <c r="R345" s="2"/>
      <c r="S345" s="2"/>
      <c r="T345" s="2"/>
      <c r="U345" s="1086" t="s">
        <v>1858</v>
      </c>
      <c r="V345" s="1068">
        <f>J342</f>
        <v>2021</v>
      </c>
      <c r="W345" s="1068">
        <f>K342</f>
        <v>2022</v>
      </c>
      <c r="X345" s="1068">
        <f>L342</f>
        <v>2023</v>
      </c>
      <c r="Y345" s="1068">
        <f>M342</f>
        <v>2024</v>
      </c>
      <c r="Z345" s="1087">
        <f>N342</f>
        <v>2025</v>
      </c>
      <c r="AA345" s="2"/>
      <c r="AB345" s="2"/>
      <c r="AC345" s="2"/>
      <c r="AD345" s="2"/>
      <c r="AE345" s="2"/>
      <c r="AF345" s="2"/>
      <c r="AG345" s="2"/>
      <c r="AH345" s="2"/>
      <c r="AI345" s="2"/>
      <c r="AJ345" s="2"/>
      <c r="AK345" s="2"/>
      <c r="AL345" s="343"/>
    </row>
    <row r="346" spans="1:38" ht="12.75" customHeight="1" thickBot="1" x14ac:dyDescent="0.3">
      <c r="A346" s="343"/>
      <c r="B346" s="178"/>
      <c r="C346" s="178"/>
      <c r="D346" s="1246" t="s">
        <v>859</v>
      </c>
      <c r="E346" s="1231" t="str">
        <f>Translations!$B$1478</f>
        <v>Faktiskt värde</v>
      </c>
      <c r="F346" s="1231"/>
      <c r="G346" s="1231"/>
      <c r="H346" s="917" t="str">
        <f>H337</f>
        <v>ton</v>
      </c>
      <c r="I346" s="990" t="str">
        <f>I340</f>
        <v/>
      </c>
      <c r="J346" s="1072" t="str">
        <f>IF($I315="","",IF(OR($I346=0,J345="",$I346=EUconst_NA),IF(OR(J343=TRUE,J342&lt;=$V315),J340,SUM(I346)),$I346*(1+SUM(J345))))</f>
        <v/>
      </c>
      <c r="K346" s="1073" t="str">
        <f>IF($I315="","",IF(OR($I346=0,K345="",$I346=EUconst_NA),IF(OR(K343=TRUE,K342&lt;=$V315),K340,SUM(J346)),$I346*(1+SUM(K345))))</f>
        <v/>
      </c>
      <c r="L346" s="1073" t="str">
        <f>IF($I315="","",IF(OR($I346=0,L345="",$I346=EUconst_NA),IF(OR(L343=TRUE,L342&lt;=$V315),L340,SUM(K346)),$I346*(1+SUM(L345))))</f>
        <v/>
      </c>
      <c r="M346" s="1073" t="str">
        <f>IF($I315="","",IF(OR($I346=0,M345="",$I346=EUconst_NA),IF(OR(M343=TRUE,M342&lt;=$V315),M340,SUM(L346)),$I346*(1+SUM(M345))))</f>
        <v/>
      </c>
      <c r="N346" s="1074" t="str">
        <f>IF($I315="","",IF(OR($I346=0,N345="",$I346=EUconst_NA),IF(OR(N343=TRUE,N342&lt;=$V315),N340,SUM(M346)),$I346*(1+SUM(N345))))</f>
        <v/>
      </c>
      <c r="O346" s="15"/>
      <c r="P346" s="15"/>
      <c r="Q346" s="672" t="str">
        <f>EUconst_CNTR_HALfinal&amp;I315</f>
        <v>HALfinal_</v>
      </c>
      <c r="R346" s="2"/>
      <c r="S346" s="2"/>
      <c r="T346" s="2"/>
      <c r="U346" s="1765" t="b">
        <v>0</v>
      </c>
      <c r="V346" s="1757" t="str">
        <f>IF(V323,IF(J343=TRUE,V338,U346),"")</f>
        <v/>
      </c>
      <c r="W346" s="1757" t="str">
        <f>IF(W323,IF(K343=TRUE,W338,V346),"")</f>
        <v/>
      </c>
      <c r="X346" s="1757" t="str">
        <f>IF(X323,IF(L343=TRUE,X338,W346),"")</f>
        <v/>
      </c>
      <c r="Y346" s="1757" t="str">
        <f>IF(Y323,IF(M343=TRUE,Y338,X346),"")</f>
        <v/>
      </c>
      <c r="Z346" s="1758" t="str">
        <f>IF(Z323,IF(N343=TRUE,Z338,Y346),"")</f>
        <v/>
      </c>
      <c r="AA346" s="2"/>
      <c r="AB346" s="2"/>
      <c r="AC346" s="2"/>
      <c r="AD346" s="2"/>
      <c r="AE346" s="2"/>
      <c r="AF346" s="2"/>
      <c r="AG346" s="2"/>
      <c r="AH346" s="2"/>
      <c r="AI346" s="2"/>
      <c r="AJ346" s="553" t="s">
        <v>2242</v>
      </c>
      <c r="AK346" s="108" t="str">
        <f>IF(OR(ISERROR(J346),ISERROR(K346),ISERROR(L346),ISERROR(M346),ISERROR(N346)),EUconst_Error &amp; "BM" &amp; Q315,"")</f>
        <v/>
      </c>
      <c r="AL346" s="343"/>
    </row>
    <row r="347" spans="1:38" ht="5.15" customHeight="1" thickBot="1" x14ac:dyDescent="0.3">
      <c r="A347" s="2"/>
      <c r="B347" s="178"/>
      <c r="C347" s="178"/>
      <c r="D347" s="1282"/>
      <c r="E347" s="1272"/>
      <c r="F347" s="1272"/>
      <c r="G347" s="1272"/>
      <c r="H347" s="1272"/>
      <c r="I347" s="1272"/>
      <c r="J347" s="1272"/>
      <c r="K347" s="1272"/>
      <c r="L347" s="1272"/>
      <c r="M347" s="1272"/>
      <c r="N347" s="1273"/>
      <c r="O347" s="15"/>
      <c r="P347" s="15"/>
      <c r="Q347" s="343"/>
      <c r="R347" s="2"/>
      <c r="S347" s="2"/>
      <c r="T347" s="2"/>
      <c r="U347" s="343"/>
      <c r="V347" s="343"/>
      <c r="W347" s="2"/>
      <c r="X347" s="2"/>
      <c r="Y347" s="2"/>
      <c r="Z347" s="2"/>
      <c r="AA347" s="2"/>
      <c r="AB347" s="2"/>
      <c r="AC347" s="2"/>
      <c r="AD347" s="2"/>
      <c r="AE347" s="2"/>
      <c r="AF347" s="2"/>
      <c r="AG347" s="2"/>
      <c r="AH347" s="2"/>
      <c r="AI347" s="2"/>
      <c r="AJ347" s="2"/>
      <c r="AK347" s="2"/>
      <c r="AL347" s="343"/>
    </row>
    <row r="348" spans="1:38" ht="5.15" customHeight="1" x14ac:dyDescent="0.25">
      <c r="A348" s="2"/>
      <c r="B348" s="178"/>
      <c r="C348" s="178"/>
      <c r="D348" s="15"/>
      <c r="E348" s="15"/>
      <c r="F348" s="15"/>
      <c r="G348" s="15"/>
      <c r="H348" s="15"/>
      <c r="I348" s="15"/>
      <c r="J348" s="15"/>
      <c r="K348" s="15"/>
      <c r="L348" s="15"/>
      <c r="M348" s="15"/>
      <c r="N348" s="15"/>
      <c r="O348" s="15"/>
      <c r="P348" s="15"/>
      <c r="Q348" s="343"/>
      <c r="R348" s="2"/>
      <c r="S348" s="2"/>
      <c r="T348" s="2"/>
      <c r="U348" s="343"/>
      <c r="V348" s="343"/>
      <c r="W348" s="2"/>
      <c r="X348" s="2"/>
      <c r="Y348" s="2"/>
      <c r="Z348" s="2"/>
      <c r="AA348" s="2"/>
      <c r="AB348" s="2"/>
      <c r="AC348" s="2"/>
      <c r="AD348" s="2"/>
      <c r="AE348" s="2"/>
      <c r="AF348" s="2"/>
      <c r="AG348" s="2"/>
      <c r="AH348" s="2"/>
      <c r="AI348" s="2"/>
      <c r="AJ348" s="2"/>
      <c r="AK348" s="2"/>
      <c r="AL348" s="343"/>
    </row>
    <row r="349" spans="1:38" ht="15" customHeight="1" x14ac:dyDescent="0.25">
      <c r="A349" s="2"/>
      <c r="B349" s="19"/>
      <c r="C349" s="178"/>
      <c r="D349" s="2053" t="str">
        <f>Translations!$B$522</f>
        <v>Andra korrigeringsfaktorer</v>
      </c>
      <c r="E349" s="1963"/>
      <c r="F349" s="1963"/>
      <c r="G349" s="1963"/>
      <c r="H349" s="1963"/>
      <c r="I349" s="1963"/>
      <c r="J349" s="1963"/>
      <c r="K349" s="1963"/>
      <c r="L349" s="1963"/>
      <c r="M349" s="1963"/>
      <c r="N349" s="1963"/>
      <c r="O349" s="15"/>
      <c r="P349" s="15"/>
      <c r="Q349" s="2"/>
      <c r="R349" s="2"/>
      <c r="S349" s="2"/>
      <c r="T349" s="2"/>
      <c r="U349" s="343"/>
      <c r="V349" s="343"/>
      <c r="W349" s="2"/>
      <c r="X349" s="2"/>
      <c r="Y349" s="2"/>
      <c r="Z349" s="2"/>
      <c r="AA349" s="2"/>
      <c r="AB349" s="2"/>
      <c r="AC349" s="2"/>
      <c r="AD349" s="2"/>
      <c r="AE349" s="2"/>
      <c r="AF349" s="2"/>
      <c r="AG349" s="2"/>
      <c r="AH349" s="2"/>
      <c r="AI349" s="2"/>
      <c r="AJ349" s="2"/>
      <c r="AK349" s="2"/>
      <c r="AL349" s="2"/>
    </row>
    <row r="350" spans="1:38" ht="5.15" customHeight="1" x14ac:dyDescent="0.25">
      <c r="A350" s="2"/>
      <c r="B350" s="178"/>
      <c r="C350" s="178"/>
      <c r="D350" s="178"/>
      <c r="E350" s="178"/>
      <c r="F350" s="178"/>
      <c r="G350" s="178"/>
      <c r="H350" s="178"/>
      <c r="I350" s="178"/>
      <c r="J350" s="178"/>
      <c r="K350" s="178"/>
      <c r="L350" s="178"/>
      <c r="M350" s="178"/>
      <c r="N350" s="178"/>
      <c r="O350" s="15"/>
      <c r="P350" s="15"/>
      <c r="Q350" s="343"/>
      <c r="R350" s="2"/>
      <c r="S350" s="2"/>
      <c r="T350" s="2"/>
      <c r="U350" s="343"/>
      <c r="V350" s="343"/>
      <c r="W350" s="2"/>
      <c r="X350" s="2"/>
      <c r="Y350" s="2"/>
      <c r="Z350" s="2"/>
      <c r="AA350" s="2"/>
      <c r="AB350" s="2"/>
      <c r="AC350" s="2"/>
      <c r="AD350" s="2"/>
      <c r="AE350" s="2"/>
      <c r="AF350" s="2"/>
      <c r="AG350" s="2"/>
      <c r="AH350" s="2"/>
      <c r="AI350" s="2"/>
      <c r="AJ350" s="2"/>
      <c r="AK350" s="2"/>
      <c r="AL350" s="2"/>
    </row>
    <row r="351" spans="1:38" ht="12.75" customHeight="1" x14ac:dyDescent="0.25">
      <c r="A351" s="2"/>
      <c r="B351" s="19"/>
      <c r="C351" s="19"/>
      <c r="D351" s="13" t="s">
        <v>55</v>
      </c>
      <c r="E351" s="1943" t="str">
        <f>Translations!$B$523</f>
        <v>Utbytbarhet mellan bränsle och el:</v>
      </c>
      <c r="F351" s="1963"/>
      <c r="G351" s="1963"/>
      <c r="H351" s="1963"/>
      <c r="I351" s="2060"/>
      <c r="J351" s="2652" t="str">
        <f>IF(I315="","",IF(T351,EUconst_MsgEnterThisSection,HYPERLINK(R351,EUconst_MsgGoOn)))</f>
        <v/>
      </c>
      <c r="K351" s="2653"/>
      <c r="L351" s="2653"/>
      <c r="M351" s="2653"/>
      <c r="N351" s="2654"/>
      <c r="O351" s="15"/>
      <c r="P351" s="15"/>
      <c r="Q351" s="2" t="s">
        <v>484</v>
      </c>
      <c r="R351" s="294" t="str">
        <f>"#"&amp;ADDRESS(ROW(D379),COLUMN(D379))</f>
        <v>#$D$379</v>
      </c>
      <c r="S351" s="553" t="s">
        <v>1874</v>
      </c>
      <c r="T351" s="165" t="str">
        <f>IF(I315="","",INDEX(EUconst_BMlistElExchangability,MATCH(I315,EUconst_BMlistNames,0)))</f>
        <v/>
      </c>
      <c r="U351" s="343"/>
      <c r="V351" s="343"/>
      <c r="W351" s="2"/>
      <c r="X351" s="2"/>
      <c r="Y351" s="2"/>
      <c r="Z351" s="2"/>
      <c r="AA351" s="2"/>
      <c r="AB351" s="2"/>
      <c r="AC351" s="2"/>
      <c r="AD351" s="2"/>
      <c r="AE351" s="2"/>
      <c r="AF351" s="2"/>
      <c r="AG351" s="2"/>
      <c r="AH351" s="2"/>
      <c r="AI351" s="2"/>
      <c r="AJ351" s="2"/>
      <c r="AK351" s="2"/>
      <c r="AL351" s="2"/>
    </row>
    <row r="352" spans="1:38" ht="12.75" customHeight="1" x14ac:dyDescent="0.25">
      <c r="A352" s="2"/>
      <c r="B352" s="178"/>
      <c r="C352" s="178"/>
      <c r="D352" s="15"/>
      <c r="E352" s="2061" t="str">
        <f>Translations!$B$524</f>
        <v>Ett automatiskt meddelande kommer att visas här, i relevanta fall, där ni ombeds göra den inmatning som krävs för att utbytbarheten mellan bränsle och el (ElExch-F) ska kunna beaktas.</v>
      </c>
      <c r="F352" s="1963"/>
      <c r="G352" s="1963"/>
      <c r="H352" s="1963"/>
      <c r="I352" s="1963"/>
      <c r="J352" s="1963"/>
      <c r="K352" s="1963"/>
      <c r="L352" s="1963"/>
      <c r="M352" s="1963"/>
      <c r="N352" s="1963"/>
      <c r="O352" s="15"/>
      <c r="P352" s="15"/>
      <c r="Q352" s="2"/>
      <c r="R352" s="2"/>
      <c r="S352" s="2"/>
      <c r="T352" s="2"/>
      <c r="U352" s="343"/>
      <c r="V352" s="343"/>
      <c r="W352" s="2"/>
      <c r="X352" s="2"/>
      <c r="Y352" s="2"/>
      <c r="Z352" s="2"/>
      <c r="AA352" s="2"/>
      <c r="AB352" s="2"/>
      <c r="AC352" s="2"/>
      <c r="AD352" s="2"/>
      <c r="AE352" s="2"/>
      <c r="AF352" s="2"/>
      <c r="AG352" s="2"/>
      <c r="AH352" s="2"/>
      <c r="AI352" s="2"/>
      <c r="AJ352" s="2"/>
      <c r="AK352" s="2"/>
      <c r="AL352" s="2"/>
    </row>
    <row r="353" spans="1:38" ht="12.75" customHeight="1" x14ac:dyDescent="0.25">
      <c r="A353" s="2"/>
      <c r="B353" s="178"/>
      <c r="C353" s="178"/>
      <c r="D353" s="15"/>
      <c r="E353" s="2061" t="str">
        <f>Translations!$B$525</f>
        <v>Enligt artikel 22 i FAR krävs ”direkta utsläpp”, nettomängd ”importerad värme” och ”relevant elförbrukning”.</v>
      </c>
      <c r="F353" s="1963"/>
      <c r="G353" s="1963"/>
      <c r="H353" s="1963"/>
      <c r="I353" s="1963"/>
      <c r="J353" s="1963"/>
      <c r="K353" s="1963"/>
      <c r="L353" s="1963"/>
      <c r="M353" s="1963"/>
      <c r="N353" s="1963"/>
      <c r="O353" s="15"/>
      <c r="P353" s="15"/>
      <c r="Q353" s="343"/>
      <c r="R353" s="2"/>
      <c r="S353" s="2"/>
      <c r="T353" s="2"/>
      <c r="U353" s="343"/>
      <c r="V353" s="343"/>
      <c r="W353" s="343"/>
      <c r="X353" s="343"/>
      <c r="Y353" s="343"/>
      <c r="Z353" s="343"/>
      <c r="AA353" s="2"/>
      <c r="AB353" s="2"/>
      <c r="AC353" s="2"/>
      <c r="AD353" s="2"/>
      <c r="AE353" s="2"/>
      <c r="AF353" s="2"/>
      <c r="AG353" s="2"/>
      <c r="AH353" s="2"/>
      <c r="AI353" s="2"/>
      <c r="AJ353" s="2"/>
      <c r="AK353" s="2"/>
      <c r="AL353" s="2"/>
    </row>
    <row r="354" spans="1:38" ht="25.5" customHeight="1" x14ac:dyDescent="0.25">
      <c r="A354" s="2"/>
      <c r="B354" s="178"/>
      <c r="C354" s="178"/>
      <c r="D354" s="15"/>
      <c r="E354" s="2061" t="str">
        <f>Translations!$B$526</f>
        <v>De totala direkta utsläppen är i regel identiska med de värden som anges i punkt g nedan. Ytterligare korrigeringar kan dock behöva göras, framför allt vid användning av restgaser. Var god se vägledningen i punkt g nedan. Uppgifter om nettomängd importerad värme hämtas automatiskt från punkt k.i nedan.</v>
      </c>
      <c r="F354" s="1963"/>
      <c r="G354" s="1963"/>
      <c r="H354" s="1963"/>
      <c r="I354" s="1963"/>
      <c r="J354" s="1963"/>
      <c r="K354" s="1963"/>
      <c r="L354" s="1963"/>
      <c r="M354" s="1963"/>
      <c r="N354" s="1963"/>
      <c r="O354" s="15"/>
      <c r="P354" s="15"/>
      <c r="Q354" s="343"/>
      <c r="R354" s="2"/>
      <c r="S354" s="2"/>
      <c r="T354" s="2"/>
      <c r="U354" s="343"/>
      <c r="V354" s="343"/>
      <c r="W354" s="343"/>
      <c r="X354" s="343"/>
      <c r="Y354" s="343"/>
      <c r="Z354" s="343"/>
      <c r="AA354" s="2"/>
      <c r="AB354" s="2"/>
      <c r="AC354" s="2"/>
      <c r="AD354" s="2"/>
      <c r="AE354" s="2"/>
      <c r="AF354" s="2"/>
      <c r="AG354" s="2"/>
      <c r="AH354" s="2"/>
      <c r="AI354" s="2"/>
      <c r="AJ354" s="2"/>
      <c r="AK354" s="2"/>
      <c r="AL354" s="2"/>
    </row>
    <row r="355" spans="1:38" s="534" customFormat="1" ht="13.5" thickBot="1" x14ac:dyDescent="0.3">
      <c r="A355" s="343"/>
      <c r="B355" s="15"/>
      <c r="C355" s="15"/>
      <c r="D355" s="13"/>
      <c r="E355" s="914" t="str">
        <f>Translations!$B$527</f>
        <v>Parameter</v>
      </c>
      <c r="F355" s="913"/>
      <c r="G355" s="30" t="str">
        <f>EUconst_Unit</f>
        <v>Enhet</v>
      </c>
      <c r="H355" s="320">
        <f>H$3042</f>
        <v>2019</v>
      </c>
      <c r="I355" s="342">
        <f>I$3042</f>
        <v>2020</v>
      </c>
      <c r="J355" s="987">
        <f>J$112</f>
        <v>2021</v>
      </c>
      <c r="K355" s="1001">
        <f>K$112</f>
        <v>2022</v>
      </c>
      <c r="L355" s="320">
        <f>L$112</f>
        <v>2023</v>
      </c>
      <c r="M355" s="320">
        <f>M$112</f>
        <v>2024</v>
      </c>
      <c r="N355" s="320">
        <f>N$112</f>
        <v>2025</v>
      </c>
      <c r="O355" s="15"/>
      <c r="P355" s="15"/>
      <c r="Q355" s="343"/>
      <c r="R355" s="343"/>
      <c r="S355" s="2"/>
      <c r="T355" s="2"/>
      <c r="U355" s="343"/>
      <c r="V355" s="343"/>
      <c r="W355" s="343"/>
      <c r="X355" s="343"/>
      <c r="Y355" s="343"/>
      <c r="Z355" s="343"/>
      <c r="AA355" s="343"/>
      <c r="AB355" s="2"/>
      <c r="AC355" s="1044">
        <f t="shared" ref="AC355:AI355" si="147">H$20</f>
        <v>2019</v>
      </c>
      <c r="AD355" s="1044">
        <f t="shared" si="147"/>
        <v>2020</v>
      </c>
      <c r="AE355" s="1044">
        <f t="shared" si="147"/>
        <v>2021</v>
      </c>
      <c r="AF355" s="1044">
        <f t="shared" si="147"/>
        <v>2022</v>
      </c>
      <c r="AG355" s="1044">
        <f t="shared" si="147"/>
        <v>2023</v>
      </c>
      <c r="AH355" s="1044">
        <f t="shared" si="147"/>
        <v>2024</v>
      </c>
      <c r="AI355" s="1044">
        <f t="shared" si="147"/>
        <v>2025</v>
      </c>
      <c r="AJ355" s="2"/>
      <c r="AK355" s="2"/>
      <c r="AL355" s="2"/>
    </row>
    <row r="356" spans="1:38" s="534" customFormat="1" ht="13.5" customHeight="1" thickBot="1" x14ac:dyDescent="0.3">
      <c r="A356" s="343"/>
      <c r="B356" s="15"/>
      <c r="C356" s="15"/>
      <c r="D356" s="289" t="s">
        <v>8</v>
      </c>
      <c r="E356" s="925" t="str">
        <f>Translations!$B$528</f>
        <v>Direkta utsläpp</v>
      </c>
      <c r="F356" s="925"/>
      <c r="G356" s="456" t="str">
        <f>EUconst_tCO2pa</f>
        <v>t CO2 / år</v>
      </c>
      <c r="H356" s="614"/>
      <c r="I356" s="995"/>
      <c r="J356" s="1005"/>
      <c r="K356" s="615"/>
      <c r="L356" s="615"/>
      <c r="M356" s="614"/>
      <c r="N356" s="614"/>
      <c r="O356" s="15"/>
      <c r="P356" s="1362"/>
      <c r="Q356" s="343"/>
      <c r="R356" s="343"/>
      <c r="S356" s="2"/>
      <c r="T356" s="2"/>
      <c r="U356" s="343"/>
      <c r="V356" s="343"/>
      <c r="W356" s="343"/>
      <c r="X356" s="343"/>
      <c r="Y356" s="343"/>
      <c r="Z356" s="343"/>
      <c r="AA356" s="343"/>
      <c r="AB356" s="672" t="s">
        <v>782</v>
      </c>
      <c r="AC356" s="1766" t="b">
        <f t="shared" ref="AC356:AI356" si="148">IF(CNTR_ExistSubInstEntries,IF($I315="",TRUE,OR(H355&gt;=CNTR_ReportingYear,AC355&lt;$V315-1,INDEX(EUconst_BMlistElExchangability,MATCH($I315,EUconst_BMlistNames,0))=FALSE)),FALSE)</f>
        <v>0</v>
      </c>
      <c r="AD356" s="1052" t="b">
        <f t="shared" si="148"/>
        <v>0</v>
      </c>
      <c r="AE356" s="1052" t="b">
        <f t="shared" si="148"/>
        <v>0</v>
      </c>
      <c r="AF356" s="1052" t="b">
        <f t="shared" si="148"/>
        <v>0</v>
      </c>
      <c r="AG356" s="1052" t="b">
        <f t="shared" si="148"/>
        <v>0</v>
      </c>
      <c r="AH356" s="1052" t="b">
        <f t="shared" si="148"/>
        <v>0</v>
      </c>
      <c r="AI356" s="1053" t="b">
        <f t="shared" si="148"/>
        <v>0</v>
      </c>
      <c r="AJ356" s="553" t="s">
        <v>2248</v>
      </c>
      <c r="AK356" s="663" t="str">
        <f>IF(AND(CNTR_ExistSubInstEntries,COUNTIFS(AC356:AI356,FALSE,H356:N356,"")&gt;0),EUconst_Error&amp;"BM"&amp;$Q315,"")</f>
        <v/>
      </c>
      <c r="AL356" s="2"/>
    </row>
    <row r="357" spans="1:38" s="534" customFormat="1" ht="12.75" customHeight="1" x14ac:dyDescent="0.25">
      <c r="A357" s="343"/>
      <c r="B357" s="15"/>
      <c r="C357" s="15"/>
      <c r="D357" s="289" t="s">
        <v>9</v>
      </c>
      <c r="E357" s="923" t="str">
        <f>Translations!$B$529</f>
        <v>Nettomängd importerad värme</v>
      </c>
      <c r="F357" s="923"/>
      <c r="G357" s="459" t="str">
        <f>EUconst_TJpa</f>
        <v>TJ / år</v>
      </c>
      <c r="H357" s="460" t="str">
        <f t="shared" ref="H357:N357" si="149">IF(AND($I315&lt;&gt;"",H355&lt;CNTR_ReportingYear),IF(INDEX(EUconst_BMlistElExchangability,MATCH($I315,EUconst_BMlistNames,0)),SUM(H508),""),"")</f>
        <v/>
      </c>
      <c r="I357" s="996" t="str">
        <f t="shared" si="149"/>
        <v/>
      </c>
      <c r="J357" s="1006" t="str">
        <f t="shared" si="149"/>
        <v/>
      </c>
      <c r="K357" s="1002" t="str">
        <f t="shared" si="149"/>
        <v/>
      </c>
      <c r="L357" s="460" t="str">
        <f t="shared" si="149"/>
        <v/>
      </c>
      <c r="M357" s="460" t="str">
        <f t="shared" si="149"/>
        <v/>
      </c>
      <c r="N357" s="460" t="str">
        <f t="shared" si="149"/>
        <v/>
      </c>
      <c r="O357" s="15"/>
      <c r="P357" s="15"/>
      <c r="Q357" s="343"/>
      <c r="R357" s="343"/>
      <c r="S357" s="772"/>
      <c r="T357" s="609">
        <f t="shared" ref="T357:Z357" si="150">H355</f>
        <v>2019</v>
      </c>
      <c r="U357" s="609">
        <f t="shared" si="150"/>
        <v>2020</v>
      </c>
      <c r="V357" s="609">
        <f t="shared" si="150"/>
        <v>2021</v>
      </c>
      <c r="W357" s="609">
        <f t="shared" si="150"/>
        <v>2022</v>
      </c>
      <c r="X357" s="609">
        <f t="shared" si="150"/>
        <v>2023</v>
      </c>
      <c r="Y357" s="609">
        <f t="shared" si="150"/>
        <v>2024</v>
      </c>
      <c r="Z357" s="610">
        <f t="shared" si="150"/>
        <v>2025</v>
      </c>
      <c r="AA357" s="343"/>
      <c r="AB357" s="343"/>
      <c r="AC357" s="584"/>
      <c r="AD357" s="343"/>
      <c r="AE357" s="343"/>
      <c r="AF357" s="343"/>
      <c r="AG357" s="343"/>
      <c r="AH357" s="343"/>
      <c r="AI357" s="1328"/>
      <c r="AJ357" s="343"/>
      <c r="AK357" s="343"/>
      <c r="AL357" s="2"/>
    </row>
    <row r="358" spans="1:38" s="534" customFormat="1" ht="12.75" customHeight="1" thickBot="1" x14ac:dyDescent="0.3">
      <c r="A358" s="343"/>
      <c r="B358" s="15"/>
      <c r="C358" s="15"/>
      <c r="D358" s="289" t="s">
        <v>10</v>
      </c>
      <c r="E358" s="1778" t="str">
        <f>Translations!$B$530</f>
        <v>Relevant elförbrukning</v>
      </c>
      <c r="F358" s="1520"/>
      <c r="G358" s="473" t="str">
        <f>EUconst_MWhpa</f>
        <v>MWh / år</v>
      </c>
      <c r="H358" s="474"/>
      <c r="I358" s="997"/>
      <c r="J358" s="669"/>
      <c r="K358" s="1003"/>
      <c r="L358" s="474"/>
      <c r="M358" s="474"/>
      <c r="N358" s="474"/>
      <c r="O358" s="15"/>
      <c r="P358" s="1362"/>
      <c r="Q358" s="165" t="str">
        <f>EUconst_CNTR_HAL&amp;EUconst_CNTR_ELEXCH</f>
        <v>HAL_ELEXCH_</v>
      </c>
      <c r="R358" s="165" t="str">
        <f>EUconst_CNTR_HAL&amp;EUconst_CNTR_ELEXCH &amp; I315</f>
        <v>HAL_ELEXCH_</v>
      </c>
      <c r="S358" s="1888" t="str">
        <f>EUconst_CNTR_AttributedEmissions &amp; I315</f>
        <v>AttrEmissions_</v>
      </c>
      <c r="T358" s="1330" t="str">
        <f t="shared" ref="T358:Z358" si="151">IF(T323,SUM(H358)*EUconst_ElBM,"")</f>
        <v/>
      </c>
      <c r="U358" s="1330" t="str">
        <f t="shared" si="151"/>
        <v/>
      </c>
      <c r="V358" s="1330" t="str">
        <f t="shared" si="151"/>
        <v/>
      </c>
      <c r="W358" s="1330" t="str">
        <f t="shared" si="151"/>
        <v/>
      </c>
      <c r="X358" s="1330" t="str">
        <f t="shared" si="151"/>
        <v/>
      </c>
      <c r="Y358" s="1330" t="str">
        <f t="shared" si="151"/>
        <v/>
      </c>
      <c r="Z358" s="1331" t="str">
        <f t="shared" si="151"/>
        <v/>
      </c>
      <c r="AA358" s="343"/>
      <c r="AB358" s="343"/>
      <c r="AC358" s="1329" t="b">
        <f>AC356</f>
        <v>0</v>
      </c>
      <c r="AD358" s="1330" t="b">
        <f t="shared" ref="AD358:AI358" si="152">AD356</f>
        <v>0</v>
      </c>
      <c r="AE358" s="1330" t="b">
        <f t="shared" si="152"/>
        <v>0</v>
      </c>
      <c r="AF358" s="1330" t="b">
        <f t="shared" si="152"/>
        <v>0</v>
      </c>
      <c r="AG358" s="1330" t="b">
        <f t="shared" si="152"/>
        <v>0</v>
      </c>
      <c r="AH358" s="1330" t="b">
        <f t="shared" si="152"/>
        <v>0</v>
      </c>
      <c r="AI358" s="1331" t="b">
        <f t="shared" si="152"/>
        <v>0</v>
      </c>
      <c r="AJ358" s="553" t="s">
        <v>2248</v>
      </c>
      <c r="AK358" s="663" t="str">
        <f>IF(AND(CNTR_ExistSubInstEntries,COUNTIFS(AC358:AI358,FALSE,H358:N358,"")&gt;0),EUconst_Error&amp;"BM"&amp;$Q315,"")</f>
        <v/>
      </c>
      <c r="AL358" s="2"/>
    </row>
    <row r="359" spans="1:38" s="534" customFormat="1" ht="13.5" customHeight="1" x14ac:dyDescent="0.25">
      <c r="A359" s="343"/>
      <c r="B359" s="15"/>
      <c r="C359" s="15"/>
      <c r="D359" s="289" t="s">
        <v>23</v>
      </c>
      <c r="E359" s="925" t="str">
        <f>Translations!$B$531</f>
        <v>Totala direkta utsläpp</v>
      </c>
      <c r="F359" s="925"/>
      <c r="G359" s="456" t="str">
        <f>EUconst_tCO2pa</f>
        <v>t CO2 / år</v>
      </c>
      <c r="H359" s="457" t="str">
        <f t="shared" ref="H359:N359" si="153">IF(ISNUMBER(H356),H356+SUM(H357)*EUconst_HeatBMvalue,"")</f>
        <v/>
      </c>
      <c r="I359" s="998" t="str">
        <f t="shared" si="153"/>
        <v/>
      </c>
      <c r="J359" s="1007" t="str">
        <f t="shared" si="153"/>
        <v/>
      </c>
      <c r="K359" s="458" t="str">
        <f t="shared" si="153"/>
        <v/>
      </c>
      <c r="L359" s="458" t="str">
        <f t="shared" si="153"/>
        <v/>
      </c>
      <c r="M359" s="457" t="str">
        <f t="shared" si="153"/>
        <v/>
      </c>
      <c r="N359" s="457" t="str">
        <f t="shared" si="153"/>
        <v/>
      </c>
      <c r="O359" s="15"/>
      <c r="P359" s="15"/>
      <c r="Q359" s="343"/>
      <c r="R359" s="343"/>
      <c r="S359" s="2"/>
      <c r="T359" s="2"/>
      <c r="U359" s="343"/>
      <c r="V359" s="343"/>
      <c r="W359" s="343"/>
      <c r="X359" s="343"/>
      <c r="Y359" s="343"/>
      <c r="Z359" s="343"/>
      <c r="AA359" s="343"/>
      <c r="AB359" s="343"/>
      <c r="AC359" s="343"/>
      <c r="AD359" s="343"/>
      <c r="AE359" s="343"/>
      <c r="AF359" s="343"/>
      <c r="AG359" s="343"/>
      <c r="AH359" s="343"/>
      <c r="AI359" s="343"/>
      <c r="AJ359" s="343"/>
      <c r="AK359" s="343"/>
      <c r="AL359" s="2"/>
    </row>
    <row r="360" spans="1:38" s="534" customFormat="1" ht="13.5" customHeight="1" x14ac:dyDescent="0.25">
      <c r="A360" s="343"/>
      <c r="B360" s="15"/>
      <c r="C360" s="15"/>
      <c r="D360" s="289" t="s">
        <v>859</v>
      </c>
      <c r="E360" s="924" t="str">
        <f>Translations!$B$532</f>
        <v>Indirekta utsläpp</v>
      </c>
      <c r="F360" s="924"/>
      <c r="G360" s="461" t="str">
        <f>EUconst_tCO2pa</f>
        <v>t CO2 / år</v>
      </c>
      <c r="H360" s="462" t="str">
        <f t="shared" ref="H360:N360" si="154">IF(ISNUMBER(H358),H358*EUconst_ElBM,"")</f>
        <v/>
      </c>
      <c r="I360" s="999" t="str">
        <f t="shared" si="154"/>
        <v/>
      </c>
      <c r="J360" s="1008" t="str">
        <f t="shared" si="154"/>
        <v/>
      </c>
      <c r="K360" s="463" t="str">
        <f t="shared" si="154"/>
        <v/>
      </c>
      <c r="L360" s="463" t="str">
        <f t="shared" si="154"/>
        <v/>
      </c>
      <c r="M360" s="462" t="str">
        <f t="shared" si="154"/>
        <v/>
      </c>
      <c r="N360" s="462" t="str">
        <f t="shared" si="154"/>
        <v/>
      </c>
      <c r="O360" s="15"/>
      <c r="P360" s="15"/>
      <c r="Q360" s="343"/>
      <c r="R360" s="343"/>
      <c r="S360" s="2"/>
      <c r="T360" s="2"/>
      <c r="U360" s="343"/>
      <c r="V360" s="343"/>
      <c r="W360" s="343"/>
      <c r="X360" s="343"/>
      <c r="Y360" s="343"/>
      <c r="Z360" s="343"/>
      <c r="AA360" s="343"/>
      <c r="AB360" s="343"/>
      <c r="AC360" s="343"/>
      <c r="AD360" s="343"/>
      <c r="AE360" s="343"/>
      <c r="AF360" s="343"/>
      <c r="AG360" s="343"/>
      <c r="AH360" s="343"/>
      <c r="AI360" s="343"/>
      <c r="AJ360" s="343"/>
      <c r="AK360" s="343"/>
      <c r="AL360" s="2"/>
    </row>
    <row r="361" spans="1:38" ht="5.15" customHeight="1" x14ac:dyDescent="0.25">
      <c r="A361" s="2"/>
      <c r="B361" s="178"/>
      <c r="C361" s="178"/>
      <c r="D361" s="178"/>
      <c r="E361" s="178"/>
      <c r="F361" s="178"/>
      <c r="G361" s="178"/>
      <c r="H361" s="178"/>
      <c r="I361" s="178"/>
      <c r="J361" s="1009"/>
      <c r="K361" s="178"/>
      <c r="L361" s="178"/>
      <c r="M361" s="15"/>
      <c r="N361" s="15"/>
      <c r="O361" s="15"/>
      <c r="P361" s="15"/>
      <c r="Q361" s="343"/>
      <c r="R361" s="2"/>
      <c r="S361" s="2"/>
      <c r="T361" s="2"/>
      <c r="U361" s="343"/>
      <c r="V361" s="343"/>
      <c r="W361" s="343"/>
      <c r="X361" s="343"/>
      <c r="Y361" s="343"/>
      <c r="Z361" s="343"/>
      <c r="AA361" s="2"/>
      <c r="AB361" s="2"/>
      <c r="AC361" s="2"/>
      <c r="AD361" s="2"/>
      <c r="AE361" s="2"/>
      <c r="AF361" s="2"/>
      <c r="AG361" s="2"/>
      <c r="AH361" s="2"/>
      <c r="AI361" s="2"/>
      <c r="AJ361" s="2"/>
      <c r="AK361" s="2"/>
      <c r="AL361" s="2"/>
    </row>
    <row r="362" spans="1:38" ht="12.75" customHeight="1" x14ac:dyDescent="0.25">
      <c r="A362" s="2"/>
      <c r="B362" s="178"/>
      <c r="C362" s="178"/>
      <c r="D362" s="289" t="s">
        <v>860</v>
      </c>
      <c r="E362" s="514" t="s">
        <v>1526</v>
      </c>
      <c r="F362" s="929"/>
      <c r="G362" s="930" t="s">
        <v>1112</v>
      </c>
      <c r="H362" s="926" t="str">
        <f t="shared" ref="H362:N362" si="155">IF(COUNT(H359:H360)&gt;0,SUM(H359)/SUM(H359:H360),IF($T351=TRUE,IF(H355&gt;CNTR_ReportingYear,"",1),""))</f>
        <v/>
      </c>
      <c r="I362" s="1000" t="str">
        <f t="shared" si="155"/>
        <v/>
      </c>
      <c r="J362" s="1010" t="str">
        <f t="shared" si="155"/>
        <v/>
      </c>
      <c r="K362" s="1004" t="str">
        <f t="shared" si="155"/>
        <v/>
      </c>
      <c r="L362" s="926" t="str">
        <f t="shared" si="155"/>
        <v/>
      </c>
      <c r="M362" s="926" t="str">
        <f t="shared" si="155"/>
        <v/>
      </c>
      <c r="N362" s="926" t="str">
        <f t="shared" si="155"/>
        <v/>
      </c>
      <c r="O362" s="15"/>
      <c r="P362" s="15"/>
      <c r="Q362" s="165" t="str">
        <f>EUconst_CNTR_ELEXCH &amp; I315</f>
        <v>ELEXCH_</v>
      </c>
      <c r="R362" s="2"/>
      <c r="S362" s="2"/>
      <c r="T362" s="2"/>
      <c r="U362" s="2"/>
      <c r="V362" s="2"/>
      <c r="W362" s="2"/>
      <c r="X362" s="2"/>
      <c r="Y362" s="2"/>
      <c r="Z362" s="2"/>
      <c r="AA362" s="2"/>
      <c r="AB362" s="2"/>
      <c r="AC362" s="2"/>
      <c r="AD362" s="2"/>
      <c r="AE362" s="2"/>
      <c r="AF362" s="2"/>
      <c r="AG362" s="2"/>
      <c r="AH362" s="2"/>
      <c r="AI362" s="2"/>
      <c r="AJ362" s="2"/>
      <c r="AK362" s="2"/>
      <c r="AL362" s="2"/>
    </row>
    <row r="363" spans="1:38" ht="5.15" customHeight="1" x14ac:dyDescent="0.25">
      <c r="A363" s="2"/>
      <c r="B363" s="178"/>
      <c r="C363" s="178"/>
      <c r="D363" s="178"/>
      <c r="E363" s="178"/>
      <c r="F363" s="178"/>
      <c r="G363" s="178"/>
      <c r="H363" s="178"/>
      <c r="I363" s="178"/>
      <c r="J363" s="178"/>
      <c r="K363" s="178"/>
      <c r="L363" s="178"/>
      <c r="M363" s="15"/>
      <c r="N363" s="15"/>
      <c r="O363" s="15"/>
      <c r="P363" s="15"/>
      <c r="Q363" s="343"/>
      <c r="R363" s="2"/>
      <c r="S363" s="2"/>
      <c r="T363" s="2"/>
      <c r="U363" s="2"/>
      <c r="V363" s="2"/>
      <c r="W363" s="2"/>
      <c r="X363" s="2"/>
      <c r="Y363" s="2"/>
      <c r="Z363" s="2"/>
      <c r="AA363" s="2"/>
      <c r="AB363" s="2"/>
      <c r="AC363" s="2"/>
      <c r="AD363" s="2"/>
      <c r="AE363" s="2"/>
      <c r="AF363" s="2"/>
      <c r="AG363" s="2"/>
      <c r="AH363" s="2"/>
      <c r="AI363" s="2"/>
      <c r="AJ363" s="2"/>
      <c r="AK363" s="2"/>
      <c r="AL363" s="2"/>
    </row>
    <row r="364" spans="1:38" ht="25.5" customHeight="1" thickBot="1" x14ac:dyDescent="0.3">
      <c r="A364" s="2"/>
      <c r="B364" s="178"/>
      <c r="C364" s="178"/>
      <c r="D364" s="15"/>
      <c r="E364" s="2061" t="str">
        <f>Translations!$B$1479</f>
        <v>Baserat på uppgifterna ovan bestäms ett genomsnittligt årligt värde. Tilldelningen kommer endast att ändras om det relativa tröskelvärdet (15 % jämfört med värdet från de nationella genomförandeåtgärderna) och det absoluta tröskelvärdet (ändring leder till mer än 100 utsläppsrätter) överskrids, enligt artikel 6.4 i verksamhetsändringsförordningen.</v>
      </c>
      <c r="F364" s="1963"/>
      <c r="G364" s="1963"/>
      <c r="H364" s="1963"/>
      <c r="I364" s="1963"/>
      <c r="J364" s="1963"/>
      <c r="K364" s="1963"/>
      <c r="L364" s="1963"/>
      <c r="M364" s="1963"/>
      <c r="N364" s="1963"/>
      <c r="O364" s="15"/>
      <c r="P364" s="15"/>
      <c r="Q364" s="343"/>
      <c r="R364" s="2"/>
      <c r="S364" s="343"/>
      <c r="T364" s="343"/>
      <c r="U364" s="343"/>
      <c r="V364" s="2"/>
      <c r="W364" s="2"/>
      <c r="X364" s="2"/>
      <c r="Y364" s="2"/>
      <c r="Z364" s="2"/>
      <c r="AA364" s="2"/>
      <c r="AB364" s="2"/>
      <c r="AC364" s="2"/>
      <c r="AD364" s="2"/>
      <c r="AE364" s="2"/>
      <c r="AF364" s="2"/>
      <c r="AG364" s="2"/>
      <c r="AH364" s="2"/>
      <c r="AI364" s="2"/>
      <c r="AJ364" s="2"/>
      <c r="AK364" s="2"/>
      <c r="AL364" s="2"/>
    </row>
    <row r="365" spans="1:38" ht="5.15" customHeight="1" thickBot="1" x14ac:dyDescent="0.3">
      <c r="A365" s="2"/>
      <c r="B365" s="178"/>
      <c r="C365" s="178"/>
      <c r="D365" s="1238"/>
      <c r="E365" s="1266"/>
      <c r="F365" s="1266"/>
      <c r="G365" s="1266"/>
      <c r="H365" s="1266"/>
      <c r="I365" s="1266"/>
      <c r="J365" s="1266"/>
      <c r="K365" s="1266"/>
      <c r="L365" s="1266"/>
      <c r="M365" s="1266"/>
      <c r="N365" s="1267"/>
      <c r="O365" s="15"/>
      <c r="P365" s="15"/>
      <c r="Q365" s="343"/>
      <c r="R365" s="2"/>
      <c r="S365" s="343"/>
      <c r="T365" s="343"/>
      <c r="U365" s="343"/>
      <c r="V365" s="2"/>
      <c r="W365" s="2"/>
      <c r="X365" s="2"/>
      <c r="Y365" s="2"/>
      <c r="Z365" s="2"/>
      <c r="AA365" s="2"/>
      <c r="AB365" s="2"/>
      <c r="AC365" s="2"/>
      <c r="AD365" s="2"/>
      <c r="AE365" s="2"/>
      <c r="AF365" s="2"/>
      <c r="AG365" s="2"/>
      <c r="AH365" s="2"/>
      <c r="AI365" s="2"/>
      <c r="AJ365" s="2"/>
      <c r="AK365" s="2"/>
      <c r="AL365" s="2"/>
    </row>
    <row r="366" spans="1:38" ht="12.75" customHeight="1" x14ac:dyDescent="0.25">
      <c r="A366" s="2"/>
      <c r="B366" s="178"/>
      <c r="C366" s="178"/>
      <c r="D366" s="1290" t="s">
        <v>2191</v>
      </c>
      <c r="E366" s="1243" t="str">
        <f>Translations!$B$1480</f>
        <v>Justeringar: Elutbyte</v>
      </c>
      <c r="F366" s="1244"/>
      <c r="G366" s="1244"/>
      <c r="H366" s="1228" t="str">
        <f>EUconst_Unit</f>
        <v>Enhet</v>
      </c>
      <c r="I366" s="1229" t="str">
        <f>Translations!$B$1481</f>
        <v>Värde (NIMs)</v>
      </c>
      <c r="J366" s="1268">
        <f>J$3042</f>
        <v>2021</v>
      </c>
      <c r="K366" s="1230">
        <f>K$3042</f>
        <v>2022</v>
      </c>
      <c r="L366" s="1230">
        <f>L$3042</f>
        <v>2023</v>
      </c>
      <c r="M366" s="1230">
        <f>M$3042</f>
        <v>2024</v>
      </c>
      <c r="N366" s="1258">
        <f>N$3042</f>
        <v>2025</v>
      </c>
      <c r="O366" s="15"/>
      <c r="P366" s="15"/>
      <c r="Q366" s="343"/>
      <c r="R366" s="2"/>
      <c r="S366" s="2"/>
      <c r="T366" s="2"/>
      <c r="U366" s="772"/>
      <c r="V366" s="1077">
        <f>J366</f>
        <v>2021</v>
      </c>
      <c r="W366" s="1077">
        <f>K366</f>
        <v>2022</v>
      </c>
      <c r="X366" s="1077">
        <f>L366</f>
        <v>2023</v>
      </c>
      <c r="Y366" s="1077">
        <f>M366</f>
        <v>2024</v>
      </c>
      <c r="Z366" s="1078">
        <f>N366</f>
        <v>2025</v>
      </c>
      <c r="AA366" s="2"/>
      <c r="AB366" s="2"/>
      <c r="AC366" s="2"/>
      <c r="AD366" s="2"/>
      <c r="AE366" s="2"/>
      <c r="AF366" s="2"/>
      <c r="AG366" s="2"/>
      <c r="AH366" s="2"/>
      <c r="AI366" s="2"/>
      <c r="AJ366" s="2"/>
      <c r="AK366" s="2"/>
      <c r="AL366" s="343"/>
    </row>
    <row r="367" spans="1:38" ht="12.75" customHeight="1" x14ac:dyDescent="0.25">
      <c r="A367" s="2"/>
      <c r="B367" s="178"/>
      <c r="C367" s="178"/>
      <c r="D367" s="1246" t="s">
        <v>8</v>
      </c>
      <c r="E367" s="1231" t="str">
        <f>Translations!$B$1482</f>
        <v>Genomsnittligt årligt värde</v>
      </c>
      <c r="F367" s="1231"/>
      <c r="G367" s="1231"/>
      <c r="H367" s="1232" t="str">
        <f>G362</f>
        <v>-</v>
      </c>
      <c r="I367" s="1011" t="str">
        <f>IF($T351&lt;&gt;TRUE,"",INDEX('B+C_SubInstallations'!$L:$L,MATCH(Q367,'B+C_SubInstallations'!$W:$W,0)))</f>
        <v/>
      </c>
      <c r="J367" s="1012" t="str">
        <f>IF($T351&lt;&gt;TRUE,"",IF(AND(V367&gt;=3,CNTR_ReportingYear&gt;J366-1),AVERAGE(SUM(H362),SUM(I362)),""))</f>
        <v/>
      </c>
      <c r="K367" s="927" t="str">
        <f>IF($T351&lt;&gt;TRUE,"",IF(AND(W367&gt;=3,CNTR_ReportingYear&gt;K366-1),AVERAGE(SUM(I362),SUM(J362)),""))</f>
        <v/>
      </c>
      <c r="L367" s="927" t="str">
        <f>IF($T351&lt;&gt;TRUE,"",IF(AND(X367&gt;=3,CNTR_ReportingYear&gt;L366-1),AVERAGE(SUM(J362),SUM(K362)),""))</f>
        <v/>
      </c>
      <c r="M367" s="927" t="str">
        <f>IF($T351&lt;&gt;TRUE,"",IF(AND(Y367&gt;=3,CNTR_ReportingYear&gt;M366-1),AVERAGE(SUM(K362),SUM(L362)),""))</f>
        <v/>
      </c>
      <c r="N367" s="1222" t="str">
        <f>IF($T351&lt;&gt;TRUE,"",IF(AND(Z367&gt;=3,CNTR_ReportingYear&gt;N366-1),AVERAGE(SUM(L362),SUM(M362)),""))</f>
        <v/>
      </c>
      <c r="O367" s="15"/>
      <c r="P367" s="15"/>
      <c r="Q367" s="165" t="str">
        <f>EUconst_CNTR_HAL &amp; EUconst_CNTR_ELEXCHInitial &amp; I315</f>
        <v>HAL_ELEXCHIni_</v>
      </c>
      <c r="R367" s="2"/>
      <c r="S367" s="2"/>
      <c r="T367" s="2"/>
      <c r="U367" s="1079" t="s">
        <v>1850</v>
      </c>
      <c r="V367" s="663">
        <f>V337</f>
        <v>0</v>
      </c>
      <c r="W367" s="663">
        <f>W337</f>
        <v>0</v>
      </c>
      <c r="X367" s="663">
        <f>X337</f>
        <v>0</v>
      </c>
      <c r="Y367" s="663">
        <f>Y337</f>
        <v>0</v>
      </c>
      <c r="Z367" s="1080">
        <f>Z337</f>
        <v>0</v>
      </c>
      <c r="AA367" s="2"/>
      <c r="AB367" s="2"/>
      <c r="AC367" s="2"/>
      <c r="AD367" s="2"/>
      <c r="AE367" s="2"/>
      <c r="AF367" s="2"/>
      <c r="AG367" s="2"/>
      <c r="AH367" s="2"/>
      <c r="AI367" s="2"/>
      <c r="AJ367" s="2"/>
      <c r="AK367" s="2"/>
      <c r="AL367" s="343"/>
    </row>
    <row r="368" spans="1:38" ht="12.75" hidden="1" customHeight="1" x14ac:dyDescent="0.25">
      <c r="A368" s="343" t="s">
        <v>346</v>
      </c>
      <c r="B368" s="178"/>
      <c r="C368" s="178"/>
      <c r="D368" s="1246"/>
      <c r="E368" s="1231" t="s">
        <v>1980</v>
      </c>
      <c r="F368" s="1231"/>
      <c r="G368" s="1231"/>
      <c r="H368" s="1233"/>
      <c r="I368" s="1235"/>
      <c r="J368" s="1013" t="str">
        <f>IF(J367="","",IF($I370=0,IF(J367=0,0%,100%),J367/$I370-1))</f>
        <v/>
      </c>
      <c r="K368" s="938" t="str">
        <f>IF(K367="","",IF($I370=0,IF(K367=0,0%,100%),K367/$I370-1))</f>
        <v/>
      </c>
      <c r="L368" s="938" t="str">
        <f>IF(L367="","",IF($I370=0,IF(L367=0,0%,100%),L367/$I370-1))</f>
        <v/>
      </c>
      <c r="M368" s="938" t="str">
        <f>IF(M367="","",IF($I370=0,IF(M367=0,0%,100%),M367/$I370-1))</f>
        <v/>
      </c>
      <c r="N368" s="1223" t="str">
        <f>IF(N367="","",IF($I370=0,IF(N367=0,0%,100%),N367/$I370-1))</f>
        <v/>
      </c>
      <c r="O368" s="15"/>
      <c r="P368" s="15"/>
      <c r="Q368" s="165" t="str">
        <f>EUconst_CNTR_RelThreshold &amp; Q370</f>
        <v>RelThresh_HALprelim_ELEXCH_</v>
      </c>
      <c r="R368" s="2"/>
      <c r="S368" s="2"/>
      <c r="T368" s="2"/>
      <c r="U368" s="1079" t="s">
        <v>1855</v>
      </c>
      <c r="V368" s="603" t="str">
        <f>IF(J367="","",ABS(J368)&gt;15%)</f>
        <v/>
      </c>
      <c r="W368" s="603" t="str">
        <f>IF(K367="","",ABS(K368)&gt;15%)</f>
        <v/>
      </c>
      <c r="X368" s="603" t="str">
        <f>IF(L367="","",ABS(L368)&gt;15%)</f>
        <v/>
      </c>
      <c r="Y368" s="603" t="str">
        <f>IF(M367="","",ABS(M368)&gt;15%)</f>
        <v/>
      </c>
      <c r="Z368" s="1756" t="str">
        <f>IF(N367="","",ABS(N368)&gt;15%)</f>
        <v/>
      </c>
      <c r="AA368" s="2"/>
      <c r="AB368" s="2"/>
      <c r="AC368" s="2"/>
      <c r="AD368" s="2"/>
      <c r="AE368" s="2"/>
      <c r="AF368" s="2"/>
      <c r="AG368" s="2"/>
      <c r="AH368" s="2"/>
      <c r="AI368" s="2"/>
      <c r="AJ368" s="2"/>
      <c r="AK368" s="2"/>
      <c r="AL368" s="343"/>
    </row>
    <row r="369" spans="1:38" ht="12.75" customHeight="1" x14ac:dyDescent="0.25">
      <c r="A369" s="343"/>
      <c r="B369" s="178"/>
      <c r="C369" s="178"/>
      <c r="D369" s="1246" t="s">
        <v>9</v>
      </c>
      <c r="E369" s="1231" t="str">
        <f>Translations!$B$1474</f>
        <v>Preliminär justering (om relativa tröskelvärden överskrids)</v>
      </c>
      <c r="F369" s="1231"/>
      <c r="G369" s="1231"/>
      <c r="H369" s="1233"/>
      <c r="I369" s="1235"/>
      <c r="J369" s="992" t="str">
        <f>IF(J367="","",IF(V368=FALSE,0%,J368))</f>
        <v/>
      </c>
      <c r="K369" s="937" t="str">
        <f>IF(K367="","",IF(W368=FALSE,0%,K368))</f>
        <v/>
      </c>
      <c r="L369" s="937" t="str">
        <f>IF(L367="","",IF(X368=FALSE,0%,L368))</f>
        <v/>
      </c>
      <c r="M369" s="937" t="str">
        <f>IF(M367="","",IF(Y368=FALSE,0%,M368))</f>
        <v/>
      </c>
      <c r="N369" s="1220" t="str">
        <f>IF(N367="","",IF(Z368=FALSE,0%,N368))</f>
        <v/>
      </c>
      <c r="O369" s="15"/>
      <c r="P369" s="15"/>
      <c r="Q369" s="343"/>
      <c r="R369" s="2"/>
      <c r="S369" s="2"/>
      <c r="T369" s="2"/>
      <c r="U369" s="1081"/>
      <c r="V369" s="2"/>
      <c r="W369" s="2"/>
      <c r="X369" s="2"/>
      <c r="Y369" s="2"/>
      <c r="Z369" s="228"/>
      <c r="AA369" s="2"/>
      <c r="AB369" s="2"/>
      <c r="AC369" s="2"/>
      <c r="AD369" s="2"/>
      <c r="AE369" s="2"/>
      <c r="AF369" s="2"/>
      <c r="AG369" s="2"/>
      <c r="AH369" s="2"/>
      <c r="AI369" s="2"/>
      <c r="AJ369" s="2"/>
      <c r="AK369" s="2"/>
      <c r="AL369" s="343"/>
    </row>
    <row r="370" spans="1:38" ht="12.75" hidden="1" customHeight="1" x14ac:dyDescent="0.25">
      <c r="A370" s="343" t="s">
        <v>346</v>
      </c>
      <c r="B370" s="178"/>
      <c r="C370" s="178"/>
      <c r="D370" s="1246"/>
      <c r="E370" s="1231" t="s">
        <v>1889</v>
      </c>
      <c r="F370" s="1231"/>
      <c r="G370" s="1231"/>
      <c r="H370" s="1232" t="str">
        <f>H367</f>
        <v>-</v>
      </c>
      <c r="I370" s="1011" t="str">
        <f>IF($T351&lt;&gt;TRUE,"",IF(AB315=FALSE,EUconst_NA,IF(V315&gt;($J$3042-3),INDEX(H362:N362,MATCH(V315,H355:N355,0)),SUM(I367))))</f>
        <v/>
      </c>
      <c r="J370" s="1014" t="str">
        <f>IF(OR($I315="",$T351=FALSE),"",IF(V367&lt;2,SUM(J362),IF(V367&lt;3,SUM(I362),IF(V370="",I370,V370))))</f>
        <v/>
      </c>
      <c r="K370" s="928" t="str">
        <f>IF(OR($I315="",$T351=FALSE),"",IF(W367&lt;2,SUM(K362),IF(W367&lt;3,SUM(J362),IF(W370="",J370,W370))))</f>
        <v/>
      </c>
      <c r="L370" s="928" t="str">
        <f>IF(OR($I315="",$T351=FALSE),"",IF(X367&lt;2,SUM(L362),IF(X367&lt;3,SUM(K362),IF(X370="",K370,X370))))</f>
        <v/>
      </c>
      <c r="M370" s="928" t="str">
        <f>IF(OR($I315="",$T351=FALSE),"",IF(Y367&lt;2,SUM(M362),IF(Y367&lt;3,SUM(L362),IF(Y370="",L370,Y370))))</f>
        <v/>
      </c>
      <c r="N370" s="1224" t="str">
        <f>IF(OR($I315="",$T351=FALSE),"",IF(Z367&lt;2,SUM(N362),IF(Z367&lt;3,SUM(M362),IF(Z370="",M370,Z370))))</f>
        <v/>
      </c>
      <c r="O370" s="15"/>
      <c r="P370" s="15"/>
      <c r="Q370" s="165" t="str">
        <f>EUconst_CNTR_HALprelim&amp;EUconst_CNTR_ELEXCH &amp; I315</f>
        <v>HALprelim_ELEXCH_</v>
      </c>
      <c r="R370" s="2"/>
      <c r="S370" s="2"/>
      <c r="T370" s="2"/>
      <c r="U370" s="1079" t="s">
        <v>1898</v>
      </c>
      <c r="V370" s="1753" t="str">
        <f>IF(J367="","",IF(CNTR_ReportingYear&lt;J366,I369,IF($I370=0,J367,$I370*(1+J369))))</f>
        <v/>
      </c>
      <c r="W370" s="1753" t="str">
        <f>IF(K367="","",IF(CNTR_ReportingYear&lt;K366,J369,IF($I370=0,K367,$I370*(1+K369))))</f>
        <v/>
      </c>
      <c r="X370" s="1753" t="str">
        <f>IF(L367="","",IF(CNTR_ReportingYear&lt;L366,K369,IF($I370=0,L367,$I370*(1+L369))))</f>
        <v/>
      </c>
      <c r="Y370" s="1753" t="str">
        <f>IF(M367="","",IF(CNTR_ReportingYear&lt;M366,L369,IF($I370=0,M367,$I370*(1+M369))))</f>
        <v/>
      </c>
      <c r="Z370" s="1760" t="str">
        <f>IF(N367="","",IF(CNTR_ReportingYear&lt;N366,M369,IF($I370=0,N367,$I370*(1+N369))))</f>
        <v/>
      </c>
      <c r="AA370" s="2"/>
      <c r="AB370" s="2"/>
      <c r="AC370" s="2"/>
      <c r="AD370" s="2"/>
      <c r="AE370" s="2"/>
      <c r="AF370" s="2"/>
      <c r="AG370" s="2"/>
      <c r="AH370" s="2"/>
      <c r="AI370" s="2"/>
      <c r="AJ370" s="2"/>
      <c r="AK370" s="2"/>
      <c r="AL370" s="343"/>
    </row>
    <row r="371" spans="1:38" ht="5.15" customHeight="1" x14ac:dyDescent="0.25">
      <c r="A371" s="343"/>
      <c r="B371" s="178"/>
      <c r="C371" s="178"/>
      <c r="D371" s="1246"/>
      <c r="E371" s="1244"/>
      <c r="F371" s="1244"/>
      <c r="G371" s="1244"/>
      <c r="H371" s="1244"/>
      <c r="I371" s="1244"/>
      <c r="J371" s="1236"/>
      <c r="K371" s="1236"/>
      <c r="L371" s="1236"/>
      <c r="M371" s="1236"/>
      <c r="N371" s="1247"/>
      <c r="O371" s="15"/>
      <c r="P371" s="15"/>
      <c r="Q371" s="343"/>
      <c r="R371" s="2"/>
      <c r="S371" s="2"/>
      <c r="T371" s="2"/>
      <c r="U371" s="1086"/>
      <c r="V371" s="343"/>
      <c r="W371" s="2"/>
      <c r="X371" s="2"/>
      <c r="Y371" s="2"/>
      <c r="Z371" s="228"/>
      <c r="AA371" s="2"/>
      <c r="AB371" s="2"/>
      <c r="AC371" s="2"/>
      <c r="AD371" s="2"/>
      <c r="AE371" s="2"/>
      <c r="AF371" s="2"/>
      <c r="AG371" s="2"/>
      <c r="AH371" s="2"/>
      <c r="AI371" s="2"/>
      <c r="AJ371" s="2"/>
      <c r="AK371" s="2"/>
      <c r="AL371" s="343"/>
    </row>
    <row r="372" spans="1:38" ht="12.75" customHeight="1" x14ac:dyDescent="0.25">
      <c r="A372" s="343"/>
      <c r="B372" s="178"/>
      <c r="C372" s="178"/>
      <c r="D372" s="1246"/>
      <c r="E372" s="1234" t="str">
        <f>Translations!$B$1475</f>
        <v>Faktisk justering (grund för följande år)</v>
      </c>
      <c r="F372" s="1234"/>
      <c r="G372" s="1234"/>
      <c r="H372" s="1234"/>
      <c r="I372" s="1234"/>
      <c r="J372" s="1268">
        <f>J$3042</f>
        <v>2021</v>
      </c>
      <c r="K372" s="1230">
        <f>K$3042</f>
        <v>2022</v>
      </c>
      <c r="L372" s="1230">
        <f>L$3042</f>
        <v>2023</v>
      </c>
      <c r="M372" s="1230">
        <f>M$3042</f>
        <v>2024</v>
      </c>
      <c r="N372" s="1258">
        <f>N$3042</f>
        <v>2025</v>
      </c>
      <c r="O372" s="15"/>
      <c r="P372" s="15"/>
      <c r="Q372" s="343"/>
      <c r="R372" s="2"/>
      <c r="S372" s="2"/>
      <c r="T372" s="2"/>
      <c r="U372" s="584"/>
      <c r="V372" s="2"/>
      <c r="W372" s="2"/>
      <c r="X372" s="2"/>
      <c r="Y372" s="2"/>
      <c r="Z372" s="228"/>
      <c r="AA372" s="2"/>
      <c r="AB372" s="2"/>
      <c r="AC372" s="2"/>
      <c r="AD372" s="2"/>
      <c r="AE372" s="2"/>
      <c r="AF372" s="2"/>
      <c r="AG372" s="2"/>
      <c r="AH372" s="2"/>
      <c r="AI372" s="2"/>
      <c r="AJ372" s="2"/>
      <c r="AK372" s="2"/>
      <c r="AL372" s="343"/>
    </row>
    <row r="373" spans="1:38" ht="12.75" customHeight="1" x14ac:dyDescent="0.25">
      <c r="A373" s="343"/>
      <c r="B373" s="178"/>
      <c r="C373" s="178"/>
      <c r="D373" s="1246" t="s">
        <v>10</v>
      </c>
      <c r="E373" s="1231" t="str">
        <f>Translations!$B$1476</f>
        <v>&gt;= 100 utsläppsrätter kriterium uppnått?</v>
      </c>
      <c r="F373" s="1231"/>
      <c r="G373" s="1231"/>
      <c r="H373" s="1231"/>
      <c r="I373" s="1231"/>
      <c r="J373" s="994" t="str">
        <f>IF(OR($I315="",$T351=FALSE),"",INDEX(K_Summary!J:J,MATCH($Q373,K_Summary!$P:$P,0)))</f>
        <v/>
      </c>
      <c r="K373" s="912" t="str">
        <f>IF(OR($I315="",$T351=FALSE),"",INDEX(K_Summary!K:K,MATCH($Q373,K_Summary!$P:$P,0)))</f>
        <v/>
      </c>
      <c r="L373" s="912" t="str">
        <f>IF(OR($I315="",$T351=FALSE),"",INDEX(K_Summary!L:L,MATCH($Q373,K_Summary!$P:$P,0)))</f>
        <v/>
      </c>
      <c r="M373" s="912" t="str">
        <f>IF(OR($I315="",$T351=FALSE),"",INDEX(K_Summary!M:M,MATCH($Q373,K_Summary!$P:$P,0)))</f>
        <v/>
      </c>
      <c r="N373" s="1221" t="str">
        <f>IF(OR($I315="",$T351=FALSE),"",INDEX(K_Summary!N:N,MATCH($Q373,K_Summary!$P:$P,0)))</f>
        <v/>
      </c>
      <c r="O373" s="15"/>
      <c r="P373" s="15"/>
      <c r="Q373" s="165" t="str">
        <f>EUconst_CNTR_100EUA_ElExch&amp;I315</f>
        <v>EUA100ElExch_</v>
      </c>
      <c r="R373" s="2"/>
      <c r="S373" s="2"/>
      <c r="T373" s="2"/>
      <c r="U373" s="584"/>
      <c r="V373" s="2"/>
      <c r="W373" s="2"/>
      <c r="X373" s="2"/>
      <c r="Y373" s="2"/>
      <c r="Z373" s="228"/>
      <c r="AA373" s="2"/>
      <c r="AB373" s="2"/>
      <c r="AC373" s="2"/>
      <c r="AD373" s="2"/>
      <c r="AE373" s="2"/>
      <c r="AF373" s="2"/>
      <c r="AG373" s="2"/>
      <c r="AH373" s="2"/>
      <c r="AI373" s="2"/>
      <c r="AJ373" s="2"/>
      <c r="AK373" s="2"/>
      <c r="AL373" s="343"/>
    </row>
    <row r="374" spans="1:38" ht="5.15" customHeight="1" thickBot="1" x14ac:dyDescent="0.3">
      <c r="A374" s="343"/>
      <c r="B374" s="178"/>
      <c r="C374" s="178"/>
      <c r="D374" s="1246"/>
      <c r="E374" s="1244"/>
      <c r="F374" s="1244"/>
      <c r="G374" s="1244"/>
      <c r="H374" s="1244"/>
      <c r="I374" s="1244"/>
      <c r="J374" s="1244"/>
      <c r="K374" s="1244"/>
      <c r="L374" s="1244"/>
      <c r="M374" s="1244"/>
      <c r="N374" s="1248"/>
      <c r="O374" s="15"/>
      <c r="P374" s="15"/>
      <c r="Q374" s="343"/>
      <c r="R374" s="2"/>
      <c r="S374" s="2"/>
      <c r="T374" s="2"/>
      <c r="U374" s="1086"/>
      <c r="V374" s="343"/>
      <c r="W374" s="2"/>
      <c r="X374" s="2"/>
      <c r="Y374" s="2"/>
      <c r="Z374" s="228"/>
      <c r="AA374" s="2"/>
      <c r="AB374" s="2"/>
      <c r="AC374" s="2"/>
      <c r="AD374" s="2"/>
      <c r="AE374" s="2"/>
      <c r="AF374" s="2"/>
      <c r="AG374" s="2"/>
      <c r="AH374" s="2"/>
      <c r="AI374" s="2"/>
      <c r="AJ374" s="2"/>
      <c r="AK374" s="2"/>
      <c r="AL374" s="343"/>
    </row>
    <row r="375" spans="1:38" ht="12.75" customHeight="1" thickBot="1" x14ac:dyDescent="0.3">
      <c r="A375" s="2"/>
      <c r="B375" s="178"/>
      <c r="C375" s="178"/>
      <c r="D375" s="1246" t="s">
        <v>23</v>
      </c>
      <c r="E375" s="1231" t="str">
        <f>Translations!$B$1477</f>
        <v>Faktisk justering (om alla tröskelvärden överskrids)</v>
      </c>
      <c r="F375" s="1231"/>
      <c r="G375" s="1231"/>
      <c r="H375" s="1233"/>
      <c r="I375" s="1237"/>
      <c r="J375" s="1099" t="str">
        <f>IF(J373="","",IF(OR(J373,V367&lt;1),J369,I375))</f>
        <v/>
      </c>
      <c r="K375" s="1100" t="str">
        <f>IF(K373="","",IF(OR(K373,W367&lt;1),K369,J375))</f>
        <v/>
      </c>
      <c r="L375" s="1100" t="str">
        <f>IF(L373="","",IF(OR(L373,X367&lt;1),L369,K375))</f>
        <v/>
      </c>
      <c r="M375" s="1100" t="str">
        <f>IF(M373="","",IF(OR(M373,Y367&lt;1),M369,L375))</f>
        <v/>
      </c>
      <c r="N375" s="1101" t="str">
        <f>IF(N373="","",IF(OR(N373,Z367&lt;1),N369,M375))</f>
        <v/>
      </c>
      <c r="O375" s="15"/>
      <c r="P375" s="15"/>
      <c r="Q375" s="343"/>
      <c r="R375" s="2"/>
      <c r="S375" s="2"/>
      <c r="T375" s="2"/>
      <c r="U375" s="1086" t="s">
        <v>1858</v>
      </c>
      <c r="V375" s="1068">
        <f>J372</f>
        <v>2021</v>
      </c>
      <c r="W375" s="1068">
        <f>K372</f>
        <v>2022</v>
      </c>
      <c r="X375" s="1068">
        <f>L372</f>
        <v>2023</v>
      </c>
      <c r="Y375" s="1068">
        <f>M372</f>
        <v>2024</v>
      </c>
      <c r="Z375" s="1087">
        <f>N372</f>
        <v>2025</v>
      </c>
      <c r="AA375" s="2"/>
      <c r="AB375" s="2"/>
      <c r="AC375" s="2"/>
      <c r="AD375" s="2"/>
      <c r="AE375" s="2"/>
      <c r="AF375" s="2"/>
      <c r="AG375" s="2"/>
      <c r="AH375" s="2"/>
      <c r="AI375" s="2"/>
      <c r="AJ375" s="2"/>
      <c r="AK375" s="2"/>
      <c r="AL375" s="343"/>
    </row>
    <row r="376" spans="1:38" ht="12.75" customHeight="1" thickBot="1" x14ac:dyDescent="0.3">
      <c r="A376" s="343"/>
      <c r="B376" s="178"/>
      <c r="C376" s="178"/>
      <c r="D376" s="1246" t="s">
        <v>859</v>
      </c>
      <c r="E376" s="1231" t="str">
        <f>Translations!$B$1478</f>
        <v>Faktiskt värde</v>
      </c>
      <c r="F376" s="1231"/>
      <c r="G376" s="1231"/>
      <c r="H376" s="1232" t="str">
        <f>H367</f>
        <v>-</v>
      </c>
      <c r="I376" s="1011" t="str">
        <f>I370</f>
        <v/>
      </c>
      <c r="J376" s="1069" t="str">
        <f>IF(OR($I315="",$T351=FALSE),"",IF(OR($I376=0,$I376=EUconst_NA,J375="",J372&lt;=$V315),J370,$I376*(1+SUM(J375))))</f>
        <v/>
      </c>
      <c r="K376" s="1070" t="str">
        <f>IF(OR($I315="",$T351=FALSE),"",IF(OR($I376=0,$I376=EUconst_NA,K375="",K372&lt;=$V315),K370,$I376*(1+SUM(K375))))</f>
        <v/>
      </c>
      <c r="L376" s="1070" t="str">
        <f>IF(OR($I315="",$T351=FALSE),"",IF(OR($I376=0,$I376=EUconst_NA,L375="",L372&lt;=$V315),L370,$I376*(1+SUM(L375))))</f>
        <v/>
      </c>
      <c r="M376" s="1070" t="str">
        <f>IF(OR($I315="",$T351=FALSE),"",IF(OR($I376=0,$I376=EUconst_NA,M375="",M372&lt;=$V315),M370,$I376*(1+SUM(M375))))</f>
        <v/>
      </c>
      <c r="N376" s="1071" t="str">
        <f>IF(OR($I315="",$T351=FALSE),"",IF(OR($I376=0,$I376=EUconst_NA,N375="",N372&lt;=$V315),N370,$I376*(1+SUM(N375))))</f>
        <v/>
      </c>
      <c r="O376" s="15"/>
      <c r="P376" s="15"/>
      <c r="Q376" s="165" t="str">
        <f>EUconst_CNTR_HALfinal&amp;EUconst_CNTR_ELEXCH &amp; I315</f>
        <v>HALfinal_ELEXCH_</v>
      </c>
      <c r="R376" s="2"/>
      <c r="S376" s="2"/>
      <c r="T376" s="2"/>
      <c r="U376" s="1765" t="b">
        <v>0</v>
      </c>
      <c r="V376" s="1757" t="str">
        <f>IF(V323,IF(J373=TRUE,V368,U376),"")</f>
        <v/>
      </c>
      <c r="W376" s="1757" t="str">
        <f>IF(W323,IF(K373=TRUE,W368,V376),"")</f>
        <v/>
      </c>
      <c r="X376" s="1757" t="str">
        <f>IF(X323,IF(L373=TRUE,X368,W376),"")</f>
        <v/>
      </c>
      <c r="Y376" s="1757" t="str">
        <f>IF(Y323,IF(M373=TRUE,Y368,X376),"")</f>
        <v/>
      </c>
      <c r="Z376" s="1758" t="str">
        <f>IF(Z323,IF(N373=TRUE,Z368,Y376),"")</f>
        <v/>
      </c>
      <c r="AA376" s="2"/>
      <c r="AB376" s="2"/>
      <c r="AC376" s="2"/>
      <c r="AD376" s="2"/>
      <c r="AE376" s="2"/>
      <c r="AF376" s="2"/>
      <c r="AG376" s="2"/>
      <c r="AH376" s="2"/>
      <c r="AI376" s="2"/>
      <c r="AJ376" s="553" t="s">
        <v>2242</v>
      </c>
      <c r="AK376" s="108" t="str">
        <f>IF(OR(ISERROR(J376),ISERROR(K376),ISERROR(L376),ISERROR(M376),ISERROR(N376)),EUconst_Error &amp; "BM" &amp; Q315,"")</f>
        <v/>
      </c>
      <c r="AL376" s="343"/>
    </row>
    <row r="377" spans="1:38" ht="5.15" customHeight="1" thickBot="1" x14ac:dyDescent="0.3">
      <c r="A377" s="2"/>
      <c r="B377" s="178"/>
      <c r="C377" s="178"/>
      <c r="D377" s="1269"/>
      <c r="E377" s="1270"/>
      <c r="F377" s="1270"/>
      <c r="G377" s="1270"/>
      <c r="H377" s="1270"/>
      <c r="I377" s="1270"/>
      <c r="J377" s="1270"/>
      <c r="K377" s="1270"/>
      <c r="L377" s="1270"/>
      <c r="M377" s="1272"/>
      <c r="N377" s="1273"/>
      <c r="O377" s="15"/>
      <c r="P377" s="15"/>
      <c r="Q377" s="343"/>
      <c r="R377" s="2"/>
      <c r="S377" s="2"/>
      <c r="T377" s="2"/>
      <c r="U377" s="2"/>
      <c r="V377" s="2"/>
      <c r="W377" s="2"/>
      <c r="X377" s="2"/>
      <c r="Y377" s="2"/>
      <c r="Z377" s="2"/>
      <c r="AA377" s="2"/>
      <c r="AB377" s="2"/>
      <c r="AC377" s="2"/>
      <c r="AD377" s="2"/>
      <c r="AE377" s="2"/>
      <c r="AF377" s="2"/>
      <c r="AG377" s="2"/>
      <c r="AH377" s="2"/>
      <c r="AI377" s="2"/>
      <c r="AJ377" s="2"/>
      <c r="AK377" s="2"/>
      <c r="AL377" s="2"/>
    </row>
    <row r="378" spans="1:38" ht="5.15" customHeight="1" x14ac:dyDescent="0.25">
      <c r="A378" s="2"/>
      <c r="B378" s="178"/>
      <c r="C378" s="178"/>
      <c r="D378" s="178"/>
      <c r="E378" s="178"/>
      <c r="F378" s="178"/>
      <c r="G378" s="178"/>
      <c r="H378" s="178"/>
      <c r="I378" s="178"/>
      <c r="J378" s="178"/>
      <c r="K378" s="178"/>
      <c r="L378" s="178"/>
      <c r="M378" s="15"/>
      <c r="N378" s="15"/>
      <c r="O378" s="15"/>
      <c r="P378" s="15"/>
      <c r="Q378" s="343"/>
      <c r="R378" s="2"/>
      <c r="S378" s="2"/>
      <c r="T378" s="2"/>
      <c r="U378" s="2"/>
      <c r="V378" s="2"/>
      <c r="W378" s="2"/>
      <c r="X378" s="2"/>
      <c r="Y378" s="2"/>
      <c r="Z378" s="2"/>
      <c r="AA378" s="2"/>
      <c r="AB378" s="2"/>
      <c r="AC378" s="2"/>
      <c r="AD378" s="2"/>
      <c r="AE378" s="2"/>
      <c r="AF378" s="2"/>
      <c r="AG378" s="2"/>
      <c r="AH378" s="2"/>
      <c r="AI378" s="2"/>
      <c r="AJ378" s="2"/>
      <c r="AK378" s="2"/>
      <c r="AL378" s="2"/>
    </row>
    <row r="379" spans="1:38" ht="12.75" customHeight="1" x14ac:dyDescent="0.25">
      <c r="A379" s="2"/>
      <c r="B379" s="178"/>
      <c r="C379" s="178"/>
      <c r="D379" s="13" t="s">
        <v>960</v>
      </c>
      <c r="E379" s="1943" t="str">
        <f>Translations!$B$533</f>
        <v>Värme som importeras från anläggningar eller enheter utanför ETS:</v>
      </c>
      <c r="F379" s="1943"/>
      <c r="G379" s="1943"/>
      <c r="H379" s="1943"/>
      <c r="I379" s="2067"/>
      <c r="J379" s="2652" t="str">
        <f>IF(I315="","",HYPERLINK(R379,EUconst_MsgGoOnIfNotRelevant))</f>
        <v/>
      </c>
      <c r="K379" s="2653"/>
      <c r="L379" s="2653"/>
      <c r="M379" s="2653"/>
      <c r="N379" s="2654"/>
      <c r="O379" s="15"/>
      <c r="P379" s="15"/>
      <c r="Q379" s="2" t="s">
        <v>484</v>
      </c>
      <c r="R379" s="294" t="str">
        <f>"#"&amp;ADDRESS(ROW(D404),COLUMN(D404))</f>
        <v>#$D$404</v>
      </c>
      <c r="S379" s="2"/>
      <c r="T379" s="2"/>
      <c r="U379" s="2"/>
      <c r="V379" s="2"/>
      <c r="W379" s="2"/>
      <c r="X379" s="2"/>
      <c r="Y379" s="2"/>
      <c r="Z379" s="2"/>
      <c r="AA379" s="2"/>
      <c r="AB379" s="2"/>
      <c r="AC379" s="2"/>
      <c r="AD379" s="2"/>
      <c r="AE379" s="2"/>
      <c r="AF379" s="2"/>
      <c r="AG379" s="2"/>
      <c r="AH379" s="2"/>
      <c r="AI379" s="2"/>
      <c r="AJ379" s="2"/>
      <c r="AK379" s="2"/>
      <c r="AL379" s="2"/>
    </row>
    <row r="380" spans="1:38" ht="12.75" customHeight="1" x14ac:dyDescent="0.25">
      <c r="A380" s="2"/>
      <c r="B380" s="178"/>
      <c r="C380" s="178"/>
      <c r="D380" s="15"/>
      <c r="E380" s="2061" t="str">
        <f>Translations!$B$534</f>
        <v>Enligt artikel 21 i FAR måste en utsläppsmängd dras av från det preliminära årsantalet utsläppsrätter från delanläggningar med produktriktmärke.</v>
      </c>
      <c r="F380" s="1963"/>
      <c r="G380" s="1963"/>
      <c r="H380" s="1963"/>
      <c r="I380" s="1963"/>
      <c r="J380" s="1963"/>
      <c r="K380" s="1963"/>
      <c r="L380" s="1963"/>
      <c r="M380" s="1963"/>
      <c r="N380" s="1963"/>
      <c r="O380" s="15"/>
      <c r="P380" s="15"/>
      <c r="Q380" s="343"/>
      <c r="R380" s="2"/>
      <c r="S380" s="2"/>
      <c r="T380" s="2"/>
      <c r="U380" s="343"/>
      <c r="V380" s="343"/>
      <c r="W380" s="2"/>
      <c r="X380" s="2"/>
      <c r="Y380" s="2"/>
      <c r="Z380" s="2"/>
      <c r="AA380" s="2"/>
      <c r="AB380" s="2"/>
      <c r="AC380" s="2"/>
      <c r="AD380" s="2"/>
      <c r="AE380" s="2"/>
      <c r="AF380" s="2"/>
      <c r="AG380" s="2"/>
      <c r="AH380" s="2"/>
      <c r="AI380" s="2"/>
      <c r="AJ380" s="2"/>
      <c r="AK380" s="2"/>
      <c r="AL380" s="2"/>
    </row>
    <row r="381" spans="1:38" ht="12.75" customHeight="1" x14ac:dyDescent="0.25">
      <c r="A381" s="2"/>
      <c r="B381" s="178"/>
      <c r="C381" s="178"/>
      <c r="D381" s="15"/>
      <c r="E381" s="2061" t="str">
        <f>Translations!$B$535</f>
        <v>Detta är mängden mätbar värme som importeras från anläggningar utanför ETS (inklusive eventuell värme från delanläggningar för salpetersyra) eller enheter multiplicerat med värmeriktmärket.</v>
      </c>
      <c r="F381" s="1963"/>
      <c r="G381" s="1963"/>
      <c r="H381" s="1963"/>
      <c r="I381" s="1963"/>
      <c r="J381" s="1963"/>
      <c r="K381" s="1963"/>
      <c r="L381" s="1963"/>
      <c r="M381" s="1963"/>
      <c r="N381" s="1963"/>
      <c r="O381" s="15"/>
      <c r="P381" s="15"/>
      <c r="Q381" s="343"/>
      <c r="R381" s="2"/>
      <c r="S381" s="2"/>
      <c r="T381" s="2"/>
      <c r="U381" s="343"/>
      <c r="V381" s="343"/>
      <c r="W381" s="2"/>
      <c r="X381" s="2"/>
      <c r="Y381" s="2"/>
      <c r="Z381" s="2"/>
      <c r="AA381" s="2"/>
      <c r="AB381" s="2"/>
      <c r="AC381" s="2"/>
      <c r="AD381" s="2"/>
      <c r="AE381" s="2"/>
      <c r="AF381" s="2"/>
      <c r="AG381" s="2"/>
      <c r="AH381" s="2"/>
      <c r="AI381" s="2"/>
      <c r="AJ381" s="2"/>
      <c r="AK381" s="2"/>
      <c r="AL381" s="2"/>
    </row>
    <row r="382" spans="1:38" ht="12.75" customHeight="1" x14ac:dyDescent="0.25">
      <c r="A382" s="2"/>
      <c r="B382" s="178"/>
      <c r="C382" s="178"/>
      <c r="D382" s="15"/>
      <c r="E382" s="2061" t="str">
        <f>Translations!$B$536</f>
        <v>Var god ange relevanta värden här. Notera att värdena måste överensstämma med delsummorna för import från anläggningar och enheter utanför ETS enligt punkt E.II.c i bladet ”E_Energy flows”.</v>
      </c>
      <c r="F382" s="1963"/>
      <c r="G382" s="1963"/>
      <c r="H382" s="1963"/>
      <c r="I382" s="1963"/>
      <c r="J382" s="1963"/>
      <c r="K382" s="1963"/>
      <c r="L382" s="1963"/>
      <c r="M382" s="1963"/>
      <c r="N382" s="1963"/>
      <c r="O382" s="15"/>
      <c r="P382" s="15"/>
      <c r="Q382" s="343"/>
      <c r="R382" s="2"/>
      <c r="S382" s="2"/>
      <c r="T382" s="2"/>
      <c r="U382" s="343"/>
      <c r="V382" s="343"/>
      <c r="W382" s="2"/>
      <c r="X382" s="2"/>
      <c r="Y382" s="2"/>
      <c r="Z382" s="2"/>
      <c r="AA382" s="2"/>
      <c r="AB382" s="2"/>
      <c r="AC382" s="2"/>
      <c r="AD382" s="2"/>
      <c r="AE382" s="2"/>
      <c r="AF382" s="2"/>
      <c r="AG382" s="2"/>
      <c r="AH382" s="2"/>
      <c r="AI382" s="2"/>
      <c r="AJ382" s="2"/>
      <c r="AK382" s="2"/>
      <c r="AL382" s="2"/>
    </row>
    <row r="383" spans="1:38" ht="12.75" customHeight="1" x14ac:dyDescent="0.25">
      <c r="A383" s="2"/>
      <c r="B383" s="178"/>
      <c r="C383" s="178"/>
      <c r="D383" s="15"/>
      <c r="E383" s="2061" t="str">
        <f>Translations!$B$537</f>
        <v>Uppgifterna måste också överensstämma med den totala mätbara nettovärme som importeras, vilken anges i punkt k.i nedan.</v>
      </c>
      <c r="F383" s="1963"/>
      <c r="G383" s="1963"/>
      <c r="H383" s="1963"/>
      <c r="I383" s="1963"/>
      <c r="J383" s="1963"/>
      <c r="K383" s="1963"/>
      <c r="L383" s="1963"/>
      <c r="M383" s="1963"/>
      <c r="N383" s="1963"/>
      <c r="O383" s="15"/>
      <c r="P383" s="15"/>
      <c r="Q383" s="343"/>
      <c r="R383" s="2"/>
      <c r="S383" s="2"/>
      <c r="T383" s="2"/>
      <c r="U383" s="343"/>
      <c r="V383" s="343"/>
      <c r="W383" s="343"/>
      <c r="X383" s="343"/>
      <c r="Y383" s="343"/>
      <c r="Z383" s="343"/>
      <c r="AA383" s="2"/>
      <c r="AB383" s="2"/>
      <c r="AC383" s="2"/>
      <c r="AD383" s="2"/>
      <c r="AE383" s="2"/>
      <c r="AF383" s="2"/>
      <c r="AG383" s="2"/>
      <c r="AH383" s="2"/>
      <c r="AI383" s="2"/>
      <c r="AJ383" s="2"/>
      <c r="AK383" s="2"/>
      <c r="AL383" s="2"/>
    </row>
    <row r="384" spans="1:38" ht="13.5" thickBot="1" x14ac:dyDescent="0.3">
      <c r="A384" s="2"/>
      <c r="B384" s="19"/>
      <c r="C384" s="19"/>
      <c r="D384" s="13"/>
      <c r="E384" s="914" t="str">
        <f>Translations!$B$527</f>
        <v>Parameter</v>
      </c>
      <c r="F384" s="913"/>
      <c r="G384" s="30" t="str">
        <f>EUconst_Unit</f>
        <v>Enhet</v>
      </c>
      <c r="H384" s="320">
        <f>H$3042</f>
        <v>2019</v>
      </c>
      <c r="I384" s="342">
        <f>I$3042</f>
        <v>2020</v>
      </c>
      <c r="J384" s="987">
        <f>J$112</f>
        <v>2021</v>
      </c>
      <c r="K384" s="320">
        <f>K$112</f>
        <v>2022</v>
      </c>
      <c r="L384" s="320">
        <f>L$112</f>
        <v>2023</v>
      </c>
      <c r="M384" s="320">
        <f>M$112</f>
        <v>2024</v>
      </c>
      <c r="N384" s="320">
        <f>N$112</f>
        <v>2025</v>
      </c>
      <c r="O384" s="15"/>
      <c r="P384" s="15"/>
      <c r="Q384" s="2"/>
      <c r="R384" s="40"/>
      <c r="S384" s="553" t="s">
        <v>2072</v>
      </c>
      <c r="T384" s="1044">
        <f t="shared" ref="T384:Z384" si="156">H384</f>
        <v>2019</v>
      </c>
      <c r="U384" s="1044">
        <f t="shared" si="156"/>
        <v>2020</v>
      </c>
      <c r="V384" s="1044">
        <f t="shared" si="156"/>
        <v>2021</v>
      </c>
      <c r="W384" s="1044">
        <f t="shared" si="156"/>
        <v>2022</v>
      </c>
      <c r="X384" s="1044">
        <f t="shared" si="156"/>
        <v>2023</v>
      </c>
      <c r="Y384" s="1044">
        <f t="shared" si="156"/>
        <v>2024</v>
      </c>
      <c r="Z384" s="1044">
        <f t="shared" si="156"/>
        <v>2025</v>
      </c>
      <c r="AA384" s="40"/>
      <c r="AB384" s="2"/>
      <c r="AC384" s="1044">
        <f t="shared" ref="AC384:AI384" si="157">H$20</f>
        <v>2019</v>
      </c>
      <c r="AD384" s="1044">
        <f t="shared" si="157"/>
        <v>2020</v>
      </c>
      <c r="AE384" s="1044">
        <f t="shared" si="157"/>
        <v>2021</v>
      </c>
      <c r="AF384" s="1044">
        <f t="shared" si="157"/>
        <v>2022</v>
      </c>
      <c r="AG384" s="1044">
        <f t="shared" si="157"/>
        <v>2023</v>
      </c>
      <c r="AH384" s="1044">
        <f t="shared" si="157"/>
        <v>2024</v>
      </c>
      <c r="AI384" s="1044">
        <f t="shared" si="157"/>
        <v>2025</v>
      </c>
      <c r="AJ384" s="2"/>
      <c r="AK384" s="2"/>
      <c r="AL384" s="2"/>
    </row>
    <row r="385" spans="1:38" ht="13" customHeight="1" thickBot="1" x14ac:dyDescent="0.3">
      <c r="A385" s="2"/>
      <c r="B385" s="19"/>
      <c r="C385" s="19"/>
      <c r="D385" s="175" t="s">
        <v>8</v>
      </c>
      <c r="E385" s="915" t="str">
        <f>Translations!$B$538</f>
        <v>Mätbar värme som importeras från anläggningar utanför ETS:</v>
      </c>
      <c r="F385" s="915"/>
      <c r="G385" s="43" t="str">
        <f>EUconst_TJpa</f>
        <v>TJ / år</v>
      </c>
      <c r="H385" s="260"/>
      <c r="I385" s="670"/>
      <c r="J385" s="671"/>
      <c r="K385" s="260"/>
      <c r="L385" s="260"/>
      <c r="M385" s="260"/>
      <c r="N385" s="260"/>
      <c r="O385" s="15"/>
      <c r="P385" s="1362"/>
      <c r="Q385" s="108" t="str">
        <f>EUconst_CNTR_HAL&amp;EUconst_CNTR_nonETSMeasHeat</f>
        <v>HAL_mätbar värme utanför ETS</v>
      </c>
      <c r="R385" s="2"/>
      <c r="S385" s="553"/>
      <c r="T385" s="1551" t="str">
        <f t="shared" ref="T385:Z385" si="158">IF(H385="","",SUM(H385)*EUconst_HeatBMvalue)</f>
        <v/>
      </c>
      <c r="U385" s="1551" t="str">
        <f t="shared" si="158"/>
        <v/>
      </c>
      <c r="V385" s="1551" t="str">
        <f t="shared" si="158"/>
        <v/>
      </c>
      <c r="W385" s="1551" t="str">
        <f t="shared" si="158"/>
        <v/>
      </c>
      <c r="X385" s="1551" t="str">
        <f t="shared" si="158"/>
        <v/>
      </c>
      <c r="Y385" s="1551" t="str">
        <f t="shared" si="158"/>
        <v/>
      </c>
      <c r="Z385" s="1551" t="str">
        <f t="shared" si="158"/>
        <v/>
      </c>
      <c r="AA385" s="2"/>
      <c r="AB385" s="672" t="s">
        <v>782</v>
      </c>
      <c r="AC385" s="1755" t="b">
        <f t="shared" ref="AC385:AI385" si="159">IF(CNTR_ExistSubInstEntries,OR($I315="",H322&gt;=CNTR_ReportingYear,AC384&lt;$V315-1),FALSE)</f>
        <v>0</v>
      </c>
      <c r="AD385" s="1042" t="b">
        <f t="shared" si="159"/>
        <v>0</v>
      </c>
      <c r="AE385" s="1042" t="b">
        <f t="shared" si="159"/>
        <v>0</v>
      </c>
      <c r="AF385" s="1042" t="b">
        <f t="shared" si="159"/>
        <v>0</v>
      </c>
      <c r="AG385" s="1042" t="b">
        <f t="shared" si="159"/>
        <v>0</v>
      </c>
      <c r="AH385" s="1042" t="b">
        <f t="shared" si="159"/>
        <v>0</v>
      </c>
      <c r="AI385" s="1043" t="b">
        <f t="shared" si="159"/>
        <v>0</v>
      </c>
      <c r="AJ385" s="553" t="s">
        <v>2248</v>
      </c>
      <c r="AK385" s="663" t="str">
        <f>IF(AND(CNTR_ExistSubInstEntries,COUNTIFS(AC385:AI385,FALSE,H385:N385,"")&gt;0),EUconst_Error&amp;"BM"&amp;$Q315,"")</f>
        <v/>
      </c>
      <c r="AL385" s="2"/>
    </row>
    <row r="386" spans="1:38" ht="25.5" customHeight="1" x14ac:dyDescent="0.25">
      <c r="A386" s="2"/>
      <c r="B386" s="19"/>
      <c r="C386" s="19"/>
      <c r="D386" s="175" t="s">
        <v>9</v>
      </c>
      <c r="E386" s="916" t="str">
        <f>Translations!$B$539</f>
        <v>Konsekvenskontroll mot blad ”E_Energy flows”:</v>
      </c>
      <c r="F386" s="916"/>
      <c r="G386" s="549" t="s">
        <v>1113</v>
      </c>
      <c r="H386" s="247" t="str">
        <f>IF(AND(ISNUMBER(H385),ISNUMBER(E_EnergyFlows!H$114)), H385/E_EnergyFlows!H$114*100,"")</f>
        <v/>
      </c>
      <c r="I386" s="1015" t="str">
        <f>IF(AND(ISNUMBER(I385),ISNUMBER(E_EnergyFlows!I$114)), I385/E_EnergyFlows!I$114*100,"")</f>
        <v/>
      </c>
      <c r="J386" s="1017" t="str">
        <f>IF(AND(ISNUMBER(J385),ISNUMBER(E_EnergyFlows!J$114)), J385/E_EnergyFlows!J$114*100,"")</f>
        <v/>
      </c>
      <c r="K386" s="247" t="str">
        <f>IF(AND(ISNUMBER(K385),ISNUMBER(E_EnergyFlows!K$114)), K385/E_EnergyFlows!K$114*100,"")</f>
        <v/>
      </c>
      <c r="L386" s="247" t="str">
        <f>IF(AND(ISNUMBER(L385),ISNUMBER(E_EnergyFlows!L$114)), L385/E_EnergyFlows!L$114*100,"")</f>
        <v/>
      </c>
      <c r="M386" s="247" t="str">
        <f>IF(AND(ISNUMBER(M385),ISNUMBER(E_EnergyFlows!M$114)), M385/E_EnergyFlows!M$114*100,"")</f>
        <v/>
      </c>
      <c r="N386" s="247" t="str">
        <f>IF(AND(ISNUMBER(N385),ISNUMBER(E_EnergyFlows!N$114)), N385/E_EnergyFlows!N$114*100,"")</f>
        <v/>
      </c>
      <c r="O386" s="15"/>
      <c r="P386" s="15"/>
      <c r="Q386" s="152" t="str">
        <f>EUconst_CNTR_HEAT &amp; I315</f>
        <v>HEAT_</v>
      </c>
      <c r="R386" s="343"/>
      <c r="S386" s="2"/>
      <c r="T386" s="2"/>
      <c r="U386" s="343"/>
      <c r="V386" s="343"/>
      <c r="W386" s="2"/>
      <c r="X386" s="2"/>
      <c r="Y386" s="2"/>
      <c r="Z386" s="2"/>
      <c r="AA386" s="2"/>
      <c r="AB386" s="2"/>
      <c r="AC386" s="2"/>
      <c r="AD386" s="2"/>
      <c r="AE386" s="2"/>
      <c r="AF386" s="2"/>
      <c r="AG386" s="2"/>
      <c r="AH386" s="2"/>
      <c r="AI386" s="2"/>
      <c r="AJ386" s="2"/>
      <c r="AK386" s="2"/>
      <c r="AL386" s="2"/>
    </row>
    <row r="387" spans="1:38" ht="12.65" customHeight="1" x14ac:dyDescent="0.25">
      <c r="A387" s="2"/>
      <c r="B387" s="19"/>
      <c r="C387" s="19"/>
      <c r="D387" s="175" t="s">
        <v>10</v>
      </c>
      <c r="E387" s="1783" t="str">
        <f>Translations!$B$540</f>
        <v>Konsekvenskontroll mot punkt k.i:</v>
      </c>
      <c r="F387" s="1035"/>
      <c r="G387" s="919" t="s">
        <v>1113</v>
      </c>
      <c r="H387" s="246" t="str">
        <f t="shared" ref="H387:N387" si="160">IF(AND(H508&gt;0,ISNUMBER(H385)), H385/H508*100,"")</f>
        <v/>
      </c>
      <c r="I387" s="1016" t="str">
        <f t="shared" si="160"/>
        <v/>
      </c>
      <c r="J387" s="1018" t="str">
        <f t="shared" si="160"/>
        <v/>
      </c>
      <c r="K387" s="246" t="str">
        <f t="shared" si="160"/>
        <v/>
      </c>
      <c r="L387" s="246" t="str">
        <f t="shared" si="160"/>
        <v/>
      </c>
      <c r="M387" s="246" t="str">
        <f t="shared" si="160"/>
        <v/>
      </c>
      <c r="N387" s="246" t="str">
        <f t="shared" si="160"/>
        <v/>
      </c>
      <c r="O387" s="15"/>
      <c r="P387" s="15"/>
      <c r="Q387" s="2"/>
      <c r="R387" s="2"/>
      <c r="S387" s="2"/>
      <c r="T387" s="2"/>
      <c r="U387" s="343"/>
      <c r="V387" s="343"/>
      <c r="W387" s="2"/>
      <c r="X387" s="2"/>
      <c r="Y387" s="2"/>
      <c r="Z387" s="2"/>
      <c r="AA387" s="2"/>
      <c r="AB387" s="2"/>
      <c r="AC387" s="2"/>
      <c r="AD387" s="2"/>
      <c r="AE387" s="2"/>
      <c r="AF387" s="2"/>
      <c r="AG387" s="2"/>
      <c r="AH387" s="2"/>
      <c r="AI387" s="2"/>
      <c r="AJ387" s="2"/>
      <c r="AK387" s="2"/>
      <c r="AL387" s="2"/>
    </row>
    <row r="388" spans="1:38" ht="5.15" customHeight="1" x14ac:dyDescent="0.25">
      <c r="A388" s="2"/>
      <c r="B388" s="19"/>
      <c r="C388" s="19"/>
      <c r="D388" s="19"/>
      <c r="E388" s="19"/>
      <c r="F388" s="19"/>
      <c r="G388" s="19"/>
      <c r="H388" s="19"/>
      <c r="I388" s="99"/>
      <c r="J388" s="19"/>
      <c r="K388" s="19"/>
      <c r="L388" s="19"/>
      <c r="M388" s="19"/>
      <c r="N388" s="19"/>
      <c r="O388" s="15"/>
      <c r="P388" s="15"/>
      <c r="Q388" s="130"/>
      <c r="R388" s="2"/>
      <c r="S388" s="2"/>
      <c r="T388" s="2"/>
      <c r="U388" s="343"/>
      <c r="V388" s="343"/>
      <c r="W388" s="2"/>
      <c r="X388" s="2"/>
      <c r="Y388" s="2"/>
      <c r="Z388" s="2"/>
      <c r="AA388" s="2"/>
      <c r="AB388" s="2"/>
      <c r="AC388" s="2"/>
      <c r="AD388" s="2"/>
      <c r="AE388" s="2"/>
      <c r="AF388" s="2"/>
      <c r="AG388" s="2"/>
      <c r="AH388" s="2"/>
      <c r="AI388" s="2"/>
      <c r="AJ388" s="2"/>
      <c r="AK388" s="2"/>
      <c r="AL388" s="2"/>
    </row>
    <row r="389" spans="1:38" ht="25.5" customHeight="1" thickBot="1" x14ac:dyDescent="0.3">
      <c r="A389" s="2"/>
      <c r="B389" s="178"/>
      <c r="C389" s="178"/>
      <c r="D389" s="15"/>
      <c r="E389" s="2061" t="str">
        <f>Translations!$B$1479</f>
        <v>Baserat på uppgifterna ovan bestäms ett genomsnittligt årligt värde. Tilldelningen kommer endast att ändras om det relativa tröskelvärdet (15 % jämfört med värdet från de nationella genomförandeåtgärderna) och det absoluta tröskelvärdet (ändring leder till mer än 100 utsläppsrätter) överskrids, enligt artikel 6.4 i verksamhetsändringsförordningen.</v>
      </c>
      <c r="F389" s="1963"/>
      <c r="G389" s="1963"/>
      <c r="H389" s="1963"/>
      <c r="I389" s="1963"/>
      <c r="J389" s="1963"/>
      <c r="K389" s="1963"/>
      <c r="L389" s="1963"/>
      <c r="M389" s="1963"/>
      <c r="N389" s="1963"/>
      <c r="O389" s="15"/>
      <c r="P389" s="15"/>
      <c r="Q389" s="343"/>
      <c r="R389" s="2"/>
      <c r="S389" s="343"/>
      <c r="T389" s="343"/>
      <c r="U389" s="343"/>
      <c r="V389" s="2"/>
      <c r="W389" s="2"/>
      <c r="X389" s="2"/>
      <c r="Y389" s="2"/>
      <c r="Z389" s="2"/>
      <c r="AA389" s="2"/>
      <c r="AB389" s="2"/>
      <c r="AC389" s="2"/>
      <c r="AD389" s="2"/>
      <c r="AE389" s="2"/>
      <c r="AF389" s="2"/>
      <c r="AG389" s="2"/>
      <c r="AH389" s="2"/>
      <c r="AI389" s="2"/>
      <c r="AJ389" s="2"/>
      <c r="AK389" s="2"/>
      <c r="AL389" s="2"/>
    </row>
    <row r="390" spans="1:38" ht="5.15" customHeight="1" thickBot="1" x14ac:dyDescent="0.3">
      <c r="A390" s="2"/>
      <c r="B390" s="178"/>
      <c r="C390" s="178"/>
      <c r="D390" s="1238"/>
      <c r="E390" s="1239"/>
      <c r="F390" s="1240"/>
      <c r="G390" s="1240"/>
      <c r="H390" s="1240"/>
      <c r="I390" s="1240"/>
      <c r="J390" s="1240"/>
      <c r="K390" s="1240"/>
      <c r="L390" s="1240"/>
      <c r="M390" s="1240"/>
      <c r="N390" s="1241"/>
      <c r="O390" s="15"/>
      <c r="P390" s="15"/>
      <c r="Q390" s="343"/>
      <c r="R390" s="2"/>
      <c r="S390" s="343"/>
      <c r="T390" s="343"/>
      <c r="U390" s="343"/>
      <c r="V390" s="2"/>
      <c r="W390" s="2"/>
      <c r="X390" s="2"/>
      <c r="Y390" s="2"/>
      <c r="Z390" s="2"/>
      <c r="AA390" s="2"/>
      <c r="AB390" s="2"/>
      <c r="AC390" s="2"/>
      <c r="AD390" s="2"/>
      <c r="AE390" s="2"/>
      <c r="AF390" s="2"/>
      <c r="AG390" s="2"/>
      <c r="AH390" s="2"/>
      <c r="AI390" s="2"/>
      <c r="AJ390" s="2"/>
      <c r="AK390" s="2"/>
      <c r="AL390" s="2"/>
    </row>
    <row r="391" spans="1:38" ht="12.75" customHeight="1" x14ac:dyDescent="0.25">
      <c r="A391" s="2"/>
      <c r="B391" s="178"/>
      <c r="C391" s="178"/>
      <c r="D391" s="1290" t="s">
        <v>2192</v>
      </c>
      <c r="E391" s="1243" t="str">
        <f>Translations!$B$1483</f>
        <v>Justeringar: Värme från icke-ETS</v>
      </c>
      <c r="F391" s="1244"/>
      <c r="G391" s="1244"/>
      <c r="H391" s="1228" t="str">
        <f>EUconst_Unit</f>
        <v>Enhet</v>
      </c>
      <c r="I391" s="1229" t="str">
        <f>Translations!$B$1481</f>
        <v>Värde (NIMs)</v>
      </c>
      <c r="J391" s="1268">
        <f>J$3042</f>
        <v>2021</v>
      </c>
      <c r="K391" s="1230">
        <f>K$3042</f>
        <v>2022</v>
      </c>
      <c r="L391" s="1230">
        <f>L$3042</f>
        <v>2023</v>
      </c>
      <c r="M391" s="1230">
        <f>M$3042</f>
        <v>2024</v>
      </c>
      <c r="N391" s="1258">
        <f>N$3042</f>
        <v>2025</v>
      </c>
      <c r="O391" s="15"/>
      <c r="P391" s="15"/>
      <c r="Q391" s="343"/>
      <c r="R391" s="2"/>
      <c r="S391" s="2"/>
      <c r="T391" s="2"/>
      <c r="U391" s="772"/>
      <c r="V391" s="1077">
        <f>J391</f>
        <v>2021</v>
      </c>
      <c r="W391" s="1077">
        <f>K391</f>
        <v>2022</v>
      </c>
      <c r="X391" s="1077">
        <f>L391</f>
        <v>2023</v>
      </c>
      <c r="Y391" s="1077">
        <f>M391</f>
        <v>2024</v>
      </c>
      <c r="Z391" s="1078">
        <f>N391</f>
        <v>2025</v>
      </c>
      <c r="AA391" s="2"/>
      <c r="AB391" s="2"/>
      <c r="AC391" s="2"/>
      <c r="AD391" s="2"/>
      <c r="AE391" s="2"/>
      <c r="AF391" s="2"/>
      <c r="AG391" s="2"/>
      <c r="AH391" s="2"/>
      <c r="AI391" s="2"/>
      <c r="AJ391" s="2"/>
      <c r="AK391" s="2"/>
      <c r="AL391" s="2"/>
    </row>
    <row r="392" spans="1:38" ht="12.75" customHeight="1" x14ac:dyDescent="0.25">
      <c r="A392" s="2"/>
      <c r="B392" s="178"/>
      <c r="C392" s="178"/>
      <c r="D392" s="1246" t="s">
        <v>8</v>
      </c>
      <c r="E392" s="1231" t="str">
        <f>Translations!$B$1482</f>
        <v>Genomsnittligt årligt värde</v>
      </c>
      <c r="F392" s="1231"/>
      <c r="G392" s="1231"/>
      <c r="H392" s="1232" t="str">
        <f>EUconst_tCO2</f>
        <v>t CO2</v>
      </c>
      <c r="I392" s="990" t="str">
        <f>INDEX('B+C_SubInstallations'!$J:$J,MATCH(Q392,'B+C_SubInstallations'!$U:$U,0))</f>
        <v/>
      </c>
      <c r="J392" s="1215" t="str">
        <f>IF(AND(V392&gt;=3,CNTR_ReportingYear&gt;J391-1),AVERAGE(SUM(T385),SUM(U385)),"")</f>
        <v/>
      </c>
      <c r="K392" s="1216" t="str">
        <f>IF(AND(W392&gt;=3,CNTR_ReportingYear&gt;K391-1),AVERAGE(SUM(U385),SUM(V385)),"")</f>
        <v/>
      </c>
      <c r="L392" s="1216" t="str">
        <f>IF(AND(X392&gt;=3,CNTR_ReportingYear&gt;L391-1),AVERAGE(SUM(V385),SUM(W385)),"")</f>
        <v/>
      </c>
      <c r="M392" s="1216" t="str">
        <f>IF(AND(Y392&gt;=3,CNTR_ReportingYear&gt;M391-1),AVERAGE(SUM(W385),SUM(X385)),"")</f>
        <v/>
      </c>
      <c r="N392" s="1227" t="str">
        <f>IF(AND(Z392&gt;=3,CNTR_ReportingYear&gt;N391-1),AVERAGE(SUM(X385),SUM(Y385)),"")</f>
        <v/>
      </c>
      <c r="O392" s="15"/>
      <c r="P392" s="15"/>
      <c r="Q392" s="1217" t="str">
        <f>EUconst_CNTR_HEATInitial &amp; I315</f>
        <v>HEATIni_</v>
      </c>
      <c r="R392" s="2"/>
      <c r="S392" s="2"/>
      <c r="T392" s="2"/>
      <c r="U392" s="1086" t="s">
        <v>1850</v>
      </c>
      <c r="V392" s="663">
        <f>V337</f>
        <v>0</v>
      </c>
      <c r="W392" s="663">
        <f>W337</f>
        <v>0</v>
      </c>
      <c r="X392" s="663">
        <f>X337</f>
        <v>0</v>
      </c>
      <c r="Y392" s="663">
        <f>Y337</f>
        <v>0</v>
      </c>
      <c r="Z392" s="1080">
        <f>Z337</f>
        <v>0</v>
      </c>
      <c r="AA392" s="2"/>
      <c r="AB392" s="2"/>
      <c r="AC392" s="2"/>
      <c r="AD392" s="2"/>
      <c r="AE392" s="2"/>
      <c r="AF392" s="2"/>
      <c r="AG392" s="2"/>
      <c r="AH392" s="2"/>
      <c r="AI392" s="2"/>
      <c r="AJ392" s="2"/>
      <c r="AK392" s="2"/>
      <c r="AL392" s="2"/>
    </row>
    <row r="393" spans="1:38" ht="12.75" hidden="1" customHeight="1" x14ac:dyDescent="0.25">
      <c r="A393" s="343" t="s">
        <v>346</v>
      </c>
      <c r="B393" s="178"/>
      <c r="C393" s="178"/>
      <c r="D393" s="1246"/>
      <c r="E393" s="1231" t="s">
        <v>1980</v>
      </c>
      <c r="F393" s="1231"/>
      <c r="G393" s="1231"/>
      <c r="H393" s="1233"/>
      <c r="I393" s="1235"/>
      <c r="J393" s="1013" t="str">
        <f>IF(J392="","",IF($I395=0,IF(J392=0,0%,100%),J392/$I395-1))</f>
        <v/>
      </c>
      <c r="K393" s="938" t="str">
        <f>IF(K392="","",IF($I395=0,IF(K392=0,0%,100%),K392/$I395-1))</f>
        <v/>
      </c>
      <c r="L393" s="938" t="str">
        <f>IF(L392="","",IF($I395=0,IF(L392=0,0%,100%),L392/$I395-1))</f>
        <v/>
      </c>
      <c r="M393" s="938" t="str">
        <f>IF(M392="","",IF($I395=0,IF(M392=0,0%,100%),M392/$I395-1))</f>
        <v/>
      </c>
      <c r="N393" s="1223" t="str">
        <f>IF(N392="","",IF($I395=0,IF(N392=0,0%,100%),N392/$I395-1))</f>
        <v/>
      </c>
      <c r="O393" s="15"/>
      <c r="P393" s="15"/>
      <c r="Q393" s="165" t="str">
        <f>EUconst_CNTR_RelThreshold &amp; Q395</f>
        <v>RelThresh_HEATprelim_</v>
      </c>
      <c r="R393" s="2"/>
      <c r="S393" s="2"/>
      <c r="T393" s="2"/>
      <c r="U393" s="1086" t="s">
        <v>1855</v>
      </c>
      <c r="V393" s="603" t="str">
        <f>IF(J392="","",ABS(J393)&gt;15%)</f>
        <v/>
      </c>
      <c r="W393" s="603" t="str">
        <f>IF(K392="","",ABS(K393)&gt;15%)</f>
        <v/>
      </c>
      <c r="X393" s="603" t="str">
        <f>IF(L392="","",ABS(L393)&gt;15%)</f>
        <v/>
      </c>
      <c r="Y393" s="603" t="str">
        <f>IF(M392="","",ABS(M393)&gt;15%)</f>
        <v/>
      </c>
      <c r="Z393" s="1756" t="str">
        <f>IF(N392="","",ABS(N393)&gt;15%)</f>
        <v/>
      </c>
      <c r="AA393" s="2"/>
      <c r="AB393" s="2"/>
      <c r="AC393" s="2"/>
      <c r="AD393" s="2"/>
      <c r="AE393" s="2"/>
      <c r="AF393" s="2"/>
      <c r="AG393" s="2"/>
      <c r="AH393" s="2"/>
      <c r="AI393" s="2"/>
      <c r="AJ393" s="2"/>
      <c r="AK393" s="2"/>
      <c r="AL393" s="2"/>
    </row>
    <row r="394" spans="1:38" ht="12.75" customHeight="1" x14ac:dyDescent="0.25">
      <c r="A394" s="343"/>
      <c r="B394" s="178"/>
      <c r="C394" s="178"/>
      <c r="D394" s="1246" t="s">
        <v>9</v>
      </c>
      <c r="E394" s="1231" t="str">
        <f>Translations!$B$1474</f>
        <v>Preliminär justering (om relativa tröskelvärden överskrids)</v>
      </c>
      <c r="F394" s="1231"/>
      <c r="G394" s="1231"/>
      <c r="H394" s="1233"/>
      <c r="I394" s="1235"/>
      <c r="J394" s="992" t="str">
        <f>IF(J392="","",IF(V393=FALSE,0%,J393))</f>
        <v/>
      </c>
      <c r="K394" s="937" t="str">
        <f>IF(K392="","",IF(W393=FALSE,0%,K393))</f>
        <v/>
      </c>
      <c r="L394" s="937" t="str">
        <f>IF(L392="","",IF(X393=FALSE,0%,L393))</f>
        <v/>
      </c>
      <c r="M394" s="937" t="str">
        <f>IF(M392="","",IF(Y393=FALSE,0%,M393))</f>
        <v/>
      </c>
      <c r="N394" s="1220" t="str">
        <f>IF(N392="","",IF(Z393=FALSE,0%,N393))</f>
        <v/>
      </c>
      <c r="O394" s="15"/>
      <c r="P394" s="15"/>
      <c r="Q394" s="343"/>
      <c r="R394" s="2"/>
      <c r="S394" s="2"/>
      <c r="T394" s="2"/>
      <c r="U394" s="584"/>
      <c r="V394" s="2"/>
      <c r="W394" s="2"/>
      <c r="X394" s="2"/>
      <c r="Y394" s="2"/>
      <c r="Z394" s="228"/>
      <c r="AA394" s="2"/>
      <c r="AB394" s="2"/>
      <c r="AC394" s="2"/>
      <c r="AD394" s="2"/>
      <c r="AE394" s="2"/>
      <c r="AF394" s="2"/>
      <c r="AG394" s="2"/>
      <c r="AH394" s="2"/>
      <c r="AI394" s="2"/>
      <c r="AJ394" s="2"/>
      <c r="AK394" s="2"/>
      <c r="AL394" s="343"/>
    </row>
    <row r="395" spans="1:38" ht="12.75" hidden="1" customHeight="1" x14ac:dyDescent="0.25">
      <c r="A395" s="343" t="s">
        <v>346</v>
      </c>
      <c r="B395" s="178"/>
      <c r="C395" s="178"/>
      <c r="D395" s="1246"/>
      <c r="E395" s="1231" t="s">
        <v>1889</v>
      </c>
      <c r="F395" s="1231"/>
      <c r="G395" s="1231"/>
      <c r="H395" s="1232" t="str">
        <f>H392</f>
        <v>t CO2</v>
      </c>
      <c r="I395" s="990" t="str">
        <f>IF($I315="","",IF(AB315=FALSE,EUconst_NA,IF(V315&gt;($J$3042-3),SUM(INDEX(H385:N385,MATCH(V315,H384:N384,0))*EUconst_HeatBMvalue),SUM(I392))))</f>
        <v/>
      </c>
      <c r="J395" s="993" t="str">
        <f>IF($I315="","",IF(V392&lt;2,SUM(V385),IF(V392&lt;3,SUM(U385),IF(V395="",I395,V395))))</f>
        <v/>
      </c>
      <c r="K395" s="920" t="str">
        <f>IF($I315="","",IF(W392&lt;2,SUM(W385),IF(W392&lt;3,SUM(V385),IF(W395="",J395,W395))))</f>
        <v/>
      </c>
      <c r="L395" s="920" t="str">
        <f>IF($I315="","",IF(X392&lt;2,SUM(X385),IF(X392&lt;3,SUM(W385),IF(X395="",K395,X395))))</f>
        <v/>
      </c>
      <c r="M395" s="920" t="str">
        <f>IF($I315="","",IF(Y392&lt;2,SUM(Y385),IF(Y392&lt;3,SUM(X385),IF(Y395="",L395,Y395))))</f>
        <v/>
      </c>
      <c r="N395" s="1218" t="str">
        <f>IF($I315="","",IF(Z392&lt;2,SUM(Z385),IF(Z392&lt;3,SUM(Y385),IF(Z395="",M395,Z395))))</f>
        <v/>
      </c>
      <c r="O395" s="15"/>
      <c r="P395" s="15"/>
      <c r="Q395" s="165" t="str">
        <f>EUconst_CNTR_HEATprelim &amp; I315</f>
        <v>HEATprelim_</v>
      </c>
      <c r="R395" s="2"/>
      <c r="S395" s="2"/>
      <c r="T395" s="2"/>
      <c r="U395" s="1086" t="s">
        <v>1898</v>
      </c>
      <c r="V395" s="1754" t="str">
        <f>IF(J392="","",IF(CNTR_ReportingYear&lt;J391,I394,IF($I395=0,J392,$I395*(1+J394))))</f>
        <v/>
      </c>
      <c r="W395" s="1754" t="str">
        <f>IF(K392="","",IF(CNTR_ReportingYear&lt;K391,J394,IF($I395=0,K392,$I395*(1+K394))))</f>
        <v/>
      </c>
      <c r="X395" s="1754" t="str">
        <f>IF(L392="","",IF(CNTR_ReportingYear&lt;L391,K394,IF($I395=0,L392,$I395*(1+L394))))</f>
        <v/>
      </c>
      <c r="Y395" s="1754" t="str">
        <f>IF(M392="","",IF(CNTR_ReportingYear&lt;M391,L394,IF($I395=0,M392,$I395*(1+M394))))</f>
        <v/>
      </c>
      <c r="Z395" s="1759" t="str">
        <f>IF(N392="","",IF(CNTR_ReportingYear&lt;N391,M394,IF($I395=0,N392,$I395*(1+N394))))</f>
        <v/>
      </c>
      <c r="AA395" s="2"/>
      <c r="AB395" s="2"/>
      <c r="AC395" s="2"/>
      <c r="AD395" s="2"/>
      <c r="AE395" s="2"/>
      <c r="AF395" s="2"/>
      <c r="AG395" s="2"/>
      <c r="AH395" s="2"/>
      <c r="AI395" s="2"/>
      <c r="AJ395" s="2"/>
      <c r="AK395" s="2"/>
      <c r="AL395" s="343"/>
    </row>
    <row r="396" spans="1:38" ht="5.15" customHeight="1" x14ac:dyDescent="0.25">
      <c r="A396" s="343"/>
      <c r="B396" s="178"/>
      <c r="C396" s="178"/>
      <c r="D396" s="1246"/>
      <c r="E396" s="1244"/>
      <c r="F396" s="1244"/>
      <c r="G396" s="1244"/>
      <c r="H396" s="1244"/>
      <c r="I396" s="1244"/>
      <c r="J396" s="1236"/>
      <c r="K396" s="1236"/>
      <c r="L396" s="1236"/>
      <c r="M396" s="1236"/>
      <c r="N396" s="1247"/>
      <c r="O396" s="15"/>
      <c r="P396" s="15"/>
      <c r="Q396" s="343"/>
      <c r="R396" s="2"/>
      <c r="S396" s="2"/>
      <c r="T396" s="2"/>
      <c r="U396" s="1086"/>
      <c r="V396" s="343"/>
      <c r="W396" s="2"/>
      <c r="X396" s="2"/>
      <c r="Y396" s="2"/>
      <c r="Z396" s="228"/>
      <c r="AA396" s="2"/>
      <c r="AB396" s="2"/>
      <c r="AC396" s="2"/>
      <c r="AD396" s="2"/>
      <c r="AE396" s="2"/>
      <c r="AF396" s="2"/>
      <c r="AG396" s="2"/>
      <c r="AH396" s="2"/>
      <c r="AI396" s="2"/>
      <c r="AJ396" s="2"/>
      <c r="AK396" s="2"/>
      <c r="AL396" s="343"/>
    </row>
    <row r="397" spans="1:38" ht="12.75" customHeight="1" x14ac:dyDescent="0.25">
      <c r="A397" s="343"/>
      <c r="B397" s="178"/>
      <c r="C397" s="178"/>
      <c r="D397" s="1246"/>
      <c r="E397" s="1234" t="str">
        <f>Translations!$B$1475</f>
        <v>Faktisk justering (grund för följande år)</v>
      </c>
      <c r="F397" s="1234"/>
      <c r="G397" s="1234"/>
      <c r="H397" s="1234"/>
      <c r="I397" s="1234"/>
      <c r="J397" s="1268">
        <f>J$3042</f>
        <v>2021</v>
      </c>
      <c r="K397" s="1230">
        <f>K$3042</f>
        <v>2022</v>
      </c>
      <c r="L397" s="1230">
        <f>L$3042</f>
        <v>2023</v>
      </c>
      <c r="M397" s="1230">
        <f>M$3042</f>
        <v>2024</v>
      </c>
      <c r="N397" s="1258">
        <f>N$3042</f>
        <v>2025</v>
      </c>
      <c r="O397" s="15"/>
      <c r="P397" s="15"/>
      <c r="Q397" s="343"/>
      <c r="R397" s="2"/>
      <c r="S397" s="2"/>
      <c r="T397" s="2"/>
      <c r="U397" s="584"/>
      <c r="V397" s="2"/>
      <c r="W397" s="2"/>
      <c r="X397" s="2"/>
      <c r="Y397" s="2"/>
      <c r="Z397" s="228"/>
      <c r="AA397" s="2"/>
      <c r="AB397" s="2"/>
      <c r="AC397" s="2"/>
      <c r="AD397" s="2"/>
      <c r="AE397" s="2"/>
      <c r="AF397" s="2"/>
      <c r="AG397" s="2"/>
      <c r="AH397" s="2"/>
      <c r="AI397" s="2"/>
      <c r="AJ397" s="2"/>
      <c r="AK397" s="2"/>
      <c r="AL397" s="343"/>
    </row>
    <row r="398" spans="1:38" ht="12.75" customHeight="1" x14ac:dyDescent="0.25">
      <c r="A398" s="343"/>
      <c r="B398" s="178"/>
      <c r="C398" s="178"/>
      <c r="D398" s="1246" t="s">
        <v>10</v>
      </c>
      <c r="E398" s="1231" t="str">
        <f>Translations!$B$1476</f>
        <v>&gt;= 100 utsläppsrätter kriterium uppnått?</v>
      </c>
      <c r="F398" s="1231"/>
      <c r="G398" s="1231"/>
      <c r="H398" s="1231"/>
      <c r="I398" s="1231"/>
      <c r="J398" s="994" t="str">
        <f>IF($I315="","",INDEX(K_Summary!J:J,MATCH($Q398,K_Summary!$P:$P,0)))</f>
        <v/>
      </c>
      <c r="K398" s="912" t="str">
        <f>IF($I315="","",INDEX(K_Summary!K:K,MATCH($Q398,K_Summary!$P:$P,0)))</f>
        <v/>
      </c>
      <c r="L398" s="912" t="str">
        <f>IF($I315="","",INDEX(K_Summary!L:L,MATCH($Q398,K_Summary!$P:$P,0)))</f>
        <v/>
      </c>
      <c r="M398" s="912" t="str">
        <f>IF($I315="","",INDEX(K_Summary!M:M,MATCH($Q398,K_Summary!$P:$P,0)))</f>
        <v/>
      </c>
      <c r="N398" s="1221" t="str">
        <f>IF($I315="","",INDEX(K_Summary!N:N,MATCH($Q398,K_Summary!$P:$P,0)))</f>
        <v/>
      </c>
      <c r="O398" s="15"/>
      <c r="P398" s="15"/>
      <c r="Q398" s="165" t="str">
        <f>EUconst_CNTR_100EUA_HEAT&amp;I315</f>
        <v>EUA100HEAT_</v>
      </c>
      <c r="R398" s="2"/>
      <c r="S398" s="2"/>
      <c r="T398" s="2"/>
      <c r="U398" s="584"/>
      <c r="V398" s="2"/>
      <c r="W398" s="2"/>
      <c r="X398" s="2"/>
      <c r="Y398" s="2"/>
      <c r="Z398" s="228"/>
      <c r="AA398" s="2"/>
      <c r="AB398" s="2"/>
      <c r="AC398" s="2"/>
      <c r="AD398" s="2"/>
      <c r="AE398" s="2"/>
      <c r="AF398" s="2"/>
      <c r="AG398" s="2"/>
      <c r="AH398" s="2"/>
      <c r="AI398" s="2"/>
      <c r="AJ398" s="2"/>
      <c r="AK398" s="2"/>
      <c r="AL398" s="343"/>
    </row>
    <row r="399" spans="1:38" ht="5.15" customHeight="1" thickBot="1" x14ac:dyDescent="0.3">
      <c r="A399" s="343"/>
      <c r="B399" s="178"/>
      <c r="C399" s="178"/>
      <c r="D399" s="1246"/>
      <c r="E399" s="1244"/>
      <c r="F399" s="1244"/>
      <c r="G399" s="1244"/>
      <c r="H399" s="1244"/>
      <c r="I399" s="1244"/>
      <c r="J399" s="1244"/>
      <c r="K399" s="1244"/>
      <c r="L399" s="1244"/>
      <c r="M399" s="1244"/>
      <c r="N399" s="1248"/>
      <c r="O399" s="15"/>
      <c r="P399" s="15"/>
      <c r="Q399" s="343"/>
      <c r="R399" s="2"/>
      <c r="S399" s="2"/>
      <c r="T399" s="2"/>
      <c r="U399" s="1086"/>
      <c r="V399" s="343"/>
      <c r="W399" s="2"/>
      <c r="X399" s="2"/>
      <c r="Y399" s="2"/>
      <c r="Z399" s="228"/>
      <c r="AA399" s="2"/>
      <c r="AB399" s="2"/>
      <c r="AC399" s="2"/>
      <c r="AD399" s="2"/>
      <c r="AE399" s="2"/>
      <c r="AF399" s="2"/>
      <c r="AG399" s="2"/>
      <c r="AH399" s="2"/>
      <c r="AI399" s="2"/>
      <c r="AJ399" s="2"/>
      <c r="AK399" s="2"/>
      <c r="AL399" s="343"/>
    </row>
    <row r="400" spans="1:38" ht="12.75" customHeight="1" thickBot="1" x14ac:dyDescent="0.3">
      <c r="A400" s="2"/>
      <c r="B400" s="178"/>
      <c r="C400" s="178"/>
      <c r="D400" s="1246" t="s">
        <v>23</v>
      </c>
      <c r="E400" s="1231" t="str">
        <f>Translations!$B$1477</f>
        <v>Faktisk justering (om alla tröskelvärden överskrids)</v>
      </c>
      <c r="F400" s="1231"/>
      <c r="G400" s="1231"/>
      <c r="H400" s="1233"/>
      <c r="I400" s="1237"/>
      <c r="J400" s="1099" t="str">
        <f>IF(J398="","",IF(OR(J398,V392&lt;1),J394,I400))</f>
        <v/>
      </c>
      <c r="K400" s="1100" t="str">
        <f>IF(K398="","",IF(OR(K398,W392&lt;1),K394,J400))</f>
        <v/>
      </c>
      <c r="L400" s="1100" t="str">
        <f>IF(L398="","",IF(OR(L398,X392&lt;1),L394,K400))</f>
        <v/>
      </c>
      <c r="M400" s="1100" t="str">
        <f>IF(M398="","",IF(OR(M398,Y392&lt;1),M394,L400))</f>
        <v/>
      </c>
      <c r="N400" s="1101" t="str">
        <f>IF(N398="","",IF(OR(N398,Z392&lt;1),N394,M400))</f>
        <v/>
      </c>
      <c r="O400" s="15"/>
      <c r="P400" s="15"/>
      <c r="Q400" s="343"/>
      <c r="R400" s="2"/>
      <c r="S400" s="2"/>
      <c r="T400" s="2"/>
      <c r="U400" s="1086" t="s">
        <v>1858</v>
      </c>
      <c r="V400" s="1068">
        <f>J397</f>
        <v>2021</v>
      </c>
      <c r="W400" s="1068">
        <f>K397</f>
        <v>2022</v>
      </c>
      <c r="X400" s="1068">
        <f>L397</f>
        <v>2023</v>
      </c>
      <c r="Y400" s="1068">
        <f>M397</f>
        <v>2024</v>
      </c>
      <c r="Z400" s="1087">
        <f>N397</f>
        <v>2025</v>
      </c>
      <c r="AA400" s="2"/>
      <c r="AB400" s="2"/>
      <c r="AC400" s="2"/>
      <c r="AD400" s="2"/>
      <c r="AE400" s="2"/>
      <c r="AF400" s="2"/>
      <c r="AG400" s="2"/>
      <c r="AH400" s="2"/>
      <c r="AI400" s="2"/>
      <c r="AJ400" s="2"/>
      <c r="AK400" s="2"/>
      <c r="AL400" s="343"/>
    </row>
    <row r="401" spans="1:38" ht="12.75" customHeight="1" thickBot="1" x14ac:dyDescent="0.3">
      <c r="A401" s="343"/>
      <c r="B401" s="178"/>
      <c r="C401" s="178"/>
      <c r="D401" s="1246" t="s">
        <v>859</v>
      </c>
      <c r="E401" s="1231" t="str">
        <f>Translations!$B$1478</f>
        <v>Faktiskt värde</v>
      </c>
      <c r="F401" s="1231"/>
      <c r="G401" s="1231"/>
      <c r="H401" s="1232" t="str">
        <f>H392</f>
        <v>t CO2</v>
      </c>
      <c r="I401" s="990" t="str">
        <f>I395</f>
        <v/>
      </c>
      <c r="J401" s="1072" t="str">
        <f>IF($I315="","",IF(OR($I401=0,$I401=EUconst_NA,J400=""),IF(OR(J398=TRUE,J397&lt;=$V315),J395,SUM(I401)),$I401*(1+SUM(J400))))</f>
        <v/>
      </c>
      <c r="K401" s="1073" t="str">
        <f>IF($I315="","",IF(OR($I401=0,$I401=EUconst_NA,K400=""),IF(OR(K398=TRUE,K397&lt;=$V315),K395,SUM(J401)),$I401*(1+SUM(K400))))</f>
        <v/>
      </c>
      <c r="L401" s="1073" t="str">
        <f>IF($I315="","",IF(OR($I401=0,$I401=EUconst_NA,L400=""),IF(OR(L398=TRUE,L397&lt;=$V315),L395,SUM(K401)),$I401*(1+SUM(L400))))</f>
        <v/>
      </c>
      <c r="M401" s="1073" t="str">
        <f>IF($I315="","",IF(OR($I401=0,$I401=EUconst_NA,M400=""),IF(OR(M398=TRUE,M397&lt;=$V315),M395,SUM(L401)),$I401*(1+SUM(M400))))</f>
        <v/>
      </c>
      <c r="N401" s="1074" t="str">
        <f>IF($I315="","",IF(OR($I401=0,$I401=EUconst_NA,N400=""),IF(OR(N398=TRUE,N397&lt;=$V315),N395,SUM(M401)),$I401*(1+SUM(N400))))</f>
        <v/>
      </c>
      <c r="O401" s="15"/>
      <c r="P401" s="15"/>
      <c r="Q401" s="165" t="str">
        <f>EUconst_CNTR_HEATfinal &amp; I315</f>
        <v>HEATfinal_</v>
      </c>
      <c r="R401" s="2"/>
      <c r="S401" s="2"/>
      <c r="T401" s="2"/>
      <c r="U401" s="1765" t="b">
        <v>0</v>
      </c>
      <c r="V401" s="1757" t="str">
        <f>IF(V323,IF(J398=TRUE,V393,U401),"")</f>
        <v/>
      </c>
      <c r="W401" s="1757" t="str">
        <f>IF(W323,IF(K398=TRUE,W393,V401),"")</f>
        <v/>
      </c>
      <c r="X401" s="1757" t="str">
        <f>IF(X323,IF(L398=TRUE,X393,W401),"")</f>
        <v/>
      </c>
      <c r="Y401" s="1757" t="str">
        <f>IF(Y323,IF(M398=TRUE,Y393,X401),"")</f>
        <v/>
      </c>
      <c r="Z401" s="1758" t="str">
        <f>IF(Z323,IF(N398=TRUE,Z393,Y401),"")</f>
        <v/>
      </c>
      <c r="AA401" s="2"/>
      <c r="AB401" s="2"/>
      <c r="AC401" s="2"/>
      <c r="AD401" s="2"/>
      <c r="AE401" s="2"/>
      <c r="AF401" s="2"/>
      <c r="AG401" s="2"/>
      <c r="AH401" s="2"/>
      <c r="AI401" s="2"/>
      <c r="AJ401" s="553" t="s">
        <v>2242</v>
      </c>
      <c r="AK401" s="108" t="str">
        <f>IF(OR(ISERROR(J401),ISERROR(K401),ISERROR(L401),ISERROR(M401),ISERROR(N401)),EUconst_Error &amp; "BM" &amp; Q315,"")</f>
        <v/>
      </c>
      <c r="AL401" s="2"/>
    </row>
    <row r="402" spans="1:38" ht="5.15" customHeight="1" thickBot="1" x14ac:dyDescent="0.3">
      <c r="A402" s="2"/>
      <c r="B402" s="19"/>
      <c r="C402" s="19"/>
      <c r="D402" s="1274"/>
      <c r="E402" s="1275"/>
      <c r="F402" s="1275"/>
      <c r="G402" s="1275"/>
      <c r="H402" s="1275"/>
      <c r="I402" s="1276"/>
      <c r="J402" s="1275"/>
      <c r="K402" s="1275"/>
      <c r="L402" s="1275"/>
      <c r="M402" s="1275"/>
      <c r="N402" s="1277"/>
      <c r="O402" s="15"/>
      <c r="P402" s="15"/>
      <c r="Q402" s="130"/>
      <c r="R402" s="2"/>
      <c r="S402" s="343"/>
      <c r="T402" s="343"/>
      <c r="U402" s="2"/>
      <c r="V402" s="2"/>
      <c r="W402" s="2"/>
      <c r="X402" s="2"/>
      <c r="Y402" s="2"/>
      <c r="Z402" s="2"/>
      <c r="AA402" s="2"/>
      <c r="AB402" s="2"/>
      <c r="AC402" s="2"/>
      <c r="AD402" s="2"/>
      <c r="AE402" s="2"/>
      <c r="AF402" s="2"/>
      <c r="AG402" s="2"/>
      <c r="AH402" s="2"/>
      <c r="AI402" s="2"/>
      <c r="AJ402" s="2"/>
      <c r="AK402" s="2"/>
      <c r="AL402" s="2"/>
    </row>
    <row r="403" spans="1:38" ht="5.15" customHeight="1" x14ac:dyDescent="0.25">
      <c r="A403" s="2"/>
      <c r="B403" s="19"/>
      <c r="C403" s="19"/>
      <c r="D403" s="19"/>
      <c r="E403" s="19"/>
      <c r="F403" s="19"/>
      <c r="G403" s="19"/>
      <c r="H403" s="19"/>
      <c r="I403" s="99"/>
      <c r="J403" s="19"/>
      <c r="K403" s="19"/>
      <c r="L403" s="19"/>
      <c r="M403" s="19"/>
      <c r="N403" s="19"/>
      <c r="O403" s="15"/>
      <c r="P403" s="15"/>
      <c r="Q403" s="130"/>
      <c r="R403" s="2"/>
      <c r="S403" s="343"/>
      <c r="T403" s="343"/>
      <c r="U403" s="2"/>
      <c r="V403" s="2"/>
      <c r="W403" s="2"/>
      <c r="X403" s="2"/>
      <c r="Y403" s="2"/>
      <c r="Z403" s="2"/>
      <c r="AA403" s="2"/>
      <c r="AB403" s="2"/>
      <c r="AC403" s="2"/>
      <c r="AD403" s="2"/>
      <c r="AE403" s="2"/>
      <c r="AF403" s="2"/>
      <c r="AG403" s="2"/>
      <c r="AH403" s="2"/>
      <c r="AI403" s="2"/>
      <c r="AJ403" s="2"/>
      <c r="AK403" s="2"/>
      <c r="AL403" s="2"/>
    </row>
    <row r="404" spans="1:38" ht="15" customHeight="1" x14ac:dyDescent="0.25">
      <c r="A404" s="2"/>
      <c r="B404" s="19"/>
      <c r="C404" s="619"/>
      <c r="D404" s="2053" t="str">
        <f>Translations!$B$541</f>
        <v>Produktionsuppgifter</v>
      </c>
      <c r="E404" s="1963"/>
      <c r="F404" s="1963"/>
      <c r="G404" s="1963"/>
      <c r="H404" s="1963"/>
      <c r="I404" s="1963"/>
      <c r="J404" s="1963"/>
      <c r="K404" s="1963"/>
      <c r="L404" s="1963"/>
      <c r="M404" s="1963"/>
      <c r="N404" s="1963"/>
      <c r="O404" s="15"/>
      <c r="P404" s="15"/>
      <c r="Q404" s="2"/>
      <c r="R404" s="2"/>
      <c r="S404" s="343"/>
      <c r="T404" s="343"/>
      <c r="U404" s="2"/>
      <c r="V404" s="2"/>
      <c r="W404" s="2"/>
      <c r="X404" s="2"/>
      <c r="Y404" s="2"/>
      <c r="Z404" s="2"/>
      <c r="AA404" s="2"/>
      <c r="AB404" s="2"/>
      <c r="AC404" s="2"/>
      <c r="AD404" s="2"/>
      <c r="AE404" s="2"/>
      <c r="AF404" s="2"/>
      <c r="AG404" s="2"/>
      <c r="AH404" s="2"/>
      <c r="AI404" s="2"/>
      <c r="AJ404" s="2"/>
      <c r="AK404" s="2"/>
      <c r="AL404" s="2"/>
    </row>
    <row r="405" spans="1:38" ht="5.15" customHeight="1" x14ac:dyDescent="0.25">
      <c r="A405" s="2"/>
      <c r="B405" s="178"/>
      <c r="C405" s="178"/>
      <c r="D405" s="178"/>
      <c r="E405" s="178"/>
      <c r="F405" s="178"/>
      <c r="G405" s="178"/>
      <c r="H405" s="178"/>
      <c r="I405" s="178"/>
      <c r="J405" s="178"/>
      <c r="K405" s="178"/>
      <c r="L405" s="178"/>
      <c r="M405" s="178"/>
      <c r="N405" s="178"/>
      <c r="O405" s="15"/>
      <c r="P405" s="15"/>
      <c r="Q405" s="343"/>
      <c r="R405" s="343"/>
      <c r="S405" s="343"/>
      <c r="T405" s="343"/>
      <c r="U405" s="2"/>
      <c r="V405" s="2"/>
      <c r="W405" s="2"/>
      <c r="X405" s="2"/>
      <c r="Y405" s="2"/>
      <c r="Z405" s="2"/>
      <c r="AA405" s="2"/>
      <c r="AB405" s="2"/>
      <c r="AC405" s="2"/>
      <c r="AD405" s="2"/>
      <c r="AE405" s="2"/>
      <c r="AF405" s="2"/>
      <c r="AG405" s="2"/>
      <c r="AH405" s="2"/>
      <c r="AI405" s="2"/>
      <c r="AJ405" s="2"/>
      <c r="AK405" s="2"/>
      <c r="AL405" s="2"/>
    </row>
    <row r="406" spans="1:38" ht="12.75" customHeight="1" x14ac:dyDescent="0.25">
      <c r="A406" s="2"/>
      <c r="B406" s="178"/>
      <c r="C406" s="13"/>
      <c r="D406" s="13" t="s">
        <v>65</v>
      </c>
      <c r="E406" s="1943" t="str">
        <f>Translations!$B$542</f>
        <v>Identifiering av produkter som ingår i delanläggningen med produktriktmärke</v>
      </c>
      <c r="F406" s="1963"/>
      <c r="G406" s="1963"/>
      <c r="H406" s="1963"/>
      <c r="I406" s="1963"/>
      <c r="J406" s="1963"/>
      <c r="K406" s="1963"/>
      <c r="L406" s="1963"/>
      <c r="M406" s="1963"/>
      <c r="N406" s="1963"/>
      <c r="O406" s="15"/>
      <c r="P406" s="15"/>
      <c r="Q406" s="343"/>
      <c r="R406" s="2"/>
      <c r="S406" s="343"/>
      <c r="T406" s="343"/>
      <c r="U406" s="2"/>
      <c r="V406" s="2"/>
      <c r="W406" s="2"/>
      <c r="X406" s="2"/>
      <c r="Y406" s="2"/>
      <c r="Z406" s="2"/>
      <c r="AA406" s="2"/>
      <c r="AB406" s="2"/>
      <c r="AC406" s="2"/>
      <c r="AD406" s="2"/>
      <c r="AE406" s="2"/>
      <c r="AF406" s="2"/>
      <c r="AG406" s="2"/>
      <c r="AH406" s="2"/>
      <c r="AI406" s="2"/>
      <c r="AJ406" s="2"/>
      <c r="AK406" s="2"/>
      <c r="AL406" s="2"/>
    </row>
    <row r="407" spans="1:38" ht="25.5" customHeight="1" x14ac:dyDescent="0.25">
      <c r="A407" s="2"/>
      <c r="B407" s="178"/>
      <c r="C407" s="15"/>
      <c r="D407" s="15"/>
      <c r="E407" s="2061" t="s">
        <v>2215</v>
      </c>
      <c r="F407" s="1963"/>
      <c r="G407" s="1963"/>
      <c r="H407" s="1963"/>
      <c r="I407" s="1963"/>
      <c r="J407" s="1963"/>
      <c r="K407" s="1963"/>
      <c r="L407" s="1963"/>
      <c r="M407" s="1963"/>
      <c r="N407" s="1963"/>
      <c r="O407" s="15"/>
      <c r="P407" s="15"/>
      <c r="Q407" s="343"/>
      <c r="R407" s="2"/>
      <c r="S407" s="343"/>
      <c r="T407" s="343"/>
      <c r="U407" s="2"/>
      <c r="V407" s="2"/>
      <c r="W407" s="2"/>
      <c r="X407" s="2"/>
      <c r="Y407" s="2"/>
      <c r="Z407" s="2"/>
      <c r="AA407" s="2"/>
      <c r="AB407" s="2"/>
      <c r="AC407" s="2"/>
      <c r="AD407" s="2"/>
      <c r="AE407" s="2"/>
      <c r="AF407" s="2"/>
      <c r="AG407" s="2"/>
      <c r="AH407" s="2"/>
      <c r="AI407" s="2"/>
      <c r="AJ407" s="2"/>
      <c r="AK407" s="2"/>
      <c r="AL407" s="2"/>
    </row>
    <row r="408" spans="1:38" ht="25.5" customHeight="1" x14ac:dyDescent="0.25">
      <c r="A408" s="2"/>
      <c r="B408" s="178"/>
      <c r="C408" s="15"/>
      <c r="D408" s="15"/>
      <c r="E408" s="2061" t="str">
        <f>Translations!$B$543</f>
        <v>Prodcom-koder ska anges i formatet ”nnnnnnnn”, dvs. utan punkter eller andra avgränsare. Endast om Prodcom-koder inte finns ska en Nace-kod på fyra siffror anges i formatet ”nnnn”.</v>
      </c>
      <c r="F408" s="1963"/>
      <c r="G408" s="1963"/>
      <c r="H408" s="1963"/>
      <c r="I408" s="1963"/>
      <c r="J408" s="1963"/>
      <c r="K408" s="1963"/>
      <c r="L408" s="1963"/>
      <c r="M408" s="1963"/>
      <c r="N408" s="1963"/>
      <c r="O408" s="15"/>
      <c r="P408" s="15"/>
      <c r="Q408" s="343"/>
      <c r="R408" s="2"/>
      <c r="S408" s="343"/>
      <c r="T408" s="343"/>
      <c r="U408" s="2"/>
      <c r="V408" s="2"/>
      <c r="W408" s="2"/>
      <c r="X408" s="2"/>
      <c r="Y408" s="2"/>
      <c r="Z408" s="2"/>
      <c r="AA408" s="2"/>
      <c r="AB408" s="2"/>
      <c r="AC408" s="2"/>
      <c r="AD408" s="2"/>
      <c r="AE408" s="2"/>
      <c r="AF408" s="2"/>
      <c r="AG408" s="2"/>
      <c r="AH408" s="2"/>
      <c r="AI408" s="2"/>
      <c r="AJ408" s="2"/>
      <c r="AK408" s="2"/>
      <c r="AL408" s="2"/>
    </row>
    <row r="409" spans="1:38" ht="12.75" customHeight="1" x14ac:dyDescent="0.25">
      <c r="A409" s="2"/>
      <c r="B409" s="178"/>
      <c r="C409" s="15"/>
      <c r="D409" s="15"/>
      <c r="E409" s="2061" t="str">
        <f>Translations!$B$544</f>
        <v>En förteckning över 2010 års Prodcom-koder finns här:</v>
      </c>
      <c r="F409" s="1963"/>
      <c r="G409" s="1963"/>
      <c r="H409" s="1963"/>
      <c r="I409" s="1963"/>
      <c r="J409" s="1963"/>
      <c r="K409" s="1963"/>
      <c r="L409" s="1963"/>
      <c r="M409" s="1963"/>
      <c r="N409" s="1963"/>
      <c r="O409" s="15"/>
      <c r="P409" s="15"/>
      <c r="Q409" s="343"/>
      <c r="R409" s="2"/>
      <c r="S409" s="343"/>
      <c r="T409" s="343"/>
      <c r="U409" s="2"/>
      <c r="V409" s="2"/>
      <c r="W409" s="2"/>
      <c r="X409" s="2"/>
      <c r="Y409" s="2"/>
      <c r="Z409" s="2"/>
      <c r="AA409" s="2"/>
      <c r="AB409" s="2"/>
      <c r="AC409" s="2"/>
      <c r="AD409" s="2"/>
      <c r="AE409" s="2"/>
      <c r="AF409" s="2"/>
      <c r="AG409" s="2"/>
      <c r="AH409" s="2"/>
      <c r="AI409" s="2"/>
      <c r="AJ409" s="2"/>
      <c r="AK409" s="2"/>
      <c r="AL409" s="2"/>
    </row>
    <row r="410" spans="1:38" x14ac:dyDescent="0.25">
      <c r="A410" s="2"/>
      <c r="B410" s="178"/>
      <c r="C410" s="15"/>
      <c r="D410" s="15"/>
      <c r="E410" s="2644" t="str">
        <f>Translations!$B$545</f>
        <v>http://ec.europa.eu/eurostat/ramon/nomenclatures/index.cfm?TargetUrl=LST_CLS_DLD&amp;StrNom=PRD_2010&amp;StrLanguageCode=EN&amp;StrLayoutCode=HIERARCHIC</v>
      </c>
      <c r="F410" s="1940"/>
      <c r="G410" s="1940"/>
      <c r="H410" s="1940"/>
      <c r="I410" s="1940"/>
      <c r="J410" s="1940"/>
      <c r="K410" s="1940"/>
      <c r="L410" s="1940"/>
      <c r="M410" s="1940"/>
      <c r="N410" s="1940"/>
      <c r="O410" s="15"/>
      <c r="P410" s="15"/>
      <c r="Q410" s="343"/>
      <c r="R410" s="2"/>
      <c r="S410" s="343"/>
      <c r="T410" s="343"/>
      <c r="U410" s="2"/>
      <c r="V410" s="2"/>
      <c r="W410" s="2"/>
      <c r="X410" s="2"/>
      <c r="Y410" s="2"/>
      <c r="Z410" s="2"/>
      <c r="AA410" s="2"/>
      <c r="AB410" s="2"/>
      <c r="AC410" s="2"/>
      <c r="AD410" s="2"/>
      <c r="AE410" s="2"/>
      <c r="AF410" s="2"/>
      <c r="AG410" s="2"/>
      <c r="AH410" s="2"/>
      <c r="AI410" s="2"/>
      <c r="AJ410" s="2"/>
      <c r="AK410" s="2"/>
      <c r="AL410" s="2"/>
    </row>
    <row r="411" spans="1:38" ht="5.15" customHeight="1" x14ac:dyDescent="0.25">
      <c r="A411" s="2"/>
      <c r="B411" s="178"/>
      <c r="C411" s="178"/>
      <c r="D411" s="178"/>
      <c r="E411" s="178"/>
      <c r="F411" s="178"/>
      <c r="G411" s="178"/>
      <c r="H411" s="178"/>
      <c r="I411" s="178"/>
      <c r="J411" s="178"/>
      <c r="K411" s="178"/>
      <c r="L411" s="178"/>
      <c r="M411" s="178"/>
      <c r="N411" s="178"/>
      <c r="O411" s="15"/>
      <c r="P411" s="15"/>
      <c r="Q411" s="343"/>
      <c r="R411" s="343"/>
      <c r="S411" s="343"/>
      <c r="T411" s="343"/>
      <c r="U411" s="2"/>
      <c r="V411" s="2"/>
      <c r="W411" s="2"/>
      <c r="X411" s="2"/>
      <c r="Y411" s="2"/>
      <c r="Z411" s="2"/>
      <c r="AA411" s="2"/>
      <c r="AB411" s="2"/>
      <c r="AC411" s="2"/>
      <c r="AD411" s="2"/>
      <c r="AE411" s="2"/>
      <c r="AF411" s="2"/>
      <c r="AG411" s="2"/>
      <c r="AH411" s="2"/>
      <c r="AI411" s="2"/>
      <c r="AJ411" s="2"/>
      <c r="AK411" s="2"/>
      <c r="AL411" s="2"/>
    </row>
    <row r="412" spans="1:38" ht="12.75" customHeight="1" x14ac:dyDescent="0.25">
      <c r="A412" s="2"/>
      <c r="B412" s="178"/>
      <c r="C412" s="13"/>
      <c r="D412" s="13" t="s">
        <v>66</v>
      </c>
      <c r="E412" s="1943" t="str">
        <f>Translations!$B$546</f>
        <v>Individuella produktionsnivåer för produkter som ingår i delanläggningen med produktriktmärke</v>
      </c>
      <c r="F412" s="1963"/>
      <c r="G412" s="1963"/>
      <c r="H412" s="1963"/>
      <c r="I412" s="1963"/>
      <c r="J412" s="1963"/>
      <c r="K412" s="1963"/>
      <c r="L412" s="1963"/>
      <c r="M412" s="1963"/>
      <c r="N412" s="1963"/>
      <c r="O412" s="15"/>
      <c r="P412" s="15"/>
      <c r="Q412" s="343"/>
      <c r="R412" s="2"/>
      <c r="S412" s="343"/>
      <c r="T412" s="343"/>
      <c r="U412" s="2"/>
      <c r="V412" s="2"/>
      <c r="W412" s="2"/>
      <c r="X412" s="2"/>
      <c r="Y412" s="2"/>
      <c r="Z412" s="2"/>
      <c r="AA412" s="2"/>
      <c r="AB412" s="2"/>
      <c r="AC412" s="2"/>
      <c r="AD412" s="2"/>
      <c r="AE412" s="2"/>
      <c r="AF412" s="2"/>
      <c r="AG412" s="2"/>
      <c r="AH412" s="2"/>
      <c r="AI412" s="2"/>
      <c r="AJ412" s="2"/>
      <c r="AK412" s="2"/>
      <c r="AL412" s="2"/>
    </row>
    <row r="413" spans="1:38" ht="5.15" customHeight="1" x14ac:dyDescent="0.25">
      <c r="A413" s="2"/>
      <c r="B413" s="178"/>
      <c r="C413" s="178"/>
      <c r="D413" s="15"/>
      <c r="E413" s="16"/>
      <c r="F413" s="16"/>
      <c r="G413" s="16"/>
      <c r="H413" s="16"/>
      <c r="I413" s="16"/>
      <c r="J413" s="20"/>
      <c r="K413" s="20"/>
      <c r="L413" s="20"/>
      <c r="M413" s="15"/>
      <c r="N413" s="15"/>
      <c r="O413" s="15"/>
      <c r="P413" s="15"/>
      <c r="Q413" s="343"/>
      <c r="R413" s="2"/>
      <c r="S413" s="343"/>
      <c r="T413" s="343"/>
      <c r="U413" s="2"/>
      <c r="V413" s="2"/>
      <c r="W413" s="2"/>
      <c r="X413" s="2"/>
      <c r="Y413" s="2"/>
      <c r="Z413" s="2"/>
      <c r="AA413" s="2"/>
      <c r="AB413" s="2"/>
      <c r="AC413" s="2"/>
      <c r="AD413" s="2"/>
      <c r="AE413" s="2"/>
      <c r="AF413" s="2"/>
      <c r="AG413" s="2"/>
      <c r="AH413" s="2"/>
      <c r="AI413" s="2"/>
      <c r="AJ413" s="2"/>
      <c r="AK413" s="2"/>
      <c r="AL413" s="2"/>
    </row>
    <row r="414" spans="1:38" ht="25.5" customHeight="1" thickBot="1" x14ac:dyDescent="0.3">
      <c r="A414" s="2"/>
      <c r="B414" s="19"/>
      <c r="C414" s="19"/>
      <c r="D414" s="38"/>
      <c r="E414" s="321" t="s">
        <v>1030</v>
      </c>
      <c r="F414" s="1027" t="str">
        <f>Translations!$B$547</f>
        <v>Namn på produkt eller produktgrupp</v>
      </c>
      <c r="G414" s="774" t="str">
        <f>EUconst_Unit</f>
        <v>Enhet</v>
      </c>
      <c r="H414" s="320">
        <f t="shared" ref="H414:N414" si="161">H$3042</f>
        <v>2019</v>
      </c>
      <c r="I414" s="342">
        <f t="shared" si="161"/>
        <v>2020</v>
      </c>
      <c r="J414" s="987">
        <f t="shared" si="161"/>
        <v>2021</v>
      </c>
      <c r="K414" s="320">
        <f t="shared" si="161"/>
        <v>2022</v>
      </c>
      <c r="L414" s="320">
        <f t="shared" si="161"/>
        <v>2023</v>
      </c>
      <c r="M414" s="320">
        <f t="shared" si="161"/>
        <v>2024</v>
      </c>
      <c r="N414" s="320">
        <f t="shared" si="161"/>
        <v>2025</v>
      </c>
      <c r="O414" s="15"/>
      <c r="P414" s="15"/>
      <c r="Q414" s="2"/>
      <c r="R414" s="2"/>
      <c r="S414" s="343"/>
      <c r="T414" s="343"/>
      <c r="U414" s="2"/>
      <c r="V414" s="2"/>
      <c r="W414" s="2"/>
      <c r="X414" s="2"/>
      <c r="Y414" s="2"/>
      <c r="Z414" s="1055" t="s">
        <v>782</v>
      </c>
      <c r="AA414" s="2"/>
      <c r="AB414" s="2"/>
      <c r="AC414" s="1044">
        <f t="shared" ref="AC414:AI414" si="162">H$20</f>
        <v>2019</v>
      </c>
      <c r="AD414" s="1044">
        <f t="shared" si="162"/>
        <v>2020</v>
      </c>
      <c r="AE414" s="1044">
        <f t="shared" si="162"/>
        <v>2021</v>
      </c>
      <c r="AF414" s="1044">
        <f t="shared" si="162"/>
        <v>2022</v>
      </c>
      <c r="AG414" s="1044">
        <f t="shared" si="162"/>
        <v>2023</v>
      </c>
      <c r="AH414" s="1044">
        <f t="shared" si="162"/>
        <v>2024</v>
      </c>
      <c r="AI414" s="1044">
        <f t="shared" si="162"/>
        <v>2025</v>
      </c>
      <c r="AJ414" s="2"/>
      <c r="AK414" s="2"/>
      <c r="AL414" s="2"/>
    </row>
    <row r="415" spans="1:38" x14ac:dyDescent="0.25">
      <c r="A415" s="2"/>
      <c r="B415" s="19"/>
      <c r="C415" s="19"/>
      <c r="D415" s="32">
        <v>1</v>
      </c>
      <c r="E415" s="1787"/>
      <c r="F415" s="1047"/>
      <c r="G415" s="602"/>
      <c r="H415" s="383"/>
      <c r="I415" s="467"/>
      <c r="J415" s="1106"/>
      <c r="K415" s="383"/>
      <c r="L415" s="383"/>
      <c r="M415" s="383"/>
      <c r="N415" s="383"/>
      <c r="O415" s="15"/>
      <c r="P415" s="1362"/>
      <c r="Q415" s="2"/>
      <c r="R415" s="2"/>
      <c r="S415" s="343"/>
      <c r="T415" s="343"/>
      <c r="U415" s="2"/>
      <c r="V415" s="2"/>
      <c r="W415" s="2"/>
      <c r="X415" s="2"/>
      <c r="Y415" s="2"/>
      <c r="Z415" s="1056" t="b">
        <f t="shared" ref="Z415:Z424" si="163">AA415</f>
        <v>0</v>
      </c>
      <c r="AA415" s="1057" t="b">
        <f t="shared" ref="AA415:AA424" si="164">AB415</f>
        <v>0</v>
      </c>
      <c r="AB415" s="1363" t="b">
        <f>AND(AC415:AI415)</f>
        <v>0</v>
      </c>
      <c r="AC415" s="1054" t="b">
        <f t="shared" ref="AC415:AI415" si="165">AC385</f>
        <v>0</v>
      </c>
      <c r="AD415" s="1052" t="b">
        <f t="shared" si="165"/>
        <v>0</v>
      </c>
      <c r="AE415" s="1052" t="b">
        <f t="shared" si="165"/>
        <v>0</v>
      </c>
      <c r="AF415" s="1052" t="b">
        <f t="shared" si="165"/>
        <v>0</v>
      </c>
      <c r="AG415" s="1052" t="b">
        <f t="shared" si="165"/>
        <v>0</v>
      </c>
      <c r="AH415" s="1052" t="b">
        <f t="shared" si="165"/>
        <v>0</v>
      </c>
      <c r="AI415" s="1053" t="b">
        <f t="shared" si="165"/>
        <v>0</v>
      </c>
      <c r="AJ415" s="553" t="s">
        <v>2248</v>
      </c>
      <c r="AK415" s="663" t="str">
        <f>IF(AND(CNTR_ExistSubInstEntries,COUNTIFS(AC415:AI415,FALSE,H415:N415,"")&gt;0),EUconst_Error&amp;"BM"&amp;$Q315,"")</f>
        <v/>
      </c>
      <c r="AL415" s="2"/>
    </row>
    <row r="416" spans="1:38" x14ac:dyDescent="0.25">
      <c r="A416" s="2"/>
      <c r="B416" s="19"/>
      <c r="C416" s="19"/>
      <c r="D416" s="33">
        <f>D415+1</f>
        <v>2</v>
      </c>
      <c r="E416" s="1788"/>
      <c r="F416" s="1048"/>
      <c r="G416" s="446"/>
      <c r="H416" s="431"/>
      <c r="I416" s="468"/>
      <c r="J416" s="1120"/>
      <c r="K416" s="431"/>
      <c r="L416" s="431"/>
      <c r="M416" s="431"/>
      <c r="N416" s="431"/>
      <c r="O416" s="15"/>
      <c r="P416" s="1362"/>
      <c r="Q416" s="2"/>
      <c r="R416" s="2"/>
      <c r="S416" s="343"/>
      <c r="T416" s="343"/>
      <c r="U416" s="2"/>
      <c r="V416" s="2"/>
      <c r="W416" s="2"/>
      <c r="X416" s="2"/>
      <c r="Y416" s="2"/>
      <c r="Z416" s="583" t="b">
        <f t="shared" si="163"/>
        <v>0</v>
      </c>
      <c r="AA416" s="108" t="b">
        <f t="shared" si="164"/>
        <v>0</v>
      </c>
      <c r="AB416" s="109" t="b">
        <f t="shared" ref="AB416:AB424" si="166">AND(AC416:AI416)</f>
        <v>0</v>
      </c>
      <c r="AC416" s="153" t="b">
        <f>AC415</f>
        <v>0</v>
      </c>
      <c r="AD416" s="108" t="b">
        <f t="shared" ref="AD416:AI424" si="167">AD415</f>
        <v>0</v>
      </c>
      <c r="AE416" s="108" t="b">
        <f t="shared" si="167"/>
        <v>0</v>
      </c>
      <c r="AF416" s="108" t="b">
        <f t="shared" si="167"/>
        <v>0</v>
      </c>
      <c r="AG416" s="108" t="b">
        <f t="shared" si="167"/>
        <v>0</v>
      </c>
      <c r="AH416" s="108" t="b">
        <f t="shared" si="167"/>
        <v>0</v>
      </c>
      <c r="AI416" s="109" t="b">
        <f t="shared" si="167"/>
        <v>0</v>
      </c>
      <c r="AJ416" s="2"/>
      <c r="AK416" s="2"/>
      <c r="AL416" s="2"/>
    </row>
    <row r="417" spans="1:38" x14ac:dyDescent="0.25">
      <c r="A417" s="2"/>
      <c r="B417" s="19"/>
      <c r="C417" s="19"/>
      <c r="D417" s="33">
        <f t="shared" ref="D417:D424" si="168">D416+1</f>
        <v>3</v>
      </c>
      <c r="E417" s="1788"/>
      <c r="F417" s="1049"/>
      <c r="G417" s="446"/>
      <c r="H417" s="431"/>
      <c r="I417" s="468"/>
      <c r="J417" s="1120"/>
      <c r="K417" s="431"/>
      <c r="L417" s="431"/>
      <c r="M417" s="431"/>
      <c r="N417" s="431"/>
      <c r="O417" s="15"/>
      <c r="P417" s="1362"/>
      <c r="Q417" s="2"/>
      <c r="R417" s="2"/>
      <c r="S417" s="343"/>
      <c r="T417" s="343"/>
      <c r="U417" s="2"/>
      <c r="V417" s="2"/>
      <c r="W417" s="2"/>
      <c r="X417" s="2"/>
      <c r="Y417" s="2"/>
      <c r="Z417" s="583" t="b">
        <f t="shared" si="163"/>
        <v>0</v>
      </c>
      <c r="AA417" s="108" t="b">
        <f t="shared" si="164"/>
        <v>0</v>
      </c>
      <c r="AB417" s="109" t="b">
        <f t="shared" si="166"/>
        <v>0</v>
      </c>
      <c r="AC417" s="153" t="b">
        <f t="shared" ref="AC417:AC424" si="169">AC416</f>
        <v>0</v>
      </c>
      <c r="AD417" s="108" t="b">
        <f t="shared" si="167"/>
        <v>0</v>
      </c>
      <c r="AE417" s="108" t="b">
        <f t="shared" si="167"/>
        <v>0</v>
      </c>
      <c r="AF417" s="108" t="b">
        <f t="shared" si="167"/>
        <v>0</v>
      </c>
      <c r="AG417" s="108" t="b">
        <f t="shared" si="167"/>
        <v>0</v>
      </c>
      <c r="AH417" s="108" t="b">
        <f t="shared" si="167"/>
        <v>0</v>
      </c>
      <c r="AI417" s="109" t="b">
        <f t="shared" si="167"/>
        <v>0</v>
      </c>
      <c r="AJ417" s="2"/>
      <c r="AK417" s="2"/>
      <c r="AL417" s="2"/>
    </row>
    <row r="418" spans="1:38" x14ac:dyDescent="0.25">
      <c r="A418" s="2"/>
      <c r="B418" s="19"/>
      <c r="C418" s="19"/>
      <c r="D418" s="33">
        <f t="shared" si="168"/>
        <v>4</v>
      </c>
      <c r="E418" s="1788"/>
      <c r="F418" s="1049"/>
      <c r="G418" s="446"/>
      <c r="H418" s="431"/>
      <c r="I418" s="468"/>
      <c r="J418" s="1120"/>
      <c r="K418" s="431"/>
      <c r="L418" s="431"/>
      <c r="M418" s="431"/>
      <c r="N418" s="431"/>
      <c r="O418" s="15"/>
      <c r="P418" s="1362"/>
      <c r="Q418" s="2"/>
      <c r="R418" s="2"/>
      <c r="S418" s="343"/>
      <c r="T418" s="343"/>
      <c r="U418" s="2"/>
      <c r="V418" s="2"/>
      <c r="W418" s="2"/>
      <c r="X418" s="2"/>
      <c r="Y418" s="2"/>
      <c r="Z418" s="583" t="b">
        <f t="shared" si="163"/>
        <v>0</v>
      </c>
      <c r="AA418" s="108" t="b">
        <f t="shared" si="164"/>
        <v>0</v>
      </c>
      <c r="AB418" s="109" t="b">
        <f t="shared" si="166"/>
        <v>0</v>
      </c>
      <c r="AC418" s="153" t="b">
        <f t="shared" si="169"/>
        <v>0</v>
      </c>
      <c r="AD418" s="108" t="b">
        <f t="shared" si="167"/>
        <v>0</v>
      </c>
      <c r="AE418" s="108" t="b">
        <f t="shared" si="167"/>
        <v>0</v>
      </c>
      <c r="AF418" s="108" t="b">
        <f t="shared" si="167"/>
        <v>0</v>
      </c>
      <c r="AG418" s="108" t="b">
        <f t="shared" si="167"/>
        <v>0</v>
      </c>
      <c r="AH418" s="108" t="b">
        <f t="shared" si="167"/>
        <v>0</v>
      </c>
      <c r="AI418" s="109" t="b">
        <f t="shared" si="167"/>
        <v>0</v>
      </c>
      <c r="AJ418" s="2"/>
      <c r="AK418" s="2"/>
      <c r="AL418" s="2"/>
    </row>
    <row r="419" spans="1:38" x14ac:dyDescent="0.25">
      <c r="A419" s="2"/>
      <c r="B419" s="19"/>
      <c r="C419" s="19"/>
      <c r="D419" s="33">
        <f t="shared" si="168"/>
        <v>5</v>
      </c>
      <c r="E419" s="1788"/>
      <c r="F419" s="1049"/>
      <c r="G419" s="446"/>
      <c r="H419" s="431"/>
      <c r="I419" s="468"/>
      <c r="J419" s="1120"/>
      <c r="K419" s="431"/>
      <c r="L419" s="431"/>
      <c r="M419" s="431"/>
      <c r="N419" s="431"/>
      <c r="O419" s="15"/>
      <c r="P419" s="1362"/>
      <c r="Q419" s="2"/>
      <c r="R419" s="2"/>
      <c r="S419" s="343"/>
      <c r="T419" s="343"/>
      <c r="U419" s="2"/>
      <c r="V419" s="2"/>
      <c r="W419" s="2"/>
      <c r="X419" s="2"/>
      <c r="Y419" s="2"/>
      <c r="Z419" s="583" t="b">
        <f t="shared" si="163"/>
        <v>0</v>
      </c>
      <c r="AA419" s="108" t="b">
        <f t="shared" si="164"/>
        <v>0</v>
      </c>
      <c r="AB419" s="109" t="b">
        <f t="shared" si="166"/>
        <v>0</v>
      </c>
      <c r="AC419" s="153" t="b">
        <f t="shared" si="169"/>
        <v>0</v>
      </c>
      <c r="AD419" s="108" t="b">
        <f t="shared" si="167"/>
        <v>0</v>
      </c>
      <c r="AE419" s="108" t="b">
        <f t="shared" si="167"/>
        <v>0</v>
      </c>
      <c r="AF419" s="108" t="b">
        <f t="shared" si="167"/>
        <v>0</v>
      </c>
      <c r="AG419" s="108" t="b">
        <f t="shared" si="167"/>
        <v>0</v>
      </c>
      <c r="AH419" s="108" t="b">
        <f t="shared" si="167"/>
        <v>0</v>
      </c>
      <c r="AI419" s="109" t="b">
        <f t="shared" si="167"/>
        <v>0</v>
      </c>
      <c r="AJ419" s="2"/>
      <c r="AK419" s="2"/>
      <c r="AL419" s="2"/>
    </row>
    <row r="420" spans="1:38" x14ac:dyDescent="0.25">
      <c r="A420" s="2"/>
      <c r="B420" s="19"/>
      <c r="C420" s="19"/>
      <c r="D420" s="33">
        <f t="shared" si="168"/>
        <v>6</v>
      </c>
      <c r="E420" s="1788"/>
      <c r="F420" s="1049"/>
      <c r="G420" s="446"/>
      <c r="H420" s="431"/>
      <c r="I420" s="468"/>
      <c r="J420" s="1120"/>
      <c r="K420" s="431"/>
      <c r="L420" s="431"/>
      <c r="M420" s="431"/>
      <c r="N420" s="431"/>
      <c r="O420" s="15"/>
      <c r="P420" s="1362"/>
      <c r="Q420" s="2"/>
      <c r="R420" s="2"/>
      <c r="S420" s="343"/>
      <c r="T420" s="343"/>
      <c r="U420" s="2"/>
      <c r="V420" s="2"/>
      <c r="W420" s="2"/>
      <c r="X420" s="2"/>
      <c r="Y420" s="2"/>
      <c r="Z420" s="583" t="b">
        <f t="shared" si="163"/>
        <v>0</v>
      </c>
      <c r="AA420" s="108" t="b">
        <f t="shared" si="164"/>
        <v>0</v>
      </c>
      <c r="AB420" s="109" t="b">
        <f t="shared" si="166"/>
        <v>0</v>
      </c>
      <c r="AC420" s="153" t="b">
        <f t="shared" si="169"/>
        <v>0</v>
      </c>
      <c r="AD420" s="108" t="b">
        <f t="shared" si="167"/>
        <v>0</v>
      </c>
      <c r="AE420" s="108" t="b">
        <f t="shared" si="167"/>
        <v>0</v>
      </c>
      <c r="AF420" s="108" t="b">
        <f t="shared" si="167"/>
        <v>0</v>
      </c>
      <c r="AG420" s="108" t="b">
        <f t="shared" si="167"/>
        <v>0</v>
      </c>
      <c r="AH420" s="108" t="b">
        <f t="shared" si="167"/>
        <v>0</v>
      </c>
      <c r="AI420" s="109" t="b">
        <f t="shared" si="167"/>
        <v>0</v>
      </c>
      <c r="AJ420" s="2"/>
      <c r="AK420" s="2"/>
      <c r="AL420" s="2"/>
    </row>
    <row r="421" spans="1:38" x14ac:dyDescent="0.25">
      <c r="A421" s="2"/>
      <c r="B421" s="19"/>
      <c r="C421" s="19"/>
      <c r="D421" s="33">
        <f t="shared" si="168"/>
        <v>7</v>
      </c>
      <c r="E421" s="1788"/>
      <c r="F421" s="1049"/>
      <c r="G421" s="446"/>
      <c r="H421" s="431"/>
      <c r="I421" s="468"/>
      <c r="J421" s="1120"/>
      <c r="K421" s="431"/>
      <c r="L421" s="431"/>
      <c r="M421" s="431"/>
      <c r="N421" s="431"/>
      <c r="O421" s="15"/>
      <c r="P421" s="1362"/>
      <c r="Q421" s="2"/>
      <c r="R421" s="2"/>
      <c r="S421" s="343"/>
      <c r="T421" s="343"/>
      <c r="U421" s="2"/>
      <c r="V421" s="2"/>
      <c r="W421" s="2"/>
      <c r="X421" s="2"/>
      <c r="Y421" s="2"/>
      <c r="Z421" s="583" t="b">
        <f t="shared" si="163"/>
        <v>0</v>
      </c>
      <c r="AA421" s="108" t="b">
        <f t="shared" si="164"/>
        <v>0</v>
      </c>
      <c r="AB421" s="109" t="b">
        <f t="shared" si="166"/>
        <v>0</v>
      </c>
      <c r="AC421" s="153" t="b">
        <f t="shared" si="169"/>
        <v>0</v>
      </c>
      <c r="AD421" s="108" t="b">
        <f t="shared" si="167"/>
        <v>0</v>
      </c>
      <c r="AE421" s="108" t="b">
        <f t="shared" si="167"/>
        <v>0</v>
      </c>
      <c r="AF421" s="108" t="b">
        <f t="shared" si="167"/>
        <v>0</v>
      </c>
      <c r="AG421" s="108" t="b">
        <f t="shared" si="167"/>
        <v>0</v>
      </c>
      <c r="AH421" s="108" t="b">
        <f t="shared" si="167"/>
        <v>0</v>
      </c>
      <c r="AI421" s="109" t="b">
        <f t="shared" si="167"/>
        <v>0</v>
      </c>
      <c r="AJ421" s="2"/>
      <c r="AK421" s="2"/>
      <c r="AL421" s="2"/>
    </row>
    <row r="422" spans="1:38" x14ac:dyDescent="0.25">
      <c r="A422" s="2"/>
      <c r="B422" s="19"/>
      <c r="C422" s="19"/>
      <c r="D422" s="33">
        <f t="shared" si="168"/>
        <v>8</v>
      </c>
      <c r="E422" s="1788"/>
      <c r="F422" s="1049"/>
      <c r="G422" s="446"/>
      <c r="H422" s="431"/>
      <c r="I422" s="468"/>
      <c r="J422" s="1120"/>
      <c r="K422" s="431"/>
      <c r="L422" s="431"/>
      <c r="M422" s="431"/>
      <c r="N422" s="431"/>
      <c r="O422" s="15"/>
      <c r="P422" s="1362"/>
      <c r="Q422" s="2"/>
      <c r="R422" s="2"/>
      <c r="S422" s="343"/>
      <c r="T422" s="343"/>
      <c r="U422" s="2"/>
      <c r="V422" s="2"/>
      <c r="W422" s="2"/>
      <c r="X422" s="2"/>
      <c r="Y422" s="2"/>
      <c r="Z422" s="583" t="b">
        <f t="shared" si="163"/>
        <v>0</v>
      </c>
      <c r="AA422" s="108" t="b">
        <f t="shared" si="164"/>
        <v>0</v>
      </c>
      <c r="AB422" s="109" t="b">
        <f t="shared" si="166"/>
        <v>0</v>
      </c>
      <c r="AC422" s="153" t="b">
        <f t="shared" si="169"/>
        <v>0</v>
      </c>
      <c r="AD422" s="108" t="b">
        <f t="shared" si="167"/>
        <v>0</v>
      </c>
      <c r="AE422" s="108" t="b">
        <f t="shared" si="167"/>
        <v>0</v>
      </c>
      <c r="AF422" s="108" t="b">
        <f t="shared" si="167"/>
        <v>0</v>
      </c>
      <c r="AG422" s="108" t="b">
        <f t="shared" si="167"/>
        <v>0</v>
      </c>
      <c r="AH422" s="108" t="b">
        <f t="shared" si="167"/>
        <v>0</v>
      </c>
      <c r="AI422" s="109" t="b">
        <f t="shared" si="167"/>
        <v>0</v>
      </c>
      <c r="AJ422" s="2"/>
      <c r="AK422" s="2"/>
      <c r="AL422" s="2"/>
    </row>
    <row r="423" spans="1:38" x14ac:dyDescent="0.25">
      <c r="A423" s="2"/>
      <c r="B423" s="19"/>
      <c r="C423" s="19"/>
      <c r="D423" s="33">
        <f t="shared" si="168"/>
        <v>9</v>
      </c>
      <c r="E423" s="1788"/>
      <c r="F423" s="1049"/>
      <c r="G423" s="446"/>
      <c r="H423" s="431"/>
      <c r="I423" s="468"/>
      <c r="J423" s="1120"/>
      <c r="K423" s="431"/>
      <c r="L423" s="431"/>
      <c r="M423" s="431"/>
      <c r="N423" s="431"/>
      <c r="O423" s="15"/>
      <c r="P423" s="1362"/>
      <c r="Q423" s="2"/>
      <c r="R423" s="2"/>
      <c r="S423" s="343"/>
      <c r="T423" s="343"/>
      <c r="U423" s="2"/>
      <c r="V423" s="2"/>
      <c r="W423" s="2"/>
      <c r="X423" s="2"/>
      <c r="Y423" s="2"/>
      <c r="Z423" s="583" t="b">
        <f t="shared" si="163"/>
        <v>0</v>
      </c>
      <c r="AA423" s="108" t="b">
        <f t="shared" si="164"/>
        <v>0</v>
      </c>
      <c r="AB423" s="109" t="b">
        <f t="shared" si="166"/>
        <v>0</v>
      </c>
      <c r="AC423" s="153" t="b">
        <f t="shared" si="169"/>
        <v>0</v>
      </c>
      <c r="AD423" s="108" t="b">
        <f t="shared" si="167"/>
        <v>0</v>
      </c>
      <c r="AE423" s="108" t="b">
        <f t="shared" si="167"/>
        <v>0</v>
      </c>
      <c r="AF423" s="108" t="b">
        <f t="shared" si="167"/>
        <v>0</v>
      </c>
      <c r="AG423" s="108" t="b">
        <f t="shared" si="167"/>
        <v>0</v>
      </c>
      <c r="AH423" s="108" t="b">
        <f t="shared" si="167"/>
        <v>0</v>
      </c>
      <c r="AI423" s="109" t="b">
        <f t="shared" si="167"/>
        <v>0</v>
      </c>
      <c r="AJ423" s="2"/>
      <c r="AK423" s="2"/>
      <c r="AL423" s="2"/>
    </row>
    <row r="424" spans="1:38" ht="13" thickBot="1" x14ac:dyDescent="0.3">
      <c r="A424" s="2"/>
      <c r="B424" s="19"/>
      <c r="C424" s="19"/>
      <c r="D424" s="36">
        <f t="shared" si="168"/>
        <v>10</v>
      </c>
      <c r="E424" s="1790"/>
      <c r="F424" s="1050"/>
      <c r="G424" s="447"/>
      <c r="H424" s="357"/>
      <c r="I424" s="469"/>
      <c r="J424" s="1112"/>
      <c r="K424" s="357"/>
      <c r="L424" s="357"/>
      <c r="M424" s="357"/>
      <c r="N424" s="357"/>
      <c r="O424" s="15"/>
      <c r="P424" s="1362"/>
      <c r="Q424" s="2"/>
      <c r="R424" s="2"/>
      <c r="S424" s="343"/>
      <c r="T424" s="343"/>
      <c r="U424" s="2"/>
      <c r="V424" s="2"/>
      <c r="W424" s="2"/>
      <c r="X424" s="2"/>
      <c r="Y424" s="2"/>
      <c r="Z424" s="110" t="b">
        <f t="shared" si="163"/>
        <v>0</v>
      </c>
      <c r="AA424" s="111" t="b">
        <f t="shared" si="164"/>
        <v>0</v>
      </c>
      <c r="AB424" s="112" t="b">
        <f t="shared" si="166"/>
        <v>0</v>
      </c>
      <c r="AC424" s="156" t="b">
        <f t="shared" si="169"/>
        <v>0</v>
      </c>
      <c r="AD424" s="111" t="b">
        <f t="shared" si="167"/>
        <v>0</v>
      </c>
      <c r="AE424" s="111" t="b">
        <f t="shared" si="167"/>
        <v>0</v>
      </c>
      <c r="AF424" s="111" t="b">
        <f t="shared" si="167"/>
        <v>0</v>
      </c>
      <c r="AG424" s="111" t="b">
        <f t="shared" si="167"/>
        <v>0</v>
      </c>
      <c r="AH424" s="111" t="b">
        <f t="shared" si="167"/>
        <v>0</v>
      </c>
      <c r="AI424" s="112" t="b">
        <f t="shared" si="167"/>
        <v>0</v>
      </c>
      <c r="AJ424" s="2"/>
      <c r="AK424" s="2"/>
      <c r="AL424" s="2"/>
    </row>
    <row r="425" spans="1:38" ht="12.75" customHeight="1" thickBot="1" x14ac:dyDescent="0.3">
      <c r="A425" s="2"/>
      <c r="B425" s="19"/>
      <c r="C425" s="19"/>
      <c r="D425" s="90"/>
      <c r="E425" s="1026" t="str">
        <f>Translations!$B$548</f>
        <v>Summa av produktionsnivåer</v>
      </c>
      <c r="F425" s="915"/>
      <c r="G425" s="554"/>
      <c r="H425" s="275" t="str">
        <f t="shared" ref="H425:N425" si="170">IF(COUNT(H415:H424)&gt;0,SUM(H415:H424),"")</f>
        <v/>
      </c>
      <c r="I425" s="281" t="str">
        <f t="shared" si="170"/>
        <v/>
      </c>
      <c r="J425" s="1118" t="str">
        <f t="shared" si="170"/>
        <v/>
      </c>
      <c r="K425" s="275" t="str">
        <f t="shared" si="170"/>
        <v/>
      </c>
      <c r="L425" s="275" t="str">
        <f t="shared" si="170"/>
        <v/>
      </c>
      <c r="M425" s="275" t="str">
        <f t="shared" si="170"/>
        <v/>
      </c>
      <c r="N425" s="275" t="str">
        <f t="shared" si="170"/>
        <v/>
      </c>
      <c r="O425" s="15"/>
      <c r="P425" s="15"/>
      <c r="Q425" s="2"/>
      <c r="R425" s="2"/>
      <c r="S425" s="343"/>
      <c r="T425" s="343"/>
      <c r="U425" s="2"/>
      <c r="V425" s="2"/>
      <c r="W425" s="2"/>
      <c r="X425" s="2"/>
      <c r="Y425" s="2"/>
      <c r="Z425" s="2"/>
      <c r="AA425" s="2"/>
      <c r="AB425" s="555" t="b">
        <f>AND(AB415:AB424)</f>
        <v>0</v>
      </c>
      <c r="AC425" s="2"/>
      <c r="AD425" s="2"/>
      <c r="AE425" s="2"/>
      <c r="AF425" s="2"/>
      <c r="AG425" s="2"/>
      <c r="AH425" s="2"/>
      <c r="AI425" s="2"/>
      <c r="AJ425" s="2"/>
      <c r="AK425" s="2"/>
      <c r="AL425" s="2"/>
    </row>
    <row r="426" spans="1:38" ht="12.75" customHeight="1" thickBot="1" x14ac:dyDescent="0.3">
      <c r="A426" s="2"/>
      <c r="B426" s="178"/>
      <c r="C426" s="178"/>
      <c r="D426" s="178"/>
      <c r="E426" s="178"/>
      <c r="F426" s="178"/>
      <c r="G426" s="178"/>
      <c r="H426" s="178"/>
      <c r="I426" s="178"/>
      <c r="J426" s="178"/>
      <c r="K426" s="178"/>
      <c r="L426" s="178"/>
      <c r="M426" s="15"/>
      <c r="N426" s="15"/>
      <c r="O426" s="15"/>
      <c r="P426" s="15"/>
      <c r="Q426" s="343"/>
      <c r="R426" s="2"/>
      <c r="S426" s="343"/>
      <c r="T426" s="343"/>
      <c r="U426" s="2"/>
      <c r="V426" s="2"/>
      <c r="W426" s="2"/>
      <c r="X426" s="2"/>
      <c r="Y426" s="2"/>
      <c r="Z426" s="2"/>
      <c r="AA426" s="2"/>
      <c r="AB426" s="2"/>
      <c r="AC426" s="2"/>
      <c r="AD426" s="2"/>
      <c r="AE426" s="2"/>
      <c r="AF426" s="2"/>
      <c r="AG426" s="2"/>
      <c r="AH426" s="2"/>
      <c r="AI426" s="2"/>
      <c r="AJ426" s="2"/>
      <c r="AK426" s="2"/>
      <c r="AL426" s="2"/>
    </row>
    <row r="427" spans="1:38" ht="5.15" customHeight="1" x14ac:dyDescent="0.25">
      <c r="A427" s="2"/>
      <c r="B427" s="178"/>
      <c r="C427" s="775"/>
      <c r="D427" s="776"/>
      <c r="E427" s="776"/>
      <c r="F427" s="776"/>
      <c r="G427" s="776"/>
      <c r="H427" s="776"/>
      <c r="I427" s="776"/>
      <c r="J427" s="776"/>
      <c r="K427" s="776"/>
      <c r="L427" s="776"/>
      <c r="M427" s="777"/>
      <c r="N427" s="778"/>
      <c r="O427" s="15"/>
      <c r="P427" s="15"/>
      <c r="Q427" s="343"/>
      <c r="R427" s="2"/>
      <c r="S427" s="343"/>
      <c r="T427" s="343"/>
      <c r="U427" s="2"/>
      <c r="V427" s="2"/>
      <c r="W427" s="2"/>
      <c r="X427" s="2"/>
      <c r="Y427" s="2"/>
      <c r="Z427" s="2"/>
      <c r="AA427" s="2"/>
      <c r="AB427" s="2"/>
      <c r="AC427" s="2"/>
      <c r="AD427" s="2"/>
      <c r="AE427" s="2"/>
      <c r="AF427" s="2"/>
      <c r="AG427" s="2"/>
      <c r="AH427" s="2"/>
      <c r="AI427" s="2"/>
      <c r="AJ427" s="2"/>
      <c r="AK427" s="2"/>
      <c r="AL427" s="2"/>
    </row>
    <row r="428" spans="1:38" ht="15" customHeight="1" x14ac:dyDescent="0.25">
      <c r="A428" s="2"/>
      <c r="B428" s="19"/>
      <c r="C428" s="779"/>
      <c r="D428" s="2645" t="str">
        <f>Translations!$B$549</f>
        <v>Uppgifter som krävs för att fastställa den riktmärkesrelaterade förbättringsfaktorn enligt artikel 10a.2 i ETS-direktivet</v>
      </c>
      <c r="E428" s="2635"/>
      <c r="F428" s="2635"/>
      <c r="G428" s="2635"/>
      <c r="H428" s="2635"/>
      <c r="I428" s="2635"/>
      <c r="J428" s="2635"/>
      <c r="K428" s="2635"/>
      <c r="L428" s="2635"/>
      <c r="M428" s="2635"/>
      <c r="N428" s="2636"/>
      <c r="O428" s="15"/>
      <c r="P428" s="15"/>
      <c r="Q428" s="2"/>
      <c r="R428" s="2"/>
      <c r="S428" s="343"/>
      <c r="T428" s="343"/>
      <c r="U428" s="2"/>
      <c r="V428" s="2"/>
      <c r="W428" s="2"/>
      <c r="X428" s="2"/>
      <c r="Y428" s="2"/>
      <c r="Z428" s="2"/>
      <c r="AA428" s="2"/>
      <c r="AB428" s="2"/>
      <c r="AC428" s="2"/>
      <c r="AD428" s="2"/>
      <c r="AE428" s="2"/>
      <c r="AF428" s="2"/>
      <c r="AG428" s="2"/>
      <c r="AH428" s="2"/>
      <c r="AI428" s="2"/>
      <c r="AJ428" s="2"/>
      <c r="AK428" s="2"/>
      <c r="AL428" s="2"/>
    </row>
    <row r="429" spans="1:38" ht="5.15" customHeight="1" x14ac:dyDescent="0.25">
      <c r="A429" s="2"/>
      <c r="B429" s="19"/>
      <c r="C429" s="371"/>
      <c r="D429" s="360"/>
      <c r="E429" s="360"/>
      <c r="F429" s="360"/>
      <c r="G429" s="360"/>
      <c r="H429" s="360"/>
      <c r="I429" s="360"/>
      <c r="J429" s="360"/>
      <c r="K429" s="360"/>
      <c r="L429" s="360"/>
      <c r="M429" s="360"/>
      <c r="N429" s="372"/>
      <c r="O429" s="15"/>
      <c r="P429" s="15"/>
      <c r="Q429" s="2"/>
      <c r="R429" s="2"/>
      <c r="S429" s="343"/>
      <c r="T429" s="343"/>
      <c r="U429" s="2"/>
      <c r="V429" s="2"/>
      <c r="W429" s="2"/>
      <c r="X429" s="2"/>
      <c r="Y429" s="2"/>
      <c r="Z429" s="2"/>
      <c r="AA429" s="2"/>
      <c r="AB429" s="2"/>
      <c r="AC429" s="2"/>
      <c r="AD429" s="2"/>
      <c r="AE429" s="2"/>
      <c r="AF429" s="2"/>
      <c r="AG429" s="2"/>
      <c r="AH429" s="2"/>
      <c r="AI429" s="2"/>
      <c r="AJ429" s="2"/>
      <c r="AK429" s="2"/>
      <c r="AL429" s="2"/>
    </row>
    <row r="430" spans="1:38" ht="15" customHeight="1" x14ac:dyDescent="0.25">
      <c r="A430" s="2"/>
      <c r="B430" s="19"/>
      <c r="C430" s="371"/>
      <c r="D430" s="2646" t="str">
        <f>EUconst_BMSubinst &amp; ":"</f>
        <v>Delanläggning med produktriktmärke:</v>
      </c>
      <c r="E430" s="2642"/>
      <c r="F430" s="2642"/>
      <c r="G430" s="2642"/>
      <c r="H430" s="2647"/>
      <c r="I430" s="2090" t="str">
        <f>I315</f>
        <v/>
      </c>
      <c r="J430" s="2120"/>
      <c r="K430" s="2120"/>
      <c r="L430" s="2120"/>
      <c r="M430" s="2120"/>
      <c r="N430" s="2648"/>
      <c r="O430" s="15"/>
      <c r="P430" s="15"/>
      <c r="Q430" s="2"/>
      <c r="R430" s="2"/>
      <c r="S430" s="343"/>
      <c r="T430" s="343"/>
      <c r="U430" s="2"/>
      <c r="V430" s="2"/>
      <c r="W430" s="2"/>
      <c r="X430" s="2"/>
      <c r="Y430" s="2"/>
      <c r="Z430" s="2"/>
      <c r="AA430" s="2"/>
      <c r="AB430" s="2"/>
      <c r="AC430" s="2"/>
      <c r="AD430" s="2"/>
      <c r="AE430" s="2"/>
      <c r="AF430" s="2"/>
      <c r="AG430" s="2"/>
      <c r="AH430" s="2"/>
      <c r="AI430" s="2"/>
      <c r="AJ430" s="2"/>
      <c r="AK430" s="2"/>
      <c r="AL430" s="2"/>
    </row>
    <row r="431" spans="1:38" ht="5.15" customHeight="1" x14ac:dyDescent="0.25">
      <c r="A431" s="2"/>
      <c r="B431" s="19"/>
      <c r="C431" s="371"/>
      <c r="D431" s="360"/>
      <c r="E431" s="360"/>
      <c r="F431" s="360"/>
      <c r="G431" s="360"/>
      <c r="H431" s="360"/>
      <c r="I431" s="360"/>
      <c r="J431" s="360"/>
      <c r="K431" s="360"/>
      <c r="L431" s="360"/>
      <c r="M431" s="360"/>
      <c r="N431" s="372"/>
      <c r="O431" s="15"/>
      <c r="P431" s="15"/>
      <c r="Q431" s="2"/>
      <c r="R431" s="2"/>
      <c r="S431" s="343"/>
      <c r="T431" s="343"/>
      <c r="U431" s="2"/>
      <c r="V431" s="2"/>
      <c r="W431" s="2"/>
      <c r="X431" s="2"/>
      <c r="Y431" s="2"/>
      <c r="Z431" s="2"/>
      <c r="AA431" s="2"/>
      <c r="AB431" s="2"/>
      <c r="AC431" s="2"/>
      <c r="AD431" s="2"/>
      <c r="AE431" s="2"/>
      <c r="AF431" s="2"/>
      <c r="AG431" s="2"/>
      <c r="AH431" s="2"/>
      <c r="AI431" s="2"/>
      <c r="AJ431" s="2"/>
      <c r="AK431" s="2"/>
      <c r="AL431" s="2"/>
    </row>
    <row r="432" spans="1:38" ht="30" customHeight="1" x14ac:dyDescent="0.25">
      <c r="A432" s="2"/>
      <c r="B432" s="178"/>
      <c r="C432" s="779"/>
      <c r="D432" s="780"/>
      <c r="E432" s="2649" t="str">
        <f>Translations!$B$550</f>
        <v>Detta underavsnitt avser tillskrivning av utsläpp från bränsle-/materialmängder, utsläppskällor, import och export av mätbar värme och restgaser inklusive värmeförluster i enlighet med avsnitt 10 i bilaga VII till FAR.</v>
      </c>
      <c r="F432" s="2649"/>
      <c r="G432" s="2649"/>
      <c r="H432" s="2649"/>
      <c r="I432" s="2649"/>
      <c r="J432" s="2649"/>
      <c r="K432" s="2649"/>
      <c r="L432" s="2649"/>
      <c r="M432" s="2649"/>
      <c r="N432" s="2650"/>
      <c r="O432" s="15"/>
      <c r="P432" s="15"/>
      <c r="Q432" s="343"/>
      <c r="R432" s="2"/>
      <c r="S432" s="2"/>
      <c r="T432" s="2"/>
      <c r="U432" s="2"/>
      <c r="V432" s="2"/>
      <c r="W432" s="2"/>
      <c r="X432" s="2"/>
      <c r="Y432" s="2"/>
      <c r="Z432" s="2"/>
      <c r="AA432" s="2"/>
      <c r="AB432" s="2"/>
      <c r="AC432" s="2"/>
      <c r="AD432" s="2"/>
      <c r="AE432" s="2"/>
      <c r="AF432" s="2"/>
      <c r="AG432" s="2"/>
      <c r="AH432" s="2"/>
      <c r="AI432" s="2"/>
      <c r="AJ432" s="2"/>
      <c r="AK432" s="2"/>
      <c r="AL432" s="2"/>
    </row>
    <row r="433" spans="1:38" ht="30" customHeight="1" x14ac:dyDescent="0.25">
      <c r="A433" s="2"/>
      <c r="B433" s="178"/>
      <c r="C433" s="779"/>
      <c r="D433" s="780"/>
      <c r="E433" s="2649" t="str">
        <f>Translations!$B$551</f>
        <v xml:space="preserve">Var god notera att även om viss vägledning ges för varje punkt nedan bör ytterligare information inhämtas från vägledning 5 (”Monitoring and Reporting in relation to the FAR”), som också innehåller exempel. </v>
      </c>
      <c r="F433" s="2649"/>
      <c r="G433" s="2649"/>
      <c r="H433" s="2649"/>
      <c r="I433" s="2649"/>
      <c r="J433" s="2649"/>
      <c r="K433" s="2649"/>
      <c r="L433" s="2649"/>
      <c r="M433" s="2649"/>
      <c r="N433" s="2597"/>
      <c r="O433" s="15"/>
      <c r="P433" s="15"/>
      <c r="Q433" s="343"/>
      <c r="R433" s="2"/>
      <c r="S433" s="2"/>
      <c r="T433" s="2"/>
      <c r="U433" s="2"/>
      <c r="V433" s="2"/>
      <c r="W433" s="2"/>
      <c r="X433" s="2"/>
      <c r="Y433" s="2"/>
      <c r="Z433" s="2"/>
      <c r="AA433" s="2"/>
      <c r="AB433" s="2"/>
      <c r="AC433" s="2"/>
      <c r="AD433" s="2"/>
      <c r="AE433" s="2"/>
      <c r="AF433" s="2"/>
      <c r="AG433" s="2"/>
      <c r="AH433" s="2"/>
      <c r="AI433" s="2"/>
      <c r="AJ433" s="2"/>
      <c r="AK433" s="2"/>
      <c r="AL433" s="2"/>
    </row>
    <row r="434" spans="1:38" ht="12.75" customHeight="1" x14ac:dyDescent="0.25">
      <c r="A434" s="2"/>
      <c r="B434" s="178"/>
      <c r="C434" s="779"/>
      <c r="D434" s="780"/>
      <c r="E434" s="2649" t="str">
        <f>Translations!$B$552</f>
        <v xml:space="preserve">Vägledningen kan laddas ner via följande länk: </v>
      </c>
      <c r="F434" s="1960"/>
      <c r="G434" s="1960"/>
      <c r="H434" s="1960"/>
      <c r="I434" s="1960"/>
      <c r="J434" s="1960"/>
      <c r="K434" s="1960"/>
      <c r="L434" s="1960"/>
      <c r="M434" s="1960"/>
      <c r="N434" s="2597"/>
      <c r="O434" s="15"/>
      <c r="P434" s="15"/>
      <c r="Q434" s="343"/>
      <c r="R434" s="2"/>
      <c r="S434" s="2"/>
      <c r="T434" s="2"/>
      <c r="U434" s="2"/>
      <c r="V434" s="2"/>
      <c r="W434" s="2"/>
      <c r="X434" s="2"/>
      <c r="Y434" s="2"/>
      <c r="Z434" s="2"/>
      <c r="AA434" s="2"/>
      <c r="AB434" s="2"/>
      <c r="AC434" s="2"/>
      <c r="AD434" s="2"/>
      <c r="AE434" s="2"/>
      <c r="AF434" s="2"/>
      <c r="AG434" s="2"/>
      <c r="AH434" s="2"/>
      <c r="AI434" s="2"/>
      <c r="AJ434" s="2"/>
      <c r="AK434" s="2"/>
      <c r="AL434" s="2"/>
    </row>
    <row r="435" spans="1:38" ht="15" customHeight="1" x14ac:dyDescent="0.25">
      <c r="A435" s="2"/>
      <c r="B435" s="178"/>
      <c r="C435" s="779"/>
      <c r="D435" s="780"/>
      <c r="E435" s="2651" t="str">
        <f>Translations!$B$553</f>
        <v>https://ec.europa.eu/clima/policies/ets/allowances_en#tab-0-1</v>
      </c>
      <c r="F435" s="2651"/>
      <c r="G435" s="2651"/>
      <c r="H435" s="2651"/>
      <c r="I435" s="2651"/>
      <c r="J435" s="2651"/>
      <c r="K435" s="2651"/>
      <c r="L435" s="2651"/>
      <c r="M435" s="2651"/>
      <c r="N435" s="2624"/>
      <c r="O435" s="15"/>
      <c r="P435" s="15"/>
      <c r="Q435" s="343"/>
      <c r="R435" s="2"/>
      <c r="S435" s="2"/>
      <c r="T435" s="2"/>
      <c r="U435" s="2"/>
      <c r="V435" s="2"/>
      <c r="W435" s="2"/>
      <c r="X435" s="2"/>
      <c r="Y435" s="2"/>
      <c r="Z435" s="2"/>
      <c r="AA435" s="2"/>
      <c r="AB435" s="2"/>
      <c r="AC435" s="2"/>
      <c r="AD435" s="2"/>
      <c r="AE435" s="2"/>
      <c r="AF435" s="2"/>
      <c r="AG435" s="2"/>
      <c r="AH435" s="2"/>
      <c r="AI435" s="2"/>
      <c r="AJ435" s="2"/>
      <c r="AK435" s="2"/>
      <c r="AL435" s="2"/>
    </row>
    <row r="436" spans="1:38" ht="5.15" customHeight="1" x14ac:dyDescent="0.25">
      <c r="A436" s="2"/>
      <c r="B436" s="19"/>
      <c r="C436" s="371"/>
      <c r="D436" s="360"/>
      <c r="E436" s="360"/>
      <c r="F436" s="360"/>
      <c r="G436" s="360"/>
      <c r="H436" s="360"/>
      <c r="I436" s="360"/>
      <c r="J436" s="360"/>
      <c r="K436" s="360"/>
      <c r="L436" s="360"/>
      <c r="M436" s="360"/>
      <c r="N436" s="372"/>
      <c r="O436" s="15"/>
      <c r="P436" s="15"/>
      <c r="Q436" s="2"/>
      <c r="R436" s="2"/>
      <c r="S436" s="343"/>
      <c r="T436" s="343"/>
      <c r="U436" s="2"/>
      <c r="V436" s="2"/>
      <c r="W436" s="2"/>
      <c r="X436" s="2"/>
      <c r="Y436" s="2"/>
      <c r="Z436" s="2"/>
      <c r="AA436" s="2"/>
      <c r="AB436" s="2"/>
      <c r="AC436" s="2"/>
      <c r="AD436" s="2"/>
      <c r="AE436" s="2"/>
      <c r="AF436" s="2"/>
      <c r="AG436" s="2"/>
      <c r="AH436" s="2"/>
      <c r="AI436" s="2"/>
      <c r="AJ436" s="2"/>
      <c r="AK436" s="2"/>
      <c r="AL436" s="2"/>
    </row>
    <row r="437" spans="1:38" ht="15" customHeight="1" x14ac:dyDescent="0.25">
      <c r="A437" s="2"/>
      <c r="B437" s="178"/>
      <c r="C437" s="779"/>
      <c r="D437" s="780"/>
      <c r="E437" s="2633" t="str">
        <f>Translations!$B$554</f>
        <v>Utifrån de uppgifter som anges nedan beräknas de tillskrivna utsläppen i avsnitt K.III.2 i det sammanfattande bladet "K_Summary".</v>
      </c>
      <c r="F437" s="2633"/>
      <c r="G437" s="2633"/>
      <c r="H437" s="2633"/>
      <c r="I437" s="2633"/>
      <c r="J437" s="2633"/>
      <c r="K437" s="2633"/>
      <c r="L437" s="2633"/>
      <c r="M437" s="2633"/>
      <c r="N437" s="2624"/>
      <c r="O437" s="15"/>
      <c r="P437" s="15"/>
      <c r="Q437" s="343"/>
      <c r="R437" s="2"/>
      <c r="S437" s="2"/>
      <c r="T437" s="2"/>
      <c r="U437" s="2"/>
      <c r="V437" s="2"/>
      <c r="W437" s="2"/>
      <c r="X437" s="2"/>
      <c r="Y437" s="2"/>
      <c r="Z437" s="2"/>
      <c r="AA437" s="2"/>
      <c r="AB437" s="2"/>
      <c r="AC437" s="2"/>
      <c r="AD437" s="2"/>
      <c r="AE437" s="2"/>
      <c r="AF437" s="2"/>
      <c r="AG437" s="2"/>
      <c r="AH437" s="2"/>
      <c r="AI437" s="2"/>
      <c r="AJ437" s="2"/>
      <c r="AK437" s="2"/>
      <c r="AL437" s="2"/>
    </row>
    <row r="438" spans="1:38" ht="5.15" customHeight="1" x14ac:dyDescent="0.25">
      <c r="A438" s="2"/>
      <c r="B438" s="19"/>
      <c r="C438" s="371"/>
      <c r="D438" s="360"/>
      <c r="E438" s="360"/>
      <c r="F438" s="360"/>
      <c r="G438" s="360"/>
      <c r="H438" s="360"/>
      <c r="I438" s="360"/>
      <c r="J438" s="360"/>
      <c r="K438" s="360"/>
      <c r="L438" s="360"/>
      <c r="M438" s="360"/>
      <c r="N438" s="372"/>
      <c r="O438" s="15"/>
      <c r="P438" s="15"/>
      <c r="Q438" s="2"/>
      <c r="R438" s="2"/>
      <c r="S438" s="343"/>
      <c r="T438" s="343"/>
      <c r="U438" s="2"/>
      <c r="V438" s="2"/>
      <c r="W438" s="2"/>
      <c r="X438" s="2"/>
      <c r="Y438" s="2"/>
      <c r="Z438" s="2"/>
      <c r="AA438" s="2"/>
      <c r="AB438" s="2"/>
      <c r="AC438" s="2"/>
      <c r="AD438" s="2"/>
      <c r="AE438" s="2"/>
      <c r="AF438" s="2"/>
      <c r="AG438" s="2"/>
      <c r="AH438" s="2"/>
      <c r="AI438" s="2"/>
      <c r="AJ438" s="2"/>
      <c r="AK438" s="2"/>
      <c r="AL438" s="2"/>
    </row>
    <row r="439" spans="1:38" ht="12.75" customHeight="1" x14ac:dyDescent="0.25">
      <c r="A439" s="2"/>
      <c r="B439" s="178"/>
      <c r="C439" s="779"/>
      <c r="D439" s="373" t="s">
        <v>299</v>
      </c>
      <c r="E439" s="2634" t="str">
        <f>Translations!$B$555</f>
        <v>Utsläpp som direkt kan tillskrivas (DirEm* (bränsle-/materialmängder enligt övervakningsplan)) delanläggningen</v>
      </c>
      <c r="F439" s="2635"/>
      <c r="G439" s="2635"/>
      <c r="H439" s="2635"/>
      <c r="I439" s="2635"/>
      <c r="J439" s="2635"/>
      <c r="K439" s="2635"/>
      <c r="L439" s="2635"/>
      <c r="M439" s="2635"/>
      <c r="N439" s="2636"/>
      <c r="O439" s="15"/>
      <c r="P439" s="15"/>
      <c r="Q439" s="343"/>
      <c r="R439" s="2"/>
      <c r="S439" s="343"/>
      <c r="T439" s="343"/>
      <c r="U439" s="2"/>
      <c r="V439" s="2"/>
      <c r="W439" s="2"/>
      <c r="X439" s="2"/>
      <c r="Y439" s="2"/>
      <c r="Z439" s="2"/>
      <c r="AA439" s="2"/>
      <c r="AB439" s="2"/>
      <c r="AC439" s="2"/>
      <c r="AD439" s="2"/>
      <c r="AE439" s="2"/>
      <c r="AF439" s="2"/>
      <c r="AG439" s="2"/>
      <c r="AH439" s="2"/>
      <c r="AI439" s="2"/>
      <c r="AJ439" s="2"/>
      <c r="AK439" s="2"/>
      <c r="AL439" s="2"/>
    </row>
    <row r="440" spans="1:38" ht="12.75" customHeight="1" x14ac:dyDescent="0.25">
      <c r="A440" s="2"/>
      <c r="B440" s="178"/>
      <c r="C440" s="779"/>
      <c r="D440" s="416"/>
      <c r="E440" s="2637" t="str">
        <f>Translations!$B$556</f>
        <v>De uppgifter som anges här påverkar de utsläpp som kan tillskrivas i enlighet med avsnitt 10.1.1 i bilaga VII till FAR.</v>
      </c>
      <c r="F440" s="2634"/>
      <c r="G440" s="2634"/>
      <c r="H440" s="2634"/>
      <c r="I440" s="2634"/>
      <c r="J440" s="2634"/>
      <c r="K440" s="2634"/>
      <c r="L440" s="2634"/>
      <c r="M440" s="2634"/>
      <c r="N440" s="2638"/>
      <c r="O440" s="15"/>
      <c r="P440" s="15"/>
      <c r="Q440" s="343"/>
      <c r="R440" s="2"/>
      <c r="S440" s="343"/>
      <c r="T440" s="343"/>
      <c r="U440" s="2"/>
      <c r="V440" s="2"/>
      <c r="W440" s="2"/>
      <c r="X440" s="2"/>
      <c r="Y440" s="2"/>
      <c r="Z440" s="2"/>
      <c r="AA440" s="2"/>
      <c r="AB440" s="2"/>
      <c r="AC440" s="2"/>
      <c r="AD440" s="2"/>
      <c r="AE440" s="2"/>
      <c r="AF440" s="2"/>
      <c r="AG440" s="2"/>
      <c r="AH440" s="2"/>
      <c r="AI440" s="2"/>
      <c r="AJ440" s="2"/>
      <c r="AK440" s="2"/>
      <c r="AL440" s="2"/>
    </row>
    <row r="441" spans="1:38" ht="12.75" customHeight="1" x14ac:dyDescent="0.25">
      <c r="A441" s="2"/>
      <c r="B441" s="178"/>
      <c r="C441" s="779"/>
      <c r="D441" s="780"/>
      <c r="E441" s="2639" t="str">
        <f>Translations!$B$557</f>
        <v>Var god ange utsläpp som direkt kan tillskrivas (DirEm* (bränsle-/materialmängder enligt övervakningsplan)) delanläggningen med beaktande av följande bestämmelser:</v>
      </c>
      <c r="F441" s="2639"/>
      <c r="G441" s="2639"/>
      <c r="H441" s="2639"/>
      <c r="I441" s="2639"/>
      <c r="J441" s="2639"/>
      <c r="K441" s="2639"/>
      <c r="L441" s="2639"/>
      <c r="M441" s="2639"/>
      <c r="N441" s="2640"/>
      <c r="O441" s="15"/>
      <c r="P441" s="15"/>
      <c r="Q441" s="343"/>
      <c r="R441" s="2"/>
      <c r="S441" s="343"/>
      <c r="T441" s="2"/>
      <c r="U441" s="2"/>
      <c r="V441" s="2"/>
      <c r="W441" s="2"/>
      <c r="X441" s="2"/>
      <c r="Y441" s="2"/>
      <c r="Z441" s="2"/>
      <c r="AA441" s="2"/>
      <c r="AB441" s="2"/>
      <c r="AC441" s="2"/>
      <c r="AD441" s="2"/>
      <c r="AE441" s="2"/>
      <c r="AF441" s="2"/>
      <c r="AG441" s="2"/>
      <c r="AH441" s="2"/>
      <c r="AI441" s="2"/>
      <c r="AJ441" s="2"/>
      <c r="AK441" s="2"/>
      <c r="AL441" s="2"/>
    </row>
    <row r="442" spans="1:38" ht="25.5" customHeight="1" x14ac:dyDescent="0.25">
      <c r="A442" s="2"/>
      <c r="B442" s="178"/>
      <c r="C442" s="779"/>
      <c r="D442" s="780"/>
      <c r="E442" s="1140" t="s">
        <v>1112</v>
      </c>
      <c r="F442" s="2641" t="str">
        <f>Translations!$B$558</f>
        <v>”Utsläpp som direkt kan tillskrivas” övervakas enligt den övervakningsplan som ska godkännas enligt M&amp;R-förordningen, dvs. med hänsyn tagen till de utsläpp som fastställts utifrån beräkningsbaserade metoder (med hjälp av bränsle-/materialmängder), mätbaserade metoder (Cems) och nivålösa metoder (”alternativa övervakningsmetoder”/”fall-back”).</v>
      </c>
      <c r="G442" s="2642"/>
      <c r="H442" s="2642"/>
      <c r="I442" s="2642"/>
      <c r="J442" s="2642"/>
      <c r="K442" s="2642"/>
      <c r="L442" s="2642"/>
      <c r="M442" s="2642"/>
      <c r="N442" s="2643"/>
      <c r="O442" s="15"/>
      <c r="P442" s="15"/>
      <c r="Q442" s="343"/>
      <c r="R442" s="2"/>
      <c r="S442" s="343"/>
      <c r="T442" s="2"/>
      <c r="U442" s="2"/>
      <c r="V442" s="2"/>
      <c r="W442" s="2"/>
      <c r="X442" s="2"/>
      <c r="Y442" s="2"/>
      <c r="Z442" s="2"/>
      <c r="AA442" s="2"/>
      <c r="AB442" s="2"/>
      <c r="AC442" s="2"/>
      <c r="AD442" s="2"/>
      <c r="AE442" s="2"/>
      <c r="AF442" s="2"/>
      <c r="AG442" s="2"/>
      <c r="AH442" s="2"/>
      <c r="AI442" s="2"/>
      <c r="AJ442" s="2"/>
      <c r="AK442" s="2"/>
      <c r="AL442" s="2"/>
    </row>
    <row r="443" spans="1:38" ht="38.25" customHeight="1" x14ac:dyDescent="0.25">
      <c r="A443" s="2"/>
      <c r="B443" s="178"/>
      <c r="C443" s="779"/>
      <c r="D443" s="780"/>
      <c r="E443" s="1140"/>
      <c r="F443" s="2610" t="str">
        <f>Translations!$B$559</f>
        <v>I flera situationer är ”utsläppen som direkt kan tillskrivas” i detta avsnitt dock inte identiska med de som ska rapporteras enligt M&amp;R-förordningen. Sådana situationer är bland annat när bränsle-/materialmängder används för produktion av mätbar värme, restgaser osv. Med andra ord måste man därför vara uppmärksam när man fyller i avsnitten nedan, så att man följer instruktionerna noggrant för att undvika dubbelräkning eller utelämnanden.</v>
      </c>
      <c r="G443" s="1960"/>
      <c r="H443" s="1960"/>
      <c r="I443" s="1960"/>
      <c r="J443" s="1960"/>
      <c r="K443" s="1960"/>
      <c r="L443" s="1960"/>
      <c r="M443" s="1960"/>
      <c r="N443" s="2597"/>
      <c r="O443" s="15"/>
      <c r="P443" s="15"/>
      <c r="Q443" s="343"/>
      <c r="R443" s="2"/>
      <c r="S443" s="343"/>
      <c r="T443" s="2"/>
      <c r="U443" s="2"/>
      <c r="V443" s="2"/>
      <c r="W443" s="2"/>
      <c r="X443" s="2"/>
      <c r="Y443" s="2"/>
      <c r="Z443" s="2"/>
      <c r="AA443" s="2"/>
      <c r="AB443" s="2"/>
      <c r="AC443" s="2"/>
      <c r="AD443" s="2"/>
      <c r="AE443" s="2"/>
      <c r="AF443" s="2"/>
      <c r="AG443" s="2"/>
      <c r="AH443" s="2"/>
      <c r="AI443" s="2"/>
      <c r="AJ443" s="2"/>
      <c r="AK443" s="2"/>
      <c r="AL443" s="2"/>
    </row>
    <row r="444" spans="1:38" ht="12.75" customHeight="1" x14ac:dyDescent="0.25">
      <c r="A444" s="2"/>
      <c r="B444" s="178"/>
      <c r="C444" s="779"/>
      <c r="D444" s="780"/>
      <c r="E444" s="1140" t="s">
        <v>1112</v>
      </c>
      <c r="F444" s="2641" t="str">
        <f>Translations!$B$560</f>
        <v xml:space="preserve">Mätbar värme: om värmen enbart produceras för en delanläggning kan utsläppen tillskrivas direkt här via bränslets utsläpp. </v>
      </c>
      <c r="G444" s="2642"/>
      <c r="H444" s="2642"/>
      <c r="I444" s="2642"/>
      <c r="J444" s="2642"/>
      <c r="K444" s="2642"/>
      <c r="L444" s="2642"/>
      <c r="M444" s="2642"/>
      <c r="N444" s="2643"/>
      <c r="O444" s="15"/>
      <c r="P444" s="15"/>
      <c r="Q444" s="343"/>
      <c r="R444" s="2"/>
      <c r="S444" s="343"/>
      <c r="T444" s="2"/>
      <c r="U444" s="2"/>
      <c r="V444" s="2"/>
      <c r="W444" s="2"/>
      <c r="X444" s="2"/>
      <c r="Y444" s="2"/>
      <c r="Z444" s="2"/>
      <c r="AA444" s="2"/>
      <c r="AB444" s="2"/>
      <c r="AC444" s="2"/>
      <c r="AD444" s="2"/>
      <c r="AE444" s="2"/>
      <c r="AF444" s="2"/>
      <c r="AG444" s="2"/>
      <c r="AH444" s="2"/>
      <c r="AI444" s="2"/>
      <c r="AJ444" s="2"/>
      <c r="AK444" s="2"/>
      <c r="AL444" s="2"/>
    </row>
    <row r="445" spans="1:38" ht="38.9" customHeight="1" x14ac:dyDescent="0.25">
      <c r="A445" s="2"/>
      <c r="B445" s="178"/>
      <c r="C445" s="779"/>
      <c r="D445" s="780"/>
      <c r="E445" s="1140"/>
      <c r="F445" s="2641" t="str">
        <f>Translations!$B$561</f>
        <v>I samtliga fall där bränslen används för att producera mätbar värme som används i mer än en delanläggning där värmen förbrukas (vilket innefattar situationer med import från och export till andra anläggningar), bör bränslena inte räknas med i de ”utsläpp som direkt kan tillskrivas” delanläggningen utan tas med i punkt k nedan.</v>
      </c>
      <c r="G445" s="2642"/>
      <c r="H445" s="2642"/>
      <c r="I445" s="2642"/>
      <c r="J445" s="2642"/>
      <c r="K445" s="2642"/>
      <c r="L445" s="2642"/>
      <c r="M445" s="2642"/>
      <c r="N445" s="2643"/>
      <c r="O445" s="15"/>
      <c r="P445" s="15"/>
      <c r="Q445" s="343"/>
      <c r="R445" s="2"/>
      <c r="S445" s="343"/>
      <c r="T445" s="2"/>
      <c r="U445" s="2"/>
      <c r="V445" s="2"/>
      <c r="W445" s="2"/>
      <c r="X445" s="2"/>
      <c r="Y445" s="2"/>
      <c r="Z445" s="2"/>
      <c r="AA445" s="2"/>
      <c r="AB445" s="2"/>
      <c r="AC445" s="2"/>
      <c r="AD445" s="2"/>
      <c r="AE445" s="2"/>
      <c r="AF445" s="2"/>
      <c r="AG445" s="2"/>
      <c r="AH445" s="2"/>
      <c r="AI445" s="2"/>
      <c r="AJ445" s="2"/>
      <c r="AK445" s="2"/>
      <c r="AL445" s="2"/>
    </row>
    <row r="446" spans="1:38" ht="25.5" customHeight="1" x14ac:dyDescent="0.25">
      <c r="A446" s="2"/>
      <c r="B446" s="178"/>
      <c r="C446" s="779"/>
      <c r="D446" s="780"/>
      <c r="E446" s="1140"/>
      <c r="F446" s="2641" t="str">
        <f>Translations!$B$562</f>
        <v>Detta innefattar mätbar värme från en enhet på platsen (t.ex. en energicentral vid anläggningen eller ett mer komplext ångnätverk med flera värmeproducerande enheter) som ger värme till mer än en delanläggning. I ett sådant fall bör utsläppen inte heller tillskrivas här utan i punkt k.i nedan.</v>
      </c>
      <c r="G446" s="2642"/>
      <c r="H446" s="2642"/>
      <c r="I446" s="2642"/>
      <c r="J446" s="2642"/>
      <c r="K446" s="2642"/>
      <c r="L446" s="2642"/>
      <c r="M446" s="2642"/>
      <c r="N446" s="2643"/>
      <c r="O446" s="15"/>
      <c r="P446" s="15"/>
      <c r="Q446" s="343"/>
      <c r="R446" s="2"/>
      <c r="S446" s="343"/>
      <c r="T446" s="2"/>
      <c r="U446" s="2"/>
      <c r="V446" s="2"/>
      <c r="W446" s="2"/>
      <c r="X446" s="2"/>
      <c r="Y446" s="2"/>
      <c r="Z446" s="2"/>
      <c r="AA446" s="2"/>
      <c r="AB446" s="2"/>
      <c r="AC446" s="2"/>
      <c r="AD446" s="2"/>
      <c r="AE446" s="2"/>
      <c r="AF446" s="2"/>
      <c r="AG446" s="2"/>
      <c r="AH446" s="2"/>
      <c r="AI446" s="2"/>
      <c r="AJ446" s="2"/>
      <c r="AK446" s="2"/>
      <c r="AL446" s="2"/>
    </row>
    <row r="447" spans="1:38" ht="25.5" customHeight="1" x14ac:dyDescent="0.25">
      <c r="A447" s="2"/>
      <c r="B447" s="178"/>
      <c r="C447" s="779"/>
      <c r="D447" s="780"/>
      <c r="E447" s="1140" t="s">
        <v>1112</v>
      </c>
      <c r="F447" s="2641" t="str">
        <f>Translations!$B$563</f>
        <v>Exporterad mätbar värme: inga korrigeringar bör göras här om sådan värme återvinns från processen och exporteras. Avdrag för tillhörande utsläpp görs utifrån de uppgifter som ges i punkt k.v nedan.</v>
      </c>
      <c r="G447" s="2642"/>
      <c r="H447" s="2642"/>
      <c r="I447" s="2642"/>
      <c r="J447" s="2642"/>
      <c r="K447" s="2642"/>
      <c r="L447" s="2642"/>
      <c r="M447" s="2642"/>
      <c r="N447" s="2643"/>
      <c r="O447" s="15"/>
      <c r="P447" s="15"/>
      <c r="Q447" s="343"/>
      <c r="R447" s="2"/>
      <c r="S447" s="343"/>
      <c r="T447" s="2"/>
      <c r="U447" s="2"/>
      <c r="V447" s="2"/>
      <c r="W447" s="2"/>
      <c r="X447" s="2"/>
      <c r="Y447" s="2"/>
      <c r="Z447" s="2"/>
      <c r="AA447" s="2"/>
      <c r="AB447" s="2"/>
      <c r="AC447" s="2"/>
      <c r="AD447" s="2"/>
      <c r="AE447" s="2"/>
      <c r="AF447" s="2"/>
      <c r="AG447" s="2"/>
      <c r="AH447" s="2"/>
      <c r="AI447" s="2"/>
      <c r="AJ447" s="2"/>
      <c r="AK447" s="2"/>
      <c r="AL447" s="2"/>
    </row>
    <row r="448" spans="1:38" ht="25.5" customHeight="1" thickBot="1" x14ac:dyDescent="0.3">
      <c r="A448" s="2"/>
      <c r="B448" s="178"/>
      <c r="C448" s="779"/>
      <c r="D448" s="780"/>
      <c r="E448" s="1140" t="s">
        <v>1112</v>
      </c>
      <c r="F448" s="2641" t="str">
        <f>Translations!$B$564</f>
        <v>Restgaser: utsläpp från restgaser som IMPORTERAS från andra anläggningar eller delanläggningar och förbrukas i denna delanläggning bör inte tas med här utan i punkt l nedan.</v>
      </c>
      <c r="G448" s="2642"/>
      <c r="H448" s="2642"/>
      <c r="I448" s="2642"/>
      <c r="J448" s="2642"/>
      <c r="K448" s="2642"/>
      <c r="L448" s="2642"/>
      <c r="M448" s="2642"/>
      <c r="N448" s="2643"/>
      <c r="O448" s="15"/>
      <c r="P448" s="15"/>
      <c r="Q448" s="343"/>
      <c r="R448" s="2"/>
      <c r="S448" s="343"/>
      <c r="T448" s="2"/>
      <c r="U448" s="2"/>
      <c r="V448" s="2"/>
      <c r="W448" s="2"/>
      <c r="X448" s="2"/>
      <c r="Y448" s="2"/>
      <c r="Z448" s="2"/>
      <c r="AA448" s="2"/>
      <c r="AB448" s="2"/>
      <c r="AC448" s="2"/>
      <c r="AD448" s="2"/>
      <c r="AE448" s="2"/>
      <c r="AF448" s="2"/>
      <c r="AG448" s="2"/>
      <c r="AH448" s="2"/>
      <c r="AI448" s="2"/>
      <c r="AJ448" s="2"/>
      <c r="AK448" s="2"/>
      <c r="AL448" s="2"/>
    </row>
    <row r="449" spans="1:38" ht="12.75" customHeight="1" thickBot="1" x14ac:dyDescent="0.3">
      <c r="A449" s="2"/>
      <c r="B449" s="178"/>
      <c r="C449" s="779"/>
      <c r="D449" s="373"/>
      <c r="E449" s="2605" t="str">
        <f>Translations!$B$565</f>
        <v>Utsläpp som direkt kan tillskrivas (DirEm*)</v>
      </c>
      <c r="F449" s="2605"/>
      <c r="G449" s="361" t="str">
        <f>EUconst_Unit</f>
        <v>Enhet</v>
      </c>
      <c r="H449" s="362">
        <f t="shared" ref="H449:N449" si="171">H$3042</f>
        <v>2019</v>
      </c>
      <c r="I449" s="1103">
        <f t="shared" si="171"/>
        <v>2020</v>
      </c>
      <c r="J449" s="1104">
        <f t="shared" si="171"/>
        <v>2021</v>
      </c>
      <c r="K449" s="362">
        <f t="shared" si="171"/>
        <v>2022</v>
      </c>
      <c r="L449" s="362">
        <f t="shared" si="171"/>
        <v>2023</v>
      </c>
      <c r="M449" s="362">
        <f t="shared" si="171"/>
        <v>2024</v>
      </c>
      <c r="N449" s="1141">
        <f t="shared" si="171"/>
        <v>2025</v>
      </c>
      <c r="O449" s="15"/>
      <c r="P449" s="15"/>
      <c r="Q449" s="343"/>
      <c r="R449" s="2"/>
      <c r="S449" s="772"/>
      <c r="T449" s="609">
        <f t="shared" ref="T449:Z449" si="172">H449</f>
        <v>2019</v>
      </c>
      <c r="U449" s="609">
        <f t="shared" si="172"/>
        <v>2020</v>
      </c>
      <c r="V449" s="609">
        <f t="shared" si="172"/>
        <v>2021</v>
      </c>
      <c r="W449" s="609">
        <f t="shared" si="172"/>
        <v>2022</v>
      </c>
      <c r="X449" s="609">
        <f t="shared" si="172"/>
        <v>2023</v>
      </c>
      <c r="Y449" s="609">
        <f t="shared" si="172"/>
        <v>2024</v>
      </c>
      <c r="Z449" s="610">
        <f t="shared" si="172"/>
        <v>2025</v>
      </c>
      <c r="AA449" s="2"/>
      <c r="AB449" s="2"/>
      <c r="AC449" s="1044">
        <f t="shared" ref="AC449:AI449" si="173">H$20</f>
        <v>2019</v>
      </c>
      <c r="AD449" s="1044">
        <f t="shared" si="173"/>
        <v>2020</v>
      </c>
      <c r="AE449" s="1044">
        <f t="shared" si="173"/>
        <v>2021</v>
      </c>
      <c r="AF449" s="1044">
        <f t="shared" si="173"/>
        <v>2022</v>
      </c>
      <c r="AG449" s="1044">
        <f t="shared" si="173"/>
        <v>2023</v>
      </c>
      <c r="AH449" s="1044">
        <f t="shared" si="173"/>
        <v>2024</v>
      </c>
      <c r="AI449" s="1044">
        <f t="shared" si="173"/>
        <v>2025</v>
      </c>
      <c r="AJ449" s="2"/>
      <c r="AK449" s="2"/>
      <c r="AL449" s="2"/>
    </row>
    <row r="450" spans="1:38" ht="12.75" customHeight="1" thickBot="1" x14ac:dyDescent="0.3">
      <c r="A450" s="2"/>
      <c r="B450" s="178"/>
      <c r="C450" s="779"/>
      <c r="D450" s="780"/>
      <c r="E450" s="2617" t="str">
        <f>I315</f>
        <v/>
      </c>
      <c r="F450" s="1997"/>
      <c r="G450" s="363" t="str">
        <f>EUconst_tCO2epa</f>
        <v>t CO2e/år</v>
      </c>
      <c r="H450" s="582"/>
      <c r="I450" s="1105"/>
      <c r="J450" s="1115"/>
      <c r="K450" s="582"/>
      <c r="L450" s="582"/>
      <c r="M450" s="582"/>
      <c r="N450" s="1146"/>
      <c r="O450" s="15"/>
      <c r="P450" s="1362"/>
      <c r="Q450" s="165" t="str">
        <f>EUconst_CNTR_Emissions &amp; I315</f>
        <v>DirEmissions_</v>
      </c>
      <c r="R450" s="2"/>
      <c r="S450" s="773" t="str">
        <f>EUconst_CNTR_AttributedEmissions &amp; I315</f>
        <v>AttrEmissions_</v>
      </c>
      <c r="T450" s="111" t="str">
        <f t="shared" ref="T450:Z450" si="174">IF(T323,SUM(H450),"")</f>
        <v/>
      </c>
      <c r="U450" s="111" t="str">
        <f t="shared" si="174"/>
        <v/>
      </c>
      <c r="V450" s="111" t="str">
        <f t="shared" si="174"/>
        <v/>
      </c>
      <c r="W450" s="111" t="str">
        <f t="shared" si="174"/>
        <v/>
      </c>
      <c r="X450" s="111" t="str">
        <f t="shared" si="174"/>
        <v/>
      </c>
      <c r="Y450" s="111" t="str">
        <f t="shared" si="174"/>
        <v/>
      </c>
      <c r="Z450" s="112" t="str">
        <f t="shared" si="174"/>
        <v/>
      </c>
      <c r="AA450" s="2"/>
      <c r="AB450" s="672" t="s">
        <v>782</v>
      </c>
      <c r="AC450" s="108" t="b">
        <f>AC385</f>
        <v>0</v>
      </c>
      <c r="AD450" s="108" t="b">
        <f t="shared" ref="AD450:AI450" si="175">AD385</f>
        <v>0</v>
      </c>
      <c r="AE450" s="108" t="b">
        <f t="shared" si="175"/>
        <v>0</v>
      </c>
      <c r="AF450" s="108" t="b">
        <f t="shared" si="175"/>
        <v>0</v>
      </c>
      <c r="AG450" s="108" t="b">
        <f t="shared" si="175"/>
        <v>0</v>
      </c>
      <c r="AH450" s="108" t="b">
        <f t="shared" si="175"/>
        <v>0</v>
      </c>
      <c r="AI450" s="108" t="b">
        <f t="shared" si="175"/>
        <v>0</v>
      </c>
      <c r="AJ450" s="553" t="s">
        <v>2248</v>
      </c>
      <c r="AK450" s="663" t="str">
        <f>IF(AND(CNTR_ExistSubInstEntries,MSconst_RequireSubAttrEmissions,COUNTIFS(AC450:AI450,FALSE,H450:N450,"")&gt;0),EUconst_Error&amp;"BM"&amp;$Q315,"")</f>
        <v/>
      </c>
      <c r="AL450" s="2"/>
    </row>
    <row r="451" spans="1:38" ht="12.75" customHeight="1" x14ac:dyDescent="0.25">
      <c r="A451" s="2"/>
      <c r="B451" s="178"/>
      <c r="C451" s="779"/>
      <c r="D451" s="780"/>
      <c r="E451" s="780"/>
      <c r="F451" s="780"/>
      <c r="G451" s="780"/>
      <c r="H451" s="780"/>
      <c r="I451" s="780"/>
      <c r="J451" s="780"/>
      <c r="K451" s="780"/>
      <c r="L451" s="780"/>
      <c r="M451" s="623"/>
      <c r="N451" s="519"/>
      <c r="O451" s="15"/>
      <c r="P451" s="15"/>
      <c r="Q451" s="343"/>
      <c r="R451" s="2"/>
      <c r="S451" s="343"/>
      <c r="T451" s="2"/>
      <c r="U451" s="2"/>
      <c r="V451" s="2"/>
      <c r="W451" s="2"/>
      <c r="X451" s="2"/>
      <c r="Y451" s="2"/>
      <c r="Z451" s="2"/>
      <c r="AA451" s="2"/>
      <c r="AB451" s="2"/>
      <c r="AC451" s="2"/>
      <c r="AD451" s="2"/>
      <c r="AE451" s="2"/>
      <c r="AF451" s="2"/>
      <c r="AG451" s="2"/>
      <c r="AH451" s="2"/>
      <c r="AI451" s="2"/>
      <c r="AJ451" s="2"/>
      <c r="AK451" s="2"/>
      <c r="AL451" s="2"/>
    </row>
    <row r="452" spans="1:38" ht="12.75" customHeight="1" x14ac:dyDescent="0.25">
      <c r="A452" s="2"/>
      <c r="B452" s="178"/>
      <c r="C452" s="779"/>
      <c r="D452" s="373" t="s">
        <v>303</v>
      </c>
      <c r="E452" s="2614" t="str">
        <f>Translations!$B$566</f>
        <v>Insatsbränsle till delanläggningen och relevant emissionsfaktor</v>
      </c>
      <c r="F452" s="1960"/>
      <c r="G452" s="1960"/>
      <c r="H452" s="1960"/>
      <c r="I452" s="1960"/>
      <c r="J452" s="1960"/>
      <c r="K452" s="1960"/>
      <c r="L452" s="1960"/>
      <c r="M452" s="1960"/>
      <c r="N452" s="2597"/>
      <c r="O452" s="15"/>
      <c r="P452" s="15"/>
      <c r="Q452" s="343"/>
      <c r="R452" s="343"/>
      <c r="S452" s="343"/>
      <c r="T452" s="2"/>
      <c r="U452" s="2"/>
      <c r="V452" s="2"/>
      <c r="W452" s="2"/>
      <c r="X452" s="2"/>
      <c r="Y452" s="2"/>
      <c r="Z452" s="2"/>
      <c r="AA452" s="2"/>
      <c r="AB452" s="2"/>
      <c r="AC452" s="2"/>
      <c r="AD452" s="2"/>
      <c r="AE452" s="2"/>
      <c r="AF452" s="2"/>
      <c r="AG452" s="2"/>
      <c r="AH452" s="2"/>
      <c r="AI452" s="2"/>
      <c r="AJ452" s="2"/>
      <c r="AK452" s="2"/>
      <c r="AL452" s="2"/>
    </row>
    <row r="453" spans="1:38" ht="25.5" customHeight="1" x14ac:dyDescent="0.25">
      <c r="A453" s="2"/>
      <c r="B453" s="178"/>
      <c r="C453" s="779"/>
      <c r="D453" s="780"/>
      <c r="E453" s="2639" t="str">
        <f>Translations!$B$567</f>
        <v>I enlighet med kravet i avsnitt 2.4 a i bilaga IV till FAR, var god ange den totala bränsletillförseln till delanläggningen och motsvarande viktad emissionsfaktor, med beaktande av energiinnehållet hos varje bränsle som finns med under punkt g och med tillämpning av samma systemgränser som för punkt g.</v>
      </c>
      <c r="F453" s="2639"/>
      <c r="G453" s="2639"/>
      <c r="H453" s="2639"/>
      <c r="I453" s="2639"/>
      <c r="J453" s="2639"/>
      <c r="K453" s="2639"/>
      <c r="L453" s="2639"/>
      <c r="M453" s="2639"/>
      <c r="N453" s="2640"/>
      <c r="O453" s="15"/>
      <c r="P453" s="15"/>
      <c r="Q453" s="343"/>
      <c r="R453" s="343"/>
      <c r="S453" s="343"/>
      <c r="T453" s="2"/>
      <c r="U453" s="2"/>
      <c r="V453" s="2"/>
      <c r="W453" s="2"/>
      <c r="X453" s="2"/>
      <c r="Y453" s="2"/>
      <c r="Z453" s="2"/>
      <c r="AA453" s="2"/>
      <c r="AB453" s="2"/>
      <c r="AC453" s="2"/>
      <c r="AD453" s="2"/>
      <c r="AE453" s="2"/>
      <c r="AF453" s="2"/>
      <c r="AG453" s="2"/>
      <c r="AH453" s="2"/>
      <c r="AI453" s="2"/>
      <c r="AJ453" s="2"/>
      <c r="AK453" s="2"/>
      <c r="AL453" s="2"/>
    </row>
    <row r="454" spans="1:38" ht="25.5" customHeight="1" x14ac:dyDescent="0.25">
      <c r="A454" s="2"/>
      <c r="B454" s="178"/>
      <c r="C454" s="779"/>
      <c r="D454" s="780"/>
      <c r="E454" s="2639" t="str">
        <f>Translations!$B$568</f>
        <v>Med ”bränsle” avses varje bränsle-/materialmängd enligt M&amp;R-förordningen som är brännbar och för vilken ett effektivt värmevärde kan fastställas. Den viktade emissionsfaktorn motsvarar de ackumulerade bränsleutsläppen delat med det totala energiinnehållet.</v>
      </c>
      <c r="F454" s="2639"/>
      <c r="G454" s="2639"/>
      <c r="H454" s="2639"/>
      <c r="I454" s="2639"/>
      <c r="J454" s="2639"/>
      <c r="K454" s="2639"/>
      <c r="L454" s="2639"/>
      <c r="M454" s="2639"/>
      <c r="N454" s="2640"/>
      <c r="O454" s="15"/>
      <c r="P454" s="15"/>
      <c r="Q454" s="343"/>
      <c r="R454" s="2"/>
      <c r="S454" s="343"/>
      <c r="T454" s="2"/>
      <c r="U454" s="2"/>
      <c r="V454" s="2"/>
      <c r="W454" s="2"/>
      <c r="X454" s="2"/>
      <c r="Y454" s="2"/>
      <c r="Z454" s="2"/>
      <c r="AA454" s="2"/>
      <c r="AB454" s="2"/>
      <c r="AC454" s="2"/>
      <c r="AD454" s="2"/>
      <c r="AE454" s="2"/>
      <c r="AF454" s="2"/>
      <c r="AG454" s="2"/>
      <c r="AH454" s="2"/>
      <c r="AI454" s="2"/>
      <c r="AJ454" s="2"/>
      <c r="AK454" s="2"/>
      <c r="AL454" s="2"/>
    </row>
    <row r="455" spans="1:38" ht="12.75" customHeight="1" x14ac:dyDescent="0.25">
      <c r="A455" s="2"/>
      <c r="B455" s="178"/>
      <c r="C455" s="779"/>
      <c r="D455" s="780"/>
      <c r="E455" s="2639" t="str">
        <f>Translations!$B$569</f>
        <v>Den viktade emissionsfaktorn bör dessutom innefatta utsläpp från motsvarande rökgasrening, i tillämpliga fall.</v>
      </c>
      <c r="F455" s="2639"/>
      <c r="G455" s="2639"/>
      <c r="H455" s="2639"/>
      <c r="I455" s="2639"/>
      <c r="J455" s="2639"/>
      <c r="K455" s="2639"/>
      <c r="L455" s="2639"/>
      <c r="M455" s="2639"/>
      <c r="N455" s="2640"/>
      <c r="O455" s="15"/>
      <c r="P455" s="15"/>
      <c r="Q455" s="343"/>
      <c r="R455" s="2"/>
      <c r="S455" s="343"/>
      <c r="T455" s="2"/>
      <c r="U455" s="2"/>
      <c r="V455" s="2"/>
      <c r="W455" s="2"/>
      <c r="X455" s="2"/>
      <c r="Y455" s="2"/>
      <c r="Z455" s="2"/>
      <c r="AA455" s="2"/>
      <c r="AB455" s="2"/>
      <c r="AC455" s="2"/>
      <c r="AD455" s="2"/>
      <c r="AE455" s="2"/>
      <c r="AF455" s="2"/>
      <c r="AG455" s="2"/>
      <c r="AH455" s="2"/>
      <c r="AI455" s="2"/>
      <c r="AJ455" s="2"/>
      <c r="AK455" s="2"/>
      <c r="AL455" s="2"/>
    </row>
    <row r="456" spans="1:38" ht="12.75" customHeight="1" x14ac:dyDescent="0.25">
      <c r="A456" s="2"/>
      <c r="B456" s="178"/>
      <c r="C456" s="779"/>
      <c r="D456" s="780"/>
      <c r="E456" s="2596" t="str">
        <f>Translations!$B$570</f>
        <v>De uppgifter som anges här används bara för konsekvenskontroll och har ingen direkt inverkan på vare sig de utsläpp som kan tillskrivas eller tilldelningen.</v>
      </c>
      <c r="F456" s="1960"/>
      <c r="G456" s="1960"/>
      <c r="H456" s="1960"/>
      <c r="I456" s="1960"/>
      <c r="J456" s="1960"/>
      <c r="K456" s="1960"/>
      <c r="L456" s="1960"/>
      <c r="M456" s="1960"/>
      <c r="N456" s="2597"/>
      <c r="O456" s="15"/>
      <c r="P456" s="15"/>
      <c r="Q456" s="343"/>
      <c r="R456" s="2"/>
      <c r="S456" s="343"/>
      <c r="T456" s="2"/>
      <c r="U456" s="2"/>
      <c r="V456" s="2"/>
      <c r="W456" s="2"/>
      <c r="X456" s="2"/>
      <c r="Y456" s="2"/>
      <c r="Z456" s="2"/>
      <c r="AA456" s="2"/>
      <c r="AB456" s="2"/>
      <c r="AC456" s="2"/>
      <c r="AD456" s="2"/>
      <c r="AE456" s="2"/>
      <c r="AF456" s="2"/>
      <c r="AG456" s="2"/>
      <c r="AH456" s="2"/>
      <c r="AI456" s="2"/>
      <c r="AJ456" s="2"/>
      <c r="AK456" s="2"/>
      <c r="AL456" s="2"/>
    </row>
    <row r="457" spans="1:38" ht="12.75" customHeight="1" thickBot="1" x14ac:dyDescent="0.3">
      <c r="A457" s="2"/>
      <c r="B457" s="178"/>
      <c r="C457" s="779"/>
      <c r="D457" s="373"/>
      <c r="E457" s="1716"/>
      <c r="F457" s="1717"/>
      <c r="G457" s="361" t="str">
        <f>EUconst_Unit</f>
        <v>Enhet</v>
      </c>
      <c r="H457" s="362">
        <f t="shared" ref="H457:N457" si="176">H$3042</f>
        <v>2019</v>
      </c>
      <c r="I457" s="1103">
        <f t="shared" si="176"/>
        <v>2020</v>
      </c>
      <c r="J457" s="1104">
        <f t="shared" si="176"/>
        <v>2021</v>
      </c>
      <c r="K457" s="362">
        <f t="shared" si="176"/>
        <v>2022</v>
      </c>
      <c r="L457" s="362">
        <f t="shared" si="176"/>
        <v>2023</v>
      </c>
      <c r="M457" s="362">
        <f t="shared" si="176"/>
        <v>2024</v>
      </c>
      <c r="N457" s="1141">
        <f t="shared" si="176"/>
        <v>2025</v>
      </c>
      <c r="O457" s="15"/>
      <c r="P457" s="15"/>
      <c r="Q457" s="343"/>
      <c r="R457" s="2"/>
      <c r="S457" s="343"/>
      <c r="T457" s="2"/>
      <c r="U457" s="2"/>
      <c r="V457" s="2"/>
      <c r="W457" s="2"/>
      <c r="X457" s="2"/>
      <c r="Y457" s="2"/>
      <c r="Z457" s="2"/>
      <c r="AA457" s="2"/>
      <c r="AB457" s="2"/>
      <c r="AC457" s="1044">
        <f t="shared" ref="AC457:AI457" si="177">H$20</f>
        <v>2019</v>
      </c>
      <c r="AD457" s="1044">
        <f t="shared" si="177"/>
        <v>2020</v>
      </c>
      <c r="AE457" s="1044">
        <f t="shared" si="177"/>
        <v>2021</v>
      </c>
      <c r="AF457" s="1044">
        <f t="shared" si="177"/>
        <v>2022</v>
      </c>
      <c r="AG457" s="1044">
        <f t="shared" si="177"/>
        <v>2023</v>
      </c>
      <c r="AH457" s="1044">
        <f t="shared" si="177"/>
        <v>2024</v>
      </c>
      <c r="AI457" s="1044">
        <f t="shared" si="177"/>
        <v>2025</v>
      </c>
      <c r="AJ457" s="2"/>
      <c r="AK457" s="2"/>
      <c r="AL457" s="2"/>
    </row>
    <row r="458" spans="1:38" ht="12.75" customHeight="1" x14ac:dyDescent="0.25">
      <c r="A458" s="2"/>
      <c r="B458" s="178"/>
      <c r="C458" s="779"/>
      <c r="D458" s="416" t="s">
        <v>8</v>
      </c>
      <c r="E458" s="2613" t="str">
        <f>Translations!$B$571</f>
        <v>Insatsbränsle</v>
      </c>
      <c r="F458" s="1997"/>
      <c r="G458" s="364" t="str">
        <f>EUconst_TJpa</f>
        <v>TJ / år</v>
      </c>
      <c r="H458" s="582"/>
      <c r="I458" s="1105"/>
      <c r="J458" s="1115"/>
      <c r="K458" s="582"/>
      <c r="L458" s="582"/>
      <c r="M458" s="582"/>
      <c r="N458" s="1146"/>
      <c r="O458" s="15"/>
      <c r="P458" s="1362"/>
      <c r="Q458" s="165" t="str">
        <f>EUconst_CNTR_FuelInput &amp; I315</f>
        <v>FuelInput_</v>
      </c>
      <c r="R458" s="2"/>
      <c r="S458" s="343"/>
      <c r="T458" s="2"/>
      <c r="U458" s="2"/>
      <c r="V458" s="2"/>
      <c r="W458" s="2"/>
      <c r="X458" s="2"/>
      <c r="Y458" s="2"/>
      <c r="Z458" s="2"/>
      <c r="AA458" s="2"/>
      <c r="AB458" s="672" t="s">
        <v>782</v>
      </c>
      <c r="AC458" s="108" t="b">
        <f>AC385</f>
        <v>0</v>
      </c>
      <c r="AD458" s="108" t="b">
        <f t="shared" ref="AD458:AI458" si="178">AD385</f>
        <v>0</v>
      </c>
      <c r="AE458" s="108" t="b">
        <f t="shared" si="178"/>
        <v>0</v>
      </c>
      <c r="AF458" s="108" t="b">
        <f t="shared" si="178"/>
        <v>0</v>
      </c>
      <c r="AG458" s="108" t="b">
        <f t="shared" si="178"/>
        <v>0</v>
      </c>
      <c r="AH458" s="108" t="b">
        <f t="shared" si="178"/>
        <v>0</v>
      </c>
      <c r="AI458" s="108" t="b">
        <f t="shared" si="178"/>
        <v>0</v>
      </c>
      <c r="AJ458" s="553" t="s">
        <v>2248</v>
      </c>
      <c r="AK458" s="663" t="str">
        <f>IF(AND(CNTR_ExistSubInstEntries,MSconst_RequireSubAttrEmissions,COUNTIFS(AC458:AI458,FALSE,H458:N458,"")&gt;0),EUconst_Error&amp;"BM"&amp;$Q315,"")</f>
        <v/>
      </c>
      <c r="AL458" s="2"/>
    </row>
    <row r="459" spans="1:38" ht="12.75" customHeight="1" x14ac:dyDescent="0.25">
      <c r="A459" s="2"/>
      <c r="B459" s="178"/>
      <c r="C459" s="779"/>
      <c r="D459" s="416" t="s">
        <v>9</v>
      </c>
      <c r="E459" s="2613" t="str">
        <f>Translations!$B$572</f>
        <v>Viktad emissionsfaktor</v>
      </c>
      <c r="F459" s="1997"/>
      <c r="G459" s="449" t="str">
        <f>EUconst_tCO2pTJ</f>
        <v>t CO2 / TJ</v>
      </c>
      <c r="H459" s="747"/>
      <c r="I459" s="1295"/>
      <c r="J459" s="1296"/>
      <c r="K459" s="747"/>
      <c r="L459" s="747"/>
      <c r="M459" s="747"/>
      <c r="N459" s="1297"/>
      <c r="O459" s="15"/>
      <c r="P459" s="1362"/>
      <c r="Q459" s="165" t="str">
        <f>EUconst_CNTR_FuelEF &amp; I315</f>
        <v>FuelEF_</v>
      </c>
      <c r="R459" s="2"/>
      <c r="S459" s="343"/>
      <c r="T459" s="2"/>
      <c r="U459" s="2"/>
      <c r="V459" s="2"/>
      <c r="W459" s="2"/>
      <c r="X459" s="2"/>
      <c r="Y459" s="2"/>
      <c r="Z459" s="2"/>
      <c r="AA459" s="2"/>
      <c r="AB459" s="2"/>
      <c r="AC459" s="108" t="b">
        <f>AC458</f>
        <v>0</v>
      </c>
      <c r="AD459" s="108" t="b">
        <f t="shared" ref="AD459:AI459" si="179">AD458</f>
        <v>0</v>
      </c>
      <c r="AE459" s="108" t="b">
        <f t="shared" si="179"/>
        <v>0</v>
      </c>
      <c r="AF459" s="108" t="b">
        <f t="shared" si="179"/>
        <v>0</v>
      </c>
      <c r="AG459" s="108" t="b">
        <f t="shared" si="179"/>
        <v>0</v>
      </c>
      <c r="AH459" s="108" t="b">
        <f t="shared" si="179"/>
        <v>0</v>
      </c>
      <c r="AI459" s="108" t="b">
        <f t="shared" si="179"/>
        <v>0</v>
      </c>
      <c r="AJ459" s="553" t="s">
        <v>2248</v>
      </c>
      <c r="AK459" s="663" t="str">
        <f>IF(AND(CNTR_ExistSubInstEntries,MSconst_RequireSubAttrEmissions,COUNTIFS(AC459:AI459,FALSE,H459:N459,"")&gt;0),EUconst_Error&amp;"BM"&amp;$Q315,"")</f>
        <v/>
      </c>
      <c r="AL459" s="2"/>
    </row>
    <row r="460" spans="1:38" ht="12.75" customHeight="1" x14ac:dyDescent="0.25">
      <c r="A460" s="2"/>
      <c r="B460" s="178"/>
      <c r="C460" s="779"/>
      <c r="D460" s="780"/>
      <c r="E460" s="780"/>
      <c r="F460" s="780"/>
      <c r="G460" s="780"/>
      <c r="H460" s="780"/>
      <c r="I460" s="780"/>
      <c r="J460" s="780"/>
      <c r="K460" s="780"/>
      <c r="L460" s="780"/>
      <c r="M460" s="623"/>
      <c r="N460" s="519"/>
      <c r="O460" s="15"/>
      <c r="P460" s="15"/>
      <c r="Q460" s="343"/>
      <c r="R460" s="2"/>
      <c r="S460" s="343"/>
      <c r="T460" s="2"/>
      <c r="U460" s="2"/>
      <c r="V460" s="2"/>
      <c r="W460" s="2"/>
      <c r="X460" s="2"/>
      <c r="Y460" s="2"/>
      <c r="Z460" s="2"/>
      <c r="AA460" s="2"/>
      <c r="AB460" s="2"/>
      <c r="AC460" s="2"/>
      <c r="AD460" s="2"/>
      <c r="AE460" s="2"/>
      <c r="AF460" s="2"/>
      <c r="AG460" s="2"/>
      <c r="AH460" s="2"/>
      <c r="AI460" s="2"/>
      <c r="AJ460" s="2"/>
      <c r="AK460" s="2"/>
      <c r="AL460" s="2"/>
    </row>
    <row r="461" spans="1:38" ht="12.75" customHeight="1" x14ac:dyDescent="0.25">
      <c r="A461" s="2"/>
      <c r="B461" s="178"/>
      <c r="C461" s="779"/>
      <c r="D461" s="373" t="s">
        <v>305</v>
      </c>
      <c r="E461" s="2614" t="str">
        <f>Translations!$B$573</f>
        <v>Andra interna bränsle-/materialmängder som importeras till eller exporteras från delanläggningen</v>
      </c>
      <c r="F461" s="1960"/>
      <c r="G461" s="1960"/>
      <c r="H461" s="1960"/>
      <c r="I461" s="1960"/>
      <c r="J461" s="1960"/>
      <c r="K461" s="1960"/>
      <c r="L461" s="1960"/>
      <c r="M461" s="1960"/>
      <c r="N461" s="2597"/>
      <c r="O461" s="15"/>
      <c r="P461" s="15"/>
      <c r="Q461" s="343"/>
      <c r="R461" s="343"/>
      <c r="S461" s="343"/>
      <c r="T461" s="2"/>
      <c r="U461" s="2"/>
      <c r="V461" s="2"/>
      <c r="W461" s="2"/>
      <c r="X461" s="2"/>
      <c r="Y461" s="2"/>
      <c r="Z461" s="2"/>
      <c r="AA461" s="2"/>
      <c r="AB461" s="2"/>
      <c r="AC461" s="2"/>
      <c r="AD461" s="2"/>
      <c r="AE461" s="2"/>
      <c r="AF461" s="2"/>
      <c r="AG461" s="2"/>
      <c r="AH461" s="2"/>
      <c r="AI461" s="2"/>
      <c r="AJ461" s="2"/>
      <c r="AK461" s="2"/>
      <c r="AL461" s="2"/>
    </row>
    <row r="462" spans="1:38" ht="12.75" customHeight="1" x14ac:dyDescent="0.25">
      <c r="A462" s="2"/>
      <c r="B462" s="178"/>
      <c r="C462" s="779"/>
      <c r="D462" s="416"/>
      <c r="E462" s="2596" t="str">
        <f>Translations!$B$556</f>
        <v>De uppgifter som anges här påverkar de utsläpp som kan tillskrivas i enlighet med avsnitt 10.1.1 i bilaga VII till FAR.</v>
      </c>
      <c r="F462" s="1960"/>
      <c r="G462" s="1960"/>
      <c r="H462" s="1960"/>
      <c r="I462" s="1960"/>
      <c r="J462" s="1960"/>
      <c r="K462" s="1960"/>
      <c r="L462" s="1960"/>
      <c r="M462" s="1960"/>
      <c r="N462" s="2597"/>
      <c r="O462" s="15"/>
      <c r="P462" s="15"/>
      <c r="Q462" s="343"/>
      <c r="R462" s="2"/>
      <c r="S462" s="343"/>
      <c r="T462" s="343"/>
      <c r="U462" s="343"/>
      <c r="V462" s="343"/>
      <c r="W462" s="2"/>
      <c r="X462" s="2"/>
      <c r="Y462" s="2"/>
      <c r="Z462" s="2"/>
      <c r="AA462" s="2"/>
      <c r="AB462" s="2"/>
      <c r="AC462" s="2"/>
      <c r="AD462" s="2"/>
      <c r="AE462" s="2"/>
      <c r="AF462" s="2"/>
      <c r="AG462" s="2"/>
      <c r="AH462" s="2"/>
      <c r="AI462" s="2"/>
      <c r="AJ462" s="2"/>
      <c r="AK462" s="2"/>
      <c r="AL462" s="2"/>
    </row>
    <row r="463" spans="1:38" ht="25.5" customHeight="1" x14ac:dyDescent="0.25">
      <c r="A463" s="2"/>
      <c r="B463" s="178"/>
      <c r="C463" s="779"/>
      <c r="D463" s="780"/>
      <c r="E463" s="2596" t="str">
        <f>Translations!$B$574</f>
        <v>Det bör noteras att alla bränsle-/materialmängder endast bör anges här om de inte redan omfattas av de direkta utsläppen i punkt g ovan, i syfte att undvika eventuella dataluckor eller eventuell dubbelräkning. Utsläpp i samband med restgaser bör INTE anges här utan i punkt l nedan.</v>
      </c>
      <c r="F463" s="1960"/>
      <c r="G463" s="1960"/>
      <c r="H463" s="1960"/>
      <c r="I463" s="1960"/>
      <c r="J463" s="1960"/>
      <c r="K463" s="1960"/>
      <c r="L463" s="1960"/>
      <c r="M463" s="1960"/>
      <c r="N463" s="2597"/>
      <c r="O463" s="15"/>
      <c r="P463" s="15"/>
      <c r="Q463" s="343"/>
      <c r="R463" s="343"/>
      <c r="S463" s="343"/>
      <c r="T463" s="2"/>
      <c r="U463" s="2"/>
      <c r="V463" s="2"/>
      <c r="W463" s="2"/>
      <c r="X463" s="2"/>
      <c r="Y463" s="2"/>
      <c r="Z463" s="2"/>
      <c r="AA463" s="2"/>
      <c r="AB463" s="2"/>
      <c r="AC463" s="2"/>
      <c r="AD463" s="2"/>
      <c r="AE463" s="2"/>
      <c r="AF463" s="2"/>
      <c r="AG463" s="2"/>
      <c r="AH463" s="2"/>
      <c r="AI463" s="2"/>
      <c r="AJ463" s="2"/>
      <c r="AK463" s="2"/>
      <c r="AL463" s="2"/>
    </row>
    <row r="464" spans="1:38" ht="12.75" customHeight="1" x14ac:dyDescent="0.25">
      <c r="A464" s="2"/>
      <c r="B464" s="178"/>
      <c r="C464" s="779"/>
      <c r="D464" s="780"/>
      <c r="E464" s="2610" t="str">
        <f>Translations!$B$575</f>
        <v>Var god ange information om de så kallade interna bränsle-/materialmängderna som överförs mellan delanläggningar, dvs. importeras till eller exporteras från delanläggningen.</v>
      </c>
      <c r="F464" s="1960"/>
      <c r="G464" s="1960"/>
      <c r="H464" s="1960"/>
      <c r="I464" s="1960"/>
      <c r="J464" s="1960"/>
      <c r="K464" s="1960"/>
      <c r="L464" s="1960"/>
      <c r="M464" s="1960"/>
      <c r="N464" s="2597"/>
      <c r="O464" s="15"/>
      <c r="P464" s="15"/>
      <c r="Q464" s="343"/>
      <c r="R464" s="343"/>
      <c r="S464" s="343"/>
      <c r="T464" s="2"/>
      <c r="U464" s="2"/>
      <c r="V464" s="2"/>
      <c r="W464" s="2"/>
      <c r="X464" s="2"/>
      <c r="Y464" s="2"/>
      <c r="Z464" s="2"/>
      <c r="AA464" s="2"/>
      <c r="AB464" s="2"/>
      <c r="AC464" s="2"/>
      <c r="AD464" s="2"/>
      <c r="AE464" s="2"/>
      <c r="AF464" s="2"/>
      <c r="AG464" s="2"/>
      <c r="AH464" s="2"/>
      <c r="AI464" s="2"/>
      <c r="AJ464" s="2"/>
      <c r="AK464" s="2"/>
      <c r="AL464" s="2"/>
    </row>
    <row r="465" spans="1:38" ht="38.9" customHeight="1" x14ac:dyDescent="0.25">
      <c r="A465" s="2"/>
      <c r="B465" s="178"/>
      <c r="C465" s="779"/>
      <c r="D465" s="780"/>
      <c r="E465" s="2610" t="str">
        <f>Translations!$B$576</f>
        <v>Om det rör sig om en koksdelanläggning vid en integrerad järn- och stålanläggning förekommer utsläppen i samband med förbrukningen av koks i masugnen och bör därför inte tillskrivas delanläggningen (dvs. koksdelanläggningen). En del av utsläppen ska dock tas med i punkt g ovan, eftersom det kol som förs in i koksugnen kommer att vara en av de bränsle-/materialmängder som tillskrivs i ett första steg.</v>
      </c>
      <c r="F465" s="1960"/>
      <c r="G465" s="1960"/>
      <c r="H465" s="1960"/>
      <c r="I465" s="1960"/>
      <c r="J465" s="1960"/>
      <c r="K465" s="1960"/>
      <c r="L465" s="1960"/>
      <c r="M465" s="1960"/>
      <c r="N465" s="2597"/>
      <c r="O465" s="15"/>
      <c r="P465" s="15"/>
      <c r="Q465" s="343"/>
      <c r="R465" s="2"/>
      <c r="S465" s="343"/>
      <c r="T465" s="2"/>
      <c r="U465" s="2"/>
      <c r="V465" s="2"/>
      <c r="W465" s="2"/>
      <c r="X465" s="2"/>
      <c r="Y465" s="2"/>
      <c r="Z465" s="2"/>
      <c r="AA465" s="2"/>
      <c r="AB465" s="2"/>
      <c r="AC465" s="2"/>
      <c r="AD465" s="2"/>
      <c r="AE465" s="2"/>
      <c r="AF465" s="2"/>
      <c r="AG465" s="2"/>
      <c r="AH465" s="2"/>
      <c r="AI465" s="2"/>
      <c r="AJ465" s="2"/>
      <c r="AK465" s="2"/>
      <c r="AL465" s="2"/>
    </row>
    <row r="466" spans="1:38" ht="51" customHeight="1" x14ac:dyDescent="0.25">
      <c r="A466" s="2"/>
      <c r="B466" s="178"/>
      <c r="C466" s="779"/>
      <c r="D466" s="780"/>
      <c r="E466" s="2610" t="str">
        <f>Translations!$B$577</f>
        <v>För att undvika dubbelräkning måste korrigering göras för den koks som lämnar koksdelanläggningen som utgående ”intern bränsle-/materialmängd”. Detta görs genom ett negativt värde på mängden koks i händelse av ”export”. För att få en komplett balans i utsläppen från den kol som kommer in till koksdelanläggningen omfattas utsläppen i samband med användningen av koksugnsgas (= en restgas) redan av punkt g ovan (eftersom de ingår i kolutsläppen) i den mån som gasen används inom delanläggningen. Korrigeringar för att beakta exporterade mängder av restgasen bör inte göras här utan i punkt l.xx nedan.</v>
      </c>
      <c r="F466" s="1960"/>
      <c r="G466" s="1960"/>
      <c r="H466" s="1960"/>
      <c r="I466" s="1960"/>
      <c r="J466" s="1960"/>
      <c r="K466" s="1960"/>
      <c r="L466" s="1960"/>
      <c r="M466" s="1960"/>
      <c r="N466" s="2597"/>
      <c r="O466" s="15"/>
      <c r="P466" s="15"/>
      <c r="Q466" s="343"/>
      <c r="R466" s="2"/>
      <c r="S466" s="343"/>
      <c r="T466" s="2"/>
      <c r="U466" s="2"/>
      <c r="V466" s="2"/>
      <c r="W466" s="2"/>
      <c r="X466" s="2"/>
      <c r="Y466" s="2"/>
      <c r="Z466" s="2"/>
      <c r="AA466" s="2"/>
      <c r="AB466" s="2"/>
      <c r="AC466" s="2"/>
      <c r="AD466" s="2"/>
      <c r="AE466" s="2"/>
      <c r="AF466" s="2"/>
      <c r="AG466" s="2"/>
      <c r="AH466" s="2"/>
      <c r="AI466" s="2"/>
      <c r="AJ466" s="2"/>
      <c r="AK466" s="2"/>
      <c r="AL466" s="2"/>
    </row>
    <row r="467" spans="1:38" ht="25.5" customHeight="1" x14ac:dyDescent="0.25">
      <c r="A467" s="2"/>
      <c r="B467" s="178"/>
      <c r="C467" s="779"/>
      <c r="D467" s="780"/>
      <c r="E467" s="2610" t="str">
        <f>Translations!$B$578</f>
        <v>Omvänt innebär detta att om det rör sig om en delanläggning med råjärnsriktmärke vid en integrerad järn- och stålanläggning måste koksen anges här som en ingående/importerad ”intern” bränsle/materialmängd med positiva siffror.</v>
      </c>
      <c r="F467" s="1960"/>
      <c r="G467" s="1960"/>
      <c r="H467" s="1960"/>
      <c r="I467" s="1960"/>
      <c r="J467" s="1960"/>
      <c r="K467" s="1960"/>
      <c r="L467" s="1960"/>
      <c r="M467" s="1960"/>
      <c r="N467" s="2597"/>
      <c r="O467" s="15"/>
      <c r="P467" s="15"/>
      <c r="Q467" s="343"/>
      <c r="R467" s="2"/>
      <c r="S467" s="343"/>
      <c r="T467" s="2"/>
      <c r="U467" s="2"/>
      <c r="V467" s="2"/>
      <c r="W467" s="2"/>
      <c r="X467" s="2"/>
      <c r="Y467" s="2"/>
      <c r="Z467" s="2"/>
      <c r="AA467" s="2"/>
      <c r="AB467" s="2"/>
      <c r="AC467" s="2"/>
      <c r="AD467" s="2"/>
      <c r="AE467" s="2"/>
      <c r="AF467" s="2"/>
      <c r="AG467" s="2"/>
      <c r="AH467" s="2"/>
      <c r="AI467" s="2"/>
      <c r="AJ467" s="2"/>
      <c r="AK467" s="2"/>
      <c r="AL467" s="2"/>
    </row>
    <row r="468" spans="1:38" ht="12.75" customHeight="1" x14ac:dyDescent="0.25">
      <c r="A468" s="2"/>
      <c r="B468" s="178"/>
      <c r="C468" s="779"/>
      <c r="D468" s="416" t="s">
        <v>8</v>
      </c>
      <c r="E468" s="2598" t="str">
        <f>Translations!$B$579</f>
        <v>Är andra importerade eller exporterade interna bränsle-/materialmängder relevanta för delanläggningen?</v>
      </c>
      <c r="F468" s="1960"/>
      <c r="G468" s="1960"/>
      <c r="H468" s="1960"/>
      <c r="I468" s="1960"/>
      <c r="J468" s="1960"/>
      <c r="K468" s="2520"/>
      <c r="L468" s="749"/>
      <c r="M468" s="1806"/>
      <c r="N468" s="1807"/>
      <c r="O468" s="15"/>
      <c r="P468" s="1362"/>
      <c r="Q468" s="343"/>
      <c r="R468" s="2"/>
      <c r="S468" s="343"/>
      <c r="T468" s="2"/>
      <c r="U468" s="2"/>
      <c r="V468" s="2"/>
      <c r="W468" s="2"/>
      <c r="X468" s="2"/>
      <c r="Y468" s="2"/>
      <c r="Z468" s="2"/>
      <c r="AA468" s="2"/>
      <c r="AB468" s="2"/>
      <c r="AC468" s="2"/>
      <c r="AD468" s="2"/>
      <c r="AE468" s="2"/>
      <c r="AF468" s="672" t="s">
        <v>782</v>
      </c>
      <c r="AG468" s="1196" t="b">
        <f>AND(CNTR_ExistSubInstEntries,I315="")</f>
        <v>0</v>
      </c>
      <c r="AH468" s="2"/>
      <c r="AI468" s="2"/>
      <c r="AJ468" s="2"/>
      <c r="AK468" s="2"/>
      <c r="AL468" s="2"/>
    </row>
    <row r="469" spans="1:38" ht="12.75" customHeight="1" x14ac:dyDescent="0.25">
      <c r="A469" s="2"/>
      <c r="B469" s="178"/>
      <c r="C469" s="779"/>
      <c r="D469" s="780"/>
      <c r="E469" s="2610" t="str">
        <f>Translations!$B$580</f>
        <v>Om det finns mer än två importerade eller exporterade bränsle-/materialmängder bör de olika bränsle-/materialmängderna slås samman och namnen på var och en av dessa anges.</v>
      </c>
      <c r="F469" s="1960"/>
      <c r="G469" s="1960"/>
      <c r="H469" s="1960"/>
      <c r="I469" s="1960"/>
      <c r="J469" s="1960"/>
      <c r="K469" s="1960"/>
      <c r="L469" s="1960"/>
      <c r="M469" s="1960"/>
      <c r="N469" s="2597"/>
      <c r="O469" s="15"/>
      <c r="P469" s="15"/>
      <c r="Q469" s="343"/>
      <c r="R469" s="2"/>
      <c r="S469" s="343"/>
      <c r="T469" s="2"/>
      <c r="U469" s="2"/>
      <c r="V469" s="2"/>
      <c r="W469" s="2"/>
      <c r="X469" s="2"/>
      <c r="Y469" s="2"/>
      <c r="Z469" s="2"/>
      <c r="AA469" s="2"/>
      <c r="AB469" s="2"/>
      <c r="AC469" s="2"/>
      <c r="AD469" s="2"/>
      <c r="AE469" s="2"/>
      <c r="AF469" s="2"/>
      <c r="AG469" s="2"/>
      <c r="AH469" s="2"/>
      <c r="AI469" s="2"/>
      <c r="AJ469" s="2"/>
      <c r="AK469" s="2"/>
      <c r="AL469" s="2"/>
    </row>
    <row r="470" spans="1:38" ht="12.75" customHeight="1" x14ac:dyDescent="0.25">
      <c r="A470" s="2"/>
      <c r="B470" s="178"/>
      <c r="C470" s="779"/>
      <c r="D470" s="416" t="s">
        <v>9</v>
      </c>
      <c r="E470" s="2614" t="str">
        <f>Translations!$B$581</f>
        <v>Namn på andra bränsle-/materialmängder – 1:</v>
      </c>
      <c r="F470" s="1960"/>
      <c r="G470" s="1960"/>
      <c r="H470" s="2520"/>
      <c r="I470" s="2621"/>
      <c r="J470" s="2631"/>
      <c r="K470" s="2631"/>
      <c r="L470" s="2631"/>
      <c r="M470" s="2632"/>
      <c r="N470" s="518"/>
      <c r="O470" s="15"/>
      <c r="P470" s="1362"/>
      <c r="Q470" s="343"/>
      <c r="R470" s="2"/>
      <c r="S470" s="343"/>
      <c r="T470" s="2"/>
      <c r="U470" s="2"/>
      <c r="V470" s="2"/>
      <c r="W470" s="2"/>
      <c r="X470" s="2"/>
      <c r="Y470" s="2"/>
      <c r="Z470" s="2"/>
      <c r="AA470" s="2"/>
      <c r="AB470" s="2"/>
      <c r="AC470" s="672" t="s">
        <v>782</v>
      </c>
      <c r="AD470" s="1196" t="b">
        <f>OR(AG468,AND($L468&lt;&gt;"",$L468=FALSE))</f>
        <v>0</v>
      </c>
      <c r="AE470" s="2"/>
      <c r="AF470" s="2"/>
      <c r="AG470" s="2"/>
      <c r="AH470" s="2"/>
      <c r="AI470" s="2"/>
      <c r="AJ470" s="2"/>
      <c r="AK470" s="2"/>
      <c r="AL470" s="2"/>
    </row>
    <row r="471" spans="1:38" ht="5.15" customHeight="1" x14ac:dyDescent="0.25">
      <c r="A471" s="2"/>
      <c r="B471" s="178"/>
      <c r="C471" s="779"/>
      <c r="D471" s="780"/>
      <c r="E471" s="1804"/>
      <c r="F471" s="1806"/>
      <c r="G471" s="1806"/>
      <c r="H471" s="1806"/>
      <c r="I471" s="1806"/>
      <c r="J471" s="1806"/>
      <c r="K471" s="1806"/>
      <c r="L471" s="1806"/>
      <c r="M471" s="1806"/>
      <c r="N471" s="1807"/>
      <c r="O471" s="15"/>
      <c r="P471" s="15"/>
      <c r="Q471" s="343"/>
      <c r="R471" s="2"/>
      <c r="S471" s="343"/>
      <c r="T471" s="2"/>
      <c r="U471" s="2"/>
      <c r="V471" s="2"/>
      <c r="W471" s="2"/>
      <c r="X471" s="2"/>
      <c r="Y471" s="2"/>
      <c r="Z471" s="2"/>
      <c r="AA471" s="2"/>
      <c r="AB471" s="2"/>
      <c r="AC471" s="2"/>
      <c r="AD471" s="2"/>
      <c r="AE471" s="2"/>
      <c r="AF471" s="2"/>
      <c r="AG471" s="2"/>
      <c r="AH471" s="2"/>
      <c r="AI471" s="2"/>
      <c r="AJ471" s="2"/>
      <c r="AK471" s="2"/>
      <c r="AL471" s="2"/>
    </row>
    <row r="472" spans="1:38" ht="12.75" customHeight="1" thickBot="1" x14ac:dyDescent="0.3">
      <c r="A472" s="2"/>
      <c r="B472" s="178"/>
      <c r="C472" s="779"/>
      <c r="D472" s="780"/>
      <c r="E472" s="2605" t="str">
        <f>Translations!$B$582</f>
        <v>Andra bränsle-/materialmängder – 1</v>
      </c>
      <c r="F472" s="2497"/>
      <c r="G472" s="361" t="str">
        <f>EUconst_Unit</f>
        <v>Enhet</v>
      </c>
      <c r="H472" s="362">
        <f t="shared" ref="H472:N472" si="180">H$3042</f>
        <v>2019</v>
      </c>
      <c r="I472" s="1103">
        <f t="shared" si="180"/>
        <v>2020</v>
      </c>
      <c r="J472" s="1104">
        <f t="shared" si="180"/>
        <v>2021</v>
      </c>
      <c r="K472" s="362">
        <f t="shared" si="180"/>
        <v>2022</v>
      </c>
      <c r="L472" s="362">
        <f t="shared" si="180"/>
        <v>2023</v>
      </c>
      <c r="M472" s="362">
        <f t="shared" si="180"/>
        <v>2024</v>
      </c>
      <c r="N472" s="1141">
        <f t="shared" si="180"/>
        <v>2025</v>
      </c>
      <c r="O472" s="15"/>
      <c r="P472" s="15"/>
      <c r="Q472" s="343"/>
      <c r="R472" s="2"/>
      <c r="S472" s="343"/>
      <c r="T472" s="2"/>
      <c r="U472" s="2"/>
      <c r="V472" s="2"/>
      <c r="W472" s="2"/>
      <c r="X472" s="2"/>
      <c r="Y472" s="2"/>
      <c r="Z472" s="2"/>
      <c r="AA472" s="2"/>
      <c r="AB472" s="2"/>
      <c r="AC472" s="1044">
        <f t="shared" ref="AC472:AI472" si="181">H$20</f>
        <v>2019</v>
      </c>
      <c r="AD472" s="1044">
        <f t="shared" si="181"/>
        <v>2020</v>
      </c>
      <c r="AE472" s="1044">
        <f t="shared" si="181"/>
        <v>2021</v>
      </c>
      <c r="AF472" s="1044">
        <f t="shared" si="181"/>
        <v>2022</v>
      </c>
      <c r="AG472" s="1044">
        <f t="shared" si="181"/>
        <v>2023</v>
      </c>
      <c r="AH472" s="1044">
        <f t="shared" si="181"/>
        <v>2024</v>
      </c>
      <c r="AI472" s="1044">
        <f t="shared" si="181"/>
        <v>2025</v>
      </c>
      <c r="AJ472" s="2"/>
      <c r="AK472" s="2"/>
      <c r="AL472" s="2"/>
    </row>
    <row r="473" spans="1:38" ht="12.75" customHeight="1" x14ac:dyDescent="0.25">
      <c r="A473" s="2"/>
      <c r="B473" s="178"/>
      <c r="C473" s="779"/>
      <c r="D473" s="416" t="s">
        <v>10</v>
      </c>
      <c r="E473" s="2611" t="str">
        <f>Translations!$B$583</f>
        <v>Importerad eller exporterad mängd</v>
      </c>
      <c r="F473" s="2484"/>
      <c r="G473" s="365" t="str">
        <f>EUconst_tpa</f>
        <v>t / år</v>
      </c>
      <c r="H473" s="1298"/>
      <c r="I473" s="1299"/>
      <c r="J473" s="1300"/>
      <c r="K473" s="1298"/>
      <c r="L473" s="1298"/>
      <c r="M473" s="1298"/>
      <c r="N473" s="1301"/>
      <c r="O473" s="15"/>
      <c r="P473" s="1362"/>
      <c r="Q473" s="343"/>
      <c r="R473" s="2"/>
      <c r="S473" s="343"/>
      <c r="T473" s="2"/>
      <c r="U473" s="2"/>
      <c r="V473" s="2"/>
      <c r="W473" s="2"/>
      <c r="X473" s="2"/>
      <c r="Y473" s="2"/>
      <c r="Z473" s="2"/>
      <c r="AA473" s="2"/>
      <c r="AB473" s="672" t="s">
        <v>782</v>
      </c>
      <c r="AC473" s="1196" t="b">
        <f>OR(AND($L468&lt;&gt;"",$L468=FALSE),AC385)</f>
        <v>0</v>
      </c>
      <c r="AD473" s="108" t="b">
        <f t="shared" ref="AD473:AI473" si="182">OR(AND($L468&lt;&gt;"",$L468=FALSE),AD385)</f>
        <v>0</v>
      </c>
      <c r="AE473" s="108" t="b">
        <f t="shared" si="182"/>
        <v>0</v>
      </c>
      <c r="AF473" s="108" t="b">
        <f t="shared" si="182"/>
        <v>0</v>
      </c>
      <c r="AG473" s="108" t="b">
        <f t="shared" si="182"/>
        <v>0</v>
      </c>
      <c r="AH473" s="108" t="b">
        <f t="shared" si="182"/>
        <v>0</v>
      </c>
      <c r="AI473" s="108" t="b">
        <f t="shared" si="182"/>
        <v>0</v>
      </c>
      <c r="AJ473" s="553" t="s">
        <v>2248</v>
      </c>
      <c r="AK473" s="663" t="str">
        <f>IF(AND(CNTR_ExistSubInstEntries,MSconst_RequireSubAttrEmissions,COUNTIFS(AC473:AI473,FALSE,H473:N473,"")&gt;0),EUconst_Error&amp;"BM"&amp;$Q315,"")</f>
        <v/>
      </c>
      <c r="AL473" s="2"/>
    </row>
    <row r="474" spans="1:38" ht="12.75" customHeight="1" x14ac:dyDescent="0.25">
      <c r="A474" s="2"/>
      <c r="B474" s="178"/>
      <c r="C474" s="779"/>
      <c r="D474" s="416" t="s">
        <v>23</v>
      </c>
      <c r="E474" s="2625" t="str">
        <f>Translations!$B$584</f>
        <v>Effektivt värmevärde, i tillämpliga fall</v>
      </c>
      <c r="F474" s="2476"/>
      <c r="G474" s="424" t="str">
        <f>EUconst_GJpt</f>
        <v>GJ / t</v>
      </c>
      <c r="H474" s="1302"/>
      <c r="I474" s="1303"/>
      <c r="J474" s="1304"/>
      <c r="K474" s="1302"/>
      <c r="L474" s="1302"/>
      <c r="M474" s="1302"/>
      <c r="N474" s="1305"/>
      <c r="O474" s="15"/>
      <c r="P474" s="1362"/>
      <c r="Q474" s="343"/>
      <c r="R474" s="2"/>
      <c r="S474" s="343"/>
      <c r="T474" s="2"/>
      <c r="U474" s="2"/>
      <c r="V474" s="2"/>
      <c r="W474" s="2"/>
      <c r="X474" s="2"/>
      <c r="Y474" s="2"/>
      <c r="Z474" s="2"/>
      <c r="AA474" s="2"/>
      <c r="AB474" s="2"/>
      <c r="AC474" s="108" t="b">
        <f t="shared" ref="AC474:AI474" si="183">AC473</f>
        <v>0</v>
      </c>
      <c r="AD474" s="108" t="b">
        <f t="shared" si="183"/>
        <v>0</v>
      </c>
      <c r="AE474" s="108" t="b">
        <f t="shared" si="183"/>
        <v>0</v>
      </c>
      <c r="AF474" s="108" t="b">
        <f t="shared" si="183"/>
        <v>0</v>
      </c>
      <c r="AG474" s="108" t="b">
        <f t="shared" si="183"/>
        <v>0</v>
      </c>
      <c r="AH474" s="108" t="b">
        <f t="shared" si="183"/>
        <v>0</v>
      </c>
      <c r="AI474" s="108" t="b">
        <f t="shared" si="183"/>
        <v>0</v>
      </c>
      <c r="AJ474" s="553" t="s">
        <v>2248</v>
      </c>
      <c r="AK474" s="663" t="str">
        <f>IF(AND(CNTR_ExistSubInstEntries,MSconst_RequireSubAttrEmissions,COUNTIFS(AC474:AI474,FALSE,H474:N474,"")&gt;0),EUconst_Error&amp;"BM"&amp;$Q315,"")</f>
        <v/>
      </c>
      <c r="AL474" s="2"/>
    </row>
    <row r="475" spans="1:38" ht="12.75" customHeight="1" thickBot="1" x14ac:dyDescent="0.3">
      <c r="A475" s="2"/>
      <c r="B475" s="178"/>
      <c r="C475" s="779"/>
      <c r="D475" s="416" t="s">
        <v>859</v>
      </c>
      <c r="E475" s="2625" t="str">
        <f>Translations!$B$585</f>
        <v>Kolinnehåll (viktprocent)</v>
      </c>
      <c r="F475" s="2476"/>
      <c r="G475" s="425" t="s">
        <v>957</v>
      </c>
      <c r="H475" s="1302"/>
      <c r="I475" s="1303"/>
      <c r="J475" s="1304"/>
      <c r="K475" s="1302"/>
      <c r="L475" s="1302"/>
      <c r="M475" s="1302"/>
      <c r="N475" s="1305"/>
      <c r="O475" s="15"/>
      <c r="P475" s="1362"/>
      <c r="Q475" s="343"/>
      <c r="R475" s="2"/>
      <c r="S475" s="343"/>
      <c r="T475" s="2"/>
      <c r="U475" s="2"/>
      <c r="V475" s="2"/>
      <c r="W475" s="2"/>
      <c r="X475" s="2"/>
      <c r="Y475" s="2"/>
      <c r="Z475" s="2"/>
      <c r="AA475" s="2"/>
      <c r="AB475" s="2"/>
      <c r="AC475" s="108" t="b">
        <f t="shared" ref="AC475:AI475" si="184">AC474</f>
        <v>0</v>
      </c>
      <c r="AD475" s="108" t="b">
        <f t="shared" si="184"/>
        <v>0</v>
      </c>
      <c r="AE475" s="108" t="b">
        <f t="shared" si="184"/>
        <v>0</v>
      </c>
      <c r="AF475" s="108" t="b">
        <f t="shared" si="184"/>
        <v>0</v>
      </c>
      <c r="AG475" s="108" t="b">
        <f t="shared" si="184"/>
        <v>0</v>
      </c>
      <c r="AH475" s="108" t="b">
        <f t="shared" si="184"/>
        <v>0</v>
      </c>
      <c r="AI475" s="108" t="b">
        <f t="shared" si="184"/>
        <v>0</v>
      </c>
      <c r="AJ475" s="553" t="s">
        <v>2248</v>
      </c>
      <c r="AK475" s="663" t="str">
        <f>IF(AND(CNTR_ExistSubInstEntries,MSconst_RequireSubAttrEmissions,COUNTIFS(AC475:AI475,FALSE,H475:N475,"")&gt;0),EUconst_Error&amp;"BM"&amp;$Q315,"")</f>
        <v/>
      </c>
      <c r="AL475" s="2"/>
    </row>
    <row r="476" spans="1:38" ht="12.75" customHeight="1" x14ac:dyDescent="0.25">
      <c r="A476" s="2"/>
      <c r="B476" s="178"/>
      <c r="C476" s="779"/>
      <c r="D476" s="416" t="s">
        <v>860</v>
      </c>
      <c r="E476" s="2626" t="str">
        <f>Translations!$B$586</f>
        <v>Biomassahalt (som kolfraktion)</v>
      </c>
      <c r="F476" s="2487"/>
      <c r="G476" s="384" t="s">
        <v>957</v>
      </c>
      <c r="H476" s="1306"/>
      <c r="I476" s="1307"/>
      <c r="J476" s="1308"/>
      <c r="K476" s="1306"/>
      <c r="L476" s="1306"/>
      <c r="M476" s="1306"/>
      <c r="N476" s="1309"/>
      <c r="O476" s="15"/>
      <c r="P476" s="1362"/>
      <c r="Q476" s="343"/>
      <c r="R476" s="2"/>
      <c r="S476" s="772"/>
      <c r="T476" s="609">
        <f t="shared" ref="T476:Z476" si="185">H472</f>
        <v>2019</v>
      </c>
      <c r="U476" s="609">
        <f t="shared" si="185"/>
        <v>2020</v>
      </c>
      <c r="V476" s="609">
        <f t="shared" si="185"/>
        <v>2021</v>
      </c>
      <c r="W476" s="609">
        <f t="shared" si="185"/>
        <v>2022</v>
      </c>
      <c r="X476" s="609">
        <f t="shared" si="185"/>
        <v>2023</v>
      </c>
      <c r="Y476" s="609">
        <f t="shared" si="185"/>
        <v>2024</v>
      </c>
      <c r="Z476" s="610">
        <f t="shared" si="185"/>
        <v>2025</v>
      </c>
      <c r="AA476" s="2"/>
      <c r="AB476" s="2"/>
      <c r="AC476" s="108" t="b">
        <f t="shared" ref="AC476:AI476" si="186">AC475</f>
        <v>0</v>
      </c>
      <c r="AD476" s="108" t="b">
        <f t="shared" si="186"/>
        <v>0</v>
      </c>
      <c r="AE476" s="108" t="b">
        <f t="shared" si="186"/>
        <v>0</v>
      </c>
      <c r="AF476" s="108" t="b">
        <f t="shared" si="186"/>
        <v>0</v>
      </c>
      <c r="AG476" s="108" t="b">
        <f t="shared" si="186"/>
        <v>0</v>
      </c>
      <c r="AH476" s="108" t="b">
        <f t="shared" si="186"/>
        <v>0</v>
      </c>
      <c r="AI476" s="108" t="b">
        <f t="shared" si="186"/>
        <v>0</v>
      </c>
      <c r="AJ476" s="553" t="s">
        <v>2248</v>
      </c>
      <c r="AK476" s="663" t="str">
        <f>IF(AND(CNTR_ExistSubInstEntries,MSconst_RequireSubAttrEmissions,COUNTIFS(AC476:AI476,FALSE,H476:N476,"")&gt;0),EUconst_Error&amp;"BM"&amp;$Q315,"")</f>
        <v/>
      </c>
      <c r="AL476" s="2"/>
    </row>
    <row r="477" spans="1:38" ht="12.75" customHeight="1" thickBot="1" x14ac:dyDescent="0.3">
      <c r="A477" s="2"/>
      <c r="B477" s="178"/>
      <c r="C477" s="779"/>
      <c r="D477" s="416" t="s">
        <v>861</v>
      </c>
      <c r="E477" s="2627" t="str">
        <f>Translations!$B$587</f>
        <v>Utsläpp (fossila, beräknade)</v>
      </c>
      <c r="F477" s="2484"/>
      <c r="G477" s="426" t="str">
        <f>EUconst_tCO2pa</f>
        <v>t CO2 / år</v>
      </c>
      <c r="H477" s="273" t="str">
        <f t="shared" ref="H477:N477" si="187">IF(AND(COUNT(H473:H476)&gt;0,H480=""),3.664*H473*(H475/100)*(1-H476/100),"")</f>
        <v/>
      </c>
      <c r="I477" s="1109" t="str">
        <f t="shared" si="187"/>
        <v/>
      </c>
      <c r="J477" s="1116" t="str">
        <f t="shared" si="187"/>
        <v/>
      </c>
      <c r="K477" s="273" t="str">
        <f t="shared" si="187"/>
        <v/>
      </c>
      <c r="L477" s="273" t="str">
        <f t="shared" si="187"/>
        <v/>
      </c>
      <c r="M477" s="273" t="str">
        <f t="shared" si="187"/>
        <v/>
      </c>
      <c r="N477" s="1142" t="str">
        <f t="shared" si="187"/>
        <v/>
      </c>
      <c r="O477" s="15"/>
      <c r="P477" s="15"/>
      <c r="Q477" s="165" t="str">
        <f>EUconst_CNTR_EmissionsIntSource1 &amp; I315</f>
        <v>EmInternalSource1_</v>
      </c>
      <c r="R477" s="2"/>
      <c r="S477" s="773" t="str">
        <f>EUconst_CNTR_AttributedEmissions &amp; I315</f>
        <v>AttrEmissions_</v>
      </c>
      <c r="T477" s="111" t="str">
        <f t="shared" ref="T477:Z477" si="188">IF(T323,SUM(H477),"")</f>
        <v/>
      </c>
      <c r="U477" s="111" t="str">
        <f t="shared" si="188"/>
        <v/>
      </c>
      <c r="V477" s="111" t="str">
        <f t="shared" si="188"/>
        <v/>
      </c>
      <c r="W477" s="111" t="str">
        <f t="shared" si="188"/>
        <v/>
      </c>
      <c r="X477" s="111" t="str">
        <f t="shared" si="188"/>
        <v/>
      </c>
      <c r="Y477" s="111" t="str">
        <f t="shared" si="188"/>
        <v/>
      </c>
      <c r="Z477" s="112" t="str">
        <f t="shared" si="188"/>
        <v/>
      </c>
      <c r="AA477" s="2"/>
      <c r="AB477" s="2"/>
      <c r="AC477" s="2"/>
      <c r="AD477" s="2"/>
      <c r="AE477" s="2"/>
      <c r="AF477" s="2"/>
      <c r="AG477" s="2"/>
      <c r="AH477" s="2"/>
      <c r="AI477" s="2"/>
      <c r="AJ477" s="2"/>
      <c r="AK477" s="2"/>
      <c r="AL477" s="2"/>
    </row>
    <row r="478" spans="1:38" ht="12.75" customHeight="1" x14ac:dyDescent="0.25">
      <c r="A478" s="2"/>
      <c r="B478" s="178"/>
      <c r="C478" s="779"/>
      <c r="D478" s="416" t="s">
        <v>862</v>
      </c>
      <c r="E478" s="2628" t="str">
        <f>Translations!$B$588</f>
        <v>Memorandumpost: Utsläpp biomassa</v>
      </c>
      <c r="F478" s="2476"/>
      <c r="G478" s="427" t="str">
        <f>EUconst_tCO2pa</f>
        <v>t CO2 / år</v>
      </c>
      <c r="H478" s="272" t="str">
        <f t="shared" ref="H478:N478" si="189">IF(ISNUMBER(H477),3.664*H473*(H475/100)*(H476/100),"")</f>
        <v/>
      </c>
      <c r="I478" s="1110" t="str">
        <f t="shared" si="189"/>
        <v/>
      </c>
      <c r="J478" s="1117" t="str">
        <f t="shared" si="189"/>
        <v/>
      </c>
      <c r="K478" s="272" t="str">
        <f t="shared" si="189"/>
        <v/>
      </c>
      <c r="L478" s="272" t="str">
        <f t="shared" si="189"/>
        <v/>
      </c>
      <c r="M478" s="272" t="str">
        <f t="shared" si="189"/>
        <v/>
      </c>
      <c r="N478" s="1143" t="str">
        <f t="shared" si="189"/>
        <v/>
      </c>
      <c r="O478" s="15"/>
      <c r="P478" s="15"/>
      <c r="Q478" s="343"/>
      <c r="R478" s="2"/>
      <c r="S478" s="343"/>
      <c r="T478" s="2"/>
      <c r="U478" s="2"/>
      <c r="V478" s="2"/>
      <c r="W478" s="2"/>
      <c r="X478" s="2"/>
      <c r="Y478" s="2"/>
      <c r="Z478" s="2"/>
      <c r="AA478" s="2"/>
      <c r="AB478" s="2"/>
      <c r="AC478" s="2"/>
      <c r="AD478" s="2"/>
      <c r="AE478" s="2"/>
      <c r="AF478" s="2"/>
      <c r="AG478" s="2"/>
      <c r="AH478" s="2"/>
      <c r="AI478" s="2"/>
      <c r="AJ478" s="2"/>
      <c r="AK478" s="2"/>
      <c r="AL478" s="2"/>
    </row>
    <row r="479" spans="1:38" ht="12.75" customHeight="1" x14ac:dyDescent="0.25">
      <c r="A479" s="2"/>
      <c r="B479" s="178"/>
      <c r="C479" s="779"/>
      <c r="D479" s="416" t="s">
        <v>863</v>
      </c>
      <c r="E479" s="2626" t="str">
        <f>Translations!$B$589</f>
        <v>Energiinnehåll (beräknat)</v>
      </c>
      <c r="F479" s="2487"/>
      <c r="G479" s="428" t="str">
        <f>EUconst_TJpa</f>
        <v>TJ / år</v>
      </c>
      <c r="H479" s="275" t="str">
        <f t="shared" ref="H479:N479" si="190">IF(COUNT(H473:H474)=2,H473*H474/1000,"")</f>
        <v/>
      </c>
      <c r="I479" s="281" t="str">
        <f t="shared" si="190"/>
        <v/>
      </c>
      <c r="J479" s="1118" t="str">
        <f t="shared" si="190"/>
        <v/>
      </c>
      <c r="K479" s="275" t="str">
        <f t="shared" si="190"/>
        <v/>
      </c>
      <c r="L479" s="275" t="str">
        <f t="shared" si="190"/>
        <v/>
      </c>
      <c r="M479" s="275" t="str">
        <f t="shared" si="190"/>
        <v/>
      </c>
      <c r="N479" s="1144" t="str">
        <f t="shared" si="190"/>
        <v/>
      </c>
      <c r="O479" s="15"/>
      <c r="P479" s="15"/>
      <c r="Q479" s="343"/>
      <c r="R479" s="2"/>
      <c r="S479" s="343"/>
      <c r="T479" s="2"/>
      <c r="U479" s="2"/>
      <c r="V479" s="2"/>
      <c r="W479" s="2"/>
      <c r="X479" s="2"/>
      <c r="Y479" s="2"/>
      <c r="Z479" s="2"/>
      <c r="AA479" s="2"/>
      <c r="AB479" s="2"/>
      <c r="AC479" s="2"/>
      <c r="AD479" s="2"/>
      <c r="AE479" s="2"/>
      <c r="AF479" s="2"/>
      <c r="AG479" s="2"/>
      <c r="AH479" s="2"/>
      <c r="AI479" s="2"/>
      <c r="AJ479" s="2"/>
      <c r="AK479" s="2"/>
      <c r="AL479" s="2"/>
    </row>
    <row r="480" spans="1:38" ht="12.75" customHeight="1" x14ac:dyDescent="0.25">
      <c r="A480" s="2"/>
      <c r="B480" s="178"/>
      <c r="C480" s="779"/>
      <c r="D480" s="416" t="s">
        <v>72</v>
      </c>
      <c r="E480" s="2629" t="str">
        <f>Translations!$B$590</f>
        <v>Felmeddelanden (utsläpp)</v>
      </c>
      <c r="F480" s="2630"/>
      <c r="G480" s="429"/>
      <c r="H480" s="520" t="str">
        <f t="shared" ref="H480:N480" si="191">IF(COUNT(H473,H475:H476)&gt;0,IF(COUNTIF(H474:H476,"&lt;0")&gt;0,EUconst_Negative,IF(COUNT(H473,H475:H476)&lt;3,EUconst_Incomplete,"")),"")</f>
        <v/>
      </c>
      <c r="I480" s="1111" t="str">
        <f t="shared" si="191"/>
        <v/>
      </c>
      <c r="J480" s="1119" t="str">
        <f t="shared" si="191"/>
        <v/>
      </c>
      <c r="K480" s="520" t="str">
        <f t="shared" si="191"/>
        <v/>
      </c>
      <c r="L480" s="520" t="str">
        <f t="shared" si="191"/>
        <v/>
      </c>
      <c r="M480" s="520" t="str">
        <f t="shared" si="191"/>
        <v/>
      </c>
      <c r="N480" s="1145" t="str">
        <f t="shared" si="191"/>
        <v/>
      </c>
      <c r="O480" s="15"/>
      <c r="P480" s="15"/>
      <c r="Q480" s="343"/>
      <c r="R480" s="2"/>
      <c r="S480" s="343"/>
      <c r="T480" s="2"/>
      <c r="U480" s="2"/>
      <c r="V480" s="2"/>
      <c r="W480" s="2"/>
      <c r="X480" s="2"/>
      <c r="Y480" s="2"/>
      <c r="Z480" s="2"/>
      <c r="AA480" s="2"/>
      <c r="AB480" s="2"/>
      <c r="AC480" s="2"/>
      <c r="AD480" s="2"/>
      <c r="AE480" s="2"/>
      <c r="AF480" s="2"/>
      <c r="AG480" s="2"/>
      <c r="AH480" s="2"/>
      <c r="AI480" s="2"/>
      <c r="AJ480" s="2"/>
      <c r="AK480" s="2"/>
      <c r="AL480" s="2"/>
    </row>
    <row r="481" spans="1:38" ht="12.75" customHeight="1" x14ac:dyDescent="0.25">
      <c r="A481" s="2"/>
      <c r="B481" s="178"/>
      <c r="C481" s="779"/>
      <c r="D481" s="416"/>
      <c r="E481" s="780"/>
      <c r="F481" s="780"/>
      <c r="G481" s="780"/>
      <c r="H481" s="780"/>
      <c r="I481" s="780"/>
      <c r="J481" s="780"/>
      <c r="K481" s="780"/>
      <c r="L481" s="780"/>
      <c r="M481" s="623"/>
      <c r="N481" s="519"/>
      <c r="O481" s="15"/>
      <c r="P481" s="15"/>
      <c r="Q481" s="343"/>
      <c r="R481" s="2"/>
      <c r="S481" s="343"/>
      <c r="T481" s="2"/>
      <c r="U481" s="2"/>
      <c r="V481" s="2"/>
      <c r="W481" s="2"/>
      <c r="X481" s="2"/>
      <c r="Y481" s="2"/>
      <c r="Z481" s="2"/>
      <c r="AA481" s="2"/>
      <c r="AB481" s="2"/>
      <c r="AC481" s="2"/>
      <c r="AD481" s="2"/>
      <c r="AE481" s="2"/>
      <c r="AF481" s="2"/>
      <c r="AG481" s="2"/>
      <c r="AH481" s="2"/>
      <c r="AI481" s="2"/>
      <c r="AJ481" s="2"/>
      <c r="AK481" s="2"/>
      <c r="AL481" s="2"/>
    </row>
    <row r="482" spans="1:38" ht="12.75" customHeight="1" x14ac:dyDescent="0.25">
      <c r="A482" s="2"/>
      <c r="B482" s="178"/>
      <c r="C482" s="779"/>
      <c r="D482" s="416" t="s">
        <v>73</v>
      </c>
      <c r="E482" s="2614" t="str">
        <f>Translations!$B$591</f>
        <v>Namn på andra bränsle-/materialmängder – 2:</v>
      </c>
      <c r="F482" s="1960"/>
      <c r="G482" s="1960"/>
      <c r="H482" s="2520"/>
      <c r="I482" s="2621"/>
      <c r="J482" s="2510"/>
      <c r="K482" s="2510"/>
      <c r="L482" s="2510"/>
      <c r="M482" s="2511"/>
      <c r="N482" s="1807"/>
      <c r="O482" s="15"/>
      <c r="P482" s="1362"/>
      <c r="Q482" s="343"/>
      <c r="R482" s="2"/>
      <c r="S482" s="343"/>
      <c r="T482" s="2"/>
      <c r="U482" s="2"/>
      <c r="V482" s="2"/>
      <c r="W482" s="2"/>
      <c r="X482" s="2"/>
      <c r="Y482" s="2"/>
      <c r="Z482" s="2"/>
      <c r="AA482" s="2"/>
      <c r="AB482" s="2"/>
      <c r="AC482" s="672" t="s">
        <v>782</v>
      </c>
      <c r="AD482" s="108" t="b">
        <f>AD470</f>
        <v>0</v>
      </c>
      <c r="AE482" s="2"/>
      <c r="AF482" s="2"/>
      <c r="AG482" s="2"/>
      <c r="AH482" s="2"/>
      <c r="AI482" s="2"/>
      <c r="AJ482" s="2"/>
      <c r="AK482" s="2"/>
      <c r="AL482" s="2"/>
    </row>
    <row r="483" spans="1:38" ht="5.15" customHeight="1" x14ac:dyDescent="0.25">
      <c r="A483" s="2"/>
      <c r="B483" s="178"/>
      <c r="C483" s="779"/>
      <c r="D483" s="780"/>
      <c r="E483" s="1804"/>
      <c r="F483" s="1806"/>
      <c r="G483" s="780"/>
      <c r="H483" s="780"/>
      <c r="I483" s="1806"/>
      <c r="J483" s="1806"/>
      <c r="K483" s="1806"/>
      <c r="L483" s="1806"/>
      <c r="M483" s="1806"/>
      <c r="N483" s="1807"/>
      <c r="O483" s="15"/>
      <c r="P483" s="15"/>
      <c r="Q483" s="343"/>
      <c r="R483" s="2"/>
      <c r="S483" s="343"/>
      <c r="T483" s="2"/>
      <c r="U483" s="2"/>
      <c r="V483" s="2"/>
      <c r="W483" s="2"/>
      <c r="X483" s="2"/>
      <c r="Y483" s="2"/>
      <c r="Z483" s="2"/>
      <c r="AA483" s="2"/>
      <c r="AB483" s="2"/>
      <c r="AC483" s="2"/>
      <c r="AD483" s="2"/>
      <c r="AE483" s="2"/>
      <c r="AF483" s="2"/>
      <c r="AG483" s="2"/>
      <c r="AH483" s="2"/>
      <c r="AI483" s="2"/>
      <c r="AJ483" s="2"/>
      <c r="AK483" s="2"/>
      <c r="AL483" s="2"/>
    </row>
    <row r="484" spans="1:38" ht="12.75" customHeight="1" thickBot="1" x14ac:dyDescent="0.3">
      <c r="A484" s="2"/>
      <c r="B484" s="178"/>
      <c r="C484" s="779"/>
      <c r="D484" s="416"/>
      <c r="E484" s="2605" t="str">
        <f>Translations!$B$592</f>
        <v>Andra bränsle-/materialmängder – 2</v>
      </c>
      <c r="F484" s="2497"/>
      <c r="G484" s="361" t="str">
        <f>EUconst_Unit</f>
        <v>Enhet</v>
      </c>
      <c r="H484" s="362">
        <f t="shared" ref="H484:N484" si="192">H$3042</f>
        <v>2019</v>
      </c>
      <c r="I484" s="1103">
        <f t="shared" si="192"/>
        <v>2020</v>
      </c>
      <c r="J484" s="1104">
        <f t="shared" si="192"/>
        <v>2021</v>
      </c>
      <c r="K484" s="362">
        <f t="shared" si="192"/>
        <v>2022</v>
      </c>
      <c r="L484" s="362">
        <f t="shared" si="192"/>
        <v>2023</v>
      </c>
      <c r="M484" s="362">
        <f t="shared" si="192"/>
        <v>2024</v>
      </c>
      <c r="N484" s="1141">
        <f t="shared" si="192"/>
        <v>2025</v>
      </c>
      <c r="O484" s="15"/>
      <c r="P484" s="15"/>
      <c r="Q484" s="343"/>
      <c r="R484" s="2"/>
      <c r="S484" s="343"/>
      <c r="T484" s="2"/>
      <c r="U484" s="2"/>
      <c r="V484" s="2"/>
      <c r="W484" s="2"/>
      <c r="X484" s="2"/>
      <c r="Y484" s="2"/>
      <c r="Z484" s="2"/>
      <c r="AA484" s="2"/>
      <c r="AB484" s="2"/>
      <c r="AC484" s="1044">
        <f t="shared" ref="AC484:AI484" si="193">H$20</f>
        <v>2019</v>
      </c>
      <c r="AD484" s="1044">
        <f t="shared" si="193"/>
        <v>2020</v>
      </c>
      <c r="AE484" s="1044">
        <f t="shared" si="193"/>
        <v>2021</v>
      </c>
      <c r="AF484" s="1044">
        <f t="shared" si="193"/>
        <v>2022</v>
      </c>
      <c r="AG484" s="1044">
        <f t="shared" si="193"/>
        <v>2023</v>
      </c>
      <c r="AH484" s="1044">
        <f t="shared" si="193"/>
        <v>2024</v>
      </c>
      <c r="AI484" s="1044">
        <f t="shared" si="193"/>
        <v>2025</v>
      </c>
      <c r="AJ484" s="2"/>
      <c r="AK484" s="2"/>
      <c r="AL484" s="2"/>
    </row>
    <row r="485" spans="1:38" ht="12.75" customHeight="1" x14ac:dyDescent="0.25">
      <c r="A485" s="2"/>
      <c r="B485" s="178"/>
      <c r="C485" s="779"/>
      <c r="D485" s="416" t="s">
        <v>74</v>
      </c>
      <c r="E485" s="2611" t="str">
        <f>Translations!$B$583</f>
        <v>Importerad eller exporterad mängd</v>
      </c>
      <c r="F485" s="2484"/>
      <c r="G485" s="365" t="str">
        <f>EUconst_tpa</f>
        <v>t / år</v>
      </c>
      <c r="H485" s="1298"/>
      <c r="I485" s="1299"/>
      <c r="J485" s="1300"/>
      <c r="K485" s="1298"/>
      <c r="L485" s="1298"/>
      <c r="M485" s="1298"/>
      <c r="N485" s="1301"/>
      <c r="O485" s="15"/>
      <c r="P485" s="1362"/>
      <c r="Q485" s="343"/>
      <c r="R485" s="2"/>
      <c r="S485" s="343"/>
      <c r="T485" s="2"/>
      <c r="U485" s="2"/>
      <c r="V485" s="2"/>
      <c r="W485" s="2"/>
      <c r="X485" s="2"/>
      <c r="Y485" s="2"/>
      <c r="Z485" s="2"/>
      <c r="AA485" s="2"/>
      <c r="AB485" s="672" t="s">
        <v>782</v>
      </c>
      <c r="AC485" s="108" t="b">
        <f>AC473</f>
        <v>0</v>
      </c>
      <c r="AD485" s="108" t="b">
        <f t="shared" ref="AD485:AI485" si="194">AD473</f>
        <v>0</v>
      </c>
      <c r="AE485" s="108" t="b">
        <f t="shared" si="194"/>
        <v>0</v>
      </c>
      <c r="AF485" s="108" t="b">
        <f t="shared" si="194"/>
        <v>0</v>
      </c>
      <c r="AG485" s="108" t="b">
        <f t="shared" si="194"/>
        <v>0</v>
      </c>
      <c r="AH485" s="108" t="b">
        <f t="shared" si="194"/>
        <v>0</v>
      </c>
      <c r="AI485" s="108" t="b">
        <f t="shared" si="194"/>
        <v>0</v>
      </c>
      <c r="AJ485" s="553" t="s">
        <v>2248</v>
      </c>
      <c r="AK485" s="663" t="str">
        <f>IF(AND(CNTR_ExistSubInstEntries,MSconst_RequireSubAttrEmissions,COUNTIFS(AC485:AI485,FALSE,H485:N485,"")&gt;0),EUconst_Error&amp;"BM"&amp;$Q315,"")</f>
        <v/>
      </c>
      <c r="AL485" s="2"/>
    </row>
    <row r="486" spans="1:38" ht="12.75" customHeight="1" x14ac:dyDescent="0.25">
      <c r="A486" s="2"/>
      <c r="B486" s="178"/>
      <c r="C486" s="779"/>
      <c r="D486" s="416" t="s">
        <v>1201</v>
      </c>
      <c r="E486" s="2625" t="str">
        <f>Translations!$B$584</f>
        <v>Effektivt värmevärde, i tillämpliga fall</v>
      </c>
      <c r="F486" s="2476"/>
      <c r="G486" s="424" t="str">
        <f>EUconst_GJpt</f>
        <v>GJ / t</v>
      </c>
      <c r="H486" s="1302"/>
      <c r="I486" s="1303"/>
      <c r="J486" s="1304"/>
      <c r="K486" s="1302"/>
      <c r="L486" s="1302"/>
      <c r="M486" s="1302"/>
      <c r="N486" s="1305"/>
      <c r="O486" s="15"/>
      <c r="P486" s="1362"/>
      <c r="Q486" s="343"/>
      <c r="R486" s="2"/>
      <c r="S486" s="343"/>
      <c r="T486" s="2"/>
      <c r="U486" s="2"/>
      <c r="V486" s="2"/>
      <c r="W486" s="2"/>
      <c r="X486" s="2"/>
      <c r="Y486" s="2"/>
      <c r="Z486" s="2"/>
      <c r="AA486" s="2"/>
      <c r="AB486" s="2"/>
      <c r="AC486" s="108" t="b">
        <f t="shared" ref="AC486:AI486" si="195">AC474</f>
        <v>0</v>
      </c>
      <c r="AD486" s="108" t="b">
        <f t="shared" si="195"/>
        <v>0</v>
      </c>
      <c r="AE486" s="108" t="b">
        <f t="shared" si="195"/>
        <v>0</v>
      </c>
      <c r="AF486" s="108" t="b">
        <f t="shared" si="195"/>
        <v>0</v>
      </c>
      <c r="AG486" s="108" t="b">
        <f t="shared" si="195"/>
        <v>0</v>
      </c>
      <c r="AH486" s="108" t="b">
        <f t="shared" si="195"/>
        <v>0</v>
      </c>
      <c r="AI486" s="108" t="b">
        <f t="shared" si="195"/>
        <v>0</v>
      </c>
      <c r="AJ486" s="553" t="s">
        <v>2248</v>
      </c>
      <c r="AK486" s="663" t="str">
        <f>IF(AND(CNTR_ExistSubInstEntries,MSconst_RequireSubAttrEmissions,COUNTIFS(AC486:AI486,FALSE,H486:N486,"")&gt;0),EUconst_Error&amp;"BM"&amp;$Q315,"")</f>
        <v/>
      </c>
      <c r="AL486" s="2"/>
    </row>
    <row r="487" spans="1:38" ht="12.75" customHeight="1" thickBot="1" x14ac:dyDescent="0.3">
      <c r="A487" s="2"/>
      <c r="B487" s="178"/>
      <c r="C487" s="779"/>
      <c r="D487" s="416" t="s">
        <v>1202</v>
      </c>
      <c r="E487" s="2625" t="str">
        <f>Translations!$B$585</f>
        <v>Kolinnehåll (viktprocent)</v>
      </c>
      <c r="F487" s="2476"/>
      <c r="G487" s="425" t="s">
        <v>957</v>
      </c>
      <c r="H487" s="1302"/>
      <c r="I487" s="1303"/>
      <c r="J487" s="1304"/>
      <c r="K487" s="1302"/>
      <c r="L487" s="1302"/>
      <c r="M487" s="1302"/>
      <c r="N487" s="1305"/>
      <c r="O487" s="15"/>
      <c r="P487" s="1362"/>
      <c r="Q487" s="343"/>
      <c r="R487" s="2"/>
      <c r="S487" s="343"/>
      <c r="T487" s="2"/>
      <c r="U487" s="2"/>
      <c r="V487" s="2"/>
      <c r="W487" s="2"/>
      <c r="X487" s="2"/>
      <c r="Y487" s="2"/>
      <c r="Z487" s="2"/>
      <c r="AA487" s="2"/>
      <c r="AB487" s="2"/>
      <c r="AC487" s="108" t="b">
        <f t="shared" ref="AC487:AI487" si="196">AC475</f>
        <v>0</v>
      </c>
      <c r="AD487" s="108" t="b">
        <f t="shared" si="196"/>
        <v>0</v>
      </c>
      <c r="AE487" s="108" t="b">
        <f t="shared" si="196"/>
        <v>0</v>
      </c>
      <c r="AF487" s="108" t="b">
        <f t="shared" si="196"/>
        <v>0</v>
      </c>
      <c r="AG487" s="108" t="b">
        <f t="shared" si="196"/>
        <v>0</v>
      </c>
      <c r="AH487" s="108" t="b">
        <f t="shared" si="196"/>
        <v>0</v>
      </c>
      <c r="AI487" s="108" t="b">
        <f t="shared" si="196"/>
        <v>0</v>
      </c>
      <c r="AJ487" s="553" t="s">
        <v>2248</v>
      </c>
      <c r="AK487" s="663" t="str">
        <f>IF(AND(CNTR_ExistSubInstEntries,MSconst_RequireSubAttrEmissions,COUNTIFS(AC487:AI487,FALSE,H487:N487,"")&gt;0),EUconst_Error&amp;"BM"&amp;$Q315,"")</f>
        <v/>
      </c>
      <c r="AL487" s="2"/>
    </row>
    <row r="488" spans="1:38" ht="12.75" customHeight="1" x14ac:dyDescent="0.25">
      <c r="A488" s="2"/>
      <c r="B488" s="178"/>
      <c r="C488" s="779"/>
      <c r="D488" s="416" t="s">
        <v>1203</v>
      </c>
      <c r="E488" s="2626" t="str">
        <f>Translations!$B$586</f>
        <v>Biomassahalt (som kolfraktion)</v>
      </c>
      <c r="F488" s="2487"/>
      <c r="G488" s="384" t="s">
        <v>957</v>
      </c>
      <c r="H488" s="1306"/>
      <c r="I488" s="1307"/>
      <c r="J488" s="1308"/>
      <c r="K488" s="1306"/>
      <c r="L488" s="1306"/>
      <c r="M488" s="1306"/>
      <c r="N488" s="1309"/>
      <c r="O488" s="15"/>
      <c r="P488" s="1362"/>
      <c r="Q488" s="343"/>
      <c r="R488" s="2"/>
      <c r="S488" s="772"/>
      <c r="T488" s="609">
        <f t="shared" ref="T488:Z488" si="197">H484</f>
        <v>2019</v>
      </c>
      <c r="U488" s="609">
        <f t="shared" si="197"/>
        <v>2020</v>
      </c>
      <c r="V488" s="609">
        <f t="shared" si="197"/>
        <v>2021</v>
      </c>
      <c r="W488" s="609">
        <f t="shared" si="197"/>
        <v>2022</v>
      </c>
      <c r="X488" s="609">
        <f t="shared" si="197"/>
        <v>2023</v>
      </c>
      <c r="Y488" s="609">
        <f t="shared" si="197"/>
        <v>2024</v>
      </c>
      <c r="Z488" s="610">
        <f t="shared" si="197"/>
        <v>2025</v>
      </c>
      <c r="AA488" s="2"/>
      <c r="AB488" s="2"/>
      <c r="AC488" s="108" t="b">
        <f t="shared" ref="AC488:AI488" si="198">AC476</f>
        <v>0</v>
      </c>
      <c r="AD488" s="108" t="b">
        <f t="shared" si="198"/>
        <v>0</v>
      </c>
      <c r="AE488" s="108" t="b">
        <f t="shared" si="198"/>
        <v>0</v>
      </c>
      <c r="AF488" s="108" t="b">
        <f t="shared" si="198"/>
        <v>0</v>
      </c>
      <c r="AG488" s="108" t="b">
        <f t="shared" si="198"/>
        <v>0</v>
      </c>
      <c r="AH488" s="108" t="b">
        <f t="shared" si="198"/>
        <v>0</v>
      </c>
      <c r="AI488" s="108" t="b">
        <f t="shared" si="198"/>
        <v>0</v>
      </c>
      <c r="AJ488" s="553" t="s">
        <v>2248</v>
      </c>
      <c r="AK488" s="663" t="str">
        <f>IF(AND(CNTR_ExistSubInstEntries,MSconst_RequireSubAttrEmissions,COUNTIFS(AC488:AI488,FALSE,H488:N488,"")&gt;0),EUconst_Error&amp;"BM"&amp;$Q315,"")</f>
        <v/>
      </c>
      <c r="AL488" s="2"/>
    </row>
    <row r="489" spans="1:38" ht="12.75" customHeight="1" thickBot="1" x14ac:dyDescent="0.3">
      <c r="A489" s="2"/>
      <c r="B489" s="178"/>
      <c r="C489" s="779"/>
      <c r="D489" s="416" t="s">
        <v>1204</v>
      </c>
      <c r="E489" s="2627" t="str">
        <f>Translations!$B$587</f>
        <v>Utsläpp (fossila, beräknade)</v>
      </c>
      <c r="F489" s="2484"/>
      <c r="G489" s="426" t="str">
        <f>EUconst_tCO2pa</f>
        <v>t CO2 / år</v>
      </c>
      <c r="H489" s="273" t="str">
        <f t="shared" ref="H489:N489" si="199">IF(AND(COUNT(H485:H488)&gt;0,H492=""),3.664*H485*(H487/100)*(1-H488/100),"")</f>
        <v/>
      </c>
      <c r="I489" s="1109" t="str">
        <f t="shared" si="199"/>
        <v/>
      </c>
      <c r="J489" s="1116" t="str">
        <f t="shared" si="199"/>
        <v/>
      </c>
      <c r="K489" s="273" t="str">
        <f t="shared" si="199"/>
        <v/>
      </c>
      <c r="L489" s="273" t="str">
        <f t="shared" si="199"/>
        <v/>
      </c>
      <c r="M489" s="273" t="str">
        <f t="shared" si="199"/>
        <v/>
      </c>
      <c r="N489" s="1142" t="str">
        <f t="shared" si="199"/>
        <v/>
      </c>
      <c r="O489" s="15"/>
      <c r="P489" s="15"/>
      <c r="Q489" s="165" t="str">
        <f>EUconst_CNTR_EmissionsIntSource2 &amp; I315</f>
        <v>EmInternalSource2_</v>
      </c>
      <c r="R489" s="2"/>
      <c r="S489" s="773" t="str">
        <f>EUconst_CNTR_AttributedEmissions &amp; I315</f>
        <v>AttrEmissions_</v>
      </c>
      <c r="T489" s="111" t="str">
        <f t="shared" ref="T489:Z489" si="200">IF(T323,SUM(H489),"")</f>
        <v/>
      </c>
      <c r="U489" s="111" t="str">
        <f t="shared" si="200"/>
        <v/>
      </c>
      <c r="V489" s="111" t="str">
        <f t="shared" si="200"/>
        <v/>
      </c>
      <c r="W489" s="111" t="str">
        <f t="shared" si="200"/>
        <v/>
      </c>
      <c r="X489" s="111" t="str">
        <f t="shared" si="200"/>
        <v/>
      </c>
      <c r="Y489" s="111" t="str">
        <f t="shared" si="200"/>
        <v/>
      </c>
      <c r="Z489" s="112" t="str">
        <f t="shared" si="200"/>
        <v/>
      </c>
      <c r="AA489" s="2"/>
      <c r="AB489" s="2"/>
      <c r="AC489" s="2"/>
      <c r="AD489" s="2"/>
      <c r="AE489" s="2"/>
      <c r="AF489" s="2"/>
      <c r="AG489" s="2"/>
      <c r="AH489" s="2"/>
      <c r="AI489" s="2"/>
      <c r="AJ489" s="2"/>
      <c r="AK489" s="2"/>
      <c r="AL489" s="2"/>
    </row>
    <row r="490" spans="1:38" ht="12.75" customHeight="1" x14ac:dyDescent="0.25">
      <c r="A490" s="2"/>
      <c r="B490" s="178"/>
      <c r="C490" s="779"/>
      <c r="D490" s="416" t="s">
        <v>1205</v>
      </c>
      <c r="E490" s="2628" t="str">
        <f>Translations!$B$588</f>
        <v>Memorandumpost: Utsläpp biomassa</v>
      </c>
      <c r="F490" s="2476"/>
      <c r="G490" s="427" t="str">
        <f>EUconst_tCO2pa</f>
        <v>t CO2 / år</v>
      </c>
      <c r="H490" s="272" t="str">
        <f t="shared" ref="H490:N490" si="201">IF(ISNUMBER(H489),3.664*H485*(H487/100)*(H488/100),"")</f>
        <v/>
      </c>
      <c r="I490" s="1110" t="str">
        <f t="shared" si="201"/>
        <v/>
      </c>
      <c r="J490" s="1117" t="str">
        <f t="shared" si="201"/>
        <v/>
      </c>
      <c r="K490" s="272" t="str">
        <f t="shared" si="201"/>
        <v/>
      </c>
      <c r="L490" s="272" t="str">
        <f t="shared" si="201"/>
        <v/>
      </c>
      <c r="M490" s="272" t="str">
        <f t="shared" si="201"/>
        <v/>
      </c>
      <c r="N490" s="1143" t="str">
        <f t="shared" si="201"/>
        <v/>
      </c>
      <c r="O490" s="15"/>
      <c r="P490" s="15"/>
      <c r="Q490" s="343"/>
      <c r="R490" s="2"/>
      <c r="S490" s="343"/>
      <c r="T490" s="2"/>
      <c r="U490" s="2"/>
      <c r="V490" s="2"/>
      <c r="W490" s="2"/>
      <c r="X490" s="2"/>
      <c r="Y490" s="2"/>
      <c r="Z490" s="2"/>
      <c r="AA490" s="2"/>
      <c r="AB490" s="2"/>
      <c r="AC490" s="2"/>
      <c r="AD490" s="2"/>
      <c r="AE490" s="2"/>
      <c r="AF490" s="2"/>
      <c r="AG490" s="2"/>
      <c r="AH490" s="2"/>
      <c r="AI490" s="2"/>
      <c r="AJ490" s="2"/>
      <c r="AK490" s="2"/>
      <c r="AL490" s="2"/>
    </row>
    <row r="491" spans="1:38" ht="12.75" customHeight="1" x14ac:dyDescent="0.25">
      <c r="A491" s="2"/>
      <c r="B491" s="178"/>
      <c r="C491" s="779"/>
      <c r="D491" s="416" t="s">
        <v>1206</v>
      </c>
      <c r="E491" s="2626" t="str">
        <f>Translations!$B$589</f>
        <v>Energiinnehåll (beräknat)</v>
      </c>
      <c r="F491" s="2487"/>
      <c r="G491" s="428" t="str">
        <f>EUconst_TJpa</f>
        <v>TJ / år</v>
      </c>
      <c r="H491" s="275" t="str">
        <f t="shared" ref="H491:N491" si="202">IF(COUNT(H485:H486)=2,H485*H486/1000,"")</f>
        <v/>
      </c>
      <c r="I491" s="281" t="str">
        <f t="shared" si="202"/>
        <v/>
      </c>
      <c r="J491" s="1118" t="str">
        <f t="shared" si="202"/>
        <v/>
      </c>
      <c r="K491" s="275" t="str">
        <f t="shared" si="202"/>
        <v/>
      </c>
      <c r="L491" s="275" t="str">
        <f t="shared" si="202"/>
        <v/>
      </c>
      <c r="M491" s="275" t="str">
        <f t="shared" si="202"/>
        <v/>
      </c>
      <c r="N491" s="1144" t="str">
        <f t="shared" si="202"/>
        <v/>
      </c>
      <c r="O491" s="15"/>
      <c r="P491" s="15"/>
      <c r="Q491" s="343"/>
      <c r="R491" s="2"/>
      <c r="S491" s="343"/>
      <c r="T491" s="2"/>
      <c r="U491" s="2"/>
      <c r="V491" s="2"/>
      <c r="W491" s="2"/>
      <c r="X491" s="2"/>
      <c r="Y491" s="2"/>
      <c r="Z491" s="2"/>
      <c r="AA491" s="2"/>
      <c r="AB491" s="2"/>
      <c r="AC491" s="2"/>
      <c r="AD491" s="2"/>
      <c r="AE491" s="2"/>
      <c r="AF491" s="2"/>
      <c r="AG491" s="2"/>
      <c r="AH491" s="2"/>
      <c r="AI491" s="2"/>
      <c r="AJ491" s="2"/>
      <c r="AK491" s="2"/>
      <c r="AL491" s="2"/>
    </row>
    <row r="492" spans="1:38" ht="12.75" customHeight="1" x14ac:dyDescent="0.25">
      <c r="A492" s="2"/>
      <c r="B492" s="178"/>
      <c r="C492" s="779"/>
      <c r="D492" s="416" t="s">
        <v>1202</v>
      </c>
      <c r="E492" s="2629" t="str">
        <f>Translations!$B$590</f>
        <v>Felmeddelanden (utsläpp)</v>
      </c>
      <c r="F492" s="2630"/>
      <c r="G492" s="429"/>
      <c r="H492" s="520" t="str">
        <f t="shared" ref="H492:N492" si="203">IF(COUNT(H485,H487:H488)&gt;0,IF(COUNTIF(H486:H488,"&lt;0")&gt;0,EUconst_Negative,IF(COUNT(H485,H487:H488)&lt;3,EUconst_Incomplete,"")),"")</f>
        <v/>
      </c>
      <c r="I492" s="1111" t="str">
        <f t="shared" si="203"/>
        <v/>
      </c>
      <c r="J492" s="1119" t="str">
        <f t="shared" si="203"/>
        <v/>
      </c>
      <c r="K492" s="520" t="str">
        <f t="shared" si="203"/>
        <v/>
      </c>
      <c r="L492" s="520" t="str">
        <f t="shared" si="203"/>
        <v/>
      </c>
      <c r="M492" s="520" t="str">
        <f t="shared" si="203"/>
        <v/>
      </c>
      <c r="N492" s="1145" t="str">
        <f t="shared" si="203"/>
        <v/>
      </c>
      <c r="O492" s="15"/>
      <c r="P492" s="15"/>
      <c r="Q492" s="343"/>
      <c r="R492" s="2"/>
      <c r="S492" s="343"/>
      <c r="T492" s="2"/>
      <c r="U492" s="2"/>
      <c r="V492" s="2"/>
      <c r="W492" s="2"/>
      <c r="X492" s="2"/>
      <c r="Y492" s="2"/>
      <c r="Z492" s="2"/>
      <c r="AA492" s="2"/>
      <c r="AB492" s="2"/>
      <c r="AC492" s="2"/>
      <c r="AD492" s="2"/>
      <c r="AE492" s="2"/>
      <c r="AF492" s="2"/>
      <c r="AG492" s="2"/>
      <c r="AH492" s="2"/>
      <c r="AI492" s="2"/>
      <c r="AJ492" s="2"/>
      <c r="AK492" s="2"/>
      <c r="AL492" s="2"/>
    </row>
    <row r="493" spans="1:38" ht="12.75" customHeight="1" x14ac:dyDescent="0.25">
      <c r="A493" s="2"/>
      <c r="B493" s="178"/>
      <c r="C493" s="779"/>
      <c r="D493" s="780"/>
      <c r="E493" s="780"/>
      <c r="F493" s="780"/>
      <c r="G493" s="780"/>
      <c r="H493" s="780"/>
      <c r="I493" s="780"/>
      <c r="J493" s="780"/>
      <c r="K493" s="780"/>
      <c r="L493" s="780"/>
      <c r="M493" s="623"/>
      <c r="N493" s="519"/>
      <c r="O493" s="15"/>
      <c r="P493" s="15"/>
      <c r="Q493" s="343"/>
      <c r="R493" s="2"/>
      <c r="S493" s="343"/>
      <c r="T493" s="2"/>
      <c r="U493" s="2"/>
      <c r="V493" s="2"/>
      <c r="W493" s="2"/>
      <c r="X493" s="2"/>
      <c r="Y493" s="2"/>
      <c r="Z493" s="2"/>
      <c r="AA493" s="2"/>
      <c r="AB493" s="2"/>
      <c r="AC493" s="2"/>
      <c r="AD493" s="2"/>
      <c r="AE493" s="2"/>
      <c r="AF493" s="2"/>
      <c r="AG493" s="2"/>
      <c r="AH493" s="2"/>
      <c r="AI493" s="2"/>
      <c r="AJ493" s="2"/>
      <c r="AK493" s="2"/>
      <c r="AL493" s="2"/>
    </row>
    <row r="494" spans="1:38" ht="12.75" customHeight="1" x14ac:dyDescent="0.25">
      <c r="A494" s="2"/>
      <c r="B494" s="178"/>
      <c r="C494" s="779"/>
      <c r="D494" s="373" t="s">
        <v>523</v>
      </c>
      <c r="E494" s="2614" t="str">
        <f>Translations!$B$593</f>
        <v>Mängd växthusgaser som importerats eller exporterats som råvaror</v>
      </c>
      <c r="F494" s="1960"/>
      <c r="G494" s="1960"/>
      <c r="H494" s="1960"/>
      <c r="I494" s="1960"/>
      <c r="J494" s="1960"/>
      <c r="K494" s="1960"/>
      <c r="L494" s="1960"/>
      <c r="M494" s="1960"/>
      <c r="N494" s="2597"/>
      <c r="O494" s="15"/>
      <c r="P494" s="15"/>
      <c r="Q494" s="343"/>
      <c r="R494" s="2"/>
      <c r="S494" s="343"/>
      <c r="T494" s="2"/>
      <c r="U494" s="2"/>
      <c r="V494" s="2"/>
      <c r="W494" s="2"/>
      <c r="X494" s="2"/>
      <c r="Y494" s="2"/>
      <c r="Z494" s="2"/>
      <c r="AA494" s="2"/>
      <c r="AB494" s="2"/>
      <c r="AC494" s="2"/>
      <c r="AD494" s="2"/>
      <c r="AE494" s="2"/>
      <c r="AF494" s="2"/>
      <c r="AG494" s="2"/>
      <c r="AH494" s="2"/>
      <c r="AI494" s="2"/>
      <c r="AJ494" s="2"/>
      <c r="AK494" s="2"/>
      <c r="AL494" s="2"/>
    </row>
    <row r="495" spans="1:38" ht="12.75" customHeight="1" x14ac:dyDescent="0.25">
      <c r="A495" s="2"/>
      <c r="B495" s="178"/>
      <c r="C495" s="779"/>
      <c r="D495" s="416"/>
      <c r="E495" s="2596" t="str">
        <f>Translations!$B$556</f>
        <v>De uppgifter som anges här påverkar de utsläpp som kan tillskrivas i enlighet med avsnitt 10.1.1 i bilaga VII till FAR.</v>
      </c>
      <c r="F495" s="1960"/>
      <c r="G495" s="1960"/>
      <c r="H495" s="1960"/>
      <c r="I495" s="1960"/>
      <c r="J495" s="1960"/>
      <c r="K495" s="1960"/>
      <c r="L495" s="1960"/>
      <c r="M495" s="1960"/>
      <c r="N495" s="2597"/>
      <c r="O495" s="15"/>
      <c r="P495" s="15"/>
      <c r="Q495" s="343"/>
      <c r="R495" s="2"/>
      <c r="S495" s="343"/>
      <c r="T495" s="343"/>
      <c r="U495" s="343"/>
      <c r="V495" s="343"/>
      <c r="W495" s="2"/>
      <c r="X495" s="2"/>
      <c r="Y495" s="2"/>
      <c r="Z495" s="2"/>
      <c r="AA495" s="2"/>
      <c r="AB495" s="2"/>
      <c r="AC495" s="2"/>
      <c r="AD495" s="2"/>
      <c r="AE495" s="2"/>
      <c r="AF495" s="2"/>
      <c r="AG495" s="2"/>
      <c r="AH495" s="2"/>
      <c r="AI495" s="2"/>
      <c r="AJ495" s="2"/>
      <c r="AK495" s="2"/>
      <c r="AL495" s="2"/>
    </row>
    <row r="496" spans="1:38" ht="25.5" customHeight="1" x14ac:dyDescent="0.25">
      <c r="A496" s="2"/>
      <c r="B496" s="178"/>
      <c r="C496" s="779"/>
      <c r="D496" s="780"/>
      <c r="E496" s="2610" t="str">
        <f>Translations!$B$594</f>
        <v>I enlighet med kravet i avsnitt 3.1 k och 3.1 l i bilaga IV till FAR, var god ange mängden överförd koldioxid som importeras från eller exporteras till andra delanläggningar, anläggningar eller andra enheter, i enlighet med M&amp;R-förordningens regler.</v>
      </c>
      <c r="F496" s="1960"/>
      <c r="G496" s="1960"/>
      <c r="H496" s="1960"/>
      <c r="I496" s="1960"/>
      <c r="J496" s="1960"/>
      <c r="K496" s="1960"/>
      <c r="L496" s="1960"/>
      <c r="M496" s="1960"/>
      <c r="N496" s="2597"/>
      <c r="O496" s="15"/>
      <c r="P496" s="15"/>
      <c r="Q496" s="343"/>
      <c r="R496" s="2"/>
      <c r="S496" s="343"/>
      <c r="T496" s="2"/>
      <c r="U496" s="2"/>
      <c r="V496" s="2"/>
      <c r="W496" s="2"/>
      <c r="X496" s="2"/>
      <c r="Y496" s="2"/>
      <c r="Z496" s="2"/>
      <c r="AA496" s="2"/>
      <c r="AB496" s="2"/>
      <c r="AC496" s="2"/>
      <c r="AD496" s="2"/>
      <c r="AE496" s="2"/>
      <c r="AF496" s="2"/>
      <c r="AG496" s="2"/>
      <c r="AH496" s="2"/>
      <c r="AI496" s="2"/>
      <c r="AJ496" s="2"/>
      <c r="AK496" s="2"/>
      <c r="AL496" s="2"/>
    </row>
    <row r="497" spans="1:38" ht="12.75" customHeight="1" thickBot="1" x14ac:dyDescent="0.3">
      <c r="A497" s="2"/>
      <c r="B497" s="178"/>
      <c r="C497" s="779"/>
      <c r="D497" s="780"/>
      <c r="E497" s="2610" t="str">
        <f>Translations!$B$595</f>
        <v>Exporterade mängder bör anges i negativa värden och motsvara den koldioxid som exporteras och som inte släpps ut i atmosfären av delanläggningen.</v>
      </c>
      <c r="F497" s="1960"/>
      <c r="G497" s="1960"/>
      <c r="H497" s="1960"/>
      <c r="I497" s="1960"/>
      <c r="J497" s="1960"/>
      <c r="K497" s="1960"/>
      <c r="L497" s="1960"/>
      <c r="M497" s="1960"/>
      <c r="N497" s="2597"/>
      <c r="O497" s="15"/>
      <c r="P497" s="15"/>
      <c r="Q497" s="343"/>
      <c r="R497" s="2"/>
      <c r="S497" s="343"/>
      <c r="T497" s="2"/>
      <c r="U497" s="2"/>
      <c r="V497" s="2"/>
      <c r="W497" s="2"/>
      <c r="X497" s="2"/>
      <c r="Y497" s="2"/>
      <c r="Z497" s="2"/>
      <c r="AA497" s="2"/>
      <c r="AB497" s="2"/>
      <c r="AC497" s="2"/>
      <c r="AD497" s="2"/>
      <c r="AE497" s="2"/>
      <c r="AF497" s="2"/>
      <c r="AG497" s="2"/>
      <c r="AH497" s="2"/>
      <c r="AI497" s="2"/>
      <c r="AJ497" s="2"/>
      <c r="AK497" s="2"/>
      <c r="AL497" s="2"/>
    </row>
    <row r="498" spans="1:38" ht="12.75" customHeight="1" thickBot="1" x14ac:dyDescent="0.3">
      <c r="A498" s="2"/>
      <c r="B498" s="178"/>
      <c r="C498" s="779"/>
      <c r="D498" s="373"/>
      <c r="E498" s="1716"/>
      <c r="F498" s="1717"/>
      <c r="G498" s="361" t="str">
        <f>EUconst_Unit</f>
        <v>Enhet</v>
      </c>
      <c r="H498" s="362">
        <f t="shared" ref="H498:N498" si="204">H$3042</f>
        <v>2019</v>
      </c>
      <c r="I498" s="1103">
        <f t="shared" si="204"/>
        <v>2020</v>
      </c>
      <c r="J498" s="1104">
        <f t="shared" si="204"/>
        <v>2021</v>
      </c>
      <c r="K498" s="362">
        <f t="shared" si="204"/>
        <v>2022</v>
      </c>
      <c r="L498" s="362">
        <f t="shared" si="204"/>
        <v>2023</v>
      </c>
      <c r="M498" s="362">
        <f t="shared" si="204"/>
        <v>2024</v>
      </c>
      <c r="N498" s="1141">
        <f t="shared" si="204"/>
        <v>2025</v>
      </c>
      <c r="O498" s="15"/>
      <c r="P498" s="15"/>
      <c r="Q498" s="343"/>
      <c r="R498" s="2"/>
      <c r="S498" s="772"/>
      <c r="T498" s="609">
        <f t="shared" ref="T498:Z498" si="205">H498</f>
        <v>2019</v>
      </c>
      <c r="U498" s="609">
        <f t="shared" si="205"/>
        <v>2020</v>
      </c>
      <c r="V498" s="609">
        <f t="shared" si="205"/>
        <v>2021</v>
      </c>
      <c r="W498" s="609">
        <f t="shared" si="205"/>
        <v>2022</v>
      </c>
      <c r="X498" s="609">
        <f t="shared" si="205"/>
        <v>2023</v>
      </c>
      <c r="Y498" s="609">
        <f t="shared" si="205"/>
        <v>2024</v>
      </c>
      <c r="Z498" s="610">
        <f t="shared" si="205"/>
        <v>2025</v>
      </c>
      <c r="AA498" s="2"/>
      <c r="AB498" s="2"/>
      <c r="AC498" s="1044">
        <f t="shared" ref="AC498:AI498" si="206">H$20</f>
        <v>2019</v>
      </c>
      <c r="AD498" s="1044">
        <f t="shared" si="206"/>
        <v>2020</v>
      </c>
      <c r="AE498" s="1044">
        <f t="shared" si="206"/>
        <v>2021</v>
      </c>
      <c r="AF498" s="1044">
        <f t="shared" si="206"/>
        <v>2022</v>
      </c>
      <c r="AG498" s="1044">
        <f t="shared" si="206"/>
        <v>2023</v>
      </c>
      <c r="AH498" s="1044">
        <f t="shared" si="206"/>
        <v>2024</v>
      </c>
      <c r="AI498" s="1044">
        <f t="shared" si="206"/>
        <v>2025</v>
      </c>
      <c r="AJ498" s="2"/>
      <c r="AK498" s="2"/>
      <c r="AL498" s="2"/>
    </row>
    <row r="499" spans="1:38" ht="12.75" customHeight="1" thickBot="1" x14ac:dyDescent="0.3">
      <c r="A499" s="2"/>
      <c r="B499" s="178"/>
      <c r="C499" s="779"/>
      <c r="D499" s="416"/>
      <c r="E499" s="2613" t="str">
        <f>Translations!$B$596</f>
        <v>Importerade eller exporterade växthusgaser</v>
      </c>
      <c r="F499" s="1997"/>
      <c r="G499" s="364" t="str">
        <f>EUconst_tCO2epa</f>
        <v>t CO2e/år</v>
      </c>
      <c r="H499" s="582"/>
      <c r="I499" s="1105"/>
      <c r="J499" s="1115"/>
      <c r="K499" s="582"/>
      <c r="L499" s="582"/>
      <c r="M499" s="582"/>
      <c r="N499" s="1146"/>
      <c r="O499" s="15"/>
      <c r="P499" s="1362"/>
      <c r="Q499" s="165" t="str">
        <f>EUconst_CNTR_CO2Feedstock &amp; I315</f>
        <v>EmCO2Feedstock_</v>
      </c>
      <c r="R499" s="2"/>
      <c r="S499" s="773" t="str">
        <f>EUconst_CNTR_AttributedEmissions &amp; I315</f>
        <v>AttrEmissions_</v>
      </c>
      <c r="T499" s="111" t="str">
        <f t="shared" ref="T499:Z499" si="207">IF(T323,SUM(H499),"")</f>
        <v/>
      </c>
      <c r="U499" s="111" t="str">
        <f t="shared" si="207"/>
        <v/>
      </c>
      <c r="V499" s="111" t="str">
        <f t="shared" si="207"/>
        <v/>
      </c>
      <c r="W499" s="111" t="str">
        <f t="shared" si="207"/>
        <v/>
      </c>
      <c r="X499" s="111" t="str">
        <f t="shared" si="207"/>
        <v/>
      </c>
      <c r="Y499" s="111" t="str">
        <f t="shared" si="207"/>
        <v/>
      </c>
      <c r="Z499" s="112" t="str">
        <f t="shared" si="207"/>
        <v/>
      </c>
      <c r="AA499" s="2"/>
      <c r="AB499" s="672" t="s">
        <v>782</v>
      </c>
      <c r="AC499" s="108" t="b">
        <f>AC385</f>
        <v>0</v>
      </c>
      <c r="AD499" s="108" t="b">
        <f t="shared" ref="AD499:AI499" si="208">AD385</f>
        <v>0</v>
      </c>
      <c r="AE499" s="108" t="b">
        <f t="shared" si="208"/>
        <v>0</v>
      </c>
      <c r="AF499" s="108" t="b">
        <f t="shared" si="208"/>
        <v>0</v>
      </c>
      <c r="AG499" s="108" t="b">
        <f t="shared" si="208"/>
        <v>0</v>
      </c>
      <c r="AH499" s="108" t="b">
        <f t="shared" si="208"/>
        <v>0</v>
      </c>
      <c r="AI499" s="108" t="b">
        <f t="shared" si="208"/>
        <v>0</v>
      </c>
      <c r="AJ499" s="553" t="s">
        <v>2248</v>
      </c>
      <c r="AK499" s="663" t="str">
        <f>IF(AND(CNTR_ExistSubInstEntries,MSconst_RequireSubAttrEmissions,COUNTIFS(AC499:AI499,FALSE,H499:N499,"")&gt;0),EUconst_Error&amp;"BM"&amp;$Q315,"")</f>
        <v/>
      </c>
      <c r="AL499" s="2"/>
    </row>
    <row r="500" spans="1:38" ht="12.75" customHeight="1" x14ac:dyDescent="0.25">
      <c r="A500" s="2"/>
      <c r="B500" s="178"/>
      <c r="C500" s="779"/>
      <c r="D500" s="780"/>
      <c r="E500" s="780"/>
      <c r="F500" s="780"/>
      <c r="G500" s="780"/>
      <c r="H500" s="780"/>
      <c r="I500" s="780"/>
      <c r="J500" s="780"/>
      <c r="K500" s="780"/>
      <c r="L500" s="780"/>
      <c r="M500" s="623"/>
      <c r="N500" s="519"/>
      <c r="O500" s="15"/>
      <c r="P500" s="15"/>
      <c r="Q500" s="343"/>
      <c r="R500" s="2"/>
      <c r="S500" s="343"/>
      <c r="T500" s="2"/>
      <c r="U500" s="2"/>
      <c r="V500" s="2"/>
      <c r="W500" s="2"/>
      <c r="X500" s="2"/>
      <c r="Y500" s="2"/>
      <c r="Z500" s="2"/>
      <c r="AA500" s="2"/>
      <c r="AB500" s="2"/>
      <c r="AC500" s="2"/>
      <c r="AD500" s="2"/>
      <c r="AE500" s="2"/>
      <c r="AF500" s="2"/>
      <c r="AG500" s="2"/>
      <c r="AH500" s="2"/>
      <c r="AI500" s="2"/>
      <c r="AJ500" s="2"/>
      <c r="AK500" s="2"/>
      <c r="AL500" s="2"/>
    </row>
    <row r="501" spans="1:38" ht="12.75" customHeight="1" x14ac:dyDescent="0.25">
      <c r="A501" s="2"/>
      <c r="B501" s="178"/>
      <c r="C501" s="779"/>
      <c r="D501" s="373" t="s">
        <v>524</v>
      </c>
      <c r="E501" s="2614" t="str">
        <f>Translations!$B$597</f>
        <v>Import till och export från delanläggningen av mätbar värme</v>
      </c>
      <c r="F501" s="1960"/>
      <c r="G501" s="1960"/>
      <c r="H501" s="1960"/>
      <c r="I501" s="1960"/>
      <c r="J501" s="1960"/>
      <c r="K501" s="1960"/>
      <c r="L501" s="1960"/>
      <c r="M501" s="1960"/>
      <c r="N501" s="2597"/>
      <c r="O501" s="15"/>
      <c r="P501" s="15"/>
      <c r="Q501" s="343"/>
      <c r="R501" s="2"/>
      <c r="S501" s="343"/>
      <c r="T501" s="2"/>
      <c r="U501" s="2"/>
      <c r="V501" s="2"/>
      <c r="W501" s="2"/>
      <c r="X501" s="2"/>
      <c r="Y501" s="2"/>
      <c r="Z501" s="2"/>
      <c r="AA501" s="2"/>
      <c r="AB501" s="2"/>
      <c r="AC501" s="2"/>
      <c r="AD501" s="2"/>
      <c r="AE501" s="2"/>
      <c r="AF501" s="2"/>
      <c r="AG501" s="2"/>
      <c r="AH501" s="2"/>
      <c r="AI501" s="2"/>
      <c r="AJ501" s="2"/>
      <c r="AK501" s="2"/>
      <c r="AL501" s="2"/>
    </row>
    <row r="502" spans="1:38" ht="12.75" customHeight="1" x14ac:dyDescent="0.25">
      <c r="A502" s="2"/>
      <c r="B502" s="178"/>
      <c r="C502" s="779"/>
      <c r="D502" s="416"/>
      <c r="E502" s="2596" t="str">
        <f>Translations!$B$598</f>
        <v>De uppgifter som anges här påverkar de utsläpp som kan tillskrivas i enlighet med avsnitt 10.1.2 och 10.1.3 i bilaga VII till FAR.</v>
      </c>
      <c r="F502" s="1960"/>
      <c r="G502" s="1960"/>
      <c r="H502" s="1960"/>
      <c r="I502" s="1960"/>
      <c r="J502" s="1960"/>
      <c r="K502" s="1960"/>
      <c r="L502" s="1960"/>
      <c r="M502" s="1960"/>
      <c r="N502" s="2597"/>
      <c r="O502" s="15"/>
      <c r="P502" s="15"/>
      <c r="Q502" s="343"/>
      <c r="R502" s="2"/>
      <c r="S502" s="343"/>
      <c r="T502" s="343"/>
      <c r="U502" s="343"/>
      <c r="V502" s="343"/>
      <c r="W502" s="2"/>
      <c r="X502" s="2"/>
      <c r="Y502" s="2"/>
      <c r="Z502" s="2"/>
      <c r="AA502" s="2"/>
      <c r="AB502" s="2"/>
      <c r="AC502" s="2"/>
      <c r="AD502" s="2"/>
      <c r="AE502" s="2"/>
      <c r="AF502" s="2"/>
      <c r="AG502" s="2"/>
      <c r="AH502" s="2"/>
      <c r="AI502" s="2"/>
      <c r="AJ502" s="2"/>
      <c r="AK502" s="2"/>
      <c r="AL502" s="2"/>
    </row>
    <row r="503" spans="1:38" ht="38.9" customHeight="1" x14ac:dyDescent="0.25">
      <c r="A503" s="2"/>
      <c r="B503" s="178"/>
      <c r="C503" s="779"/>
      <c r="D503" s="780"/>
      <c r="E503" s="2610" t="str">
        <f>Translations!$B$599</f>
        <v>Detta innefattar den totala mängd värme som produceras i, importeras från eller exporteras till (del)anläggningar inom ETS eller anläggningar eller enheter utanför ETS. De särskilda emissionsfaktorerna för värmen bör vara förenliga med bestämmelserna i avsnitten 8 och 10 i bilaga VII till FAR, särskilt avsnitt 10.1.2 och 10.1.3.</v>
      </c>
      <c r="F503" s="1960"/>
      <c r="G503" s="1960"/>
      <c r="H503" s="1960"/>
      <c r="I503" s="1960"/>
      <c r="J503" s="1960"/>
      <c r="K503" s="1960"/>
      <c r="L503" s="1960"/>
      <c r="M503" s="1960"/>
      <c r="N503" s="2597"/>
      <c r="O503" s="15"/>
      <c r="P503" s="15"/>
      <c r="Q503" s="343"/>
      <c r="R503" s="2"/>
      <c r="S503" s="343"/>
      <c r="T503" s="2"/>
      <c r="U503" s="2"/>
      <c r="V503" s="2"/>
      <c r="W503" s="2"/>
      <c r="X503" s="2"/>
      <c r="Y503" s="2"/>
      <c r="Z503" s="2"/>
      <c r="AA503" s="2"/>
      <c r="AB503" s="2"/>
      <c r="AC503" s="2"/>
      <c r="AD503" s="2"/>
      <c r="AE503" s="2"/>
      <c r="AF503" s="2"/>
      <c r="AG503" s="2"/>
      <c r="AH503" s="2"/>
      <c r="AI503" s="2"/>
      <c r="AJ503" s="2"/>
      <c r="AK503" s="2"/>
      <c r="AL503" s="2"/>
    </row>
    <row r="504" spans="1:38" ht="25.5" customHeight="1" x14ac:dyDescent="0.25">
      <c r="A504" s="2"/>
      <c r="B504" s="178"/>
      <c r="C504" s="779"/>
      <c r="D504" s="780"/>
      <c r="E504" s="2610" t="str">
        <f>Translations!$B$600</f>
        <v>Utsläpp avseende mätbar värme som produceras på platsen från enheter som tjänar mer än en delanläggning bör också anges här under ”import” i stället för att utsläppen direkt tillskrivs genom bränslets emissionsfaktor i punkt g ovan. Detsamma gäller för all värme som ”importeras” från andra delanläggningar.</v>
      </c>
      <c r="F504" s="1960"/>
      <c r="G504" s="1960"/>
      <c r="H504" s="1960"/>
      <c r="I504" s="1960"/>
      <c r="J504" s="1960"/>
      <c r="K504" s="1960"/>
      <c r="L504" s="1960"/>
      <c r="M504" s="1960"/>
      <c r="N504" s="2597"/>
      <c r="O504" s="15"/>
      <c r="P504" s="15"/>
      <c r="Q504" s="343"/>
      <c r="R504" s="2"/>
      <c r="S504" s="343"/>
      <c r="T504" s="2"/>
      <c r="U504" s="2"/>
      <c r="V504" s="2"/>
      <c r="W504" s="2"/>
      <c r="X504" s="2"/>
      <c r="Y504" s="2"/>
      <c r="Z504" s="2"/>
      <c r="AA504" s="2"/>
      <c r="AB504" s="2"/>
      <c r="AC504" s="2"/>
      <c r="AD504" s="2"/>
      <c r="AE504" s="2"/>
      <c r="AF504" s="2"/>
      <c r="AG504" s="2"/>
      <c r="AH504" s="2"/>
      <c r="AI504" s="2"/>
      <c r="AJ504" s="2"/>
      <c r="AK504" s="2"/>
      <c r="AL504" s="2"/>
    </row>
    <row r="505" spans="1:38" ht="25.5" customHeight="1" x14ac:dyDescent="0.25">
      <c r="A505" s="2"/>
      <c r="B505" s="178"/>
      <c r="C505" s="779"/>
      <c r="D505" s="780"/>
      <c r="E505" s="2610" t="str">
        <f>Translations!$B$601</f>
        <v xml:space="preserve">Om värmen endast produceras för en delanläggning och de motsvarande utsläppen därför anges i punkt g ovan, bör mängderna inte anges här som import för att undvika dubbelräkning. </v>
      </c>
      <c r="F505" s="1960"/>
      <c r="G505" s="1960"/>
      <c r="H505" s="1960"/>
      <c r="I505" s="1960"/>
      <c r="J505" s="1960"/>
      <c r="K505" s="1960"/>
      <c r="L505" s="1960"/>
      <c r="M505" s="1960"/>
      <c r="N505" s="2597"/>
      <c r="O505" s="15"/>
      <c r="P505" s="15"/>
      <c r="Q505" s="343"/>
      <c r="R505" s="2"/>
      <c r="S505" s="343"/>
      <c r="T505" s="2"/>
      <c r="U505" s="2"/>
      <c r="V505" s="2"/>
      <c r="W505" s="2"/>
      <c r="X505" s="2"/>
      <c r="Y505" s="2"/>
      <c r="Z505" s="2"/>
      <c r="AA505" s="2"/>
      <c r="AB505" s="2"/>
      <c r="AC505" s="2"/>
      <c r="AD505" s="2"/>
      <c r="AE505" s="2"/>
      <c r="AF505" s="2"/>
      <c r="AG505" s="2"/>
      <c r="AH505" s="2"/>
      <c r="AI505" s="2"/>
      <c r="AJ505" s="2"/>
      <c r="AK505" s="2"/>
      <c r="AL505" s="2"/>
    </row>
    <row r="506" spans="1:38" ht="12.75" customHeight="1" thickBot="1" x14ac:dyDescent="0.3">
      <c r="A506" s="2"/>
      <c r="B506" s="178"/>
      <c r="C506" s="779"/>
      <c r="D506" s="780"/>
      <c r="E506" s="2622" t="str">
        <f>Translations!$B$602</f>
        <v>Kraftvärmeverktyget i avsnitt D.III i bladet "D_Emissions" måste användas för att tillskriva utsläpp från kraftvärme till produktion av mätbar värme.</v>
      </c>
      <c r="F506" s="2623"/>
      <c r="G506" s="2623"/>
      <c r="H506" s="2623"/>
      <c r="I506" s="2623"/>
      <c r="J506" s="2623"/>
      <c r="K506" s="2623"/>
      <c r="L506" s="2623"/>
      <c r="M506" s="2623"/>
      <c r="N506" s="2624"/>
      <c r="O506" s="15"/>
      <c r="P506" s="15"/>
      <c r="Q506" s="343"/>
      <c r="R506" s="2"/>
      <c r="S506" s="2"/>
      <c r="T506" s="2"/>
      <c r="U506" s="2"/>
      <c r="V506" s="2"/>
      <c r="W506" s="2"/>
      <c r="X506" s="2"/>
      <c r="Y506" s="2"/>
      <c r="Z506" s="2"/>
      <c r="AA506" s="2"/>
      <c r="AB506" s="2"/>
      <c r="AC506" s="2"/>
      <c r="AD506" s="2"/>
      <c r="AE506" s="2"/>
      <c r="AF506" s="2"/>
      <c r="AG506" s="2"/>
      <c r="AH506" s="2"/>
      <c r="AI506" s="2"/>
      <c r="AJ506" s="2"/>
      <c r="AK506" s="2"/>
      <c r="AL506" s="2"/>
    </row>
    <row r="507" spans="1:38" ht="12.75" customHeight="1" thickBot="1" x14ac:dyDescent="0.3">
      <c r="A507" s="2"/>
      <c r="B507" s="178"/>
      <c r="C507" s="779"/>
      <c r="D507" s="780"/>
      <c r="E507" s="2605" t="str">
        <f>Translations!$B$603</f>
        <v>Total importerad värme</v>
      </c>
      <c r="F507" s="2497"/>
      <c r="G507" s="361" t="str">
        <f>EUconst_Unit</f>
        <v>Enhet</v>
      </c>
      <c r="H507" s="362">
        <f t="shared" ref="H507:N507" si="209">H$3042</f>
        <v>2019</v>
      </c>
      <c r="I507" s="1103">
        <f t="shared" si="209"/>
        <v>2020</v>
      </c>
      <c r="J507" s="1104">
        <f t="shared" si="209"/>
        <v>2021</v>
      </c>
      <c r="K507" s="362">
        <f t="shared" si="209"/>
        <v>2022</v>
      </c>
      <c r="L507" s="362">
        <f t="shared" si="209"/>
        <v>2023</v>
      </c>
      <c r="M507" s="362">
        <f t="shared" si="209"/>
        <v>2024</v>
      </c>
      <c r="N507" s="1141">
        <f t="shared" si="209"/>
        <v>2025</v>
      </c>
      <c r="O507" s="15"/>
      <c r="P507" s="15"/>
      <c r="Q507" s="343"/>
      <c r="R507" s="2"/>
      <c r="S507" s="772"/>
      <c r="T507" s="609">
        <f t="shared" ref="T507:Z507" si="210">H507</f>
        <v>2019</v>
      </c>
      <c r="U507" s="609">
        <f t="shared" si="210"/>
        <v>2020</v>
      </c>
      <c r="V507" s="609">
        <f t="shared" si="210"/>
        <v>2021</v>
      </c>
      <c r="W507" s="609">
        <f t="shared" si="210"/>
        <v>2022</v>
      </c>
      <c r="X507" s="609">
        <f t="shared" si="210"/>
        <v>2023</v>
      </c>
      <c r="Y507" s="609">
        <f t="shared" si="210"/>
        <v>2024</v>
      </c>
      <c r="Z507" s="610">
        <f t="shared" si="210"/>
        <v>2025</v>
      </c>
      <c r="AA507" s="2"/>
      <c r="AB507" s="2"/>
      <c r="AC507" s="1044">
        <f t="shared" ref="AC507:AI507" si="211">H$20</f>
        <v>2019</v>
      </c>
      <c r="AD507" s="1044">
        <f t="shared" si="211"/>
        <v>2020</v>
      </c>
      <c r="AE507" s="1044">
        <f t="shared" si="211"/>
        <v>2021</v>
      </c>
      <c r="AF507" s="1044">
        <f t="shared" si="211"/>
        <v>2022</v>
      </c>
      <c r="AG507" s="1044">
        <f t="shared" si="211"/>
        <v>2023</v>
      </c>
      <c r="AH507" s="1044">
        <f t="shared" si="211"/>
        <v>2024</v>
      </c>
      <c r="AI507" s="1044">
        <f t="shared" si="211"/>
        <v>2025</v>
      </c>
      <c r="AJ507" s="2"/>
      <c r="AK507" s="2"/>
      <c r="AL507" s="2"/>
    </row>
    <row r="508" spans="1:38" ht="12.75" customHeight="1" x14ac:dyDescent="0.25">
      <c r="A508" s="2"/>
      <c r="B508" s="178"/>
      <c r="C508" s="779"/>
      <c r="D508" s="416" t="s">
        <v>8</v>
      </c>
      <c r="E508" s="2613" t="str">
        <f>Translations!$B$604</f>
        <v>Nettomängd importerad värme</v>
      </c>
      <c r="F508" s="1997"/>
      <c r="G508" s="364" t="str">
        <f>EUconst_TJpa</f>
        <v>TJ / år</v>
      </c>
      <c r="H508" s="582"/>
      <c r="I508" s="1105"/>
      <c r="J508" s="1115"/>
      <c r="K508" s="582"/>
      <c r="L508" s="582"/>
      <c r="M508" s="582"/>
      <c r="N508" s="1146"/>
      <c r="O508" s="15"/>
      <c r="P508" s="1362"/>
      <c r="Q508" s="165" t="str">
        <f>EUconst_CNTR_HeatImport &amp; I315</f>
        <v>HeatIm_</v>
      </c>
      <c r="R508" s="2"/>
      <c r="S508" s="1751" t="str">
        <f>EUconst_ERR_AttrEmBMapplied &amp; I315</f>
        <v>ERR_AttrEmBM_</v>
      </c>
      <c r="T508" s="108">
        <f t="shared" ref="T508:Z508" si="212">IF(AND(H508&lt;&gt;0,H509="",EUconst_StatusOfDataCollection=FALSE),1,0)</f>
        <v>0</v>
      </c>
      <c r="U508" s="108">
        <f t="shared" si="212"/>
        <v>0</v>
      </c>
      <c r="V508" s="108">
        <f t="shared" si="212"/>
        <v>0</v>
      </c>
      <c r="W508" s="108">
        <f t="shared" si="212"/>
        <v>0</v>
      </c>
      <c r="X508" s="108">
        <f t="shared" si="212"/>
        <v>0</v>
      </c>
      <c r="Y508" s="108">
        <f t="shared" si="212"/>
        <v>0</v>
      </c>
      <c r="Z508" s="109">
        <f t="shared" si="212"/>
        <v>0</v>
      </c>
      <c r="AA508" s="40"/>
      <c r="AB508" s="672" t="s">
        <v>782</v>
      </c>
      <c r="AC508" s="108" t="b">
        <f t="shared" ref="AC508:AI508" si="213">AC385</f>
        <v>0</v>
      </c>
      <c r="AD508" s="108" t="b">
        <f t="shared" si="213"/>
        <v>0</v>
      </c>
      <c r="AE508" s="108" t="b">
        <f t="shared" si="213"/>
        <v>0</v>
      </c>
      <c r="AF508" s="108" t="b">
        <f t="shared" si="213"/>
        <v>0</v>
      </c>
      <c r="AG508" s="108" t="b">
        <f t="shared" si="213"/>
        <v>0</v>
      </c>
      <c r="AH508" s="108" t="b">
        <f t="shared" si="213"/>
        <v>0</v>
      </c>
      <c r="AI508" s="108" t="b">
        <f t="shared" si="213"/>
        <v>0</v>
      </c>
      <c r="AJ508" s="553" t="s">
        <v>2248</v>
      </c>
      <c r="AK508" s="663" t="str">
        <f>IF(AND(CNTR_ExistSubInstEntries,MSconst_RequireSubAttrEmissions,COUNTIFS(AC508:AI508,FALSE,H508:N508,"")&gt;0),EUconst_Error&amp;"BM"&amp;$Q315,"")</f>
        <v/>
      </c>
      <c r="AL508" s="2"/>
    </row>
    <row r="509" spans="1:38" ht="12.75" customHeight="1" thickBot="1" x14ac:dyDescent="0.3">
      <c r="A509" s="2"/>
      <c r="B509" s="178"/>
      <c r="C509" s="779"/>
      <c r="D509" s="416" t="s">
        <v>9</v>
      </c>
      <c r="E509" s="2613" t="str">
        <f>Translations!$B$605</f>
        <v>Särskild emissionsfaktor (importerad värme)</v>
      </c>
      <c r="F509" s="1997"/>
      <c r="G509" s="364" t="str">
        <f>EUconst_tCO2pTJ</f>
        <v>t CO2 / TJ</v>
      </c>
      <c r="H509" s="582"/>
      <c r="I509" s="1105"/>
      <c r="J509" s="1115"/>
      <c r="K509" s="582"/>
      <c r="L509" s="582"/>
      <c r="M509" s="582"/>
      <c r="N509" s="1146"/>
      <c r="O509" s="15"/>
      <c r="P509" s="1362"/>
      <c r="Q509" s="165" t="str">
        <f>EUconst_CNTR_HeatImportEF &amp; I315</f>
        <v>HeatImEF_</v>
      </c>
      <c r="R509" s="2"/>
      <c r="S509" s="773" t="str">
        <f>EUconst_CNTR_AttributedEmissions &amp; I315</f>
        <v>AttrEmissions_</v>
      </c>
      <c r="T509" s="111" t="str">
        <f t="shared" ref="T509:Z509" si="214">IF(T323,SUM(H508)*IF(ISNUMBER(H509),H509,EUconst_HeatBMvalue),"")</f>
        <v/>
      </c>
      <c r="U509" s="111" t="str">
        <f t="shared" si="214"/>
        <v/>
      </c>
      <c r="V509" s="111" t="str">
        <f t="shared" si="214"/>
        <v/>
      </c>
      <c r="W509" s="111" t="str">
        <f t="shared" si="214"/>
        <v/>
      </c>
      <c r="X509" s="111" t="str">
        <f t="shared" si="214"/>
        <v/>
      </c>
      <c r="Y509" s="111" t="str">
        <f t="shared" si="214"/>
        <v/>
      </c>
      <c r="Z509" s="112" t="str">
        <f t="shared" si="214"/>
        <v/>
      </c>
      <c r="AA509" s="2"/>
      <c r="AB509" s="2"/>
      <c r="AC509" s="108" t="b">
        <f>AC508</f>
        <v>0</v>
      </c>
      <c r="AD509" s="108" t="b">
        <f t="shared" ref="AD509:AI509" si="215">AD508</f>
        <v>0</v>
      </c>
      <c r="AE509" s="108" t="b">
        <f t="shared" si="215"/>
        <v>0</v>
      </c>
      <c r="AF509" s="108" t="b">
        <f t="shared" si="215"/>
        <v>0</v>
      </c>
      <c r="AG509" s="108" t="b">
        <f t="shared" si="215"/>
        <v>0</v>
      </c>
      <c r="AH509" s="108" t="b">
        <f t="shared" si="215"/>
        <v>0</v>
      </c>
      <c r="AI509" s="108" t="b">
        <f t="shared" si="215"/>
        <v>0</v>
      </c>
      <c r="AJ509" s="2"/>
      <c r="AK509" s="2"/>
      <c r="AL509" s="2"/>
    </row>
    <row r="510" spans="1:38" ht="5.15" customHeight="1" x14ac:dyDescent="0.25">
      <c r="A510" s="2"/>
      <c r="B510" s="178"/>
      <c r="C510" s="779"/>
      <c r="D510" s="780"/>
      <c r="E510" s="780"/>
      <c r="F510" s="780"/>
      <c r="G510" s="780"/>
      <c r="H510" s="780"/>
      <c r="I510" s="780"/>
      <c r="J510" s="780"/>
      <c r="K510" s="780"/>
      <c r="L510" s="780"/>
      <c r="M510" s="780"/>
      <c r="N510" s="519"/>
      <c r="O510" s="15"/>
      <c r="P510" s="15"/>
      <c r="Q510" s="343"/>
      <c r="R510" s="2"/>
      <c r="S510" s="343"/>
      <c r="T510" s="343"/>
      <c r="U510" s="343"/>
      <c r="V510" s="343"/>
      <c r="W510" s="2"/>
      <c r="X510" s="2"/>
      <c r="Y510" s="2"/>
      <c r="Z510" s="2"/>
      <c r="AA510" s="2"/>
      <c r="AB510" s="2"/>
      <c r="AC510" s="2"/>
      <c r="AD510" s="2"/>
      <c r="AE510" s="2"/>
      <c r="AF510" s="2"/>
      <c r="AG510" s="2"/>
      <c r="AH510" s="2"/>
      <c r="AI510" s="2"/>
      <c r="AJ510" s="2"/>
      <c r="AK510" s="2"/>
      <c r="AL510" s="2"/>
    </row>
    <row r="511" spans="1:38" ht="12.75" customHeight="1" thickBot="1" x14ac:dyDescent="0.3">
      <c r="A511" s="2"/>
      <c r="B511" s="178"/>
      <c r="C511" s="779"/>
      <c r="D511" s="780"/>
      <c r="E511" s="2605" t="str">
        <f>Translations!$B$606</f>
        <v>Särskild värmeimport</v>
      </c>
      <c r="F511" s="2497"/>
      <c r="G511" s="361" t="str">
        <f>EUconst_Unit</f>
        <v>Enhet</v>
      </c>
      <c r="H511" s="362">
        <f t="shared" ref="H511:N511" si="216">H$3042</f>
        <v>2019</v>
      </c>
      <c r="I511" s="1103">
        <f t="shared" si="216"/>
        <v>2020</v>
      </c>
      <c r="J511" s="1104">
        <f t="shared" si="216"/>
        <v>2021</v>
      </c>
      <c r="K511" s="362">
        <f t="shared" si="216"/>
        <v>2022</v>
      </c>
      <c r="L511" s="362">
        <f t="shared" si="216"/>
        <v>2023</v>
      </c>
      <c r="M511" s="362">
        <f t="shared" si="216"/>
        <v>2024</v>
      </c>
      <c r="N511" s="1141">
        <f t="shared" si="216"/>
        <v>2025</v>
      </c>
      <c r="O511" s="15"/>
      <c r="P511" s="15"/>
      <c r="Q511" s="343"/>
      <c r="R511" s="2"/>
      <c r="S511" s="343"/>
      <c r="T511" s="343"/>
      <c r="U511" s="343"/>
      <c r="V511" s="343"/>
      <c r="W511" s="2"/>
      <c r="X511" s="2"/>
      <c r="Y511" s="2"/>
      <c r="Z511" s="2"/>
      <c r="AA511" s="2"/>
      <c r="AB511" s="2"/>
      <c r="AC511" s="1044">
        <f t="shared" ref="AC511:AI511" si="217">H$20</f>
        <v>2019</v>
      </c>
      <c r="AD511" s="1044">
        <f t="shared" si="217"/>
        <v>2020</v>
      </c>
      <c r="AE511" s="1044">
        <f t="shared" si="217"/>
        <v>2021</v>
      </c>
      <c r="AF511" s="1044">
        <f t="shared" si="217"/>
        <v>2022</v>
      </c>
      <c r="AG511" s="1044">
        <f t="shared" si="217"/>
        <v>2023</v>
      </c>
      <c r="AH511" s="1044">
        <f t="shared" si="217"/>
        <v>2024</v>
      </c>
      <c r="AI511" s="1044">
        <f t="shared" si="217"/>
        <v>2025</v>
      </c>
      <c r="AJ511" s="2"/>
      <c r="AK511" s="2"/>
      <c r="AL511" s="2"/>
    </row>
    <row r="512" spans="1:38" ht="12.75" customHeight="1" x14ac:dyDescent="0.25">
      <c r="A512" s="2"/>
      <c r="B512" s="178"/>
      <c r="C512" s="779"/>
      <c r="D512" s="416" t="s">
        <v>10</v>
      </c>
      <c r="E512" s="2613" t="str">
        <f>Translations!$B$607</f>
        <v>Nettomängd importerad värme från massadelanläggningar</v>
      </c>
      <c r="F512" s="1997"/>
      <c r="G512" s="364" t="str">
        <f>EUconst_TJpa</f>
        <v>TJ / år</v>
      </c>
      <c r="H512" s="1310"/>
      <c r="I512" s="1311"/>
      <c r="J512" s="1312"/>
      <c r="K512" s="1310"/>
      <c r="L512" s="1310"/>
      <c r="M512" s="1310"/>
      <c r="N512" s="1313"/>
      <c r="O512" s="15"/>
      <c r="P512" s="1362"/>
      <c r="Q512" s="165" t="str">
        <f>EUconst_CNTR_HeatImportPulp &amp; I315</f>
        <v>HeatImPulp_</v>
      </c>
      <c r="R512" s="2"/>
      <c r="S512" s="343"/>
      <c r="T512" s="343"/>
      <c r="U512" s="343"/>
      <c r="V512" s="343"/>
      <c r="W512" s="2"/>
      <c r="X512" s="2"/>
      <c r="Y512" s="2"/>
      <c r="Z512" s="2"/>
      <c r="AA512" s="2"/>
      <c r="AB512" s="672" t="s">
        <v>782</v>
      </c>
      <c r="AC512" s="108" t="b">
        <f>AC385</f>
        <v>0</v>
      </c>
      <c r="AD512" s="108" t="b">
        <f t="shared" ref="AD512:AI512" si="218">AD385</f>
        <v>0</v>
      </c>
      <c r="AE512" s="108" t="b">
        <f t="shared" si="218"/>
        <v>0</v>
      </c>
      <c r="AF512" s="108" t="b">
        <f t="shared" si="218"/>
        <v>0</v>
      </c>
      <c r="AG512" s="108" t="b">
        <f t="shared" si="218"/>
        <v>0</v>
      </c>
      <c r="AH512" s="108" t="b">
        <f t="shared" si="218"/>
        <v>0</v>
      </c>
      <c r="AI512" s="108" t="b">
        <f t="shared" si="218"/>
        <v>0</v>
      </c>
      <c r="AJ512" s="553" t="s">
        <v>2248</v>
      </c>
      <c r="AK512" s="663" t="str">
        <f>IF(AND(CNTR_ExistSubInstEntries,MSconst_RequireSubAttrEmissions,COUNTIFS(AC512:AI512,FALSE,H512:N512,"")&gt;0),EUconst_Error&amp;"BM"&amp;$Q315,"")</f>
        <v/>
      </c>
      <c r="AL512" s="2"/>
    </row>
    <row r="513" spans="1:38" ht="25.5" customHeight="1" x14ac:dyDescent="0.25">
      <c r="A513" s="2"/>
      <c r="B513" s="178"/>
      <c r="C513" s="779"/>
      <c r="D513" s="416" t="s">
        <v>23</v>
      </c>
      <c r="E513" s="2613" t="str">
        <f>Translations!$B$608</f>
        <v>Nettomängd importerad värme från delanläggningar för salpetersyra</v>
      </c>
      <c r="F513" s="1997"/>
      <c r="G513" s="364" t="str">
        <f>EUconst_TJpa</f>
        <v>TJ / år</v>
      </c>
      <c r="H513" s="582"/>
      <c r="I513" s="1105"/>
      <c r="J513" s="1115"/>
      <c r="K513" s="582"/>
      <c r="L513" s="582"/>
      <c r="M513" s="582"/>
      <c r="N513" s="1146"/>
      <c r="O513" s="15"/>
      <c r="P513" s="1362"/>
      <c r="Q513" s="165" t="str">
        <f>EUconst_CNTR_HeatImportNitric &amp; I315</f>
        <v>HeatImNitric_</v>
      </c>
      <c r="R513" s="2"/>
      <c r="S513" s="343"/>
      <c r="T513" s="343"/>
      <c r="U513" s="343"/>
      <c r="V513" s="343"/>
      <c r="W513" s="2"/>
      <c r="X513" s="2"/>
      <c r="Y513" s="2"/>
      <c r="Z513" s="2"/>
      <c r="AA513" s="2"/>
      <c r="AB513" s="2"/>
      <c r="AC513" s="108" t="b">
        <f>AC512</f>
        <v>0</v>
      </c>
      <c r="AD513" s="108" t="b">
        <f t="shared" ref="AD513:AI513" si="219">AD512</f>
        <v>0</v>
      </c>
      <c r="AE513" s="108" t="b">
        <f t="shared" si="219"/>
        <v>0</v>
      </c>
      <c r="AF513" s="108" t="b">
        <f t="shared" si="219"/>
        <v>0</v>
      </c>
      <c r="AG513" s="108" t="b">
        <f t="shared" si="219"/>
        <v>0</v>
      </c>
      <c r="AH513" s="108" t="b">
        <f t="shared" si="219"/>
        <v>0</v>
      </c>
      <c r="AI513" s="108" t="b">
        <f t="shared" si="219"/>
        <v>0</v>
      </c>
      <c r="AJ513" s="553" t="s">
        <v>2248</v>
      </c>
      <c r="AK513" s="663" t="str">
        <f>IF(AND(CNTR_ExistSubInstEntries,MSconst_RequireSubAttrEmissions,COUNTIFS(AC513:AI513,FALSE,H513:N513,"")&gt;0),EUconst_Error&amp;"BM"&amp;$Q315,"")</f>
        <v/>
      </c>
      <c r="AL513" s="2"/>
    </row>
    <row r="514" spans="1:38" ht="5.15" customHeight="1" thickBot="1" x14ac:dyDescent="0.3">
      <c r="A514" s="2"/>
      <c r="B514" s="178"/>
      <c r="C514" s="779"/>
      <c r="D514" s="780"/>
      <c r="E514" s="780"/>
      <c r="F514" s="780"/>
      <c r="G514" s="780"/>
      <c r="H514" s="780"/>
      <c r="I514" s="780"/>
      <c r="J514" s="780"/>
      <c r="K514" s="780"/>
      <c r="L514" s="780"/>
      <c r="M514" s="780"/>
      <c r="N514" s="519"/>
      <c r="O514" s="15"/>
      <c r="P514" s="15"/>
      <c r="Q514" s="343"/>
      <c r="R514" s="2"/>
      <c r="S514" s="343"/>
      <c r="T514" s="343"/>
      <c r="U514" s="343"/>
      <c r="V514" s="343"/>
      <c r="W514" s="2"/>
      <c r="X514" s="2"/>
      <c r="Y514" s="2"/>
      <c r="Z514" s="2"/>
      <c r="AA514" s="2"/>
      <c r="AB514" s="2"/>
      <c r="AC514" s="2"/>
      <c r="AD514" s="2"/>
      <c r="AE514" s="2"/>
      <c r="AF514" s="2"/>
      <c r="AG514" s="2"/>
      <c r="AH514" s="2"/>
      <c r="AI514" s="2"/>
      <c r="AJ514" s="2"/>
      <c r="AK514" s="2"/>
      <c r="AL514" s="2"/>
    </row>
    <row r="515" spans="1:38" ht="12.75" customHeight="1" thickBot="1" x14ac:dyDescent="0.3">
      <c r="A515" s="2"/>
      <c r="B515" s="178"/>
      <c r="C515" s="779"/>
      <c r="D515" s="780"/>
      <c r="E515" s="2605" t="str">
        <f>Translations!$B$609</f>
        <v>Total exporterad värme</v>
      </c>
      <c r="F515" s="2497"/>
      <c r="G515" s="361" t="str">
        <f>EUconst_Unit</f>
        <v>Enhet</v>
      </c>
      <c r="H515" s="362">
        <f t="shared" ref="H515:N515" si="220">H$3042</f>
        <v>2019</v>
      </c>
      <c r="I515" s="1103">
        <f t="shared" si="220"/>
        <v>2020</v>
      </c>
      <c r="J515" s="1104">
        <f t="shared" si="220"/>
        <v>2021</v>
      </c>
      <c r="K515" s="362">
        <f t="shared" si="220"/>
        <v>2022</v>
      </c>
      <c r="L515" s="362">
        <f t="shared" si="220"/>
        <v>2023</v>
      </c>
      <c r="M515" s="362">
        <f t="shared" si="220"/>
        <v>2024</v>
      </c>
      <c r="N515" s="1141">
        <f t="shared" si="220"/>
        <v>2025</v>
      </c>
      <c r="O515" s="15"/>
      <c r="P515" s="15"/>
      <c r="Q515" s="343"/>
      <c r="R515" s="2"/>
      <c r="S515" s="772"/>
      <c r="T515" s="609">
        <f t="shared" ref="T515:Z515" si="221">H515</f>
        <v>2019</v>
      </c>
      <c r="U515" s="609">
        <f t="shared" si="221"/>
        <v>2020</v>
      </c>
      <c r="V515" s="609">
        <f t="shared" si="221"/>
        <v>2021</v>
      </c>
      <c r="W515" s="609">
        <f t="shared" si="221"/>
        <v>2022</v>
      </c>
      <c r="X515" s="609">
        <f t="shared" si="221"/>
        <v>2023</v>
      </c>
      <c r="Y515" s="609">
        <f t="shared" si="221"/>
        <v>2024</v>
      </c>
      <c r="Z515" s="610">
        <f t="shared" si="221"/>
        <v>2025</v>
      </c>
      <c r="AA515" s="2"/>
      <c r="AB515" s="2"/>
      <c r="AC515" s="1044">
        <f t="shared" ref="AC515:AI515" si="222">H$20</f>
        <v>2019</v>
      </c>
      <c r="AD515" s="1044">
        <f t="shared" si="222"/>
        <v>2020</v>
      </c>
      <c r="AE515" s="1044">
        <f t="shared" si="222"/>
        <v>2021</v>
      </c>
      <c r="AF515" s="1044">
        <f t="shared" si="222"/>
        <v>2022</v>
      </c>
      <c r="AG515" s="1044">
        <f t="shared" si="222"/>
        <v>2023</v>
      </c>
      <c r="AH515" s="1044">
        <f t="shared" si="222"/>
        <v>2024</v>
      </c>
      <c r="AI515" s="1044">
        <f t="shared" si="222"/>
        <v>2025</v>
      </c>
      <c r="AJ515" s="2"/>
      <c r="AK515" s="2"/>
      <c r="AL515" s="2"/>
    </row>
    <row r="516" spans="1:38" ht="12.75" customHeight="1" x14ac:dyDescent="0.25">
      <c r="A516" s="2"/>
      <c r="B516" s="178"/>
      <c r="C516" s="779"/>
      <c r="D516" s="416" t="s">
        <v>859</v>
      </c>
      <c r="E516" s="2613" t="str">
        <f>Translations!$B$610</f>
        <v>Nettomängd exporterad värme</v>
      </c>
      <c r="F516" s="1997"/>
      <c r="G516" s="364" t="str">
        <f>EUconst_TJpa</f>
        <v>TJ / år</v>
      </c>
      <c r="H516" s="582"/>
      <c r="I516" s="1105"/>
      <c r="J516" s="1115"/>
      <c r="K516" s="582"/>
      <c r="L516" s="582"/>
      <c r="M516" s="582"/>
      <c r="N516" s="1146"/>
      <c r="O516" s="15"/>
      <c r="P516" s="1362"/>
      <c r="Q516" s="165" t="str">
        <f>EUconst_CNTR_HeatExport &amp; I315</f>
        <v>HeatEx_</v>
      </c>
      <c r="R516" s="2"/>
      <c r="S516" s="1751" t="str">
        <f>EUconst_ERR_AttrEmBMapplied &amp; I315</f>
        <v>ERR_AttrEmBM_</v>
      </c>
      <c r="T516" s="108">
        <f t="shared" ref="T516:Z516" si="223">IF(AND(H516&lt;&gt;0,H517="",EUconst_StatusOfDataCollection=FALSE),1,0)</f>
        <v>0</v>
      </c>
      <c r="U516" s="108">
        <f t="shared" si="223"/>
        <v>0</v>
      </c>
      <c r="V516" s="108">
        <f t="shared" si="223"/>
        <v>0</v>
      </c>
      <c r="W516" s="108">
        <f t="shared" si="223"/>
        <v>0</v>
      </c>
      <c r="X516" s="108">
        <f t="shared" si="223"/>
        <v>0</v>
      </c>
      <c r="Y516" s="108">
        <f t="shared" si="223"/>
        <v>0</v>
      </c>
      <c r="Z516" s="109">
        <f t="shared" si="223"/>
        <v>0</v>
      </c>
      <c r="AA516" s="2"/>
      <c r="AB516" s="672" t="s">
        <v>782</v>
      </c>
      <c r="AC516" s="108" t="b">
        <f>AC512</f>
        <v>0</v>
      </c>
      <c r="AD516" s="108" t="b">
        <f t="shared" ref="AD516:AI516" si="224">AD512</f>
        <v>0</v>
      </c>
      <c r="AE516" s="108" t="b">
        <f t="shared" si="224"/>
        <v>0</v>
      </c>
      <c r="AF516" s="108" t="b">
        <f t="shared" si="224"/>
        <v>0</v>
      </c>
      <c r="AG516" s="108" t="b">
        <f t="shared" si="224"/>
        <v>0</v>
      </c>
      <c r="AH516" s="108" t="b">
        <f t="shared" si="224"/>
        <v>0</v>
      </c>
      <c r="AI516" s="108" t="b">
        <f t="shared" si="224"/>
        <v>0</v>
      </c>
      <c r="AJ516" s="553" t="s">
        <v>2248</v>
      </c>
      <c r="AK516" s="663" t="str">
        <f>IF(AND(CNTR_ExistSubInstEntries,MSconst_RequireSubAttrEmissions,COUNTIFS(AC516:AI516,FALSE,H516:N516,"")&gt;0),EUconst_Error&amp;"BM"&amp;$Q315,"")</f>
        <v/>
      </c>
      <c r="AL516" s="2"/>
    </row>
    <row r="517" spans="1:38" ht="12.75" customHeight="1" thickBot="1" x14ac:dyDescent="0.3">
      <c r="A517" s="2"/>
      <c r="B517" s="178"/>
      <c r="C517" s="779"/>
      <c r="D517" s="416" t="s">
        <v>860</v>
      </c>
      <c r="E517" s="2613" t="str">
        <f>Translations!$B$611</f>
        <v>Särskild emissionsfaktor (exporterad värme)</v>
      </c>
      <c r="F517" s="1997"/>
      <c r="G517" s="364" t="str">
        <f>EUconst_tCO2pTJ</f>
        <v>t CO2 / TJ</v>
      </c>
      <c r="H517" s="582"/>
      <c r="I517" s="1105"/>
      <c r="J517" s="1115"/>
      <c r="K517" s="582"/>
      <c r="L517" s="582"/>
      <c r="M517" s="582"/>
      <c r="N517" s="1146"/>
      <c r="O517" s="15"/>
      <c r="P517" s="1362"/>
      <c r="Q517" s="165" t="str">
        <f>EUconst_CNTR_HeatExportEF &amp; I315</f>
        <v>HeatExEF_</v>
      </c>
      <c r="R517" s="2"/>
      <c r="S517" s="773" t="str">
        <f>EUconst_CNTR_AttributedEmissions &amp; I315</f>
        <v>AttrEmissions_</v>
      </c>
      <c r="T517" s="111" t="str">
        <f t="shared" ref="T517:Z517" si="225">IF(T323,-SUM(H516)*IF(INDEX(EUconst_BMlistNumberOfBM,MATCH($I315,EUconst_BMlistNames,0))=39,0,IF(ISNUMBER(H517),H517,EUconst_HeatBMvalue)),"")</f>
        <v/>
      </c>
      <c r="U517" s="111" t="str">
        <f t="shared" si="225"/>
        <v/>
      </c>
      <c r="V517" s="111" t="str">
        <f t="shared" si="225"/>
        <v/>
      </c>
      <c r="W517" s="111" t="str">
        <f t="shared" si="225"/>
        <v/>
      </c>
      <c r="X517" s="111" t="str">
        <f t="shared" si="225"/>
        <v/>
      </c>
      <c r="Y517" s="111" t="str">
        <f t="shared" si="225"/>
        <v/>
      </c>
      <c r="Z517" s="112" t="str">
        <f t="shared" si="225"/>
        <v/>
      </c>
      <c r="AA517" s="2"/>
      <c r="AB517" s="2"/>
      <c r="AC517" s="108" t="b">
        <f>AC516</f>
        <v>0</v>
      </c>
      <c r="AD517" s="108" t="b">
        <f t="shared" ref="AD517:AI517" si="226">AD516</f>
        <v>0</v>
      </c>
      <c r="AE517" s="108" t="b">
        <f t="shared" si="226"/>
        <v>0</v>
      </c>
      <c r="AF517" s="108" t="b">
        <f t="shared" si="226"/>
        <v>0</v>
      </c>
      <c r="AG517" s="108" t="b">
        <f t="shared" si="226"/>
        <v>0</v>
      </c>
      <c r="AH517" s="108" t="b">
        <f t="shared" si="226"/>
        <v>0</v>
      </c>
      <c r="AI517" s="108" t="b">
        <f t="shared" si="226"/>
        <v>0</v>
      </c>
      <c r="AJ517" s="2"/>
      <c r="AK517" s="2"/>
      <c r="AL517" s="2"/>
    </row>
    <row r="518" spans="1:38" ht="12.75" customHeight="1" x14ac:dyDescent="0.25">
      <c r="A518" s="2"/>
      <c r="B518" s="178"/>
      <c r="C518" s="779"/>
      <c r="D518" s="780"/>
      <c r="E518" s="780"/>
      <c r="F518" s="780"/>
      <c r="G518" s="780"/>
      <c r="H518" s="780"/>
      <c r="I518" s="780"/>
      <c r="J518" s="780"/>
      <c r="K518" s="780"/>
      <c r="L518" s="780"/>
      <c r="M518" s="623"/>
      <c r="N518" s="519"/>
      <c r="O518" s="15"/>
      <c r="P518" s="15"/>
      <c r="Q518" s="343"/>
      <c r="R518" s="2"/>
      <c r="S518" s="343"/>
      <c r="T518" s="343"/>
      <c r="U518" s="343"/>
      <c r="V518" s="343"/>
      <c r="W518" s="2"/>
      <c r="X518" s="2"/>
      <c r="Y518" s="2"/>
      <c r="Z518" s="2"/>
      <c r="AA518" s="2"/>
      <c r="AB518" s="2"/>
      <c r="AC518" s="2"/>
      <c r="AD518" s="2"/>
      <c r="AE518" s="2"/>
      <c r="AF518" s="2"/>
      <c r="AG518" s="2"/>
      <c r="AH518" s="2"/>
      <c r="AI518" s="2"/>
      <c r="AJ518" s="2"/>
      <c r="AK518" s="2"/>
      <c r="AL518" s="2"/>
    </row>
    <row r="519" spans="1:38" ht="12.75" customHeight="1" x14ac:dyDescent="0.25">
      <c r="A519" s="2"/>
      <c r="B519" s="178"/>
      <c r="C519" s="779"/>
      <c r="D519" s="373" t="s">
        <v>526</v>
      </c>
      <c r="E519" s="2614" t="str">
        <f>Translations!$B$612</f>
        <v>Delanläggningens restgasbalans</v>
      </c>
      <c r="F519" s="1960"/>
      <c r="G519" s="1960"/>
      <c r="H519" s="1960"/>
      <c r="I519" s="1960"/>
      <c r="J519" s="1960"/>
      <c r="K519" s="1960"/>
      <c r="L519" s="1960"/>
      <c r="M519" s="1960"/>
      <c r="N519" s="2597"/>
      <c r="O519" s="15"/>
      <c r="P519" s="15"/>
      <c r="Q519" s="343"/>
      <c r="R519" s="2"/>
      <c r="S519" s="343"/>
      <c r="T519" s="343"/>
      <c r="U519" s="343"/>
      <c r="V519" s="343"/>
      <c r="W519" s="2"/>
      <c r="X519" s="2"/>
      <c r="Y519" s="2"/>
      <c r="Z519" s="2"/>
      <c r="AA519" s="2"/>
      <c r="AB519" s="2"/>
      <c r="AC519" s="2"/>
      <c r="AD519" s="2"/>
      <c r="AE519" s="2"/>
      <c r="AF519" s="2"/>
      <c r="AG519" s="2"/>
      <c r="AH519" s="2"/>
      <c r="AI519" s="2"/>
      <c r="AJ519" s="2"/>
      <c r="AK519" s="2"/>
      <c r="AL519" s="2"/>
    </row>
    <row r="520" spans="1:38" ht="5.15" customHeight="1" x14ac:dyDescent="0.25">
      <c r="A520" s="2"/>
      <c r="B520" s="178"/>
      <c r="C520" s="779"/>
      <c r="D520" s="780"/>
      <c r="E520" s="1804"/>
      <c r="F520" s="1804"/>
      <c r="G520" s="1804"/>
      <c r="H520" s="1804"/>
      <c r="I520" s="1804"/>
      <c r="J520" s="1804"/>
      <c r="K520" s="1804"/>
      <c r="L520" s="1804"/>
      <c r="M520" s="1804"/>
      <c r="N520" s="1810"/>
      <c r="O520" s="15"/>
      <c r="P520" s="15"/>
      <c r="Q520" s="343"/>
      <c r="R520" s="2"/>
      <c r="S520" s="343"/>
      <c r="T520" s="343"/>
      <c r="U520" s="343"/>
      <c r="V520" s="343"/>
      <c r="W520" s="2"/>
      <c r="X520" s="2"/>
      <c r="Y520" s="2"/>
      <c r="Z520" s="2"/>
      <c r="AA520" s="2"/>
      <c r="AB520" s="2"/>
      <c r="AC520" s="2"/>
      <c r="AD520" s="2"/>
      <c r="AE520" s="2"/>
      <c r="AF520" s="2"/>
      <c r="AG520" s="2"/>
      <c r="AH520" s="2"/>
      <c r="AI520" s="2"/>
      <c r="AJ520" s="2"/>
      <c r="AK520" s="2"/>
      <c r="AL520" s="2"/>
    </row>
    <row r="521" spans="1:38" ht="12.75" customHeight="1" x14ac:dyDescent="0.25">
      <c r="A521" s="2"/>
      <c r="B521" s="178"/>
      <c r="C521" s="779"/>
      <c r="D521" s="416" t="s">
        <v>8</v>
      </c>
      <c r="E521" s="2614" t="str">
        <f>Translations!$B$613</f>
        <v>Är restgaser relevanta för delanläggningen?</v>
      </c>
      <c r="F521" s="1960"/>
      <c r="G521" s="1960"/>
      <c r="H521" s="1960"/>
      <c r="I521" s="1960"/>
      <c r="J521" s="1960"/>
      <c r="K521" s="2520"/>
      <c r="L521" s="749"/>
      <c r="M521" s="1806"/>
      <c r="N521" s="1807"/>
      <c r="O521" s="15"/>
      <c r="P521" s="1362"/>
      <c r="Q521" s="343"/>
      <c r="R521" s="2"/>
      <c r="S521" s="343"/>
      <c r="T521" s="2"/>
      <c r="U521" s="2"/>
      <c r="V521" s="2"/>
      <c r="W521" s="2"/>
      <c r="X521" s="2"/>
      <c r="Y521" s="2"/>
      <c r="Z521" s="2"/>
      <c r="AA521" s="2"/>
      <c r="AB521" s="2"/>
      <c r="AC521" s="2"/>
      <c r="AD521" s="2"/>
      <c r="AE521" s="2"/>
      <c r="AF521" s="672" t="s">
        <v>782</v>
      </c>
      <c r="AG521" s="1196" t="b">
        <f>AND(CNTR_ExistSubInstEntries,I315="")</f>
        <v>0</v>
      </c>
      <c r="AH521" s="2"/>
      <c r="AI521" s="2"/>
      <c r="AJ521" s="2"/>
      <c r="AK521" s="2"/>
      <c r="AL521" s="2"/>
    </row>
    <row r="522" spans="1:38" ht="12.75" customHeight="1" x14ac:dyDescent="0.25">
      <c r="A522" s="2"/>
      <c r="B522" s="178"/>
      <c r="C522" s="779"/>
      <c r="D522" s="780"/>
      <c r="E522" s="2610" t="str">
        <f>Translations!$B$614</f>
        <v>Om svaret ”FALSKT” anges kommer hela avsnittet att gråmarkeras och ni kan gå vidare till nästa punkt nedan.</v>
      </c>
      <c r="F522" s="1960"/>
      <c r="G522" s="1960"/>
      <c r="H522" s="1960"/>
      <c r="I522" s="1960"/>
      <c r="J522" s="1960"/>
      <c r="K522" s="1960"/>
      <c r="L522" s="1960"/>
      <c r="M522" s="1960"/>
      <c r="N522" s="2597"/>
      <c r="O522" s="15"/>
      <c r="P522" s="15"/>
      <c r="Q522" s="343"/>
      <c r="R522" s="2"/>
      <c r="S522" s="343"/>
      <c r="T522" s="2"/>
      <c r="U522" s="2"/>
      <c r="V522" s="2"/>
      <c r="W522" s="2"/>
      <c r="X522" s="2"/>
      <c r="Y522" s="2"/>
      <c r="Z522" s="2"/>
      <c r="AA522" s="2"/>
      <c r="AB522" s="2"/>
      <c r="AC522" s="2"/>
      <c r="AD522" s="2"/>
      <c r="AE522" s="2"/>
      <c r="AF522" s="2"/>
      <c r="AG522" s="2"/>
      <c r="AH522" s="2"/>
      <c r="AI522" s="2"/>
      <c r="AJ522" s="2"/>
      <c r="AK522" s="2"/>
      <c r="AL522" s="2"/>
    </row>
    <row r="523" spans="1:38" ht="12.75" customHeight="1" x14ac:dyDescent="0.25">
      <c r="A523" s="2"/>
      <c r="B523" s="178"/>
      <c r="C523" s="779"/>
      <c r="D523" s="416" t="s">
        <v>9</v>
      </c>
      <c r="E523" s="2614" t="str">
        <f>Translations!$B$615</f>
        <v>Typer av producerade restgaser:</v>
      </c>
      <c r="F523" s="1960"/>
      <c r="G523" s="1960"/>
      <c r="H523" s="2520"/>
      <c r="I523" s="2621"/>
      <c r="J523" s="2510"/>
      <c r="K523" s="2510"/>
      <c r="L523" s="2510"/>
      <c r="M523" s="2511"/>
      <c r="N523" s="1807"/>
      <c r="O523" s="15"/>
      <c r="P523" s="1362"/>
      <c r="Q523" s="343"/>
      <c r="R523" s="2"/>
      <c r="S523" s="343"/>
      <c r="T523" s="2"/>
      <c r="U523" s="2"/>
      <c r="V523" s="2"/>
      <c r="W523" s="2"/>
      <c r="X523" s="2"/>
      <c r="Y523" s="2"/>
      <c r="Z523" s="2"/>
      <c r="AA523" s="2"/>
      <c r="AB523" s="2"/>
      <c r="AC523" s="672" t="s">
        <v>782</v>
      </c>
      <c r="AD523" s="1196" t="b">
        <f>OR(AG521,AND($L521&lt;&gt;"",$L521=FALSE))</f>
        <v>0</v>
      </c>
      <c r="AE523" s="2"/>
      <c r="AF523" s="2"/>
      <c r="AG523" s="2"/>
      <c r="AH523" s="2"/>
      <c r="AI523" s="2"/>
      <c r="AJ523" s="2"/>
      <c r="AK523" s="2"/>
      <c r="AL523" s="2"/>
    </row>
    <row r="524" spans="1:38" ht="12.75" customHeight="1" x14ac:dyDescent="0.25">
      <c r="A524" s="2"/>
      <c r="B524" s="178"/>
      <c r="C524" s="779"/>
      <c r="D524" s="780"/>
      <c r="E524" s="2610" t="str">
        <f>Translations!$B$616</f>
        <v>Ni kan välja att rapportera i ton eller i 1 000 Nm3. Enheterna måste stämma överens med de som används för effektivt värmevärde och emissionsfaktorn nedan.</v>
      </c>
      <c r="F524" s="1960"/>
      <c r="G524" s="1960"/>
      <c r="H524" s="1960"/>
      <c r="I524" s="1960"/>
      <c r="J524" s="1960"/>
      <c r="K524" s="1960"/>
      <c r="L524" s="1960"/>
      <c r="M524" s="1960"/>
      <c r="N524" s="2597"/>
      <c r="O524" s="15"/>
      <c r="P524" s="15"/>
      <c r="Q524" s="343"/>
      <c r="R524" s="2"/>
      <c r="S524" s="343"/>
      <c r="T524" s="343"/>
      <c r="U524" s="343"/>
      <c r="V524" s="343"/>
      <c r="W524" s="2"/>
      <c r="X524" s="2"/>
      <c r="Y524" s="2"/>
      <c r="Z524" s="2"/>
      <c r="AA524" s="2"/>
      <c r="AB524" s="2"/>
      <c r="AC524" s="2"/>
      <c r="AD524" s="2"/>
      <c r="AE524" s="2"/>
      <c r="AF524" s="2"/>
      <c r="AG524" s="2"/>
      <c r="AH524" s="2"/>
      <c r="AI524" s="2"/>
      <c r="AJ524" s="2"/>
      <c r="AK524" s="2"/>
      <c r="AL524" s="2"/>
    </row>
    <row r="525" spans="1:38" ht="12.75" customHeight="1" x14ac:dyDescent="0.25">
      <c r="A525" s="2"/>
      <c r="B525" s="178"/>
      <c r="C525" s="779"/>
      <c r="D525" s="780"/>
      <c r="E525" s="2596" t="str">
        <f>Translations!$B$570</f>
        <v>De uppgifter som anges här används bara för konsekvenskontroll och har ingen direkt inverkan på vare sig de utsläpp som kan tillskrivas eller tilldelningen.</v>
      </c>
      <c r="F525" s="1960"/>
      <c r="G525" s="1960"/>
      <c r="H525" s="1960"/>
      <c r="I525" s="1960"/>
      <c r="J525" s="1960"/>
      <c r="K525" s="1960"/>
      <c r="L525" s="1960"/>
      <c r="M525" s="1960"/>
      <c r="N525" s="2597"/>
      <c r="O525" s="15"/>
      <c r="P525" s="15"/>
      <c r="Q525" s="343"/>
      <c r="R525" s="2"/>
      <c r="S525" s="343"/>
      <c r="T525" s="343"/>
      <c r="U525" s="343"/>
      <c r="V525" s="343"/>
      <c r="W525" s="2"/>
      <c r="X525" s="2"/>
      <c r="Y525" s="2"/>
      <c r="Z525" s="2"/>
      <c r="AA525" s="2"/>
      <c r="AB525" s="2"/>
      <c r="AC525" s="2"/>
      <c r="AD525" s="2"/>
      <c r="AE525" s="2"/>
      <c r="AF525" s="2"/>
      <c r="AG525" s="2"/>
      <c r="AH525" s="2"/>
      <c r="AI525" s="2"/>
      <c r="AJ525" s="2"/>
      <c r="AK525" s="2"/>
      <c r="AL525" s="2"/>
    </row>
    <row r="526" spans="1:38" ht="12.75" customHeight="1" thickBot="1" x14ac:dyDescent="0.3">
      <c r="A526" s="2"/>
      <c r="B526" s="178"/>
      <c r="C526" s="779"/>
      <c r="D526" s="780"/>
      <c r="E526" s="1716"/>
      <c r="F526" s="1717"/>
      <c r="G526" s="361" t="str">
        <f>EUconst_Unit</f>
        <v>Enhet</v>
      </c>
      <c r="H526" s="362">
        <f t="shared" ref="H526:N526" si="227">H$3042</f>
        <v>2019</v>
      </c>
      <c r="I526" s="1103">
        <f t="shared" si="227"/>
        <v>2020</v>
      </c>
      <c r="J526" s="1104">
        <f t="shared" si="227"/>
        <v>2021</v>
      </c>
      <c r="K526" s="362">
        <f t="shared" si="227"/>
        <v>2022</v>
      </c>
      <c r="L526" s="362">
        <f t="shared" si="227"/>
        <v>2023</v>
      </c>
      <c r="M526" s="362">
        <f t="shared" si="227"/>
        <v>2024</v>
      </c>
      <c r="N526" s="1141">
        <f t="shared" si="227"/>
        <v>2025</v>
      </c>
      <c r="O526" s="15"/>
      <c r="P526" s="15"/>
      <c r="Q526" s="343"/>
      <c r="R526" s="2"/>
      <c r="S526" s="343"/>
      <c r="T526" s="343"/>
      <c r="U526" s="343"/>
      <c r="V526" s="343"/>
      <c r="W526" s="2"/>
      <c r="X526" s="2"/>
      <c r="Y526" s="2"/>
      <c r="Z526" s="2"/>
      <c r="AA526" s="2"/>
      <c r="AB526" s="2"/>
      <c r="AC526" s="1044">
        <f t="shared" ref="AC526:AI526" si="228">H$20</f>
        <v>2019</v>
      </c>
      <c r="AD526" s="1044">
        <f t="shared" si="228"/>
        <v>2020</v>
      </c>
      <c r="AE526" s="1044">
        <f t="shared" si="228"/>
        <v>2021</v>
      </c>
      <c r="AF526" s="1044">
        <f t="shared" si="228"/>
        <v>2022</v>
      </c>
      <c r="AG526" s="1044">
        <f t="shared" si="228"/>
        <v>2023</v>
      </c>
      <c r="AH526" s="1044">
        <f t="shared" si="228"/>
        <v>2024</v>
      </c>
      <c r="AI526" s="1044">
        <f t="shared" si="228"/>
        <v>2025</v>
      </c>
      <c r="AJ526" s="2"/>
      <c r="AK526" s="2"/>
      <c r="AL526" s="2"/>
    </row>
    <row r="527" spans="1:38" ht="12.75" customHeight="1" x14ac:dyDescent="0.25">
      <c r="A527" s="2"/>
      <c r="B527" s="178"/>
      <c r="C527" s="779"/>
      <c r="D527" s="416" t="s">
        <v>10</v>
      </c>
      <c r="E527" s="2611" t="str">
        <f>Translations!$B$617</f>
        <v>Producerade mängder</v>
      </c>
      <c r="F527" s="2484"/>
      <c r="G527" s="1314"/>
      <c r="H527" s="1298"/>
      <c r="I527" s="1299"/>
      <c r="J527" s="1300"/>
      <c r="K527" s="1298"/>
      <c r="L527" s="1298"/>
      <c r="M527" s="1298"/>
      <c r="N527" s="1301"/>
      <c r="O527" s="15"/>
      <c r="P527" s="1362"/>
      <c r="Q527" s="343"/>
      <c r="R527" s="2"/>
      <c r="S527" s="343"/>
      <c r="T527" s="343"/>
      <c r="U527" s="343"/>
      <c r="V527" s="343"/>
      <c r="W527" s="2"/>
      <c r="X527" s="2"/>
      <c r="Y527" s="2"/>
      <c r="Z527" s="2"/>
      <c r="AA527" s="2"/>
      <c r="AB527" s="672" t="s">
        <v>782</v>
      </c>
      <c r="AC527" s="1196" t="b">
        <f>OR(AND($L521&lt;&gt;"",$L521=FALSE),AC385)</f>
        <v>0</v>
      </c>
      <c r="AD527" s="108" t="b">
        <f t="shared" ref="AD527:AI527" si="229">OR(AND($L521&lt;&gt;"",$L521=FALSE),AD385)</f>
        <v>0</v>
      </c>
      <c r="AE527" s="108" t="b">
        <f t="shared" si="229"/>
        <v>0</v>
      </c>
      <c r="AF527" s="108" t="b">
        <f t="shared" si="229"/>
        <v>0</v>
      </c>
      <c r="AG527" s="108" t="b">
        <f t="shared" si="229"/>
        <v>0</v>
      </c>
      <c r="AH527" s="108" t="b">
        <f t="shared" si="229"/>
        <v>0</v>
      </c>
      <c r="AI527" s="108" t="b">
        <f t="shared" si="229"/>
        <v>0</v>
      </c>
      <c r="AJ527" s="553" t="s">
        <v>2248</v>
      </c>
      <c r="AK527" s="663" t="str">
        <f>IF(AND(CNTR_ExistSubInstEntries,MSconst_RequireSubAttrEmissions,COUNTIFS(AC527:AI527,FALSE,H527:N527,"")&gt;0),EUconst_Error&amp;"BM"&amp;$Q315,"")</f>
        <v/>
      </c>
      <c r="AL527" s="2"/>
    </row>
    <row r="528" spans="1:38" ht="12.75" customHeight="1" x14ac:dyDescent="0.25">
      <c r="A528" s="2"/>
      <c r="B528" s="178"/>
      <c r="C528" s="779"/>
      <c r="D528" s="416" t="s">
        <v>23</v>
      </c>
      <c r="E528" s="2612" t="str">
        <f>Translations!$B$318</f>
        <v>Effektivt värmevärde</v>
      </c>
      <c r="F528" s="2487"/>
      <c r="G528" s="51" t="str">
        <f>IF(ISBLANK(G527),EUconst_GJperUnit,INDEX(EUconst_GJperTorKNm3,MATCH(G527,EUconst_TonnesOrkNm3pa,0)))</f>
        <v>GJ / Enhet</v>
      </c>
      <c r="H528" s="1306"/>
      <c r="I528" s="1307"/>
      <c r="J528" s="1308"/>
      <c r="K528" s="1306"/>
      <c r="L528" s="1306"/>
      <c r="M528" s="1306"/>
      <c r="N528" s="1309"/>
      <c r="O528" s="15"/>
      <c r="P528" s="1362"/>
      <c r="Q528" s="2"/>
      <c r="R528" s="2"/>
      <c r="S528" s="343"/>
      <c r="T528" s="343"/>
      <c r="U528" s="343"/>
      <c r="V528" s="343"/>
      <c r="W528" s="343"/>
      <c r="X528" s="343"/>
      <c r="Y528" s="343"/>
      <c r="Z528" s="343"/>
      <c r="AA528" s="2"/>
      <c r="AB528" s="2"/>
      <c r="AC528" s="108" t="b">
        <f>AC527</f>
        <v>0</v>
      </c>
      <c r="AD528" s="108" t="b">
        <f t="shared" ref="AD528:AI528" si="230">AD527</f>
        <v>0</v>
      </c>
      <c r="AE528" s="108" t="b">
        <f t="shared" si="230"/>
        <v>0</v>
      </c>
      <c r="AF528" s="108" t="b">
        <f t="shared" si="230"/>
        <v>0</v>
      </c>
      <c r="AG528" s="108" t="b">
        <f t="shared" si="230"/>
        <v>0</v>
      </c>
      <c r="AH528" s="108" t="b">
        <f t="shared" si="230"/>
        <v>0</v>
      </c>
      <c r="AI528" s="108" t="b">
        <f t="shared" si="230"/>
        <v>0</v>
      </c>
      <c r="AJ528" s="553" t="s">
        <v>2248</v>
      </c>
      <c r="AK528" s="663" t="str">
        <f>IF(AND(CNTR_ExistSubInstEntries,MSconst_RequireSubAttrEmissions,COUNTIFS(AC528:AI528,FALSE,H528:N528,"")&gt;0),EUconst_Error&amp;"BM"&amp;$Q315,"")</f>
        <v/>
      </c>
      <c r="AL528" s="2"/>
    </row>
    <row r="529" spans="1:38" ht="12.75" customHeight="1" x14ac:dyDescent="0.25">
      <c r="A529" s="2"/>
      <c r="B529" s="178"/>
      <c r="C529" s="779"/>
      <c r="D529" s="416" t="s">
        <v>859</v>
      </c>
      <c r="E529" s="2613" t="str">
        <f>Translations!$B$618</f>
        <v>Producerad restgas</v>
      </c>
      <c r="F529" s="1997"/>
      <c r="G529" s="364" t="str">
        <f>EUconst_TJpa</f>
        <v>TJ / år</v>
      </c>
      <c r="H529" s="414" t="str">
        <f t="shared" ref="H529:N529" si="231">IF(COUNT(H527:H528)=2,H527*H528/1000,"")</f>
        <v/>
      </c>
      <c r="I529" s="1108" t="str">
        <f t="shared" si="231"/>
        <v/>
      </c>
      <c r="J529" s="1114" t="str">
        <f t="shared" si="231"/>
        <v/>
      </c>
      <c r="K529" s="414" t="str">
        <f t="shared" si="231"/>
        <v/>
      </c>
      <c r="L529" s="414" t="str">
        <f t="shared" si="231"/>
        <v/>
      </c>
      <c r="M529" s="414" t="str">
        <f t="shared" si="231"/>
        <v/>
      </c>
      <c r="N529" s="1147" t="str">
        <f t="shared" si="231"/>
        <v/>
      </c>
      <c r="O529" s="15"/>
      <c r="P529" s="15"/>
      <c r="Q529" s="165" t="str">
        <f>EUconst_CNTR_WGProduced &amp; I315</f>
        <v>WasteGasProd_</v>
      </c>
      <c r="R529" s="2"/>
      <c r="S529" s="343"/>
      <c r="T529" s="343"/>
      <c r="U529" s="343"/>
      <c r="V529" s="343"/>
      <c r="W529" s="343"/>
      <c r="X529" s="343"/>
      <c r="Y529" s="343"/>
      <c r="Z529" s="343"/>
      <c r="AA529" s="2"/>
      <c r="AB529" s="2"/>
      <c r="AC529" s="2"/>
      <c r="AD529" s="2"/>
      <c r="AE529" s="2"/>
      <c r="AF529" s="2"/>
      <c r="AG529" s="2"/>
      <c r="AH529" s="2"/>
      <c r="AI529" s="2"/>
      <c r="AJ529" s="2"/>
      <c r="AK529" s="2"/>
      <c r="AL529" s="2"/>
    </row>
    <row r="530" spans="1:38" ht="12.75" customHeight="1" x14ac:dyDescent="0.25">
      <c r="A530" s="2"/>
      <c r="B530" s="178"/>
      <c r="C530" s="779"/>
      <c r="D530" s="416" t="s">
        <v>860</v>
      </c>
      <c r="E530" s="2613" t="str">
        <f>Translations!$B$619</f>
        <v>Särskild emissionsfaktor (producerad restgas)</v>
      </c>
      <c r="F530" s="1997"/>
      <c r="G530" s="364" t="str">
        <f>EUconst_tCO2pTJ</f>
        <v>t CO2 / TJ</v>
      </c>
      <c r="H530" s="582"/>
      <c r="I530" s="1105"/>
      <c r="J530" s="1115"/>
      <c r="K530" s="582"/>
      <c r="L530" s="582"/>
      <c r="M530" s="582"/>
      <c r="N530" s="1146"/>
      <c r="O530" s="15"/>
      <c r="P530" s="1362"/>
      <c r="Q530" s="165" t="str">
        <f>EUconst_CNTR_WGProducedEF &amp; I315</f>
        <v>WasteGasProdEF_</v>
      </c>
      <c r="R530" s="2"/>
      <c r="S530" s="343"/>
      <c r="T530" s="343"/>
      <c r="U530" s="343"/>
      <c r="V530" s="343"/>
      <c r="W530" s="343"/>
      <c r="X530" s="343"/>
      <c r="Y530" s="343"/>
      <c r="Z530" s="343"/>
      <c r="AA530" s="2"/>
      <c r="AB530" s="672" t="s">
        <v>782</v>
      </c>
      <c r="AC530" s="108" t="b">
        <f>AC528</f>
        <v>0</v>
      </c>
      <c r="AD530" s="108" t="b">
        <f t="shared" ref="AD530:AI530" si="232">AD528</f>
        <v>0</v>
      </c>
      <c r="AE530" s="108" t="b">
        <f t="shared" si="232"/>
        <v>0</v>
      </c>
      <c r="AF530" s="108" t="b">
        <f t="shared" si="232"/>
        <v>0</v>
      </c>
      <c r="AG530" s="108" t="b">
        <f t="shared" si="232"/>
        <v>0</v>
      </c>
      <c r="AH530" s="108" t="b">
        <f t="shared" si="232"/>
        <v>0</v>
      </c>
      <c r="AI530" s="108" t="b">
        <f t="shared" si="232"/>
        <v>0</v>
      </c>
      <c r="AJ530" s="553" t="s">
        <v>2248</v>
      </c>
      <c r="AK530" s="663" t="str">
        <f>IF(AND(CNTR_ExistSubInstEntries,MSconst_RequireSubAttrEmissions,COUNTIFS(AC530:AI530,FALSE,H530:N530,"")&gt;0),EUconst_Error&amp;"BM"&amp;$Q315,"")</f>
        <v/>
      </c>
      <c r="AL530" s="2"/>
    </row>
    <row r="531" spans="1:38" ht="12.75" customHeight="1" x14ac:dyDescent="0.25">
      <c r="A531" s="2"/>
      <c r="B531" s="178"/>
      <c r="C531" s="779"/>
      <c r="D531" s="780"/>
      <c r="E531" s="780"/>
      <c r="F531" s="780"/>
      <c r="G531" s="780"/>
      <c r="H531" s="1805"/>
      <c r="I531" s="780"/>
      <c r="J531" s="780"/>
      <c r="K531" s="780"/>
      <c r="L531" s="780"/>
      <c r="M531" s="623"/>
      <c r="N531" s="519"/>
      <c r="O531" s="15"/>
      <c r="P531" s="15"/>
      <c r="Q531" s="343"/>
      <c r="R531" s="2"/>
      <c r="S531" s="343"/>
      <c r="T531" s="343"/>
      <c r="U531" s="343"/>
      <c r="V531" s="343"/>
      <c r="W531" s="343"/>
      <c r="X531" s="343"/>
      <c r="Y531" s="343"/>
      <c r="Z531" s="343"/>
      <c r="AA531" s="2"/>
      <c r="AB531" s="2"/>
      <c r="AC531" s="2"/>
      <c r="AD531" s="2"/>
      <c r="AE531" s="2"/>
      <c r="AF531" s="2"/>
      <c r="AG531" s="2"/>
      <c r="AH531" s="2"/>
      <c r="AI531" s="2"/>
      <c r="AJ531" s="2"/>
      <c r="AK531" s="2"/>
      <c r="AL531" s="2"/>
    </row>
    <row r="532" spans="1:38" ht="12.75" customHeight="1" x14ac:dyDescent="0.25">
      <c r="A532" s="2"/>
      <c r="B532" s="178"/>
      <c r="C532" s="779"/>
      <c r="D532" s="416" t="s">
        <v>861</v>
      </c>
      <c r="E532" s="2614" t="str">
        <f>Translations!$B$620</f>
        <v>Typer av restgaser som förbrukas:</v>
      </c>
      <c r="F532" s="1960"/>
      <c r="G532" s="1960"/>
      <c r="H532" s="2520"/>
      <c r="I532" s="2621"/>
      <c r="J532" s="2510"/>
      <c r="K532" s="2510"/>
      <c r="L532" s="2510"/>
      <c r="M532" s="2511"/>
      <c r="N532" s="1807"/>
      <c r="O532" s="15"/>
      <c r="P532" s="1362"/>
      <c r="Q532" s="343"/>
      <c r="R532" s="2"/>
      <c r="S532" s="343"/>
      <c r="T532" s="343"/>
      <c r="U532" s="343"/>
      <c r="V532" s="343"/>
      <c r="W532" s="343"/>
      <c r="X532" s="343"/>
      <c r="Y532" s="343"/>
      <c r="Z532" s="343"/>
      <c r="AA532" s="2"/>
      <c r="AB532" s="2"/>
      <c r="AC532" s="672" t="s">
        <v>782</v>
      </c>
      <c r="AD532" s="108" t="b">
        <f>AD523</f>
        <v>0</v>
      </c>
      <c r="AE532" s="2"/>
      <c r="AF532" s="2"/>
      <c r="AG532" s="2"/>
      <c r="AH532" s="2"/>
      <c r="AI532" s="2"/>
      <c r="AJ532" s="2"/>
      <c r="AK532" s="2"/>
      <c r="AL532" s="2"/>
    </row>
    <row r="533" spans="1:38" ht="25.5" customHeight="1" x14ac:dyDescent="0.25">
      <c r="A533" s="2"/>
      <c r="B533" s="178"/>
      <c r="C533" s="779"/>
      <c r="D533" s="416"/>
      <c r="E533" s="2610" t="str">
        <f>Translations!$B$621</f>
        <v>Detta innefattar alla restgastyper som förbrukas av delanläggningen för produktion av mätbar värme, icke-mätbar värme (inklusive för säkerhetsfackling) eller mekanisk energi (annan än för elproduktion). Mängden avgaser för fackling utom för säkerhetsfackling bör rapporteras i nästa punkt nedan.</v>
      </c>
      <c r="F533" s="1960"/>
      <c r="G533" s="1960"/>
      <c r="H533" s="1960"/>
      <c r="I533" s="1960"/>
      <c r="J533" s="1960"/>
      <c r="K533" s="1960"/>
      <c r="L533" s="1960"/>
      <c r="M533" s="1960"/>
      <c r="N533" s="2597"/>
      <c r="O533" s="15"/>
      <c r="P533" s="15"/>
      <c r="Q533" s="343"/>
      <c r="R533" s="2"/>
      <c r="S533" s="343"/>
      <c r="T533" s="343"/>
      <c r="U533" s="343"/>
      <c r="V533" s="343"/>
      <c r="W533" s="343"/>
      <c r="X533" s="343"/>
      <c r="Y533" s="343"/>
      <c r="Z533" s="343"/>
      <c r="AA533" s="2"/>
      <c r="AB533" s="2"/>
      <c r="AC533" s="2"/>
      <c r="AD533" s="2"/>
      <c r="AE533" s="2"/>
      <c r="AF533" s="2"/>
      <c r="AG533" s="2"/>
      <c r="AH533" s="2"/>
      <c r="AI533" s="2"/>
      <c r="AJ533" s="2"/>
      <c r="AK533" s="2"/>
      <c r="AL533" s="2"/>
    </row>
    <row r="534" spans="1:38" ht="12.75" customHeight="1" x14ac:dyDescent="0.25">
      <c r="A534" s="2"/>
      <c r="B534" s="178"/>
      <c r="C534" s="779"/>
      <c r="D534" s="780"/>
      <c r="E534" s="2596" t="str">
        <f>Translations!$B$570</f>
        <v>De uppgifter som anges här används bara för konsekvenskontroll och har ingen direkt inverkan på vare sig de utsläpp som kan tillskrivas eller tilldelningen.</v>
      </c>
      <c r="F534" s="1960"/>
      <c r="G534" s="1960"/>
      <c r="H534" s="1960"/>
      <c r="I534" s="1960"/>
      <c r="J534" s="1960"/>
      <c r="K534" s="1960"/>
      <c r="L534" s="1960"/>
      <c r="M534" s="1960"/>
      <c r="N534" s="2597"/>
      <c r="O534" s="15"/>
      <c r="P534" s="15"/>
      <c r="Q534" s="343"/>
      <c r="R534" s="2"/>
      <c r="S534" s="343"/>
      <c r="T534" s="343"/>
      <c r="U534" s="343"/>
      <c r="V534" s="343"/>
      <c r="W534" s="343"/>
      <c r="X534" s="343"/>
      <c r="Y534" s="343"/>
      <c r="Z534" s="343"/>
      <c r="AA534" s="2"/>
      <c r="AB534" s="2"/>
      <c r="AC534" s="2"/>
      <c r="AD534" s="2"/>
      <c r="AE534" s="2"/>
      <c r="AF534" s="2"/>
      <c r="AG534" s="2"/>
      <c r="AH534" s="2"/>
      <c r="AI534" s="2"/>
      <c r="AJ534" s="2"/>
      <c r="AK534" s="2"/>
      <c r="AL534" s="2"/>
    </row>
    <row r="535" spans="1:38" ht="12.75" customHeight="1" thickBot="1" x14ac:dyDescent="0.3">
      <c r="A535" s="2"/>
      <c r="B535" s="178"/>
      <c r="C535" s="779"/>
      <c r="D535" s="780"/>
      <c r="E535" s="1716"/>
      <c r="F535" s="1717"/>
      <c r="G535" s="361" t="str">
        <f>EUconst_Unit</f>
        <v>Enhet</v>
      </c>
      <c r="H535" s="362">
        <f t="shared" ref="H535:N535" si="233">H$3042</f>
        <v>2019</v>
      </c>
      <c r="I535" s="1103">
        <f t="shared" si="233"/>
        <v>2020</v>
      </c>
      <c r="J535" s="1104">
        <f t="shared" si="233"/>
        <v>2021</v>
      </c>
      <c r="K535" s="362">
        <f t="shared" si="233"/>
        <v>2022</v>
      </c>
      <c r="L535" s="362">
        <f t="shared" si="233"/>
        <v>2023</v>
      </c>
      <c r="M535" s="362">
        <f t="shared" si="233"/>
        <v>2024</v>
      </c>
      <c r="N535" s="1141">
        <f t="shared" si="233"/>
        <v>2025</v>
      </c>
      <c r="O535" s="15"/>
      <c r="P535" s="15"/>
      <c r="Q535" s="343"/>
      <c r="R535" s="2"/>
      <c r="S535" s="343"/>
      <c r="T535" s="343"/>
      <c r="U535" s="343"/>
      <c r="V535" s="343"/>
      <c r="W535" s="343"/>
      <c r="X535" s="343"/>
      <c r="Y535" s="343"/>
      <c r="Z535" s="343"/>
      <c r="AA535" s="2"/>
      <c r="AB535" s="2"/>
      <c r="AC535" s="1044">
        <f t="shared" ref="AC535:AI535" si="234">H$20</f>
        <v>2019</v>
      </c>
      <c r="AD535" s="1044">
        <f t="shared" si="234"/>
        <v>2020</v>
      </c>
      <c r="AE535" s="1044">
        <f t="shared" si="234"/>
        <v>2021</v>
      </c>
      <c r="AF535" s="1044">
        <f t="shared" si="234"/>
        <v>2022</v>
      </c>
      <c r="AG535" s="1044">
        <f t="shared" si="234"/>
        <v>2023</v>
      </c>
      <c r="AH535" s="1044">
        <f t="shared" si="234"/>
        <v>2024</v>
      </c>
      <c r="AI535" s="1044">
        <f t="shared" si="234"/>
        <v>2025</v>
      </c>
      <c r="AJ535" s="2"/>
      <c r="AK535" s="2"/>
      <c r="AL535" s="2"/>
    </row>
    <row r="536" spans="1:38" ht="12.75" customHeight="1" x14ac:dyDescent="0.25">
      <c r="A536" s="2"/>
      <c r="B536" s="178"/>
      <c r="C536" s="779"/>
      <c r="D536" s="416" t="s">
        <v>862</v>
      </c>
      <c r="E536" s="2611" t="str">
        <f>Translations!$B$622</f>
        <v>Förbrukade mängder</v>
      </c>
      <c r="F536" s="2484"/>
      <c r="G536" s="1314"/>
      <c r="H536" s="1298"/>
      <c r="I536" s="1299"/>
      <c r="J536" s="1300"/>
      <c r="K536" s="1298"/>
      <c r="L536" s="1298"/>
      <c r="M536" s="1298"/>
      <c r="N536" s="1301"/>
      <c r="O536" s="15"/>
      <c r="P536" s="1362"/>
      <c r="Q536" s="343"/>
      <c r="R536" s="2"/>
      <c r="S536" s="343"/>
      <c r="T536" s="343"/>
      <c r="U536" s="343"/>
      <c r="V536" s="343"/>
      <c r="W536" s="343"/>
      <c r="X536" s="343"/>
      <c r="Y536" s="343"/>
      <c r="Z536" s="343"/>
      <c r="AA536" s="2"/>
      <c r="AB536" s="672" t="s">
        <v>782</v>
      </c>
      <c r="AC536" s="108" t="b">
        <f>AC527</f>
        <v>0</v>
      </c>
      <c r="AD536" s="108" t="b">
        <f t="shared" ref="AD536:AI536" si="235">AD527</f>
        <v>0</v>
      </c>
      <c r="AE536" s="108" t="b">
        <f t="shared" si="235"/>
        <v>0</v>
      </c>
      <c r="AF536" s="108" t="b">
        <f t="shared" si="235"/>
        <v>0</v>
      </c>
      <c r="AG536" s="108" t="b">
        <f t="shared" si="235"/>
        <v>0</v>
      </c>
      <c r="AH536" s="108" t="b">
        <f t="shared" si="235"/>
        <v>0</v>
      </c>
      <c r="AI536" s="108" t="b">
        <f t="shared" si="235"/>
        <v>0</v>
      </c>
      <c r="AJ536" s="553" t="s">
        <v>2248</v>
      </c>
      <c r="AK536" s="663" t="str">
        <f>IF(AND(CNTR_ExistSubInstEntries,MSconst_RequireSubAttrEmissions,COUNTIFS(AC536:AI536,FALSE,H536:N536,"")&gt;0),EUconst_Error&amp;"BM"&amp;$Q315,"")</f>
        <v/>
      </c>
      <c r="AL536" s="2"/>
    </row>
    <row r="537" spans="1:38" ht="12.75" customHeight="1" x14ac:dyDescent="0.25">
      <c r="A537" s="2"/>
      <c r="B537" s="178"/>
      <c r="C537" s="779"/>
      <c r="D537" s="416" t="s">
        <v>863</v>
      </c>
      <c r="E537" s="2612" t="str">
        <f>Translations!$B$318</f>
        <v>Effektivt värmevärde</v>
      </c>
      <c r="F537" s="2487"/>
      <c r="G537" s="51" t="str">
        <f>IF(ISBLANK(G536),EUconst_GJperUnit,INDEX(EUconst_GJperTorKNm3,MATCH(G536,EUconst_TonnesOrkNm3pa,0)))</f>
        <v>GJ / Enhet</v>
      </c>
      <c r="H537" s="1306"/>
      <c r="I537" s="1307"/>
      <c r="J537" s="1308"/>
      <c r="K537" s="1306"/>
      <c r="L537" s="1306"/>
      <c r="M537" s="1306"/>
      <c r="N537" s="1309"/>
      <c r="O537" s="15"/>
      <c r="P537" s="1362"/>
      <c r="Q537" s="2"/>
      <c r="R537" s="2"/>
      <c r="S537" s="343"/>
      <c r="T537" s="343"/>
      <c r="U537" s="343"/>
      <c r="V537" s="343"/>
      <c r="W537" s="343"/>
      <c r="X537" s="343"/>
      <c r="Y537" s="343"/>
      <c r="Z537" s="343"/>
      <c r="AA537" s="2"/>
      <c r="AB537" s="2"/>
      <c r="AC537" s="108" t="b">
        <f>AC536</f>
        <v>0</v>
      </c>
      <c r="AD537" s="108" t="b">
        <f t="shared" ref="AD537:AI537" si="236">AD536</f>
        <v>0</v>
      </c>
      <c r="AE537" s="108" t="b">
        <f t="shared" si="236"/>
        <v>0</v>
      </c>
      <c r="AF537" s="108" t="b">
        <f t="shared" si="236"/>
        <v>0</v>
      </c>
      <c r="AG537" s="108" t="b">
        <f t="shared" si="236"/>
        <v>0</v>
      </c>
      <c r="AH537" s="108" t="b">
        <f t="shared" si="236"/>
        <v>0</v>
      </c>
      <c r="AI537" s="108" t="b">
        <f t="shared" si="236"/>
        <v>0</v>
      </c>
      <c r="AJ537" s="553" t="s">
        <v>2248</v>
      </c>
      <c r="AK537" s="663" t="str">
        <f>IF(AND(CNTR_ExistSubInstEntries,MSconst_RequireSubAttrEmissions,COUNTIFS(AC537:AI537,FALSE,H537:N537,"")&gt;0),EUconst_Error&amp;"BM"&amp;$Q315,"")</f>
        <v/>
      </c>
      <c r="AL537" s="2"/>
    </row>
    <row r="538" spans="1:38" ht="12.75" customHeight="1" x14ac:dyDescent="0.25">
      <c r="A538" s="2"/>
      <c r="B538" s="178"/>
      <c r="C538" s="779"/>
      <c r="D538" s="416" t="s">
        <v>72</v>
      </c>
      <c r="E538" s="2613" t="str">
        <f>Translations!$B$623</f>
        <v>Förbrukad restgas</v>
      </c>
      <c r="F538" s="1997"/>
      <c r="G538" s="364" t="str">
        <f>EUconst_TJpa</f>
        <v>TJ / år</v>
      </c>
      <c r="H538" s="414" t="str">
        <f t="shared" ref="H538:N538" si="237">IF(COUNT(H536:H537)=2,H536*H537/1000,"")</f>
        <v/>
      </c>
      <c r="I538" s="1108" t="str">
        <f t="shared" si="237"/>
        <v/>
      </c>
      <c r="J538" s="1114" t="str">
        <f t="shared" si="237"/>
        <v/>
      </c>
      <c r="K538" s="414" t="str">
        <f t="shared" si="237"/>
        <v/>
      </c>
      <c r="L538" s="414" t="str">
        <f t="shared" si="237"/>
        <v/>
      </c>
      <c r="M538" s="414" t="str">
        <f t="shared" si="237"/>
        <v/>
      </c>
      <c r="N538" s="1147" t="str">
        <f t="shared" si="237"/>
        <v/>
      </c>
      <c r="O538" s="15"/>
      <c r="P538" s="15"/>
      <c r="Q538" s="165" t="str">
        <f>EUconst_CNTR_WGConsumed &amp; I315</f>
        <v>WasteGasCons_</v>
      </c>
      <c r="R538" s="2"/>
      <c r="S538" s="343"/>
      <c r="T538" s="343"/>
      <c r="U538" s="343"/>
      <c r="V538" s="343"/>
      <c r="W538" s="343"/>
      <c r="X538" s="343"/>
      <c r="Y538" s="343"/>
      <c r="Z538" s="343"/>
      <c r="AA538" s="2"/>
      <c r="AB538" s="2"/>
      <c r="AC538" s="2"/>
      <c r="AD538" s="2"/>
      <c r="AE538" s="2"/>
      <c r="AF538" s="2"/>
      <c r="AG538" s="2"/>
      <c r="AH538" s="2"/>
      <c r="AI538" s="2"/>
      <c r="AJ538" s="2"/>
      <c r="AK538" s="2"/>
      <c r="AL538" s="2"/>
    </row>
    <row r="539" spans="1:38" ht="12.75" customHeight="1" x14ac:dyDescent="0.25">
      <c r="A539" s="2"/>
      <c r="B539" s="178"/>
      <c r="C539" s="779"/>
      <c r="D539" s="416" t="s">
        <v>73</v>
      </c>
      <c r="E539" s="2613" t="str">
        <f>Translations!$B$624</f>
        <v>Särskild emissionsfaktor (förbrukad restgas)</v>
      </c>
      <c r="F539" s="1997"/>
      <c r="G539" s="364" t="str">
        <f>EUconst_tCO2pTJ</f>
        <v>t CO2 / TJ</v>
      </c>
      <c r="H539" s="582"/>
      <c r="I539" s="1105"/>
      <c r="J539" s="1115"/>
      <c r="K539" s="582"/>
      <c r="L539" s="582"/>
      <c r="M539" s="582"/>
      <c r="N539" s="1146"/>
      <c r="O539" s="15"/>
      <c r="P539" s="1362"/>
      <c r="Q539" s="165" t="str">
        <f>EUconst_CNTR_WGConsumedEF &amp; I315</f>
        <v>WasteGasConsEF_</v>
      </c>
      <c r="R539" s="2"/>
      <c r="S539" s="343"/>
      <c r="T539" s="343"/>
      <c r="U539" s="343"/>
      <c r="V539" s="343"/>
      <c r="W539" s="343"/>
      <c r="X539" s="343"/>
      <c r="Y539" s="343"/>
      <c r="Z539" s="343"/>
      <c r="AA539" s="2"/>
      <c r="AB539" s="672" t="s">
        <v>782</v>
      </c>
      <c r="AC539" s="108" t="b">
        <f>AC537</f>
        <v>0</v>
      </c>
      <c r="AD539" s="108" t="b">
        <f t="shared" ref="AD539:AI539" si="238">AD537</f>
        <v>0</v>
      </c>
      <c r="AE539" s="108" t="b">
        <f t="shared" si="238"/>
        <v>0</v>
      </c>
      <c r="AF539" s="108" t="b">
        <f t="shared" si="238"/>
        <v>0</v>
      </c>
      <c r="AG539" s="108" t="b">
        <f t="shared" si="238"/>
        <v>0</v>
      </c>
      <c r="AH539" s="108" t="b">
        <f t="shared" si="238"/>
        <v>0</v>
      </c>
      <c r="AI539" s="108" t="b">
        <f t="shared" si="238"/>
        <v>0</v>
      </c>
      <c r="AJ539" s="553" t="s">
        <v>2248</v>
      </c>
      <c r="AK539" s="663" t="str">
        <f>IF(AND(CNTR_ExistSubInstEntries,MSconst_RequireSubAttrEmissions,COUNTIFS(AC539:AI539,FALSE,H539:N539,"")&gt;0),EUconst_Error&amp;"BM"&amp;$Q315,"")</f>
        <v/>
      </c>
      <c r="AL539" s="2"/>
    </row>
    <row r="540" spans="1:38" ht="12.75" customHeight="1" x14ac:dyDescent="0.25">
      <c r="A540" s="2"/>
      <c r="B540" s="178"/>
      <c r="C540" s="779"/>
      <c r="D540" s="780"/>
      <c r="E540" s="780"/>
      <c r="F540" s="780"/>
      <c r="G540" s="780"/>
      <c r="H540" s="1805"/>
      <c r="I540" s="780"/>
      <c r="J540" s="780"/>
      <c r="K540" s="780"/>
      <c r="L540" s="780"/>
      <c r="M540" s="623"/>
      <c r="N540" s="519"/>
      <c r="O540" s="15"/>
      <c r="P540" s="15"/>
      <c r="Q540" s="343"/>
      <c r="R540" s="2"/>
      <c r="S540" s="343"/>
      <c r="T540" s="343"/>
      <c r="U540" s="343"/>
      <c r="V540" s="343"/>
      <c r="W540" s="2"/>
      <c r="X540" s="2"/>
      <c r="Y540" s="2"/>
      <c r="Z540" s="2"/>
      <c r="AA540" s="2"/>
      <c r="AB540" s="2"/>
      <c r="AC540" s="2"/>
      <c r="AD540" s="2"/>
      <c r="AE540" s="2"/>
      <c r="AF540" s="2"/>
      <c r="AG540" s="2"/>
      <c r="AH540" s="2"/>
      <c r="AI540" s="2"/>
      <c r="AJ540" s="2"/>
      <c r="AK540" s="2"/>
      <c r="AL540" s="2"/>
    </row>
    <row r="541" spans="1:38" ht="12.75" customHeight="1" x14ac:dyDescent="0.25">
      <c r="A541" s="2"/>
      <c r="B541" s="178"/>
      <c r="C541" s="779"/>
      <c r="D541" s="416" t="s">
        <v>74</v>
      </c>
      <c r="E541" s="2614" t="str">
        <f>Translations!$B$625</f>
        <v>Facklade restgastyper:</v>
      </c>
      <c r="F541" s="1960"/>
      <c r="G541" s="1960"/>
      <c r="H541" s="2520"/>
      <c r="I541" s="2621"/>
      <c r="J541" s="2510"/>
      <c r="K541" s="2510"/>
      <c r="L541" s="2510"/>
      <c r="M541" s="2511"/>
      <c r="N541" s="1807"/>
      <c r="O541" s="15"/>
      <c r="P541" s="1362"/>
      <c r="Q541" s="343"/>
      <c r="R541" s="2"/>
      <c r="S541" s="343"/>
      <c r="T541" s="2"/>
      <c r="U541" s="2"/>
      <c r="V541" s="2"/>
      <c r="W541" s="2"/>
      <c r="X541" s="2"/>
      <c r="Y541" s="2"/>
      <c r="Z541" s="2"/>
      <c r="AA541" s="2"/>
      <c r="AB541" s="2"/>
      <c r="AC541" s="672" t="s">
        <v>782</v>
      </c>
      <c r="AD541" s="108" t="b">
        <f>AD532</f>
        <v>0</v>
      </c>
      <c r="AE541" s="2"/>
      <c r="AF541" s="2"/>
      <c r="AG541" s="2"/>
      <c r="AH541" s="2"/>
      <c r="AI541" s="2"/>
      <c r="AJ541" s="2"/>
      <c r="AK541" s="2"/>
      <c r="AL541" s="2"/>
    </row>
    <row r="542" spans="1:38" ht="12.75" customHeight="1" x14ac:dyDescent="0.25">
      <c r="A542" s="2"/>
      <c r="B542" s="178"/>
      <c r="C542" s="779"/>
      <c r="D542" s="416"/>
      <c r="E542" s="2610" t="str">
        <f>Translations!$B$626</f>
        <v>Detta innefattar alla restgastyper som i slutändan blir föremål för annan fackling än säkerhetsfackling, antingen inom eller utanför delanläggningen.</v>
      </c>
      <c r="F542" s="1960"/>
      <c r="G542" s="1960"/>
      <c r="H542" s="1960"/>
      <c r="I542" s="1960"/>
      <c r="J542" s="1960"/>
      <c r="K542" s="1960"/>
      <c r="L542" s="1960"/>
      <c r="M542" s="1960"/>
      <c r="N542" s="2597"/>
      <c r="O542" s="15"/>
      <c r="P542" s="15"/>
      <c r="Q542" s="343"/>
      <c r="R542" s="2"/>
      <c r="S542" s="2"/>
      <c r="T542" s="343"/>
      <c r="U542" s="343"/>
      <c r="V542" s="343"/>
      <c r="W542" s="2"/>
      <c r="X542" s="2"/>
      <c r="Y542" s="2"/>
      <c r="Z542" s="2"/>
      <c r="AA542" s="2"/>
      <c r="AB542" s="2"/>
      <c r="AC542" s="2"/>
      <c r="AD542" s="2"/>
      <c r="AE542" s="2"/>
      <c r="AF542" s="2"/>
      <c r="AG542" s="2"/>
      <c r="AH542" s="2"/>
      <c r="AI542" s="2"/>
      <c r="AJ542" s="2"/>
      <c r="AK542" s="2"/>
      <c r="AL542" s="2"/>
    </row>
    <row r="543" spans="1:38" ht="12.75" customHeight="1" x14ac:dyDescent="0.25">
      <c r="A543" s="2"/>
      <c r="B543" s="178"/>
      <c r="C543" s="779"/>
      <c r="D543" s="780"/>
      <c r="E543" s="2610" t="str">
        <f>Translations!$B$627</f>
        <v>De uppgifter som anges här används bara i konsekvenskontrollsyfte och får ingen direkt påverkan på de utsläpp som kan tillskrivas.</v>
      </c>
      <c r="F543" s="1960"/>
      <c r="G543" s="1960"/>
      <c r="H543" s="1960"/>
      <c r="I543" s="1960"/>
      <c r="J543" s="1960"/>
      <c r="K543" s="1960"/>
      <c r="L543" s="1960"/>
      <c r="M543" s="1960"/>
      <c r="N543" s="2597"/>
      <c r="O543" s="15"/>
      <c r="P543" s="15"/>
      <c r="Q543" s="343"/>
      <c r="R543" s="2"/>
      <c r="S543" s="343"/>
      <c r="T543" s="343"/>
      <c r="U543" s="343"/>
      <c r="V543" s="343"/>
      <c r="W543" s="2"/>
      <c r="X543" s="2"/>
      <c r="Y543" s="2"/>
      <c r="Z543" s="2"/>
      <c r="AA543" s="2"/>
      <c r="AB543" s="2"/>
      <c r="AC543" s="2"/>
      <c r="AD543" s="2"/>
      <c r="AE543" s="2"/>
      <c r="AF543" s="2"/>
      <c r="AG543" s="2"/>
      <c r="AH543" s="2"/>
      <c r="AI543" s="2"/>
      <c r="AJ543" s="2"/>
      <c r="AK543" s="2"/>
      <c r="AL543" s="2"/>
    </row>
    <row r="544" spans="1:38" ht="12.75" customHeight="1" x14ac:dyDescent="0.25">
      <c r="A544" s="2"/>
      <c r="B544" s="178"/>
      <c r="C544" s="779"/>
      <c r="D544" s="780"/>
      <c r="E544" s="2596" t="str">
        <f>Translations!$B$628</f>
        <v>Från och med 2026 kommer dock tilldelningen att minskas med avseende på annan fackling av restgaser än säkerhetsfackling.</v>
      </c>
      <c r="F544" s="1960"/>
      <c r="G544" s="1960"/>
      <c r="H544" s="1960"/>
      <c r="I544" s="1960"/>
      <c r="J544" s="1960"/>
      <c r="K544" s="1960"/>
      <c r="L544" s="1960"/>
      <c r="M544" s="1960"/>
      <c r="N544" s="2597"/>
      <c r="O544" s="15"/>
      <c r="P544" s="15"/>
      <c r="Q544" s="343"/>
      <c r="R544" s="2"/>
      <c r="S544" s="343"/>
      <c r="T544" s="343"/>
      <c r="U544" s="343"/>
      <c r="V544" s="343"/>
      <c r="W544" s="343"/>
      <c r="X544" s="343"/>
      <c r="Y544" s="343"/>
      <c r="Z544" s="343"/>
      <c r="AA544" s="2"/>
      <c r="AB544" s="2"/>
      <c r="AC544" s="2"/>
      <c r="AD544" s="2"/>
      <c r="AE544" s="2"/>
      <c r="AF544" s="2"/>
      <c r="AG544" s="2"/>
      <c r="AH544" s="2"/>
      <c r="AI544" s="2"/>
      <c r="AJ544" s="2"/>
      <c r="AK544" s="2"/>
      <c r="AL544" s="2"/>
    </row>
    <row r="545" spans="1:38" ht="12.75" customHeight="1" thickBot="1" x14ac:dyDescent="0.3">
      <c r="A545" s="2"/>
      <c r="B545" s="178"/>
      <c r="C545" s="779"/>
      <c r="D545" s="780"/>
      <c r="E545" s="1716"/>
      <c r="F545" s="1717"/>
      <c r="G545" s="361" t="str">
        <f>EUconst_Unit</f>
        <v>Enhet</v>
      </c>
      <c r="H545" s="362">
        <f t="shared" ref="H545:N545" si="239">H$3042</f>
        <v>2019</v>
      </c>
      <c r="I545" s="1103">
        <f t="shared" si="239"/>
        <v>2020</v>
      </c>
      <c r="J545" s="1104">
        <f t="shared" si="239"/>
        <v>2021</v>
      </c>
      <c r="K545" s="362">
        <f t="shared" si="239"/>
        <v>2022</v>
      </c>
      <c r="L545" s="362">
        <f t="shared" si="239"/>
        <v>2023</v>
      </c>
      <c r="M545" s="362">
        <f t="shared" si="239"/>
        <v>2024</v>
      </c>
      <c r="N545" s="1141">
        <f t="shared" si="239"/>
        <v>2025</v>
      </c>
      <c r="O545" s="15"/>
      <c r="P545" s="15"/>
      <c r="Q545" s="343"/>
      <c r="R545" s="2"/>
      <c r="S545" s="343"/>
      <c r="T545" s="343"/>
      <c r="U545" s="343"/>
      <c r="V545" s="343"/>
      <c r="W545" s="343"/>
      <c r="X545" s="343"/>
      <c r="Y545" s="343"/>
      <c r="Z545" s="343"/>
      <c r="AA545" s="2"/>
      <c r="AB545" s="2"/>
      <c r="AC545" s="1044">
        <f t="shared" ref="AC545:AI545" si="240">H$20</f>
        <v>2019</v>
      </c>
      <c r="AD545" s="1044">
        <f t="shared" si="240"/>
        <v>2020</v>
      </c>
      <c r="AE545" s="1044">
        <f t="shared" si="240"/>
        <v>2021</v>
      </c>
      <c r="AF545" s="1044">
        <f t="shared" si="240"/>
        <v>2022</v>
      </c>
      <c r="AG545" s="1044">
        <f t="shared" si="240"/>
        <v>2023</v>
      </c>
      <c r="AH545" s="1044">
        <f t="shared" si="240"/>
        <v>2024</v>
      </c>
      <c r="AI545" s="1044">
        <f t="shared" si="240"/>
        <v>2025</v>
      </c>
      <c r="AJ545" s="2"/>
      <c r="AK545" s="2"/>
      <c r="AL545" s="2"/>
    </row>
    <row r="546" spans="1:38" ht="12.75" customHeight="1" x14ac:dyDescent="0.25">
      <c r="A546" s="2"/>
      <c r="B546" s="178"/>
      <c r="C546" s="779"/>
      <c r="D546" s="416" t="s">
        <v>1201</v>
      </c>
      <c r="E546" s="2611" t="str">
        <f>Translations!$B$629</f>
        <v>Facklade mängder</v>
      </c>
      <c r="F546" s="2484"/>
      <c r="G546" s="1314" t="s">
        <v>2202</v>
      </c>
      <c r="H546" s="1298"/>
      <c r="I546" s="1299"/>
      <c r="J546" s="1300"/>
      <c r="K546" s="1298"/>
      <c r="L546" s="1298"/>
      <c r="M546" s="1298"/>
      <c r="N546" s="1301"/>
      <c r="O546" s="15"/>
      <c r="P546" s="1362"/>
      <c r="Q546" s="343"/>
      <c r="R546" s="2"/>
      <c r="S546" s="343"/>
      <c r="T546" s="343"/>
      <c r="U546" s="343"/>
      <c r="V546" s="343"/>
      <c r="W546" s="343"/>
      <c r="X546" s="343"/>
      <c r="Y546" s="343"/>
      <c r="Z546" s="343"/>
      <c r="AA546" s="2"/>
      <c r="AB546" s="672" t="s">
        <v>782</v>
      </c>
      <c r="AC546" s="108" t="b">
        <f>AC536</f>
        <v>0</v>
      </c>
      <c r="AD546" s="108" t="b">
        <f t="shared" ref="AD546:AI546" si="241">AD536</f>
        <v>0</v>
      </c>
      <c r="AE546" s="108" t="b">
        <f t="shared" si="241"/>
        <v>0</v>
      </c>
      <c r="AF546" s="108" t="b">
        <f t="shared" si="241"/>
        <v>0</v>
      </c>
      <c r="AG546" s="108" t="b">
        <f t="shared" si="241"/>
        <v>0</v>
      </c>
      <c r="AH546" s="108" t="b">
        <f t="shared" si="241"/>
        <v>0</v>
      </c>
      <c r="AI546" s="108" t="b">
        <f t="shared" si="241"/>
        <v>0</v>
      </c>
      <c r="AJ546" s="553" t="s">
        <v>2248</v>
      </c>
      <c r="AK546" s="663" t="str">
        <f>IF(AND(CNTR_ExistSubInstEntries,MSconst_RequireSubAttrEmissions,COUNTIFS(AC546:AI546,FALSE,H546:N546,"")&gt;0),EUconst_Error&amp;"BM"&amp;$Q315,"")</f>
        <v/>
      </c>
      <c r="AL546" s="2"/>
    </row>
    <row r="547" spans="1:38" ht="12.75" customHeight="1" x14ac:dyDescent="0.25">
      <c r="A547" s="2"/>
      <c r="B547" s="178"/>
      <c r="C547" s="779"/>
      <c r="D547" s="416" t="s">
        <v>1202</v>
      </c>
      <c r="E547" s="2612" t="str">
        <f>Translations!$B$318</f>
        <v>Effektivt värmevärde</v>
      </c>
      <c r="F547" s="2487"/>
      <c r="G547" s="51" t="e">
        <f>IF(ISBLANK(G546),EUconst_GJperUnit,INDEX(EUconst_GJperTorKNm3,MATCH(G546,EUconst_TonnesOrkNm3pa,0)))</f>
        <v>#N/A</v>
      </c>
      <c r="H547" s="1306"/>
      <c r="I547" s="1307"/>
      <c r="J547" s="1308"/>
      <c r="K547" s="1306"/>
      <c r="L547" s="1306"/>
      <c r="M547" s="1306"/>
      <c r="N547" s="1309"/>
      <c r="O547" s="15"/>
      <c r="P547" s="1362"/>
      <c r="Q547" s="2"/>
      <c r="R547" s="2"/>
      <c r="S547" s="343"/>
      <c r="T547" s="343"/>
      <c r="U547" s="343"/>
      <c r="V547" s="343"/>
      <c r="W547" s="343"/>
      <c r="X547" s="343"/>
      <c r="Y547" s="343"/>
      <c r="Z547" s="343"/>
      <c r="AA547" s="2"/>
      <c r="AB547" s="2"/>
      <c r="AC547" s="108" t="b">
        <f>AC546</f>
        <v>0</v>
      </c>
      <c r="AD547" s="108" t="b">
        <f t="shared" ref="AD547:AI547" si="242">AD546</f>
        <v>0</v>
      </c>
      <c r="AE547" s="108" t="b">
        <f t="shared" si="242"/>
        <v>0</v>
      </c>
      <c r="AF547" s="108" t="b">
        <f t="shared" si="242"/>
        <v>0</v>
      </c>
      <c r="AG547" s="108" t="b">
        <f t="shared" si="242"/>
        <v>0</v>
      </c>
      <c r="AH547" s="108" t="b">
        <f t="shared" si="242"/>
        <v>0</v>
      </c>
      <c r="AI547" s="108" t="b">
        <f t="shared" si="242"/>
        <v>0</v>
      </c>
      <c r="AJ547" s="553" t="s">
        <v>2248</v>
      </c>
      <c r="AK547" s="663" t="str">
        <f>IF(AND(CNTR_ExistSubInstEntries,MSconst_RequireSubAttrEmissions,COUNTIFS(AC547:AI547,FALSE,H547:N547,"")&gt;0),EUconst_Error&amp;"BM"&amp;$Q315,"")</f>
        <v/>
      </c>
      <c r="AL547" s="2"/>
    </row>
    <row r="548" spans="1:38" ht="12.75" customHeight="1" x14ac:dyDescent="0.25">
      <c r="A548" s="2"/>
      <c r="B548" s="178"/>
      <c r="C548" s="779"/>
      <c r="D548" s="416" t="s">
        <v>1203</v>
      </c>
      <c r="E548" s="2613" t="str">
        <f>Translations!$B$630</f>
        <v>Facklad restgas</v>
      </c>
      <c r="F548" s="1997"/>
      <c r="G548" s="364" t="str">
        <f>EUconst_TJpa</f>
        <v>TJ / år</v>
      </c>
      <c r="H548" s="414" t="str">
        <f t="shared" ref="H548:N548" si="243">IF(COUNT(H546:H547)=2,H546*H547/1000,"")</f>
        <v/>
      </c>
      <c r="I548" s="1108" t="str">
        <f t="shared" si="243"/>
        <v/>
      </c>
      <c r="J548" s="1114" t="str">
        <f t="shared" si="243"/>
        <v/>
      </c>
      <c r="K548" s="414" t="str">
        <f t="shared" si="243"/>
        <v/>
      </c>
      <c r="L548" s="414" t="str">
        <f t="shared" si="243"/>
        <v/>
      </c>
      <c r="M548" s="414" t="str">
        <f t="shared" si="243"/>
        <v/>
      </c>
      <c r="N548" s="1147" t="str">
        <f t="shared" si="243"/>
        <v/>
      </c>
      <c r="O548" s="15"/>
      <c r="P548" s="15"/>
      <c r="Q548" s="165" t="str">
        <f>EUconst_CNTR_WGFlared &amp; I315</f>
        <v>WasteGasFlare_</v>
      </c>
      <c r="R548" s="2"/>
      <c r="S548" s="343"/>
      <c r="T548" s="343"/>
      <c r="U548" s="343"/>
      <c r="V548" s="343"/>
      <c r="W548" s="343"/>
      <c r="X548" s="343"/>
      <c r="Y548" s="343"/>
      <c r="Z548" s="343"/>
      <c r="AA548" s="2"/>
      <c r="AB548" s="2"/>
      <c r="AC548" s="2"/>
      <c r="AD548" s="2"/>
      <c r="AE548" s="2"/>
      <c r="AF548" s="2"/>
      <c r="AG548" s="2"/>
      <c r="AH548" s="2"/>
      <c r="AI548" s="2"/>
      <c r="AJ548" s="2"/>
      <c r="AK548" s="2"/>
      <c r="AL548" s="2"/>
    </row>
    <row r="549" spans="1:38" ht="12.75" customHeight="1" x14ac:dyDescent="0.25">
      <c r="A549" s="2"/>
      <c r="B549" s="178"/>
      <c r="C549" s="779"/>
      <c r="D549" s="416" t="s">
        <v>1204</v>
      </c>
      <c r="E549" s="2613" t="str">
        <f>Translations!$B$631</f>
        <v>Särskild emissionsfaktor (facklad restgas)</v>
      </c>
      <c r="F549" s="1997"/>
      <c r="G549" s="364" t="str">
        <f>EUconst_tCO2pTJ</f>
        <v>t CO2 / TJ</v>
      </c>
      <c r="H549" s="582"/>
      <c r="I549" s="1105"/>
      <c r="J549" s="1115"/>
      <c r="K549" s="582"/>
      <c r="L549" s="582"/>
      <c r="M549" s="582"/>
      <c r="N549" s="1146"/>
      <c r="O549" s="15"/>
      <c r="P549" s="1362"/>
      <c r="Q549" s="165" t="str">
        <f>EUconst_CNTR_WGFlaredEF &amp; I315</f>
        <v>WasteGasFlareEF_</v>
      </c>
      <c r="R549" s="2"/>
      <c r="S549" s="343"/>
      <c r="T549" s="343"/>
      <c r="U549" s="343"/>
      <c r="V549" s="343"/>
      <c r="W549" s="343"/>
      <c r="X549" s="343"/>
      <c r="Y549" s="343"/>
      <c r="Z549" s="343"/>
      <c r="AA549" s="2"/>
      <c r="AB549" s="672" t="s">
        <v>782</v>
      </c>
      <c r="AC549" s="108" t="b">
        <f>AC547</f>
        <v>0</v>
      </c>
      <c r="AD549" s="108" t="b">
        <f t="shared" ref="AD549:AI549" si="244">AD547</f>
        <v>0</v>
      </c>
      <c r="AE549" s="108" t="b">
        <f t="shared" si="244"/>
        <v>0</v>
      </c>
      <c r="AF549" s="108" t="b">
        <f t="shared" si="244"/>
        <v>0</v>
      </c>
      <c r="AG549" s="108" t="b">
        <f t="shared" si="244"/>
        <v>0</v>
      </c>
      <c r="AH549" s="108" t="b">
        <f t="shared" si="244"/>
        <v>0</v>
      </c>
      <c r="AI549" s="108" t="b">
        <f t="shared" si="244"/>
        <v>0</v>
      </c>
      <c r="AJ549" s="553" t="s">
        <v>2248</v>
      </c>
      <c r="AK549" s="663" t="str">
        <f>IF(AND(CNTR_ExistSubInstEntries,MSconst_RequireSubAttrEmissions,COUNTIFS(AC549:AI549,FALSE,H549:N549,"")&gt;0),EUconst_Error&amp;"BM"&amp;$Q315,"")</f>
        <v/>
      </c>
      <c r="AL549" s="2"/>
    </row>
    <row r="550" spans="1:38" ht="5.15" customHeight="1" thickBot="1" x14ac:dyDescent="0.3">
      <c r="A550" s="2"/>
      <c r="B550" s="178"/>
      <c r="C550" s="779"/>
      <c r="D550" s="780"/>
      <c r="E550" s="780"/>
      <c r="F550" s="780"/>
      <c r="G550" s="780"/>
      <c r="H550" s="1805"/>
      <c r="I550" s="780"/>
      <c r="J550" s="780"/>
      <c r="K550" s="780"/>
      <c r="L550" s="780"/>
      <c r="M550" s="623"/>
      <c r="N550" s="519"/>
      <c r="O550" s="15"/>
      <c r="P550" s="15"/>
      <c r="Q550" s="343"/>
      <c r="R550" s="2"/>
      <c r="S550" s="343"/>
      <c r="T550" s="343"/>
      <c r="U550" s="343"/>
      <c r="V550" s="343"/>
      <c r="W550" s="2"/>
      <c r="X550" s="2"/>
      <c r="Y550" s="2"/>
      <c r="Z550" s="2"/>
      <c r="AA550" s="2"/>
      <c r="AB550" s="2"/>
      <c r="AC550" s="2"/>
      <c r="AD550" s="2"/>
      <c r="AE550" s="2"/>
      <c r="AF550" s="2"/>
      <c r="AG550" s="2"/>
      <c r="AH550" s="2"/>
      <c r="AI550" s="2"/>
      <c r="AJ550" s="2"/>
      <c r="AK550" s="2"/>
      <c r="AL550" s="2"/>
    </row>
    <row r="551" spans="1:38" ht="12.75" customHeight="1" thickBot="1" x14ac:dyDescent="0.3">
      <c r="A551" s="2"/>
      <c r="B551" s="178"/>
      <c r="C551" s="779"/>
      <c r="D551" s="780"/>
      <c r="E551" s="2613" t="str">
        <f>Translations!$B$1484</f>
        <v>Mängd facklad restgas</v>
      </c>
      <c r="F551" s="2613"/>
      <c r="G551" s="1206" t="str">
        <f>EUconst_tCO2</f>
        <v>t CO2</v>
      </c>
      <c r="H551" s="626" t="str">
        <f t="shared" ref="H551:N551" si="245">IF(T323,SUM(H548)*SUM(H549),"")</f>
        <v/>
      </c>
      <c r="I551" s="1364" t="str">
        <f t="shared" si="245"/>
        <v/>
      </c>
      <c r="J551" s="1365" t="str">
        <f t="shared" si="245"/>
        <v/>
      </c>
      <c r="K551" s="626" t="str">
        <f t="shared" si="245"/>
        <v/>
      </c>
      <c r="L551" s="626" t="str">
        <f t="shared" si="245"/>
        <v/>
      </c>
      <c r="M551" s="626" t="str">
        <f t="shared" si="245"/>
        <v/>
      </c>
      <c r="N551" s="626" t="str">
        <f t="shared" si="245"/>
        <v/>
      </c>
      <c r="O551" s="15"/>
      <c r="P551" s="15"/>
      <c r="Q551" s="165" t="str">
        <f>EUconst_CNTR_HAL &amp; EUconst_CNTR_WGFlared &amp; I315</f>
        <v>HAL_WasteGasFlare_</v>
      </c>
      <c r="R551" s="2"/>
      <c r="S551" s="553" t="s">
        <v>1962</v>
      </c>
      <c r="T551" s="445" t="b">
        <f>CNTR_SubPeriod=2</f>
        <v>1</v>
      </c>
      <c r="U551" s="343"/>
      <c r="V551" s="343"/>
      <c r="W551" s="2"/>
      <c r="X551" s="2"/>
      <c r="Y551" s="2"/>
      <c r="Z551" s="2"/>
      <c r="AA551" s="2"/>
      <c r="AB551" s="2"/>
      <c r="AC551" s="2"/>
      <c r="AD551" s="2"/>
      <c r="AE551" s="2"/>
      <c r="AF551" s="2"/>
      <c r="AG551" s="2"/>
      <c r="AH551" s="2"/>
      <c r="AI551" s="2"/>
      <c r="AJ551" s="2"/>
      <c r="AK551" s="2"/>
      <c r="AL551" s="2"/>
    </row>
    <row r="552" spans="1:38" ht="5.15" customHeight="1" thickBot="1" x14ac:dyDescent="0.3">
      <c r="A552" s="2"/>
      <c r="B552" s="178"/>
      <c r="C552" s="779"/>
      <c r="D552" s="780"/>
      <c r="E552" s="780"/>
      <c r="F552" s="780"/>
      <c r="G552" s="780"/>
      <c r="H552" s="1805"/>
      <c r="I552" s="780"/>
      <c r="J552" s="780"/>
      <c r="K552" s="780"/>
      <c r="L552" s="780"/>
      <c r="M552" s="623"/>
      <c r="N552" s="519"/>
      <c r="O552" s="15"/>
      <c r="P552" s="15"/>
      <c r="Q552" s="343"/>
      <c r="R552" s="2"/>
      <c r="S552" s="343"/>
      <c r="T552" s="343"/>
      <c r="U552" s="343"/>
      <c r="V552" s="343"/>
      <c r="W552" s="2"/>
      <c r="X552" s="2"/>
      <c r="Y552" s="2"/>
      <c r="Z552" s="2"/>
      <c r="AA552" s="2"/>
      <c r="AB552" s="2"/>
      <c r="AC552" s="2"/>
      <c r="AD552" s="2"/>
      <c r="AE552" s="2"/>
      <c r="AF552" s="2"/>
      <c r="AG552" s="2"/>
      <c r="AH552" s="2"/>
      <c r="AI552" s="2"/>
      <c r="AJ552" s="2"/>
      <c r="AK552" s="2"/>
      <c r="AL552" s="2"/>
    </row>
    <row r="553" spans="1:38" ht="5.15" customHeight="1" thickBot="1" x14ac:dyDescent="0.3">
      <c r="A553" s="2"/>
      <c r="B553" s="178"/>
      <c r="C553" s="779"/>
      <c r="D553" s="1263"/>
      <c r="E553" s="1264"/>
      <c r="F553" s="1264"/>
      <c r="G553" s="1264"/>
      <c r="H553" s="1265"/>
      <c r="I553" s="1264"/>
      <c r="J553" s="1264"/>
      <c r="K553" s="1264"/>
      <c r="L553" s="1264"/>
      <c r="M553" s="1266"/>
      <c r="N553" s="1267"/>
      <c r="O553" s="15"/>
      <c r="P553" s="15"/>
      <c r="Q553" s="343"/>
      <c r="R553" s="2"/>
      <c r="S553" s="343"/>
      <c r="T553" s="343"/>
      <c r="U553" s="343"/>
      <c r="V553" s="343"/>
      <c r="W553" s="2"/>
      <c r="X553" s="2"/>
      <c r="Y553" s="2"/>
      <c r="Z553" s="2"/>
      <c r="AA553" s="2"/>
      <c r="AB553" s="2"/>
      <c r="AC553" s="2"/>
      <c r="AD553" s="2"/>
      <c r="AE553" s="2"/>
      <c r="AF553" s="2"/>
      <c r="AG553" s="2"/>
      <c r="AH553" s="2"/>
      <c r="AI553" s="2"/>
      <c r="AJ553" s="2"/>
      <c r="AK553" s="2"/>
      <c r="AL553" s="2"/>
    </row>
    <row r="554" spans="1:38" ht="12.75" customHeight="1" x14ac:dyDescent="0.25">
      <c r="A554" s="2"/>
      <c r="B554" s="178"/>
      <c r="C554" s="779"/>
      <c r="D554" s="1290" t="s">
        <v>2193</v>
      </c>
      <c r="E554" s="2619" t="str">
        <f>Translations!$B$1485</f>
        <v>Justeringar: facklad restgas</v>
      </c>
      <c r="F554" s="2497"/>
      <c r="G554" s="2497"/>
      <c r="H554" s="1228" t="str">
        <f>EUconst_Unit</f>
        <v>Enhet</v>
      </c>
      <c r="I554" s="1229" t="str">
        <f>Translations!$B$1481</f>
        <v>Värde (NIMs)</v>
      </c>
      <c r="J554" s="1268">
        <f>J$3042</f>
        <v>2021</v>
      </c>
      <c r="K554" s="1230">
        <f>K$3042</f>
        <v>2022</v>
      </c>
      <c r="L554" s="1230">
        <f>L$3042</f>
        <v>2023</v>
      </c>
      <c r="M554" s="1230">
        <f>M$3042</f>
        <v>2024</v>
      </c>
      <c r="N554" s="1258">
        <f>N$3042</f>
        <v>2025</v>
      </c>
      <c r="O554" s="15"/>
      <c r="P554" s="15"/>
      <c r="Q554" s="343"/>
      <c r="R554" s="2"/>
      <c r="S554" s="2"/>
      <c r="T554" s="2"/>
      <c r="U554" s="772"/>
      <c r="V554" s="1077">
        <f>J554</f>
        <v>2021</v>
      </c>
      <c r="W554" s="1077">
        <f>K554</f>
        <v>2022</v>
      </c>
      <c r="X554" s="1077">
        <f>L554</f>
        <v>2023</v>
      </c>
      <c r="Y554" s="1077">
        <f>M554</f>
        <v>2024</v>
      </c>
      <c r="Z554" s="1078">
        <f>N554</f>
        <v>2025</v>
      </c>
      <c r="AA554" s="2"/>
      <c r="AB554" s="2"/>
      <c r="AC554" s="2"/>
      <c r="AD554" s="2"/>
      <c r="AE554" s="2"/>
      <c r="AF554" s="2"/>
      <c r="AG554" s="2"/>
      <c r="AH554" s="2"/>
      <c r="AI554" s="2"/>
      <c r="AJ554" s="2"/>
      <c r="AK554" s="2"/>
      <c r="AL554" s="2"/>
    </row>
    <row r="555" spans="1:38" ht="12.75" customHeight="1" x14ac:dyDescent="0.25">
      <c r="A555" s="2"/>
      <c r="B555" s="178"/>
      <c r="C555" s="779"/>
      <c r="D555" s="1246" t="s">
        <v>8</v>
      </c>
      <c r="E555" s="2618" t="str">
        <f>Translations!$B$1482</f>
        <v>Genomsnittligt årligt värde</v>
      </c>
      <c r="F555" s="1997"/>
      <c r="G555" s="1997"/>
      <c r="H555" s="1232" t="str">
        <f>G551</f>
        <v>t CO2</v>
      </c>
      <c r="I555" s="990" t="str">
        <f>INDEX('B+C_SubInstallations'!$K:$K,MATCH(Q555,'B+C_SubInstallations'!$V:$V,0))</f>
        <v/>
      </c>
      <c r="J555" s="1215" t="str">
        <f>IF($T551&lt;&gt;TRUE,"",IF(AND(V555&gt;=3,CNTR_ReportingYear&gt;J554-1),AVERAGE(SUM(H551),SUM(I551)),""))</f>
        <v/>
      </c>
      <c r="K555" s="1216" t="str">
        <f>IF($T551&lt;&gt;TRUE,"",IF(AND(W555&gt;=3,CNTR_ReportingYear&gt;K554-1),AVERAGE(SUM(I551),SUM(J551)),""))</f>
        <v/>
      </c>
      <c r="L555" s="1216" t="str">
        <f>IF($T551&lt;&gt;TRUE,"",IF(AND(X555&gt;=3,CNTR_ReportingYear&gt;L554-1),AVERAGE(SUM(J551),SUM(K551)),""))</f>
        <v/>
      </c>
      <c r="M555" s="1216" t="str">
        <f>IF($T551&lt;&gt;TRUE,"",IF(AND(Y555&gt;=3,CNTR_ReportingYear&gt;M554-1),AVERAGE(SUM(K551),SUM(L551)),""))</f>
        <v/>
      </c>
      <c r="N555" s="1227" t="str">
        <f>IF($T551&lt;&gt;TRUE,"",IF(AND(Z555&gt;=3,CNTR_ReportingYear&gt;N554-1),AVERAGE(SUM(L551),SUM(M551)),""))</f>
        <v/>
      </c>
      <c r="O555" s="15"/>
      <c r="P555" s="15"/>
      <c r="Q555" s="165" t="str">
        <f>EUconst_CNTR_HALinitial &amp; EUconst_CNTR_WGFlared &amp; I315</f>
        <v>HALini_WasteGasFlare_</v>
      </c>
      <c r="R555" s="2"/>
      <c r="S555" s="2"/>
      <c r="T555" s="2"/>
      <c r="U555" s="1079" t="s">
        <v>1850</v>
      </c>
      <c r="V555" s="663">
        <f>V337</f>
        <v>0</v>
      </c>
      <c r="W555" s="663">
        <f>W337</f>
        <v>0</v>
      </c>
      <c r="X555" s="663">
        <f>X337</f>
        <v>0</v>
      </c>
      <c r="Y555" s="663">
        <f>Y337</f>
        <v>0</v>
      </c>
      <c r="Z555" s="1080">
        <f>Z337</f>
        <v>0</v>
      </c>
      <c r="AA555" s="2"/>
      <c r="AB555" s="2"/>
      <c r="AC555" s="2"/>
      <c r="AD555" s="2"/>
      <c r="AE555" s="2"/>
      <c r="AF555" s="2"/>
      <c r="AG555" s="2"/>
      <c r="AH555" s="2"/>
      <c r="AI555" s="2"/>
      <c r="AJ555" s="2"/>
      <c r="AK555" s="2"/>
      <c r="AL555" s="2"/>
    </row>
    <row r="556" spans="1:38" ht="12.75" hidden="1" customHeight="1" x14ac:dyDescent="0.25">
      <c r="A556" s="343" t="s">
        <v>346</v>
      </c>
      <c r="B556" s="178"/>
      <c r="C556" s="779"/>
      <c r="D556" s="1246"/>
      <c r="E556" s="2618" t="s">
        <v>1980</v>
      </c>
      <c r="F556" s="1997"/>
      <c r="G556" s="1997"/>
      <c r="H556" s="1233"/>
      <c r="I556" s="1235"/>
      <c r="J556" s="1013" t="str">
        <f>IF(J555="","",IF($I558=0,IF(J555=0,0%,100%),J555/$I558-1))</f>
        <v/>
      </c>
      <c r="K556" s="938" t="str">
        <f>IF(K555="","",IF($I558=0,IF(K555=0,0%,100%),K555/$I558-1))</f>
        <v/>
      </c>
      <c r="L556" s="938" t="str">
        <f>IF(L555="","",IF($I558=0,IF(L555=0,0%,100%),L555/$I558-1))</f>
        <v/>
      </c>
      <c r="M556" s="938" t="str">
        <f>IF(M555="","",IF($I558=0,IF(M555=0,0%,100%),M555/$I558-1))</f>
        <v/>
      </c>
      <c r="N556" s="1223" t="str">
        <f>IF(N555="","",IF($I558=0,IF(N555=0,0%,100%),N555/$I558-1))</f>
        <v/>
      </c>
      <c r="O556" s="15"/>
      <c r="P556" s="15"/>
      <c r="Q556" s="165" t="str">
        <f>EUconst_CNTR_RelThreshold &amp; Q558</f>
        <v>RelThresh_HALprelim_WasteGasFlare_</v>
      </c>
      <c r="R556" s="2"/>
      <c r="S556" s="2"/>
      <c r="T556" s="2"/>
      <c r="U556" s="1079" t="s">
        <v>1855</v>
      </c>
      <c r="V556" s="603" t="str">
        <f>IF(J555="","",ABS(J556)&gt;15%)</f>
        <v/>
      </c>
      <c r="W556" s="603" t="str">
        <f>IF(K555="","",ABS(K556)&gt;15%)</f>
        <v/>
      </c>
      <c r="X556" s="603" t="str">
        <f>IF(L555="","",ABS(L556)&gt;15%)</f>
        <v/>
      </c>
      <c r="Y556" s="603" t="str">
        <f>IF(M555="","",ABS(M556)&gt;15%)</f>
        <v/>
      </c>
      <c r="Z556" s="1756" t="str">
        <f>IF(N555="","",ABS(N556)&gt;15%)</f>
        <v/>
      </c>
      <c r="AA556" s="2"/>
      <c r="AB556" s="2"/>
      <c r="AC556" s="2"/>
      <c r="AD556" s="2"/>
      <c r="AE556" s="2"/>
      <c r="AF556" s="2"/>
      <c r="AG556" s="2"/>
      <c r="AH556" s="2"/>
      <c r="AI556" s="2"/>
      <c r="AJ556" s="2"/>
      <c r="AK556" s="2"/>
      <c r="AL556" s="2"/>
    </row>
    <row r="557" spans="1:38" ht="12.75" customHeight="1" x14ac:dyDescent="0.25">
      <c r="A557" s="343"/>
      <c r="B557" s="178"/>
      <c r="C557" s="779"/>
      <c r="D557" s="1246" t="s">
        <v>9</v>
      </c>
      <c r="E557" s="2618" t="str">
        <f>Translations!$B$1474</f>
        <v>Preliminär justering (om relativa tröskelvärden överskrids)</v>
      </c>
      <c r="F557" s="1997"/>
      <c r="G557" s="1997"/>
      <c r="H557" s="1233"/>
      <c r="I557" s="1235"/>
      <c r="J557" s="992" t="str">
        <f>IF(J555="","",IF(V556=FALSE,0%,J556))</f>
        <v/>
      </c>
      <c r="K557" s="937" t="str">
        <f>IF(K555="","",IF(W556=FALSE,0%,K556))</f>
        <v/>
      </c>
      <c r="L557" s="937" t="str">
        <f>IF(L555="","",IF(X556=FALSE,0%,L556))</f>
        <v/>
      </c>
      <c r="M557" s="937" t="str">
        <f>IF(M555="","",IF(Y556=FALSE,0%,M556))</f>
        <v/>
      </c>
      <c r="N557" s="1220" t="str">
        <f>IF(N555="","",IF(Z556=FALSE,0%,N556))</f>
        <v/>
      </c>
      <c r="O557" s="15"/>
      <c r="P557" s="15"/>
      <c r="Q557" s="343"/>
      <c r="R557" s="2"/>
      <c r="S557" s="2"/>
      <c r="T557" s="2"/>
      <c r="U557" s="1081"/>
      <c r="V557" s="2"/>
      <c r="W557" s="2"/>
      <c r="X557" s="2"/>
      <c r="Y557" s="2"/>
      <c r="Z557" s="228"/>
      <c r="AA557" s="2"/>
      <c r="AB557" s="2"/>
      <c r="AC557" s="2"/>
      <c r="AD557" s="2"/>
      <c r="AE557" s="2"/>
      <c r="AF557" s="2"/>
      <c r="AG557" s="2"/>
      <c r="AH557" s="2"/>
      <c r="AI557" s="2"/>
      <c r="AJ557" s="2"/>
      <c r="AK557" s="2"/>
      <c r="AL557" s="2"/>
    </row>
    <row r="558" spans="1:38" ht="12.75" hidden="1" customHeight="1" x14ac:dyDescent="0.25">
      <c r="A558" s="343" t="s">
        <v>346</v>
      </c>
      <c r="B558" s="178"/>
      <c r="C558" s="779"/>
      <c r="D558" s="1246"/>
      <c r="E558" s="2618" t="s">
        <v>1889</v>
      </c>
      <c r="F558" s="1997"/>
      <c r="G558" s="1997"/>
      <c r="H558" s="1232" t="str">
        <f>H555</f>
        <v>t CO2</v>
      </c>
      <c r="I558" s="990" t="str">
        <f>IF($I315="","",IF(AB315=FALSE,EUconst_NA,IF(V315&gt;($J$3042-3),INDEX(H551:N551,MATCH(V315,H545:N545,0)),SUM(I555))))</f>
        <v/>
      </c>
      <c r="J558" s="993" t="str">
        <f>IF($I315="","",IF(V555&lt;2,SUM(J551),IF(V555&lt;3,SUM(I551),IF(V558="",I558,V558))))</f>
        <v/>
      </c>
      <c r="K558" s="920" t="str">
        <f>IF($I315="","",IF(W555&lt;2,SUM(K551),IF(W555&lt;3,SUM(J551),IF(W558="",J558,W558))))</f>
        <v/>
      </c>
      <c r="L558" s="920" t="str">
        <f>IF($I315="","",IF(X555&lt;2,SUM(L551),IF(X555&lt;3,SUM(K551),IF(X558="",K558,X558))))</f>
        <v/>
      </c>
      <c r="M558" s="920" t="str">
        <f>IF($I315="","",IF(Y555&lt;2,SUM(M551),IF(Y555&lt;3,SUM(L551),IF(Y558="",L558,Y558))))</f>
        <v/>
      </c>
      <c r="N558" s="1218" t="str">
        <f>IF($I315="","",IF(Z555&lt;2,SUM(N551),IF(Z555&lt;3,SUM(M551),IF(Z558="",M558,Z558))))</f>
        <v/>
      </c>
      <c r="O558" s="15"/>
      <c r="P558" s="15"/>
      <c r="Q558" s="165" t="str">
        <f>EUconst_CNTR_HALprelim&amp;EUconst_CNTR_WGFlared &amp; I315</f>
        <v>HALprelim_WasteGasFlare_</v>
      </c>
      <c r="R558" s="2"/>
      <c r="S558" s="2"/>
      <c r="T558" s="2"/>
      <c r="U558" s="1079" t="s">
        <v>1898</v>
      </c>
      <c r="V558" s="1752" t="str">
        <f>IF(J555="","",IF(CNTR_ReportingYear&lt;J554,I557,IF($I558=0,J555,$I558*(1+J557))))</f>
        <v/>
      </c>
      <c r="W558" s="1752" t="str">
        <f>IF(K555="","",IF(CNTR_ReportingYear&lt;K554,J557,IF($I558=0,K555,$I558*(1+K557))))</f>
        <v/>
      </c>
      <c r="X558" s="1752" t="str">
        <f>IF(L555="","",IF(CNTR_ReportingYear&lt;L554,K557,IF($I558=0,L555,$I558*(1+L557))))</f>
        <v/>
      </c>
      <c r="Y558" s="1752" t="str">
        <f>IF(M555="","",IF(CNTR_ReportingYear&lt;M554,L557,IF($I558=0,M555,$I558*(1+M557))))</f>
        <v/>
      </c>
      <c r="Z558" s="1761" t="str">
        <f>IF(N555="","",IF(CNTR_ReportingYear&lt;N554,M557,IF($I558=0,N555,$I558*(1+N557))))</f>
        <v/>
      </c>
      <c r="AA558" s="2"/>
      <c r="AB558" s="2"/>
      <c r="AC558" s="2"/>
      <c r="AD558" s="2"/>
      <c r="AE558" s="2"/>
      <c r="AF558" s="2"/>
      <c r="AG558" s="2"/>
      <c r="AH558" s="2"/>
      <c r="AI558" s="2"/>
      <c r="AJ558" s="2"/>
      <c r="AK558" s="2"/>
      <c r="AL558" s="2"/>
    </row>
    <row r="559" spans="1:38" ht="5.15" customHeight="1" x14ac:dyDescent="0.25">
      <c r="A559" s="343"/>
      <c r="B559" s="178"/>
      <c r="C559" s="779"/>
      <c r="D559" s="1246"/>
      <c r="E559" s="1244"/>
      <c r="F559" s="1244"/>
      <c r="G559" s="1244"/>
      <c r="H559" s="1244"/>
      <c r="I559" s="1244"/>
      <c r="J559" s="1236"/>
      <c r="K559" s="1236"/>
      <c r="L559" s="1236"/>
      <c r="M559" s="1236"/>
      <c r="N559" s="1247"/>
      <c r="O559" s="15"/>
      <c r="P559" s="15"/>
      <c r="Q559" s="343"/>
      <c r="R559" s="2"/>
      <c r="S559" s="2"/>
      <c r="T559" s="2"/>
      <c r="U559" s="1086"/>
      <c r="V559" s="343"/>
      <c r="W559" s="2"/>
      <c r="X559" s="2"/>
      <c r="Y559" s="2"/>
      <c r="Z559" s="228"/>
      <c r="AA559" s="2"/>
      <c r="AB559" s="2"/>
      <c r="AC559" s="2"/>
      <c r="AD559" s="2"/>
      <c r="AE559" s="2"/>
      <c r="AF559" s="2"/>
      <c r="AG559" s="2"/>
      <c r="AH559" s="2"/>
      <c r="AI559" s="2"/>
      <c r="AJ559" s="2"/>
      <c r="AK559" s="2"/>
      <c r="AL559" s="2"/>
    </row>
    <row r="560" spans="1:38" ht="12.75" customHeight="1" x14ac:dyDescent="0.25">
      <c r="A560" s="343"/>
      <c r="B560" s="178"/>
      <c r="C560" s="779"/>
      <c r="D560" s="1246"/>
      <c r="E560" s="2619" t="str">
        <f>Translations!$B$1475</f>
        <v>Faktisk justering (grund för följande år)</v>
      </c>
      <c r="F560" s="2497"/>
      <c r="G560" s="2497"/>
      <c r="H560" s="2497"/>
      <c r="I560" s="2616"/>
      <c r="J560" s="1268">
        <f>J$3042</f>
        <v>2021</v>
      </c>
      <c r="K560" s="1230">
        <f>K$3042</f>
        <v>2022</v>
      </c>
      <c r="L560" s="1230">
        <f>L$3042</f>
        <v>2023</v>
      </c>
      <c r="M560" s="1230">
        <f>M$3042</f>
        <v>2024</v>
      </c>
      <c r="N560" s="1258">
        <f>N$3042</f>
        <v>2025</v>
      </c>
      <c r="O560" s="15"/>
      <c r="P560" s="15"/>
      <c r="Q560" s="343"/>
      <c r="R560" s="2"/>
      <c r="S560" s="2"/>
      <c r="T560" s="2"/>
      <c r="U560" s="584"/>
      <c r="V560" s="2"/>
      <c r="W560" s="2"/>
      <c r="X560" s="2"/>
      <c r="Y560" s="2"/>
      <c r="Z560" s="228"/>
      <c r="AA560" s="2"/>
      <c r="AB560" s="2"/>
      <c r="AC560" s="2"/>
      <c r="AD560" s="2"/>
      <c r="AE560" s="2"/>
      <c r="AF560" s="2"/>
      <c r="AG560" s="2"/>
      <c r="AH560" s="2"/>
      <c r="AI560" s="2"/>
      <c r="AJ560" s="2"/>
      <c r="AK560" s="2"/>
      <c r="AL560" s="2"/>
    </row>
    <row r="561" spans="1:38" ht="12.75" customHeight="1" x14ac:dyDescent="0.25">
      <c r="A561" s="343"/>
      <c r="B561" s="178"/>
      <c r="C561" s="779"/>
      <c r="D561" s="1246" t="s">
        <v>10</v>
      </c>
      <c r="E561" s="2618" t="str">
        <f>Translations!$B$1476</f>
        <v>&gt;= 100 utsläppsrätter kriterium uppnått?</v>
      </c>
      <c r="F561" s="1997"/>
      <c r="G561" s="1997"/>
      <c r="H561" s="1997"/>
      <c r="I561" s="2620"/>
      <c r="J561" s="994" t="str">
        <f>IF($I315="","",INDEX(K_Summary!J:J,MATCH($Q561,K_Summary!$P:$P,0)))</f>
        <v/>
      </c>
      <c r="K561" s="912" t="str">
        <f>IF($I315="","",INDEX(K_Summary!K:K,MATCH($Q561,K_Summary!$P:$P,0)))</f>
        <v/>
      </c>
      <c r="L561" s="912" t="str">
        <f>IF($I315="","",INDEX(K_Summary!L:L,MATCH($Q561,K_Summary!$P:$P,0)))</f>
        <v/>
      </c>
      <c r="M561" s="912" t="str">
        <f>IF($I315="","",INDEX(K_Summary!M:M,MATCH($Q561,K_Summary!$P:$P,0)))</f>
        <v/>
      </c>
      <c r="N561" s="1221" t="str">
        <f>IF($I315="","",INDEX(K_Summary!N:N,MATCH($Q561,K_Summary!$P:$P,0)))</f>
        <v/>
      </c>
      <c r="O561" s="15"/>
      <c r="P561" s="15"/>
      <c r="Q561" s="165" t="str">
        <f>EUconst_CNTR_100EUA_WGFlare&amp;I315</f>
        <v>EUA100WGFlare_</v>
      </c>
      <c r="R561" s="2"/>
      <c r="S561" s="2"/>
      <c r="T561" s="2"/>
      <c r="U561" s="584"/>
      <c r="V561" s="2"/>
      <c r="W561" s="2"/>
      <c r="X561" s="2"/>
      <c r="Y561" s="2"/>
      <c r="Z561" s="228"/>
      <c r="AA561" s="2"/>
      <c r="AB561" s="2"/>
      <c r="AC561" s="2"/>
      <c r="AD561" s="2"/>
      <c r="AE561" s="2"/>
      <c r="AF561" s="2"/>
      <c r="AG561" s="2"/>
      <c r="AH561" s="2"/>
      <c r="AI561" s="2"/>
      <c r="AJ561" s="2"/>
      <c r="AK561" s="2"/>
      <c r="AL561" s="2"/>
    </row>
    <row r="562" spans="1:38" ht="5.15" customHeight="1" thickBot="1" x14ac:dyDescent="0.3">
      <c r="A562" s="343"/>
      <c r="B562" s="178"/>
      <c r="C562" s="779"/>
      <c r="D562" s="1246"/>
      <c r="E562" s="1244"/>
      <c r="F562" s="1244"/>
      <c r="G562" s="1244"/>
      <c r="H562" s="1244"/>
      <c r="I562" s="1244"/>
      <c r="J562" s="1244"/>
      <c r="K562" s="1244"/>
      <c r="L562" s="1244"/>
      <c r="M562" s="1244"/>
      <c r="N562" s="1248"/>
      <c r="O562" s="15"/>
      <c r="P562" s="15"/>
      <c r="Q562" s="343"/>
      <c r="R562" s="2"/>
      <c r="S562" s="2"/>
      <c r="T562" s="2"/>
      <c r="U562" s="1086"/>
      <c r="V562" s="343"/>
      <c r="W562" s="2"/>
      <c r="X562" s="2"/>
      <c r="Y562" s="2"/>
      <c r="Z562" s="228"/>
      <c r="AA562" s="2"/>
      <c r="AB562" s="2"/>
      <c r="AC562" s="2"/>
      <c r="AD562" s="2"/>
      <c r="AE562" s="2"/>
      <c r="AF562" s="2"/>
      <c r="AG562" s="2"/>
      <c r="AH562" s="2"/>
      <c r="AI562" s="2"/>
      <c r="AJ562" s="2"/>
      <c r="AK562" s="2"/>
      <c r="AL562" s="2"/>
    </row>
    <row r="563" spans="1:38" ht="12.75" customHeight="1" thickBot="1" x14ac:dyDescent="0.3">
      <c r="A563" s="2"/>
      <c r="B563" s="178"/>
      <c r="C563" s="779"/>
      <c r="D563" s="1246" t="s">
        <v>23</v>
      </c>
      <c r="E563" s="2618" t="str">
        <f>Translations!$B$1477</f>
        <v>Faktisk justering (om alla tröskelvärden överskrids)</v>
      </c>
      <c r="F563" s="1997"/>
      <c r="G563" s="1997"/>
      <c r="H563" s="1997"/>
      <c r="I563" s="2620"/>
      <c r="J563" s="1099" t="str">
        <f>IF(J561="","",IF(OR(J561,V555&lt;1),J557,I563))</f>
        <v/>
      </c>
      <c r="K563" s="1100" t="str">
        <f>IF(K561="","",IF(OR(K561,W555&lt;1),K557,J563))</f>
        <v/>
      </c>
      <c r="L563" s="1100" t="str">
        <f>IF(L561="","",IF(OR(L561,X555&lt;1),L557,K563))</f>
        <v/>
      </c>
      <c r="M563" s="1100" t="str">
        <f>IF(M561="","",IF(OR(M561,Y555&lt;1),M557,L563))</f>
        <v/>
      </c>
      <c r="N563" s="1101" t="str">
        <f>IF(N561="","",IF(OR(N561,Z555&lt;1),N557,M563))</f>
        <v/>
      </c>
      <c r="O563" s="15"/>
      <c r="P563" s="15"/>
      <c r="Q563" s="343"/>
      <c r="R563" s="2"/>
      <c r="S563" s="2"/>
      <c r="T563" s="2"/>
      <c r="U563" s="1086" t="s">
        <v>1858</v>
      </c>
      <c r="V563" s="1068">
        <f>J560</f>
        <v>2021</v>
      </c>
      <c r="W563" s="1068">
        <f>K560</f>
        <v>2022</v>
      </c>
      <c r="X563" s="1068">
        <f>L560</f>
        <v>2023</v>
      </c>
      <c r="Y563" s="1068">
        <f>M560</f>
        <v>2024</v>
      </c>
      <c r="Z563" s="1087">
        <f>N560</f>
        <v>2025</v>
      </c>
      <c r="AA563" s="2"/>
      <c r="AB563" s="2"/>
      <c r="AC563" s="2"/>
      <c r="AD563" s="2"/>
      <c r="AE563" s="2"/>
      <c r="AF563" s="2"/>
      <c r="AG563" s="2"/>
      <c r="AH563" s="2"/>
      <c r="AI563" s="2"/>
      <c r="AJ563" s="2"/>
      <c r="AK563" s="2"/>
      <c r="AL563" s="2"/>
    </row>
    <row r="564" spans="1:38" ht="12.75" customHeight="1" thickBot="1" x14ac:dyDescent="0.3">
      <c r="A564" s="343"/>
      <c r="B564" s="178"/>
      <c r="C564" s="779"/>
      <c r="D564" s="1246" t="s">
        <v>859</v>
      </c>
      <c r="E564" s="2618" t="str">
        <f>Translations!$B$1478</f>
        <v>Faktiskt värde</v>
      </c>
      <c r="F564" s="1997"/>
      <c r="G564" s="1997"/>
      <c r="H564" s="1232" t="str">
        <f>H555</f>
        <v>t CO2</v>
      </c>
      <c r="I564" s="990" t="str">
        <f>I558</f>
        <v/>
      </c>
      <c r="J564" s="1072" t="str">
        <f>IF($I315="","",IF(OR($I564=0,$I564=EUconst_NA),IF(OR(J561=TRUE,J560=$V315),J558,SUM(I564)),IF(J563="",J558,$I564*(1+SUM(J563)))))</f>
        <v/>
      </c>
      <c r="K564" s="1073" t="str">
        <f>IF($I315="","",IF(OR($I564=0,$I564=EUconst_NA),IF(OR(K561=TRUE,K560=$V315),K558,SUM(J564)),IF(K563="",K558,$I564*(1+SUM(K563)))))</f>
        <v/>
      </c>
      <c r="L564" s="1073" t="str">
        <f>IF($I315="","",IF(OR($I564=0,$I564=EUconst_NA),IF(OR(L561=TRUE,L560=$V315),L558,SUM(K564)),IF(L563="",L558,$I564*(1+SUM(L563)))))</f>
        <v/>
      </c>
      <c r="M564" s="1073" t="str">
        <f>IF($I315="","",IF(OR($I564=0,$I564=EUconst_NA),IF(OR(M561=TRUE,M560=$V315),M558,SUM(L564)),IF(M563="",M558,$I564*(1+SUM(M563)))))</f>
        <v/>
      </c>
      <c r="N564" s="1074" t="str">
        <f>IF($I315="","",IF(OR($I564=0,$I564=EUconst_NA),IF(OR(N561=TRUE,N560=$V315),N558,SUM(M564)),IF(N563="",N558,$I564*(1+SUM(N563)))))</f>
        <v/>
      </c>
      <c r="O564" s="15"/>
      <c r="P564" s="15"/>
      <c r="Q564" s="165" t="str">
        <f>EUconst_CNTR_HALfinal&amp;EUconst_CNTR_WGFlared &amp; I315</f>
        <v>HALfinal_WasteGasFlare_</v>
      </c>
      <c r="R564" s="2"/>
      <c r="S564" s="2"/>
      <c r="T564" s="2"/>
      <c r="U564" s="1765" t="b">
        <v>0</v>
      </c>
      <c r="V564" s="1757" t="str">
        <f>IF(V514,IF(J561=TRUE,V323,U564),"")</f>
        <v/>
      </c>
      <c r="W564" s="1757" t="str">
        <f>IF(W514,IF(K561=TRUE,W323,V564),"")</f>
        <v/>
      </c>
      <c r="X564" s="1757" t="str">
        <f>IF(X514,IF(L561=TRUE,X323,W564),"")</f>
        <v/>
      </c>
      <c r="Y564" s="1757" t="str">
        <f>IF(Y514,IF(M561=TRUE,Y323,X564),"")</f>
        <v/>
      </c>
      <c r="Z564" s="1758" t="str">
        <f>IF(Z514,IF(N561=TRUE,Z323,Y564),"")</f>
        <v/>
      </c>
      <c r="AA564" s="2"/>
      <c r="AB564" s="2"/>
      <c r="AC564" s="2"/>
      <c r="AD564" s="2"/>
      <c r="AE564" s="2"/>
      <c r="AF564" s="2"/>
      <c r="AG564" s="2"/>
      <c r="AH564" s="2"/>
      <c r="AI564" s="2"/>
      <c r="AJ564" s="553" t="s">
        <v>2242</v>
      </c>
      <c r="AK564" s="108" t="str">
        <f>IF(OR(ISERROR(J564),ISERROR(K564),ISERROR(L564),ISERROR(M564),ISERROR(N564)),EUconst_Error &amp; "BM" &amp; Q315,"")</f>
        <v/>
      </c>
      <c r="AL564" s="2"/>
    </row>
    <row r="565" spans="1:38" ht="5.15" customHeight="1" thickBot="1" x14ac:dyDescent="0.3">
      <c r="A565" s="2"/>
      <c r="B565" s="178"/>
      <c r="C565" s="779"/>
      <c r="D565" s="1269"/>
      <c r="E565" s="1270"/>
      <c r="F565" s="1270"/>
      <c r="G565" s="1270"/>
      <c r="H565" s="1271"/>
      <c r="I565" s="1270"/>
      <c r="J565" s="1270"/>
      <c r="K565" s="1270"/>
      <c r="L565" s="1270"/>
      <c r="M565" s="1272"/>
      <c r="N565" s="1273"/>
      <c r="O565" s="15"/>
      <c r="P565" s="15"/>
      <c r="Q565" s="343"/>
      <c r="R565" s="2"/>
      <c r="S565" s="343"/>
      <c r="T565" s="343"/>
      <c r="U565" s="343"/>
      <c r="V565" s="343"/>
      <c r="W565" s="2"/>
      <c r="X565" s="2"/>
      <c r="Y565" s="2"/>
      <c r="Z565" s="2"/>
      <c r="AA565" s="2"/>
      <c r="AB565" s="2"/>
      <c r="AC565" s="2"/>
      <c r="AD565" s="2"/>
      <c r="AE565" s="2"/>
      <c r="AF565" s="2"/>
      <c r="AG565" s="2"/>
      <c r="AH565" s="2"/>
      <c r="AI565" s="2"/>
      <c r="AJ565" s="2"/>
      <c r="AK565" s="2"/>
      <c r="AL565" s="2"/>
    </row>
    <row r="566" spans="1:38" ht="5.15" customHeight="1" x14ac:dyDescent="0.25">
      <c r="A566" s="2"/>
      <c r="B566" s="178"/>
      <c r="C566" s="779"/>
      <c r="D566" s="780"/>
      <c r="E566" s="780"/>
      <c r="F566" s="780"/>
      <c r="G566" s="780"/>
      <c r="H566" s="1805"/>
      <c r="I566" s="780"/>
      <c r="J566" s="780"/>
      <c r="K566" s="780"/>
      <c r="L566" s="780"/>
      <c r="M566" s="623"/>
      <c r="N566" s="519"/>
      <c r="O566" s="15"/>
      <c r="P566" s="15"/>
      <c r="Q566" s="343"/>
      <c r="R566" s="2"/>
      <c r="S566" s="343"/>
      <c r="T566" s="343"/>
      <c r="U566" s="343"/>
      <c r="V566" s="343"/>
      <c r="W566" s="2"/>
      <c r="X566" s="2"/>
      <c r="Y566" s="2"/>
      <c r="Z566" s="2"/>
      <c r="AA566" s="2"/>
      <c r="AB566" s="2"/>
      <c r="AC566" s="2"/>
      <c r="AD566" s="2"/>
      <c r="AE566" s="2"/>
      <c r="AF566" s="2"/>
      <c r="AG566" s="2"/>
      <c r="AH566" s="2"/>
      <c r="AI566" s="2"/>
      <c r="AJ566" s="2"/>
      <c r="AK566" s="2"/>
      <c r="AL566" s="2"/>
    </row>
    <row r="567" spans="1:38" ht="12.75" customHeight="1" x14ac:dyDescent="0.25">
      <c r="A567" s="2"/>
      <c r="B567" s="178"/>
      <c r="C567" s="779"/>
      <c r="D567" s="416" t="s">
        <v>1205</v>
      </c>
      <c r="E567" s="2614" t="str">
        <f>Translations!$B$632</f>
        <v>Importerade restgastyper:</v>
      </c>
      <c r="F567" s="1960"/>
      <c r="G567" s="1960"/>
      <c r="H567" s="2520"/>
      <c r="I567" s="2621"/>
      <c r="J567" s="2510"/>
      <c r="K567" s="2510"/>
      <c r="L567" s="2510"/>
      <c r="M567" s="2511"/>
      <c r="N567" s="519"/>
      <c r="O567" s="15"/>
      <c r="P567" s="1362"/>
      <c r="Q567" s="343"/>
      <c r="R567" s="2"/>
      <c r="S567" s="343"/>
      <c r="T567" s="2"/>
      <c r="U567" s="2"/>
      <c r="V567" s="2"/>
      <c r="W567" s="2"/>
      <c r="X567" s="2"/>
      <c r="Y567" s="2"/>
      <c r="Z567" s="2"/>
      <c r="AA567" s="2"/>
      <c r="AB567" s="2"/>
      <c r="AC567" s="672" t="s">
        <v>782</v>
      </c>
      <c r="AD567" s="108" t="b">
        <f>AD541</f>
        <v>0</v>
      </c>
      <c r="AE567" s="2"/>
      <c r="AF567" s="2"/>
      <c r="AG567" s="2"/>
      <c r="AH567" s="2"/>
      <c r="AI567" s="2"/>
      <c r="AJ567" s="2"/>
      <c r="AK567" s="2"/>
      <c r="AL567" s="2"/>
    </row>
    <row r="568" spans="1:38" ht="12.75" customHeight="1" x14ac:dyDescent="0.25">
      <c r="A568" s="2"/>
      <c r="B568" s="178"/>
      <c r="C568" s="779"/>
      <c r="D568" s="416"/>
      <c r="E568" s="2596" t="str">
        <f>Translations!$B$633</f>
        <v>De uppgifter som anges här påverkar de utsläpp som kan tillskrivas i enlighet med avsnitt 10.1.5 i bilaga VII till FAR.</v>
      </c>
      <c r="F568" s="1960"/>
      <c r="G568" s="1960"/>
      <c r="H568" s="1960"/>
      <c r="I568" s="1960"/>
      <c r="J568" s="1960"/>
      <c r="K568" s="1960"/>
      <c r="L568" s="1960"/>
      <c r="M568" s="1960"/>
      <c r="N568" s="2597"/>
      <c r="O568" s="15"/>
      <c r="P568" s="15"/>
      <c r="Q568" s="343"/>
      <c r="R568" s="2"/>
      <c r="S568" s="343"/>
      <c r="T568" s="343"/>
      <c r="U568" s="343"/>
      <c r="V568" s="343"/>
      <c r="W568" s="2"/>
      <c r="X568" s="2"/>
      <c r="Y568" s="2"/>
      <c r="Z568" s="2"/>
      <c r="AA568" s="2"/>
      <c r="AB568" s="2"/>
      <c r="AC568" s="2"/>
      <c r="AD568" s="2"/>
      <c r="AE568" s="2"/>
      <c r="AF568" s="2"/>
      <c r="AG568" s="2"/>
      <c r="AH568" s="2"/>
      <c r="AI568" s="2"/>
      <c r="AJ568" s="2"/>
      <c r="AK568" s="2"/>
      <c r="AL568" s="2"/>
    </row>
    <row r="569" spans="1:38" ht="25.5" customHeight="1" x14ac:dyDescent="0.25">
      <c r="A569" s="2"/>
      <c r="B569" s="178"/>
      <c r="C569" s="779"/>
      <c r="D569" s="416"/>
      <c r="E569" s="2610" t="str">
        <f>Translations!$B$634</f>
        <v>Detta innefattar alla restgastyper som produceras utanför delanläggningens systemgränser men som importeras till delanläggningen och används för produktion av mätbar värme, icke-mätbar värme (inklusive för säkerhetsfackling) eller mekanisk energi (annat än för elproduktion).</v>
      </c>
      <c r="F569" s="1960"/>
      <c r="G569" s="1960"/>
      <c r="H569" s="1960"/>
      <c r="I569" s="1960"/>
      <c r="J569" s="1960"/>
      <c r="K569" s="1960"/>
      <c r="L569" s="1960"/>
      <c r="M569" s="1960"/>
      <c r="N569" s="2597"/>
      <c r="O569" s="15"/>
      <c r="P569" s="15"/>
      <c r="Q569" s="343"/>
      <c r="R569" s="2"/>
      <c r="S569" s="343"/>
      <c r="T569" s="343"/>
      <c r="U569" s="343"/>
      <c r="V569" s="343"/>
      <c r="W569" s="2"/>
      <c r="X569" s="2"/>
      <c r="Y569" s="2"/>
      <c r="Z569" s="2"/>
      <c r="AA569" s="2"/>
      <c r="AB569" s="2"/>
      <c r="AC569" s="2"/>
      <c r="AD569" s="2"/>
      <c r="AE569" s="2"/>
      <c r="AF569" s="2"/>
      <c r="AG569" s="2"/>
      <c r="AH569" s="2"/>
      <c r="AI569" s="2"/>
      <c r="AJ569" s="2"/>
      <c r="AK569" s="2"/>
      <c r="AL569" s="2"/>
    </row>
    <row r="570" spans="1:38" ht="12.75" customHeight="1" thickBot="1" x14ac:dyDescent="0.3">
      <c r="A570" s="2"/>
      <c r="B570" s="178"/>
      <c r="C570" s="779"/>
      <c r="D570" s="780"/>
      <c r="E570" s="1716"/>
      <c r="F570" s="1717"/>
      <c r="G570" s="361" t="str">
        <f>EUconst_Unit</f>
        <v>Enhet</v>
      </c>
      <c r="H570" s="362">
        <f t="shared" ref="H570:N570" si="246">H$3042</f>
        <v>2019</v>
      </c>
      <c r="I570" s="1103">
        <f t="shared" si="246"/>
        <v>2020</v>
      </c>
      <c r="J570" s="1104">
        <f t="shared" si="246"/>
        <v>2021</v>
      </c>
      <c r="K570" s="362">
        <f t="shared" si="246"/>
        <v>2022</v>
      </c>
      <c r="L570" s="362">
        <f t="shared" si="246"/>
        <v>2023</v>
      </c>
      <c r="M570" s="362">
        <f t="shared" si="246"/>
        <v>2024</v>
      </c>
      <c r="N570" s="1141">
        <f t="shared" si="246"/>
        <v>2025</v>
      </c>
      <c r="O570" s="15"/>
      <c r="P570" s="15"/>
      <c r="Q570" s="343"/>
      <c r="R570" s="2"/>
      <c r="S570" s="343"/>
      <c r="T570" s="343"/>
      <c r="U570" s="343"/>
      <c r="V570" s="343"/>
      <c r="W570" s="2"/>
      <c r="X570" s="2"/>
      <c r="Y570" s="2"/>
      <c r="Z570" s="2"/>
      <c r="AA570" s="2"/>
      <c r="AB570" s="2"/>
      <c r="AC570" s="1044">
        <f t="shared" ref="AC570:AI570" si="247">H$20</f>
        <v>2019</v>
      </c>
      <c r="AD570" s="1044">
        <f t="shared" si="247"/>
        <v>2020</v>
      </c>
      <c r="AE570" s="1044">
        <f t="shared" si="247"/>
        <v>2021</v>
      </c>
      <c r="AF570" s="1044">
        <f t="shared" si="247"/>
        <v>2022</v>
      </c>
      <c r="AG570" s="1044">
        <f t="shared" si="247"/>
        <v>2023</v>
      </c>
      <c r="AH570" s="1044">
        <f t="shared" si="247"/>
        <v>2024</v>
      </c>
      <c r="AI570" s="1044">
        <f t="shared" si="247"/>
        <v>2025</v>
      </c>
      <c r="AJ570" s="2"/>
      <c r="AK570" s="2"/>
      <c r="AL570" s="2"/>
    </row>
    <row r="571" spans="1:38" ht="12.75" customHeight="1" thickBot="1" x14ac:dyDescent="0.3">
      <c r="A571" s="2"/>
      <c r="B571" s="178"/>
      <c r="C571" s="779"/>
      <c r="D571" s="416" t="s">
        <v>1206</v>
      </c>
      <c r="E571" s="2611" t="str">
        <f>Translations!$B$635</f>
        <v>Importerade mängder</v>
      </c>
      <c r="F571" s="2484"/>
      <c r="G571" s="1314"/>
      <c r="H571" s="1298"/>
      <c r="I571" s="1299"/>
      <c r="J571" s="1300"/>
      <c r="K571" s="1298"/>
      <c r="L571" s="1298"/>
      <c r="M571" s="1298"/>
      <c r="N571" s="1301"/>
      <c r="O571" s="15"/>
      <c r="P571" s="1362"/>
      <c r="Q571" s="343"/>
      <c r="R571" s="2"/>
      <c r="S571" s="343"/>
      <c r="T571" s="343"/>
      <c r="U571" s="343"/>
      <c r="V571" s="343"/>
      <c r="W571" s="2"/>
      <c r="X571" s="2"/>
      <c r="Y571" s="2"/>
      <c r="Z571" s="2"/>
      <c r="AA571" s="2"/>
      <c r="AB571" s="672" t="s">
        <v>782</v>
      </c>
      <c r="AC571" s="108" t="b">
        <f t="shared" ref="AC571:AI571" si="248">AC527</f>
        <v>0</v>
      </c>
      <c r="AD571" s="108" t="b">
        <f t="shared" si="248"/>
        <v>0</v>
      </c>
      <c r="AE571" s="108" t="b">
        <f t="shared" si="248"/>
        <v>0</v>
      </c>
      <c r="AF571" s="108" t="b">
        <f t="shared" si="248"/>
        <v>0</v>
      </c>
      <c r="AG571" s="108" t="b">
        <f t="shared" si="248"/>
        <v>0</v>
      </c>
      <c r="AH571" s="108" t="b">
        <f t="shared" si="248"/>
        <v>0</v>
      </c>
      <c r="AI571" s="108" t="b">
        <f t="shared" si="248"/>
        <v>0</v>
      </c>
      <c r="AJ571" s="553" t="s">
        <v>2248</v>
      </c>
      <c r="AK571" s="663" t="str">
        <f>IF(AND(CNTR_ExistSubInstEntries,MSconst_RequireSubAttrEmissions,COUNTIFS(AC571:AI571,FALSE,H571:N571,"")&gt;0),EUconst_Error&amp;"BM"&amp;$Q315,"")</f>
        <v/>
      </c>
      <c r="AL571" s="2"/>
    </row>
    <row r="572" spans="1:38" ht="12.75" customHeight="1" x14ac:dyDescent="0.25">
      <c r="A572" s="2"/>
      <c r="B572" s="178"/>
      <c r="C572" s="779"/>
      <c r="D572" s="416" t="s">
        <v>1207</v>
      </c>
      <c r="E572" s="2612" t="str">
        <f>Translations!$B$318</f>
        <v>Effektivt värmevärde</v>
      </c>
      <c r="F572" s="2487"/>
      <c r="G572" s="51" t="str">
        <f>IF(ISBLANK(G571),EUconst_GJperUnit,INDEX(EUconst_GJperTorKNm3,MATCH(G571,EUconst_TonnesOrkNm3pa,0)))</f>
        <v>GJ / Enhet</v>
      </c>
      <c r="H572" s="1306"/>
      <c r="I572" s="1307"/>
      <c r="J572" s="1308"/>
      <c r="K572" s="1306"/>
      <c r="L572" s="1306"/>
      <c r="M572" s="1306"/>
      <c r="N572" s="1309"/>
      <c r="O572" s="15"/>
      <c r="P572" s="1362"/>
      <c r="Q572" s="343"/>
      <c r="R572" s="2"/>
      <c r="S572" s="772"/>
      <c r="T572" s="609">
        <f t="shared" ref="T572:Z572" si="249">H570</f>
        <v>2019</v>
      </c>
      <c r="U572" s="609">
        <f t="shared" si="249"/>
        <v>2020</v>
      </c>
      <c r="V572" s="609">
        <f t="shared" si="249"/>
        <v>2021</v>
      </c>
      <c r="W572" s="609">
        <f t="shared" si="249"/>
        <v>2022</v>
      </c>
      <c r="X572" s="609">
        <f t="shared" si="249"/>
        <v>2023</v>
      </c>
      <c r="Y572" s="609">
        <f t="shared" si="249"/>
        <v>2024</v>
      </c>
      <c r="Z572" s="610">
        <f t="shared" si="249"/>
        <v>2025</v>
      </c>
      <c r="AA572" s="2"/>
      <c r="AB572" s="2"/>
      <c r="AC572" s="108" t="b">
        <f>AC571</f>
        <v>0</v>
      </c>
      <c r="AD572" s="108" t="b">
        <f t="shared" ref="AD572:AI572" si="250">AD571</f>
        <v>0</v>
      </c>
      <c r="AE572" s="108" t="b">
        <f t="shared" si="250"/>
        <v>0</v>
      </c>
      <c r="AF572" s="108" t="b">
        <f t="shared" si="250"/>
        <v>0</v>
      </c>
      <c r="AG572" s="108" t="b">
        <f t="shared" si="250"/>
        <v>0</v>
      </c>
      <c r="AH572" s="108" t="b">
        <f t="shared" si="250"/>
        <v>0</v>
      </c>
      <c r="AI572" s="108" t="b">
        <f t="shared" si="250"/>
        <v>0</v>
      </c>
      <c r="AJ572" s="553" t="s">
        <v>2248</v>
      </c>
      <c r="AK572" s="663" t="str">
        <f>IF(AND(CNTR_ExistSubInstEntries,MSconst_RequireSubAttrEmissions,COUNTIFS(AC572:AI572,FALSE,H572:N572,"")&gt;0),EUconst_Error&amp;"BM"&amp;$Q315,"")</f>
        <v/>
      </c>
      <c r="AL572" s="2"/>
    </row>
    <row r="573" spans="1:38" ht="12.75" customHeight="1" x14ac:dyDescent="0.25">
      <c r="A573" s="2"/>
      <c r="B573" s="178"/>
      <c r="C573" s="779"/>
      <c r="D573" s="416" t="s">
        <v>1208</v>
      </c>
      <c r="E573" s="2613" t="str">
        <f>Translations!$B$636</f>
        <v>Importerad restgas</v>
      </c>
      <c r="F573" s="1997"/>
      <c r="G573" s="364" t="str">
        <f>EUconst_TJpa</f>
        <v>TJ / år</v>
      </c>
      <c r="H573" s="351" t="str">
        <f t="shared" ref="H573:N573" si="251">IF(COUNT(H571:H572)=2,H571*H572/1000,"")</f>
        <v/>
      </c>
      <c r="I573" s="1107" t="str">
        <f t="shared" si="251"/>
        <v/>
      </c>
      <c r="J573" s="1113" t="str">
        <f t="shared" si="251"/>
        <v/>
      </c>
      <c r="K573" s="351" t="str">
        <f t="shared" si="251"/>
        <v/>
      </c>
      <c r="L573" s="351" t="str">
        <f t="shared" si="251"/>
        <v/>
      </c>
      <c r="M573" s="351" t="str">
        <f t="shared" si="251"/>
        <v/>
      </c>
      <c r="N573" s="1148" t="str">
        <f t="shared" si="251"/>
        <v/>
      </c>
      <c r="O573" s="15"/>
      <c r="P573" s="15"/>
      <c r="Q573" s="165" t="str">
        <f>EUconst_CNTR_WGImport &amp; I315</f>
        <v>WasteGasIm_</v>
      </c>
      <c r="R573" s="2"/>
      <c r="S573" s="1751" t="str">
        <f>EUconst_ERR_AttrEmBMapplied &amp; I315</f>
        <v>ERR_AttrEmBM_</v>
      </c>
      <c r="T573" s="108">
        <f t="shared" ref="T573:Z573" si="252">IF(AND(H573&lt;&gt;"",EUconst_StatusOfDataCollection=FALSE),1,0)</f>
        <v>0</v>
      </c>
      <c r="U573" s="108">
        <f t="shared" si="252"/>
        <v>0</v>
      </c>
      <c r="V573" s="108">
        <f t="shared" si="252"/>
        <v>0</v>
      </c>
      <c r="W573" s="108">
        <f t="shared" si="252"/>
        <v>0</v>
      </c>
      <c r="X573" s="108">
        <f t="shared" si="252"/>
        <v>0</v>
      </c>
      <c r="Y573" s="108">
        <f t="shared" si="252"/>
        <v>0</v>
      </c>
      <c r="Z573" s="109">
        <f t="shared" si="252"/>
        <v>0</v>
      </c>
      <c r="AA573" s="2"/>
      <c r="AB573" s="2"/>
      <c r="AC573" s="2"/>
      <c r="AD573" s="2"/>
      <c r="AE573" s="2"/>
      <c r="AF573" s="2"/>
      <c r="AG573" s="2"/>
      <c r="AH573" s="2"/>
      <c r="AI573" s="2"/>
      <c r="AJ573" s="2"/>
      <c r="AK573" s="2"/>
      <c r="AL573" s="2"/>
    </row>
    <row r="574" spans="1:38" s="534" customFormat="1" ht="12.75" customHeight="1" thickBot="1" x14ac:dyDescent="0.3">
      <c r="A574" s="343"/>
      <c r="B574" s="178"/>
      <c r="C574" s="779"/>
      <c r="D574" s="416" t="s">
        <v>1209</v>
      </c>
      <c r="E574" s="2613" t="str">
        <f>Translations!$B$637</f>
        <v>Särskild emissionsfaktor (importerad restgas)</v>
      </c>
      <c r="F574" s="1997"/>
      <c r="G574" s="363" t="str">
        <f>EUconst_tCO2pTJ</f>
        <v>t CO2 / TJ</v>
      </c>
      <c r="H574" s="1315"/>
      <c r="I574" s="1316"/>
      <c r="J574" s="1317"/>
      <c r="K574" s="1315"/>
      <c r="L574" s="1315"/>
      <c r="M574" s="1315"/>
      <c r="N574" s="1318"/>
      <c r="O574" s="15"/>
      <c r="P574" s="1362"/>
      <c r="Q574" s="165" t="str">
        <f>EUconst_CNTR_WGImportEF &amp; I315</f>
        <v>WasteGasImEF_</v>
      </c>
      <c r="R574" s="343"/>
      <c r="S574" s="773" t="str">
        <f>EUconst_CNTR_AttributedEmissions &amp; I315</f>
        <v>AttrEmissions_</v>
      </c>
      <c r="T574" s="111" t="str">
        <f t="shared" ref="T574:Z574" si="253">IF(T323,SUM(H573)*EUconst_FuelBMvalue,"")</f>
        <v/>
      </c>
      <c r="U574" s="111" t="str">
        <f t="shared" si="253"/>
        <v/>
      </c>
      <c r="V574" s="111" t="str">
        <f t="shared" si="253"/>
        <v/>
      </c>
      <c r="W574" s="111" t="str">
        <f t="shared" si="253"/>
        <v/>
      </c>
      <c r="X574" s="111" t="str">
        <f t="shared" si="253"/>
        <v/>
      </c>
      <c r="Y574" s="111" t="str">
        <f t="shared" si="253"/>
        <v/>
      </c>
      <c r="Z574" s="112" t="str">
        <f t="shared" si="253"/>
        <v/>
      </c>
      <c r="AA574" s="343"/>
      <c r="AB574" s="672" t="s">
        <v>782</v>
      </c>
      <c r="AC574" s="108" t="b">
        <f>AC572</f>
        <v>0</v>
      </c>
      <c r="AD574" s="108" t="b">
        <f t="shared" ref="AD574:AI574" si="254">AD572</f>
        <v>0</v>
      </c>
      <c r="AE574" s="108" t="b">
        <f t="shared" si="254"/>
        <v>0</v>
      </c>
      <c r="AF574" s="108" t="b">
        <f t="shared" si="254"/>
        <v>0</v>
      </c>
      <c r="AG574" s="108" t="b">
        <f t="shared" si="254"/>
        <v>0</v>
      </c>
      <c r="AH574" s="108" t="b">
        <f t="shared" si="254"/>
        <v>0</v>
      </c>
      <c r="AI574" s="108" t="b">
        <f t="shared" si="254"/>
        <v>0</v>
      </c>
      <c r="AJ574" s="553" t="s">
        <v>2248</v>
      </c>
      <c r="AK574" s="663" t="str">
        <f>IF(AND(CNTR_ExistSubInstEntries,MSconst_RequireSubAttrEmissions,COUNTIFS(AC574:AI574,FALSE,H574:N574,"")&gt;0),EUconst_Error&amp;"BM"&amp;$Q315,"")</f>
        <v/>
      </c>
      <c r="AL574" s="2"/>
    </row>
    <row r="575" spans="1:38" ht="12.75" customHeight="1" x14ac:dyDescent="0.25">
      <c r="A575" s="2"/>
      <c r="B575" s="178"/>
      <c r="C575" s="779"/>
      <c r="D575" s="780"/>
      <c r="E575" s="780"/>
      <c r="F575" s="780"/>
      <c r="G575" s="780"/>
      <c r="H575" s="1805"/>
      <c r="I575" s="780"/>
      <c r="J575" s="780"/>
      <c r="K575" s="780"/>
      <c r="L575" s="780"/>
      <c r="M575" s="623"/>
      <c r="N575" s="519"/>
      <c r="O575" s="15"/>
      <c r="P575" s="15"/>
      <c r="Q575" s="343"/>
      <c r="R575" s="2"/>
      <c r="S575" s="343"/>
      <c r="T575" s="343"/>
      <c r="U575" s="343"/>
      <c r="V575" s="343"/>
      <c r="W575" s="2"/>
      <c r="X575" s="2"/>
      <c r="Y575" s="2"/>
      <c r="Z575" s="2"/>
      <c r="AA575" s="2"/>
      <c r="AB575" s="2"/>
      <c r="AC575" s="2"/>
      <c r="AD575" s="2"/>
      <c r="AE575" s="2"/>
      <c r="AF575" s="2"/>
      <c r="AG575" s="2"/>
      <c r="AH575" s="2"/>
      <c r="AI575" s="2"/>
      <c r="AJ575" s="2"/>
      <c r="AK575" s="2"/>
      <c r="AL575" s="2"/>
    </row>
    <row r="576" spans="1:38" ht="12.75" customHeight="1" x14ac:dyDescent="0.25">
      <c r="A576" s="2"/>
      <c r="B576" s="178"/>
      <c r="C576" s="779"/>
      <c r="D576" s="416" t="s">
        <v>1210</v>
      </c>
      <c r="E576" s="2614" t="str">
        <f>Translations!$B$638</f>
        <v>Exporterade restgastyper:</v>
      </c>
      <c r="F576" s="1960"/>
      <c r="G576" s="1960"/>
      <c r="H576" s="2520"/>
      <c r="I576" s="2621"/>
      <c r="J576" s="2510"/>
      <c r="K576" s="2510"/>
      <c r="L576" s="2510"/>
      <c r="M576" s="2511"/>
      <c r="N576" s="1807"/>
      <c r="O576" s="15"/>
      <c r="P576" s="1362"/>
      <c r="Q576" s="343"/>
      <c r="R576" s="2"/>
      <c r="S576" s="343"/>
      <c r="T576" s="2"/>
      <c r="U576" s="2"/>
      <c r="V576" s="2"/>
      <c r="W576" s="2"/>
      <c r="X576" s="2"/>
      <c r="Y576" s="2"/>
      <c r="Z576" s="2"/>
      <c r="AA576" s="2"/>
      <c r="AB576" s="2"/>
      <c r="AC576" s="672" t="s">
        <v>782</v>
      </c>
      <c r="AD576" s="108" t="b">
        <f>AD567</f>
        <v>0</v>
      </c>
      <c r="AE576" s="2"/>
      <c r="AF576" s="2"/>
      <c r="AG576" s="2"/>
      <c r="AH576" s="2"/>
      <c r="AI576" s="2"/>
      <c r="AJ576" s="2"/>
      <c r="AK576" s="2"/>
      <c r="AL576" s="2"/>
    </row>
    <row r="577" spans="1:38" ht="12.75" customHeight="1" x14ac:dyDescent="0.25">
      <c r="A577" s="2"/>
      <c r="B577" s="178"/>
      <c r="C577" s="779"/>
      <c r="D577" s="416"/>
      <c r="E577" s="2596" t="str">
        <f>Translations!$B$633</f>
        <v>De uppgifter som anges här påverkar de utsläpp som kan tillskrivas i enlighet med avsnitt 10.1.5 i bilaga VII till FAR.</v>
      </c>
      <c r="F577" s="1960"/>
      <c r="G577" s="1960"/>
      <c r="H577" s="1960"/>
      <c r="I577" s="1960"/>
      <c r="J577" s="1960"/>
      <c r="K577" s="1960"/>
      <c r="L577" s="1960"/>
      <c r="M577" s="1960"/>
      <c r="N577" s="2597"/>
      <c r="O577" s="15"/>
      <c r="P577" s="15"/>
      <c r="Q577" s="343"/>
      <c r="R577" s="2"/>
      <c r="S577" s="343"/>
      <c r="T577" s="343"/>
      <c r="U577" s="343"/>
      <c r="V577" s="343"/>
      <c r="W577" s="2"/>
      <c r="X577" s="2"/>
      <c r="Y577" s="2"/>
      <c r="Z577" s="2"/>
      <c r="AA577" s="2"/>
      <c r="AB577" s="2"/>
      <c r="AC577" s="2"/>
      <c r="AD577" s="2"/>
      <c r="AE577" s="2"/>
      <c r="AF577" s="2"/>
      <c r="AG577" s="2"/>
      <c r="AH577" s="2"/>
      <c r="AI577" s="2"/>
      <c r="AJ577" s="2"/>
      <c r="AK577" s="2"/>
      <c r="AL577" s="2"/>
    </row>
    <row r="578" spans="1:38" ht="25.5" customHeight="1" x14ac:dyDescent="0.25">
      <c r="A578" s="2"/>
      <c r="B578" s="178"/>
      <c r="C578" s="779"/>
      <c r="D578" s="416"/>
      <c r="E578" s="2610" t="str">
        <f>Translations!$B$639</f>
        <v>Detta innefattar alla restgastyper som produceras inom delanläggningens systemgränser och som exporteras från delanläggningen till en annan delanläggning samt till eventuella andra anläggningar eller enheter.</v>
      </c>
      <c r="F578" s="1960"/>
      <c r="G578" s="1960"/>
      <c r="H578" s="1960"/>
      <c r="I578" s="1960"/>
      <c r="J578" s="1960"/>
      <c r="K578" s="1960"/>
      <c r="L578" s="1960"/>
      <c r="M578" s="1960"/>
      <c r="N578" s="2597"/>
      <c r="O578" s="15"/>
      <c r="P578" s="15"/>
      <c r="Q578" s="343"/>
      <c r="R578" s="2"/>
      <c r="S578" s="343"/>
      <c r="T578" s="343"/>
      <c r="U578" s="343"/>
      <c r="V578" s="343"/>
      <c r="W578" s="2"/>
      <c r="X578" s="2"/>
      <c r="Y578" s="2"/>
      <c r="Z578" s="2"/>
      <c r="AA578" s="2"/>
      <c r="AB578" s="2"/>
      <c r="AC578" s="2"/>
      <c r="AD578" s="2"/>
      <c r="AE578" s="2"/>
      <c r="AF578" s="2"/>
      <c r="AG578" s="2"/>
      <c r="AH578" s="2"/>
      <c r="AI578" s="2"/>
      <c r="AJ578" s="2"/>
      <c r="AK578" s="2"/>
      <c r="AL578" s="2"/>
    </row>
    <row r="579" spans="1:38" ht="12.75" customHeight="1" thickBot="1" x14ac:dyDescent="0.3">
      <c r="A579" s="2"/>
      <c r="B579" s="178"/>
      <c r="C579" s="779"/>
      <c r="D579" s="780"/>
      <c r="E579" s="1716"/>
      <c r="F579" s="1717"/>
      <c r="G579" s="361" t="str">
        <f>EUconst_Unit</f>
        <v>Enhet</v>
      </c>
      <c r="H579" s="362">
        <f t="shared" ref="H579:N579" si="255">H$3042</f>
        <v>2019</v>
      </c>
      <c r="I579" s="1103">
        <f t="shared" si="255"/>
        <v>2020</v>
      </c>
      <c r="J579" s="1104">
        <f t="shared" si="255"/>
        <v>2021</v>
      </c>
      <c r="K579" s="362">
        <f t="shared" si="255"/>
        <v>2022</v>
      </c>
      <c r="L579" s="362">
        <f t="shared" si="255"/>
        <v>2023</v>
      </c>
      <c r="M579" s="362">
        <f t="shared" si="255"/>
        <v>2024</v>
      </c>
      <c r="N579" s="1141">
        <f t="shared" si="255"/>
        <v>2025</v>
      </c>
      <c r="O579" s="15"/>
      <c r="P579" s="15"/>
      <c r="Q579" s="343"/>
      <c r="R579" s="2"/>
      <c r="S579" s="343"/>
      <c r="T579" s="343"/>
      <c r="U579" s="343"/>
      <c r="V579" s="343"/>
      <c r="W579" s="2"/>
      <c r="X579" s="2"/>
      <c r="Y579" s="2"/>
      <c r="Z579" s="2"/>
      <c r="AA579" s="2"/>
      <c r="AB579" s="2"/>
      <c r="AC579" s="1044">
        <f t="shared" ref="AC579:AI579" si="256">H$20</f>
        <v>2019</v>
      </c>
      <c r="AD579" s="1044">
        <f t="shared" si="256"/>
        <v>2020</v>
      </c>
      <c r="AE579" s="1044">
        <f t="shared" si="256"/>
        <v>2021</v>
      </c>
      <c r="AF579" s="1044">
        <f t="shared" si="256"/>
        <v>2022</v>
      </c>
      <c r="AG579" s="1044">
        <f t="shared" si="256"/>
        <v>2023</v>
      </c>
      <c r="AH579" s="1044">
        <f t="shared" si="256"/>
        <v>2024</v>
      </c>
      <c r="AI579" s="1044">
        <f t="shared" si="256"/>
        <v>2025</v>
      </c>
      <c r="AJ579" s="2"/>
      <c r="AK579" s="2"/>
      <c r="AL579" s="2"/>
    </row>
    <row r="580" spans="1:38" ht="12.75" customHeight="1" x14ac:dyDescent="0.25">
      <c r="A580" s="2"/>
      <c r="B580" s="178"/>
      <c r="C580" s="779"/>
      <c r="D580" s="416" t="s">
        <v>1211</v>
      </c>
      <c r="E580" s="2611" t="str">
        <f>Translations!$B$640</f>
        <v>Exporterade mängder</v>
      </c>
      <c r="F580" s="2484"/>
      <c r="G580" s="1314"/>
      <c r="H580" s="1298"/>
      <c r="I580" s="1299"/>
      <c r="J580" s="1300"/>
      <c r="K580" s="1298"/>
      <c r="L580" s="1298"/>
      <c r="M580" s="1298"/>
      <c r="N580" s="1301"/>
      <c r="O580" s="15"/>
      <c r="P580" s="1362"/>
      <c r="Q580" s="343"/>
      <c r="R580" s="2"/>
      <c r="S580" s="343"/>
      <c r="T580" s="343"/>
      <c r="U580" s="343"/>
      <c r="V580" s="343"/>
      <c r="W580" s="2"/>
      <c r="X580" s="2"/>
      <c r="Y580" s="2"/>
      <c r="Z580" s="2"/>
      <c r="AA580" s="2"/>
      <c r="AB580" s="672" t="s">
        <v>782</v>
      </c>
      <c r="AC580" s="108" t="b">
        <f>AC527</f>
        <v>0</v>
      </c>
      <c r="AD580" s="108" t="b">
        <f t="shared" ref="AD580:AI580" si="257">AD527</f>
        <v>0</v>
      </c>
      <c r="AE580" s="108" t="b">
        <f t="shared" si="257"/>
        <v>0</v>
      </c>
      <c r="AF580" s="108" t="b">
        <f t="shared" si="257"/>
        <v>0</v>
      </c>
      <c r="AG580" s="108" t="b">
        <f t="shared" si="257"/>
        <v>0</v>
      </c>
      <c r="AH580" s="108" t="b">
        <f t="shared" si="257"/>
        <v>0</v>
      </c>
      <c r="AI580" s="108" t="b">
        <f t="shared" si="257"/>
        <v>0</v>
      </c>
      <c r="AJ580" s="553" t="s">
        <v>2248</v>
      </c>
      <c r="AK580" s="663" t="str">
        <f>IF(AND(CNTR_ExistSubInstEntries,MSconst_RequireSubAttrEmissions,COUNTIFS(AC580:AI580,FALSE,H580:N580,"")&gt;0),EUconst_Error&amp;"BM"&amp;$Q315,"")</f>
        <v/>
      </c>
      <c r="AL580" s="2"/>
    </row>
    <row r="581" spans="1:38" ht="12.75" customHeight="1" thickBot="1" x14ac:dyDescent="0.3">
      <c r="A581" s="2"/>
      <c r="B581" s="178"/>
      <c r="C581" s="779"/>
      <c r="D581" s="416" t="s">
        <v>1733</v>
      </c>
      <c r="E581" s="2612" t="str">
        <f>Translations!$B$318</f>
        <v>Effektivt värmevärde</v>
      </c>
      <c r="F581" s="2487"/>
      <c r="G581" s="51" t="str">
        <f>IF(ISBLANK(G580),EUconst_GJperUnit,INDEX(EUconst_GJperTorKNm3,MATCH(G580,EUconst_TonnesOrkNm3pa,0)))</f>
        <v>GJ / Enhet</v>
      </c>
      <c r="H581" s="1306"/>
      <c r="I581" s="1307"/>
      <c r="J581" s="1308"/>
      <c r="K581" s="1306"/>
      <c r="L581" s="1306"/>
      <c r="M581" s="1306"/>
      <c r="N581" s="1309"/>
      <c r="O581" s="15"/>
      <c r="P581" s="1362"/>
      <c r="Q581" s="343"/>
      <c r="R581" s="2"/>
      <c r="S581" s="343"/>
      <c r="T581" s="343"/>
      <c r="U581" s="343"/>
      <c r="V581" s="343"/>
      <c r="W581" s="2"/>
      <c r="X581" s="2"/>
      <c r="Y581" s="2"/>
      <c r="Z581" s="2"/>
      <c r="AA581" s="2"/>
      <c r="AB581" s="2"/>
      <c r="AC581" s="108" t="b">
        <f>AC580</f>
        <v>0</v>
      </c>
      <c r="AD581" s="108" t="b">
        <f t="shared" ref="AD581:AI581" si="258">AD580</f>
        <v>0</v>
      </c>
      <c r="AE581" s="108" t="b">
        <f t="shared" si="258"/>
        <v>0</v>
      </c>
      <c r="AF581" s="108" t="b">
        <f t="shared" si="258"/>
        <v>0</v>
      </c>
      <c r="AG581" s="108" t="b">
        <f t="shared" si="258"/>
        <v>0</v>
      </c>
      <c r="AH581" s="108" t="b">
        <f t="shared" si="258"/>
        <v>0</v>
      </c>
      <c r="AI581" s="108" t="b">
        <f t="shared" si="258"/>
        <v>0</v>
      </c>
      <c r="AJ581" s="553" t="s">
        <v>2248</v>
      </c>
      <c r="AK581" s="663" t="str">
        <f>IF(AND(CNTR_ExistSubInstEntries,MSconst_RequireSubAttrEmissions,COUNTIFS(AC581:AI581,FALSE,H581:N581,"")&gt;0),EUconst_Error&amp;"BM"&amp;$Q315,"")</f>
        <v/>
      </c>
      <c r="AL581" s="2"/>
    </row>
    <row r="582" spans="1:38" ht="12.75" customHeight="1" x14ac:dyDescent="0.25">
      <c r="A582" s="2"/>
      <c r="B582" s="178"/>
      <c r="C582" s="779"/>
      <c r="D582" s="416" t="s">
        <v>1787</v>
      </c>
      <c r="E582" s="2613" t="str">
        <f>Translations!$B$641</f>
        <v>Exporterad restgas</v>
      </c>
      <c r="F582" s="1997"/>
      <c r="G582" s="364" t="str">
        <f>EUconst_TJpa</f>
        <v>TJ / år</v>
      </c>
      <c r="H582" s="351" t="str">
        <f t="shared" ref="H582:N582" si="259">IF(COUNT(H580:H581)=2,H580*H581/1000,"")</f>
        <v/>
      </c>
      <c r="I582" s="1107" t="str">
        <f t="shared" si="259"/>
        <v/>
      </c>
      <c r="J582" s="1113" t="str">
        <f t="shared" si="259"/>
        <v/>
      </c>
      <c r="K582" s="351" t="str">
        <f t="shared" si="259"/>
        <v/>
      </c>
      <c r="L582" s="351" t="str">
        <f t="shared" si="259"/>
        <v/>
      </c>
      <c r="M582" s="351" t="str">
        <f t="shared" si="259"/>
        <v/>
      </c>
      <c r="N582" s="1148" t="str">
        <f t="shared" si="259"/>
        <v/>
      </c>
      <c r="O582" s="15"/>
      <c r="P582" s="15"/>
      <c r="Q582" s="165" t="str">
        <f>EUconst_CNTR_WGExport &amp; I315</f>
        <v>WasteGasEx_</v>
      </c>
      <c r="R582" s="2"/>
      <c r="S582" s="772"/>
      <c r="T582" s="609">
        <f t="shared" ref="T582:Z582" si="260">H579</f>
        <v>2019</v>
      </c>
      <c r="U582" s="609">
        <f t="shared" si="260"/>
        <v>2020</v>
      </c>
      <c r="V582" s="609">
        <f t="shared" si="260"/>
        <v>2021</v>
      </c>
      <c r="W582" s="609">
        <f t="shared" si="260"/>
        <v>2022</v>
      </c>
      <c r="X582" s="609">
        <f t="shared" si="260"/>
        <v>2023</v>
      </c>
      <c r="Y582" s="609">
        <f t="shared" si="260"/>
        <v>2024</v>
      </c>
      <c r="Z582" s="610">
        <f t="shared" si="260"/>
        <v>2025</v>
      </c>
      <c r="AA582" s="2"/>
      <c r="AB582" s="2"/>
      <c r="AC582" s="2"/>
      <c r="AD582" s="2"/>
      <c r="AE582" s="2"/>
      <c r="AF582" s="2"/>
      <c r="AG582" s="2"/>
      <c r="AH582" s="2"/>
      <c r="AI582" s="2"/>
      <c r="AJ582" s="2"/>
      <c r="AK582" s="2"/>
      <c r="AL582" s="2"/>
    </row>
    <row r="583" spans="1:38" s="534" customFormat="1" ht="12.75" customHeight="1" thickBot="1" x14ac:dyDescent="0.3">
      <c r="A583" s="2"/>
      <c r="B583" s="178"/>
      <c r="C583" s="779"/>
      <c r="D583" s="416" t="s">
        <v>1788</v>
      </c>
      <c r="E583" s="2613" t="str">
        <f>Translations!$B$642</f>
        <v>Särskild emissionsfaktor (exporterad restgas)</v>
      </c>
      <c r="F583" s="1997"/>
      <c r="G583" s="363" t="str">
        <f>EUconst_tCO2pTJ</f>
        <v>t CO2 / TJ</v>
      </c>
      <c r="H583" s="1315"/>
      <c r="I583" s="1316"/>
      <c r="J583" s="1317"/>
      <c r="K583" s="1315"/>
      <c r="L583" s="1315"/>
      <c r="M583" s="1315"/>
      <c r="N583" s="1318"/>
      <c r="O583" s="15"/>
      <c r="P583" s="1362"/>
      <c r="Q583" s="165" t="str">
        <f>EUconst_CNTR_WGExportEF &amp; I315</f>
        <v>WasteGasExEF_</v>
      </c>
      <c r="R583" s="343"/>
      <c r="S583" s="773" t="str">
        <f>EUconst_CNTR_AttributedEmissions &amp; I315</f>
        <v>AttrEmissions_</v>
      </c>
      <c r="T583" s="111" t="str">
        <f t="shared" ref="T583:Z583" si="261">IF(T323,-SUM(H582)*EUconst_NGEFvalue*EUconst_WasteGasCorrFactor,"")</f>
        <v/>
      </c>
      <c r="U583" s="111" t="str">
        <f t="shared" si="261"/>
        <v/>
      </c>
      <c r="V583" s="111" t="str">
        <f t="shared" si="261"/>
        <v/>
      </c>
      <c r="W583" s="111" t="str">
        <f t="shared" si="261"/>
        <v/>
      </c>
      <c r="X583" s="111" t="str">
        <f t="shared" si="261"/>
        <v/>
      </c>
      <c r="Y583" s="111" t="str">
        <f t="shared" si="261"/>
        <v/>
      </c>
      <c r="Z583" s="112" t="str">
        <f t="shared" si="261"/>
        <v/>
      </c>
      <c r="AA583" s="343"/>
      <c r="AB583" s="672" t="s">
        <v>782</v>
      </c>
      <c r="AC583" s="108" t="b">
        <f t="shared" ref="AC583:AI583" si="262">AC530</f>
        <v>0</v>
      </c>
      <c r="AD583" s="108" t="b">
        <f t="shared" si="262"/>
        <v>0</v>
      </c>
      <c r="AE583" s="108" t="b">
        <f t="shared" si="262"/>
        <v>0</v>
      </c>
      <c r="AF583" s="108" t="b">
        <f t="shared" si="262"/>
        <v>0</v>
      </c>
      <c r="AG583" s="108" t="b">
        <f t="shared" si="262"/>
        <v>0</v>
      </c>
      <c r="AH583" s="108" t="b">
        <f t="shared" si="262"/>
        <v>0</v>
      </c>
      <c r="AI583" s="108" t="b">
        <f t="shared" si="262"/>
        <v>0</v>
      </c>
      <c r="AJ583" s="553" t="s">
        <v>2248</v>
      </c>
      <c r="AK583" s="663" t="str">
        <f>IF(AND(CNTR_ExistSubInstEntries,MSconst_RequireSubAttrEmissions,COUNTIFS(AC583:AI583,FALSE,H583:N583,"")&gt;0),EUconst_Error&amp;"BM"&amp;$Q315,"")</f>
        <v/>
      </c>
      <c r="AL583" s="2"/>
    </row>
    <row r="584" spans="1:38" ht="12.75" customHeight="1" x14ac:dyDescent="0.25">
      <c r="A584" s="2"/>
      <c r="B584" s="178"/>
      <c r="C584" s="779"/>
      <c r="D584" s="780"/>
      <c r="E584" s="780"/>
      <c r="F584" s="780"/>
      <c r="G584" s="780"/>
      <c r="H584" s="780"/>
      <c r="I584" s="1805"/>
      <c r="J584" s="780"/>
      <c r="K584" s="780"/>
      <c r="L584" s="780"/>
      <c r="M584" s="780"/>
      <c r="N584" s="519"/>
      <c r="O584" s="15"/>
      <c r="P584" s="15"/>
      <c r="Q584" s="343"/>
      <c r="R584" s="2"/>
      <c r="S584" s="343"/>
      <c r="T584" s="2"/>
      <c r="U584" s="2"/>
      <c r="V584" s="2"/>
      <c r="W584" s="2"/>
      <c r="X584" s="2"/>
      <c r="Y584" s="2"/>
      <c r="Z584" s="2"/>
      <c r="AA584" s="2"/>
      <c r="AB584" s="2"/>
      <c r="AC584" s="2"/>
      <c r="AD584" s="2"/>
      <c r="AE584" s="2"/>
      <c r="AF584" s="2"/>
      <c r="AG584" s="2"/>
      <c r="AH584" s="2"/>
      <c r="AI584" s="2"/>
      <c r="AJ584" s="2"/>
      <c r="AK584" s="2"/>
      <c r="AL584" s="2"/>
    </row>
    <row r="585" spans="1:38" ht="12.75" customHeight="1" x14ac:dyDescent="0.25">
      <c r="A585" s="2"/>
      <c r="B585" s="178"/>
      <c r="C585" s="779"/>
      <c r="D585" s="373" t="s">
        <v>527</v>
      </c>
      <c r="E585" s="2614" t="str">
        <f>Translations!$B$268</f>
        <v>Elproduktion</v>
      </c>
      <c r="F585" s="1960"/>
      <c r="G585" s="1960"/>
      <c r="H585" s="1960"/>
      <c r="I585" s="1960"/>
      <c r="J585" s="1960"/>
      <c r="K585" s="1960"/>
      <c r="L585" s="1960"/>
      <c r="M585" s="1960"/>
      <c r="N585" s="2597"/>
      <c r="O585" s="15"/>
      <c r="P585" s="15"/>
      <c r="Q585" s="343"/>
      <c r="R585" s="2"/>
      <c r="S585" s="343"/>
      <c r="T585" s="2"/>
      <c r="U585" s="2"/>
      <c r="V585" s="2"/>
      <c r="W585" s="2"/>
      <c r="X585" s="2"/>
      <c r="Y585" s="2"/>
      <c r="Z585" s="2"/>
      <c r="AA585" s="2"/>
      <c r="AB585" s="2"/>
      <c r="AC585" s="2"/>
      <c r="AD585" s="2"/>
      <c r="AE585" s="2"/>
      <c r="AF585" s="2"/>
      <c r="AG585" s="2"/>
      <c r="AH585" s="2"/>
      <c r="AI585" s="2"/>
      <c r="AJ585" s="2"/>
      <c r="AK585" s="2"/>
      <c r="AL585" s="2"/>
    </row>
    <row r="586" spans="1:38" ht="12.75" customHeight="1" x14ac:dyDescent="0.25">
      <c r="A586" s="2"/>
      <c r="B586" s="178"/>
      <c r="C586" s="779"/>
      <c r="D586" s="416"/>
      <c r="E586" s="2596" t="str">
        <f>Translations!$B$643</f>
        <v>De uppgifter som anges här påverkar de utsläpp som kan tillskrivas i enlighet med kapitel 10 i bilaga VII till FAR.</v>
      </c>
      <c r="F586" s="1960"/>
      <c r="G586" s="1960"/>
      <c r="H586" s="1960"/>
      <c r="I586" s="1960"/>
      <c r="J586" s="1960"/>
      <c r="K586" s="1960"/>
      <c r="L586" s="1960"/>
      <c r="M586" s="1960"/>
      <c r="N586" s="2597"/>
      <c r="O586" s="15"/>
      <c r="P586" s="15"/>
      <c r="Q586" s="343"/>
      <c r="R586" s="2"/>
      <c r="S586" s="343"/>
      <c r="T586" s="343"/>
      <c r="U586" s="343"/>
      <c r="V586" s="343"/>
      <c r="W586" s="2"/>
      <c r="X586" s="2"/>
      <c r="Y586" s="2"/>
      <c r="Z586" s="2"/>
      <c r="AA586" s="2"/>
      <c r="AB586" s="2"/>
      <c r="AC586" s="2"/>
      <c r="AD586" s="2"/>
      <c r="AE586" s="2"/>
      <c r="AF586" s="2"/>
      <c r="AG586" s="2"/>
      <c r="AH586" s="2"/>
      <c r="AI586" s="2"/>
      <c r="AJ586" s="2"/>
      <c r="AK586" s="2"/>
      <c r="AL586" s="2"/>
    </row>
    <row r="587" spans="1:38" ht="25.5" customHeight="1" thickBot="1" x14ac:dyDescent="0.3">
      <c r="A587" s="2"/>
      <c r="B587" s="178"/>
      <c r="C587" s="779"/>
      <c r="D587" s="780"/>
      <c r="E587" s="2610" t="str">
        <f>Translations!$B$644</f>
        <v>Detta innefattar el som produceras direkt från delanläggningen i enlighet med avsnitt 3.1 (i) i bilaga IV till FAR. El som produceras via intermediär mätbar värme bör inte anges här utan som export av mätbar värme i punkt k.v ovan.</v>
      </c>
      <c r="F587" s="1960"/>
      <c r="G587" s="1960"/>
      <c r="H587" s="1960"/>
      <c r="I587" s="1960"/>
      <c r="J587" s="1960"/>
      <c r="K587" s="1960"/>
      <c r="L587" s="1960"/>
      <c r="M587" s="1960"/>
      <c r="N587" s="2597"/>
      <c r="O587" s="15"/>
      <c r="P587" s="15"/>
      <c r="Q587" s="343"/>
      <c r="R587" s="2"/>
      <c r="S587" s="343"/>
      <c r="T587" s="2"/>
      <c r="U587" s="2"/>
      <c r="V587" s="2"/>
      <c r="W587" s="2"/>
      <c r="X587" s="2"/>
      <c r="Y587" s="2"/>
      <c r="Z587" s="2"/>
      <c r="AA587" s="2"/>
      <c r="AB587" s="2"/>
      <c r="AC587" s="2"/>
      <c r="AD587" s="2"/>
      <c r="AE587" s="2"/>
      <c r="AF587" s="2"/>
      <c r="AG587" s="2"/>
      <c r="AH587" s="2"/>
      <c r="AI587" s="2"/>
      <c r="AJ587" s="2"/>
      <c r="AK587" s="2"/>
      <c r="AL587" s="2"/>
    </row>
    <row r="588" spans="1:38" ht="12.75" customHeight="1" thickBot="1" x14ac:dyDescent="0.3">
      <c r="A588" s="2"/>
      <c r="B588" s="178"/>
      <c r="C588" s="779"/>
      <c r="D588" s="373"/>
      <c r="E588" s="1716"/>
      <c r="F588" s="1717"/>
      <c r="G588" s="361" t="str">
        <f>EUconst_Unit</f>
        <v>Enhet</v>
      </c>
      <c r="H588" s="362">
        <f t="shared" ref="H588:N588" si="263">H$3042</f>
        <v>2019</v>
      </c>
      <c r="I588" s="1103">
        <f t="shared" si="263"/>
        <v>2020</v>
      </c>
      <c r="J588" s="1104">
        <f t="shared" si="263"/>
        <v>2021</v>
      </c>
      <c r="K588" s="362">
        <f t="shared" si="263"/>
        <v>2022</v>
      </c>
      <c r="L588" s="362">
        <f t="shared" si="263"/>
        <v>2023</v>
      </c>
      <c r="M588" s="362">
        <f t="shared" si="263"/>
        <v>2024</v>
      </c>
      <c r="N588" s="1141">
        <f t="shared" si="263"/>
        <v>2025</v>
      </c>
      <c r="O588" s="15"/>
      <c r="P588" s="15"/>
      <c r="Q588" s="343"/>
      <c r="R588" s="2"/>
      <c r="S588" s="772"/>
      <c r="T588" s="609">
        <f t="shared" ref="T588:Z588" si="264">H588</f>
        <v>2019</v>
      </c>
      <c r="U588" s="609">
        <f t="shared" si="264"/>
        <v>2020</v>
      </c>
      <c r="V588" s="609">
        <f t="shared" si="264"/>
        <v>2021</v>
      </c>
      <c r="W588" s="609">
        <f t="shared" si="264"/>
        <v>2022</v>
      </c>
      <c r="X588" s="609">
        <f t="shared" si="264"/>
        <v>2023</v>
      </c>
      <c r="Y588" s="609">
        <f t="shared" si="264"/>
        <v>2024</v>
      </c>
      <c r="Z588" s="610">
        <f t="shared" si="264"/>
        <v>2025</v>
      </c>
      <c r="AA588" s="2"/>
      <c r="AB588" s="2"/>
      <c r="AC588" s="1044">
        <f t="shared" ref="AC588:AI588" si="265">H$20</f>
        <v>2019</v>
      </c>
      <c r="AD588" s="1044">
        <f t="shared" si="265"/>
        <v>2020</v>
      </c>
      <c r="AE588" s="1044">
        <f t="shared" si="265"/>
        <v>2021</v>
      </c>
      <c r="AF588" s="1044">
        <f t="shared" si="265"/>
        <v>2022</v>
      </c>
      <c r="AG588" s="1044">
        <f t="shared" si="265"/>
        <v>2023</v>
      </c>
      <c r="AH588" s="1044">
        <f t="shared" si="265"/>
        <v>2024</v>
      </c>
      <c r="AI588" s="1044">
        <f t="shared" si="265"/>
        <v>2025</v>
      </c>
      <c r="AJ588" s="2"/>
      <c r="AK588" s="2"/>
      <c r="AL588" s="2"/>
    </row>
    <row r="589" spans="1:38" ht="12.75" customHeight="1" thickBot="1" x14ac:dyDescent="0.3">
      <c r="A589" s="2"/>
      <c r="B589" s="178"/>
      <c r="C589" s="779"/>
      <c r="D589" s="416"/>
      <c r="E589" s="2613" t="str">
        <f>Translations!$B$645</f>
        <v>Producerad el</v>
      </c>
      <c r="F589" s="1997"/>
      <c r="G589" s="364" t="str">
        <f>EUconst_MWhpa</f>
        <v>MWh / år</v>
      </c>
      <c r="H589" s="582"/>
      <c r="I589" s="1105"/>
      <c r="J589" s="1115"/>
      <c r="K589" s="582"/>
      <c r="L589" s="582"/>
      <c r="M589" s="582"/>
      <c r="N589" s="1146"/>
      <c r="O589" s="15"/>
      <c r="P589" s="1362"/>
      <c r="Q589" s="165" t="str">
        <f>EUconst_CNTR_ElectricityExported &amp; I315</f>
        <v>ElecEx_</v>
      </c>
      <c r="R589" s="2"/>
      <c r="S589" s="773" t="str">
        <f>EUconst_CNTR_AttributedEmissions &amp; I315</f>
        <v>AttrEmissions_</v>
      </c>
      <c r="T589" s="111" t="str">
        <f t="shared" ref="T589:Z589" si="266">IF(T323,-SUM(H589)*EUconst_ElBM,"")</f>
        <v/>
      </c>
      <c r="U589" s="111" t="str">
        <f t="shared" si="266"/>
        <v/>
      </c>
      <c r="V589" s="111" t="str">
        <f t="shared" si="266"/>
        <v/>
      </c>
      <c r="W589" s="111" t="str">
        <f t="shared" si="266"/>
        <v/>
      </c>
      <c r="X589" s="111" t="str">
        <f t="shared" si="266"/>
        <v/>
      </c>
      <c r="Y589" s="111" t="str">
        <f t="shared" si="266"/>
        <v/>
      </c>
      <c r="Z589" s="112" t="str">
        <f t="shared" si="266"/>
        <v/>
      </c>
      <c r="AA589" s="2"/>
      <c r="AB589" s="672" t="s">
        <v>782</v>
      </c>
      <c r="AC589" s="108" t="b">
        <f>AC385</f>
        <v>0</v>
      </c>
      <c r="AD589" s="108" t="b">
        <f t="shared" ref="AD589:AI589" si="267">AD385</f>
        <v>0</v>
      </c>
      <c r="AE589" s="108" t="b">
        <f t="shared" si="267"/>
        <v>0</v>
      </c>
      <c r="AF589" s="108" t="b">
        <f t="shared" si="267"/>
        <v>0</v>
      </c>
      <c r="AG589" s="108" t="b">
        <f t="shared" si="267"/>
        <v>0</v>
      </c>
      <c r="AH589" s="108" t="b">
        <f t="shared" si="267"/>
        <v>0</v>
      </c>
      <c r="AI589" s="108" t="b">
        <f t="shared" si="267"/>
        <v>0</v>
      </c>
      <c r="AJ589" s="553" t="s">
        <v>2248</v>
      </c>
      <c r="AK589" s="663" t="str">
        <f>IF(AND(CNTR_ExistSubInstEntries,MSconst_RequireSubAttrEmissions,COUNTIFS(AC589:AI589,FALSE,H589:N589,"")&gt;0),EUconst_Error&amp;"BM"&amp;$Q315,"")</f>
        <v/>
      </c>
      <c r="AL589" s="2"/>
    </row>
    <row r="590" spans="1:38" ht="12.75" customHeight="1" x14ac:dyDescent="0.25">
      <c r="A590" s="2"/>
      <c r="B590" s="178"/>
      <c r="C590" s="779"/>
      <c r="D590" s="780"/>
      <c r="E590" s="780"/>
      <c r="F590" s="780"/>
      <c r="G590" s="780"/>
      <c r="H590" s="780"/>
      <c r="I590" s="1805"/>
      <c r="J590" s="780"/>
      <c r="K590" s="780"/>
      <c r="L590" s="780"/>
      <c r="M590" s="780"/>
      <c r="N590" s="519"/>
      <c r="O590" s="15"/>
      <c r="P590" s="15"/>
      <c r="Q590" s="343"/>
      <c r="R590" s="2"/>
      <c r="S590" s="343"/>
      <c r="T590" s="2"/>
      <c r="U590" s="2"/>
      <c r="V590" s="343"/>
      <c r="W590" s="2"/>
      <c r="X590" s="2"/>
      <c r="Y590" s="2"/>
      <c r="Z590" s="2"/>
      <c r="AA590" s="2"/>
      <c r="AB590" s="2"/>
      <c r="AC590" s="2"/>
      <c r="AD590" s="2"/>
      <c r="AE590" s="2"/>
      <c r="AF590" s="2"/>
      <c r="AG590" s="2"/>
      <c r="AH590" s="2"/>
      <c r="AI590" s="2"/>
      <c r="AJ590" s="2"/>
      <c r="AK590" s="2"/>
      <c r="AL590" s="2"/>
    </row>
    <row r="591" spans="1:38" ht="12.75" customHeight="1" x14ac:dyDescent="0.25">
      <c r="A591" s="2"/>
      <c r="B591" s="178"/>
      <c r="C591" s="779"/>
      <c r="D591" s="373" t="s">
        <v>271</v>
      </c>
      <c r="E591" s="2614" t="str">
        <f>Translations!$B$646</f>
        <v>Total producerad massamängd</v>
      </c>
      <c r="F591" s="1960"/>
      <c r="G591" s="1960"/>
      <c r="H591" s="1960"/>
      <c r="I591" s="1960"/>
      <c r="J591" s="1960"/>
      <c r="K591" s="1960"/>
      <c r="L591" s="1960"/>
      <c r="M591" s="1960"/>
      <c r="N591" s="2597"/>
      <c r="O591" s="15"/>
      <c r="P591" s="15"/>
      <c r="Q591" s="2"/>
      <c r="R591" s="2"/>
      <c r="S591" s="2"/>
      <c r="T591" s="2"/>
      <c r="U591" s="2"/>
      <c r="V591" s="343"/>
      <c r="W591" s="2"/>
      <c r="X591" s="2"/>
      <c r="Y591" s="2"/>
      <c r="Z591" s="2"/>
      <c r="AA591" s="2"/>
      <c r="AB591" s="2"/>
      <c r="AC591" s="2"/>
      <c r="AD591" s="2"/>
      <c r="AE591" s="2"/>
      <c r="AF591" s="2"/>
      <c r="AG591" s="2"/>
      <c r="AH591" s="2"/>
      <c r="AI591" s="2"/>
      <c r="AJ591" s="2"/>
      <c r="AK591" s="2"/>
      <c r="AL591" s="2"/>
    </row>
    <row r="592" spans="1:38" ht="25.5" customHeight="1" x14ac:dyDescent="0.25">
      <c r="A592" s="2"/>
      <c r="B592" s="178"/>
      <c r="C592" s="779"/>
      <c r="D592" s="780"/>
      <c r="E592" s="2610" t="str">
        <f>Translations!$B$647</f>
        <v>Enligt avsnitt 2.7 k i bilaga IV till FAR ska det lämnas uppgift om den totala mängden massa som produceras för delanläggningar med produktriktmärke för kortfibrig sulfatmassa, långfibrig sulfatmassa, termomekanisk massa och mekanisk massa samt sulfitmassa.</v>
      </c>
      <c r="F592" s="1960"/>
      <c r="G592" s="1960"/>
      <c r="H592" s="1960"/>
      <c r="I592" s="1960"/>
      <c r="J592" s="1960"/>
      <c r="K592" s="1960"/>
      <c r="L592" s="1960"/>
      <c r="M592" s="1960"/>
      <c r="N592" s="2597"/>
      <c r="O592" s="15"/>
      <c r="P592" s="15"/>
      <c r="Q592" s="343"/>
      <c r="R592" s="2"/>
      <c r="S592" s="343"/>
      <c r="T592" s="2"/>
      <c r="U592" s="2"/>
      <c r="V592" s="343"/>
      <c r="W592" s="2"/>
      <c r="X592" s="2"/>
      <c r="Y592" s="2"/>
      <c r="Z592" s="2"/>
      <c r="AA592" s="2"/>
      <c r="AB592" s="2"/>
      <c r="AC592" s="2"/>
      <c r="AD592" s="2"/>
      <c r="AE592" s="2"/>
      <c r="AF592" s="2"/>
      <c r="AG592" s="2"/>
      <c r="AH592" s="2"/>
      <c r="AI592" s="2"/>
      <c r="AJ592" s="2"/>
      <c r="AK592" s="2"/>
      <c r="AL592" s="2"/>
    </row>
    <row r="593" spans="1:38" ht="12.75" customHeight="1" x14ac:dyDescent="0.25">
      <c r="A593" s="2"/>
      <c r="B593" s="178"/>
      <c r="C593" s="779"/>
      <c r="D593" s="780"/>
      <c r="E593" s="2610" t="str">
        <f>Translations!$B$648</f>
        <v>Avsnittet kommer att gråmarkeras om det inte rör sig om någon massaproducerande delanläggning av dessa slag. Var god gå vidare till nedanstående punkter, i sådana fall.</v>
      </c>
      <c r="F593" s="1960"/>
      <c r="G593" s="1960"/>
      <c r="H593" s="1960"/>
      <c r="I593" s="1960"/>
      <c r="J593" s="1960"/>
      <c r="K593" s="1960"/>
      <c r="L593" s="1960"/>
      <c r="M593" s="1960"/>
      <c r="N593" s="2597"/>
      <c r="O593" s="15"/>
      <c r="P593" s="15"/>
      <c r="Q593" s="343"/>
      <c r="R593" s="2"/>
      <c r="S593" s="343"/>
      <c r="T593" s="2"/>
      <c r="U593" s="2"/>
      <c r="V593" s="343"/>
      <c r="W593" s="2"/>
      <c r="X593" s="2"/>
      <c r="Y593" s="2"/>
      <c r="Z593" s="2"/>
      <c r="AA593" s="2"/>
      <c r="AB593" s="2"/>
      <c r="AC593" s="2"/>
      <c r="AD593" s="2"/>
      <c r="AE593" s="2"/>
      <c r="AF593" s="2"/>
      <c r="AG593" s="2"/>
      <c r="AH593" s="2"/>
      <c r="AI593" s="2"/>
      <c r="AJ593" s="2"/>
      <c r="AK593" s="2"/>
      <c r="AL593" s="2"/>
    </row>
    <row r="594" spans="1:38" ht="12.75" customHeight="1" thickBot="1" x14ac:dyDescent="0.3">
      <c r="A594" s="2"/>
      <c r="B594" s="178"/>
      <c r="C594" s="779"/>
      <c r="D594" s="416"/>
      <c r="E594" s="2615" t="str">
        <f>Translations!$B$649</f>
        <v>De uppgifter som anges här är relevanta för uppdateringen av det särskilda riktmärket för massa.</v>
      </c>
      <c r="F594" s="2497"/>
      <c r="G594" s="2497"/>
      <c r="H594" s="2497"/>
      <c r="I594" s="2497"/>
      <c r="J594" s="2497"/>
      <c r="K594" s="2497"/>
      <c r="L594" s="2497"/>
      <c r="M594" s="2497"/>
      <c r="N594" s="2616"/>
      <c r="O594" s="15"/>
      <c r="P594" s="15"/>
      <c r="Q594" s="343"/>
      <c r="R594" s="2"/>
      <c r="S594" s="343"/>
      <c r="T594" s="2"/>
      <c r="U594" s="2"/>
      <c r="V594" s="343"/>
      <c r="W594" s="2"/>
      <c r="X594" s="2"/>
      <c r="Y594" s="2"/>
      <c r="Z594" s="2"/>
      <c r="AA594" s="2"/>
      <c r="AB594" s="2"/>
      <c r="AC594" s="1044">
        <f t="shared" ref="AC594:AI594" si="268">H$20</f>
        <v>2019</v>
      </c>
      <c r="AD594" s="1044">
        <f t="shared" si="268"/>
        <v>2020</v>
      </c>
      <c r="AE594" s="1044">
        <f t="shared" si="268"/>
        <v>2021</v>
      </c>
      <c r="AF594" s="1044">
        <f t="shared" si="268"/>
        <v>2022</v>
      </c>
      <c r="AG594" s="1044">
        <f t="shared" si="268"/>
        <v>2023</v>
      </c>
      <c r="AH594" s="1044">
        <f t="shared" si="268"/>
        <v>2024</v>
      </c>
      <c r="AI594" s="1044">
        <f t="shared" si="268"/>
        <v>2025</v>
      </c>
      <c r="AJ594" s="2"/>
      <c r="AK594" s="2"/>
      <c r="AL594" s="2"/>
    </row>
    <row r="595" spans="1:38" ht="12.75" customHeight="1" x14ac:dyDescent="0.25">
      <c r="A595" s="2"/>
      <c r="B595" s="178"/>
      <c r="C595" s="779"/>
      <c r="D595" s="416"/>
      <c r="E595" s="2617" t="str">
        <f>IF(I315="","",IF(INDEX(EUconst_BMlistPulp,MATCH(I315,EUconst_BMlistNames,0)),I315,""))</f>
        <v/>
      </c>
      <c r="F595" s="1997"/>
      <c r="G595" s="364" t="str">
        <f>EUconst_Tons</f>
        <v>ton</v>
      </c>
      <c r="H595" s="582"/>
      <c r="I595" s="1105"/>
      <c r="J595" s="1115"/>
      <c r="K595" s="582"/>
      <c r="L595" s="582"/>
      <c r="M595" s="582"/>
      <c r="N595" s="1146"/>
      <c r="O595" s="15"/>
      <c r="P595" s="1362"/>
      <c r="Q595" s="165" t="str">
        <f>EUconst_CNTR_HALPulpTotal &amp; I315</f>
        <v>HALPulpTotal_</v>
      </c>
      <c r="R595" s="2"/>
      <c r="S595" s="343"/>
      <c r="T595" s="2"/>
      <c r="U595" s="2"/>
      <c r="V595" s="2"/>
      <c r="W595" s="2"/>
      <c r="X595" s="2"/>
      <c r="Y595" s="2"/>
      <c r="Z595" s="2"/>
      <c r="AA595" s="2"/>
      <c r="AB595" s="672" t="s">
        <v>782</v>
      </c>
      <c r="AC595" s="1196" t="b">
        <f t="shared" ref="AC595:AI595" si="269">IF($I315&lt;&gt;"",IF(INDEX(EUconst_BMlistPulp,MATCH($I315,EUconst_BMlistNames,0))=TRUE,FALSE,TRUE),AC385)</f>
        <v>0</v>
      </c>
      <c r="AD595" s="108" t="b">
        <f t="shared" si="269"/>
        <v>0</v>
      </c>
      <c r="AE595" s="108" t="b">
        <f t="shared" si="269"/>
        <v>0</v>
      </c>
      <c r="AF595" s="108" t="b">
        <f t="shared" si="269"/>
        <v>0</v>
      </c>
      <c r="AG595" s="108" t="b">
        <f t="shared" si="269"/>
        <v>0</v>
      </c>
      <c r="AH595" s="108" t="b">
        <f t="shared" si="269"/>
        <v>0</v>
      </c>
      <c r="AI595" s="108" t="b">
        <f t="shared" si="269"/>
        <v>0</v>
      </c>
      <c r="AJ595" s="553" t="s">
        <v>2248</v>
      </c>
      <c r="AK595" s="663" t="str">
        <f>IF(AND(CNTR_ExistSubInstEntries,MSconst_RequireSubAttrEmissions,COUNTIFS(AC595:AI595,FALSE,H595:N595,"")&gt;0),EUconst_Error&amp;"BM"&amp;$Q315,"")</f>
        <v/>
      </c>
      <c r="AL595" s="2"/>
    </row>
    <row r="596" spans="1:38" ht="12.75" customHeight="1" x14ac:dyDescent="0.25">
      <c r="A596" s="2"/>
      <c r="B596" s="178"/>
      <c r="C596" s="779"/>
      <c r="D596" s="416"/>
      <c r="E596" s="416"/>
      <c r="F596" s="416"/>
      <c r="G596" s="416"/>
      <c r="H596" s="1805"/>
      <c r="I596" s="416"/>
      <c r="J596" s="416"/>
      <c r="K596" s="416"/>
      <c r="L596" s="416"/>
      <c r="M596" s="416"/>
      <c r="N596" s="1810"/>
      <c r="O596" s="15"/>
      <c r="P596" s="15"/>
      <c r="Q596" s="343"/>
      <c r="R596" s="2"/>
      <c r="S596" s="343"/>
      <c r="T596" s="2"/>
      <c r="U596" s="2"/>
      <c r="V596" s="343"/>
      <c r="W596" s="2"/>
      <c r="X596" s="2"/>
      <c r="Y596" s="2"/>
      <c r="Z596" s="2"/>
      <c r="AA596" s="2"/>
      <c r="AB596" s="2"/>
      <c r="AC596" s="2"/>
      <c r="AD596" s="2"/>
      <c r="AE596" s="2"/>
      <c r="AF596" s="2"/>
      <c r="AG596" s="2"/>
      <c r="AH596" s="2"/>
      <c r="AI596" s="2"/>
      <c r="AJ596" s="2"/>
      <c r="AK596" s="2"/>
      <c r="AL596" s="2"/>
    </row>
    <row r="597" spans="1:38" ht="12.75" customHeight="1" x14ac:dyDescent="0.25">
      <c r="A597" s="2"/>
      <c r="B597" s="178"/>
      <c r="C597" s="779"/>
      <c r="D597" s="373" t="s">
        <v>906</v>
      </c>
      <c r="E597" s="2614" t="str">
        <f>Translations!$B$650</f>
        <v>Import eller export av mellanprodukter som omfattas av produktriktmärken</v>
      </c>
      <c r="F597" s="1960"/>
      <c r="G597" s="1960"/>
      <c r="H597" s="1960"/>
      <c r="I597" s="1960"/>
      <c r="J597" s="1960"/>
      <c r="K597" s="1960"/>
      <c r="L597" s="1960"/>
      <c r="M597" s="1960"/>
      <c r="N597" s="2597"/>
      <c r="O597" s="15"/>
      <c r="P597" s="15"/>
      <c r="Q597" s="343"/>
      <c r="R597" s="2"/>
      <c r="S597" s="343"/>
      <c r="T597" s="2"/>
      <c r="U597" s="2"/>
      <c r="V597" s="343"/>
      <c r="W597" s="2"/>
      <c r="X597" s="2"/>
      <c r="Y597" s="2"/>
      <c r="Z597" s="2"/>
      <c r="AA597" s="2"/>
      <c r="AB597" s="2"/>
      <c r="AC597" s="2"/>
      <c r="AD597" s="2"/>
      <c r="AE597" s="2"/>
      <c r="AF597" s="2"/>
      <c r="AG597" s="2"/>
      <c r="AH597" s="2"/>
      <c r="AI597" s="2"/>
      <c r="AJ597" s="2"/>
      <c r="AK597" s="2"/>
      <c r="AL597" s="2"/>
    </row>
    <row r="598" spans="1:38" ht="25.5" customHeight="1" x14ac:dyDescent="0.25">
      <c r="A598" s="2"/>
      <c r="B598" s="178"/>
      <c r="C598" s="779"/>
      <c r="D598" s="780"/>
      <c r="E598" s="2610" t="str">
        <f>Translations!$B$651</f>
        <v>För att undvika eventuell dubbelräkning eller luckor i tilldelade utsläpp vid fastställandet av de uppdaterade riktmärkena ska man enligt avsnitt 2.7 d i bilaga IV till FAR ange eventuell import eller export av mellanprodukter som omfattas av något av produktriktmärkena i bilaga I till FAR.</v>
      </c>
      <c r="F598" s="1960"/>
      <c r="G598" s="1960"/>
      <c r="H598" s="1960"/>
      <c r="I598" s="1960"/>
      <c r="J598" s="1960"/>
      <c r="K598" s="1960"/>
      <c r="L598" s="1960"/>
      <c r="M598" s="1960"/>
      <c r="N598" s="2597"/>
      <c r="O598" s="15"/>
      <c r="P598" s="15"/>
      <c r="Q598" s="343"/>
      <c r="R598" s="2"/>
      <c r="S598" s="343"/>
      <c r="T598" s="2"/>
      <c r="U598" s="2"/>
      <c r="V598" s="343"/>
      <c r="W598" s="2"/>
      <c r="X598" s="2"/>
      <c r="Y598" s="2"/>
      <c r="Z598" s="2"/>
      <c r="AA598" s="2"/>
      <c r="AB598" s="2"/>
      <c r="AC598" s="2"/>
      <c r="AD598" s="2"/>
      <c r="AE598" s="2"/>
      <c r="AF598" s="2"/>
      <c r="AG598" s="2"/>
      <c r="AH598" s="2"/>
      <c r="AI598" s="2"/>
      <c r="AJ598" s="2"/>
      <c r="AK598" s="2"/>
      <c r="AL598" s="2"/>
    </row>
    <row r="599" spans="1:38" ht="12.75" customHeight="1" x14ac:dyDescent="0.25">
      <c r="A599" s="2"/>
      <c r="B599" s="178"/>
      <c r="C599" s="779"/>
      <c r="D599" s="780"/>
      <c r="E599" s="2596" t="str">
        <f>Translations!$B$652</f>
        <v>De uppgifter som anges här kan påverka uppdateringen av det särskilda riktmärket.</v>
      </c>
      <c r="F599" s="1960"/>
      <c r="G599" s="1960"/>
      <c r="H599" s="1960"/>
      <c r="I599" s="1960"/>
      <c r="J599" s="1960"/>
      <c r="K599" s="1960"/>
      <c r="L599" s="1960"/>
      <c r="M599" s="1960"/>
      <c r="N599" s="2597"/>
      <c r="O599" s="15"/>
      <c r="P599" s="15"/>
      <c r="Q599" s="343"/>
      <c r="R599" s="2"/>
      <c r="S599" s="343"/>
      <c r="T599" s="2"/>
      <c r="U599" s="2"/>
      <c r="V599" s="343"/>
      <c r="W599" s="2"/>
      <c r="X599" s="2"/>
      <c r="Y599" s="2"/>
      <c r="Z599" s="2"/>
      <c r="AA599" s="2"/>
      <c r="AB599" s="2"/>
      <c r="AC599" s="2"/>
      <c r="AD599" s="2"/>
      <c r="AE599" s="2"/>
      <c r="AF599" s="2"/>
      <c r="AG599" s="2"/>
      <c r="AH599" s="2"/>
      <c r="AI599" s="2"/>
      <c r="AJ599" s="2"/>
      <c r="AK599" s="2"/>
      <c r="AL599" s="2"/>
    </row>
    <row r="600" spans="1:38" ht="12.75" customHeight="1" x14ac:dyDescent="0.25">
      <c r="A600" s="2"/>
      <c r="B600" s="19"/>
      <c r="C600" s="779"/>
      <c r="D600" s="416" t="s">
        <v>8</v>
      </c>
      <c r="E600" s="2598" t="str">
        <f>Translations!$B$653</f>
        <v>Förekommer import eller export av mellanprodukter som omfattas av produktriktmärken?</v>
      </c>
      <c r="F600" s="1960"/>
      <c r="G600" s="1960"/>
      <c r="H600" s="1960"/>
      <c r="I600" s="1960"/>
      <c r="J600" s="1960"/>
      <c r="K600" s="2520"/>
      <c r="L600" s="749"/>
      <c r="M600" s="360"/>
      <c r="N600" s="535"/>
      <c r="O600" s="15"/>
      <c r="P600" s="1362"/>
      <c r="Q600" s="2"/>
      <c r="R600" s="2"/>
      <c r="S600" s="2"/>
      <c r="T600" s="2"/>
      <c r="U600" s="2"/>
      <c r="V600" s="2"/>
      <c r="W600" s="2"/>
      <c r="X600" s="2"/>
      <c r="Y600" s="2"/>
      <c r="Z600" s="2"/>
      <c r="AA600" s="2"/>
      <c r="AB600" s="2"/>
      <c r="AC600" s="2"/>
      <c r="AD600" s="2"/>
      <c r="AE600" s="2"/>
      <c r="AF600" s="672" t="s">
        <v>782</v>
      </c>
      <c r="AG600" s="1196" t="b">
        <f>AND(CNTR_ExistSubInstEntries,I315="")</f>
        <v>0</v>
      </c>
      <c r="AH600" s="2"/>
      <c r="AI600" s="2"/>
      <c r="AJ600" s="2"/>
      <c r="AK600" s="2"/>
      <c r="AL600" s="2"/>
    </row>
    <row r="601" spans="1:38" ht="5.15" customHeight="1" x14ac:dyDescent="0.25">
      <c r="A601" s="2"/>
      <c r="B601" s="178"/>
      <c r="C601" s="779"/>
      <c r="D601" s="416"/>
      <c r="E601" s="416"/>
      <c r="F601" s="416"/>
      <c r="G601" s="416"/>
      <c r="H601" s="1805"/>
      <c r="I601" s="416"/>
      <c r="J601" s="416"/>
      <c r="K601" s="416"/>
      <c r="L601" s="416"/>
      <c r="M601" s="416"/>
      <c r="N601" s="1810"/>
      <c r="O601" s="15"/>
      <c r="P601" s="15"/>
      <c r="Q601" s="343"/>
      <c r="R601" s="2"/>
      <c r="S601" s="343"/>
      <c r="T601" s="2"/>
      <c r="U601" s="2"/>
      <c r="V601" s="343"/>
      <c r="W601" s="2"/>
      <c r="X601" s="2"/>
      <c r="Y601" s="2"/>
      <c r="Z601" s="2"/>
      <c r="AA601" s="2"/>
      <c r="AB601" s="2"/>
      <c r="AC601" s="2"/>
      <c r="AD601" s="2"/>
      <c r="AE601" s="2"/>
      <c r="AF601" s="2"/>
      <c r="AG601" s="2"/>
      <c r="AH601" s="2"/>
      <c r="AI601" s="2"/>
      <c r="AJ601" s="2"/>
      <c r="AK601" s="2"/>
      <c r="AL601" s="2"/>
    </row>
    <row r="602" spans="1:38" ht="12.75" customHeight="1" thickBot="1" x14ac:dyDescent="0.3">
      <c r="A602" s="2"/>
      <c r="B602" s="178"/>
      <c r="C602" s="779"/>
      <c r="D602" s="373"/>
      <c r="E602" s="2605" t="str">
        <f>Translations!$B$654</f>
        <v>Importerade mängder:</v>
      </c>
      <c r="F602" s="2497"/>
      <c r="G602" s="415" t="str">
        <f>EUconst_Unit</f>
        <v>Enhet</v>
      </c>
      <c r="H602" s="362">
        <f t="shared" ref="H602:N602" si="270">H$3042</f>
        <v>2019</v>
      </c>
      <c r="I602" s="1103">
        <f t="shared" si="270"/>
        <v>2020</v>
      </c>
      <c r="J602" s="1104">
        <f t="shared" si="270"/>
        <v>2021</v>
      </c>
      <c r="K602" s="362">
        <f t="shared" si="270"/>
        <v>2022</v>
      </c>
      <c r="L602" s="362">
        <f t="shared" si="270"/>
        <v>2023</v>
      </c>
      <c r="M602" s="362">
        <f t="shared" si="270"/>
        <v>2024</v>
      </c>
      <c r="N602" s="1141">
        <f t="shared" si="270"/>
        <v>2025</v>
      </c>
      <c r="O602" s="15"/>
      <c r="P602" s="15"/>
      <c r="Q602" s="343"/>
      <c r="R602" s="2"/>
      <c r="S602" s="343"/>
      <c r="T602" s="2"/>
      <c r="U602" s="2"/>
      <c r="V602" s="343"/>
      <c r="W602" s="2"/>
      <c r="X602" s="2"/>
      <c r="Y602" s="2"/>
      <c r="Z602" s="2"/>
      <c r="AA602" s="2"/>
      <c r="AB602" s="2"/>
      <c r="AC602" s="1044">
        <f t="shared" ref="AC602:AI602" si="271">H$20</f>
        <v>2019</v>
      </c>
      <c r="AD602" s="1044">
        <f t="shared" si="271"/>
        <v>2020</v>
      </c>
      <c r="AE602" s="1044">
        <f t="shared" si="271"/>
        <v>2021</v>
      </c>
      <c r="AF602" s="1044">
        <f t="shared" si="271"/>
        <v>2022</v>
      </c>
      <c r="AG602" s="1044">
        <f t="shared" si="271"/>
        <v>2023</v>
      </c>
      <c r="AH602" s="1044">
        <f t="shared" si="271"/>
        <v>2024</v>
      </c>
      <c r="AI602" s="1044">
        <f t="shared" si="271"/>
        <v>2025</v>
      </c>
      <c r="AJ602" s="2"/>
      <c r="AK602" s="2"/>
      <c r="AL602" s="2"/>
    </row>
    <row r="603" spans="1:38" ht="12.75" customHeight="1" x14ac:dyDescent="0.25">
      <c r="A603" s="2"/>
      <c r="B603" s="178"/>
      <c r="C603" s="779"/>
      <c r="D603" s="416" t="s">
        <v>9</v>
      </c>
      <c r="E603" s="2606"/>
      <c r="F603" s="2607"/>
      <c r="G603" s="59" t="str">
        <f>IF(E603&lt;&gt;"",INDEX(EUconst_BMlistUnits,MATCH(E603,EUconst_BMlistNames,0)),EUconst_Tons)</f>
        <v>ton</v>
      </c>
      <c r="H603" s="1319"/>
      <c r="I603" s="1320"/>
      <c r="J603" s="1321"/>
      <c r="K603" s="1319"/>
      <c r="L603" s="1319"/>
      <c r="M603" s="1319"/>
      <c r="N603" s="1322"/>
      <c r="O603" s="15"/>
      <c r="P603" s="1362"/>
      <c r="Q603" s="165" t="str">
        <f>EUconst_CNTR_IntermediateImport &amp; S603 &amp; "_" &amp; I315</f>
        <v>IntImp_1_</v>
      </c>
      <c r="R603" s="2"/>
      <c r="S603" s="165">
        <v>1</v>
      </c>
      <c r="T603" s="2"/>
      <c r="U603" s="2"/>
      <c r="V603" s="343"/>
      <c r="W603" s="2"/>
      <c r="X603" s="2"/>
      <c r="Y603" s="2"/>
      <c r="Z603" s="2"/>
      <c r="AA603" s="2"/>
      <c r="AB603" s="672" t="s">
        <v>782</v>
      </c>
      <c r="AC603" s="1196" t="b">
        <f>OR(AND($L600&lt;&gt;"",$L600=FALSE),AC385)</f>
        <v>0</v>
      </c>
      <c r="AD603" s="108" t="b">
        <f t="shared" ref="AD603:AI603" si="272">OR(AND($L600&lt;&gt;"",$L600=FALSE),AD385)</f>
        <v>0</v>
      </c>
      <c r="AE603" s="108" t="b">
        <f t="shared" si="272"/>
        <v>0</v>
      </c>
      <c r="AF603" s="108" t="b">
        <f t="shared" si="272"/>
        <v>0</v>
      </c>
      <c r="AG603" s="108" t="b">
        <f t="shared" si="272"/>
        <v>0</v>
      </c>
      <c r="AH603" s="108" t="b">
        <f t="shared" si="272"/>
        <v>0</v>
      </c>
      <c r="AI603" s="108" t="b">
        <f t="shared" si="272"/>
        <v>0</v>
      </c>
      <c r="AJ603" s="553" t="s">
        <v>2248</v>
      </c>
      <c r="AK603" s="663" t="str">
        <f>IF(AND(CNTR_ExistSubInstEntries,MSconst_RequireSubAttrEmissions,COUNTIFS(AC603:AI603,FALSE,H603:N603,"")&gt;0),EUconst_Error&amp;"BM"&amp;$Q315,"")</f>
        <v/>
      </c>
      <c r="AL603" s="2"/>
    </row>
    <row r="604" spans="1:38" ht="12.75" customHeight="1" x14ac:dyDescent="0.25">
      <c r="A604" s="2"/>
      <c r="B604" s="178"/>
      <c r="C604" s="779"/>
      <c r="D604" s="416" t="s">
        <v>10</v>
      </c>
      <c r="E604" s="2608"/>
      <c r="F604" s="2609"/>
      <c r="G604" s="51" t="str">
        <f>IF(E604&lt;&gt;"",INDEX(EUconst_BMlistUnits,MATCH(E604,EUconst_BMlistNames,0)),EUconst_Tons)</f>
        <v>ton</v>
      </c>
      <c r="H604" s="1323"/>
      <c r="I604" s="1324"/>
      <c r="J604" s="1325"/>
      <c r="K604" s="1323"/>
      <c r="L604" s="1323"/>
      <c r="M604" s="1323"/>
      <c r="N604" s="1326"/>
      <c r="O604" s="15"/>
      <c r="P604" s="1362"/>
      <c r="Q604" s="165" t="str">
        <f>EUconst_CNTR_IntermediateImport &amp; S604 &amp; "_" &amp; I315</f>
        <v>IntImp_2_</v>
      </c>
      <c r="R604" s="2"/>
      <c r="S604" s="165">
        <v>2</v>
      </c>
      <c r="T604" s="2"/>
      <c r="U604" s="2"/>
      <c r="V604" s="343"/>
      <c r="W604" s="2"/>
      <c r="X604" s="2"/>
      <c r="Y604" s="2"/>
      <c r="Z604" s="2"/>
      <c r="AA604" s="2"/>
      <c r="AB604" s="2"/>
      <c r="AC604" s="108" t="b">
        <f>AC603</f>
        <v>0</v>
      </c>
      <c r="AD604" s="108" t="b">
        <f t="shared" ref="AD604:AI604" si="273">AD603</f>
        <v>0</v>
      </c>
      <c r="AE604" s="108" t="b">
        <f t="shared" si="273"/>
        <v>0</v>
      </c>
      <c r="AF604" s="108" t="b">
        <f t="shared" si="273"/>
        <v>0</v>
      </c>
      <c r="AG604" s="108" t="b">
        <f t="shared" si="273"/>
        <v>0</v>
      </c>
      <c r="AH604" s="108" t="b">
        <f t="shared" si="273"/>
        <v>0</v>
      </c>
      <c r="AI604" s="108" t="b">
        <f t="shared" si="273"/>
        <v>0</v>
      </c>
      <c r="AJ604" s="2"/>
      <c r="AK604" s="2"/>
      <c r="AL604" s="2"/>
    </row>
    <row r="605" spans="1:38" ht="5.15" customHeight="1" x14ac:dyDescent="0.25">
      <c r="A605" s="2"/>
      <c r="B605" s="178"/>
      <c r="C605" s="779"/>
      <c r="D605" s="416"/>
      <c r="E605" s="416"/>
      <c r="F605" s="416"/>
      <c r="G605" s="416"/>
      <c r="H605" s="416"/>
      <c r="I605" s="416"/>
      <c r="J605" s="416"/>
      <c r="K605" s="416"/>
      <c r="L605" s="416"/>
      <c r="M605" s="416"/>
      <c r="N605" s="1149"/>
      <c r="O605" s="15"/>
      <c r="P605" s="15"/>
      <c r="Q605" s="343"/>
      <c r="R605" s="2"/>
      <c r="S605" s="343"/>
      <c r="T605" s="2"/>
      <c r="U605" s="2"/>
      <c r="V605" s="343"/>
      <c r="W605" s="2"/>
      <c r="X605" s="2"/>
      <c r="Y605" s="2"/>
      <c r="Z605" s="2"/>
      <c r="AA605" s="2"/>
      <c r="AB605" s="2"/>
      <c r="AC605" s="2"/>
      <c r="AD605" s="2"/>
      <c r="AE605" s="2"/>
      <c r="AF605" s="2"/>
      <c r="AG605" s="2"/>
      <c r="AH605" s="2"/>
      <c r="AI605" s="2"/>
      <c r="AJ605" s="2"/>
      <c r="AK605" s="2"/>
      <c r="AL605" s="2"/>
    </row>
    <row r="606" spans="1:38" ht="12.75" customHeight="1" thickBot="1" x14ac:dyDescent="0.3">
      <c r="A606" s="2"/>
      <c r="B606" s="178"/>
      <c r="C606" s="779"/>
      <c r="D606" s="373"/>
      <c r="E606" s="2605" t="str">
        <f>Translations!$B$655</f>
        <v>Exporterade mängder:</v>
      </c>
      <c r="F606" s="2497"/>
      <c r="G606" s="415" t="str">
        <f>EUconst_Unit</f>
        <v>Enhet</v>
      </c>
      <c r="H606" s="362">
        <f t="shared" ref="H606:N606" si="274">H$3042</f>
        <v>2019</v>
      </c>
      <c r="I606" s="1103">
        <f t="shared" si="274"/>
        <v>2020</v>
      </c>
      <c r="J606" s="1104">
        <f t="shared" si="274"/>
        <v>2021</v>
      </c>
      <c r="K606" s="362">
        <f t="shared" si="274"/>
        <v>2022</v>
      </c>
      <c r="L606" s="362">
        <f t="shared" si="274"/>
        <v>2023</v>
      </c>
      <c r="M606" s="362">
        <f t="shared" si="274"/>
        <v>2024</v>
      </c>
      <c r="N606" s="1141">
        <f t="shared" si="274"/>
        <v>2025</v>
      </c>
      <c r="O606" s="15"/>
      <c r="P606" s="15"/>
      <c r="Q606" s="343"/>
      <c r="R606" s="2"/>
      <c r="S606" s="343"/>
      <c r="T606" s="2"/>
      <c r="U606" s="2"/>
      <c r="V606" s="343"/>
      <c r="W606" s="2"/>
      <c r="X606" s="2"/>
      <c r="Y606" s="2"/>
      <c r="Z606" s="2"/>
      <c r="AA606" s="2"/>
      <c r="AB606" s="2"/>
      <c r="AC606" s="1044">
        <f t="shared" ref="AC606:AI606" si="275">H$20</f>
        <v>2019</v>
      </c>
      <c r="AD606" s="1044">
        <f t="shared" si="275"/>
        <v>2020</v>
      </c>
      <c r="AE606" s="1044">
        <f t="shared" si="275"/>
        <v>2021</v>
      </c>
      <c r="AF606" s="1044">
        <f t="shared" si="275"/>
        <v>2022</v>
      </c>
      <c r="AG606" s="1044">
        <f t="shared" si="275"/>
        <v>2023</v>
      </c>
      <c r="AH606" s="1044">
        <f t="shared" si="275"/>
        <v>2024</v>
      </c>
      <c r="AI606" s="1044">
        <f t="shared" si="275"/>
        <v>2025</v>
      </c>
      <c r="AJ606" s="2"/>
      <c r="AK606" s="2"/>
      <c r="AL606" s="2"/>
    </row>
    <row r="607" spans="1:38" ht="12.75" customHeight="1" x14ac:dyDescent="0.25">
      <c r="A607" s="2"/>
      <c r="B607" s="178"/>
      <c r="C607" s="779"/>
      <c r="D607" s="416" t="s">
        <v>23</v>
      </c>
      <c r="E607" s="2606"/>
      <c r="F607" s="2607"/>
      <c r="G607" s="59" t="str">
        <f>IF(E607&lt;&gt;"",INDEX(EUconst_BMlistUnits,MATCH(E607,EUconst_BMlistNames,0)),EUconst_Tons)</f>
        <v>ton</v>
      </c>
      <c r="H607" s="1319"/>
      <c r="I607" s="1320"/>
      <c r="J607" s="1321"/>
      <c r="K607" s="1319"/>
      <c r="L607" s="1319"/>
      <c r="M607" s="1319"/>
      <c r="N607" s="1322"/>
      <c r="O607" s="15"/>
      <c r="P607" s="1362"/>
      <c r="Q607" s="165" t="str">
        <f>EUconst_CNTR_IntermediateExport &amp; S603 &amp; "_" &amp; I315</f>
        <v>IntExp_1_</v>
      </c>
      <c r="R607" s="2"/>
      <c r="S607" s="165">
        <v>1</v>
      </c>
      <c r="T607" s="2"/>
      <c r="U607" s="2"/>
      <c r="V607" s="343"/>
      <c r="W607" s="2"/>
      <c r="X607" s="413"/>
      <c r="Y607" s="413"/>
      <c r="Z607" s="2"/>
      <c r="AA607" s="2"/>
      <c r="AB607" s="672" t="s">
        <v>782</v>
      </c>
      <c r="AC607" s="108" t="b">
        <f>AC603</f>
        <v>0</v>
      </c>
      <c r="AD607" s="108" t="b">
        <f t="shared" ref="AD607:AI607" si="276">AD603</f>
        <v>0</v>
      </c>
      <c r="AE607" s="108" t="b">
        <f t="shared" si="276"/>
        <v>0</v>
      </c>
      <c r="AF607" s="108" t="b">
        <f t="shared" si="276"/>
        <v>0</v>
      </c>
      <c r="AG607" s="108" t="b">
        <f t="shared" si="276"/>
        <v>0</v>
      </c>
      <c r="AH607" s="108" t="b">
        <f t="shared" si="276"/>
        <v>0</v>
      </c>
      <c r="AI607" s="108" t="b">
        <f t="shared" si="276"/>
        <v>0</v>
      </c>
      <c r="AJ607" s="553" t="s">
        <v>2248</v>
      </c>
      <c r="AK607" s="663" t="str">
        <f>IF(AND(CNTR_ExistSubInstEntries,MSconst_RequireSubAttrEmissions,COUNTIFS(AC607:AI607,FALSE,H607:N607,"")&gt;0),EUconst_Error&amp;"BM"&amp;$Q315,"")</f>
        <v/>
      </c>
      <c r="AL607" s="2"/>
    </row>
    <row r="608" spans="1:38" ht="12.75" customHeight="1" x14ac:dyDescent="0.25">
      <c r="A608" s="2"/>
      <c r="B608" s="178"/>
      <c r="C608" s="779"/>
      <c r="D608" s="416" t="s">
        <v>859</v>
      </c>
      <c r="E608" s="2608"/>
      <c r="F608" s="2609"/>
      <c r="G608" s="51" t="str">
        <f>IF(E608&lt;&gt;"",INDEX(EUconst_BMlistUnits,MATCH(E608,EUconst_BMlistNames,0)),EUconst_Tons)</f>
        <v>ton</v>
      </c>
      <c r="H608" s="1323"/>
      <c r="I608" s="1324"/>
      <c r="J608" s="1325"/>
      <c r="K608" s="1323"/>
      <c r="L608" s="1323"/>
      <c r="M608" s="1323"/>
      <c r="N608" s="1326"/>
      <c r="O608" s="15"/>
      <c r="P608" s="1362"/>
      <c r="Q608" s="165" t="str">
        <f>EUconst_CNTR_IntermediateExport &amp; S608 &amp; "_" &amp; I315</f>
        <v>IntExp_2_</v>
      </c>
      <c r="R608" s="2"/>
      <c r="S608" s="165">
        <v>2</v>
      </c>
      <c r="T608" s="2"/>
      <c r="U608" s="2"/>
      <c r="V608" s="343"/>
      <c r="W608" s="2"/>
      <c r="X608" s="413"/>
      <c r="Y608" s="413"/>
      <c r="Z608" s="2"/>
      <c r="AA608" s="2"/>
      <c r="AB608" s="2"/>
      <c r="AC608" s="108" t="b">
        <f t="shared" ref="AC608:AI608" si="277">AC604</f>
        <v>0</v>
      </c>
      <c r="AD608" s="108" t="b">
        <f t="shared" si="277"/>
        <v>0</v>
      </c>
      <c r="AE608" s="108" t="b">
        <f t="shared" si="277"/>
        <v>0</v>
      </c>
      <c r="AF608" s="108" t="b">
        <f t="shared" si="277"/>
        <v>0</v>
      </c>
      <c r="AG608" s="108" t="b">
        <f t="shared" si="277"/>
        <v>0</v>
      </c>
      <c r="AH608" s="108" t="b">
        <f t="shared" si="277"/>
        <v>0</v>
      </c>
      <c r="AI608" s="108" t="b">
        <f t="shared" si="277"/>
        <v>0</v>
      </c>
      <c r="AJ608" s="2"/>
      <c r="AK608" s="2"/>
      <c r="AL608" s="2"/>
    </row>
    <row r="609" spans="1:38" ht="5.15" customHeight="1" x14ac:dyDescent="0.25">
      <c r="A609" s="2"/>
      <c r="B609" s="178"/>
      <c r="C609" s="779"/>
      <c r="D609" s="416"/>
      <c r="E609" s="416"/>
      <c r="F609" s="416"/>
      <c r="G609" s="416"/>
      <c r="H609" s="416"/>
      <c r="I609" s="416"/>
      <c r="J609" s="416"/>
      <c r="K609" s="416"/>
      <c r="L609" s="416"/>
      <c r="M609" s="416"/>
      <c r="N609" s="1810"/>
      <c r="O609" s="15"/>
      <c r="P609" s="15"/>
      <c r="Q609" s="343"/>
      <c r="R609" s="2"/>
      <c r="S609" s="343"/>
      <c r="T609" s="2"/>
      <c r="U609" s="2"/>
      <c r="V609" s="343"/>
      <c r="W609" s="2"/>
      <c r="X609" s="413"/>
      <c r="Y609" s="413"/>
      <c r="Z609" s="2"/>
      <c r="AA609" s="2"/>
      <c r="AB609" s="2"/>
      <c r="AC609" s="2"/>
      <c r="AD609" s="2"/>
      <c r="AE609" s="2"/>
      <c r="AF609" s="2"/>
      <c r="AG609" s="2"/>
      <c r="AH609" s="2"/>
      <c r="AI609" s="2"/>
      <c r="AJ609" s="2"/>
      <c r="AK609" s="2"/>
      <c r="AL609" s="2"/>
    </row>
    <row r="610" spans="1:38" ht="12.75" customHeight="1" x14ac:dyDescent="0.25">
      <c r="A610" s="2"/>
      <c r="B610" s="178"/>
      <c r="C610" s="779"/>
      <c r="D610" s="416" t="s">
        <v>860</v>
      </c>
      <c r="E610" s="623" t="str">
        <f>Translations!$B$656</f>
        <v>Beskrivning av importerade eller exporterade mellanprodukter</v>
      </c>
      <c r="F610" s="623"/>
      <c r="G610" s="623"/>
      <c r="H610" s="623"/>
      <c r="I610" s="623"/>
      <c r="J610" s="623"/>
      <c r="K610" s="623"/>
      <c r="L610" s="623"/>
      <c r="M610" s="623"/>
      <c r="N610" s="1810"/>
      <c r="O610" s="15"/>
      <c r="P610" s="15"/>
      <c r="Q610" s="343"/>
      <c r="R610" s="2"/>
      <c r="S610" s="343"/>
      <c r="T610" s="2"/>
      <c r="U610" s="2"/>
      <c r="V610" s="343"/>
      <c r="W610" s="2"/>
      <c r="X610" s="413"/>
      <c r="Y610" s="413"/>
      <c r="Z610" s="2"/>
      <c r="AA610" s="2"/>
      <c r="AB610" s="2"/>
      <c r="AC610" s="2"/>
      <c r="AD610" s="2"/>
      <c r="AE610" s="2"/>
      <c r="AF610" s="2"/>
      <c r="AG610" s="2"/>
      <c r="AH610" s="2"/>
      <c r="AI610" s="2"/>
      <c r="AJ610" s="2"/>
      <c r="AK610" s="2"/>
      <c r="AL610" s="2"/>
    </row>
    <row r="611" spans="1:38" ht="12.75" customHeight="1" x14ac:dyDescent="0.25">
      <c r="A611" s="2"/>
      <c r="B611" s="178"/>
      <c r="C611" s="779"/>
      <c r="D611" s="416"/>
      <c r="E611" s="1139" t="str">
        <f>Translations!$B$657</f>
        <v>Var god ge en kort beskrivning av produktionsprocessen för importerade eller exporterade mellanprodukter</v>
      </c>
      <c r="F611" s="1806"/>
      <c r="G611" s="1806"/>
      <c r="H611" s="1806"/>
      <c r="I611" s="1806"/>
      <c r="J611" s="1806"/>
      <c r="K611" s="1806"/>
      <c r="L611" s="1806"/>
      <c r="M611" s="1806"/>
      <c r="N611" s="1807"/>
      <c r="O611" s="15"/>
      <c r="P611" s="15"/>
      <c r="Q611" s="343"/>
      <c r="R611" s="2"/>
      <c r="S611" s="343"/>
      <c r="T611" s="2"/>
      <c r="U611" s="2"/>
      <c r="V611" s="343"/>
      <c r="W611" s="2"/>
      <c r="X611" s="413"/>
      <c r="Y611" s="413"/>
      <c r="Z611" s="2"/>
      <c r="AA611" s="2"/>
      <c r="AB611" s="2"/>
      <c r="AC611" s="2"/>
      <c r="AD611" s="2"/>
      <c r="AE611" s="2"/>
      <c r="AF611" s="2"/>
      <c r="AG611" s="2"/>
      <c r="AH611" s="2"/>
      <c r="AI611" s="2"/>
      <c r="AJ611" s="2"/>
      <c r="AK611" s="2"/>
      <c r="AL611" s="2"/>
    </row>
    <row r="612" spans="1:38" ht="12.75" customHeight="1" x14ac:dyDescent="0.25">
      <c r="A612" s="2"/>
      <c r="B612" s="178"/>
      <c r="C612" s="779"/>
      <c r="D612" s="416"/>
      <c r="E612" s="2599"/>
      <c r="F612" s="2600"/>
      <c r="G612" s="2600"/>
      <c r="H612" s="2600"/>
      <c r="I612" s="2600"/>
      <c r="J612" s="2600"/>
      <c r="K612" s="2600"/>
      <c r="L612" s="2600"/>
      <c r="M612" s="2601"/>
      <c r="N612" s="1810"/>
      <c r="O612" s="15"/>
      <c r="P612" s="1362"/>
      <c r="Q612" s="343"/>
      <c r="R612" s="2"/>
      <c r="S612" s="343"/>
      <c r="T612" s="2"/>
      <c r="U612" s="2"/>
      <c r="V612" s="343"/>
      <c r="W612" s="2"/>
      <c r="X612" s="413"/>
      <c r="Y612" s="413"/>
      <c r="Z612" s="2"/>
      <c r="AA612" s="2"/>
      <c r="AB612" s="672" t="s">
        <v>782</v>
      </c>
      <c r="AC612" s="108" t="b">
        <f>AND(AC607:AI607)</f>
        <v>0</v>
      </c>
      <c r="AD612" s="2"/>
      <c r="AE612" s="2"/>
      <c r="AF612" s="2"/>
      <c r="AG612" s="2"/>
      <c r="AH612" s="2"/>
      <c r="AI612" s="2"/>
      <c r="AJ612" s="2"/>
      <c r="AK612" s="2"/>
      <c r="AL612" s="2"/>
    </row>
    <row r="613" spans="1:38" ht="12.75" customHeight="1" x14ac:dyDescent="0.25">
      <c r="A613" s="2"/>
      <c r="B613" s="178"/>
      <c r="C613" s="779"/>
      <c r="D613" s="416"/>
      <c r="E613" s="2602"/>
      <c r="F613" s="2603"/>
      <c r="G613" s="2603"/>
      <c r="H613" s="2603"/>
      <c r="I613" s="2603"/>
      <c r="J613" s="2603"/>
      <c r="K613" s="2603"/>
      <c r="L613" s="2603"/>
      <c r="M613" s="2604"/>
      <c r="N613" s="1810"/>
      <c r="O613" s="15"/>
      <c r="P613" s="15"/>
      <c r="Q613" s="343"/>
      <c r="R613" s="2"/>
      <c r="S613" s="343"/>
      <c r="T613" s="2"/>
      <c r="U613" s="2"/>
      <c r="V613" s="343"/>
      <c r="W613" s="2"/>
      <c r="X613" s="413"/>
      <c r="Y613" s="413"/>
      <c r="Z613" s="2"/>
      <c r="AA613" s="2"/>
      <c r="AB613" s="2"/>
      <c r="AC613" s="108" t="b">
        <f>AC612</f>
        <v>0</v>
      </c>
      <c r="AD613" s="2"/>
      <c r="AE613" s="2"/>
      <c r="AF613" s="2"/>
      <c r="AG613" s="2"/>
      <c r="AH613" s="2"/>
      <c r="AI613" s="2"/>
      <c r="AJ613" s="2"/>
      <c r="AK613" s="2"/>
      <c r="AL613" s="2"/>
    </row>
    <row r="614" spans="1:38" ht="12.75" customHeight="1" thickBot="1" x14ac:dyDescent="0.3">
      <c r="A614" s="2"/>
      <c r="B614" s="178"/>
      <c r="C614" s="781"/>
      <c r="D614" s="782"/>
      <c r="E614" s="782"/>
      <c r="F614" s="782"/>
      <c r="G614" s="782"/>
      <c r="H614" s="782"/>
      <c r="I614" s="782"/>
      <c r="J614" s="782"/>
      <c r="K614" s="782"/>
      <c r="L614" s="782"/>
      <c r="M614" s="783"/>
      <c r="N614" s="784"/>
      <c r="O614" s="15"/>
      <c r="P614" s="15"/>
      <c r="Q614" s="343"/>
      <c r="R614" s="2"/>
      <c r="S614" s="343"/>
      <c r="T614" s="2"/>
      <c r="U614" s="2"/>
      <c r="V614" s="343"/>
      <c r="W614" s="2"/>
      <c r="X614" s="2"/>
      <c r="Y614" s="2"/>
      <c r="Z614" s="2"/>
      <c r="AA614" s="2"/>
      <c r="AB614" s="2"/>
      <c r="AC614" s="2"/>
      <c r="AD614" s="2"/>
      <c r="AE614" s="2"/>
      <c r="AF614" s="2"/>
      <c r="AG614" s="2"/>
      <c r="AH614" s="2"/>
      <c r="AI614" s="2"/>
      <c r="AJ614" s="2"/>
      <c r="AK614" s="2"/>
      <c r="AL614" s="2"/>
    </row>
    <row r="615" spans="1:38" ht="12.75" customHeight="1" thickBot="1" x14ac:dyDescent="0.3">
      <c r="A615" s="343"/>
      <c r="B615" s="3"/>
      <c r="C615" s="3"/>
      <c r="D615" s="3"/>
      <c r="E615" s="3"/>
      <c r="F615" s="3"/>
      <c r="G615" s="3"/>
      <c r="H615" s="3"/>
      <c r="I615" s="3"/>
      <c r="J615" s="3"/>
      <c r="K615" s="3"/>
      <c r="L615" s="3"/>
      <c r="M615" s="6"/>
      <c r="N615" s="6"/>
      <c r="O615" s="6"/>
      <c r="P615" s="6"/>
      <c r="Q615" s="294" t="str">
        <f>IF(OR(AND(CNTR_ExistProductSubEntries=FALSE,Q315=1),AND(I315&lt;&gt;"",COUNTIF(Q616:$Q3071,"PRINT")=0)),"PRINT","")</f>
        <v/>
      </c>
      <c r="R615" s="7"/>
      <c r="S615" s="7"/>
      <c r="T615" s="7"/>
      <c r="U615" s="7"/>
      <c r="V615" s="7"/>
      <c r="W615" s="7"/>
      <c r="X615" s="7"/>
      <c r="Y615" s="7"/>
      <c r="Z615" s="2"/>
      <c r="AA615" s="2"/>
      <c r="AB615" s="2"/>
      <c r="AC615" s="2"/>
      <c r="AD615" s="2"/>
      <c r="AE615" s="349"/>
      <c r="AF615" s="349"/>
      <c r="AG615" s="349"/>
      <c r="AH615" s="349"/>
      <c r="AI615" s="349"/>
      <c r="AJ615" s="349"/>
      <c r="AK615" s="349"/>
      <c r="AL615" s="349"/>
    </row>
    <row r="616" spans="1:38" ht="5.15" customHeight="1" thickBot="1" x14ac:dyDescent="0.3">
      <c r="A616" s="2"/>
      <c r="B616" s="178"/>
      <c r="C616" s="785"/>
      <c r="D616" s="785"/>
      <c r="E616" s="785"/>
      <c r="F616" s="785"/>
      <c r="G616" s="785"/>
      <c r="H616" s="785"/>
      <c r="I616" s="785"/>
      <c r="J616" s="785"/>
      <c r="K616" s="785"/>
      <c r="L616" s="785"/>
      <c r="M616" s="785"/>
      <c r="N616" s="785"/>
      <c r="O616" s="15"/>
      <c r="P616" s="15"/>
      <c r="Q616" s="1723"/>
      <c r="R616" s="1723"/>
      <c r="S616" s="1723"/>
      <c r="T616" s="1723"/>
      <c r="U616" s="1723"/>
      <c r="V616" s="1723"/>
      <c r="W616" s="1723"/>
      <c r="X616" s="1723"/>
      <c r="Y616" s="1723"/>
      <c r="Z616" s="1723"/>
      <c r="AA616" s="1723"/>
      <c r="AB616" s="1723"/>
      <c r="AC616" s="1723"/>
      <c r="AD616" s="1723"/>
      <c r="AE616" s="1723"/>
      <c r="AF616" s="1723"/>
      <c r="AG616" s="1723"/>
      <c r="AH616" s="1723"/>
      <c r="AI616" s="1723"/>
      <c r="AJ616" s="1723"/>
      <c r="AK616" s="1723"/>
      <c r="AL616" s="1723"/>
    </row>
    <row r="617" spans="1:38" ht="14.5" thickBot="1" x14ac:dyDescent="0.3">
      <c r="A617" s="2"/>
      <c r="B617" s="178"/>
      <c r="C617" s="771">
        <f>C315+1</f>
        <v>3</v>
      </c>
      <c r="D617" s="2053" t="str">
        <f>EUconst_BMSubinst &amp; ":"</f>
        <v>Delanläggning med produktriktmärke:</v>
      </c>
      <c r="E617" s="1963"/>
      <c r="F617" s="1963"/>
      <c r="G617" s="1963"/>
      <c r="H617" s="2060"/>
      <c r="I617" s="2090" t="str">
        <f>IF(INDEX(CNTR_SubInstListIsProdBM,$C617),INDEX(CNTR_SubInstListNames,$C617),"")</f>
        <v/>
      </c>
      <c r="J617" s="2120"/>
      <c r="K617" s="2120"/>
      <c r="L617" s="2120"/>
      <c r="M617" s="2120"/>
      <c r="N617" s="2154"/>
      <c r="O617" s="15"/>
      <c r="P617" s="15"/>
      <c r="Q617" s="294">
        <f>C617</f>
        <v>3</v>
      </c>
      <c r="R617" s="2"/>
      <c r="S617" s="553" t="s">
        <v>608</v>
      </c>
      <c r="T617" s="979" t="str">
        <f>IF(I617="","",MAX(INDEX(CNTR_SubInstStartDate,MATCH($I617,CNTR_SubInstListNames,0)),DATE(2005,1,1)))</f>
        <v/>
      </c>
      <c r="U617" s="343" t="s">
        <v>1873</v>
      </c>
      <c r="V617" s="663">
        <f>IF(ISNUMBER(T617),YEAR($T617-IF(YEAR(T617)&gt;=2022,0,1))+1,2005)</f>
        <v>2005</v>
      </c>
      <c r="W617" s="553" t="s">
        <v>1876</v>
      </c>
      <c r="X617" s="979" t="str">
        <f>IF(I617="","",INDEX(CNTR_SubInstCessationDate,MATCH($I617,CNTR_SubInstListNames,0)))</f>
        <v/>
      </c>
      <c r="Y617" s="553" t="s">
        <v>1877</v>
      </c>
      <c r="Z617" s="663">
        <f>IF(SUM(X617)=0,2050,YEAR($X617))</f>
        <v>2050</v>
      </c>
      <c r="AA617" s="553" t="s">
        <v>2201</v>
      </c>
      <c r="AB617" s="663" t="b">
        <f>CNTR_ReportingYear&gt;V617</f>
        <v>1</v>
      </c>
      <c r="AC617" s="2"/>
      <c r="AD617" s="2"/>
      <c r="AE617" s="2"/>
      <c r="AF617" s="2"/>
      <c r="AG617" s="2"/>
      <c r="AH617" s="2"/>
      <c r="AI617" s="2"/>
      <c r="AJ617" s="2"/>
      <c r="AK617" s="2"/>
      <c r="AL617" s="555" t="b">
        <f>AND(CNTR_ExistSubInstEntries,I617="")</f>
        <v>0</v>
      </c>
    </row>
    <row r="618" spans="1:38" ht="12.75" customHeight="1" x14ac:dyDescent="0.25">
      <c r="A618" s="2"/>
      <c r="B618" s="178"/>
      <c r="C618" s="178"/>
      <c r="D618" s="15"/>
      <c r="E618" s="2061" t="str">
        <f>Translations!$B$360</f>
        <v>Namnet på delanläggningen med produktriktmärke visas automatiskt i inmatningsfälten i blad ”A_InstallationData”.</v>
      </c>
      <c r="F618" s="1963"/>
      <c r="G618" s="1963"/>
      <c r="H618" s="1963"/>
      <c r="I618" s="1963"/>
      <c r="J618" s="1963"/>
      <c r="K618" s="1963"/>
      <c r="L618" s="1963"/>
      <c r="M618" s="1963"/>
      <c r="N618" s="1963"/>
      <c r="O618" s="15"/>
      <c r="P618" s="15"/>
      <c r="Q618" s="343"/>
      <c r="R618" s="2"/>
      <c r="S618" s="343"/>
      <c r="T618" s="343"/>
      <c r="U618" s="2"/>
      <c r="V618" s="2"/>
      <c r="W618" s="2"/>
      <c r="X618" s="2"/>
      <c r="Y618" s="2"/>
      <c r="Z618" s="2"/>
      <c r="AA618" s="2"/>
      <c r="AB618" s="2"/>
      <c r="AC618" s="2"/>
      <c r="AD618" s="2"/>
      <c r="AE618" s="2"/>
      <c r="AF618" s="2"/>
      <c r="AG618" s="2"/>
      <c r="AH618" s="2"/>
      <c r="AI618" s="2"/>
      <c r="AJ618" s="2"/>
      <c r="AK618" s="2"/>
      <c r="AL618" s="2"/>
    </row>
    <row r="619" spans="1:38" ht="5.15" customHeight="1" x14ac:dyDescent="0.25">
      <c r="A619" s="2"/>
      <c r="B619" s="178"/>
      <c r="C619" s="178"/>
      <c r="D619" s="178"/>
      <c r="E619" s="178"/>
      <c r="F619" s="178"/>
      <c r="G619" s="178"/>
      <c r="H619" s="178"/>
      <c r="I619" s="178"/>
      <c r="J619" s="178"/>
      <c r="K619" s="178"/>
      <c r="L619" s="178"/>
      <c r="M619" s="15"/>
      <c r="N619" s="15"/>
      <c r="O619" s="15"/>
      <c r="P619" s="15"/>
      <c r="Q619" s="343"/>
      <c r="R619" s="2"/>
      <c r="S619" s="343"/>
      <c r="T619" s="343"/>
      <c r="U619" s="2"/>
      <c r="V619" s="2"/>
      <c r="W619" s="2"/>
      <c r="X619" s="2"/>
      <c r="Y619" s="2"/>
      <c r="Z619" s="2"/>
      <c r="AA619" s="2"/>
      <c r="AB619" s="2"/>
      <c r="AC619" s="2"/>
      <c r="AD619" s="2"/>
      <c r="AE619" s="2"/>
      <c r="AF619" s="2"/>
      <c r="AG619" s="2"/>
      <c r="AH619" s="2"/>
      <c r="AI619" s="2"/>
      <c r="AJ619" s="2"/>
      <c r="AK619" s="2"/>
      <c r="AL619" s="2"/>
    </row>
    <row r="620" spans="1:38" ht="13" x14ac:dyDescent="0.25">
      <c r="A620" s="2"/>
      <c r="B620" s="178"/>
      <c r="C620" s="178"/>
      <c r="D620" s="13" t="s">
        <v>442</v>
      </c>
      <c r="E620" s="1943" t="str">
        <f>Translations!$B$1466</f>
        <v>Verksamhetsnivåer</v>
      </c>
      <c r="F620" s="1963"/>
      <c r="G620" s="1963"/>
      <c r="H620" s="1963"/>
      <c r="I620" s="1963"/>
      <c r="J620" s="1963"/>
      <c r="K620" s="1963"/>
      <c r="L620" s="1963"/>
      <c r="M620" s="1963"/>
      <c r="N620" s="1963"/>
      <c r="O620" s="15"/>
      <c r="P620" s="15"/>
      <c r="Q620" s="343"/>
      <c r="R620" s="2"/>
      <c r="S620" s="2"/>
      <c r="T620" s="2"/>
      <c r="U620" s="2"/>
      <c r="V620" s="2"/>
      <c r="W620" s="2"/>
      <c r="X620" s="2"/>
      <c r="Y620" s="2"/>
      <c r="Z620" s="2"/>
      <c r="AA620" s="2"/>
      <c r="AB620" s="2"/>
      <c r="AC620" s="2"/>
      <c r="AD620" s="2"/>
      <c r="AE620" s="2"/>
      <c r="AF620" s="2"/>
      <c r="AG620" s="2"/>
      <c r="AH620" s="2"/>
      <c r="AI620" s="2"/>
      <c r="AJ620" s="2"/>
      <c r="AK620" s="2"/>
      <c r="AL620" s="2"/>
    </row>
    <row r="621" spans="1:38" ht="12.75" customHeight="1" x14ac:dyDescent="0.25">
      <c r="A621" s="2"/>
      <c r="B621" s="178"/>
      <c r="C621" s="178"/>
      <c r="D621" s="15"/>
      <c r="E621" s="2061" t="str">
        <f>Translations!$B$514</f>
        <v>I denna punkt ska de ”huvudsakliga verksamhetsnivåerna” anges, dvs. de uppgifter som är direkt tillämpliga för att beräkna tilldelningen.</v>
      </c>
      <c r="F621" s="1963"/>
      <c r="G621" s="1963"/>
      <c r="H621" s="1963"/>
      <c r="I621" s="1963"/>
      <c r="J621" s="1963"/>
      <c r="K621" s="1963"/>
      <c r="L621" s="1963"/>
      <c r="M621" s="1963"/>
      <c r="N621" s="1963"/>
      <c r="O621" s="15"/>
      <c r="P621" s="15"/>
      <c r="Q621" s="343"/>
      <c r="R621" s="2"/>
      <c r="S621" s="343"/>
      <c r="T621" s="343"/>
      <c r="U621" s="343"/>
      <c r="V621" s="2"/>
      <c r="W621" s="2"/>
      <c r="X621" s="2"/>
      <c r="Y621" s="2"/>
      <c r="Z621" s="2"/>
      <c r="AA621" s="2"/>
      <c r="AB621" s="2"/>
      <c r="AC621" s="2"/>
      <c r="AD621" s="2"/>
      <c r="AE621" s="2"/>
      <c r="AF621" s="2"/>
      <c r="AG621" s="2"/>
      <c r="AH621" s="2"/>
      <c r="AI621" s="2"/>
      <c r="AJ621" s="2"/>
      <c r="AK621" s="2"/>
      <c r="AL621" s="2"/>
    </row>
    <row r="622" spans="1:38" ht="12.75" customHeight="1" x14ac:dyDescent="0.25">
      <c r="A622" s="2"/>
      <c r="B622" s="178"/>
      <c r="C622" s="178"/>
      <c r="D622" s="15"/>
      <c r="E622" s="2061" t="str">
        <f>Translations!$B$515</f>
        <v xml:space="preserve">Detta är i regel produktionsuppgifter för produkten, t.ex. grå cementklinker i ton eller glasflaskor i ton, i enlighet med bilaga I till FAR. </v>
      </c>
      <c r="F622" s="1963"/>
      <c r="G622" s="1963"/>
      <c r="H622" s="1963"/>
      <c r="I622" s="1963"/>
      <c r="J622" s="1963"/>
      <c r="K622" s="1963"/>
      <c r="L622" s="1963"/>
      <c r="M622" s="1963"/>
      <c r="N622" s="1963"/>
      <c r="O622" s="15"/>
      <c r="P622" s="15"/>
      <c r="Q622" s="343"/>
      <c r="R622" s="2"/>
      <c r="S622" s="343"/>
      <c r="T622" s="343"/>
      <c r="U622" s="343"/>
      <c r="V622" s="2"/>
      <c r="W622" s="2"/>
      <c r="X622" s="2"/>
      <c r="Y622" s="2"/>
      <c r="Z622" s="2"/>
      <c r="AA622" s="2"/>
      <c r="AB622" s="2"/>
      <c r="AC622" s="2"/>
      <c r="AD622" s="2"/>
      <c r="AE622" s="2"/>
      <c r="AF622" s="2"/>
      <c r="AG622" s="2"/>
      <c r="AH622" s="2"/>
      <c r="AI622" s="2"/>
      <c r="AJ622" s="2"/>
      <c r="AK622" s="2"/>
      <c r="AL622" s="2"/>
    </row>
    <row r="623" spans="1:38" ht="12.75" customHeight="1" x14ac:dyDescent="0.25">
      <c r="A623" s="2"/>
      <c r="B623" s="178"/>
      <c r="C623" s="178"/>
      <c r="D623" s="15"/>
      <c r="E623" s="2061" t="str">
        <f>Translations!$B$516</f>
        <v>Om ett meddelande visas i punkt iv måste dock lämpligt beräkningsverktyg användas, och resultaten kopieras automatiskt in i tabellen i punkt ii.</v>
      </c>
      <c r="F623" s="1963"/>
      <c r="G623" s="1963"/>
      <c r="H623" s="1963"/>
      <c r="I623" s="1963"/>
      <c r="J623" s="1963"/>
      <c r="K623" s="1963"/>
      <c r="L623" s="1963"/>
      <c r="M623" s="1963"/>
      <c r="N623" s="1963"/>
      <c r="O623" s="15"/>
      <c r="P623" s="15"/>
      <c r="Q623" s="343"/>
      <c r="R623" s="2"/>
      <c r="S623" s="343"/>
      <c r="T623" s="2"/>
      <c r="U623" s="2"/>
      <c r="V623" s="2"/>
      <c r="W623" s="2"/>
      <c r="X623" s="2"/>
      <c r="Y623" s="2"/>
      <c r="Z623" s="343"/>
      <c r="AA623" s="2"/>
      <c r="AB623" s="2"/>
      <c r="AC623" s="2"/>
      <c r="AD623" s="2"/>
      <c r="AE623" s="2"/>
      <c r="AF623" s="2"/>
      <c r="AG623" s="2"/>
      <c r="AH623" s="2"/>
      <c r="AI623" s="2"/>
      <c r="AJ623" s="2"/>
      <c r="AK623" s="2"/>
      <c r="AL623" s="2"/>
    </row>
    <row r="624" spans="1:38" ht="13.5" customHeight="1" thickBot="1" x14ac:dyDescent="0.3">
      <c r="A624" s="2"/>
      <c r="B624" s="19"/>
      <c r="C624" s="19"/>
      <c r="D624" s="13"/>
      <c r="E624" s="2062" t="str">
        <f>Translations!$B$517</f>
        <v>Årliga verksamhetsnivåer:</v>
      </c>
      <c r="F624" s="2062"/>
      <c r="G624" s="30" t="str">
        <f>EUconst_Unit</f>
        <v>Enhet</v>
      </c>
      <c r="H624" s="320">
        <f t="shared" ref="H624:N624" si="278">H$3042</f>
        <v>2019</v>
      </c>
      <c r="I624" s="342">
        <f t="shared" si="278"/>
        <v>2020</v>
      </c>
      <c r="J624" s="987">
        <f t="shared" si="278"/>
        <v>2021</v>
      </c>
      <c r="K624" s="320">
        <f t="shared" si="278"/>
        <v>2022</v>
      </c>
      <c r="L624" s="320">
        <f t="shared" si="278"/>
        <v>2023</v>
      </c>
      <c r="M624" s="320">
        <f t="shared" si="278"/>
        <v>2024</v>
      </c>
      <c r="N624" s="350">
        <f t="shared" si="278"/>
        <v>2025</v>
      </c>
      <c r="O624" s="15"/>
      <c r="P624" s="15"/>
      <c r="Q624" s="343"/>
      <c r="R624" s="2"/>
      <c r="S624" s="2"/>
      <c r="T624" s="1044">
        <f t="shared" ref="T624:Z624" si="279">H624</f>
        <v>2019</v>
      </c>
      <c r="U624" s="1044">
        <f t="shared" si="279"/>
        <v>2020</v>
      </c>
      <c r="V624" s="1044">
        <f t="shared" si="279"/>
        <v>2021</v>
      </c>
      <c r="W624" s="1044">
        <f t="shared" si="279"/>
        <v>2022</v>
      </c>
      <c r="X624" s="1044">
        <f t="shared" si="279"/>
        <v>2023</v>
      </c>
      <c r="Y624" s="1044">
        <f t="shared" si="279"/>
        <v>2024</v>
      </c>
      <c r="Z624" s="1044">
        <f t="shared" si="279"/>
        <v>2025</v>
      </c>
      <c r="AA624" s="2"/>
      <c r="AB624" s="2"/>
      <c r="AC624" s="1044">
        <f t="shared" ref="AC624:AI624" si="280">H$20</f>
        <v>2019</v>
      </c>
      <c r="AD624" s="1044">
        <f t="shared" si="280"/>
        <v>2020</v>
      </c>
      <c r="AE624" s="1044">
        <f t="shared" si="280"/>
        <v>2021</v>
      </c>
      <c r="AF624" s="1044">
        <f t="shared" si="280"/>
        <v>2022</v>
      </c>
      <c r="AG624" s="1044">
        <f t="shared" si="280"/>
        <v>2023</v>
      </c>
      <c r="AH624" s="1044">
        <f t="shared" si="280"/>
        <v>2024</v>
      </c>
      <c r="AI624" s="1044">
        <f t="shared" si="280"/>
        <v>2025</v>
      </c>
      <c r="AJ624" s="2"/>
      <c r="AK624" s="2"/>
      <c r="AL624" s="343"/>
    </row>
    <row r="625" spans="1:38" ht="13" thickBot="1" x14ac:dyDescent="0.3">
      <c r="A625" s="2"/>
      <c r="B625" s="19"/>
      <c r="C625" s="19"/>
      <c r="D625" s="175" t="s">
        <v>8</v>
      </c>
      <c r="E625" s="2655" t="str">
        <f>I617</f>
        <v/>
      </c>
      <c r="F625" s="2655"/>
      <c r="G625" s="91" t="str">
        <f>IF(INDEX(CNTR_SubInstListIsProdBM,$C617),INDEX(CNTR_SubInstListHALUnit,$C617),EUconst_Tons)</f>
        <v>ton</v>
      </c>
      <c r="H625" s="921"/>
      <c r="I625" s="985"/>
      <c r="J625" s="988"/>
      <c r="K625" s="921"/>
      <c r="L625" s="921"/>
      <c r="M625" s="921"/>
      <c r="N625" s="1124"/>
      <c r="O625" s="15"/>
      <c r="P625" s="1362"/>
      <c r="Q625" s="2"/>
      <c r="R625" s="2"/>
      <c r="S625" s="343" t="s">
        <v>1874</v>
      </c>
      <c r="T625" s="1762" t="b">
        <f t="shared" ref="T625:Z625" si="281">AND($I617&lt;&gt;"",H624&lt;CNTR_ReportingYear,H624&gt;=$V617-1)</f>
        <v>0</v>
      </c>
      <c r="U625" s="1763" t="b">
        <f t="shared" si="281"/>
        <v>0</v>
      </c>
      <c r="V625" s="1763" t="b">
        <f t="shared" si="281"/>
        <v>0</v>
      </c>
      <c r="W625" s="1763" t="b">
        <f t="shared" si="281"/>
        <v>0</v>
      </c>
      <c r="X625" s="1763" t="b">
        <f t="shared" si="281"/>
        <v>0</v>
      </c>
      <c r="Y625" s="1763" t="b">
        <f t="shared" si="281"/>
        <v>0</v>
      </c>
      <c r="Z625" s="1764" t="b">
        <f t="shared" si="281"/>
        <v>0</v>
      </c>
      <c r="AA625" s="343"/>
      <c r="AB625" s="672" t="s">
        <v>782</v>
      </c>
      <c r="AC625" s="1755" t="b">
        <f t="shared" ref="AC625:AI625" si="282">IF(CNTR_ExistSubInstEntries,OR($I617="",$R629,H624&gt;=CNTR_ReportingYear,AC624&lt;$V617-1),FALSE)</f>
        <v>0</v>
      </c>
      <c r="AD625" s="1042" t="b">
        <f t="shared" si="282"/>
        <v>0</v>
      </c>
      <c r="AE625" s="1042" t="b">
        <f t="shared" si="282"/>
        <v>0</v>
      </c>
      <c r="AF625" s="1042" t="b">
        <f t="shared" si="282"/>
        <v>0</v>
      </c>
      <c r="AG625" s="1042" t="b">
        <f t="shared" si="282"/>
        <v>0</v>
      </c>
      <c r="AH625" s="1042" t="b">
        <f t="shared" si="282"/>
        <v>0</v>
      </c>
      <c r="AI625" s="1043" t="b">
        <f t="shared" si="282"/>
        <v>0</v>
      </c>
      <c r="AJ625" s="553" t="s">
        <v>2248</v>
      </c>
      <c r="AK625" s="663" t="str">
        <f>IF(AND(CNTR_ExistSubInstEntries,COUNTIFS(AC625:AI625,FALSE,H625:N625,"")&gt;0),EUconst_Error&amp;"BM"&amp;$Q617,"")</f>
        <v/>
      </c>
      <c r="AL625" s="2"/>
    </row>
    <row r="626" spans="1:38" ht="13" customHeight="1" thickBot="1" x14ac:dyDescent="0.3">
      <c r="A626" s="2"/>
      <c r="B626" s="19"/>
      <c r="C626" s="19"/>
      <c r="D626" s="175" t="s">
        <v>9</v>
      </c>
      <c r="E626" s="2655" t="str">
        <f>Translations!$B$518</f>
        <v>Från blad ”H_SpecialBM”:</v>
      </c>
      <c r="F626" s="2655"/>
      <c r="G626" s="91" t="str">
        <f>G625</f>
        <v>ton</v>
      </c>
      <c r="H626" s="922" t="str">
        <f>IF(OR($I617="",H624&gt;=CNTR_ReportingYear),"",IF($R629,SUMIF(H_SpecialBM!$Q$9:$Q$414,$Q626,H_SpecialBM!H$9:H$414),""))</f>
        <v/>
      </c>
      <c r="I626" s="986" t="str">
        <f>IF(OR($I617="",I624&gt;=CNTR_ReportingYear),"",IF($R629,SUMIF(H_SpecialBM!$Q$9:$Q$414,$Q626,H_SpecialBM!I$9:I$414),""))</f>
        <v/>
      </c>
      <c r="J626" s="989" t="str">
        <f>IF(OR($I617="",J624&gt;=CNTR_ReportingYear),"",IF($R629,SUMIF(H_SpecialBM!$Q$9:$Q$414,$Q626,H_SpecialBM!J$9:J$414),""))</f>
        <v/>
      </c>
      <c r="K626" s="922" t="str">
        <f>IF(OR($I617="",K624&gt;=CNTR_ReportingYear),"",IF($R629,SUMIF(H_SpecialBM!$Q$9:$Q$414,$Q626,H_SpecialBM!K$9:K$414),""))</f>
        <v/>
      </c>
      <c r="L626" s="922" t="str">
        <f>IF(OR($I617="",L624&gt;=CNTR_ReportingYear),"",IF($R629,SUMIF(H_SpecialBM!$Q$9:$Q$414,$Q626,H_SpecialBM!L$9:L$414),""))</f>
        <v/>
      </c>
      <c r="M626" s="922" t="str">
        <f>IF(OR($I617="",M624&gt;=CNTR_ReportingYear),"",IF($R629,SUMIF(H_SpecialBM!$Q$9:$Q$414,$Q626,H_SpecialBM!M$9:M$414),""))</f>
        <v/>
      </c>
      <c r="N626" s="1125" t="str">
        <f>IF(OR($I617="",N624&gt;=CNTR_ReportingYear),"",IF($R629,SUMIF(H_SpecialBM!$Q$9:$Q$414,$Q626,H_SpecialBM!N$9:N$414),""))</f>
        <v/>
      </c>
      <c r="O626" s="15"/>
      <c r="P626" s="15"/>
      <c r="Q626" s="165" t="str">
        <f>EUconst_CNTR_HALspecial&amp;I617</f>
        <v>HALspecial_</v>
      </c>
      <c r="R626" s="2"/>
      <c r="S626" s="2"/>
      <c r="T626" s="2"/>
      <c r="U626" s="2"/>
      <c r="V626" s="2"/>
      <c r="W626" s="2"/>
      <c r="X626" s="2"/>
      <c r="Y626" s="2"/>
      <c r="Z626" s="2"/>
      <c r="AA626" s="2"/>
      <c r="AB626" s="672" t="s">
        <v>782</v>
      </c>
      <c r="AC626" s="1755" t="b">
        <f t="shared" ref="AC626:AI626" si="283">AND(CNTR_HasEntries_A_I,OR($R629=FALSE,H624&gt;=CNTR_ReportingYear))</f>
        <v>0</v>
      </c>
      <c r="AD626" s="1042" t="b">
        <f t="shared" si="283"/>
        <v>0</v>
      </c>
      <c r="AE626" s="1042" t="b">
        <f t="shared" si="283"/>
        <v>0</v>
      </c>
      <c r="AF626" s="1042" t="b">
        <f t="shared" si="283"/>
        <v>0</v>
      </c>
      <c r="AG626" s="1042" t="b">
        <f t="shared" si="283"/>
        <v>0</v>
      </c>
      <c r="AH626" s="1042" t="b">
        <f t="shared" si="283"/>
        <v>0</v>
      </c>
      <c r="AI626" s="1043" t="b">
        <f t="shared" si="283"/>
        <v>0</v>
      </c>
      <c r="AJ626" s="766"/>
      <c r="AK626" s="766"/>
      <c r="AL626" s="343"/>
    </row>
    <row r="627" spans="1:38" ht="13" customHeight="1" x14ac:dyDescent="0.25">
      <c r="A627" s="2"/>
      <c r="B627" s="19"/>
      <c r="C627" s="19"/>
      <c r="D627" s="175" t="s">
        <v>10</v>
      </c>
      <c r="E627" s="2655" t="str">
        <f>Translations!$B$519</f>
        <v>Värden som används för beräkning:</v>
      </c>
      <c r="F627" s="2655"/>
      <c r="G627" s="91" t="str">
        <f>G626</f>
        <v>ton</v>
      </c>
      <c r="H627" s="922" t="str">
        <f t="shared" ref="H627:N627" si="284">IF(OR($I617="",H624&gt;=CNTR_ReportingYear),"",IF($R629=TRUE,IF(ISNUMBER(H626),H626,0),IF(AND(H624&gt;=$V617-1,ISNUMBER(H625)),H625,0)))</f>
        <v/>
      </c>
      <c r="I627" s="986" t="str">
        <f t="shared" si="284"/>
        <v/>
      </c>
      <c r="J627" s="989" t="str">
        <f t="shared" si="284"/>
        <v/>
      </c>
      <c r="K627" s="922" t="str">
        <f t="shared" si="284"/>
        <v/>
      </c>
      <c r="L627" s="922" t="str">
        <f t="shared" si="284"/>
        <v/>
      </c>
      <c r="M627" s="922" t="str">
        <f t="shared" si="284"/>
        <v/>
      </c>
      <c r="N627" s="1125" t="str">
        <f t="shared" si="284"/>
        <v/>
      </c>
      <c r="O627" s="15"/>
      <c r="P627" s="918"/>
      <c r="Q627" s="165" t="str">
        <f>EUconst_CNTR_HAL&amp;I617</f>
        <v>HAL_</v>
      </c>
      <c r="R627" s="2"/>
      <c r="S627" s="2"/>
      <c r="T627" s="2"/>
      <c r="U627" s="2"/>
      <c r="V627" s="2"/>
      <c r="W627" s="2"/>
      <c r="X627" s="2"/>
      <c r="Y627" s="2"/>
      <c r="Z627" s="2"/>
      <c r="AA627" s="2"/>
      <c r="AB627" s="2"/>
      <c r="AC627" s="2"/>
      <c r="AD627" s="2"/>
      <c r="AE627" s="2"/>
      <c r="AF627" s="2"/>
      <c r="AG627" s="2"/>
      <c r="AH627" s="2"/>
      <c r="AI627" s="2"/>
      <c r="AJ627" s="553" t="s">
        <v>2242</v>
      </c>
      <c r="AK627" s="108" t="str">
        <f>IF(COUNTIFS(H624:N624,"&lt;"&amp;YEAR(SUM(T617)),H627:N627,"&gt;"&amp;0)&gt;0,EUconst_Error&amp;"BM"&amp;Q617,"")</f>
        <v/>
      </c>
      <c r="AL627" s="343"/>
    </row>
    <row r="628" spans="1:38" ht="5.15" customHeight="1" x14ac:dyDescent="0.25">
      <c r="A628" s="2"/>
      <c r="B628" s="178"/>
      <c r="C628" s="178"/>
      <c r="D628" s="178"/>
      <c r="E628" s="178"/>
      <c r="F628" s="178"/>
      <c r="G628" s="178"/>
      <c r="H628" s="178"/>
      <c r="I628" s="178"/>
      <c r="J628" s="178"/>
      <c r="K628" s="178"/>
      <c r="L628" s="178"/>
      <c r="M628" s="15"/>
      <c r="N628" s="15"/>
      <c r="O628" s="15"/>
      <c r="P628" s="15"/>
      <c r="Q628" s="343"/>
      <c r="R628" s="2"/>
      <c r="S628" s="343"/>
      <c r="T628" s="343"/>
      <c r="U628" s="2"/>
      <c r="V628" s="2"/>
      <c r="W628" s="2"/>
      <c r="X628" s="2"/>
      <c r="Y628" s="2"/>
      <c r="Z628" s="2"/>
      <c r="AA628" s="2"/>
      <c r="AB628" s="2"/>
      <c r="AC628" s="2"/>
      <c r="AD628" s="2"/>
      <c r="AE628" s="2"/>
      <c r="AF628" s="2"/>
      <c r="AG628" s="2"/>
      <c r="AH628" s="2"/>
      <c r="AI628" s="2"/>
      <c r="AJ628" s="2"/>
      <c r="AK628" s="2"/>
      <c r="AL628" s="2"/>
    </row>
    <row r="629" spans="1:38" ht="12.75" customHeight="1" x14ac:dyDescent="0.25">
      <c r="A629" s="2"/>
      <c r="B629" s="178"/>
      <c r="C629" s="178"/>
      <c r="D629" s="289" t="s">
        <v>23</v>
      </c>
      <c r="E629" s="1943" t="str">
        <f>Translations!$B$520</f>
        <v>Särskilda rapporteringskrav:</v>
      </c>
      <c r="F629" s="1943"/>
      <c r="G629" s="2067"/>
      <c r="H629" s="2652" t="str">
        <f>IF(I617="","",HYPERLINK(INDEX(EUconst_BMlistSpecialJumpTable,MATCH(I617,EUconst_BMlistNames,0)),INDEX(EUconst_BMlistSpecialReporting,MATCH(I617,EUconst_BMlistNames,0))))</f>
        <v/>
      </c>
      <c r="I629" s="2656"/>
      <c r="J629" s="2656"/>
      <c r="K629" s="2656"/>
      <c r="L629" s="2656"/>
      <c r="M629" s="2656"/>
      <c r="N629" s="2657"/>
      <c r="O629" s="15"/>
      <c r="P629" s="15"/>
      <c r="Q629" s="553" t="s">
        <v>133</v>
      </c>
      <c r="R629" s="108" t="str">
        <f>IF(I617="","",IF(AND(INDEX(EUconst_BMlistSpecialJumpTable,MATCH(I617,EUconst_BMlistNames,0))&lt;&gt;"",MATCH(I617,EUconst_BMlistNames,0)&lt;&gt;47),TRUE,FALSE))</f>
        <v/>
      </c>
      <c r="S629" s="343"/>
      <c r="T629" s="343"/>
      <c r="U629" s="2"/>
      <c r="V629" s="2"/>
      <c r="W629" s="2"/>
      <c r="X629" s="2"/>
      <c r="Y629" s="2"/>
      <c r="Z629" s="2"/>
      <c r="AA629" s="2"/>
      <c r="AB629" s="2"/>
      <c r="AC629" s="2"/>
      <c r="AD629" s="2"/>
      <c r="AE629" s="2"/>
      <c r="AF629" s="2"/>
      <c r="AG629" s="2"/>
      <c r="AH629" s="2"/>
      <c r="AI629" s="2"/>
      <c r="AJ629" s="2"/>
      <c r="AK629" s="2"/>
      <c r="AL629" s="2"/>
    </row>
    <row r="630" spans="1:38" ht="12.75" customHeight="1" x14ac:dyDescent="0.25">
      <c r="A630" s="2"/>
      <c r="B630" s="178"/>
      <c r="C630" s="178"/>
      <c r="D630" s="15"/>
      <c r="E630" s="2061" t="str">
        <f>Translations!$B$521</f>
        <v>Särskild information måste ges när det gäller vissa produktriktmärken (t.ex. CWT-värden). Ett automatiskt meddelande kommer att visas här, i relevanta fall.</v>
      </c>
      <c r="F630" s="1963"/>
      <c r="G630" s="1963"/>
      <c r="H630" s="1963"/>
      <c r="I630" s="1963"/>
      <c r="J630" s="1963"/>
      <c r="K630" s="1963"/>
      <c r="L630" s="1963"/>
      <c r="M630" s="1963"/>
      <c r="N630" s="1963"/>
      <c r="O630" s="15"/>
      <c r="P630" s="15"/>
      <c r="Q630" s="343"/>
      <c r="R630" s="2"/>
      <c r="S630" s="343"/>
      <c r="T630" s="343"/>
      <c r="U630" s="2"/>
      <c r="V630" s="2"/>
      <c r="W630" s="2"/>
      <c r="X630" s="2"/>
      <c r="Y630" s="2"/>
      <c r="Z630" s="2"/>
      <c r="AA630" s="2"/>
      <c r="AB630" s="2"/>
      <c r="AC630" s="2"/>
      <c r="AD630" s="2"/>
      <c r="AE630" s="2"/>
      <c r="AF630" s="2"/>
      <c r="AG630" s="2"/>
      <c r="AH630" s="2"/>
      <c r="AI630" s="2"/>
      <c r="AJ630" s="2"/>
      <c r="AK630" s="2"/>
      <c r="AL630" s="2"/>
    </row>
    <row r="631" spans="1:38" ht="5.15" customHeight="1" x14ac:dyDescent="0.25">
      <c r="A631" s="2"/>
      <c r="B631" s="178"/>
      <c r="C631" s="178"/>
      <c r="D631" s="15"/>
      <c r="E631" s="15"/>
      <c r="F631" s="15"/>
      <c r="G631" s="15"/>
      <c r="H631" s="15"/>
      <c r="I631" s="15"/>
      <c r="J631" s="15"/>
      <c r="K631" s="15"/>
      <c r="L631" s="15"/>
      <c r="M631" s="15"/>
      <c r="N631" s="15"/>
      <c r="O631" s="15"/>
      <c r="P631" s="15"/>
      <c r="Q631" s="343"/>
      <c r="R631" s="2"/>
      <c r="S631" s="343"/>
      <c r="T631" s="343"/>
      <c r="U631" s="2"/>
      <c r="V631" s="2"/>
      <c r="W631" s="2"/>
      <c r="X631" s="2"/>
      <c r="Y631" s="2"/>
      <c r="Z631" s="343"/>
      <c r="AA631" s="2"/>
      <c r="AB631" s="2"/>
      <c r="AC631" s="2"/>
      <c r="AD631" s="2"/>
      <c r="AE631" s="2"/>
      <c r="AF631" s="2"/>
      <c r="AG631" s="2"/>
      <c r="AH631" s="2"/>
      <c r="AI631" s="2"/>
      <c r="AJ631" s="2"/>
      <c r="AK631" s="2"/>
      <c r="AL631" s="343"/>
    </row>
    <row r="632" spans="1:38" ht="12.75" customHeight="1" x14ac:dyDescent="0.25">
      <c r="A632" s="2"/>
      <c r="B632" s="178"/>
      <c r="C632" s="178"/>
      <c r="D632" s="13" t="s">
        <v>955</v>
      </c>
      <c r="E632" s="1943" t="str">
        <f>Translations!$B$1467</f>
        <v>Eventuella justeringar av verksamhetsnivå</v>
      </c>
      <c r="F632" s="1963"/>
      <c r="G632" s="1963"/>
      <c r="H632" s="1963"/>
      <c r="I632" s="1963"/>
      <c r="J632" s="1963"/>
      <c r="K632" s="1963"/>
      <c r="L632" s="1963"/>
      <c r="M632" s="1963"/>
      <c r="N632" s="1963"/>
      <c r="O632" s="15"/>
      <c r="P632" s="15"/>
      <c r="Q632" s="343"/>
      <c r="R632" s="2"/>
      <c r="S632" s="343"/>
      <c r="T632" s="343"/>
      <c r="U632" s="2"/>
      <c r="V632" s="2"/>
      <c r="W632" s="2"/>
      <c r="X632" s="2"/>
      <c r="Y632" s="2"/>
      <c r="Z632" s="343"/>
      <c r="AA632" s="2"/>
      <c r="AB632" s="2"/>
      <c r="AC632" s="2"/>
      <c r="AD632" s="2"/>
      <c r="AE632" s="2"/>
      <c r="AF632" s="2"/>
      <c r="AG632" s="2"/>
      <c r="AH632" s="2"/>
      <c r="AI632" s="2"/>
      <c r="AJ632" s="2"/>
      <c r="AK632" s="2"/>
      <c r="AL632" s="343"/>
    </row>
    <row r="633" spans="1:38" ht="12.75" customHeight="1" x14ac:dyDescent="0.25">
      <c r="A633" s="2"/>
      <c r="B633" s="178"/>
      <c r="C633" s="178"/>
      <c r="D633" s="15"/>
      <c r="E633" s="2061" t="str">
        <f>Translations!$B$1468</f>
        <v>Den historiska verksamhetsnivån (HAL) kommer att bestämmas automatiskt baserat på uppgifter under punkt a) ovan och uppgifter i blad B+C_SubInstallations. För nya delanläggningar kommer HAL att visas under v) baserat på det första fullständiga verksamhetsåret.</v>
      </c>
      <c r="F633" s="1963"/>
      <c r="G633" s="1963"/>
      <c r="H633" s="1963"/>
      <c r="I633" s="1963"/>
      <c r="J633" s="1963"/>
      <c r="K633" s="1963"/>
      <c r="L633" s="1963"/>
      <c r="M633" s="1963"/>
      <c r="N633" s="1963"/>
      <c r="O633" s="15"/>
      <c r="P633" s="15"/>
      <c r="Q633" s="343"/>
      <c r="R633" s="2"/>
      <c r="S633" s="343"/>
      <c r="T633" s="343"/>
      <c r="U633" s="343"/>
      <c r="V633" s="2"/>
      <c r="W633" s="2"/>
      <c r="X633" s="2"/>
      <c r="Y633" s="2"/>
      <c r="Z633" s="2"/>
      <c r="AA633" s="2"/>
      <c r="AB633" s="2"/>
      <c r="AC633" s="2"/>
      <c r="AD633" s="2"/>
      <c r="AE633" s="2"/>
      <c r="AF633" s="2"/>
      <c r="AG633" s="2"/>
      <c r="AH633" s="2"/>
      <c r="AI633" s="2"/>
      <c r="AJ633" s="2"/>
      <c r="AK633" s="2"/>
      <c r="AL633" s="2"/>
    </row>
    <row r="634" spans="1:38" ht="25.5" customHeight="1" x14ac:dyDescent="0.25">
      <c r="A634" s="2"/>
      <c r="B634" s="178"/>
      <c r="C634" s="178"/>
      <c r="D634" s="15"/>
      <c r="E634" s="2061" t="str">
        <f>Translations!$B$1469</f>
        <v>Baserat på värdena för HAL och värdena under punkt a) ovan bestäms de genomsnittliga verksamhetsnivåerna här. Tilldelningen kommer endast att ändras om alla följande tröskelvärden i artikel 5 i verksamhetsändringsförordningen överskrids:</v>
      </c>
      <c r="F634" s="1963"/>
      <c r="G634" s="1963"/>
      <c r="H634" s="1963"/>
      <c r="I634" s="1963"/>
      <c r="J634" s="1963"/>
      <c r="K634" s="1963"/>
      <c r="L634" s="1963"/>
      <c r="M634" s="1963"/>
      <c r="N634" s="1963"/>
      <c r="O634" s="15"/>
      <c r="P634" s="15"/>
      <c r="Q634" s="343"/>
      <c r="R634" s="2"/>
      <c r="S634" s="343"/>
      <c r="T634" s="343"/>
      <c r="U634" s="343"/>
      <c r="V634" s="2"/>
      <c r="W634" s="2"/>
      <c r="X634" s="2"/>
      <c r="Y634" s="2"/>
      <c r="Z634" s="2"/>
      <c r="AA634" s="2"/>
      <c r="AB634" s="2"/>
      <c r="AC634" s="2"/>
      <c r="AD634" s="2"/>
      <c r="AE634" s="2"/>
      <c r="AF634" s="2"/>
      <c r="AG634" s="2"/>
      <c r="AH634" s="2"/>
      <c r="AI634" s="2"/>
      <c r="AJ634" s="2"/>
      <c r="AK634" s="2"/>
      <c r="AL634" s="2"/>
    </row>
    <row r="635" spans="1:38" ht="12.75" customHeight="1" x14ac:dyDescent="0.25">
      <c r="A635" s="2"/>
      <c r="B635" s="178"/>
      <c r="C635" s="178"/>
      <c r="D635" s="15"/>
      <c r="E635" s="1102" t="s">
        <v>1112</v>
      </c>
      <c r="F635" s="2095" t="str">
        <f>Translations!$B$1470</f>
        <v>De relativa tröskelvärdena (15 % och 5 % för efterföljande ändringar) för de genomsnittliga verksamhetsnivåerna jämfört med HAL</v>
      </c>
      <c r="G635" s="2159"/>
      <c r="H635" s="2159"/>
      <c r="I635" s="2159"/>
      <c r="J635" s="2159"/>
      <c r="K635" s="2159"/>
      <c r="L635" s="2159"/>
      <c r="M635" s="2159"/>
      <c r="N635" s="2159"/>
      <c r="O635" s="15"/>
      <c r="P635" s="15"/>
      <c r="Q635" s="343"/>
      <c r="R635" s="2"/>
      <c r="S635" s="343"/>
      <c r="T635" s="343"/>
      <c r="U635" s="343"/>
      <c r="V635" s="2"/>
      <c r="W635" s="2"/>
      <c r="X635" s="2"/>
      <c r="Y635" s="2"/>
      <c r="Z635" s="2"/>
      <c r="AA635" s="2"/>
      <c r="AB635" s="2"/>
      <c r="AC635" s="2"/>
      <c r="AD635" s="2"/>
      <c r="AE635" s="2"/>
      <c r="AF635" s="2"/>
      <c r="AG635" s="2"/>
      <c r="AH635" s="2"/>
      <c r="AI635" s="2"/>
      <c r="AJ635" s="2"/>
      <c r="AK635" s="2"/>
      <c r="AL635" s="2"/>
    </row>
    <row r="636" spans="1:38" ht="12.75" customHeight="1" thickBot="1" x14ac:dyDescent="0.3">
      <c r="A636" s="2"/>
      <c r="B636" s="178"/>
      <c r="C636" s="178"/>
      <c r="D636" s="15"/>
      <c r="E636" s="1102" t="s">
        <v>1112</v>
      </c>
      <c r="F636" s="2095" t="str">
        <f>Translations!$B$1471</f>
        <v>Det absoluta tröskelvärdet, dvs. en ändring skulle leda till en ändring av den preliminära tilldelningen på minst 100 utsläppsrätter</v>
      </c>
      <c r="G636" s="2159"/>
      <c r="H636" s="2159"/>
      <c r="I636" s="2159"/>
      <c r="J636" s="2159"/>
      <c r="K636" s="2159"/>
      <c r="L636" s="2159"/>
      <c r="M636" s="2159"/>
      <c r="N636" s="2159"/>
      <c r="O636" s="15"/>
      <c r="P636" s="15"/>
      <c r="Q636" s="343"/>
      <c r="R636" s="2"/>
      <c r="S636" s="343"/>
      <c r="T636" s="343"/>
      <c r="U636" s="343"/>
      <c r="V636" s="2"/>
      <c r="W636" s="2"/>
      <c r="X636" s="2"/>
      <c r="Y636" s="2"/>
      <c r="Z636" s="2"/>
      <c r="AA636" s="2"/>
      <c r="AB636" s="2"/>
      <c r="AC636" s="2"/>
      <c r="AD636" s="2"/>
      <c r="AE636" s="2"/>
      <c r="AF636" s="2"/>
      <c r="AG636" s="2"/>
      <c r="AH636" s="2"/>
      <c r="AI636" s="2"/>
      <c r="AJ636" s="2"/>
      <c r="AK636" s="2"/>
      <c r="AL636" s="2"/>
    </row>
    <row r="637" spans="1:38" ht="5.15" customHeight="1" thickBot="1" x14ac:dyDescent="0.3">
      <c r="A637" s="2"/>
      <c r="B637" s="178"/>
      <c r="C637" s="178"/>
      <c r="D637" s="1238"/>
      <c r="E637" s="1278"/>
      <c r="F637" s="1239"/>
      <c r="G637" s="1279"/>
      <c r="H637" s="1279"/>
      <c r="I637" s="1279"/>
      <c r="J637" s="1279"/>
      <c r="K637" s="1279"/>
      <c r="L637" s="1279"/>
      <c r="M637" s="1279"/>
      <c r="N637" s="1280"/>
      <c r="O637" s="15"/>
      <c r="P637" s="15"/>
      <c r="Q637" s="343"/>
      <c r="R637" s="2"/>
      <c r="S637" s="343"/>
      <c r="T637" s="343"/>
      <c r="U637" s="343"/>
      <c r="V637" s="2"/>
      <c r="W637" s="2"/>
      <c r="X637" s="2"/>
      <c r="Y637" s="2"/>
      <c r="Z637" s="2"/>
      <c r="AA637" s="2"/>
      <c r="AB637" s="2"/>
      <c r="AC637" s="2"/>
      <c r="AD637" s="2"/>
      <c r="AE637" s="2"/>
      <c r="AF637" s="2"/>
      <c r="AG637" s="2"/>
      <c r="AH637" s="2"/>
      <c r="AI637" s="2"/>
      <c r="AJ637" s="2"/>
      <c r="AK637" s="2"/>
      <c r="AL637" s="2"/>
    </row>
    <row r="638" spans="1:38" ht="12.75" customHeight="1" x14ac:dyDescent="0.25">
      <c r="A638" s="2"/>
      <c r="B638" s="178"/>
      <c r="C638" s="178"/>
      <c r="D638" s="1290"/>
      <c r="E638" s="1243" t="str">
        <f>Translations!$B$1340</f>
        <v>Justeringar</v>
      </c>
      <c r="F638" s="1244"/>
      <c r="G638" s="1244"/>
      <c r="H638" s="1228" t="str">
        <f>EUconst_Unit</f>
        <v>Enhet</v>
      </c>
      <c r="I638" s="1229" t="str">
        <f>Translations!$B$1472</f>
        <v>HAL</v>
      </c>
      <c r="J638" s="1268">
        <f>J$3042</f>
        <v>2021</v>
      </c>
      <c r="K638" s="1230">
        <f>K$3042</f>
        <v>2022</v>
      </c>
      <c r="L638" s="1230">
        <f>L$3042</f>
        <v>2023</v>
      </c>
      <c r="M638" s="1230">
        <f>M$3042</f>
        <v>2024</v>
      </c>
      <c r="N638" s="1258">
        <f>N$3042</f>
        <v>2025</v>
      </c>
      <c r="O638" s="15"/>
      <c r="P638" s="15"/>
      <c r="Q638" s="343"/>
      <c r="R638" s="2"/>
      <c r="S638" s="2"/>
      <c r="T638" s="2"/>
      <c r="U638" s="772"/>
      <c r="V638" s="1077">
        <f>J638</f>
        <v>2021</v>
      </c>
      <c r="W638" s="1077">
        <f>K638</f>
        <v>2022</v>
      </c>
      <c r="X638" s="1077">
        <f>L638</f>
        <v>2023</v>
      </c>
      <c r="Y638" s="1077">
        <f>M638</f>
        <v>2024</v>
      </c>
      <c r="Z638" s="1078">
        <f>N638</f>
        <v>2025</v>
      </c>
      <c r="AA638" s="2"/>
      <c r="AB638" s="2"/>
      <c r="AC638" s="2"/>
      <c r="AD638" s="2"/>
      <c r="AE638" s="2"/>
      <c r="AF638" s="2"/>
      <c r="AG638" s="2"/>
      <c r="AH638" s="2"/>
      <c r="AI638" s="2"/>
      <c r="AJ638" s="2"/>
      <c r="AK638" s="2"/>
      <c r="AL638" s="2"/>
    </row>
    <row r="639" spans="1:38" ht="12.75" customHeight="1" x14ac:dyDescent="0.25">
      <c r="A639" s="2"/>
      <c r="B639" s="178"/>
      <c r="C639" s="178"/>
      <c r="D639" s="1246" t="s">
        <v>8</v>
      </c>
      <c r="E639" s="1231" t="str">
        <f>Translations!$B$1473</f>
        <v>Genomsnittlig årlig verksamhetsnivå</v>
      </c>
      <c r="F639" s="1231"/>
      <c r="G639" s="1231"/>
      <c r="H639" s="917" t="str">
        <f>IF(INDEX(CNTR_SubInstListIsProdBM,$C617),INDEX(CNTR_SubInstListHALUnit,$C617),EUconst_Tons)</f>
        <v>ton</v>
      </c>
      <c r="I639" s="990" t="str">
        <f>IF(V617&gt;($J$3042-3),EUconst_NA,INDEX('B+C_SubInstallations'!$I:$I,MATCH(Q639,'B+C_SubInstallations'!$T:$T,0)))</f>
        <v/>
      </c>
      <c r="J639" s="993" t="str">
        <f>IF(AND(V639&gt;=3,CNTR_ReportingYear&gt;J638-1),AVERAGE(H627:I627),"")</f>
        <v/>
      </c>
      <c r="K639" s="920" t="str">
        <f>IF(AND(W639&gt;=3,CNTR_ReportingYear&gt;K638-1),AVERAGE(I627:J627),"")</f>
        <v/>
      </c>
      <c r="L639" s="920" t="str">
        <f>IF(AND(X639&gt;=3,CNTR_ReportingYear&gt;L638-1),AVERAGE(J627:K627),"")</f>
        <v/>
      </c>
      <c r="M639" s="920" t="str">
        <f>IF(AND(Y639&gt;=3,CNTR_ReportingYear&gt;M638-1),AVERAGE(K627:L627),"")</f>
        <v/>
      </c>
      <c r="N639" s="1218" t="str">
        <f>IF(AND(Z639&gt;=3,CNTR_ReportingYear&gt;N638-1),AVERAGE(L627:M627),"")</f>
        <v/>
      </c>
      <c r="O639" s="15"/>
      <c r="P639" s="15"/>
      <c r="Q639" s="672" t="str">
        <f>EUconst_CNTR_HALinitial&amp;I617</f>
        <v>HALini_</v>
      </c>
      <c r="R639" s="2"/>
      <c r="S639" s="2"/>
      <c r="T639" s="2"/>
      <c r="U639" s="1088" t="s">
        <v>1850</v>
      </c>
      <c r="V639" s="663">
        <f>IF($I617="",0,V638-$V617+1)</f>
        <v>0</v>
      </c>
      <c r="W639" s="663">
        <f>IF($I617="",0,W638-$V617+1)</f>
        <v>0</v>
      </c>
      <c r="X639" s="663">
        <f>IF($I617="",0,X638-$V617+1)</f>
        <v>0</v>
      </c>
      <c r="Y639" s="663">
        <f>IF($I617="",0,Y638-$V617+1)</f>
        <v>0</v>
      </c>
      <c r="Z639" s="1080">
        <f>IF($I617="",0,Z638-$V617+1)</f>
        <v>0</v>
      </c>
      <c r="AA639" s="2"/>
      <c r="AB639" s="2"/>
      <c r="AC639" s="2"/>
      <c r="AD639" s="2"/>
      <c r="AE639" s="2"/>
      <c r="AF639" s="2"/>
      <c r="AG639" s="2"/>
      <c r="AH639" s="2"/>
      <c r="AI639" s="2"/>
      <c r="AJ639" s="2"/>
      <c r="AK639" s="2"/>
      <c r="AL639" s="2"/>
    </row>
    <row r="640" spans="1:38" ht="12.75" hidden="1" customHeight="1" x14ac:dyDescent="0.25">
      <c r="A640" s="343" t="s">
        <v>346</v>
      </c>
      <c r="B640" s="178"/>
      <c r="C640" s="178"/>
      <c r="D640" s="1242"/>
      <c r="E640" s="1281" t="s">
        <v>1848</v>
      </c>
      <c r="F640" s="1281"/>
      <c r="G640" s="1281"/>
      <c r="H640" s="1283"/>
      <c r="I640" s="1284"/>
      <c r="J640" s="991" t="str">
        <f>IF(J639="","",IF($I642=0,IF(J639=0,0%,100%),J639/$I642-1))</f>
        <v/>
      </c>
      <c r="K640" s="960" t="str">
        <f>IF(K639="","",IF($I642=0,IF(K639=0,0%,100%),K639/$I642-1))</f>
        <v/>
      </c>
      <c r="L640" s="960" t="str">
        <f>IF(L639="","",IF($I642=0,IF(L639=0,0%,100%),L639/$I642-1))</f>
        <v/>
      </c>
      <c r="M640" s="960" t="str">
        <f>IF(M639="","",IF($I642=0,IF(M639=0,0%,100%),M639/$I642-1))</f>
        <v/>
      </c>
      <c r="N640" s="1219" t="str">
        <f>IF(N639="","",IF($I642=0,IF(N639=0,0%,100%),N639/$I642-1))</f>
        <v/>
      </c>
      <c r="O640" s="15"/>
      <c r="P640" s="15"/>
      <c r="Q640" s="165" t="str">
        <f>EUconst_CNTR_RelThreshold &amp; Q642</f>
        <v>RelThresh_HALprelim_</v>
      </c>
      <c r="R640" s="2"/>
      <c r="S640" s="2"/>
      <c r="T640" s="2"/>
      <c r="U640" s="1088" t="s">
        <v>1855</v>
      </c>
      <c r="V640" s="603" t="str">
        <f>IF(J639="","",ABS(J640)&gt;15%)</f>
        <v/>
      </c>
      <c r="W640" s="603" t="str">
        <f>IF(K639="","",ABS(K640)&gt;15%)</f>
        <v/>
      </c>
      <c r="X640" s="603" t="str">
        <f>IF(L639="","",ABS(L640)&gt;15%)</f>
        <v/>
      </c>
      <c r="Y640" s="603" t="str">
        <f>IF(M639="","",ABS(M640)&gt;15%)</f>
        <v/>
      </c>
      <c r="Z640" s="1756" t="str">
        <f>IF(N639="","",ABS(N640)&gt;15%)</f>
        <v/>
      </c>
      <c r="AA640" s="2"/>
      <c r="AB640" s="2"/>
      <c r="AC640" s="2"/>
      <c r="AD640" s="2"/>
      <c r="AE640" s="2"/>
      <c r="AF640" s="2"/>
      <c r="AG640" s="2"/>
      <c r="AH640" s="2"/>
      <c r="AI640" s="2"/>
      <c r="AJ640" s="2"/>
      <c r="AK640" s="2"/>
      <c r="AL640" s="343"/>
    </row>
    <row r="641" spans="1:38" ht="12.75" customHeight="1" x14ac:dyDescent="0.25">
      <c r="A641" s="343"/>
      <c r="B641" s="178"/>
      <c r="C641" s="178"/>
      <c r="D641" s="1246" t="s">
        <v>9</v>
      </c>
      <c r="E641" s="1231" t="str">
        <f>Translations!$B$1474</f>
        <v>Preliminär justering (om relativa tröskelvärden överskrids)</v>
      </c>
      <c r="F641" s="1231"/>
      <c r="G641" s="1231"/>
      <c r="H641" s="1233"/>
      <c r="I641" s="1235"/>
      <c r="J641" s="992" t="str">
        <f>IF(J639="","",IF(V640=FALSE,0%,IF(V641,J640,I647)))</f>
        <v/>
      </c>
      <c r="K641" s="937" t="str">
        <f>IF(K639="","",IF(W640=FALSE,0%,IF(W641,K640,J647)))</f>
        <v/>
      </c>
      <c r="L641" s="937" t="str">
        <f>IF(L639="","",IF(X640=FALSE,0%,IF(X641,L640,K647)))</f>
        <v/>
      </c>
      <c r="M641" s="937" t="str">
        <f>IF(M639="","",IF(Y640=FALSE,0%,IF(Y641,M640,L647)))</f>
        <v/>
      </c>
      <c r="N641" s="1220" t="str">
        <f>IF(N639="","",IF(Z640=FALSE,0%,IF(Z641,N640,M647)))</f>
        <v/>
      </c>
      <c r="O641" s="15"/>
      <c r="P641" s="15"/>
      <c r="Q641" s="2"/>
      <c r="R641" s="2"/>
      <c r="S641" s="2"/>
      <c r="T641" s="2"/>
      <c r="U641" s="1088" t="s">
        <v>1856</v>
      </c>
      <c r="V641" s="603" t="str">
        <f>IF(J639="","",AND(V640,IF(SUM(I647)&lt;0,OR(SUM(J640)&lt;SUM(I647)-MOD(SUM(I647),5%),J640&gt;=SUM(I647)+5%-MOD(SUM(I647),5%)),OR(SUM(J640)&lt;=SUM(I647)-MOD(SUM(I647),5%),SUM(J640)&gt;SUM(I647)+5%-MOD(SUM(I647),5%)))))</f>
        <v/>
      </c>
      <c r="W641" s="603" t="str">
        <f>IF(K639="","",AND(W640,IF(SUM(J647)&lt;0,OR(SUM(K640)&lt;SUM(J647)-MOD(SUM(J647),5%),K640&gt;=SUM(J647)+5%-MOD(SUM(J647),5%)),OR(SUM(K640)&lt;=SUM(J647)-MOD(SUM(J647),5%),SUM(K640)&gt;SUM(J647)+5%-MOD(SUM(J647),5%)))))</f>
        <v/>
      </c>
      <c r="X641" s="603" t="str">
        <f>IF(L639="","",AND(X640,IF(SUM(K647)&lt;0,OR(SUM(L640)&lt;SUM(K647)-MOD(SUM(K647),5%),L640&gt;=SUM(K647)+5%-MOD(SUM(K647),5%)),OR(SUM(L640)&lt;=SUM(K647)-MOD(SUM(K647),5%),SUM(L640)&gt;SUM(K647)+5%-MOD(SUM(K647),5%)))))</f>
        <v/>
      </c>
      <c r="Y641" s="603" t="str">
        <f>IF(M639="","",AND(Y640,IF(SUM(L647)&lt;0,OR(SUM(M640)&lt;SUM(L647)-MOD(SUM(L647),5%),M640&gt;=SUM(L647)+5%-MOD(SUM(L647),5%)),OR(SUM(M640)&lt;=SUM(L647)-MOD(SUM(L647),5%),SUM(M640)&gt;SUM(L647)+5%-MOD(SUM(L647),5%)))))</f>
        <v/>
      </c>
      <c r="Z641" s="1756" t="str">
        <f>IF(N639="","",AND(Z640,IF(SUM(M647)&lt;0,OR(SUM(N640)&lt;SUM(M647)-MOD(SUM(M647),5%),N640&gt;=SUM(M647)+5%-MOD(SUM(M647),5%)),OR(SUM(N640)&lt;=SUM(M647)-MOD(SUM(M647),5%),SUM(N640)&gt;SUM(M647)+5%-MOD(SUM(M647),5%)))))</f>
        <v/>
      </c>
      <c r="AA641" s="2"/>
      <c r="AB641" s="2"/>
      <c r="AC641" s="2"/>
      <c r="AD641" s="2"/>
      <c r="AE641" s="2"/>
      <c r="AF641" s="2"/>
      <c r="AG641" s="2"/>
      <c r="AH641" s="2"/>
      <c r="AI641" s="2"/>
      <c r="AJ641" s="2"/>
      <c r="AK641" s="2"/>
      <c r="AL641" s="343"/>
    </row>
    <row r="642" spans="1:38" ht="12.75" hidden="1" customHeight="1" x14ac:dyDescent="0.25">
      <c r="A642" s="343" t="s">
        <v>346</v>
      </c>
      <c r="B642" s="178"/>
      <c r="C642" s="178"/>
      <c r="D642" s="1242"/>
      <c r="E642" s="1231" t="s">
        <v>1889</v>
      </c>
      <c r="F642" s="1231"/>
      <c r="G642" s="1231"/>
      <c r="H642" s="917" t="str">
        <f>H639</f>
        <v>ton</v>
      </c>
      <c r="I642" s="990" t="str">
        <f>IF(I617="","",IF(AB617=FALSE,EUconst_NA,IF(V617&gt;($J$3042-3),INDEX(H627:N627,MATCH(V617,H624:N624,0)),SUM(I639))))</f>
        <v/>
      </c>
      <c r="J642" s="993" t="str">
        <f>IF($I617="","",IF(V639&lt;2,SUM(J627),IF(V639&lt;3,SUM(I627),IF(V642="",I642,V642))))</f>
        <v/>
      </c>
      <c r="K642" s="920" t="str">
        <f>IF($I617="","",IF(W639&lt;2,SUM(K627),IF(W639&lt;3,SUM(J627),IF(W642="",J642,W642))))</f>
        <v/>
      </c>
      <c r="L642" s="920" t="str">
        <f>IF($I617="","",IF(X639&lt;2,SUM(L627),IF(X639&lt;3,SUM(K627),IF(X642="",K642,X642))))</f>
        <v/>
      </c>
      <c r="M642" s="920" t="str">
        <f>IF($I617="","",IF(Y639&lt;2,SUM(M627),IF(Y639&lt;3,SUM(L627),IF(Y642="",L642,Y642))))</f>
        <v/>
      </c>
      <c r="N642" s="1218" t="str">
        <f>IF($I617="","",IF(Z639&lt;2,SUM(N627),IF(Z639&lt;3,SUM(M627),IF(Z642="",M642,Z642))))</f>
        <v/>
      </c>
      <c r="O642" s="15"/>
      <c r="P642" s="15"/>
      <c r="Q642" s="672" t="str">
        <f>EUconst_CNTR_HALprelim&amp;I617</f>
        <v>HALprelim_</v>
      </c>
      <c r="R642" s="2"/>
      <c r="S642" s="2"/>
      <c r="T642" s="2"/>
      <c r="U642" s="1088" t="s">
        <v>1898</v>
      </c>
      <c r="V642" s="1752" t="str">
        <f>IF(J639="","",IF(CNTR_ReportingYear&lt;J638,I641,IF($I642=0,J639,$I642*(1+J641))))</f>
        <v/>
      </c>
      <c r="W642" s="1752" t="str">
        <f>IF(K639="","",IF(CNTR_ReportingYear&lt;K638,J641,IF($I642=0,K639,$I642*(1+K641))))</f>
        <v/>
      </c>
      <c r="X642" s="1752" t="str">
        <f>IF(L639="","",IF(CNTR_ReportingYear&lt;L638,K641,IF($I642=0,L639,$I642*(1+L641))))</f>
        <v/>
      </c>
      <c r="Y642" s="1752" t="str">
        <f>IF(M639="","",IF(CNTR_ReportingYear&lt;M638,L641,IF($I642=0,M639,$I642*(1+M641))))</f>
        <v/>
      </c>
      <c r="Z642" s="1761" t="str">
        <f>IF(N639="","",IF(CNTR_ReportingYear&lt;N638,M641,IF($I642=0,N639,$I642*(1+N641))))</f>
        <v/>
      </c>
      <c r="AA642" s="2"/>
      <c r="AB642" s="2"/>
      <c r="AC642" s="2"/>
      <c r="AD642" s="2"/>
      <c r="AE642" s="2"/>
      <c r="AF642" s="2"/>
      <c r="AG642" s="2"/>
      <c r="AH642" s="2"/>
      <c r="AI642" s="2"/>
      <c r="AJ642" s="2"/>
      <c r="AK642" s="2"/>
      <c r="AL642" s="343"/>
    </row>
    <row r="643" spans="1:38" ht="5.15" customHeight="1" x14ac:dyDescent="0.25">
      <c r="A643" s="343"/>
      <c r="B643" s="178"/>
      <c r="C643" s="178"/>
      <c r="D643" s="1242"/>
      <c r="E643" s="1244"/>
      <c r="F643" s="1244"/>
      <c r="G643" s="1244"/>
      <c r="H643" s="1244"/>
      <c r="I643" s="1244"/>
      <c r="J643" s="1236"/>
      <c r="K643" s="1236"/>
      <c r="L643" s="1236"/>
      <c r="M643" s="1236"/>
      <c r="N643" s="1247"/>
      <c r="O643" s="15"/>
      <c r="P643" s="15"/>
      <c r="Q643" s="343"/>
      <c r="R643" s="2"/>
      <c r="S643" s="2"/>
      <c r="T643" s="2"/>
      <c r="U643" s="1086"/>
      <c r="V643" s="343"/>
      <c r="W643" s="2"/>
      <c r="X643" s="2"/>
      <c r="Y643" s="2"/>
      <c r="Z643" s="228"/>
      <c r="AA643" s="2"/>
      <c r="AB643" s="2"/>
      <c r="AC643" s="2"/>
      <c r="AD643" s="2"/>
      <c r="AE643" s="2"/>
      <c r="AF643" s="2"/>
      <c r="AG643" s="2"/>
      <c r="AH643" s="2"/>
      <c r="AI643" s="2"/>
      <c r="AJ643" s="2"/>
      <c r="AK643" s="2"/>
      <c r="AL643" s="343"/>
    </row>
    <row r="644" spans="1:38" ht="12.75" customHeight="1" x14ac:dyDescent="0.25">
      <c r="A644" s="343"/>
      <c r="B644" s="178"/>
      <c r="C644" s="178"/>
      <c r="D644" s="1242"/>
      <c r="E644" s="1234" t="str">
        <f>Translations!$B$1475</f>
        <v>Faktisk justering (grund för följande år)</v>
      </c>
      <c r="F644" s="1234"/>
      <c r="G644" s="1234"/>
      <c r="H644" s="1234"/>
      <c r="I644" s="1234"/>
      <c r="J644" s="1268">
        <f>J$3042</f>
        <v>2021</v>
      </c>
      <c r="K644" s="1230">
        <f>K$3042</f>
        <v>2022</v>
      </c>
      <c r="L644" s="1230">
        <f>L$3042</f>
        <v>2023</v>
      </c>
      <c r="M644" s="1230">
        <f>M$3042</f>
        <v>2024</v>
      </c>
      <c r="N644" s="1258">
        <f>N$3042</f>
        <v>2025</v>
      </c>
      <c r="O644" s="15"/>
      <c r="P644" s="15"/>
      <c r="Q644" s="343"/>
      <c r="R644" s="2"/>
      <c r="S644" s="2"/>
      <c r="T644" s="2"/>
      <c r="U644" s="584"/>
      <c r="V644" s="2"/>
      <c r="W644" s="2"/>
      <c r="X644" s="2"/>
      <c r="Y644" s="2"/>
      <c r="Z644" s="228"/>
      <c r="AA644" s="2"/>
      <c r="AB644" s="2"/>
      <c r="AC644" s="2"/>
      <c r="AD644" s="2"/>
      <c r="AE644" s="2"/>
      <c r="AF644" s="2"/>
      <c r="AG644" s="2"/>
      <c r="AH644" s="2"/>
      <c r="AI644" s="2"/>
      <c r="AJ644" s="2"/>
      <c r="AK644" s="2"/>
      <c r="AL644" s="343"/>
    </row>
    <row r="645" spans="1:38" ht="12.75" customHeight="1" x14ac:dyDescent="0.25">
      <c r="A645" s="343"/>
      <c r="B645" s="178"/>
      <c r="C645" s="178"/>
      <c r="D645" s="1246" t="s">
        <v>10</v>
      </c>
      <c r="E645" s="1231" t="str">
        <f>Translations!$B$1476</f>
        <v>&gt;= 100 utsläppsrätter kriterium uppnått?</v>
      </c>
      <c r="F645" s="1231"/>
      <c r="G645" s="1231"/>
      <c r="H645" s="1231"/>
      <c r="I645" s="1231"/>
      <c r="J645" s="994" t="str">
        <f>IF($I617="","",INDEX(K_Summary!J:J,MATCH($Q645,K_Summary!$P:$P,0)))</f>
        <v/>
      </c>
      <c r="K645" s="912" t="str">
        <f>IF($I617="","",INDEX(K_Summary!K:K,MATCH($Q645,K_Summary!$P:$P,0)))</f>
        <v/>
      </c>
      <c r="L645" s="912" t="str">
        <f>IF($I617="","",INDEX(K_Summary!L:L,MATCH($Q645,K_Summary!$P:$P,0)))</f>
        <v/>
      </c>
      <c r="M645" s="912" t="str">
        <f>IF($I617="","",INDEX(K_Summary!M:M,MATCH($Q645,K_Summary!$P:$P,0)))</f>
        <v/>
      </c>
      <c r="N645" s="1221" t="str">
        <f>IF($I617="","",INDEX(K_Summary!N:N,MATCH($Q645,K_Summary!$P:$P,0)))</f>
        <v/>
      </c>
      <c r="O645" s="15"/>
      <c r="P645" s="15"/>
      <c r="Q645" s="672" t="str">
        <f>EUconst_CNTR_100EUA_ActivityLevel&amp;I617</f>
        <v>EUA100AL_</v>
      </c>
      <c r="R645" s="2"/>
      <c r="S645" s="2"/>
      <c r="T645" s="2"/>
      <c r="U645" s="584"/>
      <c r="V645" s="1123"/>
      <c r="W645" s="1123"/>
      <c r="X645" s="1123"/>
      <c r="Y645" s="1123"/>
      <c r="Z645" s="228"/>
      <c r="AA645" s="2"/>
      <c r="AB645" s="2"/>
      <c r="AC645" s="2"/>
      <c r="AD645" s="2"/>
      <c r="AE645" s="2"/>
      <c r="AF645" s="2"/>
      <c r="AG645" s="2"/>
      <c r="AH645" s="2"/>
      <c r="AI645" s="2"/>
      <c r="AJ645" s="2"/>
      <c r="AK645" s="2"/>
      <c r="AL645" s="343"/>
    </row>
    <row r="646" spans="1:38" ht="5.15" customHeight="1" thickBot="1" x14ac:dyDescent="0.3">
      <c r="A646" s="343"/>
      <c r="B646" s="178"/>
      <c r="C646" s="178"/>
      <c r="D646" s="1242"/>
      <c r="E646" s="1244"/>
      <c r="F646" s="1244"/>
      <c r="G646" s="1244"/>
      <c r="H646" s="1244"/>
      <c r="I646" s="1244"/>
      <c r="J646" s="1244"/>
      <c r="K646" s="1244"/>
      <c r="L646" s="1244"/>
      <c r="M646" s="1244"/>
      <c r="N646" s="1248"/>
      <c r="O646" s="15"/>
      <c r="P646" s="15"/>
      <c r="Q646" s="343"/>
      <c r="R646" s="2"/>
      <c r="S646" s="2"/>
      <c r="T646" s="2"/>
      <c r="U646" s="1086"/>
      <c r="V646" s="343"/>
      <c r="W646" s="2"/>
      <c r="X646" s="2"/>
      <c r="Y646" s="2"/>
      <c r="Z646" s="228"/>
      <c r="AA646" s="2"/>
      <c r="AB646" s="2"/>
      <c r="AC646" s="2"/>
      <c r="AD646" s="2"/>
      <c r="AE646" s="2"/>
      <c r="AF646" s="2"/>
      <c r="AG646" s="2"/>
      <c r="AH646" s="2"/>
      <c r="AI646" s="2"/>
      <c r="AJ646" s="2"/>
      <c r="AK646" s="2"/>
      <c r="AL646" s="343"/>
    </row>
    <row r="647" spans="1:38" ht="12.75" customHeight="1" thickBot="1" x14ac:dyDescent="0.3">
      <c r="A647" s="2"/>
      <c r="B647" s="178"/>
      <c r="C647" s="178"/>
      <c r="D647" s="1246" t="s">
        <v>23</v>
      </c>
      <c r="E647" s="1231" t="str">
        <f>Translations!$B$1477</f>
        <v>Faktisk justering (om alla tröskelvärden överskrids)</v>
      </c>
      <c r="F647" s="1231"/>
      <c r="G647" s="1231"/>
      <c r="H647" s="1233"/>
      <c r="I647" s="1237"/>
      <c r="J647" s="1099" t="str">
        <f>IF(J645="","",IF(J638&gt;$Z617,-100%,IF(OR(J645,V639&lt;1),J641,I647)))</f>
        <v/>
      </c>
      <c r="K647" s="1100" t="str">
        <f>IF(K645="","",IF(K638&gt;$Z617,-100%,IF(OR(K645,W639&lt;1),K641,J647)))</f>
        <v/>
      </c>
      <c r="L647" s="1100" t="str">
        <f>IF(L645="","",IF(L638&gt;$Z617,-100%,IF(OR(L645,X639&lt;1),L641,K647)))</f>
        <v/>
      </c>
      <c r="M647" s="1100" t="str">
        <f>IF(M645="","",IF(M638&gt;$Z617,-100%,IF(OR(M645,Y639&lt;1),M641,L647)))</f>
        <v/>
      </c>
      <c r="N647" s="1101" t="str">
        <f>IF(N645="","",IF(N638&gt;$Z617,-100%,IF(OR(N645,Z639&lt;1),N641,M647)))</f>
        <v/>
      </c>
      <c r="O647" s="15"/>
      <c r="P647" s="918"/>
      <c r="Q647" s="165" t="str">
        <f>EUconst_CNTR_HALAdjPct &amp; I617</f>
        <v>HALAdjPct_</v>
      </c>
      <c r="R647" s="2"/>
      <c r="S647" s="2"/>
      <c r="T647" s="2"/>
      <c r="U647" s="1086" t="s">
        <v>1858</v>
      </c>
      <c r="V647" s="1068">
        <f>J644</f>
        <v>2021</v>
      </c>
      <c r="W647" s="1068">
        <f>K644</f>
        <v>2022</v>
      </c>
      <c r="X647" s="1068">
        <f>L644</f>
        <v>2023</v>
      </c>
      <c r="Y647" s="1068">
        <f>M644</f>
        <v>2024</v>
      </c>
      <c r="Z647" s="1087">
        <f>N644</f>
        <v>2025</v>
      </c>
      <c r="AA647" s="2"/>
      <c r="AB647" s="2"/>
      <c r="AC647" s="2"/>
      <c r="AD647" s="2"/>
      <c r="AE647" s="2"/>
      <c r="AF647" s="2"/>
      <c r="AG647" s="2"/>
      <c r="AH647" s="2"/>
      <c r="AI647" s="2"/>
      <c r="AJ647" s="2"/>
      <c r="AK647" s="2"/>
      <c r="AL647" s="343"/>
    </row>
    <row r="648" spans="1:38" ht="12.75" customHeight="1" thickBot="1" x14ac:dyDescent="0.3">
      <c r="A648" s="343"/>
      <c r="B648" s="178"/>
      <c r="C648" s="178"/>
      <c r="D648" s="1246" t="s">
        <v>859</v>
      </c>
      <c r="E648" s="1231" t="str">
        <f>Translations!$B$1478</f>
        <v>Faktiskt värde</v>
      </c>
      <c r="F648" s="1231"/>
      <c r="G648" s="1231"/>
      <c r="H648" s="917" t="str">
        <f>H639</f>
        <v>ton</v>
      </c>
      <c r="I648" s="990" t="str">
        <f>I642</f>
        <v/>
      </c>
      <c r="J648" s="1072" t="str">
        <f>IF($I617="","",IF(OR($I648=0,J647="",$I648=EUconst_NA),IF(OR(J645=TRUE,J644&lt;=$V617),J642,SUM(I648)),$I648*(1+SUM(J647))))</f>
        <v/>
      </c>
      <c r="K648" s="1073" t="str">
        <f>IF($I617="","",IF(OR($I648=0,K647="",$I648=EUconst_NA),IF(OR(K645=TRUE,K644&lt;=$V617),K642,SUM(J648)),$I648*(1+SUM(K647))))</f>
        <v/>
      </c>
      <c r="L648" s="1073" t="str">
        <f>IF($I617="","",IF(OR($I648=0,L647="",$I648=EUconst_NA),IF(OR(L645=TRUE,L644&lt;=$V617),L642,SUM(K648)),$I648*(1+SUM(L647))))</f>
        <v/>
      </c>
      <c r="M648" s="1073" t="str">
        <f>IF($I617="","",IF(OR($I648=0,M647="",$I648=EUconst_NA),IF(OR(M645=TRUE,M644&lt;=$V617),M642,SUM(L648)),$I648*(1+SUM(M647))))</f>
        <v/>
      </c>
      <c r="N648" s="1074" t="str">
        <f>IF($I617="","",IF(OR($I648=0,N647="",$I648=EUconst_NA),IF(OR(N645=TRUE,N644&lt;=$V617),N642,SUM(M648)),$I648*(1+SUM(N647))))</f>
        <v/>
      </c>
      <c r="O648" s="15"/>
      <c r="P648" s="15"/>
      <c r="Q648" s="672" t="str">
        <f>EUconst_CNTR_HALfinal&amp;I617</f>
        <v>HALfinal_</v>
      </c>
      <c r="R648" s="2"/>
      <c r="S648" s="2"/>
      <c r="T648" s="2"/>
      <c r="U648" s="1765" t="b">
        <v>0</v>
      </c>
      <c r="V648" s="1757" t="str">
        <f>IF(V625,IF(J645=TRUE,V640,U648),"")</f>
        <v/>
      </c>
      <c r="W648" s="1757" t="str">
        <f>IF(W625,IF(K645=TRUE,W640,V648),"")</f>
        <v/>
      </c>
      <c r="X648" s="1757" t="str">
        <f>IF(X625,IF(L645=TRUE,X640,W648),"")</f>
        <v/>
      </c>
      <c r="Y648" s="1757" t="str">
        <f>IF(Y625,IF(M645=TRUE,Y640,X648),"")</f>
        <v/>
      </c>
      <c r="Z648" s="1758" t="str">
        <f>IF(Z625,IF(N645=TRUE,Z640,Y648),"")</f>
        <v/>
      </c>
      <c r="AA648" s="2"/>
      <c r="AB648" s="2"/>
      <c r="AC648" s="2"/>
      <c r="AD648" s="2"/>
      <c r="AE648" s="2"/>
      <c r="AF648" s="2"/>
      <c r="AG648" s="2"/>
      <c r="AH648" s="2"/>
      <c r="AI648" s="2"/>
      <c r="AJ648" s="553" t="s">
        <v>2242</v>
      </c>
      <c r="AK648" s="108" t="str">
        <f>IF(OR(ISERROR(J648),ISERROR(K648),ISERROR(L648),ISERROR(M648),ISERROR(N648)),EUconst_Error &amp; "BM" &amp; Q617,"")</f>
        <v/>
      </c>
      <c r="AL648" s="343"/>
    </row>
    <row r="649" spans="1:38" ht="5.15" customHeight="1" thickBot="1" x14ac:dyDescent="0.3">
      <c r="A649" s="2"/>
      <c r="B649" s="178"/>
      <c r="C649" s="178"/>
      <c r="D649" s="1282"/>
      <c r="E649" s="1272"/>
      <c r="F649" s="1272"/>
      <c r="G649" s="1272"/>
      <c r="H649" s="1272"/>
      <c r="I649" s="1272"/>
      <c r="J649" s="1272"/>
      <c r="K649" s="1272"/>
      <c r="L649" s="1272"/>
      <c r="M649" s="1272"/>
      <c r="N649" s="1273"/>
      <c r="O649" s="15"/>
      <c r="P649" s="15"/>
      <c r="Q649" s="343"/>
      <c r="R649" s="2"/>
      <c r="S649" s="2"/>
      <c r="T649" s="2"/>
      <c r="U649" s="343"/>
      <c r="V649" s="343"/>
      <c r="W649" s="2"/>
      <c r="X649" s="2"/>
      <c r="Y649" s="2"/>
      <c r="Z649" s="2"/>
      <c r="AA649" s="2"/>
      <c r="AB649" s="2"/>
      <c r="AC649" s="2"/>
      <c r="AD649" s="2"/>
      <c r="AE649" s="2"/>
      <c r="AF649" s="2"/>
      <c r="AG649" s="2"/>
      <c r="AH649" s="2"/>
      <c r="AI649" s="2"/>
      <c r="AJ649" s="2"/>
      <c r="AK649" s="2"/>
      <c r="AL649" s="343"/>
    </row>
    <row r="650" spans="1:38" ht="5.15" customHeight="1" x14ac:dyDescent="0.25">
      <c r="A650" s="2"/>
      <c r="B650" s="178"/>
      <c r="C650" s="178"/>
      <c r="D650" s="15"/>
      <c r="E650" s="15"/>
      <c r="F650" s="15"/>
      <c r="G650" s="15"/>
      <c r="H650" s="15"/>
      <c r="I650" s="15"/>
      <c r="J650" s="15"/>
      <c r="K650" s="15"/>
      <c r="L650" s="15"/>
      <c r="M650" s="15"/>
      <c r="N650" s="15"/>
      <c r="O650" s="15"/>
      <c r="P650" s="15"/>
      <c r="Q650" s="343"/>
      <c r="R650" s="2"/>
      <c r="S650" s="2"/>
      <c r="T650" s="2"/>
      <c r="U650" s="343"/>
      <c r="V650" s="343"/>
      <c r="W650" s="2"/>
      <c r="X650" s="2"/>
      <c r="Y650" s="2"/>
      <c r="Z650" s="2"/>
      <c r="AA650" s="2"/>
      <c r="AB650" s="2"/>
      <c r="AC650" s="2"/>
      <c r="AD650" s="2"/>
      <c r="AE650" s="2"/>
      <c r="AF650" s="2"/>
      <c r="AG650" s="2"/>
      <c r="AH650" s="2"/>
      <c r="AI650" s="2"/>
      <c r="AJ650" s="2"/>
      <c r="AK650" s="2"/>
      <c r="AL650" s="343"/>
    </row>
    <row r="651" spans="1:38" ht="15" customHeight="1" x14ac:dyDescent="0.25">
      <c r="A651" s="2"/>
      <c r="B651" s="19"/>
      <c r="C651" s="178"/>
      <c r="D651" s="2053" t="str">
        <f>Translations!$B$522</f>
        <v>Andra korrigeringsfaktorer</v>
      </c>
      <c r="E651" s="1963"/>
      <c r="F651" s="1963"/>
      <c r="G651" s="1963"/>
      <c r="H651" s="1963"/>
      <c r="I651" s="1963"/>
      <c r="J651" s="1963"/>
      <c r="K651" s="1963"/>
      <c r="L651" s="1963"/>
      <c r="M651" s="1963"/>
      <c r="N651" s="1963"/>
      <c r="O651" s="15"/>
      <c r="P651" s="15"/>
      <c r="Q651" s="2"/>
      <c r="R651" s="2"/>
      <c r="S651" s="2"/>
      <c r="T651" s="2"/>
      <c r="U651" s="343"/>
      <c r="V651" s="343"/>
      <c r="W651" s="2"/>
      <c r="X651" s="2"/>
      <c r="Y651" s="2"/>
      <c r="Z651" s="2"/>
      <c r="AA651" s="2"/>
      <c r="AB651" s="2"/>
      <c r="AC651" s="2"/>
      <c r="AD651" s="2"/>
      <c r="AE651" s="2"/>
      <c r="AF651" s="2"/>
      <c r="AG651" s="2"/>
      <c r="AH651" s="2"/>
      <c r="AI651" s="2"/>
      <c r="AJ651" s="2"/>
      <c r="AK651" s="2"/>
      <c r="AL651" s="2"/>
    </row>
    <row r="652" spans="1:38" ht="5.15" customHeight="1" x14ac:dyDescent="0.25">
      <c r="A652" s="2"/>
      <c r="B652" s="178"/>
      <c r="C652" s="178"/>
      <c r="D652" s="178"/>
      <c r="E652" s="178"/>
      <c r="F652" s="178"/>
      <c r="G652" s="178"/>
      <c r="H652" s="178"/>
      <c r="I652" s="178"/>
      <c r="J652" s="178"/>
      <c r="K652" s="178"/>
      <c r="L652" s="178"/>
      <c r="M652" s="178"/>
      <c r="N652" s="178"/>
      <c r="O652" s="15"/>
      <c r="P652" s="15"/>
      <c r="Q652" s="343"/>
      <c r="R652" s="2"/>
      <c r="S652" s="2"/>
      <c r="T652" s="2"/>
      <c r="U652" s="343"/>
      <c r="V652" s="343"/>
      <c r="W652" s="2"/>
      <c r="X652" s="2"/>
      <c r="Y652" s="2"/>
      <c r="Z652" s="2"/>
      <c r="AA652" s="2"/>
      <c r="AB652" s="2"/>
      <c r="AC652" s="2"/>
      <c r="AD652" s="2"/>
      <c r="AE652" s="2"/>
      <c r="AF652" s="2"/>
      <c r="AG652" s="2"/>
      <c r="AH652" s="2"/>
      <c r="AI652" s="2"/>
      <c r="AJ652" s="2"/>
      <c r="AK652" s="2"/>
      <c r="AL652" s="2"/>
    </row>
    <row r="653" spans="1:38" ht="12.75" customHeight="1" x14ac:dyDescent="0.25">
      <c r="A653" s="2"/>
      <c r="B653" s="19"/>
      <c r="C653" s="19"/>
      <c r="D653" s="13" t="s">
        <v>55</v>
      </c>
      <c r="E653" s="1943" t="str">
        <f>Translations!$B$523</f>
        <v>Utbytbarhet mellan bränsle och el:</v>
      </c>
      <c r="F653" s="1963"/>
      <c r="G653" s="1963"/>
      <c r="H653" s="1963"/>
      <c r="I653" s="2060"/>
      <c r="J653" s="2652" t="str">
        <f>IF(I617="","",IF(T653,EUconst_MsgEnterThisSection,HYPERLINK(R653,EUconst_MsgGoOn)))</f>
        <v/>
      </c>
      <c r="K653" s="2653"/>
      <c r="L653" s="2653"/>
      <c r="M653" s="2653"/>
      <c r="N653" s="2654"/>
      <c r="O653" s="15"/>
      <c r="P653" s="15"/>
      <c r="Q653" s="2" t="s">
        <v>484</v>
      </c>
      <c r="R653" s="294" t="str">
        <f>"#"&amp;ADDRESS(ROW(D681),COLUMN(D681))</f>
        <v>#$D$681</v>
      </c>
      <c r="S653" s="553" t="s">
        <v>1874</v>
      </c>
      <c r="T653" s="165" t="str">
        <f>IF(I617="","",INDEX(EUconst_BMlistElExchangability,MATCH(I617,EUconst_BMlistNames,0)))</f>
        <v/>
      </c>
      <c r="U653" s="343"/>
      <c r="V653" s="343"/>
      <c r="W653" s="2"/>
      <c r="X653" s="2"/>
      <c r="Y653" s="2"/>
      <c r="Z653" s="2"/>
      <c r="AA653" s="2"/>
      <c r="AB653" s="2"/>
      <c r="AC653" s="2"/>
      <c r="AD653" s="2"/>
      <c r="AE653" s="2"/>
      <c r="AF653" s="2"/>
      <c r="AG653" s="2"/>
      <c r="AH653" s="2"/>
      <c r="AI653" s="2"/>
      <c r="AJ653" s="2"/>
      <c r="AK653" s="2"/>
      <c r="AL653" s="2"/>
    </row>
    <row r="654" spans="1:38" ht="12.75" customHeight="1" x14ac:dyDescent="0.25">
      <c r="A654" s="2"/>
      <c r="B654" s="178"/>
      <c r="C654" s="178"/>
      <c r="D654" s="15"/>
      <c r="E654" s="2061" t="str">
        <f>Translations!$B$524</f>
        <v>Ett automatiskt meddelande kommer att visas här, i relevanta fall, där ni ombeds göra den inmatning som krävs för att utbytbarheten mellan bränsle och el (ElExch-F) ska kunna beaktas.</v>
      </c>
      <c r="F654" s="1963"/>
      <c r="G654" s="1963"/>
      <c r="H654" s="1963"/>
      <c r="I654" s="1963"/>
      <c r="J654" s="1963"/>
      <c r="K654" s="1963"/>
      <c r="L654" s="1963"/>
      <c r="M654" s="1963"/>
      <c r="N654" s="1963"/>
      <c r="O654" s="15"/>
      <c r="P654" s="15"/>
      <c r="Q654" s="2"/>
      <c r="R654" s="2"/>
      <c r="S654" s="2"/>
      <c r="T654" s="2"/>
      <c r="U654" s="343"/>
      <c r="V654" s="343"/>
      <c r="W654" s="2"/>
      <c r="X654" s="2"/>
      <c r="Y654" s="2"/>
      <c r="Z654" s="2"/>
      <c r="AA654" s="2"/>
      <c r="AB654" s="2"/>
      <c r="AC654" s="2"/>
      <c r="AD654" s="2"/>
      <c r="AE654" s="2"/>
      <c r="AF654" s="2"/>
      <c r="AG654" s="2"/>
      <c r="AH654" s="2"/>
      <c r="AI654" s="2"/>
      <c r="AJ654" s="2"/>
      <c r="AK654" s="2"/>
      <c r="AL654" s="2"/>
    </row>
    <row r="655" spans="1:38" ht="12.75" customHeight="1" x14ac:dyDescent="0.25">
      <c r="A655" s="2"/>
      <c r="B655" s="178"/>
      <c r="C655" s="178"/>
      <c r="D655" s="15"/>
      <c r="E655" s="2061" t="str">
        <f>Translations!$B$525</f>
        <v>Enligt artikel 22 i FAR krävs ”direkta utsläpp”, nettomängd ”importerad värme” och ”relevant elförbrukning”.</v>
      </c>
      <c r="F655" s="1963"/>
      <c r="G655" s="1963"/>
      <c r="H655" s="1963"/>
      <c r="I655" s="1963"/>
      <c r="J655" s="1963"/>
      <c r="K655" s="1963"/>
      <c r="L655" s="1963"/>
      <c r="M655" s="1963"/>
      <c r="N655" s="1963"/>
      <c r="O655" s="15"/>
      <c r="P655" s="15"/>
      <c r="Q655" s="343"/>
      <c r="R655" s="2"/>
      <c r="S655" s="2"/>
      <c r="T655" s="2"/>
      <c r="U655" s="343"/>
      <c r="V655" s="343"/>
      <c r="W655" s="343"/>
      <c r="X655" s="343"/>
      <c r="Y655" s="343"/>
      <c r="Z655" s="343"/>
      <c r="AA655" s="2"/>
      <c r="AB655" s="2"/>
      <c r="AC655" s="2"/>
      <c r="AD655" s="2"/>
      <c r="AE655" s="2"/>
      <c r="AF655" s="2"/>
      <c r="AG655" s="2"/>
      <c r="AH655" s="2"/>
      <c r="AI655" s="2"/>
      <c r="AJ655" s="2"/>
      <c r="AK655" s="2"/>
      <c r="AL655" s="2"/>
    </row>
    <row r="656" spans="1:38" ht="25.5" customHeight="1" x14ac:dyDescent="0.25">
      <c r="A656" s="2"/>
      <c r="B656" s="178"/>
      <c r="C656" s="178"/>
      <c r="D656" s="15"/>
      <c r="E656" s="2061" t="str">
        <f>Translations!$B$526</f>
        <v>De totala direkta utsläppen är i regel identiska med de värden som anges i punkt g nedan. Ytterligare korrigeringar kan dock behöva göras, framför allt vid användning av restgaser. Var god se vägledningen i punkt g nedan. Uppgifter om nettomängd importerad värme hämtas automatiskt från punkt k.i nedan.</v>
      </c>
      <c r="F656" s="1963"/>
      <c r="G656" s="1963"/>
      <c r="H656" s="1963"/>
      <c r="I656" s="1963"/>
      <c r="J656" s="1963"/>
      <c r="K656" s="1963"/>
      <c r="L656" s="1963"/>
      <c r="M656" s="1963"/>
      <c r="N656" s="1963"/>
      <c r="O656" s="15"/>
      <c r="P656" s="15"/>
      <c r="Q656" s="343"/>
      <c r="R656" s="2"/>
      <c r="S656" s="2"/>
      <c r="T656" s="2"/>
      <c r="U656" s="343"/>
      <c r="V656" s="343"/>
      <c r="W656" s="343"/>
      <c r="X656" s="343"/>
      <c r="Y656" s="343"/>
      <c r="Z656" s="343"/>
      <c r="AA656" s="2"/>
      <c r="AB656" s="2"/>
      <c r="AC656" s="2"/>
      <c r="AD656" s="2"/>
      <c r="AE656" s="2"/>
      <c r="AF656" s="2"/>
      <c r="AG656" s="2"/>
      <c r="AH656" s="2"/>
      <c r="AI656" s="2"/>
      <c r="AJ656" s="2"/>
      <c r="AK656" s="2"/>
      <c r="AL656" s="2"/>
    </row>
    <row r="657" spans="1:38" s="534" customFormat="1" ht="13.5" thickBot="1" x14ac:dyDescent="0.3">
      <c r="A657" s="343"/>
      <c r="B657" s="15"/>
      <c r="C657" s="15"/>
      <c r="D657" s="13"/>
      <c r="E657" s="914" t="str">
        <f>Translations!$B$527</f>
        <v>Parameter</v>
      </c>
      <c r="F657" s="913"/>
      <c r="G657" s="30" t="str">
        <f>EUconst_Unit</f>
        <v>Enhet</v>
      </c>
      <c r="H657" s="320">
        <f>H$3042</f>
        <v>2019</v>
      </c>
      <c r="I657" s="342">
        <f>I$3042</f>
        <v>2020</v>
      </c>
      <c r="J657" s="987">
        <f>J$112</f>
        <v>2021</v>
      </c>
      <c r="K657" s="1001">
        <f>K$112</f>
        <v>2022</v>
      </c>
      <c r="L657" s="320">
        <f>L$112</f>
        <v>2023</v>
      </c>
      <c r="M657" s="320">
        <f>M$112</f>
        <v>2024</v>
      </c>
      <c r="N657" s="320">
        <f>N$112</f>
        <v>2025</v>
      </c>
      <c r="O657" s="15"/>
      <c r="P657" s="15"/>
      <c r="Q657" s="343"/>
      <c r="R657" s="343"/>
      <c r="S657" s="2"/>
      <c r="T657" s="2"/>
      <c r="U657" s="343"/>
      <c r="V657" s="343"/>
      <c r="W657" s="343"/>
      <c r="X657" s="343"/>
      <c r="Y657" s="343"/>
      <c r="Z657" s="343"/>
      <c r="AA657" s="343"/>
      <c r="AB657" s="2"/>
      <c r="AC657" s="1044">
        <f t="shared" ref="AC657:AI657" si="285">H$20</f>
        <v>2019</v>
      </c>
      <c r="AD657" s="1044">
        <f t="shared" si="285"/>
        <v>2020</v>
      </c>
      <c r="AE657" s="1044">
        <f t="shared" si="285"/>
        <v>2021</v>
      </c>
      <c r="AF657" s="1044">
        <f t="shared" si="285"/>
        <v>2022</v>
      </c>
      <c r="AG657" s="1044">
        <f t="shared" si="285"/>
        <v>2023</v>
      </c>
      <c r="AH657" s="1044">
        <f t="shared" si="285"/>
        <v>2024</v>
      </c>
      <c r="AI657" s="1044">
        <f t="shared" si="285"/>
        <v>2025</v>
      </c>
      <c r="AJ657" s="2"/>
      <c r="AK657" s="2"/>
      <c r="AL657" s="2"/>
    </row>
    <row r="658" spans="1:38" s="534" customFormat="1" ht="13.5" customHeight="1" thickBot="1" x14ac:dyDescent="0.3">
      <c r="A658" s="343"/>
      <c r="B658" s="15"/>
      <c r="C658" s="15"/>
      <c r="D658" s="289" t="s">
        <v>8</v>
      </c>
      <c r="E658" s="925" t="str">
        <f>Translations!$B$528</f>
        <v>Direkta utsläpp</v>
      </c>
      <c r="F658" s="925"/>
      <c r="G658" s="456" t="str">
        <f>EUconst_tCO2pa</f>
        <v>t CO2 / år</v>
      </c>
      <c r="H658" s="614"/>
      <c r="I658" s="995"/>
      <c r="J658" s="1005"/>
      <c r="K658" s="615"/>
      <c r="L658" s="615"/>
      <c r="M658" s="614"/>
      <c r="N658" s="614"/>
      <c r="O658" s="15"/>
      <c r="P658" s="1362"/>
      <c r="Q658" s="343"/>
      <c r="R658" s="343"/>
      <c r="S658" s="2"/>
      <c r="T658" s="2"/>
      <c r="U658" s="343"/>
      <c r="V658" s="343"/>
      <c r="W658" s="343"/>
      <c r="X658" s="343"/>
      <c r="Y658" s="343"/>
      <c r="Z658" s="343"/>
      <c r="AA658" s="343"/>
      <c r="AB658" s="672" t="s">
        <v>782</v>
      </c>
      <c r="AC658" s="1766" t="b">
        <f t="shared" ref="AC658:AI658" si="286">IF(CNTR_ExistSubInstEntries,IF($I617="",TRUE,OR(H657&gt;=CNTR_ReportingYear,AC657&lt;$V617-1,INDEX(EUconst_BMlistElExchangability,MATCH($I617,EUconst_BMlistNames,0))=FALSE)),FALSE)</f>
        <v>0</v>
      </c>
      <c r="AD658" s="1052" t="b">
        <f t="shared" si="286"/>
        <v>0</v>
      </c>
      <c r="AE658" s="1052" t="b">
        <f t="shared" si="286"/>
        <v>0</v>
      </c>
      <c r="AF658" s="1052" t="b">
        <f t="shared" si="286"/>
        <v>0</v>
      </c>
      <c r="AG658" s="1052" t="b">
        <f t="shared" si="286"/>
        <v>0</v>
      </c>
      <c r="AH658" s="1052" t="b">
        <f t="shared" si="286"/>
        <v>0</v>
      </c>
      <c r="AI658" s="1053" t="b">
        <f t="shared" si="286"/>
        <v>0</v>
      </c>
      <c r="AJ658" s="553" t="s">
        <v>2248</v>
      </c>
      <c r="AK658" s="663" t="str">
        <f>IF(AND(CNTR_ExistSubInstEntries,COUNTIFS(AC658:AI658,FALSE,H658:N658,"")&gt;0),EUconst_Error&amp;"BM"&amp;$Q617,"")</f>
        <v/>
      </c>
      <c r="AL658" s="2"/>
    </row>
    <row r="659" spans="1:38" s="534" customFormat="1" ht="12.75" customHeight="1" x14ac:dyDescent="0.25">
      <c r="A659" s="343"/>
      <c r="B659" s="15"/>
      <c r="C659" s="15"/>
      <c r="D659" s="289" t="s">
        <v>9</v>
      </c>
      <c r="E659" s="923" t="str">
        <f>Translations!$B$529</f>
        <v>Nettomängd importerad värme</v>
      </c>
      <c r="F659" s="923"/>
      <c r="G659" s="459" t="str">
        <f>EUconst_TJpa</f>
        <v>TJ / år</v>
      </c>
      <c r="H659" s="460" t="str">
        <f t="shared" ref="H659:N659" si="287">IF(AND($I617&lt;&gt;"",H657&lt;CNTR_ReportingYear),IF(INDEX(EUconst_BMlistElExchangability,MATCH($I617,EUconst_BMlistNames,0)),SUM(H810),""),"")</f>
        <v/>
      </c>
      <c r="I659" s="996" t="str">
        <f t="shared" si="287"/>
        <v/>
      </c>
      <c r="J659" s="1006" t="str">
        <f t="shared" si="287"/>
        <v/>
      </c>
      <c r="K659" s="1002" t="str">
        <f t="shared" si="287"/>
        <v/>
      </c>
      <c r="L659" s="460" t="str">
        <f t="shared" si="287"/>
        <v/>
      </c>
      <c r="M659" s="460" t="str">
        <f t="shared" si="287"/>
        <v/>
      </c>
      <c r="N659" s="460" t="str">
        <f t="shared" si="287"/>
        <v/>
      </c>
      <c r="O659" s="15"/>
      <c r="P659" s="15"/>
      <c r="Q659" s="343"/>
      <c r="R659" s="343"/>
      <c r="S659" s="772"/>
      <c r="T659" s="609">
        <f t="shared" ref="T659:Z659" si="288">H657</f>
        <v>2019</v>
      </c>
      <c r="U659" s="609">
        <f t="shared" si="288"/>
        <v>2020</v>
      </c>
      <c r="V659" s="609">
        <f t="shared" si="288"/>
        <v>2021</v>
      </c>
      <c r="W659" s="609">
        <f t="shared" si="288"/>
        <v>2022</v>
      </c>
      <c r="X659" s="609">
        <f t="shared" si="288"/>
        <v>2023</v>
      </c>
      <c r="Y659" s="609">
        <f t="shared" si="288"/>
        <v>2024</v>
      </c>
      <c r="Z659" s="610">
        <f t="shared" si="288"/>
        <v>2025</v>
      </c>
      <c r="AA659" s="343"/>
      <c r="AB659" s="343"/>
      <c r="AC659" s="584"/>
      <c r="AD659" s="343"/>
      <c r="AE659" s="343"/>
      <c r="AF659" s="343"/>
      <c r="AG659" s="343"/>
      <c r="AH659" s="343"/>
      <c r="AI659" s="1328"/>
      <c r="AJ659" s="343"/>
      <c r="AK659" s="343"/>
      <c r="AL659" s="2"/>
    </row>
    <row r="660" spans="1:38" s="534" customFormat="1" ht="12.75" customHeight="1" thickBot="1" x14ac:dyDescent="0.3">
      <c r="A660" s="343"/>
      <c r="B660" s="15"/>
      <c r="C660" s="15"/>
      <c r="D660" s="289" t="s">
        <v>10</v>
      </c>
      <c r="E660" s="1778" t="str">
        <f>Translations!$B$530</f>
        <v>Relevant elförbrukning</v>
      </c>
      <c r="F660" s="1520"/>
      <c r="G660" s="473" t="str">
        <f>EUconst_MWhpa</f>
        <v>MWh / år</v>
      </c>
      <c r="H660" s="474"/>
      <c r="I660" s="997"/>
      <c r="J660" s="669"/>
      <c r="K660" s="1003"/>
      <c r="L660" s="474"/>
      <c r="M660" s="474"/>
      <c r="N660" s="474"/>
      <c r="O660" s="15"/>
      <c r="P660" s="1362"/>
      <c r="Q660" s="165" t="str">
        <f>EUconst_CNTR_HAL&amp;EUconst_CNTR_ELEXCH</f>
        <v>HAL_ELEXCH_</v>
      </c>
      <c r="R660" s="165" t="str">
        <f>EUconst_CNTR_HAL&amp;EUconst_CNTR_ELEXCH &amp; I617</f>
        <v>HAL_ELEXCH_</v>
      </c>
      <c r="S660" s="1888" t="str">
        <f>EUconst_CNTR_AttributedEmissions &amp; I617</f>
        <v>AttrEmissions_</v>
      </c>
      <c r="T660" s="1330" t="str">
        <f t="shared" ref="T660:Z660" si="289">IF(T625,SUM(H660)*EUconst_ElBM,"")</f>
        <v/>
      </c>
      <c r="U660" s="1330" t="str">
        <f t="shared" si="289"/>
        <v/>
      </c>
      <c r="V660" s="1330" t="str">
        <f t="shared" si="289"/>
        <v/>
      </c>
      <c r="W660" s="1330" t="str">
        <f t="shared" si="289"/>
        <v/>
      </c>
      <c r="X660" s="1330" t="str">
        <f t="shared" si="289"/>
        <v/>
      </c>
      <c r="Y660" s="1330" t="str">
        <f t="shared" si="289"/>
        <v/>
      </c>
      <c r="Z660" s="1331" t="str">
        <f t="shared" si="289"/>
        <v/>
      </c>
      <c r="AA660" s="343"/>
      <c r="AB660" s="343"/>
      <c r="AC660" s="1329" t="b">
        <f>AC658</f>
        <v>0</v>
      </c>
      <c r="AD660" s="1330" t="b">
        <f t="shared" ref="AD660:AI660" si="290">AD658</f>
        <v>0</v>
      </c>
      <c r="AE660" s="1330" t="b">
        <f t="shared" si="290"/>
        <v>0</v>
      </c>
      <c r="AF660" s="1330" t="b">
        <f t="shared" si="290"/>
        <v>0</v>
      </c>
      <c r="AG660" s="1330" t="b">
        <f t="shared" si="290"/>
        <v>0</v>
      </c>
      <c r="AH660" s="1330" t="b">
        <f t="shared" si="290"/>
        <v>0</v>
      </c>
      <c r="AI660" s="1331" t="b">
        <f t="shared" si="290"/>
        <v>0</v>
      </c>
      <c r="AJ660" s="553" t="s">
        <v>2248</v>
      </c>
      <c r="AK660" s="663" t="str">
        <f>IF(AND(CNTR_ExistSubInstEntries,COUNTIFS(AC660:AI660,FALSE,H660:N660,"")&gt;0),EUconst_Error&amp;"BM"&amp;$Q617,"")</f>
        <v/>
      </c>
      <c r="AL660" s="2"/>
    </row>
    <row r="661" spans="1:38" s="534" customFormat="1" ht="13.5" customHeight="1" x14ac:dyDescent="0.25">
      <c r="A661" s="343"/>
      <c r="B661" s="15"/>
      <c r="C661" s="15"/>
      <c r="D661" s="289" t="s">
        <v>23</v>
      </c>
      <c r="E661" s="925" t="str">
        <f>Translations!$B$531</f>
        <v>Totala direkta utsläpp</v>
      </c>
      <c r="F661" s="925"/>
      <c r="G661" s="456" t="str">
        <f>EUconst_tCO2pa</f>
        <v>t CO2 / år</v>
      </c>
      <c r="H661" s="457" t="str">
        <f t="shared" ref="H661:N661" si="291">IF(ISNUMBER(H658),H658+SUM(H659)*EUconst_HeatBMvalue,"")</f>
        <v/>
      </c>
      <c r="I661" s="998" t="str">
        <f t="shared" si="291"/>
        <v/>
      </c>
      <c r="J661" s="1007" t="str">
        <f t="shared" si="291"/>
        <v/>
      </c>
      <c r="K661" s="458" t="str">
        <f t="shared" si="291"/>
        <v/>
      </c>
      <c r="L661" s="458" t="str">
        <f t="shared" si="291"/>
        <v/>
      </c>
      <c r="M661" s="457" t="str">
        <f t="shared" si="291"/>
        <v/>
      </c>
      <c r="N661" s="457" t="str">
        <f t="shared" si="291"/>
        <v/>
      </c>
      <c r="O661" s="15"/>
      <c r="P661" s="15"/>
      <c r="Q661" s="343"/>
      <c r="R661" s="343"/>
      <c r="S661" s="2"/>
      <c r="T661" s="2"/>
      <c r="U661" s="343"/>
      <c r="V661" s="343"/>
      <c r="W661" s="343"/>
      <c r="X661" s="343"/>
      <c r="Y661" s="343"/>
      <c r="Z661" s="343"/>
      <c r="AA661" s="343"/>
      <c r="AB661" s="343"/>
      <c r="AC661" s="343"/>
      <c r="AD661" s="343"/>
      <c r="AE661" s="343"/>
      <c r="AF661" s="343"/>
      <c r="AG661" s="343"/>
      <c r="AH661" s="343"/>
      <c r="AI661" s="343"/>
      <c r="AJ661" s="343"/>
      <c r="AK661" s="343"/>
      <c r="AL661" s="2"/>
    </row>
    <row r="662" spans="1:38" s="534" customFormat="1" ht="13.5" customHeight="1" x14ac:dyDescent="0.25">
      <c r="A662" s="343"/>
      <c r="B662" s="15"/>
      <c r="C662" s="15"/>
      <c r="D662" s="289" t="s">
        <v>859</v>
      </c>
      <c r="E662" s="924" t="str">
        <f>Translations!$B$532</f>
        <v>Indirekta utsläpp</v>
      </c>
      <c r="F662" s="924"/>
      <c r="G662" s="461" t="str">
        <f>EUconst_tCO2pa</f>
        <v>t CO2 / år</v>
      </c>
      <c r="H662" s="462" t="str">
        <f t="shared" ref="H662:N662" si="292">IF(ISNUMBER(H660),H660*EUconst_ElBM,"")</f>
        <v/>
      </c>
      <c r="I662" s="999" t="str">
        <f t="shared" si="292"/>
        <v/>
      </c>
      <c r="J662" s="1008" t="str">
        <f t="shared" si="292"/>
        <v/>
      </c>
      <c r="K662" s="463" t="str">
        <f t="shared" si="292"/>
        <v/>
      </c>
      <c r="L662" s="463" t="str">
        <f t="shared" si="292"/>
        <v/>
      </c>
      <c r="M662" s="462" t="str">
        <f t="shared" si="292"/>
        <v/>
      </c>
      <c r="N662" s="462" t="str">
        <f t="shared" si="292"/>
        <v/>
      </c>
      <c r="O662" s="15"/>
      <c r="P662" s="15"/>
      <c r="Q662" s="343"/>
      <c r="R662" s="343"/>
      <c r="S662" s="2"/>
      <c r="T662" s="2"/>
      <c r="U662" s="343"/>
      <c r="V662" s="343"/>
      <c r="W662" s="343"/>
      <c r="X662" s="343"/>
      <c r="Y662" s="343"/>
      <c r="Z662" s="343"/>
      <c r="AA662" s="343"/>
      <c r="AB662" s="343"/>
      <c r="AC662" s="343"/>
      <c r="AD662" s="343"/>
      <c r="AE662" s="343"/>
      <c r="AF662" s="343"/>
      <c r="AG662" s="343"/>
      <c r="AH662" s="343"/>
      <c r="AI662" s="343"/>
      <c r="AJ662" s="343"/>
      <c r="AK662" s="343"/>
      <c r="AL662" s="2"/>
    </row>
    <row r="663" spans="1:38" ht="5.15" customHeight="1" x14ac:dyDescent="0.25">
      <c r="A663" s="2"/>
      <c r="B663" s="178"/>
      <c r="C663" s="178"/>
      <c r="D663" s="178"/>
      <c r="E663" s="178"/>
      <c r="F663" s="178"/>
      <c r="G663" s="178"/>
      <c r="H663" s="178"/>
      <c r="I663" s="178"/>
      <c r="J663" s="1009"/>
      <c r="K663" s="178"/>
      <c r="L663" s="178"/>
      <c r="M663" s="15"/>
      <c r="N663" s="15"/>
      <c r="O663" s="15"/>
      <c r="P663" s="15"/>
      <c r="Q663" s="343"/>
      <c r="R663" s="2"/>
      <c r="S663" s="2"/>
      <c r="T663" s="2"/>
      <c r="U663" s="343"/>
      <c r="V663" s="343"/>
      <c r="W663" s="343"/>
      <c r="X663" s="343"/>
      <c r="Y663" s="343"/>
      <c r="Z663" s="343"/>
      <c r="AA663" s="2"/>
      <c r="AB663" s="2"/>
      <c r="AC663" s="2"/>
      <c r="AD663" s="2"/>
      <c r="AE663" s="2"/>
      <c r="AF663" s="2"/>
      <c r="AG663" s="2"/>
      <c r="AH663" s="2"/>
      <c r="AI663" s="2"/>
      <c r="AJ663" s="2"/>
      <c r="AK663" s="2"/>
      <c r="AL663" s="2"/>
    </row>
    <row r="664" spans="1:38" ht="12.75" customHeight="1" x14ac:dyDescent="0.25">
      <c r="A664" s="2"/>
      <c r="B664" s="178"/>
      <c r="C664" s="178"/>
      <c r="D664" s="289" t="s">
        <v>860</v>
      </c>
      <c r="E664" s="514" t="s">
        <v>1526</v>
      </c>
      <c r="F664" s="929"/>
      <c r="G664" s="930" t="s">
        <v>1112</v>
      </c>
      <c r="H664" s="926" t="str">
        <f t="shared" ref="H664:N664" si="293">IF(COUNT(H661:H662)&gt;0,SUM(H661)/SUM(H661:H662),IF($T653=TRUE,IF(H657&gt;CNTR_ReportingYear,"",1),""))</f>
        <v/>
      </c>
      <c r="I664" s="1000" t="str">
        <f t="shared" si="293"/>
        <v/>
      </c>
      <c r="J664" s="1010" t="str">
        <f t="shared" si="293"/>
        <v/>
      </c>
      <c r="K664" s="1004" t="str">
        <f t="shared" si="293"/>
        <v/>
      </c>
      <c r="L664" s="926" t="str">
        <f t="shared" si="293"/>
        <v/>
      </c>
      <c r="M664" s="926" t="str">
        <f t="shared" si="293"/>
        <v/>
      </c>
      <c r="N664" s="926" t="str">
        <f t="shared" si="293"/>
        <v/>
      </c>
      <c r="O664" s="15"/>
      <c r="P664" s="15"/>
      <c r="Q664" s="165" t="str">
        <f>EUconst_CNTR_ELEXCH &amp; I617</f>
        <v>ELEXCH_</v>
      </c>
      <c r="R664" s="2"/>
      <c r="S664" s="2"/>
      <c r="T664" s="2"/>
      <c r="U664" s="2"/>
      <c r="V664" s="2"/>
      <c r="W664" s="2"/>
      <c r="X664" s="2"/>
      <c r="Y664" s="2"/>
      <c r="Z664" s="2"/>
      <c r="AA664" s="2"/>
      <c r="AB664" s="2"/>
      <c r="AC664" s="2"/>
      <c r="AD664" s="2"/>
      <c r="AE664" s="2"/>
      <c r="AF664" s="2"/>
      <c r="AG664" s="2"/>
      <c r="AH664" s="2"/>
      <c r="AI664" s="2"/>
      <c r="AJ664" s="2"/>
      <c r="AK664" s="2"/>
      <c r="AL664" s="2"/>
    </row>
    <row r="665" spans="1:38" ht="5.15" customHeight="1" x14ac:dyDescent="0.25">
      <c r="A665" s="2"/>
      <c r="B665" s="178"/>
      <c r="C665" s="178"/>
      <c r="D665" s="178"/>
      <c r="E665" s="178"/>
      <c r="F665" s="178"/>
      <c r="G665" s="178"/>
      <c r="H665" s="178"/>
      <c r="I665" s="178"/>
      <c r="J665" s="178"/>
      <c r="K665" s="178"/>
      <c r="L665" s="178"/>
      <c r="M665" s="15"/>
      <c r="N665" s="15"/>
      <c r="O665" s="15"/>
      <c r="P665" s="15"/>
      <c r="Q665" s="343"/>
      <c r="R665" s="2"/>
      <c r="S665" s="2"/>
      <c r="T665" s="2"/>
      <c r="U665" s="2"/>
      <c r="V665" s="2"/>
      <c r="W665" s="2"/>
      <c r="X665" s="2"/>
      <c r="Y665" s="2"/>
      <c r="Z665" s="2"/>
      <c r="AA665" s="2"/>
      <c r="AB665" s="2"/>
      <c r="AC665" s="2"/>
      <c r="AD665" s="2"/>
      <c r="AE665" s="2"/>
      <c r="AF665" s="2"/>
      <c r="AG665" s="2"/>
      <c r="AH665" s="2"/>
      <c r="AI665" s="2"/>
      <c r="AJ665" s="2"/>
      <c r="AK665" s="2"/>
      <c r="AL665" s="2"/>
    </row>
    <row r="666" spans="1:38" ht="25.5" customHeight="1" thickBot="1" x14ac:dyDescent="0.3">
      <c r="A666" s="2"/>
      <c r="B666" s="178"/>
      <c r="C666" s="178"/>
      <c r="D666" s="15"/>
      <c r="E666" s="2061" t="str">
        <f>Translations!$B$1479</f>
        <v>Baserat på uppgifterna ovan bestäms ett genomsnittligt årligt värde. Tilldelningen kommer endast att ändras om det relativa tröskelvärdet (15 % jämfört med värdet från de nationella genomförandeåtgärderna) och det absoluta tröskelvärdet (ändring leder till mer än 100 utsläppsrätter) överskrids, enligt artikel 6.4 i verksamhetsändringsförordningen.</v>
      </c>
      <c r="F666" s="1963"/>
      <c r="G666" s="1963"/>
      <c r="H666" s="1963"/>
      <c r="I666" s="1963"/>
      <c r="J666" s="1963"/>
      <c r="K666" s="1963"/>
      <c r="L666" s="1963"/>
      <c r="M666" s="1963"/>
      <c r="N666" s="1963"/>
      <c r="O666" s="15"/>
      <c r="P666" s="15"/>
      <c r="Q666" s="343"/>
      <c r="R666" s="2"/>
      <c r="S666" s="343"/>
      <c r="T666" s="343"/>
      <c r="U666" s="343"/>
      <c r="V666" s="2"/>
      <c r="W666" s="2"/>
      <c r="X666" s="2"/>
      <c r="Y666" s="2"/>
      <c r="Z666" s="2"/>
      <c r="AA666" s="2"/>
      <c r="AB666" s="2"/>
      <c r="AC666" s="2"/>
      <c r="AD666" s="2"/>
      <c r="AE666" s="2"/>
      <c r="AF666" s="2"/>
      <c r="AG666" s="2"/>
      <c r="AH666" s="2"/>
      <c r="AI666" s="2"/>
      <c r="AJ666" s="2"/>
      <c r="AK666" s="2"/>
      <c r="AL666" s="2"/>
    </row>
    <row r="667" spans="1:38" ht="5.15" customHeight="1" thickBot="1" x14ac:dyDescent="0.3">
      <c r="A667" s="2"/>
      <c r="B667" s="178"/>
      <c r="C667" s="178"/>
      <c r="D667" s="1238"/>
      <c r="E667" s="1266"/>
      <c r="F667" s="1266"/>
      <c r="G667" s="1266"/>
      <c r="H667" s="1266"/>
      <c r="I667" s="1266"/>
      <c r="J667" s="1266"/>
      <c r="K667" s="1266"/>
      <c r="L667" s="1266"/>
      <c r="M667" s="1266"/>
      <c r="N667" s="1267"/>
      <c r="O667" s="15"/>
      <c r="P667" s="15"/>
      <c r="Q667" s="343"/>
      <c r="R667" s="2"/>
      <c r="S667" s="343"/>
      <c r="T667" s="343"/>
      <c r="U667" s="343"/>
      <c r="V667" s="2"/>
      <c r="W667" s="2"/>
      <c r="X667" s="2"/>
      <c r="Y667" s="2"/>
      <c r="Z667" s="2"/>
      <c r="AA667" s="2"/>
      <c r="AB667" s="2"/>
      <c r="AC667" s="2"/>
      <c r="AD667" s="2"/>
      <c r="AE667" s="2"/>
      <c r="AF667" s="2"/>
      <c r="AG667" s="2"/>
      <c r="AH667" s="2"/>
      <c r="AI667" s="2"/>
      <c r="AJ667" s="2"/>
      <c r="AK667" s="2"/>
      <c r="AL667" s="2"/>
    </row>
    <row r="668" spans="1:38" ht="12.75" customHeight="1" x14ac:dyDescent="0.25">
      <c r="A668" s="2"/>
      <c r="B668" s="178"/>
      <c r="C668" s="178"/>
      <c r="D668" s="1290" t="s">
        <v>2191</v>
      </c>
      <c r="E668" s="1243" t="str">
        <f>Translations!$B$1480</f>
        <v>Justeringar: Elutbyte</v>
      </c>
      <c r="F668" s="1244"/>
      <c r="G668" s="1244"/>
      <c r="H668" s="1228" t="str">
        <f>EUconst_Unit</f>
        <v>Enhet</v>
      </c>
      <c r="I668" s="1229" t="str">
        <f>Translations!$B$1481</f>
        <v>Värde (NIMs)</v>
      </c>
      <c r="J668" s="1268">
        <f>J$3042</f>
        <v>2021</v>
      </c>
      <c r="K668" s="1230">
        <f>K$3042</f>
        <v>2022</v>
      </c>
      <c r="L668" s="1230">
        <f>L$3042</f>
        <v>2023</v>
      </c>
      <c r="M668" s="1230">
        <f>M$3042</f>
        <v>2024</v>
      </c>
      <c r="N668" s="1258">
        <f>N$3042</f>
        <v>2025</v>
      </c>
      <c r="O668" s="15"/>
      <c r="P668" s="15"/>
      <c r="Q668" s="343"/>
      <c r="R668" s="2"/>
      <c r="S668" s="2"/>
      <c r="T668" s="2"/>
      <c r="U668" s="772"/>
      <c r="V668" s="1077">
        <f>J668</f>
        <v>2021</v>
      </c>
      <c r="W668" s="1077">
        <f>K668</f>
        <v>2022</v>
      </c>
      <c r="X668" s="1077">
        <f>L668</f>
        <v>2023</v>
      </c>
      <c r="Y668" s="1077">
        <f>M668</f>
        <v>2024</v>
      </c>
      <c r="Z668" s="1078">
        <f>N668</f>
        <v>2025</v>
      </c>
      <c r="AA668" s="2"/>
      <c r="AB668" s="2"/>
      <c r="AC668" s="2"/>
      <c r="AD668" s="2"/>
      <c r="AE668" s="2"/>
      <c r="AF668" s="2"/>
      <c r="AG668" s="2"/>
      <c r="AH668" s="2"/>
      <c r="AI668" s="2"/>
      <c r="AJ668" s="2"/>
      <c r="AK668" s="2"/>
      <c r="AL668" s="343"/>
    </row>
    <row r="669" spans="1:38" ht="12.75" customHeight="1" x14ac:dyDescent="0.25">
      <c r="A669" s="2"/>
      <c r="B669" s="178"/>
      <c r="C669" s="178"/>
      <c r="D669" s="1246" t="s">
        <v>8</v>
      </c>
      <c r="E669" s="1231" t="str">
        <f>Translations!$B$1482</f>
        <v>Genomsnittligt årligt värde</v>
      </c>
      <c r="F669" s="1231"/>
      <c r="G669" s="1231"/>
      <c r="H669" s="1232" t="str">
        <f>G664</f>
        <v>-</v>
      </c>
      <c r="I669" s="1011" t="str">
        <f>IF($T653&lt;&gt;TRUE,"",INDEX('B+C_SubInstallations'!$L:$L,MATCH(Q669,'B+C_SubInstallations'!$W:$W,0)))</f>
        <v/>
      </c>
      <c r="J669" s="1012" t="str">
        <f>IF($T653&lt;&gt;TRUE,"",IF(AND(V669&gt;=3,CNTR_ReportingYear&gt;J668-1),AVERAGE(SUM(H664),SUM(I664)),""))</f>
        <v/>
      </c>
      <c r="K669" s="927" t="str">
        <f>IF($T653&lt;&gt;TRUE,"",IF(AND(W669&gt;=3,CNTR_ReportingYear&gt;K668-1),AVERAGE(SUM(I664),SUM(J664)),""))</f>
        <v/>
      </c>
      <c r="L669" s="927" t="str">
        <f>IF($T653&lt;&gt;TRUE,"",IF(AND(X669&gt;=3,CNTR_ReportingYear&gt;L668-1),AVERAGE(SUM(J664),SUM(K664)),""))</f>
        <v/>
      </c>
      <c r="M669" s="927" t="str">
        <f>IF($T653&lt;&gt;TRUE,"",IF(AND(Y669&gt;=3,CNTR_ReportingYear&gt;M668-1),AVERAGE(SUM(K664),SUM(L664)),""))</f>
        <v/>
      </c>
      <c r="N669" s="1222" t="str">
        <f>IF($T653&lt;&gt;TRUE,"",IF(AND(Z669&gt;=3,CNTR_ReportingYear&gt;N668-1),AVERAGE(SUM(L664),SUM(M664)),""))</f>
        <v/>
      </c>
      <c r="O669" s="15"/>
      <c r="P669" s="15"/>
      <c r="Q669" s="165" t="str">
        <f>EUconst_CNTR_HAL &amp; EUconst_CNTR_ELEXCHInitial &amp; I617</f>
        <v>HAL_ELEXCHIni_</v>
      </c>
      <c r="R669" s="2"/>
      <c r="S669" s="2"/>
      <c r="T669" s="2"/>
      <c r="U669" s="1079" t="s">
        <v>1850</v>
      </c>
      <c r="V669" s="663">
        <f>V639</f>
        <v>0</v>
      </c>
      <c r="W669" s="663">
        <f>W639</f>
        <v>0</v>
      </c>
      <c r="X669" s="663">
        <f>X639</f>
        <v>0</v>
      </c>
      <c r="Y669" s="663">
        <f>Y639</f>
        <v>0</v>
      </c>
      <c r="Z669" s="1080">
        <f>Z639</f>
        <v>0</v>
      </c>
      <c r="AA669" s="2"/>
      <c r="AB669" s="2"/>
      <c r="AC669" s="2"/>
      <c r="AD669" s="2"/>
      <c r="AE669" s="2"/>
      <c r="AF669" s="2"/>
      <c r="AG669" s="2"/>
      <c r="AH669" s="2"/>
      <c r="AI669" s="2"/>
      <c r="AJ669" s="2"/>
      <c r="AK669" s="2"/>
      <c r="AL669" s="343"/>
    </row>
    <row r="670" spans="1:38" ht="12.75" hidden="1" customHeight="1" x14ac:dyDescent="0.25">
      <c r="A670" s="343" t="s">
        <v>346</v>
      </c>
      <c r="B670" s="178"/>
      <c r="C670" s="178"/>
      <c r="D670" s="1246"/>
      <c r="E670" s="1231" t="s">
        <v>1980</v>
      </c>
      <c r="F670" s="1231"/>
      <c r="G670" s="1231"/>
      <c r="H670" s="1233"/>
      <c r="I670" s="1235"/>
      <c r="J670" s="1013" t="str">
        <f>IF(J669="","",IF($I672=0,IF(J669=0,0%,100%),J669/$I672-1))</f>
        <v/>
      </c>
      <c r="K670" s="938" t="str">
        <f>IF(K669="","",IF($I672=0,IF(K669=0,0%,100%),K669/$I672-1))</f>
        <v/>
      </c>
      <c r="L670" s="938" t="str">
        <f>IF(L669="","",IF($I672=0,IF(L669=0,0%,100%),L669/$I672-1))</f>
        <v/>
      </c>
      <c r="M670" s="938" t="str">
        <f>IF(M669="","",IF($I672=0,IF(M669=0,0%,100%),M669/$I672-1))</f>
        <v/>
      </c>
      <c r="N670" s="1223" t="str">
        <f>IF(N669="","",IF($I672=0,IF(N669=0,0%,100%),N669/$I672-1))</f>
        <v/>
      </c>
      <c r="O670" s="15"/>
      <c r="P670" s="15"/>
      <c r="Q670" s="165" t="str">
        <f>EUconst_CNTR_RelThreshold &amp; Q672</f>
        <v>RelThresh_HALprelim_ELEXCH_</v>
      </c>
      <c r="R670" s="2"/>
      <c r="S670" s="2"/>
      <c r="T670" s="2"/>
      <c r="U670" s="1079" t="s">
        <v>1855</v>
      </c>
      <c r="V670" s="603" t="str">
        <f>IF(J669="","",ABS(J670)&gt;15%)</f>
        <v/>
      </c>
      <c r="W670" s="603" t="str">
        <f>IF(K669="","",ABS(K670)&gt;15%)</f>
        <v/>
      </c>
      <c r="X670" s="603" t="str">
        <f>IF(L669="","",ABS(L670)&gt;15%)</f>
        <v/>
      </c>
      <c r="Y670" s="603" t="str">
        <f>IF(M669="","",ABS(M670)&gt;15%)</f>
        <v/>
      </c>
      <c r="Z670" s="1756" t="str">
        <f>IF(N669="","",ABS(N670)&gt;15%)</f>
        <v/>
      </c>
      <c r="AA670" s="2"/>
      <c r="AB670" s="2"/>
      <c r="AC670" s="2"/>
      <c r="AD670" s="2"/>
      <c r="AE670" s="2"/>
      <c r="AF670" s="2"/>
      <c r="AG670" s="2"/>
      <c r="AH670" s="2"/>
      <c r="AI670" s="2"/>
      <c r="AJ670" s="2"/>
      <c r="AK670" s="2"/>
      <c r="AL670" s="343"/>
    </row>
    <row r="671" spans="1:38" ht="12.75" customHeight="1" x14ac:dyDescent="0.25">
      <c r="A671" s="343"/>
      <c r="B671" s="178"/>
      <c r="C671" s="178"/>
      <c r="D671" s="1246" t="s">
        <v>9</v>
      </c>
      <c r="E671" s="1231" t="str">
        <f>Translations!$B$1474</f>
        <v>Preliminär justering (om relativa tröskelvärden överskrids)</v>
      </c>
      <c r="F671" s="1231"/>
      <c r="G671" s="1231"/>
      <c r="H671" s="1233"/>
      <c r="I671" s="1235"/>
      <c r="J671" s="992" t="str">
        <f>IF(J669="","",IF(V670=FALSE,0%,J670))</f>
        <v/>
      </c>
      <c r="K671" s="937" t="str">
        <f>IF(K669="","",IF(W670=FALSE,0%,K670))</f>
        <v/>
      </c>
      <c r="L671" s="937" t="str">
        <f>IF(L669="","",IF(X670=FALSE,0%,L670))</f>
        <v/>
      </c>
      <c r="M671" s="937" t="str">
        <f>IF(M669="","",IF(Y670=FALSE,0%,M670))</f>
        <v/>
      </c>
      <c r="N671" s="1220" t="str">
        <f>IF(N669="","",IF(Z670=FALSE,0%,N670))</f>
        <v/>
      </c>
      <c r="O671" s="15"/>
      <c r="P671" s="15"/>
      <c r="Q671" s="343"/>
      <c r="R671" s="2"/>
      <c r="S671" s="2"/>
      <c r="T671" s="2"/>
      <c r="U671" s="1081"/>
      <c r="V671" s="2"/>
      <c r="W671" s="2"/>
      <c r="X671" s="2"/>
      <c r="Y671" s="2"/>
      <c r="Z671" s="228"/>
      <c r="AA671" s="2"/>
      <c r="AB671" s="2"/>
      <c r="AC671" s="2"/>
      <c r="AD671" s="2"/>
      <c r="AE671" s="2"/>
      <c r="AF671" s="2"/>
      <c r="AG671" s="2"/>
      <c r="AH671" s="2"/>
      <c r="AI671" s="2"/>
      <c r="AJ671" s="2"/>
      <c r="AK671" s="2"/>
      <c r="AL671" s="343"/>
    </row>
    <row r="672" spans="1:38" ht="12.75" hidden="1" customHeight="1" x14ac:dyDescent="0.25">
      <c r="A672" s="343" t="s">
        <v>346</v>
      </c>
      <c r="B672" s="178"/>
      <c r="C672" s="178"/>
      <c r="D672" s="1246"/>
      <c r="E672" s="1231" t="s">
        <v>1889</v>
      </c>
      <c r="F672" s="1231"/>
      <c r="G672" s="1231"/>
      <c r="H672" s="1232" t="str">
        <f>H669</f>
        <v>-</v>
      </c>
      <c r="I672" s="1011" t="str">
        <f>IF($T653&lt;&gt;TRUE,"",IF(AB617=FALSE,EUconst_NA,IF(V617&gt;($J$3042-3),INDEX(H664:N664,MATCH(V617,H657:N657,0)),SUM(I669))))</f>
        <v/>
      </c>
      <c r="J672" s="1014" t="str">
        <f>IF(OR($I617="",$T653=FALSE),"",IF(V669&lt;2,SUM(J664),IF(V669&lt;3,SUM(I664),IF(V672="",I672,V672))))</f>
        <v/>
      </c>
      <c r="K672" s="928" t="str">
        <f>IF(OR($I617="",$T653=FALSE),"",IF(W669&lt;2,SUM(K664),IF(W669&lt;3,SUM(J664),IF(W672="",J672,W672))))</f>
        <v/>
      </c>
      <c r="L672" s="928" t="str">
        <f>IF(OR($I617="",$T653=FALSE),"",IF(X669&lt;2,SUM(L664),IF(X669&lt;3,SUM(K664),IF(X672="",K672,X672))))</f>
        <v/>
      </c>
      <c r="M672" s="928" t="str">
        <f>IF(OR($I617="",$T653=FALSE),"",IF(Y669&lt;2,SUM(M664),IF(Y669&lt;3,SUM(L664),IF(Y672="",L672,Y672))))</f>
        <v/>
      </c>
      <c r="N672" s="1224" t="str">
        <f>IF(OR($I617="",$T653=FALSE),"",IF(Z669&lt;2,SUM(N664),IF(Z669&lt;3,SUM(M664),IF(Z672="",M672,Z672))))</f>
        <v/>
      </c>
      <c r="O672" s="15"/>
      <c r="P672" s="15"/>
      <c r="Q672" s="165" t="str">
        <f>EUconst_CNTR_HALprelim&amp;EUconst_CNTR_ELEXCH &amp; I617</f>
        <v>HALprelim_ELEXCH_</v>
      </c>
      <c r="R672" s="2"/>
      <c r="S672" s="2"/>
      <c r="T672" s="2"/>
      <c r="U672" s="1079" t="s">
        <v>1898</v>
      </c>
      <c r="V672" s="1753" t="str">
        <f>IF(J669="","",IF(CNTR_ReportingYear&lt;J668,I671,IF($I672=0,J669,$I672*(1+J671))))</f>
        <v/>
      </c>
      <c r="W672" s="1753" t="str">
        <f>IF(K669="","",IF(CNTR_ReportingYear&lt;K668,J671,IF($I672=0,K669,$I672*(1+K671))))</f>
        <v/>
      </c>
      <c r="X672" s="1753" t="str">
        <f>IF(L669="","",IF(CNTR_ReportingYear&lt;L668,K671,IF($I672=0,L669,$I672*(1+L671))))</f>
        <v/>
      </c>
      <c r="Y672" s="1753" t="str">
        <f>IF(M669="","",IF(CNTR_ReportingYear&lt;M668,L671,IF($I672=0,M669,$I672*(1+M671))))</f>
        <v/>
      </c>
      <c r="Z672" s="1760" t="str">
        <f>IF(N669="","",IF(CNTR_ReportingYear&lt;N668,M671,IF($I672=0,N669,$I672*(1+N671))))</f>
        <v/>
      </c>
      <c r="AA672" s="2"/>
      <c r="AB672" s="2"/>
      <c r="AC672" s="2"/>
      <c r="AD672" s="2"/>
      <c r="AE672" s="2"/>
      <c r="AF672" s="2"/>
      <c r="AG672" s="2"/>
      <c r="AH672" s="2"/>
      <c r="AI672" s="2"/>
      <c r="AJ672" s="2"/>
      <c r="AK672" s="2"/>
      <c r="AL672" s="343"/>
    </row>
    <row r="673" spans="1:38" ht="5.15" customHeight="1" x14ac:dyDescent="0.25">
      <c r="A673" s="343"/>
      <c r="B673" s="178"/>
      <c r="C673" s="178"/>
      <c r="D673" s="1246"/>
      <c r="E673" s="1244"/>
      <c r="F673" s="1244"/>
      <c r="G673" s="1244"/>
      <c r="H673" s="1244"/>
      <c r="I673" s="1244"/>
      <c r="J673" s="1236"/>
      <c r="K673" s="1236"/>
      <c r="L673" s="1236"/>
      <c r="M673" s="1236"/>
      <c r="N673" s="1247"/>
      <c r="O673" s="15"/>
      <c r="P673" s="15"/>
      <c r="Q673" s="343"/>
      <c r="R673" s="2"/>
      <c r="S673" s="2"/>
      <c r="T673" s="2"/>
      <c r="U673" s="1086"/>
      <c r="V673" s="343"/>
      <c r="W673" s="2"/>
      <c r="X673" s="2"/>
      <c r="Y673" s="2"/>
      <c r="Z673" s="228"/>
      <c r="AA673" s="2"/>
      <c r="AB673" s="2"/>
      <c r="AC673" s="2"/>
      <c r="AD673" s="2"/>
      <c r="AE673" s="2"/>
      <c r="AF673" s="2"/>
      <c r="AG673" s="2"/>
      <c r="AH673" s="2"/>
      <c r="AI673" s="2"/>
      <c r="AJ673" s="2"/>
      <c r="AK673" s="2"/>
      <c r="AL673" s="343"/>
    </row>
    <row r="674" spans="1:38" ht="12.75" customHeight="1" x14ac:dyDescent="0.25">
      <c r="A674" s="343"/>
      <c r="B674" s="178"/>
      <c r="C674" s="178"/>
      <c r="D674" s="1246"/>
      <c r="E674" s="1234" t="str">
        <f>Translations!$B$1475</f>
        <v>Faktisk justering (grund för följande år)</v>
      </c>
      <c r="F674" s="1234"/>
      <c r="G674" s="1234"/>
      <c r="H674" s="1234"/>
      <c r="I674" s="1234"/>
      <c r="J674" s="1268">
        <f>J$3042</f>
        <v>2021</v>
      </c>
      <c r="K674" s="1230">
        <f>K$3042</f>
        <v>2022</v>
      </c>
      <c r="L674" s="1230">
        <f>L$3042</f>
        <v>2023</v>
      </c>
      <c r="M674" s="1230">
        <f>M$3042</f>
        <v>2024</v>
      </c>
      <c r="N674" s="1258">
        <f>N$3042</f>
        <v>2025</v>
      </c>
      <c r="O674" s="15"/>
      <c r="P674" s="15"/>
      <c r="Q674" s="343"/>
      <c r="R674" s="2"/>
      <c r="S674" s="2"/>
      <c r="T674" s="2"/>
      <c r="U674" s="584"/>
      <c r="V674" s="2"/>
      <c r="W674" s="2"/>
      <c r="X674" s="2"/>
      <c r="Y674" s="2"/>
      <c r="Z674" s="228"/>
      <c r="AA674" s="2"/>
      <c r="AB674" s="2"/>
      <c r="AC674" s="2"/>
      <c r="AD674" s="2"/>
      <c r="AE674" s="2"/>
      <c r="AF674" s="2"/>
      <c r="AG674" s="2"/>
      <c r="AH674" s="2"/>
      <c r="AI674" s="2"/>
      <c r="AJ674" s="2"/>
      <c r="AK674" s="2"/>
      <c r="AL674" s="343"/>
    </row>
    <row r="675" spans="1:38" ht="12.75" customHeight="1" x14ac:dyDescent="0.25">
      <c r="A675" s="343"/>
      <c r="B675" s="178"/>
      <c r="C675" s="178"/>
      <c r="D675" s="1246" t="s">
        <v>10</v>
      </c>
      <c r="E675" s="1231" t="str">
        <f>Translations!$B$1476</f>
        <v>&gt;= 100 utsläppsrätter kriterium uppnått?</v>
      </c>
      <c r="F675" s="1231"/>
      <c r="G675" s="1231"/>
      <c r="H675" s="1231"/>
      <c r="I675" s="1231"/>
      <c r="J675" s="994" t="str">
        <f>IF(OR($I617="",$T653=FALSE),"",INDEX(K_Summary!J:J,MATCH($Q675,K_Summary!$P:$P,0)))</f>
        <v/>
      </c>
      <c r="K675" s="912" t="str">
        <f>IF(OR($I617="",$T653=FALSE),"",INDEX(K_Summary!K:K,MATCH($Q675,K_Summary!$P:$P,0)))</f>
        <v/>
      </c>
      <c r="L675" s="912" t="str">
        <f>IF(OR($I617="",$T653=FALSE),"",INDEX(K_Summary!L:L,MATCH($Q675,K_Summary!$P:$P,0)))</f>
        <v/>
      </c>
      <c r="M675" s="912" t="str">
        <f>IF(OR($I617="",$T653=FALSE),"",INDEX(K_Summary!M:M,MATCH($Q675,K_Summary!$P:$P,0)))</f>
        <v/>
      </c>
      <c r="N675" s="1221" t="str">
        <f>IF(OR($I617="",$T653=FALSE),"",INDEX(K_Summary!N:N,MATCH($Q675,K_Summary!$P:$P,0)))</f>
        <v/>
      </c>
      <c r="O675" s="15"/>
      <c r="P675" s="15"/>
      <c r="Q675" s="165" t="str">
        <f>EUconst_CNTR_100EUA_ElExch&amp;I617</f>
        <v>EUA100ElExch_</v>
      </c>
      <c r="R675" s="2"/>
      <c r="S675" s="2"/>
      <c r="T675" s="2"/>
      <c r="U675" s="584"/>
      <c r="V675" s="2"/>
      <c r="W675" s="2"/>
      <c r="X675" s="2"/>
      <c r="Y675" s="2"/>
      <c r="Z675" s="228"/>
      <c r="AA675" s="2"/>
      <c r="AB675" s="2"/>
      <c r="AC675" s="2"/>
      <c r="AD675" s="2"/>
      <c r="AE675" s="2"/>
      <c r="AF675" s="2"/>
      <c r="AG675" s="2"/>
      <c r="AH675" s="2"/>
      <c r="AI675" s="2"/>
      <c r="AJ675" s="2"/>
      <c r="AK675" s="2"/>
      <c r="AL675" s="343"/>
    </row>
    <row r="676" spans="1:38" ht="5.15" customHeight="1" thickBot="1" x14ac:dyDescent="0.3">
      <c r="A676" s="343"/>
      <c r="B676" s="178"/>
      <c r="C676" s="178"/>
      <c r="D676" s="1246"/>
      <c r="E676" s="1244"/>
      <c r="F676" s="1244"/>
      <c r="G676" s="1244"/>
      <c r="H676" s="1244"/>
      <c r="I676" s="1244"/>
      <c r="J676" s="1244"/>
      <c r="K676" s="1244"/>
      <c r="L676" s="1244"/>
      <c r="M676" s="1244"/>
      <c r="N676" s="1248"/>
      <c r="O676" s="15"/>
      <c r="P676" s="15"/>
      <c r="Q676" s="343"/>
      <c r="R676" s="2"/>
      <c r="S676" s="2"/>
      <c r="T676" s="2"/>
      <c r="U676" s="1086"/>
      <c r="V676" s="343"/>
      <c r="W676" s="2"/>
      <c r="X676" s="2"/>
      <c r="Y676" s="2"/>
      <c r="Z676" s="228"/>
      <c r="AA676" s="2"/>
      <c r="AB676" s="2"/>
      <c r="AC676" s="2"/>
      <c r="AD676" s="2"/>
      <c r="AE676" s="2"/>
      <c r="AF676" s="2"/>
      <c r="AG676" s="2"/>
      <c r="AH676" s="2"/>
      <c r="AI676" s="2"/>
      <c r="AJ676" s="2"/>
      <c r="AK676" s="2"/>
      <c r="AL676" s="343"/>
    </row>
    <row r="677" spans="1:38" ht="12.75" customHeight="1" thickBot="1" x14ac:dyDescent="0.3">
      <c r="A677" s="2"/>
      <c r="B677" s="178"/>
      <c r="C677" s="178"/>
      <c r="D677" s="1246" t="s">
        <v>23</v>
      </c>
      <c r="E677" s="1231" t="str">
        <f>Translations!$B$1477</f>
        <v>Faktisk justering (om alla tröskelvärden överskrids)</v>
      </c>
      <c r="F677" s="1231"/>
      <c r="G677" s="1231"/>
      <c r="H677" s="1233"/>
      <c r="I677" s="1237"/>
      <c r="J677" s="1099" t="str">
        <f>IF(J675="","",IF(OR(J675,V669&lt;1),J671,I677))</f>
        <v/>
      </c>
      <c r="K677" s="1100" t="str">
        <f>IF(K675="","",IF(OR(K675,W669&lt;1),K671,J677))</f>
        <v/>
      </c>
      <c r="L677" s="1100" t="str">
        <f>IF(L675="","",IF(OR(L675,X669&lt;1),L671,K677))</f>
        <v/>
      </c>
      <c r="M677" s="1100" t="str">
        <f>IF(M675="","",IF(OR(M675,Y669&lt;1),M671,L677))</f>
        <v/>
      </c>
      <c r="N677" s="1101" t="str">
        <f>IF(N675="","",IF(OR(N675,Z669&lt;1),N671,M677))</f>
        <v/>
      </c>
      <c r="O677" s="15"/>
      <c r="P677" s="15"/>
      <c r="Q677" s="343"/>
      <c r="R677" s="2"/>
      <c r="S677" s="2"/>
      <c r="T677" s="2"/>
      <c r="U677" s="1086" t="s">
        <v>1858</v>
      </c>
      <c r="V677" s="1068">
        <f>J674</f>
        <v>2021</v>
      </c>
      <c r="W677" s="1068">
        <f>K674</f>
        <v>2022</v>
      </c>
      <c r="X677" s="1068">
        <f>L674</f>
        <v>2023</v>
      </c>
      <c r="Y677" s="1068">
        <f>M674</f>
        <v>2024</v>
      </c>
      <c r="Z677" s="1087">
        <f>N674</f>
        <v>2025</v>
      </c>
      <c r="AA677" s="2"/>
      <c r="AB677" s="2"/>
      <c r="AC677" s="2"/>
      <c r="AD677" s="2"/>
      <c r="AE677" s="2"/>
      <c r="AF677" s="2"/>
      <c r="AG677" s="2"/>
      <c r="AH677" s="2"/>
      <c r="AI677" s="2"/>
      <c r="AJ677" s="2"/>
      <c r="AK677" s="2"/>
      <c r="AL677" s="343"/>
    </row>
    <row r="678" spans="1:38" ht="12.75" customHeight="1" thickBot="1" x14ac:dyDescent="0.3">
      <c r="A678" s="343"/>
      <c r="B678" s="178"/>
      <c r="C678" s="178"/>
      <c r="D678" s="1246" t="s">
        <v>859</v>
      </c>
      <c r="E678" s="1231" t="str">
        <f>Translations!$B$1478</f>
        <v>Faktiskt värde</v>
      </c>
      <c r="F678" s="1231"/>
      <c r="G678" s="1231"/>
      <c r="H678" s="1232" t="str">
        <f>H669</f>
        <v>-</v>
      </c>
      <c r="I678" s="1011" t="str">
        <f>I672</f>
        <v/>
      </c>
      <c r="J678" s="1069" t="str">
        <f>IF(OR($I617="",$T653=FALSE),"",IF(OR($I678=0,$I678=EUconst_NA,J677="",J674&lt;=$V617),J672,$I678*(1+SUM(J677))))</f>
        <v/>
      </c>
      <c r="K678" s="1070" t="str">
        <f>IF(OR($I617="",$T653=FALSE),"",IF(OR($I678=0,$I678=EUconst_NA,K677="",K674&lt;=$V617),K672,$I678*(1+SUM(K677))))</f>
        <v/>
      </c>
      <c r="L678" s="1070" t="str">
        <f>IF(OR($I617="",$T653=FALSE),"",IF(OR($I678=0,$I678=EUconst_NA,L677="",L674&lt;=$V617),L672,$I678*(1+SUM(L677))))</f>
        <v/>
      </c>
      <c r="M678" s="1070" t="str">
        <f>IF(OR($I617="",$T653=FALSE),"",IF(OR($I678=0,$I678=EUconst_NA,M677="",M674&lt;=$V617),M672,$I678*(1+SUM(M677))))</f>
        <v/>
      </c>
      <c r="N678" s="1071" t="str">
        <f>IF(OR($I617="",$T653=FALSE),"",IF(OR($I678=0,$I678=EUconst_NA,N677="",N674&lt;=$V617),N672,$I678*(1+SUM(N677))))</f>
        <v/>
      </c>
      <c r="O678" s="15"/>
      <c r="P678" s="15"/>
      <c r="Q678" s="165" t="str">
        <f>EUconst_CNTR_HALfinal&amp;EUconst_CNTR_ELEXCH &amp; I617</f>
        <v>HALfinal_ELEXCH_</v>
      </c>
      <c r="R678" s="2"/>
      <c r="S678" s="2"/>
      <c r="T678" s="2"/>
      <c r="U678" s="1765" t="b">
        <v>0</v>
      </c>
      <c r="V678" s="1757" t="str">
        <f>IF(V625,IF(J675=TRUE,V670,U678),"")</f>
        <v/>
      </c>
      <c r="W678" s="1757" t="str">
        <f>IF(W625,IF(K675=TRUE,W670,V678),"")</f>
        <v/>
      </c>
      <c r="X678" s="1757" t="str">
        <f>IF(X625,IF(L675=TRUE,X670,W678),"")</f>
        <v/>
      </c>
      <c r="Y678" s="1757" t="str">
        <f>IF(Y625,IF(M675=TRUE,Y670,X678),"")</f>
        <v/>
      </c>
      <c r="Z678" s="1758" t="str">
        <f>IF(Z625,IF(N675=TRUE,Z670,Y678),"")</f>
        <v/>
      </c>
      <c r="AA678" s="2"/>
      <c r="AB678" s="2"/>
      <c r="AC678" s="2"/>
      <c r="AD678" s="2"/>
      <c r="AE678" s="2"/>
      <c r="AF678" s="2"/>
      <c r="AG678" s="2"/>
      <c r="AH678" s="2"/>
      <c r="AI678" s="2"/>
      <c r="AJ678" s="553" t="s">
        <v>2242</v>
      </c>
      <c r="AK678" s="108" t="str">
        <f>IF(OR(ISERROR(J678),ISERROR(K678),ISERROR(L678),ISERROR(M678),ISERROR(N678)),EUconst_Error &amp; "BM" &amp; Q617,"")</f>
        <v/>
      </c>
      <c r="AL678" s="343"/>
    </row>
    <row r="679" spans="1:38" ht="5.15" customHeight="1" thickBot="1" x14ac:dyDescent="0.3">
      <c r="A679" s="2"/>
      <c r="B679" s="178"/>
      <c r="C679" s="178"/>
      <c r="D679" s="1269"/>
      <c r="E679" s="1270"/>
      <c r="F679" s="1270"/>
      <c r="G679" s="1270"/>
      <c r="H679" s="1270"/>
      <c r="I679" s="1270"/>
      <c r="J679" s="1270"/>
      <c r="K679" s="1270"/>
      <c r="L679" s="1270"/>
      <c r="M679" s="1272"/>
      <c r="N679" s="1273"/>
      <c r="O679" s="15"/>
      <c r="P679" s="15"/>
      <c r="Q679" s="343"/>
      <c r="R679" s="2"/>
      <c r="S679" s="2"/>
      <c r="T679" s="2"/>
      <c r="U679" s="2"/>
      <c r="V679" s="2"/>
      <c r="W679" s="2"/>
      <c r="X679" s="2"/>
      <c r="Y679" s="2"/>
      <c r="Z679" s="2"/>
      <c r="AA679" s="2"/>
      <c r="AB679" s="2"/>
      <c r="AC679" s="2"/>
      <c r="AD679" s="2"/>
      <c r="AE679" s="2"/>
      <c r="AF679" s="2"/>
      <c r="AG679" s="2"/>
      <c r="AH679" s="2"/>
      <c r="AI679" s="2"/>
      <c r="AJ679" s="2"/>
      <c r="AK679" s="2"/>
      <c r="AL679" s="2"/>
    </row>
    <row r="680" spans="1:38" ht="5.15" customHeight="1" x14ac:dyDescent="0.25">
      <c r="A680" s="2"/>
      <c r="B680" s="178"/>
      <c r="C680" s="178"/>
      <c r="D680" s="178"/>
      <c r="E680" s="178"/>
      <c r="F680" s="178"/>
      <c r="G680" s="178"/>
      <c r="H680" s="178"/>
      <c r="I680" s="178"/>
      <c r="J680" s="178"/>
      <c r="K680" s="178"/>
      <c r="L680" s="178"/>
      <c r="M680" s="15"/>
      <c r="N680" s="15"/>
      <c r="O680" s="15"/>
      <c r="P680" s="15"/>
      <c r="Q680" s="343"/>
      <c r="R680" s="2"/>
      <c r="S680" s="2"/>
      <c r="T680" s="2"/>
      <c r="U680" s="2"/>
      <c r="V680" s="2"/>
      <c r="W680" s="2"/>
      <c r="X680" s="2"/>
      <c r="Y680" s="2"/>
      <c r="Z680" s="2"/>
      <c r="AA680" s="2"/>
      <c r="AB680" s="2"/>
      <c r="AC680" s="2"/>
      <c r="AD680" s="2"/>
      <c r="AE680" s="2"/>
      <c r="AF680" s="2"/>
      <c r="AG680" s="2"/>
      <c r="AH680" s="2"/>
      <c r="AI680" s="2"/>
      <c r="AJ680" s="2"/>
      <c r="AK680" s="2"/>
      <c r="AL680" s="2"/>
    </row>
    <row r="681" spans="1:38" ht="12.75" customHeight="1" x14ac:dyDescent="0.25">
      <c r="A681" s="2"/>
      <c r="B681" s="178"/>
      <c r="C681" s="178"/>
      <c r="D681" s="13" t="s">
        <v>960</v>
      </c>
      <c r="E681" s="1943" t="str">
        <f>Translations!$B$533</f>
        <v>Värme som importeras från anläggningar eller enheter utanför ETS:</v>
      </c>
      <c r="F681" s="1943"/>
      <c r="G681" s="1943"/>
      <c r="H681" s="1943"/>
      <c r="I681" s="2067"/>
      <c r="J681" s="2652" t="str">
        <f>IF(I617="","",HYPERLINK(R681,EUconst_MsgGoOnIfNotRelevant))</f>
        <v/>
      </c>
      <c r="K681" s="2653"/>
      <c r="L681" s="2653"/>
      <c r="M681" s="2653"/>
      <c r="N681" s="2654"/>
      <c r="O681" s="15"/>
      <c r="P681" s="15"/>
      <c r="Q681" s="2" t="s">
        <v>484</v>
      </c>
      <c r="R681" s="294" t="str">
        <f>"#"&amp;ADDRESS(ROW(D706),COLUMN(D706))</f>
        <v>#$D$706</v>
      </c>
      <c r="S681" s="2"/>
      <c r="T681" s="2"/>
      <c r="U681" s="2"/>
      <c r="V681" s="2"/>
      <c r="W681" s="2"/>
      <c r="X681" s="2"/>
      <c r="Y681" s="2"/>
      <c r="Z681" s="2"/>
      <c r="AA681" s="2"/>
      <c r="AB681" s="2"/>
      <c r="AC681" s="2"/>
      <c r="AD681" s="2"/>
      <c r="AE681" s="2"/>
      <c r="AF681" s="2"/>
      <c r="AG681" s="2"/>
      <c r="AH681" s="2"/>
      <c r="AI681" s="2"/>
      <c r="AJ681" s="2"/>
      <c r="AK681" s="2"/>
      <c r="AL681" s="2"/>
    </row>
    <row r="682" spans="1:38" ht="12.75" customHeight="1" x14ac:dyDescent="0.25">
      <c r="A682" s="2"/>
      <c r="B682" s="178"/>
      <c r="C682" s="178"/>
      <c r="D682" s="15"/>
      <c r="E682" s="2061" t="str">
        <f>Translations!$B$534</f>
        <v>Enligt artikel 21 i FAR måste en utsläppsmängd dras av från det preliminära årsantalet utsläppsrätter från delanläggningar med produktriktmärke.</v>
      </c>
      <c r="F682" s="1963"/>
      <c r="G682" s="1963"/>
      <c r="H682" s="1963"/>
      <c r="I682" s="1963"/>
      <c r="J682" s="1963"/>
      <c r="K682" s="1963"/>
      <c r="L682" s="1963"/>
      <c r="M682" s="1963"/>
      <c r="N682" s="1963"/>
      <c r="O682" s="15"/>
      <c r="P682" s="15"/>
      <c r="Q682" s="343"/>
      <c r="R682" s="2"/>
      <c r="S682" s="2"/>
      <c r="T682" s="2"/>
      <c r="U682" s="343"/>
      <c r="V682" s="343"/>
      <c r="W682" s="2"/>
      <c r="X682" s="2"/>
      <c r="Y682" s="2"/>
      <c r="Z682" s="2"/>
      <c r="AA682" s="2"/>
      <c r="AB682" s="2"/>
      <c r="AC682" s="2"/>
      <c r="AD682" s="2"/>
      <c r="AE682" s="2"/>
      <c r="AF682" s="2"/>
      <c r="AG682" s="2"/>
      <c r="AH682" s="2"/>
      <c r="AI682" s="2"/>
      <c r="AJ682" s="2"/>
      <c r="AK682" s="2"/>
      <c r="AL682" s="2"/>
    </row>
    <row r="683" spans="1:38" ht="12.75" customHeight="1" x14ac:dyDescent="0.25">
      <c r="A683" s="2"/>
      <c r="B683" s="178"/>
      <c r="C683" s="178"/>
      <c r="D683" s="15"/>
      <c r="E683" s="2061" t="str">
        <f>Translations!$B$535</f>
        <v>Detta är mängden mätbar värme som importeras från anläggningar utanför ETS (inklusive eventuell värme från delanläggningar för salpetersyra) eller enheter multiplicerat med värmeriktmärket.</v>
      </c>
      <c r="F683" s="1963"/>
      <c r="G683" s="1963"/>
      <c r="H683" s="1963"/>
      <c r="I683" s="1963"/>
      <c r="J683" s="1963"/>
      <c r="K683" s="1963"/>
      <c r="L683" s="1963"/>
      <c r="M683" s="1963"/>
      <c r="N683" s="1963"/>
      <c r="O683" s="15"/>
      <c r="P683" s="15"/>
      <c r="Q683" s="343"/>
      <c r="R683" s="2"/>
      <c r="S683" s="2"/>
      <c r="T683" s="2"/>
      <c r="U683" s="343"/>
      <c r="V683" s="343"/>
      <c r="W683" s="2"/>
      <c r="X683" s="2"/>
      <c r="Y683" s="2"/>
      <c r="Z683" s="2"/>
      <c r="AA683" s="2"/>
      <c r="AB683" s="2"/>
      <c r="AC683" s="2"/>
      <c r="AD683" s="2"/>
      <c r="AE683" s="2"/>
      <c r="AF683" s="2"/>
      <c r="AG683" s="2"/>
      <c r="AH683" s="2"/>
      <c r="AI683" s="2"/>
      <c r="AJ683" s="2"/>
      <c r="AK683" s="2"/>
      <c r="AL683" s="2"/>
    </row>
    <row r="684" spans="1:38" ht="12.75" customHeight="1" x14ac:dyDescent="0.25">
      <c r="A684" s="2"/>
      <c r="B684" s="178"/>
      <c r="C684" s="178"/>
      <c r="D684" s="15"/>
      <c r="E684" s="2061" t="str">
        <f>Translations!$B$536</f>
        <v>Var god ange relevanta värden här. Notera att värdena måste överensstämma med delsummorna för import från anläggningar och enheter utanför ETS enligt punkt E.II.c i bladet ”E_Energy flows”.</v>
      </c>
      <c r="F684" s="1963"/>
      <c r="G684" s="1963"/>
      <c r="H684" s="1963"/>
      <c r="I684" s="1963"/>
      <c r="J684" s="1963"/>
      <c r="K684" s="1963"/>
      <c r="L684" s="1963"/>
      <c r="M684" s="1963"/>
      <c r="N684" s="1963"/>
      <c r="O684" s="15"/>
      <c r="P684" s="15"/>
      <c r="Q684" s="343"/>
      <c r="R684" s="2"/>
      <c r="S684" s="2"/>
      <c r="T684" s="2"/>
      <c r="U684" s="343"/>
      <c r="V684" s="343"/>
      <c r="W684" s="2"/>
      <c r="X684" s="2"/>
      <c r="Y684" s="2"/>
      <c r="Z684" s="2"/>
      <c r="AA684" s="2"/>
      <c r="AB684" s="2"/>
      <c r="AC684" s="2"/>
      <c r="AD684" s="2"/>
      <c r="AE684" s="2"/>
      <c r="AF684" s="2"/>
      <c r="AG684" s="2"/>
      <c r="AH684" s="2"/>
      <c r="AI684" s="2"/>
      <c r="AJ684" s="2"/>
      <c r="AK684" s="2"/>
      <c r="AL684" s="2"/>
    </row>
    <row r="685" spans="1:38" ht="12.75" customHeight="1" x14ac:dyDescent="0.25">
      <c r="A685" s="2"/>
      <c r="B685" s="178"/>
      <c r="C685" s="178"/>
      <c r="D685" s="15"/>
      <c r="E685" s="2061" t="str">
        <f>Translations!$B$537</f>
        <v>Uppgifterna måste också överensstämma med den totala mätbara nettovärme som importeras, vilken anges i punkt k.i nedan.</v>
      </c>
      <c r="F685" s="1963"/>
      <c r="G685" s="1963"/>
      <c r="H685" s="1963"/>
      <c r="I685" s="1963"/>
      <c r="J685" s="1963"/>
      <c r="K685" s="1963"/>
      <c r="L685" s="1963"/>
      <c r="M685" s="1963"/>
      <c r="N685" s="1963"/>
      <c r="O685" s="15"/>
      <c r="P685" s="15"/>
      <c r="Q685" s="343"/>
      <c r="R685" s="2"/>
      <c r="S685" s="2"/>
      <c r="T685" s="2"/>
      <c r="U685" s="343"/>
      <c r="V685" s="343"/>
      <c r="W685" s="343"/>
      <c r="X685" s="343"/>
      <c r="Y685" s="343"/>
      <c r="Z685" s="343"/>
      <c r="AA685" s="2"/>
      <c r="AB685" s="2"/>
      <c r="AC685" s="2"/>
      <c r="AD685" s="2"/>
      <c r="AE685" s="2"/>
      <c r="AF685" s="2"/>
      <c r="AG685" s="2"/>
      <c r="AH685" s="2"/>
      <c r="AI685" s="2"/>
      <c r="AJ685" s="2"/>
      <c r="AK685" s="2"/>
      <c r="AL685" s="2"/>
    </row>
    <row r="686" spans="1:38" ht="13.5" thickBot="1" x14ac:dyDescent="0.3">
      <c r="A686" s="2"/>
      <c r="B686" s="19"/>
      <c r="C686" s="19"/>
      <c r="D686" s="13"/>
      <c r="E686" s="914" t="str">
        <f>Translations!$B$527</f>
        <v>Parameter</v>
      </c>
      <c r="F686" s="913"/>
      <c r="G686" s="30" t="str">
        <f>EUconst_Unit</f>
        <v>Enhet</v>
      </c>
      <c r="H686" s="320">
        <f>H$3042</f>
        <v>2019</v>
      </c>
      <c r="I686" s="342">
        <f>I$3042</f>
        <v>2020</v>
      </c>
      <c r="J686" s="987">
        <f>J$112</f>
        <v>2021</v>
      </c>
      <c r="K686" s="320">
        <f>K$112</f>
        <v>2022</v>
      </c>
      <c r="L686" s="320">
        <f>L$112</f>
        <v>2023</v>
      </c>
      <c r="M686" s="320">
        <f>M$112</f>
        <v>2024</v>
      </c>
      <c r="N686" s="320">
        <f>N$112</f>
        <v>2025</v>
      </c>
      <c r="O686" s="15"/>
      <c r="P686" s="15"/>
      <c r="Q686" s="2"/>
      <c r="R686" s="40"/>
      <c r="S686" s="553" t="s">
        <v>2072</v>
      </c>
      <c r="T686" s="1044">
        <f t="shared" ref="T686:Z686" si="294">H686</f>
        <v>2019</v>
      </c>
      <c r="U686" s="1044">
        <f t="shared" si="294"/>
        <v>2020</v>
      </c>
      <c r="V686" s="1044">
        <f t="shared" si="294"/>
        <v>2021</v>
      </c>
      <c r="W686" s="1044">
        <f t="shared" si="294"/>
        <v>2022</v>
      </c>
      <c r="X686" s="1044">
        <f t="shared" si="294"/>
        <v>2023</v>
      </c>
      <c r="Y686" s="1044">
        <f t="shared" si="294"/>
        <v>2024</v>
      </c>
      <c r="Z686" s="1044">
        <f t="shared" si="294"/>
        <v>2025</v>
      </c>
      <c r="AA686" s="40"/>
      <c r="AB686" s="2"/>
      <c r="AC686" s="1044">
        <f t="shared" ref="AC686:AI686" si="295">H$20</f>
        <v>2019</v>
      </c>
      <c r="AD686" s="1044">
        <f t="shared" si="295"/>
        <v>2020</v>
      </c>
      <c r="AE686" s="1044">
        <f t="shared" si="295"/>
        <v>2021</v>
      </c>
      <c r="AF686" s="1044">
        <f t="shared" si="295"/>
        <v>2022</v>
      </c>
      <c r="AG686" s="1044">
        <f t="shared" si="295"/>
        <v>2023</v>
      </c>
      <c r="AH686" s="1044">
        <f t="shared" si="295"/>
        <v>2024</v>
      </c>
      <c r="AI686" s="1044">
        <f t="shared" si="295"/>
        <v>2025</v>
      </c>
      <c r="AJ686" s="2"/>
      <c r="AK686" s="2"/>
      <c r="AL686" s="2"/>
    </row>
    <row r="687" spans="1:38" ht="13" customHeight="1" thickBot="1" x14ac:dyDescent="0.3">
      <c r="A687" s="2"/>
      <c r="B687" s="19"/>
      <c r="C687" s="19"/>
      <c r="D687" s="175" t="s">
        <v>8</v>
      </c>
      <c r="E687" s="915" t="str">
        <f>Translations!$B$538</f>
        <v>Mätbar värme som importeras från anläggningar utanför ETS:</v>
      </c>
      <c r="F687" s="915"/>
      <c r="G687" s="43" t="str">
        <f>EUconst_TJpa</f>
        <v>TJ / år</v>
      </c>
      <c r="H687" s="260"/>
      <c r="I687" s="670"/>
      <c r="J687" s="671"/>
      <c r="K687" s="260"/>
      <c r="L687" s="260"/>
      <c r="M687" s="260"/>
      <c r="N687" s="260"/>
      <c r="O687" s="15"/>
      <c r="P687" s="1362"/>
      <c r="Q687" s="108" t="str">
        <f>EUconst_CNTR_HAL&amp;EUconst_CNTR_nonETSMeasHeat</f>
        <v>HAL_mätbar värme utanför ETS</v>
      </c>
      <c r="R687" s="2"/>
      <c r="S687" s="553"/>
      <c r="T687" s="1551" t="str">
        <f t="shared" ref="T687:Z687" si="296">IF(H687="","",SUM(H687)*EUconst_HeatBMvalue)</f>
        <v/>
      </c>
      <c r="U687" s="1551" t="str">
        <f t="shared" si="296"/>
        <v/>
      </c>
      <c r="V687" s="1551" t="str">
        <f t="shared" si="296"/>
        <v/>
      </c>
      <c r="W687" s="1551" t="str">
        <f t="shared" si="296"/>
        <v/>
      </c>
      <c r="X687" s="1551" t="str">
        <f t="shared" si="296"/>
        <v/>
      </c>
      <c r="Y687" s="1551" t="str">
        <f t="shared" si="296"/>
        <v/>
      </c>
      <c r="Z687" s="1551" t="str">
        <f t="shared" si="296"/>
        <v/>
      </c>
      <c r="AA687" s="2"/>
      <c r="AB687" s="672" t="s">
        <v>782</v>
      </c>
      <c r="AC687" s="1755" t="b">
        <f t="shared" ref="AC687:AI687" si="297">IF(CNTR_ExistSubInstEntries,OR($I617="",H624&gt;=CNTR_ReportingYear,AC686&lt;$V617-1),FALSE)</f>
        <v>0</v>
      </c>
      <c r="AD687" s="1042" t="b">
        <f t="shared" si="297"/>
        <v>0</v>
      </c>
      <c r="AE687" s="1042" t="b">
        <f t="shared" si="297"/>
        <v>0</v>
      </c>
      <c r="AF687" s="1042" t="b">
        <f t="shared" si="297"/>
        <v>0</v>
      </c>
      <c r="AG687" s="1042" t="b">
        <f t="shared" si="297"/>
        <v>0</v>
      </c>
      <c r="AH687" s="1042" t="b">
        <f t="shared" si="297"/>
        <v>0</v>
      </c>
      <c r="AI687" s="1043" t="b">
        <f t="shared" si="297"/>
        <v>0</v>
      </c>
      <c r="AJ687" s="553" t="s">
        <v>2248</v>
      </c>
      <c r="AK687" s="663" t="str">
        <f>IF(AND(CNTR_ExistSubInstEntries,COUNTIFS(AC687:AI687,FALSE,H687:N687,"")&gt;0),EUconst_Error&amp;"BM"&amp;$Q617,"")</f>
        <v/>
      </c>
      <c r="AL687" s="2"/>
    </row>
    <row r="688" spans="1:38" ht="25.5" customHeight="1" x14ac:dyDescent="0.25">
      <c r="A688" s="2"/>
      <c r="B688" s="19"/>
      <c r="C688" s="19"/>
      <c r="D688" s="175" t="s">
        <v>9</v>
      </c>
      <c r="E688" s="916" t="str">
        <f>Translations!$B$539</f>
        <v>Konsekvenskontroll mot blad ”E_Energy flows”:</v>
      </c>
      <c r="F688" s="916"/>
      <c r="G688" s="549" t="s">
        <v>1113</v>
      </c>
      <c r="H688" s="247" t="str">
        <f>IF(AND(ISNUMBER(H687),ISNUMBER(E_EnergyFlows!H$114)), H687/E_EnergyFlows!H$114*100,"")</f>
        <v/>
      </c>
      <c r="I688" s="1015" t="str">
        <f>IF(AND(ISNUMBER(I687),ISNUMBER(E_EnergyFlows!I$114)), I687/E_EnergyFlows!I$114*100,"")</f>
        <v/>
      </c>
      <c r="J688" s="1017" t="str">
        <f>IF(AND(ISNUMBER(J687),ISNUMBER(E_EnergyFlows!J$114)), J687/E_EnergyFlows!J$114*100,"")</f>
        <v/>
      </c>
      <c r="K688" s="247" t="str">
        <f>IF(AND(ISNUMBER(K687),ISNUMBER(E_EnergyFlows!K$114)), K687/E_EnergyFlows!K$114*100,"")</f>
        <v/>
      </c>
      <c r="L688" s="247" t="str">
        <f>IF(AND(ISNUMBER(L687),ISNUMBER(E_EnergyFlows!L$114)), L687/E_EnergyFlows!L$114*100,"")</f>
        <v/>
      </c>
      <c r="M688" s="247" t="str">
        <f>IF(AND(ISNUMBER(M687),ISNUMBER(E_EnergyFlows!M$114)), M687/E_EnergyFlows!M$114*100,"")</f>
        <v/>
      </c>
      <c r="N688" s="247" t="str">
        <f>IF(AND(ISNUMBER(N687),ISNUMBER(E_EnergyFlows!N$114)), N687/E_EnergyFlows!N$114*100,"")</f>
        <v/>
      </c>
      <c r="O688" s="15"/>
      <c r="P688" s="15"/>
      <c r="Q688" s="152" t="str">
        <f>EUconst_CNTR_HEAT &amp; I617</f>
        <v>HEAT_</v>
      </c>
      <c r="R688" s="343"/>
      <c r="S688" s="2"/>
      <c r="T688" s="2"/>
      <c r="U688" s="343"/>
      <c r="V688" s="343"/>
      <c r="W688" s="2"/>
      <c r="X688" s="2"/>
      <c r="Y688" s="2"/>
      <c r="Z688" s="2"/>
      <c r="AA688" s="2"/>
      <c r="AB688" s="2"/>
      <c r="AC688" s="2"/>
      <c r="AD688" s="2"/>
      <c r="AE688" s="2"/>
      <c r="AF688" s="2"/>
      <c r="AG688" s="2"/>
      <c r="AH688" s="2"/>
      <c r="AI688" s="2"/>
      <c r="AJ688" s="2"/>
      <c r="AK688" s="2"/>
      <c r="AL688" s="2"/>
    </row>
    <row r="689" spans="1:38" ht="12.65" customHeight="1" x14ac:dyDescent="0.25">
      <c r="A689" s="2"/>
      <c r="B689" s="19"/>
      <c r="C689" s="19"/>
      <c r="D689" s="175" t="s">
        <v>10</v>
      </c>
      <c r="E689" s="1783" t="str">
        <f>Translations!$B$540</f>
        <v>Konsekvenskontroll mot punkt k.i:</v>
      </c>
      <c r="F689" s="1035"/>
      <c r="G689" s="919" t="s">
        <v>1113</v>
      </c>
      <c r="H689" s="246" t="str">
        <f t="shared" ref="H689:N689" si="298">IF(AND(H810&gt;0,ISNUMBER(H687)), H687/H810*100,"")</f>
        <v/>
      </c>
      <c r="I689" s="1016" t="str">
        <f t="shared" si="298"/>
        <v/>
      </c>
      <c r="J689" s="1018" t="str">
        <f t="shared" si="298"/>
        <v/>
      </c>
      <c r="K689" s="246" t="str">
        <f t="shared" si="298"/>
        <v/>
      </c>
      <c r="L689" s="246" t="str">
        <f t="shared" si="298"/>
        <v/>
      </c>
      <c r="M689" s="246" t="str">
        <f t="shared" si="298"/>
        <v/>
      </c>
      <c r="N689" s="246" t="str">
        <f t="shared" si="298"/>
        <v/>
      </c>
      <c r="O689" s="15"/>
      <c r="P689" s="15"/>
      <c r="Q689" s="2"/>
      <c r="R689" s="2"/>
      <c r="S689" s="2"/>
      <c r="T689" s="2"/>
      <c r="U689" s="343"/>
      <c r="V689" s="343"/>
      <c r="W689" s="2"/>
      <c r="X689" s="2"/>
      <c r="Y689" s="2"/>
      <c r="Z689" s="2"/>
      <c r="AA689" s="2"/>
      <c r="AB689" s="2"/>
      <c r="AC689" s="2"/>
      <c r="AD689" s="2"/>
      <c r="AE689" s="2"/>
      <c r="AF689" s="2"/>
      <c r="AG689" s="2"/>
      <c r="AH689" s="2"/>
      <c r="AI689" s="2"/>
      <c r="AJ689" s="2"/>
      <c r="AK689" s="2"/>
      <c r="AL689" s="2"/>
    </row>
    <row r="690" spans="1:38" ht="5.15" customHeight="1" x14ac:dyDescent="0.25">
      <c r="A690" s="2"/>
      <c r="B690" s="19"/>
      <c r="C690" s="19"/>
      <c r="D690" s="19"/>
      <c r="E690" s="19"/>
      <c r="F690" s="19"/>
      <c r="G690" s="19"/>
      <c r="H690" s="19"/>
      <c r="I690" s="99"/>
      <c r="J690" s="19"/>
      <c r="K690" s="19"/>
      <c r="L690" s="19"/>
      <c r="M690" s="19"/>
      <c r="N690" s="19"/>
      <c r="O690" s="15"/>
      <c r="P690" s="15"/>
      <c r="Q690" s="130"/>
      <c r="R690" s="2"/>
      <c r="S690" s="2"/>
      <c r="T690" s="2"/>
      <c r="U690" s="343"/>
      <c r="V690" s="343"/>
      <c r="W690" s="2"/>
      <c r="X690" s="2"/>
      <c r="Y690" s="2"/>
      <c r="Z690" s="2"/>
      <c r="AA690" s="2"/>
      <c r="AB690" s="2"/>
      <c r="AC690" s="2"/>
      <c r="AD690" s="2"/>
      <c r="AE690" s="2"/>
      <c r="AF690" s="2"/>
      <c r="AG690" s="2"/>
      <c r="AH690" s="2"/>
      <c r="AI690" s="2"/>
      <c r="AJ690" s="2"/>
      <c r="AK690" s="2"/>
      <c r="AL690" s="2"/>
    </row>
    <row r="691" spans="1:38" ht="25.5" customHeight="1" thickBot="1" x14ac:dyDescent="0.3">
      <c r="A691" s="2"/>
      <c r="B691" s="178"/>
      <c r="C691" s="178"/>
      <c r="D691" s="15"/>
      <c r="E691" s="2061" t="str">
        <f>Translations!$B$1479</f>
        <v>Baserat på uppgifterna ovan bestäms ett genomsnittligt årligt värde. Tilldelningen kommer endast att ändras om det relativa tröskelvärdet (15 % jämfört med värdet från de nationella genomförandeåtgärderna) och det absoluta tröskelvärdet (ändring leder till mer än 100 utsläppsrätter) överskrids, enligt artikel 6.4 i verksamhetsändringsförordningen.</v>
      </c>
      <c r="F691" s="1963"/>
      <c r="G691" s="1963"/>
      <c r="H691" s="1963"/>
      <c r="I691" s="1963"/>
      <c r="J691" s="1963"/>
      <c r="K691" s="1963"/>
      <c r="L691" s="1963"/>
      <c r="M691" s="1963"/>
      <c r="N691" s="1963"/>
      <c r="O691" s="15"/>
      <c r="P691" s="15"/>
      <c r="Q691" s="343"/>
      <c r="R691" s="2"/>
      <c r="S691" s="343"/>
      <c r="T691" s="343"/>
      <c r="U691" s="343"/>
      <c r="V691" s="2"/>
      <c r="W691" s="2"/>
      <c r="X691" s="2"/>
      <c r="Y691" s="2"/>
      <c r="Z691" s="2"/>
      <c r="AA691" s="2"/>
      <c r="AB691" s="2"/>
      <c r="AC691" s="2"/>
      <c r="AD691" s="2"/>
      <c r="AE691" s="2"/>
      <c r="AF691" s="2"/>
      <c r="AG691" s="2"/>
      <c r="AH691" s="2"/>
      <c r="AI691" s="2"/>
      <c r="AJ691" s="2"/>
      <c r="AK691" s="2"/>
      <c r="AL691" s="2"/>
    </row>
    <row r="692" spans="1:38" ht="5.15" customHeight="1" thickBot="1" x14ac:dyDescent="0.3">
      <c r="A692" s="2"/>
      <c r="B692" s="178"/>
      <c r="C692" s="178"/>
      <c r="D692" s="1238"/>
      <c r="E692" s="1239"/>
      <c r="F692" s="1240"/>
      <c r="G692" s="1240"/>
      <c r="H692" s="1240"/>
      <c r="I692" s="1240"/>
      <c r="J692" s="1240"/>
      <c r="K692" s="1240"/>
      <c r="L692" s="1240"/>
      <c r="M692" s="1240"/>
      <c r="N692" s="1241"/>
      <c r="O692" s="15"/>
      <c r="P692" s="15"/>
      <c r="Q692" s="343"/>
      <c r="R692" s="2"/>
      <c r="S692" s="343"/>
      <c r="T692" s="343"/>
      <c r="U692" s="343"/>
      <c r="V692" s="2"/>
      <c r="W692" s="2"/>
      <c r="X692" s="2"/>
      <c r="Y692" s="2"/>
      <c r="Z692" s="2"/>
      <c r="AA692" s="2"/>
      <c r="AB692" s="2"/>
      <c r="AC692" s="2"/>
      <c r="AD692" s="2"/>
      <c r="AE692" s="2"/>
      <c r="AF692" s="2"/>
      <c r="AG692" s="2"/>
      <c r="AH692" s="2"/>
      <c r="AI692" s="2"/>
      <c r="AJ692" s="2"/>
      <c r="AK692" s="2"/>
      <c r="AL692" s="2"/>
    </row>
    <row r="693" spans="1:38" ht="12.75" customHeight="1" x14ac:dyDescent="0.25">
      <c r="A693" s="2"/>
      <c r="B693" s="178"/>
      <c r="C693" s="178"/>
      <c r="D693" s="1290" t="s">
        <v>2192</v>
      </c>
      <c r="E693" s="1243" t="str">
        <f>Translations!$B$1483</f>
        <v>Justeringar: Värme från icke-ETS</v>
      </c>
      <c r="F693" s="1244"/>
      <c r="G693" s="1244"/>
      <c r="H693" s="1228" t="str">
        <f>EUconst_Unit</f>
        <v>Enhet</v>
      </c>
      <c r="I693" s="1229" t="str">
        <f>Translations!$B$1481</f>
        <v>Värde (NIMs)</v>
      </c>
      <c r="J693" s="1268">
        <f>J$3042</f>
        <v>2021</v>
      </c>
      <c r="K693" s="1230">
        <f>K$3042</f>
        <v>2022</v>
      </c>
      <c r="L693" s="1230">
        <f>L$3042</f>
        <v>2023</v>
      </c>
      <c r="M693" s="1230">
        <f>M$3042</f>
        <v>2024</v>
      </c>
      <c r="N693" s="1258">
        <f>N$3042</f>
        <v>2025</v>
      </c>
      <c r="O693" s="15"/>
      <c r="P693" s="15"/>
      <c r="Q693" s="343"/>
      <c r="R693" s="2"/>
      <c r="S693" s="2"/>
      <c r="T693" s="2"/>
      <c r="U693" s="772"/>
      <c r="V693" s="1077">
        <f>J693</f>
        <v>2021</v>
      </c>
      <c r="W693" s="1077">
        <f>K693</f>
        <v>2022</v>
      </c>
      <c r="X693" s="1077">
        <f>L693</f>
        <v>2023</v>
      </c>
      <c r="Y693" s="1077">
        <f>M693</f>
        <v>2024</v>
      </c>
      <c r="Z693" s="1078">
        <f>N693</f>
        <v>2025</v>
      </c>
      <c r="AA693" s="2"/>
      <c r="AB693" s="2"/>
      <c r="AC693" s="2"/>
      <c r="AD693" s="2"/>
      <c r="AE693" s="2"/>
      <c r="AF693" s="2"/>
      <c r="AG693" s="2"/>
      <c r="AH693" s="2"/>
      <c r="AI693" s="2"/>
      <c r="AJ693" s="2"/>
      <c r="AK693" s="2"/>
      <c r="AL693" s="2"/>
    </row>
    <row r="694" spans="1:38" ht="12.75" customHeight="1" x14ac:dyDescent="0.25">
      <c r="A694" s="2"/>
      <c r="B694" s="178"/>
      <c r="C694" s="178"/>
      <c r="D694" s="1246" t="s">
        <v>8</v>
      </c>
      <c r="E694" s="1231" t="str">
        <f>Translations!$B$1482</f>
        <v>Genomsnittligt årligt värde</v>
      </c>
      <c r="F694" s="1231"/>
      <c r="G694" s="1231"/>
      <c r="H694" s="1232" t="str">
        <f>EUconst_tCO2</f>
        <v>t CO2</v>
      </c>
      <c r="I694" s="990" t="str">
        <f>INDEX('B+C_SubInstallations'!$J:$J,MATCH(Q694,'B+C_SubInstallations'!$U:$U,0))</f>
        <v/>
      </c>
      <c r="J694" s="1215" t="str">
        <f>IF(AND(V694&gt;=3,CNTR_ReportingYear&gt;J693-1),AVERAGE(SUM(T687),SUM(U687)),"")</f>
        <v/>
      </c>
      <c r="K694" s="1216" t="str">
        <f>IF(AND(W694&gt;=3,CNTR_ReportingYear&gt;K693-1),AVERAGE(SUM(U687),SUM(V687)),"")</f>
        <v/>
      </c>
      <c r="L694" s="1216" t="str">
        <f>IF(AND(X694&gt;=3,CNTR_ReportingYear&gt;L693-1),AVERAGE(SUM(V687),SUM(W687)),"")</f>
        <v/>
      </c>
      <c r="M694" s="1216" t="str">
        <f>IF(AND(Y694&gt;=3,CNTR_ReportingYear&gt;M693-1),AVERAGE(SUM(W687),SUM(X687)),"")</f>
        <v/>
      </c>
      <c r="N694" s="1227" t="str">
        <f>IF(AND(Z694&gt;=3,CNTR_ReportingYear&gt;N693-1),AVERAGE(SUM(X687),SUM(Y687)),"")</f>
        <v/>
      </c>
      <c r="O694" s="15"/>
      <c r="P694" s="15"/>
      <c r="Q694" s="1217" t="str">
        <f>EUconst_CNTR_HEATInitial &amp; I617</f>
        <v>HEATIni_</v>
      </c>
      <c r="R694" s="2"/>
      <c r="S694" s="2"/>
      <c r="T694" s="2"/>
      <c r="U694" s="1086" t="s">
        <v>1850</v>
      </c>
      <c r="V694" s="663">
        <f>V639</f>
        <v>0</v>
      </c>
      <c r="W694" s="663">
        <f>W639</f>
        <v>0</v>
      </c>
      <c r="X694" s="663">
        <f>X639</f>
        <v>0</v>
      </c>
      <c r="Y694" s="663">
        <f>Y639</f>
        <v>0</v>
      </c>
      <c r="Z694" s="1080">
        <f>Z639</f>
        <v>0</v>
      </c>
      <c r="AA694" s="2"/>
      <c r="AB694" s="2"/>
      <c r="AC694" s="2"/>
      <c r="AD694" s="2"/>
      <c r="AE694" s="2"/>
      <c r="AF694" s="2"/>
      <c r="AG694" s="2"/>
      <c r="AH694" s="2"/>
      <c r="AI694" s="2"/>
      <c r="AJ694" s="2"/>
      <c r="AK694" s="2"/>
      <c r="AL694" s="2"/>
    </row>
    <row r="695" spans="1:38" ht="12.75" hidden="1" customHeight="1" x14ac:dyDescent="0.25">
      <c r="A695" s="343" t="s">
        <v>346</v>
      </c>
      <c r="B695" s="178"/>
      <c r="C695" s="178"/>
      <c r="D695" s="1246"/>
      <c r="E695" s="1231" t="s">
        <v>1980</v>
      </c>
      <c r="F695" s="1231"/>
      <c r="G695" s="1231"/>
      <c r="H695" s="1233"/>
      <c r="I695" s="1235"/>
      <c r="J695" s="1013" t="str">
        <f>IF(J694="","",IF($I697=0,IF(J694=0,0%,100%),J694/$I697-1))</f>
        <v/>
      </c>
      <c r="K695" s="938" t="str">
        <f>IF(K694="","",IF($I697=0,IF(K694=0,0%,100%),K694/$I697-1))</f>
        <v/>
      </c>
      <c r="L695" s="938" t="str">
        <f>IF(L694="","",IF($I697=0,IF(L694=0,0%,100%),L694/$I697-1))</f>
        <v/>
      </c>
      <c r="M695" s="938" t="str">
        <f>IF(M694="","",IF($I697=0,IF(M694=0,0%,100%),M694/$I697-1))</f>
        <v/>
      </c>
      <c r="N695" s="1223" t="str">
        <f>IF(N694="","",IF($I697=0,IF(N694=0,0%,100%),N694/$I697-1))</f>
        <v/>
      </c>
      <c r="O695" s="15"/>
      <c r="P695" s="15"/>
      <c r="Q695" s="165" t="str">
        <f>EUconst_CNTR_RelThreshold &amp; Q697</f>
        <v>RelThresh_HEATprelim_</v>
      </c>
      <c r="R695" s="2"/>
      <c r="S695" s="2"/>
      <c r="T695" s="2"/>
      <c r="U695" s="1086" t="s">
        <v>1855</v>
      </c>
      <c r="V695" s="603" t="str">
        <f>IF(J694="","",ABS(J695)&gt;15%)</f>
        <v/>
      </c>
      <c r="W695" s="603" t="str">
        <f>IF(K694="","",ABS(K695)&gt;15%)</f>
        <v/>
      </c>
      <c r="X695" s="603" t="str">
        <f>IF(L694="","",ABS(L695)&gt;15%)</f>
        <v/>
      </c>
      <c r="Y695" s="603" t="str">
        <f>IF(M694="","",ABS(M695)&gt;15%)</f>
        <v/>
      </c>
      <c r="Z695" s="1756" t="str">
        <f>IF(N694="","",ABS(N695)&gt;15%)</f>
        <v/>
      </c>
      <c r="AA695" s="2"/>
      <c r="AB695" s="2"/>
      <c r="AC695" s="2"/>
      <c r="AD695" s="2"/>
      <c r="AE695" s="2"/>
      <c r="AF695" s="2"/>
      <c r="AG695" s="2"/>
      <c r="AH695" s="2"/>
      <c r="AI695" s="2"/>
      <c r="AJ695" s="2"/>
      <c r="AK695" s="2"/>
      <c r="AL695" s="2"/>
    </row>
    <row r="696" spans="1:38" ht="12.75" customHeight="1" x14ac:dyDescent="0.25">
      <c r="A696" s="343"/>
      <c r="B696" s="178"/>
      <c r="C696" s="178"/>
      <c r="D696" s="1246" t="s">
        <v>9</v>
      </c>
      <c r="E696" s="1231" t="str">
        <f>Translations!$B$1474</f>
        <v>Preliminär justering (om relativa tröskelvärden överskrids)</v>
      </c>
      <c r="F696" s="1231"/>
      <c r="G696" s="1231"/>
      <c r="H696" s="1233"/>
      <c r="I696" s="1235"/>
      <c r="J696" s="992" t="str">
        <f>IF(J694="","",IF(V695=FALSE,0%,J695))</f>
        <v/>
      </c>
      <c r="K696" s="937" t="str">
        <f>IF(K694="","",IF(W695=FALSE,0%,K695))</f>
        <v/>
      </c>
      <c r="L696" s="937" t="str">
        <f>IF(L694="","",IF(X695=FALSE,0%,L695))</f>
        <v/>
      </c>
      <c r="M696" s="937" t="str">
        <f>IF(M694="","",IF(Y695=FALSE,0%,M695))</f>
        <v/>
      </c>
      <c r="N696" s="1220" t="str">
        <f>IF(N694="","",IF(Z695=FALSE,0%,N695))</f>
        <v/>
      </c>
      <c r="O696" s="15"/>
      <c r="P696" s="15"/>
      <c r="Q696" s="343"/>
      <c r="R696" s="2"/>
      <c r="S696" s="2"/>
      <c r="T696" s="2"/>
      <c r="U696" s="584"/>
      <c r="V696" s="2"/>
      <c r="W696" s="2"/>
      <c r="X696" s="2"/>
      <c r="Y696" s="2"/>
      <c r="Z696" s="228"/>
      <c r="AA696" s="2"/>
      <c r="AB696" s="2"/>
      <c r="AC696" s="2"/>
      <c r="AD696" s="2"/>
      <c r="AE696" s="2"/>
      <c r="AF696" s="2"/>
      <c r="AG696" s="2"/>
      <c r="AH696" s="2"/>
      <c r="AI696" s="2"/>
      <c r="AJ696" s="2"/>
      <c r="AK696" s="2"/>
      <c r="AL696" s="343"/>
    </row>
    <row r="697" spans="1:38" ht="12.75" hidden="1" customHeight="1" x14ac:dyDescent="0.25">
      <c r="A697" s="343" t="s">
        <v>346</v>
      </c>
      <c r="B697" s="178"/>
      <c r="C697" s="178"/>
      <c r="D697" s="1246"/>
      <c r="E697" s="1231" t="s">
        <v>1889</v>
      </c>
      <c r="F697" s="1231"/>
      <c r="G697" s="1231"/>
      <c r="H697" s="1232" t="str">
        <f>H694</f>
        <v>t CO2</v>
      </c>
      <c r="I697" s="990" t="str">
        <f>IF($I617="","",IF(AB617=FALSE,EUconst_NA,IF(V617&gt;($J$3042-3),SUM(INDEX(H687:N687,MATCH(V617,H686:N686,0))*EUconst_HeatBMvalue),SUM(I694))))</f>
        <v/>
      </c>
      <c r="J697" s="993" t="str">
        <f>IF($I617="","",IF(V694&lt;2,SUM(V687),IF(V694&lt;3,SUM(U687),IF(V697="",I697,V697))))</f>
        <v/>
      </c>
      <c r="K697" s="920" t="str">
        <f>IF($I617="","",IF(W694&lt;2,SUM(W687),IF(W694&lt;3,SUM(V687),IF(W697="",J697,W697))))</f>
        <v/>
      </c>
      <c r="L697" s="920" t="str">
        <f>IF($I617="","",IF(X694&lt;2,SUM(X687),IF(X694&lt;3,SUM(W687),IF(X697="",K697,X697))))</f>
        <v/>
      </c>
      <c r="M697" s="920" t="str">
        <f>IF($I617="","",IF(Y694&lt;2,SUM(Y687),IF(Y694&lt;3,SUM(X687),IF(Y697="",L697,Y697))))</f>
        <v/>
      </c>
      <c r="N697" s="1218" t="str">
        <f>IF($I617="","",IF(Z694&lt;2,SUM(Z687),IF(Z694&lt;3,SUM(Y687),IF(Z697="",M697,Z697))))</f>
        <v/>
      </c>
      <c r="O697" s="15"/>
      <c r="P697" s="15"/>
      <c r="Q697" s="165" t="str">
        <f>EUconst_CNTR_HEATprelim &amp; I617</f>
        <v>HEATprelim_</v>
      </c>
      <c r="R697" s="2"/>
      <c r="S697" s="2"/>
      <c r="T697" s="2"/>
      <c r="U697" s="1086" t="s">
        <v>1898</v>
      </c>
      <c r="V697" s="1754" t="str">
        <f>IF(J694="","",IF(CNTR_ReportingYear&lt;J693,I696,IF($I697=0,J694,$I697*(1+J696))))</f>
        <v/>
      </c>
      <c r="W697" s="1754" t="str">
        <f>IF(K694="","",IF(CNTR_ReportingYear&lt;K693,J696,IF($I697=0,K694,$I697*(1+K696))))</f>
        <v/>
      </c>
      <c r="X697" s="1754" t="str">
        <f>IF(L694="","",IF(CNTR_ReportingYear&lt;L693,K696,IF($I697=0,L694,$I697*(1+L696))))</f>
        <v/>
      </c>
      <c r="Y697" s="1754" t="str">
        <f>IF(M694="","",IF(CNTR_ReportingYear&lt;M693,L696,IF($I697=0,M694,$I697*(1+M696))))</f>
        <v/>
      </c>
      <c r="Z697" s="1759" t="str">
        <f>IF(N694="","",IF(CNTR_ReportingYear&lt;N693,M696,IF($I697=0,N694,$I697*(1+N696))))</f>
        <v/>
      </c>
      <c r="AA697" s="2"/>
      <c r="AB697" s="2"/>
      <c r="AC697" s="2"/>
      <c r="AD697" s="2"/>
      <c r="AE697" s="2"/>
      <c r="AF697" s="2"/>
      <c r="AG697" s="2"/>
      <c r="AH697" s="2"/>
      <c r="AI697" s="2"/>
      <c r="AJ697" s="2"/>
      <c r="AK697" s="2"/>
      <c r="AL697" s="343"/>
    </row>
    <row r="698" spans="1:38" ht="5.15" customHeight="1" x14ac:dyDescent="0.25">
      <c r="A698" s="343"/>
      <c r="B698" s="178"/>
      <c r="C698" s="178"/>
      <c r="D698" s="1246"/>
      <c r="E698" s="1244"/>
      <c r="F698" s="1244"/>
      <c r="G698" s="1244"/>
      <c r="H698" s="1244"/>
      <c r="I698" s="1244"/>
      <c r="J698" s="1236"/>
      <c r="K698" s="1236"/>
      <c r="L698" s="1236"/>
      <c r="M698" s="1236"/>
      <c r="N698" s="1247"/>
      <c r="O698" s="15"/>
      <c r="P698" s="15"/>
      <c r="Q698" s="343"/>
      <c r="R698" s="2"/>
      <c r="S698" s="2"/>
      <c r="T698" s="2"/>
      <c r="U698" s="1086"/>
      <c r="V698" s="343"/>
      <c r="W698" s="2"/>
      <c r="X698" s="2"/>
      <c r="Y698" s="2"/>
      <c r="Z698" s="228"/>
      <c r="AA698" s="2"/>
      <c r="AB698" s="2"/>
      <c r="AC698" s="2"/>
      <c r="AD698" s="2"/>
      <c r="AE698" s="2"/>
      <c r="AF698" s="2"/>
      <c r="AG698" s="2"/>
      <c r="AH698" s="2"/>
      <c r="AI698" s="2"/>
      <c r="AJ698" s="2"/>
      <c r="AK698" s="2"/>
      <c r="AL698" s="343"/>
    </row>
    <row r="699" spans="1:38" ht="12.75" customHeight="1" x14ac:dyDescent="0.25">
      <c r="A699" s="343"/>
      <c r="B699" s="178"/>
      <c r="C699" s="178"/>
      <c r="D699" s="1246"/>
      <c r="E699" s="1234" t="str">
        <f>Translations!$B$1475</f>
        <v>Faktisk justering (grund för följande år)</v>
      </c>
      <c r="F699" s="1234"/>
      <c r="G699" s="1234"/>
      <c r="H699" s="1234"/>
      <c r="I699" s="1234"/>
      <c r="J699" s="1268">
        <f>J$3042</f>
        <v>2021</v>
      </c>
      <c r="K699" s="1230">
        <f>K$3042</f>
        <v>2022</v>
      </c>
      <c r="L699" s="1230">
        <f>L$3042</f>
        <v>2023</v>
      </c>
      <c r="M699" s="1230">
        <f>M$3042</f>
        <v>2024</v>
      </c>
      <c r="N699" s="1258">
        <f>N$3042</f>
        <v>2025</v>
      </c>
      <c r="O699" s="15"/>
      <c r="P699" s="15"/>
      <c r="Q699" s="343"/>
      <c r="R699" s="2"/>
      <c r="S699" s="2"/>
      <c r="T699" s="2"/>
      <c r="U699" s="584"/>
      <c r="V699" s="2"/>
      <c r="W699" s="2"/>
      <c r="X699" s="2"/>
      <c r="Y699" s="2"/>
      <c r="Z699" s="228"/>
      <c r="AA699" s="2"/>
      <c r="AB699" s="2"/>
      <c r="AC699" s="2"/>
      <c r="AD699" s="2"/>
      <c r="AE699" s="2"/>
      <c r="AF699" s="2"/>
      <c r="AG699" s="2"/>
      <c r="AH699" s="2"/>
      <c r="AI699" s="2"/>
      <c r="AJ699" s="2"/>
      <c r="AK699" s="2"/>
      <c r="AL699" s="343"/>
    </row>
    <row r="700" spans="1:38" ht="12.75" customHeight="1" x14ac:dyDescent="0.25">
      <c r="A700" s="343"/>
      <c r="B700" s="178"/>
      <c r="C700" s="178"/>
      <c r="D700" s="1246" t="s">
        <v>10</v>
      </c>
      <c r="E700" s="1231" t="str">
        <f>Translations!$B$1476</f>
        <v>&gt;= 100 utsläppsrätter kriterium uppnått?</v>
      </c>
      <c r="F700" s="1231"/>
      <c r="G700" s="1231"/>
      <c r="H700" s="1231"/>
      <c r="I700" s="1231"/>
      <c r="J700" s="994" t="str">
        <f>IF($I617="","",INDEX(K_Summary!J:J,MATCH($Q700,K_Summary!$P:$P,0)))</f>
        <v/>
      </c>
      <c r="K700" s="912" t="str">
        <f>IF($I617="","",INDEX(K_Summary!K:K,MATCH($Q700,K_Summary!$P:$P,0)))</f>
        <v/>
      </c>
      <c r="L700" s="912" t="str">
        <f>IF($I617="","",INDEX(K_Summary!L:L,MATCH($Q700,K_Summary!$P:$P,0)))</f>
        <v/>
      </c>
      <c r="M700" s="912" t="str">
        <f>IF($I617="","",INDEX(K_Summary!M:M,MATCH($Q700,K_Summary!$P:$P,0)))</f>
        <v/>
      </c>
      <c r="N700" s="1221" t="str">
        <f>IF($I617="","",INDEX(K_Summary!N:N,MATCH($Q700,K_Summary!$P:$P,0)))</f>
        <v/>
      </c>
      <c r="O700" s="15"/>
      <c r="P700" s="15"/>
      <c r="Q700" s="165" t="str">
        <f>EUconst_CNTR_100EUA_HEAT&amp;I617</f>
        <v>EUA100HEAT_</v>
      </c>
      <c r="R700" s="2"/>
      <c r="S700" s="2"/>
      <c r="T700" s="2"/>
      <c r="U700" s="584"/>
      <c r="V700" s="2"/>
      <c r="W700" s="2"/>
      <c r="X700" s="2"/>
      <c r="Y700" s="2"/>
      <c r="Z700" s="228"/>
      <c r="AA700" s="2"/>
      <c r="AB700" s="2"/>
      <c r="AC700" s="2"/>
      <c r="AD700" s="2"/>
      <c r="AE700" s="2"/>
      <c r="AF700" s="2"/>
      <c r="AG700" s="2"/>
      <c r="AH700" s="2"/>
      <c r="AI700" s="2"/>
      <c r="AJ700" s="2"/>
      <c r="AK700" s="2"/>
      <c r="AL700" s="343"/>
    </row>
    <row r="701" spans="1:38" ht="5.15" customHeight="1" thickBot="1" x14ac:dyDescent="0.3">
      <c r="A701" s="343"/>
      <c r="B701" s="178"/>
      <c r="C701" s="178"/>
      <c r="D701" s="1246"/>
      <c r="E701" s="1244"/>
      <c r="F701" s="1244"/>
      <c r="G701" s="1244"/>
      <c r="H701" s="1244"/>
      <c r="I701" s="1244"/>
      <c r="J701" s="1244"/>
      <c r="K701" s="1244"/>
      <c r="L701" s="1244"/>
      <c r="M701" s="1244"/>
      <c r="N701" s="1248"/>
      <c r="O701" s="15"/>
      <c r="P701" s="15"/>
      <c r="Q701" s="343"/>
      <c r="R701" s="2"/>
      <c r="S701" s="2"/>
      <c r="T701" s="2"/>
      <c r="U701" s="1086"/>
      <c r="V701" s="343"/>
      <c r="W701" s="2"/>
      <c r="X701" s="2"/>
      <c r="Y701" s="2"/>
      <c r="Z701" s="228"/>
      <c r="AA701" s="2"/>
      <c r="AB701" s="2"/>
      <c r="AC701" s="2"/>
      <c r="AD701" s="2"/>
      <c r="AE701" s="2"/>
      <c r="AF701" s="2"/>
      <c r="AG701" s="2"/>
      <c r="AH701" s="2"/>
      <c r="AI701" s="2"/>
      <c r="AJ701" s="2"/>
      <c r="AK701" s="2"/>
      <c r="AL701" s="343"/>
    </row>
    <row r="702" spans="1:38" ht="12.75" customHeight="1" thickBot="1" x14ac:dyDescent="0.3">
      <c r="A702" s="2"/>
      <c r="B702" s="178"/>
      <c r="C702" s="178"/>
      <c r="D702" s="1246" t="s">
        <v>23</v>
      </c>
      <c r="E702" s="1231" t="str">
        <f>Translations!$B$1477</f>
        <v>Faktisk justering (om alla tröskelvärden överskrids)</v>
      </c>
      <c r="F702" s="1231"/>
      <c r="G702" s="1231"/>
      <c r="H702" s="1233"/>
      <c r="I702" s="1237"/>
      <c r="J702" s="1099" t="str">
        <f>IF(J700="","",IF(OR(J700,V694&lt;1),J696,I702))</f>
        <v/>
      </c>
      <c r="K702" s="1100" t="str">
        <f>IF(K700="","",IF(OR(K700,W694&lt;1),K696,J702))</f>
        <v/>
      </c>
      <c r="L702" s="1100" t="str">
        <f>IF(L700="","",IF(OR(L700,X694&lt;1),L696,K702))</f>
        <v/>
      </c>
      <c r="M702" s="1100" t="str">
        <f>IF(M700="","",IF(OR(M700,Y694&lt;1),M696,L702))</f>
        <v/>
      </c>
      <c r="N702" s="1101" t="str">
        <f>IF(N700="","",IF(OR(N700,Z694&lt;1),N696,M702))</f>
        <v/>
      </c>
      <c r="O702" s="15"/>
      <c r="P702" s="15"/>
      <c r="Q702" s="343"/>
      <c r="R702" s="2"/>
      <c r="S702" s="2"/>
      <c r="T702" s="2"/>
      <c r="U702" s="1086" t="s">
        <v>1858</v>
      </c>
      <c r="V702" s="1068">
        <f>J699</f>
        <v>2021</v>
      </c>
      <c r="W702" s="1068">
        <f>K699</f>
        <v>2022</v>
      </c>
      <c r="X702" s="1068">
        <f>L699</f>
        <v>2023</v>
      </c>
      <c r="Y702" s="1068">
        <f>M699</f>
        <v>2024</v>
      </c>
      <c r="Z702" s="1087">
        <f>N699</f>
        <v>2025</v>
      </c>
      <c r="AA702" s="2"/>
      <c r="AB702" s="2"/>
      <c r="AC702" s="2"/>
      <c r="AD702" s="2"/>
      <c r="AE702" s="2"/>
      <c r="AF702" s="2"/>
      <c r="AG702" s="2"/>
      <c r="AH702" s="2"/>
      <c r="AI702" s="2"/>
      <c r="AJ702" s="2"/>
      <c r="AK702" s="2"/>
      <c r="AL702" s="343"/>
    </row>
    <row r="703" spans="1:38" ht="12.75" customHeight="1" thickBot="1" x14ac:dyDescent="0.3">
      <c r="A703" s="343"/>
      <c r="B703" s="178"/>
      <c r="C703" s="178"/>
      <c r="D703" s="1246" t="s">
        <v>859</v>
      </c>
      <c r="E703" s="1231" t="str">
        <f>Translations!$B$1478</f>
        <v>Faktiskt värde</v>
      </c>
      <c r="F703" s="1231"/>
      <c r="G703" s="1231"/>
      <c r="H703" s="1232" t="str">
        <f>H694</f>
        <v>t CO2</v>
      </c>
      <c r="I703" s="990" t="str">
        <f>I697</f>
        <v/>
      </c>
      <c r="J703" s="1072" t="str">
        <f>IF($I617="","",IF(OR($I703=0,$I703=EUconst_NA,J702=""),IF(OR(J700=TRUE,J699&lt;=$V617),J697,SUM(I703)),$I703*(1+SUM(J702))))</f>
        <v/>
      </c>
      <c r="K703" s="1073" t="str">
        <f>IF($I617="","",IF(OR($I703=0,$I703=EUconst_NA,K702=""),IF(OR(K700=TRUE,K699&lt;=$V617),K697,SUM(J703)),$I703*(1+SUM(K702))))</f>
        <v/>
      </c>
      <c r="L703" s="1073" t="str">
        <f>IF($I617="","",IF(OR($I703=0,$I703=EUconst_NA,L702=""),IF(OR(L700=TRUE,L699&lt;=$V617),L697,SUM(K703)),$I703*(1+SUM(L702))))</f>
        <v/>
      </c>
      <c r="M703" s="1073" t="str">
        <f>IF($I617="","",IF(OR($I703=0,$I703=EUconst_NA,M702=""),IF(OR(M700=TRUE,M699&lt;=$V617),M697,SUM(L703)),$I703*(1+SUM(M702))))</f>
        <v/>
      </c>
      <c r="N703" s="1074" t="str">
        <f>IF($I617="","",IF(OR($I703=0,$I703=EUconst_NA,N702=""),IF(OR(N700=TRUE,N699&lt;=$V617),N697,SUM(M703)),$I703*(1+SUM(N702))))</f>
        <v/>
      </c>
      <c r="O703" s="15"/>
      <c r="P703" s="15"/>
      <c r="Q703" s="165" t="str">
        <f>EUconst_CNTR_HEATfinal &amp; I617</f>
        <v>HEATfinal_</v>
      </c>
      <c r="R703" s="2"/>
      <c r="S703" s="2"/>
      <c r="T703" s="2"/>
      <c r="U703" s="1765" t="b">
        <v>0</v>
      </c>
      <c r="V703" s="1757" t="str">
        <f>IF(V625,IF(J700=TRUE,V695,U703),"")</f>
        <v/>
      </c>
      <c r="W703" s="1757" t="str">
        <f>IF(W625,IF(K700=TRUE,W695,V703),"")</f>
        <v/>
      </c>
      <c r="X703" s="1757" t="str">
        <f>IF(X625,IF(L700=TRUE,X695,W703),"")</f>
        <v/>
      </c>
      <c r="Y703" s="1757" t="str">
        <f>IF(Y625,IF(M700=TRUE,Y695,X703),"")</f>
        <v/>
      </c>
      <c r="Z703" s="1758" t="str">
        <f>IF(Z625,IF(N700=TRUE,Z695,Y703),"")</f>
        <v/>
      </c>
      <c r="AA703" s="2"/>
      <c r="AB703" s="2"/>
      <c r="AC703" s="2"/>
      <c r="AD703" s="2"/>
      <c r="AE703" s="2"/>
      <c r="AF703" s="2"/>
      <c r="AG703" s="2"/>
      <c r="AH703" s="2"/>
      <c r="AI703" s="2"/>
      <c r="AJ703" s="553" t="s">
        <v>2242</v>
      </c>
      <c r="AK703" s="108" t="str">
        <f>IF(OR(ISERROR(J703),ISERROR(K703),ISERROR(L703),ISERROR(M703),ISERROR(N703)),EUconst_Error &amp; "BM" &amp; Q617,"")</f>
        <v/>
      </c>
      <c r="AL703" s="2"/>
    </row>
    <row r="704" spans="1:38" ht="5.15" customHeight="1" thickBot="1" x14ac:dyDescent="0.3">
      <c r="A704" s="2"/>
      <c r="B704" s="19"/>
      <c r="C704" s="19"/>
      <c r="D704" s="1274"/>
      <c r="E704" s="1275"/>
      <c r="F704" s="1275"/>
      <c r="G704" s="1275"/>
      <c r="H704" s="1275"/>
      <c r="I704" s="1276"/>
      <c r="J704" s="1275"/>
      <c r="K704" s="1275"/>
      <c r="L704" s="1275"/>
      <c r="M704" s="1275"/>
      <c r="N704" s="1277"/>
      <c r="O704" s="15"/>
      <c r="P704" s="15"/>
      <c r="Q704" s="130"/>
      <c r="R704" s="2"/>
      <c r="S704" s="343"/>
      <c r="T704" s="343"/>
      <c r="U704" s="2"/>
      <c r="V704" s="2"/>
      <c r="W704" s="2"/>
      <c r="X704" s="2"/>
      <c r="Y704" s="2"/>
      <c r="Z704" s="2"/>
      <c r="AA704" s="2"/>
      <c r="AB704" s="2"/>
      <c r="AC704" s="2"/>
      <c r="AD704" s="2"/>
      <c r="AE704" s="2"/>
      <c r="AF704" s="2"/>
      <c r="AG704" s="2"/>
      <c r="AH704" s="2"/>
      <c r="AI704" s="2"/>
      <c r="AJ704" s="2"/>
      <c r="AK704" s="2"/>
      <c r="AL704" s="2"/>
    </row>
    <row r="705" spans="1:38" ht="5.15" customHeight="1" x14ac:dyDescent="0.25">
      <c r="A705" s="2"/>
      <c r="B705" s="19"/>
      <c r="C705" s="19"/>
      <c r="D705" s="19"/>
      <c r="E705" s="19"/>
      <c r="F705" s="19"/>
      <c r="G705" s="19"/>
      <c r="H705" s="19"/>
      <c r="I705" s="99"/>
      <c r="J705" s="19"/>
      <c r="K705" s="19"/>
      <c r="L705" s="19"/>
      <c r="M705" s="19"/>
      <c r="N705" s="19"/>
      <c r="O705" s="15"/>
      <c r="P705" s="15"/>
      <c r="Q705" s="130"/>
      <c r="R705" s="2"/>
      <c r="S705" s="343"/>
      <c r="T705" s="343"/>
      <c r="U705" s="2"/>
      <c r="V705" s="2"/>
      <c r="W705" s="2"/>
      <c r="X705" s="2"/>
      <c r="Y705" s="2"/>
      <c r="Z705" s="2"/>
      <c r="AA705" s="2"/>
      <c r="AB705" s="2"/>
      <c r="AC705" s="2"/>
      <c r="AD705" s="2"/>
      <c r="AE705" s="2"/>
      <c r="AF705" s="2"/>
      <c r="AG705" s="2"/>
      <c r="AH705" s="2"/>
      <c r="AI705" s="2"/>
      <c r="AJ705" s="2"/>
      <c r="AK705" s="2"/>
      <c r="AL705" s="2"/>
    </row>
    <row r="706" spans="1:38" ht="15" customHeight="1" x14ac:dyDescent="0.25">
      <c r="A706" s="2"/>
      <c r="B706" s="19"/>
      <c r="C706" s="619"/>
      <c r="D706" s="2053" t="str">
        <f>Translations!$B$541</f>
        <v>Produktionsuppgifter</v>
      </c>
      <c r="E706" s="1963"/>
      <c r="F706" s="1963"/>
      <c r="G706" s="1963"/>
      <c r="H706" s="1963"/>
      <c r="I706" s="1963"/>
      <c r="J706" s="1963"/>
      <c r="K706" s="1963"/>
      <c r="L706" s="1963"/>
      <c r="M706" s="1963"/>
      <c r="N706" s="1963"/>
      <c r="O706" s="15"/>
      <c r="P706" s="15"/>
      <c r="Q706" s="2"/>
      <c r="R706" s="2"/>
      <c r="S706" s="343"/>
      <c r="T706" s="343"/>
      <c r="U706" s="2"/>
      <c r="V706" s="2"/>
      <c r="W706" s="2"/>
      <c r="X706" s="2"/>
      <c r="Y706" s="2"/>
      <c r="Z706" s="2"/>
      <c r="AA706" s="2"/>
      <c r="AB706" s="2"/>
      <c r="AC706" s="2"/>
      <c r="AD706" s="2"/>
      <c r="AE706" s="2"/>
      <c r="AF706" s="2"/>
      <c r="AG706" s="2"/>
      <c r="AH706" s="2"/>
      <c r="AI706" s="2"/>
      <c r="AJ706" s="2"/>
      <c r="AK706" s="2"/>
      <c r="AL706" s="2"/>
    </row>
    <row r="707" spans="1:38" ht="5.15" customHeight="1" x14ac:dyDescent="0.25">
      <c r="A707" s="2"/>
      <c r="B707" s="178"/>
      <c r="C707" s="178"/>
      <c r="D707" s="178"/>
      <c r="E707" s="178"/>
      <c r="F707" s="178"/>
      <c r="G707" s="178"/>
      <c r="H707" s="178"/>
      <c r="I707" s="178"/>
      <c r="J707" s="178"/>
      <c r="K707" s="178"/>
      <c r="L707" s="178"/>
      <c r="M707" s="178"/>
      <c r="N707" s="178"/>
      <c r="O707" s="15"/>
      <c r="P707" s="15"/>
      <c r="Q707" s="343"/>
      <c r="R707" s="343"/>
      <c r="S707" s="343"/>
      <c r="T707" s="343"/>
      <c r="U707" s="2"/>
      <c r="V707" s="2"/>
      <c r="W707" s="2"/>
      <c r="X707" s="2"/>
      <c r="Y707" s="2"/>
      <c r="Z707" s="2"/>
      <c r="AA707" s="2"/>
      <c r="AB707" s="2"/>
      <c r="AC707" s="2"/>
      <c r="AD707" s="2"/>
      <c r="AE707" s="2"/>
      <c r="AF707" s="2"/>
      <c r="AG707" s="2"/>
      <c r="AH707" s="2"/>
      <c r="AI707" s="2"/>
      <c r="AJ707" s="2"/>
      <c r="AK707" s="2"/>
      <c r="AL707" s="2"/>
    </row>
    <row r="708" spans="1:38" ht="12.75" customHeight="1" x14ac:dyDescent="0.25">
      <c r="A708" s="2"/>
      <c r="B708" s="178"/>
      <c r="C708" s="13"/>
      <c r="D708" s="13" t="s">
        <v>65</v>
      </c>
      <c r="E708" s="1943" t="str">
        <f>Translations!$B$542</f>
        <v>Identifiering av produkter som ingår i delanläggningen med produktriktmärke</v>
      </c>
      <c r="F708" s="1963"/>
      <c r="G708" s="1963"/>
      <c r="H708" s="1963"/>
      <c r="I708" s="1963"/>
      <c r="J708" s="1963"/>
      <c r="K708" s="1963"/>
      <c r="L708" s="1963"/>
      <c r="M708" s="1963"/>
      <c r="N708" s="1963"/>
      <c r="O708" s="15"/>
      <c r="P708" s="15"/>
      <c r="Q708" s="343"/>
      <c r="R708" s="2"/>
      <c r="S708" s="343"/>
      <c r="T708" s="343"/>
      <c r="U708" s="2"/>
      <c r="V708" s="2"/>
      <c r="W708" s="2"/>
      <c r="X708" s="2"/>
      <c r="Y708" s="2"/>
      <c r="Z708" s="2"/>
      <c r="AA708" s="2"/>
      <c r="AB708" s="2"/>
      <c r="AC708" s="2"/>
      <c r="AD708" s="2"/>
      <c r="AE708" s="2"/>
      <c r="AF708" s="2"/>
      <c r="AG708" s="2"/>
      <c r="AH708" s="2"/>
      <c r="AI708" s="2"/>
      <c r="AJ708" s="2"/>
      <c r="AK708" s="2"/>
      <c r="AL708" s="2"/>
    </row>
    <row r="709" spans="1:38" ht="25.5" customHeight="1" x14ac:dyDescent="0.25">
      <c r="A709" s="2"/>
      <c r="B709" s="178"/>
      <c r="C709" s="15"/>
      <c r="D709" s="15"/>
      <c r="E709" s="2061" t="s">
        <v>2215</v>
      </c>
      <c r="F709" s="1963"/>
      <c r="G709" s="1963"/>
      <c r="H709" s="1963"/>
      <c r="I709" s="1963"/>
      <c r="J709" s="1963"/>
      <c r="K709" s="1963"/>
      <c r="L709" s="1963"/>
      <c r="M709" s="1963"/>
      <c r="N709" s="1963"/>
      <c r="O709" s="15"/>
      <c r="P709" s="15"/>
      <c r="Q709" s="343"/>
      <c r="R709" s="2"/>
      <c r="S709" s="343"/>
      <c r="T709" s="343"/>
      <c r="U709" s="2"/>
      <c r="V709" s="2"/>
      <c r="W709" s="2"/>
      <c r="X709" s="2"/>
      <c r="Y709" s="2"/>
      <c r="Z709" s="2"/>
      <c r="AA709" s="2"/>
      <c r="AB709" s="2"/>
      <c r="AC709" s="2"/>
      <c r="AD709" s="2"/>
      <c r="AE709" s="2"/>
      <c r="AF709" s="2"/>
      <c r="AG709" s="2"/>
      <c r="AH709" s="2"/>
      <c r="AI709" s="2"/>
      <c r="AJ709" s="2"/>
      <c r="AK709" s="2"/>
      <c r="AL709" s="2"/>
    </row>
    <row r="710" spans="1:38" ht="25.5" customHeight="1" x14ac:dyDescent="0.25">
      <c r="A710" s="2"/>
      <c r="B710" s="178"/>
      <c r="C710" s="15"/>
      <c r="D710" s="15"/>
      <c r="E710" s="2061" t="str">
        <f>Translations!$B$543</f>
        <v>Prodcom-koder ska anges i formatet ”nnnnnnnn”, dvs. utan punkter eller andra avgränsare. Endast om Prodcom-koder inte finns ska en Nace-kod på fyra siffror anges i formatet ”nnnn”.</v>
      </c>
      <c r="F710" s="1963"/>
      <c r="G710" s="1963"/>
      <c r="H710" s="1963"/>
      <c r="I710" s="1963"/>
      <c r="J710" s="1963"/>
      <c r="K710" s="1963"/>
      <c r="L710" s="1963"/>
      <c r="M710" s="1963"/>
      <c r="N710" s="1963"/>
      <c r="O710" s="15"/>
      <c r="P710" s="15"/>
      <c r="Q710" s="343"/>
      <c r="R710" s="2"/>
      <c r="S710" s="343"/>
      <c r="T710" s="343"/>
      <c r="U710" s="2"/>
      <c r="V710" s="2"/>
      <c r="W710" s="2"/>
      <c r="X710" s="2"/>
      <c r="Y710" s="2"/>
      <c r="Z710" s="2"/>
      <c r="AA710" s="2"/>
      <c r="AB710" s="2"/>
      <c r="AC710" s="2"/>
      <c r="AD710" s="2"/>
      <c r="AE710" s="2"/>
      <c r="AF710" s="2"/>
      <c r="AG710" s="2"/>
      <c r="AH710" s="2"/>
      <c r="AI710" s="2"/>
      <c r="AJ710" s="2"/>
      <c r="AK710" s="2"/>
      <c r="AL710" s="2"/>
    </row>
    <row r="711" spans="1:38" ht="12.75" customHeight="1" x14ac:dyDescent="0.25">
      <c r="A711" s="2"/>
      <c r="B711" s="178"/>
      <c r="C711" s="15"/>
      <c r="D711" s="15"/>
      <c r="E711" s="2061" t="str">
        <f>Translations!$B$544</f>
        <v>En förteckning över 2010 års Prodcom-koder finns här:</v>
      </c>
      <c r="F711" s="1963"/>
      <c r="G711" s="1963"/>
      <c r="H711" s="1963"/>
      <c r="I711" s="1963"/>
      <c r="J711" s="1963"/>
      <c r="K711" s="1963"/>
      <c r="L711" s="1963"/>
      <c r="M711" s="1963"/>
      <c r="N711" s="1963"/>
      <c r="O711" s="15"/>
      <c r="P711" s="15"/>
      <c r="Q711" s="343"/>
      <c r="R711" s="2"/>
      <c r="S711" s="343"/>
      <c r="T711" s="343"/>
      <c r="U711" s="2"/>
      <c r="V711" s="2"/>
      <c r="W711" s="2"/>
      <c r="X711" s="2"/>
      <c r="Y711" s="2"/>
      <c r="Z711" s="2"/>
      <c r="AA711" s="2"/>
      <c r="AB711" s="2"/>
      <c r="AC711" s="2"/>
      <c r="AD711" s="2"/>
      <c r="AE711" s="2"/>
      <c r="AF711" s="2"/>
      <c r="AG711" s="2"/>
      <c r="AH711" s="2"/>
      <c r="AI711" s="2"/>
      <c r="AJ711" s="2"/>
      <c r="AK711" s="2"/>
      <c r="AL711" s="2"/>
    </row>
    <row r="712" spans="1:38" x14ac:dyDescent="0.25">
      <c r="A712" s="2"/>
      <c r="B712" s="178"/>
      <c r="C712" s="15"/>
      <c r="D712" s="15"/>
      <c r="E712" s="2644" t="str">
        <f>Translations!$B$545</f>
        <v>http://ec.europa.eu/eurostat/ramon/nomenclatures/index.cfm?TargetUrl=LST_CLS_DLD&amp;StrNom=PRD_2010&amp;StrLanguageCode=EN&amp;StrLayoutCode=HIERARCHIC</v>
      </c>
      <c r="F712" s="1940"/>
      <c r="G712" s="1940"/>
      <c r="H712" s="1940"/>
      <c r="I712" s="1940"/>
      <c r="J712" s="1940"/>
      <c r="K712" s="1940"/>
      <c r="L712" s="1940"/>
      <c r="M712" s="1940"/>
      <c r="N712" s="1940"/>
      <c r="O712" s="15"/>
      <c r="P712" s="15"/>
      <c r="Q712" s="343"/>
      <c r="R712" s="2"/>
      <c r="S712" s="343"/>
      <c r="T712" s="343"/>
      <c r="U712" s="2"/>
      <c r="V712" s="2"/>
      <c r="W712" s="2"/>
      <c r="X712" s="2"/>
      <c r="Y712" s="2"/>
      <c r="Z712" s="2"/>
      <c r="AA712" s="2"/>
      <c r="AB712" s="2"/>
      <c r="AC712" s="2"/>
      <c r="AD712" s="2"/>
      <c r="AE712" s="2"/>
      <c r="AF712" s="2"/>
      <c r="AG712" s="2"/>
      <c r="AH712" s="2"/>
      <c r="AI712" s="2"/>
      <c r="AJ712" s="2"/>
      <c r="AK712" s="2"/>
      <c r="AL712" s="2"/>
    </row>
    <row r="713" spans="1:38" ht="5.15" customHeight="1" x14ac:dyDescent="0.25">
      <c r="A713" s="2"/>
      <c r="B713" s="178"/>
      <c r="C713" s="178"/>
      <c r="D713" s="178"/>
      <c r="E713" s="178"/>
      <c r="F713" s="178"/>
      <c r="G713" s="178"/>
      <c r="H713" s="178"/>
      <c r="I713" s="178"/>
      <c r="J713" s="178"/>
      <c r="K713" s="178"/>
      <c r="L713" s="178"/>
      <c r="M713" s="178"/>
      <c r="N713" s="178"/>
      <c r="O713" s="15"/>
      <c r="P713" s="15"/>
      <c r="Q713" s="343"/>
      <c r="R713" s="343"/>
      <c r="S713" s="343"/>
      <c r="T713" s="343"/>
      <c r="U713" s="2"/>
      <c r="V713" s="2"/>
      <c r="W713" s="2"/>
      <c r="X713" s="2"/>
      <c r="Y713" s="2"/>
      <c r="Z713" s="2"/>
      <c r="AA713" s="2"/>
      <c r="AB713" s="2"/>
      <c r="AC713" s="2"/>
      <c r="AD713" s="2"/>
      <c r="AE713" s="2"/>
      <c r="AF713" s="2"/>
      <c r="AG713" s="2"/>
      <c r="AH713" s="2"/>
      <c r="AI713" s="2"/>
      <c r="AJ713" s="2"/>
      <c r="AK713" s="2"/>
      <c r="AL713" s="2"/>
    </row>
    <row r="714" spans="1:38" ht="12.75" customHeight="1" x14ac:dyDescent="0.25">
      <c r="A714" s="2"/>
      <c r="B714" s="178"/>
      <c r="C714" s="13"/>
      <c r="D714" s="13" t="s">
        <v>66</v>
      </c>
      <c r="E714" s="1943" t="str">
        <f>Translations!$B$546</f>
        <v>Individuella produktionsnivåer för produkter som ingår i delanläggningen med produktriktmärke</v>
      </c>
      <c r="F714" s="1963"/>
      <c r="G714" s="1963"/>
      <c r="H714" s="1963"/>
      <c r="I714" s="1963"/>
      <c r="J714" s="1963"/>
      <c r="K714" s="1963"/>
      <c r="L714" s="1963"/>
      <c r="M714" s="1963"/>
      <c r="N714" s="1963"/>
      <c r="O714" s="15"/>
      <c r="P714" s="15"/>
      <c r="Q714" s="343"/>
      <c r="R714" s="2"/>
      <c r="S714" s="343"/>
      <c r="T714" s="343"/>
      <c r="U714" s="2"/>
      <c r="V714" s="2"/>
      <c r="W714" s="2"/>
      <c r="X714" s="2"/>
      <c r="Y714" s="2"/>
      <c r="Z714" s="2"/>
      <c r="AA714" s="2"/>
      <c r="AB714" s="2"/>
      <c r="AC714" s="2"/>
      <c r="AD714" s="2"/>
      <c r="AE714" s="2"/>
      <c r="AF714" s="2"/>
      <c r="AG714" s="2"/>
      <c r="AH714" s="2"/>
      <c r="AI714" s="2"/>
      <c r="AJ714" s="2"/>
      <c r="AK714" s="2"/>
      <c r="AL714" s="2"/>
    </row>
    <row r="715" spans="1:38" ht="5.15" customHeight="1" x14ac:dyDescent="0.25">
      <c r="A715" s="2"/>
      <c r="B715" s="178"/>
      <c r="C715" s="178"/>
      <c r="D715" s="15"/>
      <c r="E715" s="16"/>
      <c r="F715" s="16"/>
      <c r="G715" s="16"/>
      <c r="H715" s="16"/>
      <c r="I715" s="16"/>
      <c r="J715" s="20"/>
      <c r="K715" s="20"/>
      <c r="L715" s="20"/>
      <c r="M715" s="15"/>
      <c r="N715" s="15"/>
      <c r="O715" s="15"/>
      <c r="P715" s="15"/>
      <c r="Q715" s="343"/>
      <c r="R715" s="2"/>
      <c r="S715" s="343"/>
      <c r="T715" s="343"/>
      <c r="U715" s="2"/>
      <c r="V715" s="2"/>
      <c r="W715" s="2"/>
      <c r="X715" s="2"/>
      <c r="Y715" s="2"/>
      <c r="Z715" s="2"/>
      <c r="AA715" s="2"/>
      <c r="AB715" s="2"/>
      <c r="AC715" s="2"/>
      <c r="AD715" s="2"/>
      <c r="AE715" s="2"/>
      <c r="AF715" s="2"/>
      <c r="AG715" s="2"/>
      <c r="AH715" s="2"/>
      <c r="AI715" s="2"/>
      <c r="AJ715" s="2"/>
      <c r="AK715" s="2"/>
      <c r="AL715" s="2"/>
    </row>
    <row r="716" spans="1:38" ht="25.5" customHeight="1" thickBot="1" x14ac:dyDescent="0.3">
      <c r="A716" s="2"/>
      <c r="B716" s="19"/>
      <c r="C716" s="19"/>
      <c r="D716" s="38"/>
      <c r="E716" s="321" t="s">
        <v>1030</v>
      </c>
      <c r="F716" s="1027" t="str">
        <f>Translations!$B$547</f>
        <v>Namn på produkt eller produktgrupp</v>
      </c>
      <c r="G716" s="774" t="str">
        <f>EUconst_Unit</f>
        <v>Enhet</v>
      </c>
      <c r="H716" s="320">
        <f t="shared" ref="H716:N716" si="299">H$3042</f>
        <v>2019</v>
      </c>
      <c r="I716" s="342">
        <f t="shared" si="299"/>
        <v>2020</v>
      </c>
      <c r="J716" s="987">
        <f t="shared" si="299"/>
        <v>2021</v>
      </c>
      <c r="K716" s="320">
        <f t="shared" si="299"/>
        <v>2022</v>
      </c>
      <c r="L716" s="320">
        <f t="shared" si="299"/>
        <v>2023</v>
      </c>
      <c r="M716" s="320">
        <f t="shared" si="299"/>
        <v>2024</v>
      </c>
      <c r="N716" s="320">
        <f t="shared" si="299"/>
        <v>2025</v>
      </c>
      <c r="O716" s="15"/>
      <c r="P716" s="15"/>
      <c r="Q716" s="2"/>
      <c r="R716" s="2"/>
      <c r="S716" s="343"/>
      <c r="T716" s="343"/>
      <c r="U716" s="2"/>
      <c r="V716" s="2"/>
      <c r="W716" s="2"/>
      <c r="X716" s="2"/>
      <c r="Y716" s="2"/>
      <c r="Z716" s="1055" t="s">
        <v>782</v>
      </c>
      <c r="AA716" s="2"/>
      <c r="AB716" s="2"/>
      <c r="AC716" s="1044">
        <f t="shared" ref="AC716:AI716" si="300">H$20</f>
        <v>2019</v>
      </c>
      <c r="AD716" s="1044">
        <f t="shared" si="300"/>
        <v>2020</v>
      </c>
      <c r="AE716" s="1044">
        <f t="shared" si="300"/>
        <v>2021</v>
      </c>
      <c r="AF716" s="1044">
        <f t="shared" si="300"/>
        <v>2022</v>
      </c>
      <c r="AG716" s="1044">
        <f t="shared" si="300"/>
        <v>2023</v>
      </c>
      <c r="AH716" s="1044">
        <f t="shared" si="300"/>
        <v>2024</v>
      </c>
      <c r="AI716" s="1044">
        <f t="shared" si="300"/>
        <v>2025</v>
      </c>
      <c r="AJ716" s="2"/>
      <c r="AK716" s="2"/>
      <c r="AL716" s="2"/>
    </row>
    <row r="717" spans="1:38" x14ac:dyDescent="0.25">
      <c r="A717" s="2"/>
      <c r="B717" s="19"/>
      <c r="C717" s="19"/>
      <c r="D717" s="32">
        <v>1</v>
      </c>
      <c r="E717" s="1787"/>
      <c r="F717" s="1047"/>
      <c r="G717" s="602"/>
      <c r="H717" s="383"/>
      <c r="I717" s="467"/>
      <c r="J717" s="1106"/>
      <c r="K717" s="383"/>
      <c r="L717" s="383"/>
      <c r="M717" s="383"/>
      <c r="N717" s="383"/>
      <c r="O717" s="15"/>
      <c r="P717" s="1362"/>
      <c r="Q717" s="2"/>
      <c r="R717" s="2"/>
      <c r="S717" s="343"/>
      <c r="T717" s="343"/>
      <c r="U717" s="2"/>
      <c r="V717" s="2"/>
      <c r="W717" s="2"/>
      <c r="X717" s="2"/>
      <c r="Y717" s="2"/>
      <c r="Z717" s="1056" t="b">
        <f t="shared" ref="Z717:Z726" si="301">AA717</f>
        <v>0</v>
      </c>
      <c r="AA717" s="1057" t="b">
        <f t="shared" ref="AA717:AA726" si="302">AB717</f>
        <v>0</v>
      </c>
      <c r="AB717" s="1363" t="b">
        <f>AND(AC717:AI717)</f>
        <v>0</v>
      </c>
      <c r="AC717" s="1054" t="b">
        <f t="shared" ref="AC717:AI717" si="303">AC687</f>
        <v>0</v>
      </c>
      <c r="AD717" s="1052" t="b">
        <f t="shared" si="303"/>
        <v>0</v>
      </c>
      <c r="AE717" s="1052" t="b">
        <f t="shared" si="303"/>
        <v>0</v>
      </c>
      <c r="AF717" s="1052" t="b">
        <f t="shared" si="303"/>
        <v>0</v>
      </c>
      <c r="AG717" s="1052" t="b">
        <f t="shared" si="303"/>
        <v>0</v>
      </c>
      <c r="AH717" s="1052" t="b">
        <f t="shared" si="303"/>
        <v>0</v>
      </c>
      <c r="AI717" s="1053" t="b">
        <f t="shared" si="303"/>
        <v>0</v>
      </c>
      <c r="AJ717" s="553" t="s">
        <v>2248</v>
      </c>
      <c r="AK717" s="663" t="str">
        <f>IF(AND(CNTR_ExistSubInstEntries,COUNTIFS(AC717:AI717,FALSE,H717:N717,"")&gt;0),EUconst_Error&amp;"BM"&amp;$Q617,"")</f>
        <v/>
      </c>
      <c r="AL717" s="2"/>
    </row>
    <row r="718" spans="1:38" x14ac:dyDescent="0.25">
      <c r="A718" s="2"/>
      <c r="B718" s="19"/>
      <c r="C718" s="19"/>
      <c r="D718" s="33">
        <f>D717+1</f>
        <v>2</v>
      </c>
      <c r="E718" s="1788"/>
      <c r="F718" s="1048"/>
      <c r="G718" s="446"/>
      <c r="H718" s="431"/>
      <c r="I718" s="468"/>
      <c r="J718" s="1120"/>
      <c r="K718" s="431"/>
      <c r="L718" s="431"/>
      <c r="M718" s="431"/>
      <c r="N718" s="431"/>
      <c r="O718" s="15"/>
      <c r="P718" s="1362"/>
      <c r="Q718" s="2"/>
      <c r="R718" s="2"/>
      <c r="S718" s="343"/>
      <c r="T718" s="343"/>
      <c r="U718" s="2"/>
      <c r="V718" s="2"/>
      <c r="W718" s="2"/>
      <c r="X718" s="2"/>
      <c r="Y718" s="2"/>
      <c r="Z718" s="583" t="b">
        <f t="shared" si="301"/>
        <v>0</v>
      </c>
      <c r="AA718" s="108" t="b">
        <f t="shared" si="302"/>
        <v>0</v>
      </c>
      <c r="AB718" s="109" t="b">
        <f t="shared" ref="AB718:AB726" si="304">AND(AC718:AI718)</f>
        <v>0</v>
      </c>
      <c r="AC718" s="153" t="b">
        <f>AC717</f>
        <v>0</v>
      </c>
      <c r="AD718" s="108" t="b">
        <f t="shared" ref="AD718:AI718" si="305">AD717</f>
        <v>0</v>
      </c>
      <c r="AE718" s="108" t="b">
        <f t="shared" si="305"/>
        <v>0</v>
      </c>
      <c r="AF718" s="108" t="b">
        <f t="shared" si="305"/>
        <v>0</v>
      </c>
      <c r="AG718" s="108" t="b">
        <f t="shared" si="305"/>
        <v>0</v>
      </c>
      <c r="AH718" s="108" t="b">
        <f t="shared" si="305"/>
        <v>0</v>
      </c>
      <c r="AI718" s="109" t="b">
        <f t="shared" si="305"/>
        <v>0</v>
      </c>
      <c r="AJ718" s="2"/>
      <c r="AK718" s="2"/>
      <c r="AL718" s="2"/>
    </row>
    <row r="719" spans="1:38" x14ac:dyDescent="0.25">
      <c r="A719" s="2"/>
      <c r="B719" s="19"/>
      <c r="C719" s="19"/>
      <c r="D719" s="33">
        <f t="shared" ref="D719:D726" si="306">D718+1</f>
        <v>3</v>
      </c>
      <c r="E719" s="1788"/>
      <c r="F719" s="1049"/>
      <c r="G719" s="446"/>
      <c r="H719" s="431"/>
      <c r="I719" s="468"/>
      <c r="J719" s="1120"/>
      <c r="K719" s="431"/>
      <c r="L719" s="431"/>
      <c r="M719" s="431"/>
      <c r="N719" s="431"/>
      <c r="O719" s="15"/>
      <c r="P719" s="1362"/>
      <c r="Q719" s="2"/>
      <c r="R719" s="2"/>
      <c r="S719" s="343"/>
      <c r="T719" s="343"/>
      <c r="U719" s="2"/>
      <c r="V719" s="2"/>
      <c r="W719" s="2"/>
      <c r="X719" s="2"/>
      <c r="Y719" s="2"/>
      <c r="Z719" s="583" t="b">
        <f t="shared" si="301"/>
        <v>0</v>
      </c>
      <c r="AA719" s="108" t="b">
        <f t="shared" si="302"/>
        <v>0</v>
      </c>
      <c r="AB719" s="109" t="b">
        <f t="shared" si="304"/>
        <v>0</v>
      </c>
      <c r="AC719" s="153" t="b">
        <f t="shared" ref="AC719:AI726" si="307">AC718</f>
        <v>0</v>
      </c>
      <c r="AD719" s="108" t="b">
        <f t="shared" si="307"/>
        <v>0</v>
      </c>
      <c r="AE719" s="108" t="b">
        <f t="shared" si="307"/>
        <v>0</v>
      </c>
      <c r="AF719" s="108" t="b">
        <f t="shared" si="307"/>
        <v>0</v>
      </c>
      <c r="AG719" s="108" t="b">
        <f t="shared" si="307"/>
        <v>0</v>
      </c>
      <c r="AH719" s="108" t="b">
        <f t="shared" si="307"/>
        <v>0</v>
      </c>
      <c r="AI719" s="109" t="b">
        <f t="shared" si="307"/>
        <v>0</v>
      </c>
      <c r="AJ719" s="2"/>
      <c r="AK719" s="2"/>
      <c r="AL719" s="2"/>
    </row>
    <row r="720" spans="1:38" x14ac:dyDescent="0.25">
      <c r="A720" s="2"/>
      <c r="B720" s="19"/>
      <c r="C720" s="19"/>
      <c r="D720" s="33">
        <f t="shared" si="306"/>
        <v>4</v>
      </c>
      <c r="E720" s="1788"/>
      <c r="F720" s="1049"/>
      <c r="G720" s="446"/>
      <c r="H720" s="431"/>
      <c r="I720" s="468"/>
      <c r="J720" s="1120"/>
      <c r="K720" s="431"/>
      <c r="L720" s="431"/>
      <c r="M720" s="431"/>
      <c r="N720" s="431"/>
      <c r="O720" s="15"/>
      <c r="P720" s="1362"/>
      <c r="Q720" s="2"/>
      <c r="R720" s="2"/>
      <c r="S720" s="343"/>
      <c r="T720" s="343"/>
      <c r="U720" s="2"/>
      <c r="V720" s="2"/>
      <c r="W720" s="2"/>
      <c r="X720" s="2"/>
      <c r="Y720" s="2"/>
      <c r="Z720" s="583" t="b">
        <f t="shared" si="301"/>
        <v>0</v>
      </c>
      <c r="AA720" s="108" t="b">
        <f t="shared" si="302"/>
        <v>0</v>
      </c>
      <c r="AB720" s="109" t="b">
        <f t="shared" si="304"/>
        <v>0</v>
      </c>
      <c r="AC720" s="153" t="b">
        <f t="shared" si="307"/>
        <v>0</v>
      </c>
      <c r="AD720" s="108" t="b">
        <f t="shared" si="307"/>
        <v>0</v>
      </c>
      <c r="AE720" s="108" t="b">
        <f t="shared" si="307"/>
        <v>0</v>
      </c>
      <c r="AF720" s="108" t="b">
        <f t="shared" si="307"/>
        <v>0</v>
      </c>
      <c r="AG720" s="108" t="b">
        <f t="shared" si="307"/>
        <v>0</v>
      </c>
      <c r="AH720" s="108" t="b">
        <f t="shared" si="307"/>
        <v>0</v>
      </c>
      <c r="AI720" s="109" t="b">
        <f t="shared" si="307"/>
        <v>0</v>
      </c>
      <c r="AJ720" s="2"/>
      <c r="AK720" s="2"/>
      <c r="AL720" s="2"/>
    </row>
    <row r="721" spans="1:38" x14ac:dyDescent="0.25">
      <c r="A721" s="2"/>
      <c r="B721" s="19"/>
      <c r="C721" s="19"/>
      <c r="D721" s="33">
        <f t="shared" si="306"/>
        <v>5</v>
      </c>
      <c r="E721" s="1788"/>
      <c r="F721" s="1049"/>
      <c r="G721" s="446"/>
      <c r="H721" s="431"/>
      <c r="I721" s="468"/>
      <c r="J721" s="1120"/>
      <c r="K721" s="431"/>
      <c r="L721" s="431"/>
      <c r="M721" s="431"/>
      <c r="N721" s="431"/>
      <c r="O721" s="15"/>
      <c r="P721" s="1362"/>
      <c r="Q721" s="2"/>
      <c r="R721" s="2"/>
      <c r="S721" s="343"/>
      <c r="T721" s="343"/>
      <c r="U721" s="2"/>
      <c r="V721" s="2"/>
      <c r="W721" s="2"/>
      <c r="X721" s="2"/>
      <c r="Y721" s="2"/>
      <c r="Z721" s="583" t="b">
        <f t="shared" si="301"/>
        <v>0</v>
      </c>
      <c r="AA721" s="108" t="b">
        <f t="shared" si="302"/>
        <v>0</v>
      </c>
      <c r="AB721" s="109" t="b">
        <f t="shared" si="304"/>
        <v>0</v>
      </c>
      <c r="AC721" s="153" t="b">
        <f t="shared" si="307"/>
        <v>0</v>
      </c>
      <c r="AD721" s="108" t="b">
        <f t="shared" si="307"/>
        <v>0</v>
      </c>
      <c r="AE721" s="108" t="b">
        <f t="shared" si="307"/>
        <v>0</v>
      </c>
      <c r="AF721" s="108" t="b">
        <f t="shared" si="307"/>
        <v>0</v>
      </c>
      <c r="AG721" s="108" t="b">
        <f t="shared" si="307"/>
        <v>0</v>
      </c>
      <c r="AH721" s="108" t="b">
        <f t="shared" si="307"/>
        <v>0</v>
      </c>
      <c r="AI721" s="109" t="b">
        <f t="shared" si="307"/>
        <v>0</v>
      </c>
      <c r="AJ721" s="2"/>
      <c r="AK721" s="2"/>
      <c r="AL721" s="2"/>
    </row>
    <row r="722" spans="1:38" x14ac:dyDescent="0.25">
      <c r="A722" s="2"/>
      <c r="B722" s="19"/>
      <c r="C722" s="19"/>
      <c r="D722" s="33">
        <f t="shared" si="306"/>
        <v>6</v>
      </c>
      <c r="E722" s="1788"/>
      <c r="F722" s="1049"/>
      <c r="G722" s="446"/>
      <c r="H722" s="431"/>
      <c r="I722" s="468"/>
      <c r="J722" s="1120"/>
      <c r="K722" s="431"/>
      <c r="L722" s="431"/>
      <c r="M722" s="431"/>
      <c r="N722" s="431"/>
      <c r="O722" s="15"/>
      <c r="P722" s="1362"/>
      <c r="Q722" s="2"/>
      <c r="R722" s="2"/>
      <c r="S722" s="343"/>
      <c r="T722" s="343"/>
      <c r="U722" s="2"/>
      <c r="V722" s="2"/>
      <c r="W722" s="2"/>
      <c r="X722" s="2"/>
      <c r="Y722" s="2"/>
      <c r="Z722" s="583" t="b">
        <f t="shared" si="301"/>
        <v>0</v>
      </c>
      <c r="AA722" s="108" t="b">
        <f t="shared" si="302"/>
        <v>0</v>
      </c>
      <c r="AB722" s="109" t="b">
        <f t="shared" si="304"/>
        <v>0</v>
      </c>
      <c r="AC722" s="153" t="b">
        <f t="shared" si="307"/>
        <v>0</v>
      </c>
      <c r="AD722" s="108" t="b">
        <f t="shared" si="307"/>
        <v>0</v>
      </c>
      <c r="AE722" s="108" t="b">
        <f t="shared" si="307"/>
        <v>0</v>
      </c>
      <c r="AF722" s="108" t="b">
        <f t="shared" si="307"/>
        <v>0</v>
      </c>
      <c r="AG722" s="108" t="b">
        <f t="shared" si="307"/>
        <v>0</v>
      </c>
      <c r="AH722" s="108" t="b">
        <f t="shared" si="307"/>
        <v>0</v>
      </c>
      <c r="AI722" s="109" t="b">
        <f t="shared" si="307"/>
        <v>0</v>
      </c>
      <c r="AJ722" s="2"/>
      <c r="AK722" s="2"/>
      <c r="AL722" s="2"/>
    </row>
    <row r="723" spans="1:38" x14ac:dyDescent="0.25">
      <c r="A723" s="2"/>
      <c r="B723" s="19"/>
      <c r="C723" s="19"/>
      <c r="D723" s="33">
        <f t="shared" si="306"/>
        <v>7</v>
      </c>
      <c r="E723" s="1788"/>
      <c r="F723" s="1049"/>
      <c r="G723" s="446"/>
      <c r="H723" s="431"/>
      <c r="I723" s="468"/>
      <c r="J723" s="1120"/>
      <c r="K723" s="431"/>
      <c r="L723" s="431"/>
      <c r="M723" s="431"/>
      <c r="N723" s="431"/>
      <c r="O723" s="15"/>
      <c r="P723" s="1362"/>
      <c r="Q723" s="2"/>
      <c r="R723" s="2"/>
      <c r="S723" s="343"/>
      <c r="T723" s="343"/>
      <c r="U723" s="2"/>
      <c r="V723" s="2"/>
      <c r="W723" s="2"/>
      <c r="X723" s="2"/>
      <c r="Y723" s="2"/>
      <c r="Z723" s="583" t="b">
        <f t="shared" si="301"/>
        <v>0</v>
      </c>
      <c r="AA723" s="108" t="b">
        <f t="shared" si="302"/>
        <v>0</v>
      </c>
      <c r="AB723" s="109" t="b">
        <f t="shared" si="304"/>
        <v>0</v>
      </c>
      <c r="AC723" s="153" t="b">
        <f t="shared" si="307"/>
        <v>0</v>
      </c>
      <c r="AD723" s="108" t="b">
        <f t="shared" si="307"/>
        <v>0</v>
      </c>
      <c r="AE723" s="108" t="b">
        <f t="shared" si="307"/>
        <v>0</v>
      </c>
      <c r="AF723" s="108" t="b">
        <f t="shared" si="307"/>
        <v>0</v>
      </c>
      <c r="AG723" s="108" t="b">
        <f t="shared" si="307"/>
        <v>0</v>
      </c>
      <c r="AH723" s="108" t="b">
        <f t="shared" si="307"/>
        <v>0</v>
      </c>
      <c r="AI723" s="109" t="b">
        <f t="shared" si="307"/>
        <v>0</v>
      </c>
      <c r="AJ723" s="2"/>
      <c r="AK723" s="2"/>
      <c r="AL723" s="2"/>
    </row>
    <row r="724" spans="1:38" x14ac:dyDescent="0.25">
      <c r="A724" s="2"/>
      <c r="B724" s="19"/>
      <c r="C724" s="19"/>
      <c r="D724" s="33">
        <f t="shared" si="306"/>
        <v>8</v>
      </c>
      <c r="E724" s="1788"/>
      <c r="F724" s="1049"/>
      <c r="G724" s="446"/>
      <c r="H724" s="431"/>
      <c r="I724" s="468"/>
      <c r="J724" s="1120"/>
      <c r="K724" s="431"/>
      <c r="L724" s="431"/>
      <c r="M724" s="431"/>
      <c r="N724" s="431"/>
      <c r="O724" s="15"/>
      <c r="P724" s="1362"/>
      <c r="Q724" s="2"/>
      <c r="R724" s="2"/>
      <c r="S724" s="343"/>
      <c r="T724" s="343"/>
      <c r="U724" s="2"/>
      <c r="V724" s="2"/>
      <c r="W724" s="2"/>
      <c r="X724" s="2"/>
      <c r="Y724" s="2"/>
      <c r="Z724" s="583" t="b">
        <f t="shared" si="301"/>
        <v>0</v>
      </c>
      <c r="AA724" s="108" t="b">
        <f t="shared" si="302"/>
        <v>0</v>
      </c>
      <c r="AB724" s="109" t="b">
        <f t="shared" si="304"/>
        <v>0</v>
      </c>
      <c r="AC724" s="153" t="b">
        <f t="shared" si="307"/>
        <v>0</v>
      </c>
      <c r="AD724" s="108" t="b">
        <f t="shared" si="307"/>
        <v>0</v>
      </c>
      <c r="AE724" s="108" t="b">
        <f t="shared" si="307"/>
        <v>0</v>
      </c>
      <c r="AF724" s="108" t="b">
        <f t="shared" si="307"/>
        <v>0</v>
      </c>
      <c r="AG724" s="108" t="b">
        <f t="shared" si="307"/>
        <v>0</v>
      </c>
      <c r="AH724" s="108" t="b">
        <f t="shared" si="307"/>
        <v>0</v>
      </c>
      <c r="AI724" s="109" t="b">
        <f t="shared" si="307"/>
        <v>0</v>
      </c>
      <c r="AJ724" s="2"/>
      <c r="AK724" s="2"/>
      <c r="AL724" s="2"/>
    </row>
    <row r="725" spans="1:38" x14ac:dyDescent="0.25">
      <c r="A725" s="2"/>
      <c r="B725" s="19"/>
      <c r="C725" s="19"/>
      <c r="D725" s="33">
        <f t="shared" si="306"/>
        <v>9</v>
      </c>
      <c r="E725" s="1788"/>
      <c r="F725" s="1049"/>
      <c r="G725" s="446"/>
      <c r="H725" s="431"/>
      <c r="I725" s="468"/>
      <c r="J725" s="1120"/>
      <c r="K725" s="431"/>
      <c r="L725" s="431"/>
      <c r="M725" s="431"/>
      <c r="N725" s="431"/>
      <c r="O725" s="15"/>
      <c r="P725" s="1362"/>
      <c r="Q725" s="2"/>
      <c r="R725" s="2"/>
      <c r="S725" s="343"/>
      <c r="T725" s="343"/>
      <c r="U725" s="2"/>
      <c r="V725" s="2"/>
      <c r="W725" s="2"/>
      <c r="X725" s="2"/>
      <c r="Y725" s="2"/>
      <c r="Z725" s="583" t="b">
        <f t="shared" si="301"/>
        <v>0</v>
      </c>
      <c r="AA725" s="108" t="b">
        <f t="shared" si="302"/>
        <v>0</v>
      </c>
      <c r="AB725" s="109" t="b">
        <f t="shared" si="304"/>
        <v>0</v>
      </c>
      <c r="AC725" s="153" t="b">
        <f t="shared" si="307"/>
        <v>0</v>
      </c>
      <c r="AD725" s="108" t="b">
        <f t="shared" si="307"/>
        <v>0</v>
      </c>
      <c r="AE725" s="108" t="b">
        <f t="shared" si="307"/>
        <v>0</v>
      </c>
      <c r="AF725" s="108" t="b">
        <f t="shared" si="307"/>
        <v>0</v>
      </c>
      <c r="AG725" s="108" t="b">
        <f t="shared" si="307"/>
        <v>0</v>
      </c>
      <c r="AH725" s="108" t="b">
        <f t="shared" si="307"/>
        <v>0</v>
      </c>
      <c r="AI725" s="109" t="b">
        <f t="shared" si="307"/>
        <v>0</v>
      </c>
      <c r="AJ725" s="2"/>
      <c r="AK725" s="2"/>
      <c r="AL725" s="2"/>
    </row>
    <row r="726" spans="1:38" ht="13" thickBot="1" x14ac:dyDescent="0.3">
      <c r="A726" s="2"/>
      <c r="B726" s="19"/>
      <c r="C726" s="19"/>
      <c r="D726" s="36">
        <f t="shared" si="306"/>
        <v>10</v>
      </c>
      <c r="E726" s="1790"/>
      <c r="F726" s="1050"/>
      <c r="G726" s="447"/>
      <c r="H726" s="357"/>
      <c r="I726" s="469"/>
      <c r="J726" s="1112"/>
      <c r="K726" s="357"/>
      <c r="L726" s="357"/>
      <c r="M726" s="357"/>
      <c r="N726" s="357"/>
      <c r="O726" s="15"/>
      <c r="P726" s="1362"/>
      <c r="Q726" s="2"/>
      <c r="R726" s="2"/>
      <c r="S726" s="343"/>
      <c r="T726" s="343"/>
      <c r="U726" s="2"/>
      <c r="V726" s="2"/>
      <c r="W726" s="2"/>
      <c r="X726" s="2"/>
      <c r="Y726" s="2"/>
      <c r="Z726" s="110" t="b">
        <f t="shared" si="301"/>
        <v>0</v>
      </c>
      <c r="AA726" s="111" t="b">
        <f t="shared" si="302"/>
        <v>0</v>
      </c>
      <c r="AB726" s="112" t="b">
        <f t="shared" si="304"/>
        <v>0</v>
      </c>
      <c r="AC726" s="156" t="b">
        <f t="shared" si="307"/>
        <v>0</v>
      </c>
      <c r="AD726" s="111" t="b">
        <f t="shared" si="307"/>
        <v>0</v>
      </c>
      <c r="AE726" s="111" t="b">
        <f t="shared" si="307"/>
        <v>0</v>
      </c>
      <c r="AF726" s="111" t="b">
        <f t="shared" si="307"/>
        <v>0</v>
      </c>
      <c r="AG726" s="111" t="b">
        <f t="shared" si="307"/>
        <v>0</v>
      </c>
      <c r="AH726" s="111" t="b">
        <f t="shared" si="307"/>
        <v>0</v>
      </c>
      <c r="AI726" s="112" t="b">
        <f t="shared" si="307"/>
        <v>0</v>
      </c>
      <c r="AJ726" s="2"/>
      <c r="AK726" s="2"/>
      <c r="AL726" s="2"/>
    </row>
    <row r="727" spans="1:38" ht="12.75" customHeight="1" thickBot="1" x14ac:dyDescent="0.3">
      <c r="A727" s="2"/>
      <c r="B727" s="19"/>
      <c r="C727" s="19"/>
      <c r="D727" s="90"/>
      <c r="E727" s="1026" t="str">
        <f>Translations!$B$548</f>
        <v>Summa av produktionsnivåer</v>
      </c>
      <c r="F727" s="915"/>
      <c r="G727" s="554"/>
      <c r="H727" s="275" t="str">
        <f t="shared" ref="H727:N727" si="308">IF(COUNT(H717:H726)&gt;0,SUM(H717:H726),"")</f>
        <v/>
      </c>
      <c r="I727" s="281" t="str">
        <f t="shared" si="308"/>
        <v/>
      </c>
      <c r="J727" s="1118" t="str">
        <f t="shared" si="308"/>
        <v/>
      </c>
      <c r="K727" s="275" t="str">
        <f t="shared" si="308"/>
        <v/>
      </c>
      <c r="L727" s="275" t="str">
        <f t="shared" si="308"/>
        <v/>
      </c>
      <c r="M727" s="275" t="str">
        <f t="shared" si="308"/>
        <v/>
      </c>
      <c r="N727" s="275" t="str">
        <f t="shared" si="308"/>
        <v/>
      </c>
      <c r="O727" s="15"/>
      <c r="P727" s="15"/>
      <c r="Q727" s="2"/>
      <c r="R727" s="2"/>
      <c r="S727" s="343"/>
      <c r="T727" s="343"/>
      <c r="U727" s="2"/>
      <c r="V727" s="2"/>
      <c r="W727" s="2"/>
      <c r="X727" s="2"/>
      <c r="Y727" s="2"/>
      <c r="Z727" s="2"/>
      <c r="AA727" s="2"/>
      <c r="AB727" s="555" t="b">
        <f>AND(AB717:AB726)</f>
        <v>0</v>
      </c>
      <c r="AC727" s="2"/>
      <c r="AD727" s="2"/>
      <c r="AE727" s="2"/>
      <c r="AF727" s="2"/>
      <c r="AG727" s="2"/>
      <c r="AH727" s="2"/>
      <c r="AI727" s="2"/>
      <c r="AJ727" s="2"/>
      <c r="AK727" s="2"/>
      <c r="AL727" s="2"/>
    </row>
    <row r="728" spans="1:38" ht="12.75" customHeight="1" thickBot="1" x14ac:dyDescent="0.3">
      <c r="A728" s="2"/>
      <c r="B728" s="178"/>
      <c r="C728" s="178"/>
      <c r="D728" s="178"/>
      <c r="E728" s="178"/>
      <c r="F728" s="178"/>
      <c r="G728" s="178"/>
      <c r="H728" s="178"/>
      <c r="I728" s="178"/>
      <c r="J728" s="178"/>
      <c r="K728" s="178"/>
      <c r="L728" s="178"/>
      <c r="M728" s="15"/>
      <c r="N728" s="15"/>
      <c r="O728" s="15"/>
      <c r="P728" s="15"/>
      <c r="Q728" s="343"/>
      <c r="R728" s="2"/>
      <c r="S728" s="343"/>
      <c r="T728" s="343"/>
      <c r="U728" s="2"/>
      <c r="V728" s="2"/>
      <c r="W728" s="2"/>
      <c r="X728" s="2"/>
      <c r="Y728" s="2"/>
      <c r="Z728" s="2"/>
      <c r="AA728" s="2"/>
      <c r="AB728" s="2"/>
      <c r="AC728" s="2"/>
      <c r="AD728" s="2"/>
      <c r="AE728" s="2"/>
      <c r="AF728" s="2"/>
      <c r="AG728" s="2"/>
      <c r="AH728" s="2"/>
      <c r="AI728" s="2"/>
      <c r="AJ728" s="2"/>
      <c r="AK728" s="2"/>
      <c r="AL728" s="2"/>
    </row>
    <row r="729" spans="1:38" ht="5.15" customHeight="1" x14ac:dyDescent="0.25">
      <c r="A729" s="2"/>
      <c r="B729" s="178"/>
      <c r="C729" s="775"/>
      <c r="D729" s="776"/>
      <c r="E729" s="776"/>
      <c r="F729" s="776"/>
      <c r="G729" s="776"/>
      <c r="H729" s="776"/>
      <c r="I729" s="776"/>
      <c r="J729" s="776"/>
      <c r="K729" s="776"/>
      <c r="L729" s="776"/>
      <c r="M729" s="777"/>
      <c r="N729" s="778"/>
      <c r="O729" s="15"/>
      <c r="P729" s="15"/>
      <c r="Q729" s="343"/>
      <c r="R729" s="2"/>
      <c r="S729" s="343"/>
      <c r="T729" s="343"/>
      <c r="U729" s="2"/>
      <c r="V729" s="2"/>
      <c r="W729" s="2"/>
      <c r="X729" s="2"/>
      <c r="Y729" s="2"/>
      <c r="Z729" s="2"/>
      <c r="AA729" s="2"/>
      <c r="AB729" s="2"/>
      <c r="AC729" s="2"/>
      <c r="AD729" s="2"/>
      <c r="AE729" s="2"/>
      <c r="AF729" s="2"/>
      <c r="AG729" s="2"/>
      <c r="AH729" s="2"/>
      <c r="AI729" s="2"/>
      <c r="AJ729" s="2"/>
      <c r="AK729" s="2"/>
      <c r="AL729" s="2"/>
    </row>
    <row r="730" spans="1:38" ht="15" customHeight="1" x14ac:dyDescent="0.25">
      <c r="A730" s="2"/>
      <c r="B730" s="19"/>
      <c r="C730" s="779"/>
      <c r="D730" s="2645" t="str">
        <f>Translations!$B$549</f>
        <v>Uppgifter som krävs för att fastställa den riktmärkesrelaterade förbättringsfaktorn enligt artikel 10a.2 i ETS-direktivet</v>
      </c>
      <c r="E730" s="2635"/>
      <c r="F730" s="2635"/>
      <c r="G730" s="2635"/>
      <c r="H730" s="2635"/>
      <c r="I730" s="2635"/>
      <c r="J730" s="2635"/>
      <c r="K730" s="2635"/>
      <c r="L730" s="2635"/>
      <c r="M730" s="2635"/>
      <c r="N730" s="2636"/>
      <c r="O730" s="15"/>
      <c r="P730" s="15"/>
      <c r="Q730" s="2"/>
      <c r="R730" s="2"/>
      <c r="S730" s="343"/>
      <c r="T730" s="343"/>
      <c r="U730" s="2"/>
      <c r="V730" s="2"/>
      <c r="W730" s="2"/>
      <c r="X730" s="2"/>
      <c r="Y730" s="2"/>
      <c r="Z730" s="2"/>
      <c r="AA730" s="2"/>
      <c r="AB730" s="2"/>
      <c r="AC730" s="2"/>
      <c r="AD730" s="2"/>
      <c r="AE730" s="2"/>
      <c r="AF730" s="2"/>
      <c r="AG730" s="2"/>
      <c r="AH730" s="2"/>
      <c r="AI730" s="2"/>
      <c r="AJ730" s="2"/>
      <c r="AK730" s="2"/>
      <c r="AL730" s="2"/>
    </row>
    <row r="731" spans="1:38" ht="5.15" customHeight="1" x14ac:dyDescent="0.25">
      <c r="A731" s="2"/>
      <c r="B731" s="19"/>
      <c r="C731" s="371"/>
      <c r="D731" s="360"/>
      <c r="E731" s="360"/>
      <c r="F731" s="360"/>
      <c r="G731" s="360"/>
      <c r="H731" s="360"/>
      <c r="I731" s="360"/>
      <c r="J731" s="360"/>
      <c r="K731" s="360"/>
      <c r="L731" s="360"/>
      <c r="M731" s="360"/>
      <c r="N731" s="372"/>
      <c r="O731" s="15"/>
      <c r="P731" s="15"/>
      <c r="Q731" s="2"/>
      <c r="R731" s="2"/>
      <c r="S731" s="343"/>
      <c r="T731" s="343"/>
      <c r="U731" s="2"/>
      <c r="V731" s="2"/>
      <c r="W731" s="2"/>
      <c r="X731" s="2"/>
      <c r="Y731" s="2"/>
      <c r="Z731" s="2"/>
      <c r="AA731" s="2"/>
      <c r="AB731" s="2"/>
      <c r="AC731" s="2"/>
      <c r="AD731" s="2"/>
      <c r="AE731" s="2"/>
      <c r="AF731" s="2"/>
      <c r="AG731" s="2"/>
      <c r="AH731" s="2"/>
      <c r="AI731" s="2"/>
      <c r="AJ731" s="2"/>
      <c r="AK731" s="2"/>
      <c r="AL731" s="2"/>
    </row>
    <row r="732" spans="1:38" ht="15" customHeight="1" x14ac:dyDescent="0.25">
      <c r="A732" s="2"/>
      <c r="B732" s="19"/>
      <c r="C732" s="371"/>
      <c r="D732" s="2646" t="str">
        <f>EUconst_BMSubinst &amp; ":"</f>
        <v>Delanläggning med produktriktmärke:</v>
      </c>
      <c r="E732" s="2642"/>
      <c r="F732" s="2642"/>
      <c r="G732" s="2642"/>
      <c r="H732" s="2647"/>
      <c r="I732" s="2090" t="str">
        <f>I617</f>
        <v/>
      </c>
      <c r="J732" s="2120"/>
      <c r="K732" s="2120"/>
      <c r="L732" s="2120"/>
      <c r="M732" s="2120"/>
      <c r="N732" s="2648"/>
      <c r="O732" s="15"/>
      <c r="P732" s="15"/>
      <c r="Q732" s="2"/>
      <c r="R732" s="2"/>
      <c r="S732" s="343"/>
      <c r="T732" s="343"/>
      <c r="U732" s="2"/>
      <c r="V732" s="2"/>
      <c r="W732" s="2"/>
      <c r="X732" s="2"/>
      <c r="Y732" s="2"/>
      <c r="Z732" s="2"/>
      <c r="AA732" s="2"/>
      <c r="AB732" s="2"/>
      <c r="AC732" s="2"/>
      <c r="AD732" s="2"/>
      <c r="AE732" s="2"/>
      <c r="AF732" s="2"/>
      <c r="AG732" s="2"/>
      <c r="AH732" s="2"/>
      <c r="AI732" s="2"/>
      <c r="AJ732" s="2"/>
      <c r="AK732" s="2"/>
      <c r="AL732" s="2"/>
    </row>
    <row r="733" spans="1:38" ht="5.15" customHeight="1" x14ac:dyDescent="0.25">
      <c r="A733" s="2"/>
      <c r="B733" s="19"/>
      <c r="C733" s="371"/>
      <c r="D733" s="360"/>
      <c r="E733" s="360"/>
      <c r="F733" s="360"/>
      <c r="G733" s="360"/>
      <c r="H733" s="360"/>
      <c r="I733" s="360"/>
      <c r="J733" s="360"/>
      <c r="K733" s="360"/>
      <c r="L733" s="360"/>
      <c r="M733" s="360"/>
      <c r="N733" s="372"/>
      <c r="O733" s="15"/>
      <c r="P733" s="15"/>
      <c r="Q733" s="2"/>
      <c r="R733" s="2"/>
      <c r="S733" s="343"/>
      <c r="T733" s="343"/>
      <c r="U733" s="2"/>
      <c r="V733" s="2"/>
      <c r="W733" s="2"/>
      <c r="X733" s="2"/>
      <c r="Y733" s="2"/>
      <c r="Z733" s="2"/>
      <c r="AA733" s="2"/>
      <c r="AB733" s="2"/>
      <c r="AC733" s="2"/>
      <c r="AD733" s="2"/>
      <c r="AE733" s="2"/>
      <c r="AF733" s="2"/>
      <c r="AG733" s="2"/>
      <c r="AH733" s="2"/>
      <c r="AI733" s="2"/>
      <c r="AJ733" s="2"/>
      <c r="AK733" s="2"/>
      <c r="AL733" s="2"/>
    </row>
    <row r="734" spans="1:38" ht="30" customHeight="1" x14ac:dyDescent="0.25">
      <c r="A734" s="2"/>
      <c r="B734" s="178"/>
      <c r="C734" s="779"/>
      <c r="D734" s="780"/>
      <c r="E734" s="2649" t="str">
        <f>Translations!$B$550</f>
        <v>Detta underavsnitt avser tillskrivning av utsläpp från bränsle-/materialmängder, utsläppskällor, import och export av mätbar värme och restgaser inklusive värmeförluster i enlighet med avsnitt 10 i bilaga VII till FAR.</v>
      </c>
      <c r="F734" s="2649"/>
      <c r="G734" s="2649"/>
      <c r="H734" s="2649"/>
      <c r="I734" s="2649"/>
      <c r="J734" s="2649"/>
      <c r="K734" s="2649"/>
      <c r="L734" s="2649"/>
      <c r="M734" s="2649"/>
      <c r="N734" s="2650"/>
      <c r="O734" s="15"/>
      <c r="P734" s="15"/>
      <c r="Q734" s="343"/>
      <c r="R734" s="2"/>
      <c r="S734" s="2"/>
      <c r="T734" s="2"/>
      <c r="U734" s="2"/>
      <c r="V734" s="2"/>
      <c r="W734" s="2"/>
      <c r="X734" s="2"/>
      <c r="Y734" s="2"/>
      <c r="Z734" s="2"/>
      <c r="AA734" s="2"/>
      <c r="AB734" s="2"/>
      <c r="AC734" s="2"/>
      <c r="AD734" s="2"/>
      <c r="AE734" s="2"/>
      <c r="AF734" s="2"/>
      <c r="AG734" s="2"/>
      <c r="AH734" s="2"/>
      <c r="AI734" s="2"/>
      <c r="AJ734" s="2"/>
      <c r="AK734" s="2"/>
      <c r="AL734" s="2"/>
    </row>
    <row r="735" spans="1:38" ht="30" customHeight="1" x14ac:dyDescent="0.25">
      <c r="A735" s="2"/>
      <c r="B735" s="178"/>
      <c r="C735" s="779"/>
      <c r="D735" s="780"/>
      <c r="E735" s="2649" t="str">
        <f>Translations!$B$551</f>
        <v xml:space="preserve">Var god notera att även om viss vägledning ges för varje punkt nedan bör ytterligare information inhämtas från vägledning 5 (”Monitoring and Reporting in relation to the FAR”), som också innehåller exempel. </v>
      </c>
      <c r="F735" s="2649"/>
      <c r="G735" s="2649"/>
      <c r="H735" s="2649"/>
      <c r="I735" s="2649"/>
      <c r="J735" s="2649"/>
      <c r="K735" s="2649"/>
      <c r="L735" s="2649"/>
      <c r="M735" s="2649"/>
      <c r="N735" s="2597"/>
      <c r="O735" s="15"/>
      <c r="P735" s="15"/>
      <c r="Q735" s="343"/>
      <c r="R735" s="2"/>
      <c r="S735" s="2"/>
      <c r="T735" s="2"/>
      <c r="U735" s="2"/>
      <c r="V735" s="2"/>
      <c r="W735" s="2"/>
      <c r="X735" s="2"/>
      <c r="Y735" s="2"/>
      <c r="Z735" s="2"/>
      <c r="AA735" s="2"/>
      <c r="AB735" s="2"/>
      <c r="AC735" s="2"/>
      <c r="AD735" s="2"/>
      <c r="AE735" s="2"/>
      <c r="AF735" s="2"/>
      <c r="AG735" s="2"/>
      <c r="AH735" s="2"/>
      <c r="AI735" s="2"/>
      <c r="AJ735" s="2"/>
      <c r="AK735" s="2"/>
      <c r="AL735" s="2"/>
    </row>
    <row r="736" spans="1:38" ht="12.75" customHeight="1" x14ac:dyDescent="0.25">
      <c r="A736" s="2"/>
      <c r="B736" s="178"/>
      <c r="C736" s="779"/>
      <c r="D736" s="780"/>
      <c r="E736" s="2649" t="str">
        <f>Translations!$B$552</f>
        <v xml:space="preserve">Vägledningen kan laddas ner via följande länk: </v>
      </c>
      <c r="F736" s="1960"/>
      <c r="G736" s="1960"/>
      <c r="H736" s="1960"/>
      <c r="I736" s="1960"/>
      <c r="J736" s="1960"/>
      <c r="K736" s="1960"/>
      <c r="L736" s="1960"/>
      <c r="M736" s="1960"/>
      <c r="N736" s="2597"/>
      <c r="O736" s="15"/>
      <c r="P736" s="15"/>
      <c r="Q736" s="343"/>
      <c r="R736" s="2"/>
      <c r="S736" s="2"/>
      <c r="T736" s="2"/>
      <c r="U736" s="2"/>
      <c r="V736" s="2"/>
      <c r="W736" s="2"/>
      <c r="X736" s="2"/>
      <c r="Y736" s="2"/>
      <c r="Z736" s="2"/>
      <c r="AA736" s="2"/>
      <c r="AB736" s="2"/>
      <c r="AC736" s="2"/>
      <c r="AD736" s="2"/>
      <c r="AE736" s="2"/>
      <c r="AF736" s="2"/>
      <c r="AG736" s="2"/>
      <c r="AH736" s="2"/>
      <c r="AI736" s="2"/>
      <c r="AJ736" s="2"/>
      <c r="AK736" s="2"/>
      <c r="AL736" s="2"/>
    </row>
    <row r="737" spans="1:38" ht="15" customHeight="1" x14ac:dyDescent="0.25">
      <c r="A737" s="2"/>
      <c r="B737" s="178"/>
      <c r="C737" s="779"/>
      <c r="D737" s="780"/>
      <c r="E737" s="2651" t="str">
        <f>Translations!$B$553</f>
        <v>https://ec.europa.eu/clima/policies/ets/allowances_en#tab-0-1</v>
      </c>
      <c r="F737" s="2651"/>
      <c r="G737" s="2651"/>
      <c r="H737" s="2651"/>
      <c r="I737" s="2651"/>
      <c r="J737" s="2651"/>
      <c r="K737" s="2651"/>
      <c r="L737" s="2651"/>
      <c r="M737" s="2651"/>
      <c r="N737" s="2624"/>
      <c r="O737" s="15"/>
      <c r="P737" s="15"/>
      <c r="Q737" s="343"/>
      <c r="R737" s="2"/>
      <c r="S737" s="2"/>
      <c r="T737" s="2"/>
      <c r="U737" s="2"/>
      <c r="V737" s="2"/>
      <c r="W737" s="2"/>
      <c r="X737" s="2"/>
      <c r="Y737" s="2"/>
      <c r="Z737" s="2"/>
      <c r="AA737" s="2"/>
      <c r="AB737" s="2"/>
      <c r="AC737" s="2"/>
      <c r="AD737" s="2"/>
      <c r="AE737" s="2"/>
      <c r="AF737" s="2"/>
      <c r="AG737" s="2"/>
      <c r="AH737" s="2"/>
      <c r="AI737" s="2"/>
      <c r="AJ737" s="2"/>
      <c r="AK737" s="2"/>
      <c r="AL737" s="2"/>
    </row>
    <row r="738" spans="1:38" ht="5.15" customHeight="1" x14ac:dyDescent="0.25">
      <c r="A738" s="2"/>
      <c r="B738" s="19"/>
      <c r="C738" s="371"/>
      <c r="D738" s="360"/>
      <c r="E738" s="360"/>
      <c r="F738" s="360"/>
      <c r="G738" s="360"/>
      <c r="H738" s="360"/>
      <c r="I738" s="360"/>
      <c r="J738" s="360"/>
      <c r="K738" s="360"/>
      <c r="L738" s="360"/>
      <c r="M738" s="360"/>
      <c r="N738" s="372"/>
      <c r="O738" s="15"/>
      <c r="P738" s="15"/>
      <c r="Q738" s="2"/>
      <c r="R738" s="2"/>
      <c r="S738" s="343"/>
      <c r="T738" s="343"/>
      <c r="U738" s="2"/>
      <c r="V738" s="2"/>
      <c r="W738" s="2"/>
      <c r="X738" s="2"/>
      <c r="Y738" s="2"/>
      <c r="Z738" s="2"/>
      <c r="AA738" s="2"/>
      <c r="AB738" s="2"/>
      <c r="AC738" s="2"/>
      <c r="AD738" s="2"/>
      <c r="AE738" s="2"/>
      <c r="AF738" s="2"/>
      <c r="AG738" s="2"/>
      <c r="AH738" s="2"/>
      <c r="AI738" s="2"/>
      <c r="AJ738" s="2"/>
      <c r="AK738" s="2"/>
      <c r="AL738" s="2"/>
    </row>
    <row r="739" spans="1:38" ht="15" customHeight="1" x14ac:dyDescent="0.25">
      <c r="A739" s="2"/>
      <c r="B739" s="178"/>
      <c r="C739" s="779"/>
      <c r="D739" s="780"/>
      <c r="E739" s="2633" t="str">
        <f>Translations!$B$554</f>
        <v>Utifrån de uppgifter som anges nedan beräknas de tillskrivna utsläppen i avsnitt K.III.2 i det sammanfattande bladet "K_Summary".</v>
      </c>
      <c r="F739" s="2633"/>
      <c r="G739" s="2633"/>
      <c r="H739" s="2633"/>
      <c r="I739" s="2633"/>
      <c r="J739" s="2633"/>
      <c r="K739" s="2633"/>
      <c r="L739" s="2633"/>
      <c r="M739" s="2633"/>
      <c r="N739" s="2624"/>
      <c r="O739" s="15"/>
      <c r="P739" s="15"/>
      <c r="Q739" s="343"/>
      <c r="R739" s="2"/>
      <c r="S739" s="2"/>
      <c r="T739" s="2"/>
      <c r="U739" s="2"/>
      <c r="V739" s="2"/>
      <c r="W739" s="2"/>
      <c r="X739" s="2"/>
      <c r="Y739" s="2"/>
      <c r="Z739" s="2"/>
      <c r="AA739" s="2"/>
      <c r="AB739" s="2"/>
      <c r="AC739" s="2"/>
      <c r="AD739" s="2"/>
      <c r="AE739" s="2"/>
      <c r="AF739" s="2"/>
      <c r="AG739" s="2"/>
      <c r="AH739" s="2"/>
      <c r="AI739" s="2"/>
      <c r="AJ739" s="2"/>
      <c r="AK739" s="2"/>
      <c r="AL739" s="2"/>
    </row>
    <row r="740" spans="1:38" ht="5.15" customHeight="1" x14ac:dyDescent="0.25">
      <c r="A740" s="2"/>
      <c r="B740" s="19"/>
      <c r="C740" s="371"/>
      <c r="D740" s="360"/>
      <c r="E740" s="360"/>
      <c r="F740" s="360"/>
      <c r="G740" s="360"/>
      <c r="H740" s="360"/>
      <c r="I740" s="360"/>
      <c r="J740" s="360"/>
      <c r="K740" s="360"/>
      <c r="L740" s="360"/>
      <c r="M740" s="360"/>
      <c r="N740" s="372"/>
      <c r="O740" s="15"/>
      <c r="P740" s="15"/>
      <c r="Q740" s="2"/>
      <c r="R740" s="2"/>
      <c r="S740" s="343"/>
      <c r="T740" s="343"/>
      <c r="U740" s="2"/>
      <c r="V740" s="2"/>
      <c r="W740" s="2"/>
      <c r="X740" s="2"/>
      <c r="Y740" s="2"/>
      <c r="Z740" s="2"/>
      <c r="AA740" s="2"/>
      <c r="AB740" s="2"/>
      <c r="AC740" s="2"/>
      <c r="AD740" s="2"/>
      <c r="AE740" s="2"/>
      <c r="AF740" s="2"/>
      <c r="AG740" s="2"/>
      <c r="AH740" s="2"/>
      <c r="AI740" s="2"/>
      <c r="AJ740" s="2"/>
      <c r="AK740" s="2"/>
      <c r="AL740" s="2"/>
    </row>
    <row r="741" spans="1:38" ht="12.75" customHeight="1" x14ac:dyDescent="0.25">
      <c r="A741" s="2"/>
      <c r="B741" s="178"/>
      <c r="C741" s="779"/>
      <c r="D741" s="373" t="s">
        <v>299</v>
      </c>
      <c r="E741" s="2634" t="str">
        <f>Translations!$B$555</f>
        <v>Utsläpp som direkt kan tillskrivas (DirEm* (bränsle-/materialmängder enligt övervakningsplan)) delanläggningen</v>
      </c>
      <c r="F741" s="2635"/>
      <c r="G741" s="2635"/>
      <c r="H741" s="2635"/>
      <c r="I741" s="2635"/>
      <c r="J741" s="2635"/>
      <c r="K741" s="2635"/>
      <c r="L741" s="2635"/>
      <c r="M741" s="2635"/>
      <c r="N741" s="2636"/>
      <c r="O741" s="15"/>
      <c r="P741" s="15"/>
      <c r="Q741" s="343"/>
      <c r="R741" s="2"/>
      <c r="S741" s="343"/>
      <c r="T741" s="343"/>
      <c r="U741" s="2"/>
      <c r="V741" s="2"/>
      <c r="W741" s="2"/>
      <c r="X741" s="2"/>
      <c r="Y741" s="2"/>
      <c r="Z741" s="2"/>
      <c r="AA741" s="2"/>
      <c r="AB741" s="2"/>
      <c r="AC741" s="2"/>
      <c r="AD741" s="2"/>
      <c r="AE741" s="2"/>
      <c r="AF741" s="2"/>
      <c r="AG741" s="2"/>
      <c r="AH741" s="2"/>
      <c r="AI741" s="2"/>
      <c r="AJ741" s="2"/>
      <c r="AK741" s="2"/>
      <c r="AL741" s="2"/>
    </row>
    <row r="742" spans="1:38" ht="12.75" customHeight="1" x14ac:dyDescent="0.25">
      <c r="A742" s="2"/>
      <c r="B742" s="178"/>
      <c r="C742" s="779"/>
      <c r="D742" s="416"/>
      <c r="E742" s="2637" t="str">
        <f>Translations!$B$556</f>
        <v>De uppgifter som anges här påverkar de utsläpp som kan tillskrivas i enlighet med avsnitt 10.1.1 i bilaga VII till FAR.</v>
      </c>
      <c r="F742" s="2634"/>
      <c r="G742" s="2634"/>
      <c r="H742" s="2634"/>
      <c r="I742" s="2634"/>
      <c r="J742" s="2634"/>
      <c r="K742" s="2634"/>
      <c r="L742" s="2634"/>
      <c r="M742" s="2634"/>
      <c r="N742" s="2638"/>
      <c r="O742" s="15"/>
      <c r="P742" s="15"/>
      <c r="Q742" s="343"/>
      <c r="R742" s="2"/>
      <c r="S742" s="343"/>
      <c r="T742" s="343"/>
      <c r="U742" s="2"/>
      <c r="V742" s="2"/>
      <c r="W742" s="2"/>
      <c r="X742" s="2"/>
      <c r="Y742" s="2"/>
      <c r="Z742" s="2"/>
      <c r="AA742" s="2"/>
      <c r="AB742" s="2"/>
      <c r="AC742" s="2"/>
      <c r="AD742" s="2"/>
      <c r="AE742" s="2"/>
      <c r="AF742" s="2"/>
      <c r="AG742" s="2"/>
      <c r="AH742" s="2"/>
      <c r="AI742" s="2"/>
      <c r="AJ742" s="2"/>
      <c r="AK742" s="2"/>
      <c r="AL742" s="2"/>
    </row>
    <row r="743" spans="1:38" ht="12.75" customHeight="1" x14ac:dyDescent="0.25">
      <c r="A743" s="2"/>
      <c r="B743" s="178"/>
      <c r="C743" s="779"/>
      <c r="D743" s="780"/>
      <c r="E743" s="2639" t="str">
        <f>Translations!$B$557</f>
        <v>Var god ange utsläpp som direkt kan tillskrivas (DirEm* (bränsle-/materialmängder enligt övervakningsplan)) delanläggningen med beaktande av följande bestämmelser:</v>
      </c>
      <c r="F743" s="2639"/>
      <c r="G743" s="2639"/>
      <c r="H743" s="2639"/>
      <c r="I743" s="2639"/>
      <c r="J743" s="2639"/>
      <c r="K743" s="2639"/>
      <c r="L743" s="2639"/>
      <c r="M743" s="2639"/>
      <c r="N743" s="2640"/>
      <c r="O743" s="15"/>
      <c r="P743" s="15"/>
      <c r="Q743" s="343"/>
      <c r="R743" s="2"/>
      <c r="S743" s="343"/>
      <c r="T743" s="2"/>
      <c r="U743" s="2"/>
      <c r="V743" s="2"/>
      <c r="W743" s="2"/>
      <c r="X743" s="2"/>
      <c r="Y743" s="2"/>
      <c r="Z743" s="2"/>
      <c r="AA743" s="2"/>
      <c r="AB743" s="2"/>
      <c r="AC743" s="2"/>
      <c r="AD743" s="2"/>
      <c r="AE743" s="2"/>
      <c r="AF743" s="2"/>
      <c r="AG743" s="2"/>
      <c r="AH743" s="2"/>
      <c r="AI743" s="2"/>
      <c r="AJ743" s="2"/>
      <c r="AK743" s="2"/>
      <c r="AL743" s="2"/>
    </row>
    <row r="744" spans="1:38" ht="25.5" customHeight="1" x14ac:dyDescent="0.25">
      <c r="A744" s="2"/>
      <c r="B744" s="178"/>
      <c r="C744" s="779"/>
      <c r="D744" s="780"/>
      <c r="E744" s="1140" t="s">
        <v>1112</v>
      </c>
      <c r="F744" s="2641" t="str">
        <f>Translations!$B$558</f>
        <v>”Utsläpp som direkt kan tillskrivas” övervakas enligt den övervakningsplan som ska godkännas enligt M&amp;R-förordningen, dvs. med hänsyn tagen till de utsläpp som fastställts utifrån beräkningsbaserade metoder (med hjälp av bränsle-/materialmängder), mätbaserade metoder (Cems) och nivålösa metoder (”alternativa övervakningsmetoder”/”fall-back”).</v>
      </c>
      <c r="G744" s="2642"/>
      <c r="H744" s="2642"/>
      <c r="I744" s="2642"/>
      <c r="J744" s="2642"/>
      <c r="K744" s="2642"/>
      <c r="L744" s="2642"/>
      <c r="M744" s="2642"/>
      <c r="N744" s="2643"/>
      <c r="O744" s="15"/>
      <c r="P744" s="15"/>
      <c r="Q744" s="343"/>
      <c r="R744" s="2"/>
      <c r="S744" s="343"/>
      <c r="T744" s="2"/>
      <c r="U744" s="2"/>
      <c r="V744" s="2"/>
      <c r="W744" s="2"/>
      <c r="X744" s="2"/>
      <c r="Y744" s="2"/>
      <c r="Z744" s="2"/>
      <c r="AA744" s="2"/>
      <c r="AB744" s="2"/>
      <c r="AC744" s="2"/>
      <c r="AD744" s="2"/>
      <c r="AE744" s="2"/>
      <c r="AF744" s="2"/>
      <c r="AG744" s="2"/>
      <c r="AH744" s="2"/>
      <c r="AI744" s="2"/>
      <c r="AJ744" s="2"/>
      <c r="AK744" s="2"/>
      <c r="AL744" s="2"/>
    </row>
    <row r="745" spans="1:38" ht="38.25" customHeight="1" x14ac:dyDescent="0.25">
      <c r="A745" s="2"/>
      <c r="B745" s="178"/>
      <c r="C745" s="779"/>
      <c r="D745" s="780"/>
      <c r="E745" s="1140"/>
      <c r="F745" s="2610" t="str">
        <f>Translations!$B$559</f>
        <v>I flera situationer är ”utsläppen som direkt kan tillskrivas” i detta avsnitt dock inte identiska med de som ska rapporteras enligt M&amp;R-förordningen. Sådana situationer är bland annat när bränsle-/materialmängder används för produktion av mätbar värme, restgaser osv. Med andra ord måste man därför vara uppmärksam när man fyller i avsnitten nedan, så att man följer instruktionerna noggrant för att undvika dubbelräkning eller utelämnanden.</v>
      </c>
      <c r="G745" s="1960"/>
      <c r="H745" s="1960"/>
      <c r="I745" s="1960"/>
      <c r="J745" s="1960"/>
      <c r="K745" s="1960"/>
      <c r="L745" s="1960"/>
      <c r="M745" s="1960"/>
      <c r="N745" s="2597"/>
      <c r="O745" s="15"/>
      <c r="P745" s="15"/>
      <c r="Q745" s="343"/>
      <c r="R745" s="2"/>
      <c r="S745" s="343"/>
      <c r="T745" s="2"/>
      <c r="U745" s="2"/>
      <c r="V745" s="2"/>
      <c r="W745" s="2"/>
      <c r="X745" s="2"/>
      <c r="Y745" s="2"/>
      <c r="Z745" s="2"/>
      <c r="AA745" s="2"/>
      <c r="AB745" s="2"/>
      <c r="AC745" s="2"/>
      <c r="AD745" s="2"/>
      <c r="AE745" s="2"/>
      <c r="AF745" s="2"/>
      <c r="AG745" s="2"/>
      <c r="AH745" s="2"/>
      <c r="AI745" s="2"/>
      <c r="AJ745" s="2"/>
      <c r="AK745" s="2"/>
      <c r="AL745" s="2"/>
    </row>
    <row r="746" spans="1:38" ht="12.75" customHeight="1" x14ac:dyDescent="0.25">
      <c r="A746" s="2"/>
      <c r="B746" s="178"/>
      <c r="C746" s="779"/>
      <c r="D746" s="780"/>
      <c r="E746" s="1140" t="s">
        <v>1112</v>
      </c>
      <c r="F746" s="2641" t="str">
        <f>Translations!$B$560</f>
        <v xml:space="preserve">Mätbar värme: om värmen enbart produceras för en delanläggning kan utsläppen tillskrivas direkt här via bränslets utsläpp. </v>
      </c>
      <c r="G746" s="2642"/>
      <c r="H746" s="2642"/>
      <c r="I746" s="2642"/>
      <c r="J746" s="2642"/>
      <c r="K746" s="2642"/>
      <c r="L746" s="2642"/>
      <c r="M746" s="2642"/>
      <c r="N746" s="2643"/>
      <c r="O746" s="15"/>
      <c r="P746" s="15"/>
      <c r="Q746" s="343"/>
      <c r="R746" s="2"/>
      <c r="S746" s="343"/>
      <c r="T746" s="2"/>
      <c r="U746" s="2"/>
      <c r="V746" s="2"/>
      <c r="W746" s="2"/>
      <c r="X746" s="2"/>
      <c r="Y746" s="2"/>
      <c r="Z746" s="2"/>
      <c r="AA746" s="2"/>
      <c r="AB746" s="2"/>
      <c r="AC746" s="2"/>
      <c r="AD746" s="2"/>
      <c r="AE746" s="2"/>
      <c r="AF746" s="2"/>
      <c r="AG746" s="2"/>
      <c r="AH746" s="2"/>
      <c r="AI746" s="2"/>
      <c r="AJ746" s="2"/>
      <c r="AK746" s="2"/>
      <c r="AL746" s="2"/>
    </row>
    <row r="747" spans="1:38" ht="38.9" customHeight="1" x14ac:dyDescent="0.25">
      <c r="A747" s="2"/>
      <c r="B747" s="178"/>
      <c r="C747" s="779"/>
      <c r="D747" s="780"/>
      <c r="E747" s="1140"/>
      <c r="F747" s="2641" t="str">
        <f>Translations!$B$561</f>
        <v>I samtliga fall där bränslen används för att producera mätbar värme som används i mer än en delanläggning där värmen förbrukas (vilket innefattar situationer med import från och export till andra anläggningar), bör bränslena inte räknas med i de ”utsläpp som direkt kan tillskrivas” delanläggningen utan tas med i punkt k nedan.</v>
      </c>
      <c r="G747" s="2642"/>
      <c r="H747" s="2642"/>
      <c r="I747" s="2642"/>
      <c r="J747" s="2642"/>
      <c r="K747" s="2642"/>
      <c r="L747" s="2642"/>
      <c r="M747" s="2642"/>
      <c r="N747" s="2643"/>
      <c r="O747" s="15"/>
      <c r="P747" s="15"/>
      <c r="Q747" s="343"/>
      <c r="R747" s="2"/>
      <c r="S747" s="343"/>
      <c r="T747" s="2"/>
      <c r="U747" s="2"/>
      <c r="V747" s="2"/>
      <c r="W747" s="2"/>
      <c r="X747" s="2"/>
      <c r="Y747" s="2"/>
      <c r="Z747" s="2"/>
      <c r="AA747" s="2"/>
      <c r="AB747" s="2"/>
      <c r="AC747" s="2"/>
      <c r="AD747" s="2"/>
      <c r="AE747" s="2"/>
      <c r="AF747" s="2"/>
      <c r="AG747" s="2"/>
      <c r="AH747" s="2"/>
      <c r="AI747" s="2"/>
      <c r="AJ747" s="2"/>
      <c r="AK747" s="2"/>
      <c r="AL747" s="2"/>
    </row>
    <row r="748" spans="1:38" ht="25.5" customHeight="1" x14ac:dyDescent="0.25">
      <c r="A748" s="2"/>
      <c r="B748" s="178"/>
      <c r="C748" s="779"/>
      <c r="D748" s="780"/>
      <c r="E748" s="1140"/>
      <c r="F748" s="2641" t="str">
        <f>Translations!$B$562</f>
        <v>Detta innefattar mätbar värme från en enhet på platsen (t.ex. en energicentral vid anläggningen eller ett mer komplext ångnätverk med flera värmeproducerande enheter) som ger värme till mer än en delanläggning. I ett sådant fall bör utsläppen inte heller tillskrivas här utan i punkt k.i nedan.</v>
      </c>
      <c r="G748" s="2642"/>
      <c r="H748" s="2642"/>
      <c r="I748" s="2642"/>
      <c r="J748" s="2642"/>
      <c r="K748" s="2642"/>
      <c r="L748" s="2642"/>
      <c r="M748" s="2642"/>
      <c r="N748" s="2643"/>
      <c r="O748" s="15"/>
      <c r="P748" s="15"/>
      <c r="Q748" s="343"/>
      <c r="R748" s="2"/>
      <c r="S748" s="343"/>
      <c r="T748" s="2"/>
      <c r="U748" s="2"/>
      <c r="V748" s="2"/>
      <c r="W748" s="2"/>
      <c r="X748" s="2"/>
      <c r="Y748" s="2"/>
      <c r="Z748" s="2"/>
      <c r="AA748" s="2"/>
      <c r="AB748" s="2"/>
      <c r="AC748" s="2"/>
      <c r="AD748" s="2"/>
      <c r="AE748" s="2"/>
      <c r="AF748" s="2"/>
      <c r="AG748" s="2"/>
      <c r="AH748" s="2"/>
      <c r="AI748" s="2"/>
      <c r="AJ748" s="2"/>
      <c r="AK748" s="2"/>
      <c r="AL748" s="2"/>
    </row>
    <row r="749" spans="1:38" ht="25.5" customHeight="1" x14ac:dyDescent="0.25">
      <c r="A749" s="2"/>
      <c r="B749" s="178"/>
      <c r="C749" s="779"/>
      <c r="D749" s="780"/>
      <c r="E749" s="1140" t="s">
        <v>1112</v>
      </c>
      <c r="F749" s="2641" t="str">
        <f>Translations!$B$563</f>
        <v>Exporterad mätbar värme: inga korrigeringar bör göras här om sådan värme återvinns från processen och exporteras. Avdrag för tillhörande utsläpp görs utifrån de uppgifter som ges i punkt k.v nedan.</v>
      </c>
      <c r="G749" s="2642"/>
      <c r="H749" s="2642"/>
      <c r="I749" s="2642"/>
      <c r="J749" s="2642"/>
      <c r="K749" s="2642"/>
      <c r="L749" s="2642"/>
      <c r="M749" s="2642"/>
      <c r="N749" s="2643"/>
      <c r="O749" s="15"/>
      <c r="P749" s="15"/>
      <c r="Q749" s="343"/>
      <c r="R749" s="2"/>
      <c r="S749" s="343"/>
      <c r="T749" s="2"/>
      <c r="U749" s="2"/>
      <c r="V749" s="2"/>
      <c r="W749" s="2"/>
      <c r="X749" s="2"/>
      <c r="Y749" s="2"/>
      <c r="Z749" s="2"/>
      <c r="AA749" s="2"/>
      <c r="AB749" s="2"/>
      <c r="AC749" s="2"/>
      <c r="AD749" s="2"/>
      <c r="AE749" s="2"/>
      <c r="AF749" s="2"/>
      <c r="AG749" s="2"/>
      <c r="AH749" s="2"/>
      <c r="AI749" s="2"/>
      <c r="AJ749" s="2"/>
      <c r="AK749" s="2"/>
      <c r="AL749" s="2"/>
    </row>
    <row r="750" spans="1:38" ht="25.5" customHeight="1" thickBot="1" x14ac:dyDescent="0.3">
      <c r="A750" s="2"/>
      <c r="B750" s="178"/>
      <c r="C750" s="779"/>
      <c r="D750" s="780"/>
      <c r="E750" s="1140" t="s">
        <v>1112</v>
      </c>
      <c r="F750" s="2641" t="str">
        <f>Translations!$B$564</f>
        <v>Restgaser: utsläpp från restgaser som IMPORTERAS från andra anläggningar eller delanläggningar och förbrukas i denna delanläggning bör inte tas med här utan i punkt l nedan.</v>
      </c>
      <c r="G750" s="2642"/>
      <c r="H750" s="2642"/>
      <c r="I750" s="2642"/>
      <c r="J750" s="2642"/>
      <c r="K750" s="2642"/>
      <c r="L750" s="2642"/>
      <c r="M750" s="2642"/>
      <c r="N750" s="2643"/>
      <c r="O750" s="15"/>
      <c r="P750" s="15"/>
      <c r="Q750" s="343"/>
      <c r="R750" s="2"/>
      <c r="S750" s="343"/>
      <c r="T750" s="2"/>
      <c r="U750" s="2"/>
      <c r="V750" s="2"/>
      <c r="W750" s="2"/>
      <c r="X750" s="2"/>
      <c r="Y750" s="2"/>
      <c r="Z750" s="2"/>
      <c r="AA750" s="2"/>
      <c r="AB750" s="2"/>
      <c r="AC750" s="2"/>
      <c r="AD750" s="2"/>
      <c r="AE750" s="2"/>
      <c r="AF750" s="2"/>
      <c r="AG750" s="2"/>
      <c r="AH750" s="2"/>
      <c r="AI750" s="2"/>
      <c r="AJ750" s="2"/>
      <c r="AK750" s="2"/>
      <c r="AL750" s="2"/>
    </row>
    <row r="751" spans="1:38" ht="12.75" customHeight="1" thickBot="1" x14ac:dyDescent="0.3">
      <c r="A751" s="2"/>
      <c r="B751" s="178"/>
      <c r="C751" s="779"/>
      <c r="D751" s="373"/>
      <c r="E751" s="2605" t="str">
        <f>Translations!$B$565</f>
        <v>Utsläpp som direkt kan tillskrivas (DirEm*)</v>
      </c>
      <c r="F751" s="2605"/>
      <c r="G751" s="361" t="str">
        <f>EUconst_Unit</f>
        <v>Enhet</v>
      </c>
      <c r="H751" s="362">
        <f t="shared" ref="H751:N751" si="309">H$3042</f>
        <v>2019</v>
      </c>
      <c r="I751" s="1103">
        <f t="shared" si="309"/>
        <v>2020</v>
      </c>
      <c r="J751" s="1104">
        <f t="shared" si="309"/>
        <v>2021</v>
      </c>
      <c r="K751" s="362">
        <f t="shared" si="309"/>
        <v>2022</v>
      </c>
      <c r="L751" s="362">
        <f t="shared" si="309"/>
        <v>2023</v>
      </c>
      <c r="M751" s="362">
        <f t="shared" si="309"/>
        <v>2024</v>
      </c>
      <c r="N751" s="1141">
        <f t="shared" si="309"/>
        <v>2025</v>
      </c>
      <c r="O751" s="15"/>
      <c r="P751" s="15"/>
      <c r="Q751" s="343"/>
      <c r="R751" s="2"/>
      <c r="S751" s="772"/>
      <c r="T751" s="609">
        <f t="shared" ref="T751:Z751" si="310">H751</f>
        <v>2019</v>
      </c>
      <c r="U751" s="609">
        <f t="shared" si="310"/>
        <v>2020</v>
      </c>
      <c r="V751" s="609">
        <f t="shared" si="310"/>
        <v>2021</v>
      </c>
      <c r="W751" s="609">
        <f t="shared" si="310"/>
        <v>2022</v>
      </c>
      <c r="X751" s="609">
        <f t="shared" si="310"/>
        <v>2023</v>
      </c>
      <c r="Y751" s="609">
        <f t="shared" si="310"/>
        <v>2024</v>
      </c>
      <c r="Z751" s="610">
        <f t="shared" si="310"/>
        <v>2025</v>
      </c>
      <c r="AA751" s="2"/>
      <c r="AB751" s="2"/>
      <c r="AC751" s="1044">
        <f t="shared" ref="AC751:AI751" si="311">H$20</f>
        <v>2019</v>
      </c>
      <c r="AD751" s="1044">
        <f t="shared" si="311"/>
        <v>2020</v>
      </c>
      <c r="AE751" s="1044">
        <f t="shared" si="311"/>
        <v>2021</v>
      </c>
      <c r="AF751" s="1044">
        <f t="shared" si="311"/>
        <v>2022</v>
      </c>
      <c r="AG751" s="1044">
        <f t="shared" si="311"/>
        <v>2023</v>
      </c>
      <c r="AH751" s="1044">
        <f t="shared" si="311"/>
        <v>2024</v>
      </c>
      <c r="AI751" s="1044">
        <f t="shared" si="311"/>
        <v>2025</v>
      </c>
      <c r="AJ751" s="2"/>
      <c r="AK751" s="2"/>
      <c r="AL751" s="2"/>
    </row>
    <row r="752" spans="1:38" ht="12.75" customHeight="1" thickBot="1" x14ac:dyDescent="0.3">
      <c r="A752" s="2"/>
      <c r="B752" s="178"/>
      <c r="C752" s="779"/>
      <c r="D752" s="780"/>
      <c r="E752" s="2617" t="str">
        <f>I617</f>
        <v/>
      </c>
      <c r="F752" s="1997"/>
      <c r="G752" s="363" t="str">
        <f>EUconst_tCO2epa</f>
        <v>t CO2e/år</v>
      </c>
      <c r="H752" s="582"/>
      <c r="I752" s="1105"/>
      <c r="J752" s="1115"/>
      <c r="K752" s="582"/>
      <c r="L752" s="582"/>
      <c r="M752" s="582"/>
      <c r="N752" s="1146"/>
      <c r="O752" s="15"/>
      <c r="P752" s="1362"/>
      <c r="Q752" s="165" t="str">
        <f>EUconst_CNTR_Emissions &amp; I617</f>
        <v>DirEmissions_</v>
      </c>
      <c r="R752" s="2"/>
      <c r="S752" s="773" t="str">
        <f>EUconst_CNTR_AttributedEmissions &amp; I617</f>
        <v>AttrEmissions_</v>
      </c>
      <c r="T752" s="111" t="str">
        <f t="shared" ref="T752:Z752" si="312">IF(T625,SUM(H752),"")</f>
        <v/>
      </c>
      <c r="U752" s="111" t="str">
        <f t="shared" si="312"/>
        <v/>
      </c>
      <c r="V752" s="111" t="str">
        <f t="shared" si="312"/>
        <v/>
      </c>
      <c r="W752" s="111" t="str">
        <f t="shared" si="312"/>
        <v/>
      </c>
      <c r="X752" s="111" t="str">
        <f t="shared" si="312"/>
        <v/>
      </c>
      <c r="Y752" s="111" t="str">
        <f t="shared" si="312"/>
        <v/>
      </c>
      <c r="Z752" s="112" t="str">
        <f t="shared" si="312"/>
        <v/>
      </c>
      <c r="AA752" s="2"/>
      <c r="AB752" s="672" t="s">
        <v>782</v>
      </c>
      <c r="AC752" s="108" t="b">
        <f>AC687</f>
        <v>0</v>
      </c>
      <c r="AD752" s="108" t="b">
        <f t="shared" ref="AD752:AI752" si="313">AD687</f>
        <v>0</v>
      </c>
      <c r="AE752" s="108" t="b">
        <f t="shared" si="313"/>
        <v>0</v>
      </c>
      <c r="AF752" s="108" t="b">
        <f t="shared" si="313"/>
        <v>0</v>
      </c>
      <c r="AG752" s="108" t="b">
        <f t="shared" si="313"/>
        <v>0</v>
      </c>
      <c r="AH752" s="108" t="b">
        <f t="shared" si="313"/>
        <v>0</v>
      </c>
      <c r="AI752" s="108" t="b">
        <f t="shared" si="313"/>
        <v>0</v>
      </c>
      <c r="AJ752" s="553" t="s">
        <v>2248</v>
      </c>
      <c r="AK752" s="663" t="str">
        <f>IF(AND(CNTR_ExistSubInstEntries,MSconst_RequireSubAttrEmissions,COUNTIFS(AC752:AI752,FALSE,H752:N752,"")&gt;0),EUconst_Error&amp;"BM"&amp;$Q617,"")</f>
        <v/>
      </c>
      <c r="AL752" s="2"/>
    </row>
    <row r="753" spans="1:38" ht="12.75" customHeight="1" x14ac:dyDescent="0.25">
      <c r="A753" s="2"/>
      <c r="B753" s="178"/>
      <c r="C753" s="779"/>
      <c r="D753" s="780"/>
      <c r="E753" s="780"/>
      <c r="F753" s="780"/>
      <c r="G753" s="780"/>
      <c r="H753" s="780"/>
      <c r="I753" s="780"/>
      <c r="J753" s="780"/>
      <c r="K753" s="780"/>
      <c r="L753" s="780"/>
      <c r="M753" s="623"/>
      <c r="N753" s="519"/>
      <c r="O753" s="15"/>
      <c r="P753" s="15"/>
      <c r="Q753" s="343"/>
      <c r="R753" s="2"/>
      <c r="S753" s="343"/>
      <c r="T753" s="2"/>
      <c r="U753" s="2"/>
      <c r="V753" s="2"/>
      <c r="W753" s="2"/>
      <c r="X753" s="2"/>
      <c r="Y753" s="2"/>
      <c r="Z753" s="2"/>
      <c r="AA753" s="2"/>
      <c r="AB753" s="2"/>
      <c r="AC753" s="2"/>
      <c r="AD753" s="2"/>
      <c r="AE753" s="2"/>
      <c r="AF753" s="2"/>
      <c r="AG753" s="2"/>
      <c r="AH753" s="2"/>
      <c r="AI753" s="2"/>
      <c r="AJ753" s="2"/>
      <c r="AK753" s="2"/>
      <c r="AL753" s="2"/>
    </row>
    <row r="754" spans="1:38" ht="12.75" customHeight="1" x14ac:dyDescent="0.25">
      <c r="A754" s="2"/>
      <c r="B754" s="178"/>
      <c r="C754" s="779"/>
      <c r="D754" s="373" t="s">
        <v>303</v>
      </c>
      <c r="E754" s="2614" t="str">
        <f>Translations!$B$566</f>
        <v>Insatsbränsle till delanläggningen och relevant emissionsfaktor</v>
      </c>
      <c r="F754" s="1960"/>
      <c r="G754" s="1960"/>
      <c r="H754" s="1960"/>
      <c r="I754" s="1960"/>
      <c r="J754" s="1960"/>
      <c r="K754" s="1960"/>
      <c r="L754" s="1960"/>
      <c r="M754" s="1960"/>
      <c r="N754" s="2597"/>
      <c r="O754" s="15"/>
      <c r="P754" s="15"/>
      <c r="Q754" s="343"/>
      <c r="R754" s="343"/>
      <c r="S754" s="343"/>
      <c r="T754" s="2"/>
      <c r="U754" s="2"/>
      <c r="V754" s="2"/>
      <c r="W754" s="2"/>
      <c r="X754" s="2"/>
      <c r="Y754" s="2"/>
      <c r="Z754" s="2"/>
      <c r="AA754" s="2"/>
      <c r="AB754" s="2"/>
      <c r="AC754" s="2"/>
      <c r="AD754" s="2"/>
      <c r="AE754" s="2"/>
      <c r="AF754" s="2"/>
      <c r="AG754" s="2"/>
      <c r="AH754" s="2"/>
      <c r="AI754" s="2"/>
      <c r="AJ754" s="2"/>
      <c r="AK754" s="2"/>
      <c r="AL754" s="2"/>
    </row>
    <row r="755" spans="1:38" ht="25.5" customHeight="1" x14ac:dyDescent="0.25">
      <c r="A755" s="2"/>
      <c r="B755" s="178"/>
      <c r="C755" s="779"/>
      <c r="D755" s="780"/>
      <c r="E755" s="2639" t="str">
        <f>Translations!$B$567</f>
        <v>I enlighet med kravet i avsnitt 2.4 a i bilaga IV till FAR, var god ange den totala bränsletillförseln till delanläggningen och motsvarande viktad emissionsfaktor, med beaktande av energiinnehållet hos varje bränsle som finns med under punkt g och med tillämpning av samma systemgränser som för punkt g.</v>
      </c>
      <c r="F755" s="2639"/>
      <c r="G755" s="2639"/>
      <c r="H755" s="2639"/>
      <c r="I755" s="2639"/>
      <c r="J755" s="2639"/>
      <c r="K755" s="2639"/>
      <c r="L755" s="2639"/>
      <c r="M755" s="2639"/>
      <c r="N755" s="2640"/>
      <c r="O755" s="15"/>
      <c r="P755" s="15"/>
      <c r="Q755" s="343"/>
      <c r="R755" s="343"/>
      <c r="S755" s="343"/>
      <c r="T755" s="2"/>
      <c r="U755" s="2"/>
      <c r="V755" s="2"/>
      <c r="W755" s="2"/>
      <c r="X755" s="2"/>
      <c r="Y755" s="2"/>
      <c r="Z755" s="2"/>
      <c r="AA755" s="2"/>
      <c r="AB755" s="2"/>
      <c r="AC755" s="2"/>
      <c r="AD755" s="2"/>
      <c r="AE755" s="2"/>
      <c r="AF755" s="2"/>
      <c r="AG755" s="2"/>
      <c r="AH755" s="2"/>
      <c r="AI755" s="2"/>
      <c r="AJ755" s="2"/>
      <c r="AK755" s="2"/>
      <c r="AL755" s="2"/>
    </row>
    <row r="756" spans="1:38" ht="25.5" customHeight="1" x14ac:dyDescent="0.25">
      <c r="A756" s="2"/>
      <c r="B756" s="178"/>
      <c r="C756" s="779"/>
      <c r="D756" s="780"/>
      <c r="E756" s="2639" t="str">
        <f>Translations!$B$568</f>
        <v>Med ”bränsle” avses varje bränsle-/materialmängd enligt M&amp;R-förordningen som är brännbar och för vilken ett effektivt värmevärde kan fastställas. Den viktade emissionsfaktorn motsvarar de ackumulerade bränsleutsläppen delat med det totala energiinnehållet.</v>
      </c>
      <c r="F756" s="2639"/>
      <c r="G756" s="2639"/>
      <c r="H756" s="2639"/>
      <c r="I756" s="2639"/>
      <c r="J756" s="2639"/>
      <c r="K756" s="2639"/>
      <c r="L756" s="2639"/>
      <c r="M756" s="2639"/>
      <c r="N756" s="2640"/>
      <c r="O756" s="15"/>
      <c r="P756" s="15"/>
      <c r="Q756" s="343"/>
      <c r="R756" s="2"/>
      <c r="S756" s="343"/>
      <c r="T756" s="2"/>
      <c r="U756" s="2"/>
      <c r="V756" s="2"/>
      <c r="W756" s="2"/>
      <c r="X756" s="2"/>
      <c r="Y756" s="2"/>
      <c r="Z756" s="2"/>
      <c r="AA756" s="2"/>
      <c r="AB756" s="2"/>
      <c r="AC756" s="2"/>
      <c r="AD756" s="2"/>
      <c r="AE756" s="2"/>
      <c r="AF756" s="2"/>
      <c r="AG756" s="2"/>
      <c r="AH756" s="2"/>
      <c r="AI756" s="2"/>
      <c r="AJ756" s="2"/>
      <c r="AK756" s="2"/>
      <c r="AL756" s="2"/>
    </row>
    <row r="757" spans="1:38" ht="12.75" customHeight="1" x14ac:dyDescent="0.25">
      <c r="A757" s="2"/>
      <c r="B757" s="178"/>
      <c r="C757" s="779"/>
      <c r="D757" s="780"/>
      <c r="E757" s="2639" t="str">
        <f>Translations!$B$569</f>
        <v>Den viktade emissionsfaktorn bör dessutom innefatta utsläpp från motsvarande rökgasrening, i tillämpliga fall.</v>
      </c>
      <c r="F757" s="2639"/>
      <c r="G757" s="2639"/>
      <c r="H757" s="2639"/>
      <c r="I757" s="2639"/>
      <c r="J757" s="2639"/>
      <c r="K757" s="2639"/>
      <c r="L757" s="2639"/>
      <c r="M757" s="2639"/>
      <c r="N757" s="2640"/>
      <c r="O757" s="15"/>
      <c r="P757" s="15"/>
      <c r="Q757" s="343"/>
      <c r="R757" s="2"/>
      <c r="S757" s="343"/>
      <c r="T757" s="2"/>
      <c r="U757" s="2"/>
      <c r="V757" s="2"/>
      <c r="W757" s="2"/>
      <c r="X757" s="2"/>
      <c r="Y757" s="2"/>
      <c r="Z757" s="2"/>
      <c r="AA757" s="2"/>
      <c r="AB757" s="2"/>
      <c r="AC757" s="2"/>
      <c r="AD757" s="2"/>
      <c r="AE757" s="2"/>
      <c r="AF757" s="2"/>
      <c r="AG757" s="2"/>
      <c r="AH757" s="2"/>
      <c r="AI757" s="2"/>
      <c r="AJ757" s="2"/>
      <c r="AK757" s="2"/>
      <c r="AL757" s="2"/>
    </row>
    <row r="758" spans="1:38" ht="12.75" customHeight="1" x14ac:dyDescent="0.25">
      <c r="A758" s="2"/>
      <c r="B758" s="178"/>
      <c r="C758" s="779"/>
      <c r="D758" s="780"/>
      <c r="E758" s="2596" t="str">
        <f>Translations!$B$570</f>
        <v>De uppgifter som anges här används bara för konsekvenskontroll och har ingen direkt inverkan på vare sig de utsläpp som kan tillskrivas eller tilldelningen.</v>
      </c>
      <c r="F758" s="1960"/>
      <c r="G758" s="1960"/>
      <c r="H758" s="1960"/>
      <c r="I758" s="1960"/>
      <c r="J758" s="1960"/>
      <c r="K758" s="1960"/>
      <c r="L758" s="1960"/>
      <c r="M758" s="1960"/>
      <c r="N758" s="2597"/>
      <c r="O758" s="15"/>
      <c r="P758" s="15"/>
      <c r="Q758" s="343"/>
      <c r="R758" s="2"/>
      <c r="S758" s="343"/>
      <c r="T758" s="2"/>
      <c r="U758" s="2"/>
      <c r="V758" s="2"/>
      <c r="W758" s="2"/>
      <c r="X758" s="2"/>
      <c r="Y758" s="2"/>
      <c r="Z758" s="2"/>
      <c r="AA758" s="2"/>
      <c r="AB758" s="2"/>
      <c r="AC758" s="2"/>
      <c r="AD758" s="2"/>
      <c r="AE758" s="2"/>
      <c r="AF758" s="2"/>
      <c r="AG758" s="2"/>
      <c r="AH758" s="2"/>
      <c r="AI758" s="2"/>
      <c r="AJ758" s="2"/>
      <c r="AK758" s="2"/>
      <c r="AL758" s="2"/>
    </row>
    <row r="759" spans="1:38" ht="12.75" customHeight="1" thickBot="1" x14ac:dyDescent="0.3">
      <c r="A759" s="2"/>
      <c r="B759" s="178"/>
      <c r="C759" s="779"/>
      <c r="D759" s="373"/>
      <c r="E759" s="1716"/>
      <c r="F759" s="1717"/>
      <c r="G759" s="361" t="str">
        <f>EUconst_Unit</f>
        <v>Enhet</v>
      </c>
      <c r="H759" s="362">
        <f t="shared" ref="H759:N759" si="314">H$3042</f>
        <v>2019</v>
      </c>
      <c r="I759" s="1103">
        <f t="shared" si="314"/>
        <v>2020</v>
      </c>
      <c r="J759" s="1104">
        <f t="shared" si="314"/>
        <v>2021</v>
      </c>
      <c r="K759" s="362">
        <f t="shared" si="314"/>
        <v>2022</v>
      </c>
      <c r="L759" s="362">
        <f t="shared" si="314"/>
        <v>2023</v>
      </c>
      <c r="M759" s="362">
        <f t="shared" si="314"/>
        <v>2024</v>
      </c>
      <c r="N759" s="1141">
        <f t="shared" si="314"/>
        <v>2025</v>
      </c>
      <c r="O759" s="15"/>
      <c r="P759" s="15"/>
      <c r="Q759" s="343"/>
      <c r="R759" s="2"/>
      <c r="S759" s="343"/>
      <c r="T759" s="2"/>
      <c r="U759" s="2"/>
      <c r="V759" s="2"/>
      <c r="W759" s="2"/>
      <c r="X759" s="2"/>
      <c r="Y759" s="2"/>
      <c r="Z759" s="2"/>
      <c r="AA759" s="2"/>
      <c r="AB759" s="2"/>
      <c r="AC759" s="1044">
        <f t="shared" ref="AC759:AI759" si="315">H$20</f>
        <v>2019</v>
      </c>
      <c r="AD759" s="1044">
        <f t="shared" si="315"/>
        <v>2020</v>
      </c>
      <c r="AE759" s="1044">
        <f t="shared" si="315"/>
        <v>2021</v>
      </c>
      <c r="AF759" s="1044">
        <f t="shared" si="315"/>
        <v>2022</v>
      </c>
      <c r="AG759" s="1044">
        <f t="shared" si="315"/>
        <v>2023</v>
      </c>
      <c r="AH759" s="1044">
        <f t="shared" si="315"/>
        <v>2024</v>
      </c>
      <c r="AI759" s="1044">
        <f t="shared" si="315"/>
        <v>2025</v>
      </c>
      <c r="AJ759" s="2"/>
      <c r="AK759" s="2"/>
      <c r="AL759" s="2"/>
    </row>
    <row r="760" spans="1:38" ht="12.75" customHeight="1" x14ac:dyDescent="0.25">
      <c r="A760" s="2"/>
      <c r="B760" s="178"/>
      <c r="C760" s="779"/>
      <c r="D760" s="416" t="s">
        <v>8</v>
      </c>
      <c r="E760" s="2613" t="str">
        <f>Translations!$B$571</f>
        <v>Insatsbränsle</v>
      </c>
      <c r="F760" s="1997"/>
      <c r="G760" s="364" t="str">
        <f>EUconst_TJpa</f>
        <v>TJ / år</v>
      </c>
      <c r="H760" s="582"/>
      <c r="I760" s="1105"/>
      <c r="J760" s="1115"/>
      <c r="K760" s="582"/>
      <c r="L760" s="582"/>
      <c r="M760" s="582"/>
      <c r="N760" s="1146"/>
      <c r="O760" s="15"/>
      <c r="P760" s="1362"/>
      <c r="Q760" s="165" t="str">
        <f>EUconst_CNTR_FuelInput &amp; I617</f>
        <v>FuelInput_</v>
      </c>
      <c r="R760" s="2"/>
      <c r="S760" s="343"/>
      <c r="T760" s="2"/>
      <c r="U760" s="2"/>
      <c r="V760" s="2"/>
      <c r="W760" s="2"/>
      <c r="X760" s="2"/>
      <c r="Y760" s="2"/>
      <c r="Z760" s="2"/>
      <c r="AA760" s="2"/>
      <c r="AB760" s="672" t="s">
        <v>782</v>
      </c>
      <c r="AC760" s="108" t="b">
        <f>AC687</f>
        <v>0</v>
      </c>
      <c r="AD760" s="108" t="b">
        <f t="shared" ref="AD760:AI760" si="316">AD687</f>
        <v>0</v>
      </c>
      <c r="AE760" s="108" t="b">
        <f t="shared" si="316"/>
        <v>0</v>
      </c>
      <c r="AF760" s="108" t="b">
        <f t="shared" si="316"/>
        <v>0</v>
      </c>
      <c r="AG760" s="108" t="b">
        <f t="shared" si="316"/>
        <v>0</v>
      </c>
      <c r="AH760" s="108" t="b">
        <f t="shared" si="316"/>
        <v>0</v>
      </c>
      <c r="AI760" s="108" t="b">
        <f t="shared" si="316"/>
        <v>0</v>
      </c>
      <c r="AJ760" s="553" t="s">
        <v>2248</v>
      </c>
      <c r="AK760" s="663" t="str">
        <f>IF(AND(CNTR_ExistSubInstEntries,MSconst_RequireSubAttrEmissions,COUNTIFS(AC760:AI760,FALSE,H760:N760,"")&gt;0),EUconst_Error&amp;"BM"&amp;$Q617,"")</f>
        <v/>
      </c>
      <c r="AL760" s="2"/>
    </row>
    <row r="761" spans="1:38" ht="12.75" customHeight="1" x14ac:dyDescent="0.25">
      <c r="A761" s="2"/>
      <c r="B761" s="178"/>
      <c r="C761" s="779"/>
      <c r="D761" s="416" t="s">
        <v>9</v>
      </c>
      <c r="E761" s="2613" t="str">
        <f>Translations!$B$572</f>
        <v>Viktad emissionsfaktor</v>
      </c>
      <c r="F761" s="1997"/>
      <c r="G761" s="449" t="str">
        <f>EUconst_tCO2pTJ</f>
        <v>t CO2 / TJ</v>
      </c>
      <c r="H761" s="747"/>
      <c r="I761" s="1295"/>
      <c r="J761" s="1296"/>
      <c r="K761" s="747"/>
      <c r="L761" s="747"/>
      <c r="M761" s="747"/>
      <c r="N761" s="1297"/>
      <c r="O761" s="15"/>
      <c r="P761" s="1362"/>
      <c r="Q761" s="165" t="str">
        <f>EUconst_CNTR_FuelEF &amp; I617</f>
        <v>FuelEF_</v>
      </c>
      <c r="R761" s="2"/>
      <c r="S761" s="343"/>
      <c r="T761" s="2"/>
      <c r="U761" s="2"/>
      <c r="V761" s="2"/>
      <c r="W761" s="2"/>
      <c r="X761" s="2"/>
      <c r="Y761" s="2"/>
      <c r="Z761" s="2"/>
      <c r="AA761" s="2"/>
      <c r="AB761" s="2"/>
      <c r="AC761" s="108" t="b">
        <f>AC760</f>
        <v>0</v>
      </c>
      <c r="AD761" s="108" t="b">
        <f t="shared" ref="AD761:AI761" si="317">AD760</f>
        <v>0</v>
      </c>
      <c r="AE761" s="108" t="b">
        <f t="shared" si="317"/>
        <v>0</v>
      </c>
      <c r="AF761" s="108" t="b">
        <f t="shared" si="317"/>
        <v>0</v>
      </c>
      <c r="AG761" s="108" t="b">
        <f t="shared" si="317"/>
        <v>0</v>
      </c>
      <c r="AH761" s="108" t="b">
        <f t="shared" si="317"/>
        <v>0</v>
      </c>
      <c r="AI761" s="108" t="b">
        <f t="shared" si="317"/>
        <v>0</v>
      </c>
      <c r="AJ761" s="553" t="s">
        <v>2248</v>
      </c>
      <c r="AK761" s="663" t="str">
        <f>IF(AND(CNTR_ExistSubInstEntries,MSconst_RequireSubAttrEmissions,COUNTIFS(AC761:AI761,FALSE,H761:N761,"")&gt;0),EUconst_Error&amp;"BM"&amp;$Q617,"")</f>
        <v/>
      </c>
      <c r="AL761" s="2"/>
    </row>
    <row r="762" spans="1:38" ht="12.75" customHeight="1" x14ac:dyDescent="0.25">
      <c r="A762" s="2"/>
      <c r="B762" s="178"/>
      <c r="C762" s="779"/>
      <c r="D762" s="780"/>
      <c r="E762" s="780"/>
      <c r="F762" s="780"/>
      <c r="G762" s="780"/>
      <c r="H762" s="780"/>
      <c r="I762" s="780"/>
      <c r="J762" s="780"/>
      <c r="K762" s="780"/>
      <c r="L762" s="780"/>
      <c r="M762" s="623"/>
      <c r="N762" s="519"/>
      <c r="O762" s="15"/>
      <c r="P762" s="15"/>
      <c r="Q762" s="343"/>
      <c r="R762" s="2"/>
      <c r="S762" s="343"/>
      <c r="T762" s="2"/>
      <c r="U762" s="2"/>
      <c r="V762" s="2"/>
      <c r="W762" s="2"/>
      <c r="X762" s="2"/>
      <c r="Y762" s="2"/>
      <c r="Z762" s="2"/>
      <c r="AA762" s="2"/>
      <c r="AB762" s="2"/>
      <c r="AC762" s="2"/>
      <c r="AD762" s="2"/>
      <c r="AE762" s="2"/>
      <c r="AF762" s="2"/>
      <c r="AG762" s="2"/>
      <c r="AH762" s="2"/>
      <c r="AI762" s="2"/>
      <c r="AJ762" s="2"/>
      <c r="AK762" s="2"/>
      <c r="AL762" s="2"/>
    </row>
    <row r="763" spans="1:38" ht="12.75" customHeight="1" x14ac:dyDescent="0.25">
      <c r="A763" s="2"/>
      <c r="B763" s="178"/>
      <c r="C763" s="779"/>
      <c r="D763" s="373" t="s">
        <v>305</v>
      </c>
      <c r="E763" s="2614" t="str">
        <f>Translations!$B$573</f>
        <v>Andra interna bränsle-/materialmängder som importeras till eller exporteras från delanläggningen</v>
      </c>
      <c r="F763" s="1960"/>
      <c r="G763" s="1960"/>
      <c r="H763" s="1960"/>
      <c r="I763" s="1960"/>
      <c r="J763" s="1960"/>
      <c r="K763" s="1960"/>
      <c r="L763" s="1960"/>
      <c r="M763" s="1960"/>
      <c r="N763" s="2597"/>
      <c r="O763" s="15"/>
      <c r="P763" s="15"/>
      <c r="Q763" s="343"/>
      <c r="R763" s="343"/>
      <c r="S763" s="343"/>
      <c r="T763" s="2"/>
      <c r="U763" s="2"/>
      <c r="V763" s="2"/>
      <c r="W763" s="2"/>
      <c r="X763" s="2"/>
      <c r="Y763" s="2"/>
      <c r="Z763" s="2"/>
      <c r="AA763" s="2"/>
      <c r="AB763" s="2"/>
      <c r="AC763" s="2"/>
      <c r="AD763" s="2"/>
      <c r="AE763" s="2"/>
      <c r="AF763" s="2"/>
      <c r="AG763" s="2"/>
      <c r="AH763" s="2"/>
      <c r="AI763" s="2"/>
      <c r="AJ763" s="2"/>
      <c r="AK763" s="2"/>
      <c r="AL763" s="2"/>
    </row>
    <row r="764" spans="1:38" ht="12.75" customHeight="1" x14ac:dyDescent="0.25">
      <c r="A764" s="2"/>
      <c r="B764" s="178"/>
      <c r="C764" s="779"/>
      <c r="D764" s="416"/>
      <c r="E764" s="2596" t="str">
        <f>Translations!$B$556</f>
        <v>De uppgifter som anges här påverkar de utsläpp som kan tillskrivas i enlighet med avsnitt 10.1.1 i bilaga VII till FAR.</v>
      </c>
      <c r="F764" s="1960"/>
      <c r="G764" s="1960"/>
      <c r="H764" s="1960"/>
      <c r="I764" s="1960"/>
      <c r="J764" s="1960"/>
      <c r="K764" s="1960"/>
      <c r="L764" s="1960"/>
      <c r="M764" s="1960"/>
      <c r="N764" s="2597"/>
      <c r="O764" s="15"/>
      <c r="P764" s="15"/>
      <c r="Q764" s="343"/>
      <c r="R764" s="2"/>
      <c r="S764" s="343"/>
      <c r="T764" s="343"/>
      <c r="U764" s="343"/>
      <c r="V764" s="343"/>
      <c r="W764" s="2"/>
      <c r="X764" s="2"/>
      <c r="Y764" s="2"/>
      <c r="Z764" s="2"/>
      <c r="AA764" s="2"/>
      <c r="AB764" s="2"/>
      <c r="AC764" s="2"/>
      <c r="AD764" s="2"/>
      <c r="AE764" s="2"/>
      <c r="AF764" s="2"/>
      <c r="AG764" s="2"/>
      <c r="AH764" s="2"/>
      <c r="AI764" s="2"/>
      <c r="AJ764" s="2"/>
      <c r="AK764" s="2"/>
      <c r="AL764" s="2"/>
    </row>
    <row r="765" spans="1:38" ht="25.5" customHeight="1" x14ac:dyDescent="0.25">
      <c r="A765" s="2"/>
      <c r="B765" s="178"/>
      <c r="C765" s="779"/>
      <c r="D765" s="780"/>
      <c r="E765" s="2596" t="str">
        <f>Translations!$B$574</f>
        <v>Det bör noteras att alla bränsle-/materialmängder endast bör anges här om de inte redan omfattas av de direkta utsläppen i punkt g ovan, i syfte att undvika eventuella dataluckor eller eventuell dubbelräkning. Utsläpp i samband med restgaser bör INTE anges här utan i punkt l nedan.</v>
      </c>
      <c r="F765" s="1960"/>
      <c r="G765" s="1960"/>
      <c r="H765" s="1960"/>
      <c r="I765" s="1960"/>
      <c r="J765" s="1960"/>
      <c r="K765" s="1960"/>
      <c r="L765" s="1960"/>
      <c r="M765" s="1960"/>
      <c r="N765" s="2597"/>
      <c r="O765" s="15"/>
      <c r="P765" s="15"/>
      <c r="Q765" s="343"/>
      <c r="R765" s="343"/>
      <c r="S765" s="343"/>
      <c r="T765" s="2"/>
      <c r="U765" s="2"/>
      <c r="V765" s="2"/>
      <c r="W765" s="2"/>
      <c r="X765" s="2"/>
      <c r="Y765" s="2"/>
      <c r="Z765" s="2"/>
      <c r="AA765" s="2"/>
      <c r="AB765" s="2"/>
      <c r="AC765" s="2"/>
      <c r="AD765" s="2"/>
      <c r="AE765" s="2"/>
      <c r="AF765" s="2"/>
      <c r="AG765" s="2"/>
      <c r="AH765" s="2"/>
      <c r="AI765" s="2"/>
      <c r="AJ765" s="2"/>
      <c r="AK765" s="2"/>
      <c r="AL765" s="2"/>
    </row>
    <row r="766" spans="1:38" ht="12.75" customHeight="1" x14ac:dyDescent="0.25">
      <c r="A766" s="2"/>
      <c r="B766" s="178"/>
      <c r="C766" s="779"/>
      <c r="D766" s="780"/>
      <c r="E766" s="2610" t="str">
        <f>Translations!$B$575</f>
        <v>Var god ange information om de så kallade interna bränsle-/materialmängderna som överförs mellan delanläggningar, dvs. importeras till eller exporteras från delanläggningen.</v>
      </c>
      <c r="F766" s="1960"/>
      <c r="G766" s="1960"/>
      <c r="H766" s="1960"/>
      <c r="I766" s="1960"/>
      <c r="J766" s="1960"/>
      <c r="K766" s="1960"/>
      <c r="L766" s="1960"/>
      <c r="M766" s="1960"/>
      <c r="N766" s="2597"/>
      <c r="O766" s="15"/>
      <c r="P766" s="15"/>
      <c r="Q766" s="343"/>
      <c r="R766" s="343"/>
      <c r="S766" s="343"/>
      <c r="T766" s="2"/>
      <c r="U766" s="2"/>
      <c r="V766" s="2"/>
      <c r="W766" s="2"/>
      <c r="X766" s="2"/>
      <c r="Y766" s="2"/>
      <c r="Z766" s="2"/>
      <c r="AA766" s="2"/>
      <c r="AB766" s="2"/>
      <c r="AC766" s="2"/>
      <c r="AD766" s="2"/>
      <c r="AE766" s="2"/>
      <c r="AF766" s="2"/>
      <c r="AG766" s="2"/>
      <c r="AH766" s="2"/>
      <c r="AI766" s="2"/>
      <c r="AJ766" s="2"/>
      <c r="AK766" s="2"/>
      <c r="AL766" s="2"/>
    </row>
    <row r="767" spans="1:38" ht="38.9" customHeight="1" x14ac:dyDescent="0.25">
      <c r="A767" s="2"/>
      <c r="B767" s="178"/>
      <c r="C767" s="779"/>
      <c r="D767" s="780"/>
      <c r="E767" s="2610" t="str">
        <f>Translations!$B$576</f>
        <v>Om det rör sig om en koksdelanläggning vid en integrerad järn- och stålanläggning förekommer utsläppen i samband med förbrukningen av koks i masugnen och bör därför inte tillskrivas delanläggningen (dvs. koksdelanläggningen). En del av utsläppen ska dock tas med i punkt g ovan, eftersom det kol som förs in i koksugnen kommer att vara en av de bränsle-/materialmängder som tillskrivs i ett första steg.</v>
      </c>
      <c r="F767" s="1960"/>
      <c r="G767" s="1960"/>
      <c r="H767" s="1960"/>
      <c r="I767" s="1960"/>
      <c r="J767" s="1960"/>
      <c r="K767" s="1960"/>
      <c r="L767" s="1960"/>
      <c r="M767" s="1960"/>
      <c r="N767" s="2597"/>
      <c r="O767" s="15"/>
      <c r="P767" s="15"/>
      <c r="Q767" s="343"/>
      <c r="R767" s="2"/>
      <c r="S767" s="343"/>
      <c r="T767" s="2"/>
      <c r="U767" s="2"/>
      <c r="V767" s="2"/>
      <c r="W767" s="2"/>
      <c r="X767" s="2"/>
      <c r="Y767" s="2"/>
      <c r="Z767" s="2"/>
      <c r="AA767" s="2"/>
      <c r="AB767" s="2"/>
      <c r="AC767" s="2"/>
      <c r="AD767" s="2"/>
      <c r="AE767" s="2"/>
      <c r="AF767" s="2"/>
      <c r="AG767" s="2"/>
      <c r="AH767" s="2"/>
      <c r="AI767" s="2"/>
      <c r="AJ767" s="2"/>
      <c r="AK767" s="2"/>
      <c r="AL767" s="2"/>
    </row>
    <row r="768" spans="1:38" ht="51" customHeight="1" x14ac:dyDescent="0.25">
      <c r="A768" s="2"/>
      <c r="B768" s="178"/>
      <c r="C768" s="779"/>
      <c r="D768" s="780"/>
      <c r="E768" s="2610" t="str">
        <f>Translations!$B$577</f>
        <v>För att undvika dubbelräkning måste korrigering göras för den koks som lämnar koksdelanläggningen som utgående ”intern bränsle-/materialmängd”. Detta görs genom ett negativt värde på mängden koks i händelse av ”export”. För att få en komplett balans i utsläppen från den kol som kommer in till koksdelanläggningen omfattas utsläppen i samband med användningen av koksugnsgas (= en restgas) redan av punkt g ovan (eftersom de ingår i kolutsläppen) i den mån som gasen används inom delanläggningen. Korrigeringar för att beakta exporterade mängder av restgasen bör inte göras här utan i punkt l.xx nedan.</v>
      </c>
      <c r="F768" s="1960"/>
      <c r="G768" s="1960"/>
      <c r="H768" s="1960"/>
      <c r="I768" s="1960"/>
      <c r="J768" s="1960"/>
      <c r="K768" s="1960"/>
      <c r="L768" s="1960"/>
      <c r="M768" s="1960"/>
      <c r="N768" s="2597"/>
      <c r="O768" s="15"/>
      <c r="P768" s="15"/>
      <c r="Q768" s="343"/>
      <c r="R768" s="2"/>
      <c r="S768" s="343"/>
      <c r="T768" s="2"/>
      <c r="U768" s="2"/>
      <c r="V768" s="2"/>
      <c r="W768" s="2"/>
      <c r="X768" s="2"/>
      <c r="Y768" s="2"/>
      <c r="Z768" s="2"/>
      <c r="AA768" s="2"/>
      <c r="AB768" s="2"/>
      <c r="AC768" s="2"/>
      <c r="AD768" s="2"/>
      <c r="AE768" s="2"/>
      <c r="AF768" s="2"/>
      <c r="AG768" s="2"/>
      <c r="AH768" s="2"/>
      <c r="AI768" s="2"/>
      <c r="AJ768" s="2"/>
      <c r="AK768" s="2"/>
      <c r="AL768" s="2"/>
    </row>
    <row r="769" spans="1:38" ht="25.5" customHeight="1" x14ac:dyDescent="0.25">
      <c r="A769" s="2"/>
      <c r="B769" s="178"/>
      <c r="C769" s="779"/>
      <c r="D769" s="780"/>
      <c r="E769" s="2610" t="str">
        <f>Translations!$B$578</f>
        <v>Omvänt innebär detta att om det rör sig om en delanläggning med råjärnsriktmärke vid en integrerad järn- och stålanläggning måste koksen anges här som en ingående/importerad ”intern” bränsle/materialmängd med positiva siffror.</v>
      </c>
      <c r="F769" s="1960"/>
      <c r="G769" s="1960"/>
      <c r="H769" s="1960"/>
      <c r="I769" s="1960"/>
      <c r="J769" s="1960"/>
      <c r="K769" s="1960"/>
      <c r="L769" s="1960"/>
      <c r="M769" s="1960"/>
      <c r="N769" s="2597"/>
      <c r="O769" s="15"/>
      <c r="P769" s="15"/>
      <c r="Q769" s="343"/>
      <c r="R769" s="2"/>
      <c r="S769" s="343"/>
      <c r="T769" s="2"/>
      <c r="U769" s="2"/>
      <c r="V769" s="2"/>
      <c r="W769" s="2"/>
      <c r="X769" s="2"/>
      <c r="Y769" s="2"/>
      <c r="Z769" s="2"/>
      <c r="AA769" s="2"/>
      <c r="AB769" s="2"/>
      <c r="AC769" s="2"/>
      <c r="AD769" s="2"/>
      <c r="AE769" s="2"/>
      <c r="AF769" s="2"/>
      <c r="AG769" s="2"/>
      <c r="AH769" s="2"/>
      <c r="AI769" s="2"/>
      <c r="AJ769" s="2"/>
      <c r="AK769" s="2"/>
      <c r="AL769" s="2"/>
    </row>
    <row r="770" spans="1:38" ht="12.75" customHeight="1" x14ac:dyDescent="0.25">
      <c r="A770" s="2"/>
      <c r="B770" s="178"/>
      <c r="C770" s="779"/>
      <c r="D770" s="416" t="s">
        <v>8</v>
      </c>
      <c r="E770" s="2598" t="str">
        <f>Translations!$B$579</f>
        <v>Är andra importerade eller exporterade interna bränsle-/materialmängder relevanta för delanläggningen?</v>
      </c>
      <c r="F770" s="1960"/>
      <c r="G770" s="1960"/>
      <c r="H770" s="1960"/>
      <c r="I770" s="1960"/>
      <c r="J770" s="1960"/>
      <c r="K770" s="2520"/>
      <c r="L770" s="749"/>
      <c r="M770" s="1806"/>
      <c r="N770" s="1807"/>
      <c r="O770" s="15"/>
      <c r="P770" s="1362"/>
      <c r="Q770" s="343"/>
      <c r="R770" s="2"/>
      <c r="S770" s="343"/>
      <c r="T770" s="2"/>
      <c r="U770" s="2"/>
      <c r="V770" s="2"/>
      <c r="W770" s="2"/>
      <c r="X770" s="2"/>
      <c r="Y770" s="2"/>
      <c r="Z770" s="2"/>
      <c r="AA770" s="2"/>
      <c r="AB770" s="2"/>
      <c r="AC770" s="2"/>
      <c r="AD770" s="2"/>
      <c r="AE770" s="2"/>
      <c r="AF770" s="672" t="s">
        <v>782</v>
      </c>
      <c r="AG770" s="1196" t="b">
        <f>AND(CNTR_ExistSubInstEntries,I617="")</f>
        <v>0</v>
      </c>
      <c r="AH770" s="2"/>
      <c r="AI770" s="2"/>
      <c r="AJ770" s="2"/>
      <c r="AK770" s="2"/>
      <c r="AL770" s="2"/>
    </row>
    <row r="771" spans="1:38" ht="12.75" customHeight="1" x14ac:dyDescent="0.25">
      <c r="A771" s="2"/>
      <c r="B771" s="178"/>
      <c r="C771" s="779"/>
      <c r="D771" s="780"/>
      <c r="E771" s="2610" t="str">
        <f>Translations!$B$580</f>
        <v>Om det finns mer än två importerade eller exporterade bränsle-/materialmängder bör de olika bränsle-/materialmängderna slås samman och namnen på var och en av dessa anges.</v>
      </c>
      <c r="F771" s="1960"/>
      <c r="G771" s="1960"/>
      <c r="H771" s="1960"/>
      <c r="I771" s="1960"/>
      <c r="J771" s="1960"/>
      <c r="K771" s="1960"/>
      <c r="L771" s="1960"/>
      <c r="M771" s="1960"/>
      <c r="N771" s="2597"/>
      <c r="O771" s="15"/>
      <c r="P771" s="15"/>
      <c r="Q771" s="343"/>
      <c r="R771" s="2"/>
      <c r="S771" s="343"/>
      <c r="T771" s="2"/>
      <c r="U771" s="2"/>
      <c r="V771" s="2"/>
      <c r="W771" s="2"/>
      <c r="X771" s="2"/>
      <c r="Y771" s="2"/>
      <c r="Z771" s="2"/>
      <c r="AA771" s="2"/>
      <c r="AB771" s="2"/>
      <c r="AC771" s="2"/>
      <c r="AD771" s="2"/>
      <c r="AE771" s="2"/>
      <c r="AF771" s="2"/>
      <c r="AG771" s="2"/>
      <c r="AH771" s="2"/>
      <c r="AI771" s="2"/>
      <c r="AJ771" s="2"/>
      <c r="AK771" s="2"/>
      <c r="AL771" s="2"/>
    </row>
    <row r="772" spans="1:38" ht="12.75" customHeight="1" x14ac:dyDescent="0.25">
      <c r="A772" s="2"/>
      <c r="B772" s="178"/>
      <c r="C772" s="779"/>
      <c r="D772" s="416" t="s">
        <v>9</v>
      </c>
      <c r="E772" s="2614" t="str">
        <f>Translations!$B$581</f>
        <v>Namn på andra bränsle-/materialmängder – 1:</v>
      </c>
      <c r="F772" s="1960"/>
      <c r="G772" s="1960"/>
      <c r="H772" s="2520"/>
      <c r="I772" s="2621"/>
      <c r="J772" s="2631"/>
      <c r="K772" s="2631"/>
      <c r="L772" s="2631"/>
      <c r="M772" s="2632"/>
      <c r="N772" s="518"/>
      <c r="O772" s="15"/>
      <c r="P772" s="1362"/>
      <c r="Q772" s="343"/>
      <c r="R772" s="2"/>
      <c r="S772" s="343"/>
      <c r="T772" s="2"/>
      <c r="U772" s="2"/>
      <c r="V772" s="2"/>
      <c r="W772" s="2"/>
      <c r="X772" s="2"/>
      <c r="Y772" s="2"/>
      <c r="Z772" s="2"/>
      <c r="AA772" s="2"/>
      <c r="AB772" s="2"/>
      <c r="AC772" s="672" t="s">
        <v>782</v>
      </c>
      <c r="AD772" s="1196" t="b">
        <f>OR(AG770,AND($L770&lt;&gt;"",$L770=FALSE))</f>
        <v>0</v>
      </c>
      <c r="AE772" s="2"/>
      <c r="AF772" s="2"/>
      <c r="AG772" s="2"/>
      <c r="AH772" s="2"/>
      <c r="AI772" s="2"/>
      <c r="AJ772" s="2"/>
      <c r="AK772" s="2"/>
      <c r="AL772" s="2"/>
    </row>
    <row r="773" spans="1:38" ht="5.15" customHeight="1" x14ac:dyDescent="0.25">
      <c r="A773" s="2"/>
      <c r="B773" s="178"/>
      <c r="C773" s="779"/>
      <c r="D773" s="780"/>
      <c r="E773" s="1804"/>
      <c r="F773" s="1806"/>
      <c r="G773" s="1806"/>
      <c r="H773" s="1806"/>
      <c r="I773" s="1806"/>
      <c r="J773" s="1806"/>
      <c r="K773" s="1806"/>
      <c r="L773" s="1806"/>
      <c r="M773" s="1806"/>
      <c r="N773" s="1807"/>
      <c r="O773" s="15"/>
      <c r="P773" s="15"/>
      <c r="Q773" s="343"/>
      <c r="R773" s="2"/>
      <c r="S773" s="343"/>
      <c r="T773" s="2"/>
      <c r="U773" s="2"/>
      <c r="V773" s="2"/>
      <c r="W773" s="2"/>
      <c r="X773" s="2"/>
      <c r="Y773" s="2"/>
      <c r="Z773" s="2"/>
      <c r="AA773" s="2"/>
      <c r="AB773" s="2"/>
      <c r="AC773" s="2"/>
      <c r="AD773" s="2"/>
      <c r="AE773" s="2"/>
      <c r="AF773" s="2"/>
      <c r="AG773" s="2"/>
      <c r="AH773" s="2"/>
      <c r="AI773" s="2"/>
      <c r="AJ773" s="2"/>
      <c r="AK773" s="2"/>
      <c r="AL773" s="2"/>
    </row>
    <row r="774" spans="1:38" ht="12.75" customHeight="1" thickBot="1" x14ac:dyDescent="0.3">
      <c r="A774" s="2"/>
      <c r="B774" s="178"/>
      <c r="C774" s="779"/>
      <c r="D774" s="780"/>
      <c r="E774" s="2605" t="str">
        <f>Translations!$B$582</f>
        <v>Andra bränsle-/materialmängder – 1</v>
      </c>
      <c r="F774" s="2497"/>
      <c r="G774" s="361" t="str">
        <f>EUconst_Unit</f>
        <v>Enhet</v>
      </c>
      <c r="H774" s="362">
        <f t="shared" ref="H774:N774" si="318">H$3042</f>
        <v>2019</v>
      </c>
      <c r="I774" s="1103">
        <f t="shared" si="318"/>
        <v>2020</v>
      </c>
      <c r="J774" s="1104">
        <f t="shared" si="318"/>
        <v>2021</v>
      </c>
      <c r="K774" s="362">
        <f t="shared" si="318"/>
        <v>2022</v>
      </c>
      <c r="L774" s="362">
        <f t="shared" si="318"/>
        <v>2023</v>
      </c>
      <c r="M774" s="362">
        <f t="shared" si="318"/>
        <v>2024</v>
      </c>
      <c r="N774" s="1141">
        <f t="shared" si="318"/>
        <v>2025</v>
      </c>
      <c r="O774" s="15"/>
      <c r="P774" s="15"/>
      <c r="Q774" s="343"/>
      <c r="R774" s="2"/>
      <c r="S774" s="343"/>
      <c r="T774" s="2"/>
      <c r="U774" s="2"/>
      <c r="V774" s="2"/>
      <c r="W774" s="2"/>
      <c r="X774" s="2"/>
      <c r="Y774" s="2"/>
      <c r="Z774" s="2"/>
      <c r="AA774" s="2"/>
      <c r="AB774" s="2"/>
      <c r="AC774" s="1044">
        <f t="shared" ref="AC774:AI774" si="319">H$20</f>
        <v>2019</v>
      </c>
      <c r="AD774" s="1044">
        <f t="shared" si="319"/>
        <v>2020</v>
      </c>
      <c r="AE774" s="1044">
        <f t="shared" si="319"/>
        <v>2021</v>
      </c>
      <c r="AF774" s="1044">
        <f t="shared" si="319"/>
        <v>2022</v>
      </c>
      <c r="AG774" s="1044">
        <f t="shared" si="319"/>
        <v>2023</v>
      </c>
      <c r="AH774" s="1044">
        <f t="shared" si="319"/>
        <v>2024</v>
      </c>
      <c r="AI774" s="1044">
        <f t="shared" si="319"/>
        <v>2025</v>
      </c>
      <c r="AJ774" s="2"/>
      <c r="AK774" s="2"/>
      <c r="AL774" s="2"/>
    </row>
    <row r="775" spans="1:38" ht="12.75" customHeight="1" x14ac:dyDescent="0.25">
      <c r="A775" s="2"/>
      <c r="B775" s="178"/>
      <c r="C775" s="779"/>
      <c r="D775" s="416" t="s">
        <v>10</v>
      </c>
      <c r="E775" s="2611" t="str">
        <f>Translations!$B$583</f>
        <v>Importerad eller exporterad mängd</v>
      </c>
      <c r="F775" s="2484"/>
      <c r="G775" s="365" t="str">
        <f>EUconst_tpa</f>
        <v>t / år</v>
      </c>
      <c r="H775" s="1298"/>
      <c r="I775" s="1299"/>
      <c r="J775" s="1300"/>
      <c r="K775" s="1298"/>
      <c r="L775" s="1298"/>
      <c r="M775" s="1298"/>
      <c r="N775" s="1301"/>
      <c r="O775" s="15"/>
      <c r="P775" s="1362"/>
      <c r="Q775" s="343"/>
      <c r="R775" s="2"/>
      <c r="S775" s="343"/>
      <c r="T775" s="2"/>
      <c r="U775" s="2"/>
      <c r="V775" s="2"/>
      <c r="W775" s="2"/>
      <c r="X775" s="2"/>
      <c r="Y775" s="2"/>
      <c r="Z775" s="2"/>
      <c r="AA775" s="2"/>
      <c r="AB775" s="672" t="s">
        <v>782</v>
      </c>
      <c r="AC775" s="1196" t="b">
        <f>OR(AND($L770&lt;&gt;"",$L770=FALSE),AC687)</f>
        <v>0</v>
      </c>
      <c r="AD775" s="108" t="b">
        <f t="shared" ref="AD775:AI775" si="320">OR(AND($L770&lt;&gt;"",$L770=FALSE),AD687)</f>
        <v>0</v>
      </c>
      <c r="AE775" s="108" t="b">
        <f t="shared" si="320"/>
        <v>0</v>
      </c>
      <c r="AF775" s="108" t="b">
        <f t="shared" si="320"/>
        <v>0</v>
      </c>
      <c r="AG775" s="108" t="b">
        <f t="shared" si="320"/>
        <v>0</v>
      </c>
      <c r="AH775" s="108" t="b">
        <f t="shared" si="320"/>
        <v>0</v>
      </c>
      <c r="AI775" s="108" t="b">
        <f t="shared" si="320"/>
        <v>0</v>
      </c>
      <c r="AJ775" s="553" t="s">
        <v>2248</v>
      </c>
      <c r="AK775" s="663" t="str">
        <f>IF(AND(CNTR_ExistSubInstEntries,MSconst_RequireSubAttrEmissions,COUNTIFS(AC775:AI775,FALSE,H775:N775,"")&gt;0),EUconst_Error&amp;"BM"&amp;$Q617,"")</f>
        <v/>
      </c>
      <c r="AL775" s="2"/>
    </row>
    <row r="776" spans="1:38" ht="12.75" customHeight="1" x14ac:dyDescent="0.25">
      <c r="A776" s="2"/>
      <c r="B776" s="178"/>
      <c r="C776" s="779"/>
      <c r="D776" s="416" t="s">
        <v>23</v>
      </c>
      <c r="E776" s="2625" t="str">
        <f>Translations!$B$584</f>
        <v>Effektivt värmevärde, i tillämpliga fall</v>
      </c>
      <c r="F776" s="2476"/>
      <c r="G776" s="424" t="str">
        <f>EUconst_GJpt</f>
        <v>GJ / t</v>
      </c>
      <c r="H776" s="1302"/>
      <c r="I776" s="1303"/>
      <c r="J776" s="1304"/>
      <c r="K776" s="1302"/>
      <c r="L776" s="1302"/>
      <c r="M776" s="1302"/>
      <c r="N776" s="1305"/>
      <c r="O776" s="15"/>
      <c r="P776" s="1362"/>
      <c r="Q776" s="343"/>
      <c r="R776" s="2"/>
      <c r="S776" s="343"/>
      <c r="T776" s="2"/>
      <c r="U776" s="2"/>
      <c r="V776" s="2"/>
      <c r="W776" s="2"/>
      <c r="X776" s="2"/>
      <c r="Y776" s="2"/>
      <c r="Z776" s="2"/>
      <c r="AA776" s="2"/>
      <c r="AB776" s="2"/>
      <c r="AC776" s="108" t="b">
        <f t="shared" ref="AC776:AI776" si="321">AC775</f>
        <v>0</v>
      </c>
      <c r="AD776" s="108" t="b">
        <f t="shared" si="321"/>
        <v>0</v>
      </c>
      <c r="AE776" s="108" t="b">
        <f t="shared" si="321"/>
        <v>0</v>
      </c>
      <c r="AF776" s="108" t="b">
        <f t="shared" si="321"/>
        <v>0</v>
      </c>
      <c r="AG776" s="108" t="b">
        <f t="shared" si="321"/>
        <v>0</v>
      </c>
      <c r="AH776" s="108" t="b">
        <f t="shared" si="321"/>
        <v>0</v>
      </c>
      <c r="AI776" s="108" t="b">
        <f t="shared" si="321"/>
        <v>0</v>
      </c>
      <c r="AJ776" s="553" t="s">
        <v>2248</v>
      </c>
      <c r="AK776" s="663" t="str">
        <f>IF(AND(CNTR_ExistSubInstEntries,MSconst_RequireSubAttrEmissions,COUNTIFS(AC776:AI776,FALSE,H776:N776,"")&gt;0),EUconst_Error&amp;"BM"&amp;$Q617,"")</f>
        <v/>
      </c>
      <c r="AL776" s="2"/>
    </row>
    <row r="777" spans="1:38" ht="12.75" customHeight="1" thickBot="1" x14ac:dyDescent="0.3">
      <c r="A777" s="2"/>
      <c r="B777" s="178"/>
      <c r="C777" s="779"/>
      <c r="D777" s="416" t="s">
        <v>859</v>
      </c>
      <c r="E777" s="2625" t="str">
        <f>Translations!$B$585</f>
        <v>Kolinnehåll (viktprocent)</v>
      </c>
      <c r="F777" s="2476"/>
      <c r="G777" s="425" t="s">
        <v>957</v>
      </c>
      <c r="H777" s="1302"/>
      <c r="I777" s="1303"/>
      <c r="J777" s="1304"/>
      <c r="K777" s="1302"/>
      <c r="L777" s="1302"/>
      <c r="M777" s="1302"/>
      <c r="N777" s="1305"/>
      <c r="O777" s="15"/>
      <c r="P777" s="1362"/>
      <c r="Q777" s="343"/>
      <c r="R777" s="2"/>
      <c r="S777" s="343"/>
      <c r="T777" s="2"/>
      <c r="U777" s="2"/>
      <c r="V777" s="2"/>
      <c r="W777" s="2"/>
      <c r="X777" s="2"/>
      <c r="Y777" s="2"/>
      <c r="Z777" s="2"/>
      <c r="AA777" s="2"/>
      <c r="AB777" s="2"/>
      <c r="AC777" s="108" t="b">
        <f t="shared" ref="AC777:AI777" si="322">AC776</f>
        <v>0</v>
      </c>
      <c r="AD777" s="108" t="b">
        <f t="shared" si="322"/>
        <v>0</v>
      </c>
      <c r="AE777" s="108" t="b">
        <f t="shared" si="322"/>
        <v>0</v>
      </c>
      <c r="AF777" s="108" t="b">
        <f t="shared" si="322"/>
        <v>0</v>
      </c>
      <c r="AG777" s="108" t="b">
        <f t="shared" si="322"/>
        <v>0</v>
      </c>
      <c r="AH777" s="108" t="b">
        <f t="shared" si="322"/>
        <v>0</v>
      </c>
      <c r="AI777" s="108" t="b">
        <f t="shared" si="322"/>
        <v>0</v>
      </c>
      <c r="AJ777" s="553" t="s">
        <v>2248</v>
      </c>
      <c r="AK777" s="663" t="str">
        <f>IF(AND(CNTR_ExistSubInstEntries,MSconst_RequireSubAttrEmissions,COUNTIFS(AC777:AI777,FALSE,H777:N777,"")&gt;0),EUconst_Error&amp;"BM"&amp;$Q617,"")</f>
        <v/>
      </c>
      <c r="AL777" s="2"/>
    </row>
    <row r="778" spans="1:38" ht="12.75" customHeight="1" x14ac:dyDescent="0.25">
      <c r="A778" s="2"/>
      <c r="B778" s="178"/>
      <c r="C778" s="779"/>
      <c r="D778" s="416" t="s">
        <v>860</v>
      </c>
      <c r="E778" s="2626" t="str">
        <f>Translations!$B$586</f>
        <v>Biomassahalt (som kolfraktion)</v>
      </c>
      <c r="F778" s="2487"/>
      <c r="G778" s="384" t="s">
        <v>957</v>
      </c>
      <c r="H778" s="1306"/>
      <c r="I778" s="1307"/>
      <c r="J778" s="1308"/>
      <c r="K778" s="1306"/>
      <c r="L778" s="1306"/>
      <c r="M778" s="1306"/>
      <c r="N778" s="1309"/>
      <c r="O778" s="15"/>
      <c r="P778" s="1362"/>
      <c r="Q778" s="343"/>
      <c r="R778" s="2"/>
      <c r="S778" s="772"/>
      <c r="T778" s="609">
        <f t="shared" ref="T778:Z778" si="323">H774</f>
        <v>2019</v>
      </c>
      <c r="U778" s="609">
        <f t="shared" si="323"/>
        <v>2020</v>
      </c>
      <c r="V778" s="609">
        <f t="shared" si="323"/>
        <v>2021</v>
      </c>
      <c r="W778" s="609">
        <f t="shared" si="323"/>
        <v>2022</v>
      </c>
      <c r="X778" s="609">
        <f t="shared" si="323"/>
        <v>2023</v>
      </c>
      <c r="Y778" s="609">
        <f t="shared" si="323"/>
        <v>2024</v>
      </c>
      <c r="Z778" s="610">
        <f t="shared" si="323"/>
        <v>2025</v>
      </c>
      <c r="AA778" s="2"/>
      <c r="AB778" s="2"/>
      <c r="AC778" s="108" t="b">
        <f t="shared" ref="AC778:AI778" si="324">AC777</f>
        <v>0</v>
      </c>
      <c r="AD778" s="108" t="b">
        <f t="shared" si="324"/>
        <v>0</v>
      </c>
      <c r="AE778" s="108" t="b">
        <f t="shared" si="324"/>
        <v>0</v>
      </c>
      <c r="AF778" s="108" t="b">
        <f t="shared" si="324"/>
        <v>0</v>
      </c>
      <c r="AG778" s="108" t="b">
        <f t="shared" si="324"/>
        <v>0</v>
      </c>
      <c r="AH778" s="108" t="b">
        <f t="shared" si="324"/>
        <v>0</v>
      </c>
      <c r="AI778" s="108" t="b">
        <f t="shared" si="324"/>
        <v>0</v>
      </c>
      <c r="AJ778" s="553" t="s">
        <v>2248</v>
      </c>
      <c r="AK778" s="663" t="str">
        <f>IF(AND(CNTR_ExistSubInstEntries,MSconst_RequireSubAttrEmissions,COUNTIFS(AC778:AI778,FALSE,H778:N778,"")&gt;0),EUconst_Error&amp;"BM"&amp;$Q617,"")</f>
        <v/>
      </c>
      <c r="AL778" s="2"/>
    </row>
    <row r="779" spans="1:38" ht="12.75" customHeight="1" thickBot="1" x14ac:dyDescent="0.3">
      <c r="A779" s="2"/>
      <c r="B779" s="178"/>
      <c r="C779" s="779"/>
      <c r="D779" s="416" t="s">
        <v>861</v>
      </c>
      <c r="E779" s="2627" t="str">
        <f>Translations!$B$587</f>
        <v>Utsläpp (fossila, beräknade)</v>
      </c>
      <c r="F779" s="2484"/>
      <c r="G779" s="426" t="str">
        <f>EUconst_tCO2pa</f>
        <v>t CO2 / år</v>
      </c>
      <c r="H779" s="273" t="str">
        <f t="shared" ref="H779:N779" si="325">IF(AND(COUNT(H775:H778)&gt;0,H782=""),3.664*H775*(H777/100)*(1-H778/100),"")</f>
        <v/>
      </c>
      <c r="I779" s="1109" t="str">
        <f t="shared" si="325"/>
        <v/>
      </c>
      <c r="J779" s="1116" t="str">
        <f t="shared" si="325"/>
        <v/>
      </c>
      <c r="K779" s="273" t="str">
        <f t="shared" si="325"/>
        <v/>
      </c>
      <c r="L779" s="273" t="str">
        <f t="shared" si="325"/>
        <v/>
      </c>
      <c r="M779" s="273" t="str">
        <f t="shared" si="325"/>
        <v/>
      </c>
      <c r="N779" s="1142" t="str">
        <f t="shared" si="325"/>
        <v/>
      </c>
      <c r="O779" s="15"/>
      <c r="P779" s="15"/>
      <c r="Q779" s="165" t="str">
        <f>EUconst_CNTR_EmissionsIntSource1 &amp; I617</f>
        <v>EmInternalSource1_</v>
      </c>
      <c r="R779" s="2"/>
      <c r="S779" s="773" t="str">
        <f>EUconst_CNTR_AttributedEmissions &amp; I617</f>
        <v>AttrEmissions_</v>
      </c>
      <c r="T779" s="111" t="str">
        <f t="shared" ref="T779:Z779" si="326">IF(T625,SUM(H779),"")</f>
        <v/>
      </c>
      <c r="U779" s="111" t="str">
        <f t="shared" si="326"/>
        <v/>
      </c>
      <c r="V779" s="111" t="str">
        <f t="shared" si="326"/>
        <v/>
      </c>
      <c r="W779" s="111" t="str">
        <f t="shared" si="326"/>
        <v/>
      </c>
      <c r="X779" s="111" t="str">
        <f t="shared" si="326"/>
        <v/>
      </c>
      <c r="Y779" s="111" t="str">
        <f t="shared" si="326"/>
        <v/>
      </c>
      <c r="Z779" s="112" t="str">
        <f t="shared" si="326"/>
        <v/>
      </c>
      <c r="AA779" s="2"/>
      <c r="AB779" s="2"/>
      <c r="AC779" s="2"/>
      <c r="AD779" s="2"/>
      <c r="AE779" s="2"/>
      <c r="AF779" s="2"/>
      <c r="AG779" s="2"/>
      <c r="AH779" s="2"/>
      <c r="AI779" s="2"/>
      <c r="AJ779" s="2"/>
      <c r="AK779" s="2"/>
      <c r="AL779" s="2"/>
    </row>
    <row r="780" spans="1:38" ht="12.75" customHeight="1" x14ac:dyDescent="0.25">
      <c r="A780" s="2"/>
      <c r="B780" s="178"/>
      <c r="C780" s="779"/>
      <c r="D780" s="416" t="s">
        <v>862</v>
      </c>
      <c r="E780" s="2628" t="str">
        <f>Translations!$B$588</f>
        <v>Memorandumpost: Utsläpp biomassa</v>
      </c>
      <c r="F780" s="2476"/>
      <c r="G780" s="427" t="str">
        <f>EUconst_tCO2pa</f>
        <v>t CO2 / år</v>
      </c>
      <c r="H780" s="272" t="str">
        <f t="shared" ref="H780:N780" si="327">IF(ISNUMBER(H779),3.664*H775*(H777/100)*(H778/100),"")</f>
        <v/>
      </c>
      <c r="I780" s="1110" t="str">
        <f t="shared" si="327"/>
        <v/>
      </c>
      <c r="J780" s="1117" t="str">
        <f t="shared" si="327"/>
        <v/>
      </c>
      <c r="K780" s="272" t="str">
        <f t="shared" si="327"/>
        <v/>
      </c>
      <c r="L780" s="272" t="str">
        <f t="shared" si="327"/>
        <v/>
      </c>
      <c r="M780" s="272" t="str">
        <f t="shared" si="327"/>
        <v/>
      </c>
      <c r="N780" s="1143" t="str">
        <f t="shared" si="327"/>
        <v/>
      </c>
      <c r="O780" s="15"/>
      <c r="P780" s="15"/>
      <c r="Q780" s="343"/>
      <c r="R780" s="2"/>
      <c r="S780" s="343"/>
      <c r="T780" s="2"/>
      <c r="U780" s="2"/>
      <c r="V780" s="2"/>
      <c r="W780" s="2"/>
      <c r="X780" s="2"/>
      <c r="Y780" s="2"/>
      <c r="Z780" s="2"/>
      <c r="AA780" s="2"/>
      <c r="AB780" s="2"/>
      <c r="AC780" s="2"/>
      <c r="AD780" s="2"/>
      <c r="AE780" s="2"/>
      <c r="AF780" s="2"/>
      <c r="AG780" s="2"/>
      <c r="AH780" s="2"/>
      <c r="AI780" s="2"/>
      <c r="AJ780" s="2"/>
      <c r="AK780" s="2"/>
      <c r="AL780" s="2"/>
    </row>
    <row r="781" spans="1:38" ht="12.75" customHeight="1" x14ac:dyDescent="0.25">
      <c r="A781" s="2"/>
      <c r="B781" s="178"/>
      <c r="C781" s="779"/>
      <c r="D781" s="416" t="s">
        <v>863</v>
      </c>
      <c r="E781" s="2626" t="str">
        <f>Translations!$B$589</f>
        <v>Energiinnehåll (beräknat)</v>
      </c>
      <c r="F781" s="2487"/>
      <c r="G781" s="428" t="str">
        <f>EUconst_TJpa</f>
        <v>TJ / år</v>
      </c>
      <c r="H781" s="275" t="str">
        <f t="shared" ref="H781:N781" si="328">IF(COUNT(H775:H776)=2,H775*H776/1000,"")</f>
        <v/>
      </c>
      <c r="I781" s="281" t="str">
        <f t="shared" si="328"/>
        <v/>
      </c>
      <c r="J781" s="1118" t="str">
        <f t="shared" si="328"/>
        <v/>
      </c>
      <c r="K781" s="275" t="str">
        <f t="shared" si="328"/>
        <v/>
      </c>
      <c r="L781" s="275" t="str">
        <f t="shared" si="328"/>
        <v/>
      </c>
      <c r="M781" s="275" t="str">
        <f t="shared" si="328"/>
        <v/>
      </c>
      <c r="N781" s="1144" t="str">
        <f t="shared" si="328"/>
        <v/>
      </c>
      <c r="O781" s="15"/>
      <c r="P781" s="15"/>
      <c r="Q781" s="343"/>
      <c r="R781" s="2"/>
      <c r="S781" s="343"/>
      <c r="T781" s="2"/>
      <c r="U781" s="2"/>
      <c r="V781" s="2"/>
      <c r="W781" s="2"/>
      <c r="X781" s="2"/>
      <c r="Y781" s="2"/>
      <c r="Z781" s="2"/>
      <c r="AA781" s="2"/>
      <c r="AB781" s="2"/>
      <c r="AC781" s="2"/>
      <c r="AD781" s="2"/>
      <c r="AE781" s="2"/>
      <c r="AF781" s="2"/>
      <c r="AG781" s="2"/>
      <c r="AH781" s="2"/>
      <c r="AI781" s="2"/>
      <c r="AJ781" s="2"/>
      <c r="AK781" s="2"/>
      <c r="AL781" s="2"/>
    </row>
    <row r="782" spans="1:38" ht="12.75" customHeight="1" x14ac:dyDescent="0.25">
      <c r="A782" s="2"/>
      <c r="B782" s="178"/>
      <c r="C782" s="779"/>
      <c r="D782" s="416" t="s">
        <v>72</v>
      </c>
      <c r="E782" s="2629" t="str">
        <f>Translations!$B$590</f>
        <v>Felmeddelanden (utsläpp)</v>
      </c>
      <c r="F782" s="2630"/>
      <c r="G782" s="429"/>
      <c r="H782" s="520" t="str">
        <f t="shared" ref="H782:N782" si="329">IF(COUNT(H775,H777:H778)&gt;0,IF(COUNTIF(H776:H778,"&lt;0")&gt;0,EUconst_Negative,IF(COUNT(H775,H777:H778)&lt;3,EUconst_Incomplete,"")),"")</f>
        <v/>
      </c>
      <c r="I782" s="1111" t="str">
        <f t="shared" si="329"/>
        <v/>
      </c>
      <c r="J782" s="1119" t="str">
        <f t="shared" si="329"/>
        <v/>
      </c>
      <c r="K782" s="520" t="str">
        <f t="shared" si="329"/>
        <v/>
      </c>
      <c r="L782" s="520" t="str">
        <f t="shared" si="329"/>
        <v/>
      </c>
      <c r="M782" s="520" t="str">
        <f t="shared" si="329"/>
        <v/>
      </c>
      <c r="N782" s="1145" t="str">
        <f t="shared" si="329"/>
        <v/>
      </c>
      <c r="O782" s="15"/>
      <c r="P782" s="15"/>
      <c r="Q782" s="343"/>
      <c r="R782" s="2"/>
      <c r="S782" s="343"/>
      <c r="T782" s="2"/>
      <c r="U782" s="2"/>
      <c r="V782" s="2"/>
      <c r="W782" s="2"/>
      <c r="X782" s="2"/>
      <c r="Y782" s="2"/>
      <c r="Z782" s="2"/>
      <c r="AA782" s="2"/>
      <c r="AB782" s="2"/>
      <c r="AC782" s="2"/>
      <c r="AD782" s="2"/>
      <c r="AE782" s="2"/>
      <c r="AF782" s="2"/>
      <c r="AG782" s="2"/>
      <c r="AH782" s="2"/>
      <c r="AI782" s="2"/>
      <c r="AJ782" s="2"/>
      <c r="AK782" s="2"/>
      <c r="AL782" s="2"/>
    </row>
    <row r="783" spans="1:38" ht="12.75" customHeight="1" x14ac:dyDescent="0.25">
      <c r="A783" s="2"/>
      <c r="B783" s="178"/>
      <c r="C783" s="779"/>
      <c r="D783" s="416"/>
      <c r="E783" s="780"/>
      <c r="F783" s="780"/>
      <c r="G783" s="780"/>
      <c r="H783" s="780"/>
      <c r="I783" s="780"/>
      <c r="J783" s="780"/>
      <c r="K783" s="780"/>
      <c r="L783" s="780"/>
      <c r="M783" s="623"/>
      <c r="N783" s="519"/>
      <c r="O783" s="15"/>
      <c r="P783" s="15"/>
      <c r="Q783" s="343"/>
      <c r="R783" s="2"/>
      <c r="S783" s="343"/>
      <c r="T783" s="2"/>
      <c r="U783" s="2"/>
      <c r="V783" s="2"/>
      <c r="W783" s="2"/>
      <c r="X783" s="2"/>
      <c r="Y783" s="2"/>
      <c r="Z783" s="2"/>
      <c r="AA783" s="2"/>
      <c r="AB783" s="2"/>
      <c r="AC783" s="2"/>
      <c r="AD783" s="2"/>
      <c r="AE783" s="2"/>
      <c r="AF783" s="2"/>
      <c r="AG783" s="2"/>
      <c r="AH783" s="2"/>
      <c r="AI783" s="2"/>
      <c r="AJ783" s="2"/>
      <c r="AK783" s="2"/>
      <c r="AL783" s="2"/>
    </row>
    <row r="784" spans="1:38" ht="12.75" customHeight="1" x14ac:dyDescent="0.25">
      <c r="A784" s="2"/>
      <c r="B784" s="178"/>
      <c r="C784" s="779"/>
      <c r="D784" s="416" t="s">
        <v>73</v>
      </c>
      <c r="E784" s="2614" t="str">
        <f>Translations!$B$591</f>
        <v>Namn på andra bränsle-/materialmängder – 2:</v>
      </c>
      <c r="F784" s="1960"/>
      <c r="G784" s="1960"/>
      <c r="H784" s="2520"/>
      <c r="I784" s="2621"/>
      <c r="J784" s="2510"/>
      <c r="K784" s="2510"/>
      <c r="L784" s="2510"/>
      <c r="M784" s="2511"/>
      <c r="N784" s="1807"/>
      <c r="O784" s="15"/>
      <c r="P784" s="1362"/>
      <c r="Q784" s="343"/>
      <c r="R784" s="2"/>
      <c r="S784" s="343"/>
      <c r="T784" s="2"/>
      <c r="U784" s="2"/>
      <c r="V784" s="2"/>
      <c r="W784" s="2"/>
      <c r="X784" s="2"/>
      <c r="Y784" s="2"/>
      <c r="Z784" s="2"/>
      <c r="AA784" s="2"/>
      <c r="AB784" s="2"/>
      <c r="AC784" s="672" t="s">
        <v>782</v>
      </c>
      <c r="AD784" s="108" t="b">
        <f>AD772</f>
        <v>0</v>
      </c>
      <c r="AE784" s="2"/>
      <c r="AF784" s="2"/>
      <c r="AG784" s="2"/>
      <c r="AH784" s="2"/>
      <c r="AI784" s="2"/>
      <c r="AJ784" s="2"/>
      <c r="AK784" s="2"/>
      <c r="AL784" s="2"/>
    </row>
    <row r="785" spans="1:38" ht="5.15" customHeight="1" x14ac:dyDescent="0.25">
      <c r="A785" s="2"/>
      <c r="B785" s="178"/>
      <c r="C785" s="779"/>
      <c r="D785" s="780"/>
      <c r="E785" s="1804"/>
      <c r="F785" s="1806"/>
      <c r="G785" s="780"/>
      <c r="H785" s="780"/>
      <c r="I785" s="1806"/>
      <c r="J785" s="1806"/>
      <c r="K785" s="1806"/>
      <c r="L785" s="1806"/>
      <c r="M785" s="1806"/>
      <c r="N785" s="1807"/>
      <c r="O785" s="15"/>
      <c r="P785" s="15"/>
      <c r="Q785" s="343"/>
      <c r="R785" s="2"/>
      <c r="S785" s="343"/>
      <c r="T785" s="2"/>
      <c r="U785" s="2"/>
      <c r="V785" s="2"/>
      <c r="W785" s="2"/>
      <c r="X785" s="2"/>
      <c r="Y785" s="2"/>
      <c r="Z785" s="2"/>
      <c r="AA785" s="2"/>
      <c r="AB785" s="2"/>
      <c r="AC785" s="2"/>
      <c r="AD785" s="2"/>
      <c r="AE785" s="2"/>
      <c r="AF785" s="2"/>
      <c r="AG785" s="2"/>
      <c r="AH785" s="2"/>
      <c r="AI785" s="2"/>
      <c r="AJ785" s="2"/>
      <c r="AK785" s="2"/>
      <c r="AL785" s="2"/>
    </row>
    <row r="786" spans="1:38" ht="12.75" customHeight="1" thickBot="1" x14ac:dyDescent="0.3">
      <c r="A786" s="2"/>
      <c r="B786" s="178"/>
      <c r="C786" s="779"/>
      <c r="D786" s="416"/>
      <c r="E786" s="2605" t="str">
        <f>Translations!$B$592</f>
        <v>Andra bränsle-/materialmängder – 2</v>
      </c>
      <c r="F786" s="2497"/>
      <c r="G786" s="361" t="str">
        <f>EUconst_Unit</f>
        <v>Enhet</v>
      </c>
      <c r="H786" s="362">
        <f t="shared" ref="H786:N786" si="330">H$3042</f>
        <v>2019</v>
      </c>
      <c r="I786" s="1103">
        <f t="shared" si="330"/>
        <v>2020</v>
      </c>
      <c r="J786" s="1104">
        <f t="shared" si="330"/>
        <v>2021</v>
      </c>
      <c r="K786" s="362">
        <f t="shared" si="330"/>
        <v>2022</v>
      </c>
      <c r="L786" s="362">
        <f t="shared" si="330"/>
        <v>2023</v>
      </c>
      <c r="M786" s="362">
        <f t="shared" si="330"/>
        <v>2024</v>
      </c>
      <c r="N786" s="1141">
        <f t="shared" si="330"/>
        <v>2025</v>
      </c>
      <c r="O786" s="15"/>
      <c r="P786" s="15"/>
      <c r="Q786" s="343"/>
      <c r="R786" s="2"/>
      <c r="S786" s="343"/>
      <c r="T786" s="2"/>
      <c r="U786" s="2"/>
      <c r="V786" s="2"/>
      <c r="W786" s="2"/>
      <c r="X786" s="2"/>
      <c r="Y786" s="2"/>
      <c r="Z786" s="2"/>
      <c r="AA786" s="2"/>
      <c r="AB786" s="2"/>
      <c r="AC786" s="1044">
        <f t="shared" ref="AC786:AI786" si="331">H$20</f>
        <v>2019</v>
      </c>
      <c r="AD786" s="1044">
        <f t="shared" si="331"/>
        <v>2020</v>
      </c>
      <c r="AE786" s="1044">
        <f t="shared" si="331"/>
        <v>2021</v>
      </c>
      <c r="AF786" s="1044">
        <f t="shared" si="331"/>
        <v>2022</v>
      </c>
      <c r="AG786" s="1044">
        <f t="shared" si="331"/>
        <v>2023</v>
      </c>
      <c r="AH786" s="1044">
        <f t="shared" si="331"/>
        <v>2024</v>
      </c>
      <c r="AI786" s="1044">
        <f t="shared" si="331"/>
        <v>2025</v>
      </c>
      <c r="AJ786" s="2"/>
      <c r="AK786" s="2"/>
      <c r="AL786" s="2"/>
    </row>
    <row r="787" spans="1:38" ht="12.75" customHeight="1" x14ac:dyDescent="0.25">
      <c r="A787" s="2"/>
      <c r="B787" s="178"/>
      <c r="C787" s="779"/>
      <c r="D787" s="416" t="s">
        <v>74</v>
      </c>
      <c r="E787" s="2611" t="str">
        <f>Translations!$B$583</f>
        <v>Importerad eller exporterad mängd</v>
      </c>
      <c r="F787" s="2484"/>
      <c r="G787" s="365" t="str">
        <f>EUconst_tpa</f>
        <v>t / år</v>
      </c>
      <c r="H787" s="1298"/>
      <c r="I787" s="1299"/>
      <c r="J787" s="1300"/>
      <c r="K787" s="1298"/>
      <c r="L787" s="1298"/>
      <c r="M787" s="1298"/>
      <c r="N787" s="1301"/>
      <c r="O787" s="15"/>
      <c r="P787" s="1362"/>
      <c r="Q787" s="343"/>
      <c r="R787" s="2"/>
      <c r="S787" s="343"/>
      <c r="T787" s="2"/>
      <c r="U787" s="2"/>
      <c r="V787" s="2"/>
      <c r="W787" s="2"/>
      <c r="X787" s="2"/>
      <c r="Y787" s="2"/>
      <c r="Z787" s="2"/>
      <c r="AA787" s="2"/>
      <c r="AB787" s="672" t="s">
        <v>782</v>
      </c>
      <c r="AC787" s="108" t="b">
        <f>AC775</f>
        <v>0</v>
      </c>
      <c r="AD787" s="108" t="b">
        <f t="shared" ref="AD787:AI787" si="332">AD775</f>
        <v>0</v>
      </c>
      <c r="AE787" s="108" t="b">
        <f t="shared" si="332"/>
        <v>0</v>
      </c>
      <c r="AF787" s="108" t="b">
        <f t="shared" si="332"/>
        <v>0</v>
      </c>
      <c r="AG787" s="108" t="b">
        <f t="shared" si="332"/>
        <v>0</v>
      </c>
      <c r="AH787" s="108" t="b">
        <f t="shared" si="332"/>
        <v>0</v>
      </c>
      <c r="AI787" s="108" t="b">
        <f t="shared" si="332"/>
        <v>0</v>
      </c>
      <c r="AJ787" s="553" t="s">
        <v>2248</v>
      </c>
      <c r="AK787" s="663" t="str">
        <f>IF(AND(CNTR_ExistSubInstEntries,MSconst_RequireSubAttrEmissions,COUNTIFS(AC787:AI787,FALSE,H787:N787,"")&gt;0),EUconst_Error&amp;"BM"&amp;$Q617,"")</f>
        <v/>
      </c>
      <c r="AL787" s="2"/>
    </row>
    <row r="788" spans="1:38" ht="12.75" customHeight="1" x14ac:dyDescent="0.25">
      <c r="A788" s="2"/>
      <c r="B788" s="178"/>
      <c r="C788" s="779"/>
      <c r="D788" s="416" t="s">
        <v>1201</v>
      </c>
      <c r="E788" s="2625" t="str">
        <f>Translations!$B$584</f>
        <v>Effektivt värmevärde, i tillämpliga fall</v>
      </c>
      <c r="F788" s="2476"/>
      <c r="G788" s="424" t="str">
        <f>EUconst_GJpt</f>
        <v>GJ / t</v>
      </c>
      <c r="H788" s="1302"/>
      <c r="I788" s="1303"/>
      <c r="J788" s="1304"/>
      <c r="K788" s="1302"/>
      <c r="L788" s="1302"/>
      <c r="M788" s="1302"/>
      <c r="N788" s="1305"/>
      <c r="O788" s="15"/>
      <c r="P788" s="1362"/>
      <c r="Q788" s="343"/>
      <c r="R788" s="2"/>
      <c r="S788" s="343"/>
      <c r="T788" s="2"/>
      <c r="U788" s="2"/>
      <c r="V788" s="2"/>
      <c r="W788" s="2"/>
      <c r="X788" s="2"/>
      <c r="Y788" s="2"/>
      <c r="Z788" s="2"/>
      <c r="AA788" s="2"/>
      <c r="AB788" s="2"/>
      <c r="AC788" s="108" t="b">
        <f t="shared" ref="AC788:AI788" si="333">AC776</f>
        <v>0</v>
      </c>
      <c r="AD788" s="108" t="b">
        <f t="shared" si="333"/>
        <v>0</v>
      </c>
      <c r="AE788" s="108" t="b">
        <f t="shared" si="333"/>
        <v>0</v>
      </c>
      <c r="AF788" s="108" t="b">
        <f t="shared" si="333"/>
        <v>0</v>
      </c>
      <c r="AG788" s="108" t="b">
        <f t="shared" si="333"/>
        <v>0</v>
      </c>
      <c r="AH788" s="108" t="b">
        <f t="shared" si="333"/>
        <v>0</v>
      </c>
      <c r="AI788" s="108" t="b">
        <f t="shared" si="333"/>
        <v>0</v>
      </c>
      <c r="AJ788" s="553" t="s">
        <v>2248</v>
      </c>
      <c r="AK788" s="663" t="str">
        <f>IF(AND(CNTR_ExistSubInstEntries,MSconst_RequireSubAttrEmissions,COUNTIFS(AC788:AI788,FALSE,H788:N788,"")&gt;0),EUconst_Error&amp;"BM"&amp;$Q617,"")</f>
        <v/>
      </c>
      <c r="AL788" s="2"/>
    </row>
    <row r="789" spans="1:38" ht="12.75" customHeight="1" thickBot="1" x14ac:dyDescent="0.3">
      <c r="A789" s="2"/>
      <c r="B789" s="178"/>
      <c r="C789" s="779"/>
      <c r="D789" s="416" t="s">
        <v>1202</v>
      </c>
      <c r="E789" s="2625" t="str">
        <f>Translations!$B$585</f>
        <v>Kolinnehåll (viktprocent)</v>
      </c>
      <c r="F789" s="2476"/>
      <c r="G789" s="425" t="s">
        <v>957</v>
      </c>
      <c r="H789" s="1302"/>
      <c r="I789" s="1303"/>
      <c r="J789" s="1304"/>
      <c r="K789" s="1302"/>
      <c r="L789" s="1302"/>
      <c r="M789" s="1302"/>
      <c r="N789" s="1305"/>
      <c r="O789" s="15"/>
      <c r="P789" s="1362"/>
      <c r="Q789" s="343"/>
      <c r="R789" s="2"/>
      <c r="S789" s="343"/>
      <c r="T789" s="2"/>
      <c r="U789" s="2"/>
      <c r="V789" s="2"/>
      <c r="W789" s="2"/>
      <c r="X789" s="2"/>
      <c r="Y789" s="2"/>
      <c r="Z789" s="2"/>
      <c r="AA789" s="2"/>
      <c r="AB789" s="2"/>
      <c r="AC789" s="108" t="b">
        <f t="shared" ref="AC789:AI789" si="334">AC777</f>
        <v>0</v>
      </c>
      <c r="AD789" s="108" t="b">
        <f t="shared" si="334"/>
        <v>0</v>
      </c>
      <c r="AE789" s="108" t="b">
        <f t="shared" si="334"/>
        <v>0</v>
      </c>
      <c r="AF789" s="108" t="b">
        <f t="shared" si="334"/>
        <v>0</v>
      </c>
      <c r="AG789" s="108" t="b">
        <f t="shared" si="334"/>
        <v>0</v>
      </c>
      <c r="AH789" s="108" t="b">
        <f t="shared" si="334"/>
        <v>0</v>
      </c>
      <c r="AI789" s="108" t="b">
        <f t="shared" si="334"/>
        <v>0</v>
      </c>
      <c r="AJ789" s="553" t="s">
        <v>2248</v>
      </c>
      <c r="AK789" s="663" t="str">
        <f>IF(AND(CNTR_ExistSubInstEntries,MSconst_RequireSubAttrEmissions,COUNTIFS(AC789:AI789,FALSE,H789:N789,"")&gt;0),EUconst_Error&amp;"BM"&amp;$Q617,"")</f>
        <v/>
      </c>
      <c r="AL789" s="2"/>
    </row>
    <row r="790" spans="1:38" ht="12.75" customHeight="1" x14ac:dyDescent="0.25">
      <c r="A790" s="2"/>
      <c r="B790" s="178"/>
      <c r="C790" s="779"/>
      <c r="D790" s="416" t="s">
        <v>1203</v>
      </c>
      <c r="E790" s="2626" t="str">
        <f>Translations!$B$586</f>
        <v>Biomassahalt (som kolfraktion)</v>
      </c>
      <c r="F790" s="2487"/>
      <c r="G790" s="384" t="s">
        <v>957</v>
      </c>
      <c r="H790" s="1306"/>
      <c r="I790" s="1307"/>
      <c r="J790" s="1308"/>
      <c r="K790" s="1306"/>
      <c r="L790" s="1306"/>
      <c r="M790" s="1306"/>
      <c r="N790" s="1309"/>
      <c r="O790" s="15"/>
      <c r="P790" s="1362"/>
      <c r="Q790" s="343"/>
      <c r="R790" s="2"/>
      <c r="S790" s="772"/>
      <c r="T790" s="609">
        <f t="shared" ref="T790:Z790" si="335">H786</f>
        <v>2019</v>
      </c>
      <c r="U790" s="609">
        <f t="shared" si="335"/>
        <v>2020</v>
      </c>
      <c r="V790" s="609">
        <f t="shared" si="335"/>
        <v>2021</v>
      </c>
      <c r="W790" s="609">
        <f t="shared" si="335"/>
        <v>2022</v>
      </c>
      <c r="X790" s="609">
        <f t="shared" si="335"/>
        <v>2023</v>
      </c>
      <c r="Y790" s="609">
        <f t="shared" si="335"/>
        <v>2024</v>
      </c>
      <c r="Z790" s="610">
        <f t="shared" si="335"/>
        <v>2025</v>
      </c>
      <c r="AA790" s="2"/>
      <c r="AB790" s="2"/>
      <c r="AC790" s="108" t="b">
        <f t="shared" ref="AC790:AI790" si="336">AC778</f>
        <v>0</v>
      </c>
      <c r="AD790" s="108" t="b">
        <f t="shared" si="336"/>
        <v>0</v>
      </c>
      <c r="AE790" s="108" t="b">
        <f t="shared" si="336"/>
        <v>0</v>
      </c>
      <c r="AF790" s="108" t="b">
        <f t="shared" si="336"/>
        <v>0</v>
      </c>
      <c r="AG790" s="108" t="b">
        <f t="shared" si="336"/>
        <v>0</v>
      </c>
      <c r="AH790" s="108" t="b">
        <f t="shared" si="336"/>
        <v>0</v>
      </c>
      <c r="AI790" s="108" t="b">
        <f t="shared" si="336"/>
        <v>0</v>
      </c>
      <c r="AJ790" s="553" t="s">
        <v>2248</v>
      </c>
      <c r="AK790" s="663" t="str">
        <f>IF(AND(CNTR_ExistSubInstEntries,MSconst_RequireSubAttrEmissions,COUNTIFS(AC790:AI790,FALSE,H790:N790,"")&gt;0),EUconst_Error&amp;"BM"&amp;$Q617,"")</f>
        <v/>
      </c>
      <c r="AL790" s="2"/>
    </row>
    <row r="791" spans="1:38" ht="12.75" customHeight="1" thickBot="1" x14ac:dyDescent="0.3">
      <c r="A791" s="2"/>
      <c r="B791" s="178"/>
      <c r="C791" s="779"/>
      <c r="D791" s="416" t="s">
        <v>1204</v>
      </c>
      <c r="E791" s="2627" t="str">
        <f>Translations!$B$587</f>
        <v>Utsläpp (fossila, beräknade)</v>
      </c>
      <c r="F791" s="2484"/>
      <c r="G791" s="426" t="str">
        <f>EUconst_tCO2pa</f>
        <v>t CO2 / år</v>
      </c>
      <c r="H791" s="273" t="str">
        <f t="shared" ref="H791:N791" si="337">IF(AND(COUNT(H787:H790)&gt;0,H794=""),3.664*H787*(H789/100)*(1-H790/100),"")</f>
        <v/>
      </c>
      <c r="I791" s="1109" t="str">
        <f t="shared" si="337"/>
        <v/>
      </c>
      <c r="J791" s="1116" t="str">
        <f t="shared" si="337"/>
        <v/>
      </c>
      <c r="K791" s="273" t="str">
        <f t="shared" si="337"/>
        <v/>
      </c>
      <c r="L791" s="273" t="str">
        <f t="shared" si="337"/>
        <v/>
      </c>
      <c r="M791" s="273" t="str">
        <f t="shared" si="337"/>
        <v/>
      </c>
      <c r="N791" s="1142" t="str">
        <f t="shared" si="337"/>
        <v/>
      </c>
      <c r="O791" s="15"/>
      <c r="P791" s="15"/>
      <c r="Q791" s="165" t="str">
        <f>EUconst_CNTR_EmissionsIntSource2 &amp; I617</f>
        <v>EmInternalSource2_</v>
      </c>
      <c r="R791" s="2"/>
      <c r="S791" s="773" t="str">
        <f>EUconst_CNTR_AttributedEmissions &amp; I617</f>
        <v>AttrEmissions_</v>
      </c>
      <c r="T791" s="111" t="str">
        <f t="shared" ref="T791:Z791" si="338">IF(T625,SUM(H791),"")</f>
        <v/>
      </c>
      <c r="U791" s="111" t="str">
        <f t="shared" si="338"/>
        <v/>
      </c>
      <c r="V791" s="111" t="str">
        <f t="shared" si="338"/>
        <v/>
      </c>
      <c r="W791" s="111" t="str">
        <f t="shared" si="338"/>
        <v/>
      </c>
      <c r="X791" s="111" t="str">
        <f t="shared" si="338"/>
        <v/>
      </c>
      <c r="Y791" s="111" t="str">
        <f t="shared" si="338"/>
        <v/>
      </c>
      <c r="Z791" s="112" t="str">
        <f t="shared" si="338"/>
        <v/>
      </c>
      <c r="AA791" s="2"/>
      <c r="AB791" s="2"/>
      <c r="AC791" s="2"/>
      <c r="AD791" s="2"/>
      <c r="AE791" s="2"/>
      <c r="AF791" s="2"/>
      <c r="AG791" s="2"/>
      <c r="AH791" s="2"/>
      <c r="AI791" s="2"/>
      <c r="AJ791" s="2"/>
      <c r="AK791" s="2"/>
      <c r="AL791" s="2"/>
    </row>
    <row r="792" spans="1:38" ht="12.75" customHeight="1" x14ac:dyDescent="0.25">
      <c r="A792" s="2"/>
      <c r="B792" s="178"/>
      <c r="C792" s="779"/>
      <c r="D792" s="416" t="s">
        <v>1205</v>
      </c>
      <c r="E792" s="2628" t="str">
        <f>Translations!$B$588</f>
        <v>Memorandumpost: Utsläpp biomassa</v>
      </c>
      <c r="F792" s="2476"/>
      <c r="G792" s="427" t="str">
        <f>EUconst_tCO2pa</f>
        <v>t CO2 / år</v>
      </c>
      <c r="H792" s="272" t="str">
        <f t="shared" ref="H792:N792" si="339">IF(ISNUMBER(H791),3.664*H787*(H789/100)*(H790/100),"")</f>
        <v/>
      </c>
      <c r="I792" s="1110" t="str">
        <f t="shared" si="339"/>
        <v/>
      </c>
      <c r="J792" s="1117" t="str">
        <f t="shared" si="339"/>
        <v/>
      </c>
      <c r="K792" s="272" t="str">
        <f t="shared" si="339"/>
        <v/>
      </c>
      <c r="L792" s="272" t="str">
        <f t="shared" si="339"/>
        <v/>
      </c>
      <c r="M792" s="272" t="str">
        <f t="shared" si="339"/>
        <v/>
      </c>
      <c r="N792" s="1143" t="str">
        <f t="shared" si="339"/>
        <v/>
      </c>
      <c r="O792" s="15"/>
      <c r="P792" s="15"/>
      <c r="Q792" s="343"/>
      <c r="R792" s="2"/>
      <c r="S792" s="343"/>
      <c r="T792" s="2"/>
      <c r="U792" s="2"/>
      <c r="V792" s="2"/>
      <c r="W792" s="2"/>
      <c r="X792" s="2"/>
      <c r="Y792" s="2"/>
      <c r="Z792" s="2"/>
      <c r="AA792" s="2"/>
      <c r="AB792" s="2"/>
      <c r="AC792" s="2"/>
      <c r="AD792" s="2"/>
      <c r="AE792" s="2"/>
      <c r="AF792" s="2"/>
      <c r="AG792" s="2"/>
      <c r="AH792" s="2"/>
      <c r="AI792" s="2"/>
      <c r="AJ792" s="2"/>
      <c r="AK792" s="2"/>
      <c r="AL792" s="2"/>
    </row>
    <row r="793" spans="1:38" ht="12.75" customHeight="1" x14ac:dyDescent="0.25">
      <c r="A793" s="2"/>
      <c r="B793" s="178"/>
      <c r="C793" s="779"/>
      <c r="D793" s="416" t="s">
        <v>1206</v>
      </c>
      <c r="E793" s="2626" t="str">
        <f>Translations!$B$589</f>
        <v>Energiinnehåll (beräknat)</v>
      </c>
      <c r="F793" s="2487"/>
      <c r="G793" s="428" t="str">
        <f>EUconst_TJpa</f>
        <v>TJ / år</v>
      </c>
      <c r="H793" s="275" t="str">
        <f t="shared" ref="H793:N793" si="340">IF(COUNT(H787:H788)=2,H787*H788/1000,"")</f>
        <v/>
      </c>
      <c r="I793" s="281" t="str">
        <f t="shared" si="340"/>
        <v/>
      </c>
      <c r="J793" s="1118" t="str">
        <f t="shared" si="340"/>
        <v/>
      </c>
      <c r="K793" s="275" t="str">
        <f t="shared" si="340"/>
        <v/>
      </c>
      <c r="L793" s="275" t="str">
        <f t="shared" si="340"/>
        <v/>
      </c>
      <c r="M793" s="275" t="str">
        <f t="shared" si="340"/>
        <v/>
      </c>
      <c r="N793" s="1144" t="str">
        <f t="shared" si="340"/>
        <v/>
      </c>
      <c r="O793" s="15"/>
      <c r="P793" s="15"/>
      <c r="Q793" s="343"/>
      <c r="R793" s="2"/>
      <c r="S793" s="343"/>
      <c r="T793" s="2"/>
      <c r="U793" s="2"/>
      <c r="V793" s="2"/>
      <c r="W793" s="2"/>
      <c r="X793" s="2"/>
      <c r="Y793" s="2"/>
      <c r="Z793" s="2"/>
      <c r="AA793" s="2"/>
      <c r="AB793" s="2"/>
      <c r="AC793" s="2"/>
      <c r="AD793" s="2"/>
      <c r="AE793" s="2"/>
      <c r="AF793" s="2"/>
      <c r="AG793" s="2"/>
      <c r="AH793" s="2"/>
      <c r="AI793" s="2"/>
      <c r="AJ793" s="2"/>
      <c r="AK793" s="2"/>
      <c r="AL793" s="2"/>
    </row>
    <row r="794" spans="1:38" ht="12.75" customHeight="1" x14ac:dyDescent="0.25">
      <c r="A794" s="2"/>
      <c r="B794" s="178"/>
      <c r="C794" s="779"/>
      <c r="D794" s="416" t="s">
        <v>1202</v>
      </c>
      <c r="E794" s="2629" t="str">
        <f>Translations!$B$590</f>
        <v>Felmeddelanden (utsläpp)</v>
      </c>
      <c r="F794" s="2630"/>
      <c r="G794" s="429"/>
      <c r="H794" s="520" t="str">
        <f t="shared" ref="H794:N794" si="341">IF(COUNT(H787,H789:H790)&gt;0,IF(COUNTIF(H788:H790,"&lt;0")&gt;0,EUconst_Negative,IF(COUNT(H787,H789:H790)&lt;3,EUconst_Incomplete,"")),"")</f>
        <v/>
      </c>
      <c r="I794" s="1111" t="str">
        <f t="shared" si="341"/>
        <v/>
      </c>
      <c r="J794" s="1119" t="str">
        <f t="shared" si="341"/>
        <v/>
      </c>
      <c r="K794" s="520" t="str">
        <f t="shared" si="341"/>
        <v/>
      </c>
      <c r="L794" s="520" t="str">
        <f t="shared" si="341"/>
        <v/>
      </c>
      <c r="M794" s="520" t="str">
        <f t="shared" si="341"/>
        <v/>
      </c>
      <c r="N794" s="1145" t="str">
        <f t="shared" si="341"/>
        <v/>
      </c>
      <c r="O794" s="15"/>
      <c r="P794" s="15"/>
      <c r="Q794" s="343"/>
      <c r="R794" s="2"/>
      <c r="S794" s="343"/>
      <c r="T794" s="2"/>
      <c r="U794" s="2"/>
      <c r="V794" s="2"/>
      <c r="W794" s="2"/>
      <c r="X794" s="2"/>
      <c r="Y794" s="2"/>
      <c r="Z794" s="2"/>
      <c r="AA794" s="2"/>
      <c r="AB794" s="2"/>
      <c r="AC794" s="2"/>
      <c r="AD794" s="2"/>
      <c r="AE794" s="2"/>
      <c r="AF794" s="2"/>
      <c r="AG794" s="2"/>
      <c r="AH794" s="2"/>
      <c r="AI794" s="2"/>
      <c r="AJ794" s="2"/>
      <c r="AK794" s="2"/>
      <c r="AL794" s="2"/>
    </row>
    <row r="795" spans="1:38" ht="12.75" customHeight="1" x14ac:dyDescent="0.25">
      <c r="A795" s="2"/>
      <c r="B795" s="178"/>
      <c r="C795" s="779"/>
      <c r="D795" s="780"/>
      <c r="E795" s="780"/>
      <c r="F795" s="780"/>
      <c r="G795" s="780"/>
      <c r="H795" s="780"/>
      <c r="I795" s="780"/>
      <c r="J795" s="780"/>
      <c r="K795" s="780"/>
      <c r="L795" s="780"/>
      <c r="M795" s="623"/>
      <c r="N795" s="519"/>
      <c r="O795" s="15"/>
      <c r="P795" s="15"/>
      <c r="Q795" s="343"/>
      <c r="R795" s="2"/>
      <c r="S795" s="343"/>
      <c r="T795" s="2"/>
      <c r="U795" s="2"/>
      <c r="V795" s="2"/>
      <c r="W795" s="2"/>
      <c r="X795" s="2"/>
      <c r="Y795" s="2"/>
      <c r="Z795" s="2"/>
      <c r="AA795" s="2"/>
      <c r="AB795" s="2"/>
      <c r="AC795" s="2"/>
      <c r="AD795" s="2"/>
      <c r="AE795" s="2"/>
      <c r="AF795" s="2"/>
      <c r="AG795" s="2"/>
      <c r="AH795" s="2"/>
      <c r="AI795" s="2"/>
      <c r="AJ795" s="2"/>
      <c r="AK795" s="2"/>
      <c r="AL795" s="2"/>
    </row>
    <row r="796" spans="1:38" ht="12.75" customHeight="1" x14ac:dyDescent="0.25">
      <c r="A796" s="2"/>
      <c r="B796" s="178"/>
      <c r="C796" s="779"/>
      <c r="D796" s="373" t="s">
        <v>523</v>
      </c>
      <c r="E796" s="2614" t="str">
        <f>Translations!$B$593</f>
        <v>Mängd växthusgaser som importerats eller exporterats som råvaror</v>
      </c>
      <c r="F796" s="1960"/>
      <c r="G796" s="1960"/>
      <c r="H796" s="1960"/>
      <c r="I796" s="1960"/>
      <c r="J796" s="1960"/>
      <c r="K796" s="1960"/>
      <c r="L796" s="1960"/>
      <c r="M796" s="1960"/>
      <c r="N796" s="2597"/>
      <c r="O796" s="15"/>
      <c r="P796" s="15"/>
      <c r="Q796" s="343"/>
      <c r="R796" s="2"/>
      <c r="S796" s="343"/>
      <c r="T796" s="2"/>
      <c r="U796" s="2"/>
      <c r="V796" s="2"/>
      <c r="W796" s="2"/>
      <c r="X796" s="2"/>
      <c r="Y796" s="2"/>
      <c r="Z796" s="2"/>
      <c r="AA796" s="2"/>
      <c r="AB796" s="2"/>
      <c r="AC796" s="2"/>
      <c r="AD796" s="2"/>
      <c r="AE796" s="2"/>
      <c r="AF796" s="2"/>
      <c r="AG796" s="2"/>
      <c r="AH796" s="2"/>
      <c r="AI796" s="2"/>
      <c r="AJ796" s="2"/>
      <c r="AK796" s="2"/>
      <c r="AL796" s="2"/>
    </row>
    <row r="797" spans="1:38" ht="12.75" customHeight="1" x14ac:dyDescent="0.25">
      <c r="A797" s="2"/>
      <c r="B797" s="178"/>
      <c r="C797" s="779"/>
      <c r="D797" s="416"/>
      <c r="E797" s="2596" t="str">
        <f>Translations!$B$556</f>
        <v>De uppgifter som anges här påverkar de utsläpp som kan tillskrivas i enlighet med avsnitt 10.1.1 i bilaga VII till FAR.</v>
      </c>
      <c r="F797" s="1960"/>
      <c r="G797" s="1960"/>
      <c r="H797" s="1960"/>
      <c r="I797" s="1960"/>
      <c r="J797" s="1960"/>
      <c r="K797" s="1960"/>
      <c r="L797" s="1960"/>
      <c r="M797" s="1960"/>
      <c r="N797" s="2597"/>
      <c r="O797" s="15"/>
      <c r="P797" s="15"/>
      <c r="Q797" s="343"/>
      <c r="R797" s="2"/>
      <c r="S797" s="343"/>
      <c r="T797" s="343"/>
      <c r="U797" s="343"/>
      <c r="V797" s="343"/>
      <c r="W797" s="2"/>
      <c r="X797" s="2"/>
      <c r="Y797" s="2"/>
      <c r="Z797" s="2"/>
      <c r="AA797" s="2"/>
      <c r="AB797" s="2"/>
      <c r="AC797" s="2"/>
      <c r="AD797" s="2"/>
      <c r="AE797" s="2"/>
      <c r="AF797" s="2"/>
      <c r="AG797" s="2"/>
      <c r="AH797" s="2"/>
      <c r="AI797" s="2"/>
      <c r="AJ797" s="2"/>
      <c r="AK797" s="2"/>
      <c r="AL797" s="2"/>
    </row>
    <row r="798" spans="1:38" ht="25.5" customHeight="1" x14ac:dyDescent="0.25">
      <c r="A798" s="2"/>
      <c r="B798" s="178"/>
      <c r="C798" s="779"/>
      <c r="D798" s="780"/>
      <c r="E798" s="2610" t="str">
        <f>Translations!$B$594</f>
        <v>I enlighet med kravet i avsnitt 3.1 k och 3.1 l i bilaga IV till FAR, var god ange mängden överförd koldioxid som importeras från eller exporteras till andra delanläggningar, anläggningar eller andra enheter, i enlighet med M&amp;R-förordningens regler.</v>
      </c>
      <c r="F798" s="1960"/>
      <c r="G798" s="1960"/>
      <c r="H798" s="1960"/>
      <c r="I798" s="1960"/>
      <c r="J798" s="1960"/>
      <c r="K798" s="1960"/>
      <c r="L798" s="1960"/>
      <c r="M798" s="1960"/>
      <c r="N798" s="2597"/>
      <c r="O798" s="15"/>
      <c r="P798" s="15"/>
      <c r="Q798" s="343"/>
      <c r="R798" s="2"/>
      <c r="S798" s="343"/>
      <c r="T798" s="2"/>
      <c r="U798" s="2"/>
      <c r="V798" s="2"/>
      <c r="W798" s="2"/>
      <c r="X798" s="2"/>
      <c r="Y798" s="2"/>
      <c r="Z798" s="2"/>
      <c r="AA798" s="2"/>
      <c r="AB798" s="2"/>
      <c r="AC798" s="2"/>
      <c r="AD798" s="2"/>
      <c r="AE798" s="2"/>
      <c r="AF798" s="2"/>
      <c r="AG798" s="2"/>
      <c r="AH798" s="2"/>
      <c r="AI798" s="2"/>
      <c r="AJ798" s="2"/>
      <c r="AK798" s="2"/>
      <c r="AL798" s="2"/>
    </row>
    <row r="799" spans="1:38" ht="12.75" customHeight="1" thickBot="1" x14ac:dyDescent="0.3">
      <c r="A799" s="2"/>
      <c r="B799" s="178"/>
      <c r="C799" s="779"/>
      <c r="D799" s="780"/>
      <c r="E799" s="2610" t="str">
        <f>Translations!$B$595</f>
        <v>Exporterade mängder bör anges i negativa värden och motsvara den koldioxid som exporteras och som inte släpps ut i atmosfären av delanläggningen.</v>
      </c>
      <c r="F799" s="1960"/>
      <c r="G799" s="1960"/>
      <c r="H799" s="1960"/>
      <c r="I799" s="1960"/>
      <c r="J799" s="1960"/>
      <c r="K799" s="1960"/>
      <c r="L799" s="1960"/>
      <c r="M799" s="1960"/>
      <c r="N799" s="2597"/>
      <c r="O799" s="15"/>
      <c r="P799" s="15"/>
      <c r="Q799" s="343"/>
      <c r="R799" s="2"/>
      <c r="S799" s="343"/>
      <c r="T799" s="2"/>
      <c r="U799" s="2"/>
      <c r="V799" s="2"/>
      <c r="W799" s="2"/>
      <c r="X799" s="2"/>
      <c r="Y799" s="2"/>
      <c r="Z799" s="2"/>
      <c r="AA799" s="2"/>
      <c r="AB799" s="2"/>
      <c r="AC799" s="2"/>
      <c r="AD799" s="2"/>
      <c r="AE799" s="2"/>
      <c r="AF799" s="2"/>
      <c r="AG799" s="2"/>
      <c r="AH799" s="2"/>
      <c r="AI799" s="2"/>
      <c r="AJ799" s="2"/>
      <c r="AK799" s="2"/>
      <c r="AL799" s="2"/>
    </row>
    <row r="800" spans="1:38" ht="12.75" customHeight="1" thickBot="1" x14ac:dyDescent="0.3">
      <c r="A800" s="2"/>
      <c r="B800" s="178"/>
      <c r="C800" s="779"/>
      <c r="D800" s="373"/>
      <c r="E800" s="1716"/>
      <c r="F800" s="1717"/>
      <c r="G800" s="361" t="str">
        <f>EUconst_Unit</f>
        <v>Enhet</v>
      </c>
      <c r="H800" s="362">
        <f t="shared" ref="H800:N800" si="342">H$3042</f>
        <v>2019</v>
      </c>
      <c r="I800" s="1103">
        <f t="shared" si="342"/>
        <v>2020</v>
      </c>
      <c r="J800" s="1104">
        <f t="shared" si="342"/>
        <v>2021</v>
      </c>
      <c r="K800" s="362">
        <f t="shared" si="342"/>
        <v>2022</v>
      </c>
      <c r="L800" s="362">
        <f t="shared" si="342"/>
        <v>2023</v>
      </c>
      <c r="M800" s="362">
        <f t="shared" si="342"/>
        <v>2024</v>
      </c>
      <c r="N800" s="1141">
        <f t="shared" si="342"/>
        <v>2025</v>
      </c>
      <c r="O800" s="15"/>
      <c r="P800" s="15"/>
      <c r="Q800" s="343"/>
      <c r="R800" s="2"/>
      <c r="S800" s="772"/>
      <c r="T800" s="609">
        <f t="shared" ref="T800:Z800" si="343">H800</f>
        <v>2019</v>
      </c>
      <c r="U800" s="609">
        <f t="shared" si="343"/>
        <v>2020</v>
      </c>
      <c r="V800" s="609">
        <f t="shared" si="343"/>
        <v>2021</v>
      </c>
      <c r="W800" s="609">
        <f t="shared" si="343"/>
        <v>2022</v>
      </c>
      <c r="X800" s="609">
        <f t="shared" si="343"/>
        <v>2023</v>
      </c>
      <c r="Y800" s="609">
        <f t="shared" si="343"/>
        <v>2024</v>
      </c>
      <c r="Z800" s="610">
        <f t="shared" si="343"/>
        <v>2025</v>
      </c>
      <c r="AA800" s="2"/>
      <c r="AB800" s="2"/>
      <c r="AC800" s="1044">
        <f t="shared" ref="AC800:AI800" si="344">H$20</f>
        <v>2019</v>
      </c>
      <c r="AD800" s="1044">
        <f t="shared" si="344"/>
        <v>2020</v>
      </c>
      <c r="AE800" s="1044">
        <f t="shared" si="344"/>
        <v>2021</v>
      </c>
      <c r="AF800" s="1044">
        <f t="shared" si="344"/>
        <v>2022</v>
      </c>
      <c r="AG800" s="1044">
        <f t="shared" si="344"/>
        <v>2023</v>
      </c>
      <c r="AH800" s="1044">
        <f t="shared" si="344"/>
        <v>2024</v>
      </c>
      <c r="AI800" s="1044">
        <f t="shared" si="344"/>
        <v>2025</v>
      </c>
      <c r="AJ800" s="2"/>
      <c r="AK800" s="2"/>
      <c r="AL800" s="2"/>
    </row>
    <row r="801" spans="1:38" ht="12.75" customHeight="1" thickBot="1" x14ac:dyDescent="0.3">
      <c r="A801" s="2"/>
      <c r="B801" s="178"/>
      <c r="C801" s="779"/>
      <c r="D801" s="416"/>
      <c r="E801" s="2613" t="str">
        <f>Translations!$B$596</f>
        <v>Importerade eller exporterade växthusgaser</v>
      </c>
      <c r="F801" s="1997"/>
      <c r="G801" s="364" t="str">
        <f>EUconst_tCO2epa</f>
        <v>t CO2e/år</v>
      </c>
      <c r="H801" s="582"/>
      <c r="I801" s="1105"/>
      <c r="J801" s="1115"/>
      <c r="K801" s="582"/>
      <c r="L801" s="582"/>
      <c r="M801" s="582"/>
      <c r="N801" s="1146"/>
      <c r="O801" s="15"/>
      <c r="P801" s="1362"/>
      <c r="Q801" s="165" t="str">
        <f>EUconst_CNTR_CO2Feedstock &amp; I617</f>
        <v>EmCO2Feedstock_</v>
      </c>
      <c r="R801" s="2"/>
      <c r="S801" s="773" t="str">
        <f>EUconst_CNTR_AttributedEmissions &amp; I617</f>
        <v>AttrEmissions_</v>
      </c>
      <c r="T801" s="111" t="str">
        <f t="shared" ref="T801:Z801" si="345">IF(T625,SUM(H801),"")</f>
        <v/>
      </c>
      <c r="U801" s="111" t="str">
        <f t="shared" si="345"/>
        <v/>
      </c>
      <c r="V801" s="111" t="str">
        <f t="shared" si="345"/>
        <v/>
      </c>
      <c r="W801" s="111" t="str">
        <f t="shared" si="345"/>
        <v/>
      </c>
      <c r="X801" s="111" t="str">
        <f t="shared" si="345"/>
        <v/>
      </c>
      <c r="Y801" s="111" t="str">
        <f t="shared" si="345"/>
        <v/>
      </c>
      <c r="Z801" s="112" t="str">
        <f t="shared" si="345"/>
        <v/>
      </c>
      <c r="AA801" s="2"/>
      <c r="AB801" s="672" t="s">
        <v>782</v>
      </c>
      <c r="AC801" s="108" t="b">
        <f>AC687</f>
        <v>0</v>
      </c>
      <c r="AD801" s="108" t="b">
        <f t="shared" ref="AD801:AI801" si="346">AD687</f>
        <v>0</v>
      </c>
      <c r="AE801" s="108" t="b">
        <f t="shared" si="346"/>
        <v>0</v>
      </c>
      <c r="AF801" s="108" t="b">
        <f t="shared" si="346"/>
        <v>0</v>
      </c>
      <c r="AG801" s="108" t="b">
        <f t="shared" si="346"/>
        <v>0</v>
      </c>
      <c r="AH801" s="108" t="b">
        <f t="shared" si="346"/>
        <v>0</v>
      </c>
      <c r="AI801" s="108" t="b">
        <f t="shared" si="346"/>
        <v>0</v>
      </c>
      <c r="AJ801" s="553" t="s">
        <v>2248</v>
      </c>
      <c r="AK801" s="663" t="str">
        <f>IF(AND(CNTR_ExistSubInstEntries,MSconst_RequireSubAttrEmissions,COUNTIFS(AC801:AI801,FALSE,H801:N801,"")&gt;0),EUconst_Error&amp;"BM"&amp;$Q617,"")</f>
        <v/>
      </c>
      <c r="AL801" s="2"/>
    </row>
    <row r="802" spans="1:38" ht="12.75" customHeight="1" x14ac:dyDescent="0.25">
      <c r="A802" s="2"/>
      <c r="B802" s="178"/>
      <c r="C802" s="779"/>
      <c r="D802" s="780"/>
      <c r="E802" s="780"/>
      <c r="F802" s="780"/>
      <c r="G802" s="780"/>
      <c r="H802" s="780"/>
      <c r="I802" s="780"/>
      <c r="J802" s="780"/>
      <c r="K802" s="780"/>
      <c r="L802" s="780"/>
      <c r="M802" s="623"/>
      <c r="N802" s="519"/>
      <c r="O802" s="15"/>
      <c r="P802" s="15"/>
      <c r="Q802" s="343"/>
      <c r="R802" s="2"/>
      <c r="S802" s="343"/>
      <c r="T802" s="2"/>
      <c r="U802" s="2"/>
      <c r="V802" s="2"/>
      <c r="W802" s="2"/>
      <c r="X802" s="2"/>
      <c r="Y802" s="2"/>
      <c r="Z802" s="2"/>
      <c r="AA802" s="2"/>
      <c r="AB802" s="2"/>
      <c r="AC802" s="2"/>
      <c r="AD802" s="2"/>
      <c r="AE802" s="2"/>
      <c r="AF802" s="2"/>
      <c r="AG802" s="2"/>
      <c r="AH802" s="2"/>
      <c r="AI802" s="2"/>
      <c r="AJ802" s="2"/>
      <c r="AK802" s="2"/>
      <c r="AL802" s="2"/>
    </row>
    <row r="803" spans="1:38" ht="12.75" customHeight="1" x14ac:dyDescent="0.25">
      <c r="A803" s="2"/>
      <c r="B803" s="178"/>
      <c r="C803" s="779"/>
      <c r="D803" s="373" t="s">
        <v>524</v>
      </c>
      <c r="E803" s="2614" t="str">
        <f>Translations!$B$597</f>
        <v>Import till och export från delanläggningen av mätbar värme</v>
      </c>
      <c r="F803" s="1960"/>
      <c r="G803" s="1960"/>
      <c r="H803" s="1960"/>
      <c r="I803" s="1960"/>
      <c r="J803" s="1960"/>
      <c r="K803" s="1960"/>
      <c r="L803" s="1960"/>
      <c r="M803" s="1960"/>
      <c r="N803" s="2597"/>
      <c r="O803" s="15"/>
      <c r="P803" s="15"/>
      <c r="Q803" s="343"/>
      <c r="R803" s="2"/>
      <c r="S803" s="343"/>
      <c r="T803" s="2"/>
      <c r="U803" s="2"/>
      <c r="V803" s="2"/>
      <c r="W803" s="2"/>
      <c r="X803" s="2"/>
      <c r="Y803" s="2"/>
      <c r="Z803" s="2"/>
      <c r="AA803" s="2"/>
      <c r="AB803" s="2"/>
      <c r="AC803" s="2"/>
      <c r="AD803" s="2"/>
      <c r="AE803" s="2"/>
      <c r="AF803" s="2"/>
      <c r="AG803" s="2"/>
      <c r="AH803" s="2"/>
      <c r="AI803" s="2"/>
      <c r="AJ803" s="2"/>
      <c r="AK803" s="2"/>
      <c r="AL803" s="2"/>
    </row>
    <row r="804" spans="1:38" ht="12.75" customHeight="1" x14ac:dyDescent="0.25">
      <c r="A804" s="2"/>
      <c r="B804" s="178"/>
      <c r="C804" s="779"/>
      <c r="D804" s="416"/>
      <c r="E804" s="2596" t="str">
        <f>Translations!$B$598</f>
        <v>De uppgifter som anges här påverkar de utsläpp som kan tillskrivas i enlighet med avsnitt 10.1.2 och 10.1.3 i bilaga VII till FAR.</v>
      </c>
      <c r="F804" s="1960"/>
      <c r="G804" s="1960"/>
      <c r="H804" s="1960"/>
      <c r="I804" s="1960"/>
      <c r="J804" s="1960"/>
      <c r="K804" s="1960"/>
      <c r="L804" s="1960"/>
      <c r="M804" s="1960"/>
      <c r="N804" s="2597"/>
      <c r="O804" s="15"/>
      <c r="P804" s="15"/>
      <c r="Q804" s="343"/>
      <c r="R804" s="2"/>
      <c r="S804" s="343"/>
      <c r="T804" s="343"/>
      <c r="U804" s="343"/>
      <c r="V804" s="343"/>
      <c r="W804" s="2"/>
      <c r="X804" s="2"/>
      <c r="Y804" s="2"/>
      <c r="Z804" s="2"/>
      <c r="AA804" s="2"/>
      <c r="AB804" s="2"/>
      <c r="AC804" s="2"/>
      <c r="AD804" s="2"/>
      <c r="AE804" s="2"/>
      <c r="AF804" s="2"/>
      <c r="AG804" s="2"/>
      <c r="AH804" s="2"/>
      <c r="AI804" s="2"/>
      <c r="AJ804" s="2"/>
      <c r="AK804" s="2"/>
      <c r="AL804" s="2"/>
    </row>
    <row r="805" spans="1:38" ht="38.9" customHeight="1" x14ac:dyDescent="0.25">
      <c r="A805" s="2"/>
      <c r="B805" s="178"/>
      <c r="C805" s="779"/>
      <c r="D805" s="780"/>
      <c r="E805" s="2610" t="str">
        <f>Translations!$B$599</f>
        <v>Detta innefattar den totala mängd värme som produceras i, importeras från eller exporteras till (del)anläggningar inom ETS eller anläggningar eller enheter utanför ETS. De särskilda emissionsfaktorerna för värmen bör vara förenliga med bestämmelserna i avsnitten 8 och 10 i bilaga VII till FAR, särskilt avsnitt 10.1.2 och 10.1.3.</v>
      </c>
      <c r="F805" s="1960"/>
      <c r="G805" s="1960"/>
      <c r="H805" s="1960"/>
      <c r="I805" s="1960"/>
      <c r="J805" s="1960"/>
      <c r="K805" s="1960"/>
      <c r="L805" s="1960"/>
      <c r="M805" s="1960"/>
      <c r="N805" s="2597"/>
      <c r="O805" s="15"/>
      <c r="P805" s="15"/>
      <c r="Q805" s="343"/>
      <c r="R805" s="2"/>
      <c r="S805" s="343"/>
      <c r="T805" s="2"/>
      <c r="U805" s="2"/>
      <c r="V805" s="2"/>
      <c r="W805" s="2"/>
      <c r="X805" s="2"/>
      <c r="Y805" s="2"/>
      <c r="Z805" s="2"/>
      <c r="AA805" s="2"/>
      <c r="AB805" s="2"/>
      <c r="AC805" s="2"/>
      <c r="AD805" s="2"/>
      <c r="AE805" s="2"/>
      <c r="AF805" s="2"/>
      <c r="AG805" s="2"/>
      <c r="AH805" s="2"/>
      <c r="AI805" s="2"/>
      <c r="AJ805" s="2"/>
      <c r="AK805" s="2"/>
      <c r="AL805" s="2"/>
    </row>
    <row r="806" spans="1:38" ht="25.5" customHeight="1" x14ac:dyDescent="0.25">
      <c r="A806" s="2"/>
      <c r="B806" s="178"/>
      <c r="C806" s="779"/>
      <c r="D806" s="780"/>
      <c r="E806" s="2610" t="str">
        <f>Translations!$B$600</f>
        <v>Utsläpp avseende mätbar värme som produceras på platsen från enheter som tjänar mer än en delanläggning bör också anges här under ”import” i stället för att utsläppen direkt tillskrivs genom bränslets emissionsfaktor i punkt g ovan. Detsamma gäller för all värme som ”importeras” från andra delanläggningar.</v>
      </c>
      <c r="F806" s="1960"/>
      <c r="G806" s="1960"/>
      <c r="H806" s="1960"/>
      <c r="I806" s="1960"/>
      <c r="J806" s="1960"/>
      <c r="K806" s="1960"/>
      <c r="L806" s="1960"/>
      <c r="M806" s="1960"/>
      <c r="N806" s="2597"/>
      <c r="O806" s="15"/>
      <c r="P806" s="15"/>
      <c r="Q806" s="343"/>
      <c r="R806" s="2"/>
      <c r="S806" s="343"/>
      <c r="T806" s="2"/>
      <c r="U806" s="2"/>
      <c r="V806" s="2"/>
      <c r="W806" s="2"/>
      <c r="X806" s="2"/>
      <c r="Y806" s="2"/>
      <c r="Z806" s="2"/>
      <c r="AA806" s="2"/>
      <c r="AB806" s="2"/>
      <c r="AC806" s="2"/>
      <c r="AD806" s="2"/>
      <c r="AE806" s="2"/>
      <c r="AF806" s="2"/>
      <c r="AG806" s="2"/>
      <c r="AH806" s="2"/>
      <c r="AI806" s="2"/>
      <c r="AJ806" s="2"/>
      <c r="AK806" s="2"/>
      <c r="AL806" s="2"/>
    </row>
    <row r="807" spans="1:38" ht="25.5" customHeight="1" x14ac:dyDescent="0.25">
      <c r="A807" s="2"/>
      <c r="B807" s="178"/>
      <c r="C807" s="779"/>
      <c r="D807" s="780"/>
      <c r="E807" s="2610" t="str">
        <f>Translations!$B$601</f>
        <v xml:space="preserve">Om värmen endast produceras för en delanläggning och de motsvarande utsläppen därför anges i punkt g ovan, bör mängderna inte anges här som import för att undvika dubbelräkning. </v>
      </c>
      <c r="F807" s="1960"/>
      <c r="G807" s="1960"/>
      <c r="H807" s="1960"/>
      <c r="I807" s="1960"/>
      <c r="J807" s="1960"/>
      <c r="K807" s="1960"/>
      <c r="L807" s="1960"/>
      <c r="M807" s="1960"/>
      <c r="N807" s="2597"/>
      <c r="O807" s="15"/>
      <c r="P807" s="15"/>
      <c r="Q807" s="343"/>
      <c r="R807" s="2"/>
      <c r="S807" s="343"/>
      <c r="T807" s="2"/>
      <c r="U807" s="2"/>
      <c r="V807" s="2"/>
      <c r="W807" s="2"/>
      <c r="X807" s="2"/>
      <c r="Y807" s="2"/>
      <c r="Z807" s="2"/>
      <c r="AA807" s="2"/>
      <c r="AB807" s="2"/>
      <c r="AC807" s="2"/>
      <c r="AD807" s="2"/>
      <c r="AE807" s="2"/>
      <c r="AF807" s="2"/>
      <c r="AG807" s="2"/>
      <c r="AH807" s="2"/>
      <c r="AI807" s="2"/>
      <c r="AJ807" s="2"/>
      <c r="AK807" s="2"/>
      <c r="AL807" s="2"/>
    </row>
    <row r="808" spans="1:38" ht="12.75" customHeight="1" thickBot="1" x14ac:dyDescent="0.3">
      <c r="A808" s="2"/>
      <c r="B808" s="178"/>
      <c r="C808" s="779"/>
      <c r="D808" s="780"/>
      <c r="E808" s="2622" t="str">
        <f>Translations!$B$602</f>
        <v>Kraftvärmeverktyget i avsnitt D.III i bladet "D_Emissions" måste användas för att tillskriva utsläpp från kraftvärme till produktion av mätbar värme.</v>
      </c>
      <c r="F808" s="2623"/>
      <c r="G808" s="2623"/>
      <c r="H808" s="2623"/>
      <c r="I808" s="2623"/>
      <c r="J808" s="2623"/>
      <c r="K808" s="2623"/>
      <c r="L808" s="2623"/>
      <c r="M808" s="2623"/>
      <c r="N808" s="2624"/>
      <c r="O808" s="15"/>
      <c r="P808" s="15"/>
      <c r="Q808" s="343"/>
      <c r="R808" s="2"/>
      <c r="S808" s="2"/>
      <c r="T808" s="2"/>
      <c r="U808" s="2"/>
      <c r="V808" s="2"/>
      <c r="W808" s="2"/>
      <c r="X808" s="2"/>
      <c r="Y808" s="2"/>
      <c r="Z808" s="2"/>
      <c r="AA808" s="2"/>
      <c r="AB808" s="2"/>
      <c r="AC808" s="2"/>
      <c r="AD808" s="2"/>
      <c r="AE808" s="2"/>
      <c r="AF808" s="2"/>
      <c r="AG808" s="2"/>
      <c r="AH808" s="2"/>
      <c r="AI808" s="2"/>
      <c r="AJ808" s="2"/>
      <c r="AK808" s="2"/>
      <c r="AL808" s="2"/>
    </row>
    <row r="809" spans="1:38" ht="12.75" customHeight="1" thickBot="1" x14ac:dyDescent="0.3">
      <c r="A809" s="2"/>
      <c r="B809" s="178"/>
      <c r="C809" s="779"/>
      <c r="D809" s="780"/>
      <c r="E809" s="2605" t="str">
        <f>Translations!$B$603</f>
        <v>Total importerad värme</v>
      </c>
      <c r="F809" s="2497"/>
      <c r="G809" s="361" t="str">
        <f>EUconst_Unit</f>
        <v>Enhet</v>
      </c>
      <c r="H809" s="362">
        <f t="shared" ref="H809:N809" si="347">H$3042</f>
        <v>2019</v>
      </c>
      <c r="I809" s="1103">
        <f t="shared" si="347"/>
        <v>2020</v>
      </c>
      <c r="J809" s="1104">
        <f t="shared" si="347"/>
        <v>2021</v>
      </c>
      <c r="K809" s="362">
        <f t="shared" si="347"/>
        <v>2022</v>
      </c>
      <c r="L809" s="362">
        <f t="shared" si="347"/>
        <v>2023</v>
      </c>
      <c r="M809" s="362">
        <f t="shared" si="347"/>
        <v>2024</v>
      </c>
      <c r="N809" s="1141">
        <f t="shared" si="347"/>
        <v>2025</v>
      </c>
      <c r="O809" s="15"/>
      <c r="P809" s="15"/>
      <c r="Q809" s="343"/>
      <c r="R809" s="2"/>
      <c r="S809" s="772"/>
      <c r="T809" s="609">
        <f t="shared" ref="T809:Z809" si="348">H809</f>
        <v>2019</v>
      </c>
      <c r="U809" s="609">
        <f t="shared" si="348"/>
        <v>2020</v>
      </c>
      <c r="V809" s="609">
        <f t="shared" si="348"/>
        <v>2021</v>
      </c>
      <c r="W809" s="609">
        <f t="shared" si="348"/>
        <v>2022</v>
      </c>
      <c r="X809" s="609">
        <f t="shared" si="348"/>
        <v>2023</v>
      </c>
      <c r="Y809" s="609">
        <f t="shared" si="348"/>
        <v>2024</v>
      </c>
      <c r="Z809" s="610">
        <f t="shared" si="348"/>
        <v>2025</v>
      </c>
      <c r="AA809" s="2"/>
      <c r="AB809" s="2"/>
      <c r="AC809" s="1044">
        <f t="shared" ref="AC809:AI809" si="349">H$20</f>
        <v>2019</v>
      </c>
      <c r="AD809" s="1044">
        <f t="shared" si="349"/>
        <v>2020</v>
      </c>
      <c r="AE809" s="1044">
        <f t="shared" si="349"/>
        <v>2021</v>
      </c>
      <c r="AF809" s="1044">
        <f t="shared" si="349"/>
        <v>2022</v>
      </c>
      <c r="AG809" s="1044">
        <f t="shared" si="349"/>
        <v>2023</v>
      </c>
      <c r="AH809" s="1044">
        <f t="shared" si="349"/>
        <v>2024</v>
      </c>
      <c r="AI809" s="1044">
        <f t="shared" si="349"/>
        <v>2025</v>
      </c>
      <c r="AJ809" s="2"/>
      <c r="AK809" s="2"/>
      <c r="AL809" s="2"/>
    </row>
    <row r="810" spans="1:38" ht="12.75" customHeight="1" x14ac:dyDescent="0.25">
      <c r="A810" s="2"/>
      <c r="B810" s="178"/>
      <c r="C810" s="779"/>
      <c r="D810" s="416" t="s">
        <v>8</v>
      </c>
      <c r="E810" s="2613" t="str">
        <f>Translations!$B$604</f>
        <v>Nettomängd importerad värme</v>
      </c>
      <c r="F810" s="1997"/>
      <c r="G810" s="364" t="str">
        <f>EUconst_TJpa</f>
        <v>TJ / år</v>
      </c>
      <c r="H810" s="582"/>
      <c r="I810" s="1105"/>
      <c r="J810" s="1115"/>
      <c r="K810" s="582"/>
      <c r="L810" s="582"/>
      <c r="M810" s="582"/>
      <c r="N810" s="1146"/>
      <c r="O810" s="15"/>
      <c r="P810" s="1362"/>
      <c r="Q810" s="165" t="str">
        <f>EUconst_CNTR_HeatImport &amp; I617</f>
        <v>HeatIm_</v>
      </c>
      <c r="R810" s="2"/>
      <c r="S810" s="1751" t="str">
        <f>EUconst_ERR_AttrEmBMapplied &amp; I617</f>
        <v>ERR_AttrEmBM_</v>
      </c>
      <c r="T810" s="108">
        <f t="shared" ref="T810:Z810" si="350">IF(AND(H810&lt;&gt;0,H811="",EUconst_StatusOfDataCollection=FALSE),1,0)</f>
        <v>0</v>
      </c>
      <c r="U810" s="108">
        <f t="shared" si="350"/>
        <v>0</v>
      </c>
      <c r="V810" s="108">
        <f t="shared" si="350"/>
        <v>0</v>
      </c>
      <c r="W810" s="108">
        <f t="shared" si="350"/>
        <v>0</v>
      </c>
      <c r="X810" s="108">
        <f t="shared" si="350"/>
        <v>0</v>
      </c>
      <c r="Y810" s="108">
        <f t="shared" si="350"/>
        <v>0</v>
      </c>
      <c r="Z810" s="109">
        <f t="shared" si="350"/>
        <v>0</v>
      </c>
      <c r="AA810" s="40"/>
      <c r="AB810" s="672" t="s">
        <v>782</v>
      </c>
      <c r="AC810" s="108" t="b">
        <f t="shared" ref="AC810:AI810" si="351">AC687</f>
        <v>0</v>
      </c>
      <c r="AD810" s="108" t="b">
        <f t="shared" si="351"/>
        <v>0</v>
      </c>
      <c r="AE810" s="108" t="b">
        <f t="shared" si="351"/>
        <v>0</v>
      </c>
      <c r="AF810" s="108" t="b">
        <f t="shared" si="351"/>
        <v>0</v>
      </c>
      <c r="AG810" s="108" t="b">
        <f t="shared" si="351"/>
        <v>0</v>
      </c>
      <c r="AH810" s="108" t="b">
        <f t="shared" si="351"/>
        <v>0</v>
      </c>
      <c r="AI810" s="108" t="b">
        <f t="shared" si="351"/>
        <v>0</v>
      </c>
      <c r="AJ810" s="553" t="s">
        <v>2248</v>
      </c>
      <c r="AK810" s="663" t="str">
        <f>IF(AND(CNTR_ExistSubInstEntries,MSconst_RequireSubAttrEmissions,COUNTIFS(AC810:AI810,FALSE,H810:N810,"")&gt;0),EUconst_Error&amp;"BM"&amp;$Q617,"")</f>
        <v/>
      </c>
      <c r="AL810" s="2"/>
    </row>
    <row r="811" spans="1:38" ht="12.75" customHeight="1" thickBot="1" x14ac:dyDescent="0.3">
      <c r="A811" s="2"/>
      <c r="B811" s="178"/>
      <c r="C811" s="779"/>
      <c r="D811" s="416" t="s">
        <v>9</v>
      </c>
      <c r="E811" s="2613" t="str">
        <f>Translations!$B$605</f>
        <v>Särskild emissionsfaktor (importerad värme)</v>
      </c>
      <c r="F811" s="1997"/>
      <c r="G811" s="364" t="str">
        <f>EUconst_tCO2pTJ</f>
        <v>t CO2 / TJ</v>
      </c>
      <c r="H811" s="582"/>
      <c r="I811" s="1105"/>
      <c r="J811" s="1115"/>
      <c r="K811" s="582"/>
      <c r="L811" s="582"/>
      <c r="M811" s="582"/>
      <c r="N811" s="1146"/>
      <c r="O811" s="15"/>
      <c r="P811" s="1362"/>
      <c r="Q811" s="165" t="str">
        <f>EUconst_CNTR_HeatImportEF &amp; I617</f>
        <v>HeatImEF_</v>
      </c>
      <c r="R811" s="2"/>
      <c r="S811" s="773" t="str">
        <f>EUconst_CNTR_AttributedEmissions &amp; I617</f>
        <v>AttrEmissions_</v>
      </c>
      <c r="T811" s="111" t="str">
        <f t="shared" ref="T811:Z811" si="352">IF(T625,SUM(H810)*IF(ISNUMBER(H811),H811,EUconst_HeatBMvalue),"")</f>
        <v/>
      </c>
      <c r="U811" s="111" t="str">
        <f t="shared" si="352"/>
        <v/>
      </c>
      <c r="V811" s="111" t="str">
        <f t="shared" si="352"/>
        <v/>
      </c>
      <c r="W811" s="111" t="str">
        <f t="shared" si="352"/>
        <v/>
      </c>
      <c r="X811" s="111" t="str">
        <f t="shared" si="352"/>
        <v/>
      </c>
      <c r="Y811" s="111" t="str">
        <f t="shared" si="352"/>
        <v/>
      </c>
      <c r="Z811" s="112" t="str">
        <f t="shared" si="352"/>
        <v/>
      </c>
      <c r="AA811" s="2"/>
      <c r="AB811" s="2"/>
      <c r="AC811" s="108" t="b">
        <f>AC810</f>
        <v>0</v>
      </c>
      <c r="AD811" s="108" t="b">
        <f t="shared" ref="AD811:AI811" si="353">AD810</f>
        <v>0</v>
      </c>
      <c r="AE811" s="108" t="b">
        <f t="shared" si="353"/>
        <v>0</v>
      </c>
      <c r="AF811" s="108" t="b">
        <f t="shared" si="353"/>
        <v>0</v>
      </c>
      <c r="AG811" s="108" t="b">
        <f t="shared" si="353"/>
        <v>0</v>
      </c>
      <c r="AH811" s="108" t="b">
        <f t="shared" si="353"/>
        <v>0</v>
      </c>
      <c r="AI811" s="108" t="b">
        <f t="shared" si="353"/>
        <v>0</v>
      </c>
      <c r="AJ811" s="2"/>
      <c r="AK811" s="2"/>
      <c r="AL811" s="2"/>
    </row>
    <row r="812" spans="1:38" ht="5.15" customHeight="1" x14ac:dyDescent="0.25">
      <c r="A812" s="2"/>
      <c r="B812" s="178"/>
      <c r="C812" s="779"/>
      <c r="D812" s="780"/>
      <c r="E812" s="780"/>
      <c r="F812" s="780"/>
      <c r="G812" s="780"/>
      <c r="H812" s="780"/>
      <c r="I812" s="780"/>
      <c r="J812" s="780"/>
      <c r="K812" s="780"/>
      <c r="L812" s="780"/>
      <c r="M812" s="780"/>
      <c r="N812" s="519"/>
      <c r="O812" s="15"/>
      <c r="P812" s="15"/>
      <c r="Q812" s="343"/>
      <c r="R812" s="2"/>
      <c r="S812" s="343"/>
      <c r="T812" s="343"/>
      <c r="U812" s="343"/>
      <c r="V812" s="343"/>
      <c r="W812" s="2"/>
      <c r="X812" s="2"/>
      <c r="Y812" s="2"/>
      <c r="Z812" s="2"/>
      <c r="AA812" s="2"/>
      <c r="AB812" s="2"/>
      <c r="AC812" s="2"/>
      <c r="AD812" s="2"/>
      <c r="AE812" s="2"/>
      <c r="AF812" s="2"/>
      <c r="AG812" s="2"/>
      <c r="AH812" s="2"/>
      <c r="AI812" s="2"/>
      <c r="AJ812" s="2"/>
      <c r="AK812" s="2"/>
      <c r="AL812" s="2"/>
    </row>
    <row r="813" spans="1:38" ht="12.75" customHeight="1" thickBot="1" x14ac:dyDescent="0.3">
      <c r="A813" s="2"/>
      <c r="B813" s="178"/>
      <c r="C813" s="779"/>
      <c r="D813" s="780"/>
      <c r="E813" s="2605" t="str">
        <f>Translations!$B$606</f>
        <v>Särskild värmeimport</v>
      </c>
      <c r="F813" s="2497"/>
      <c r="G813" s="361" t="str">
        <f>EUconst_Unit</f>
        <v>Enhet</v>
      </c>
      <c r="H813" s="362">
        <f t="shared" ref="H813:N813" si="354">H$3042</f>
        <v>2019</v>
      </c>
      <c r="I813" s="1103">
        <f t="shared" si="354"/>
        <v>2020</v>
      </c>
      <c r="J813" s="1104">
        <f t="shared" si="354"/>
        <v>2021</v>
      </c>
      <c r="K813" s="362">
        <f t="shared" si="354"/>
        <v>2022</v>
      </c>
      <c r="L813" s="362">
        <f t="shared" si="354"/>
        <v>2023</v>
      </c>
      <c r="M813" s="362">
        <f t="shared" si="354"/>
        <v>2024</v>
      </c>
      <c r="N813" s="1141">
        <f t="shared" si="354"/>
        <v>2025</v>
      </c>
      <c r="O813" s="15"/>
      <c r="P813" s="15"/>
      <c r="Q813" s="343"/>
      <c r="R813" s="2"/>
      <c r="S813" s="343"/>
      <c r="T813" s="343"/>
      <c r="U813" s="343"/>
      <c r="V813" s="343"/>
      <c r="W813" s="2"/>
      <c r="X813" s="2"/>
      <c r="Y813" s="2"/>
      <c r="Z813" s="2"/>
      <c r="AA813" s="2"/>
      <c r="AB813" s="2"/>
      <c r="AC813" s="1044">
        <f t="shared" ref="AC813:AI813" si="355">H$20</f>
        <v>2019</v>
      </c>
      <c r="AD813" s="1044">
        <f t="shared" si="355"/>
        <v>2020</v>
      </c>
      <c r="AE813" s="1044">
        <f t="shared" si="355"/>
        <v>2021</v>
      </c>
      <c r="AF813" s="1044">
        <f t="shared" si="355"/>
        <v>2022</v>
      </c>
      <c r="AG813" s="1044">
        <f t="shared" si="355"/>
        <v>2023</v>
      </c>
      <c r="AH813" s="1044">
        <f t="shared" si="355"/>
        <v>2024</v>
      </c>
      <c r="AI813" s="1044">
        <f t="shared" si="355"/>
        <v>2025</v>
      </c>
      <c r="AJ813" s="2"/>
      <c r="AK813" s="2"/>
      <c r="AL813" s="2"/>
    </row>
    <row r="814" spans="1:38" ht="12.75" customHeight="1" x14ac:dyDescent="0.25">
      <c r="A814" s="2"/>
      <c r="B814" s="178"/>
      <c r="C814" s="779"/>
      <c r="D814" s="416" t="s">
        <v>10</v>
      </c>
      <c r="E814" s="2613" t="str">
        <f>Translations!$B$607</f>
        <v>Nettomängd importerad värme från massadelanläggningar</v>
      </c>
      <c r="F814" s="1997"/>
      <c r="G814" s="364" t="str">
        <f>EUconst_TJpa</f>
        <v>TJ / år</v>
      </c>
      <c r="H814" s="1310"/>
      <c r="I814" s="1311"/>
      <c r="J814" s="1312"/>
      <c r="K814" s="1310"/>
      <c r="L814" s="1310"/>
      <c r="M814" s="1310"/>
      <c r="N814" s="1313"/>
      <c r="O814" s="15"/>
      <c r="P814" s="1362"/>
      <c r="Q814" s="165" t="str">
        <f>EUconst_CNTR_HeatImportPulp &amp; I617</f>
        <v>HeatImPulp_</v>
      </c>
      <c r="R814" s="2"/>
      <c r="S814" s="343"/>
      <c r="T814" s="343"/>
      <c r="U814" s="343"/>
      <c r="V814" s="343"/>
      <c r="W814" s="2"/>
      <c r="X814" s="2"/>
      <c r="Y814" s="2"/>
      <c r="Z814" s="2"/>
      <c r="AA814" s="2"/>
      <c r="AB814" s="672" t="s">
        <v>782</v>
      </c>
      <c r="AC814" s="108" t="b">
        <f>AC687</f>
        <v>0</v>
      </c>
      <c r="AD814" s="108" t="b">
        <f t="shared" ref="AD814:AI814" si="356">AD687</f>
        <v>0</v>
      </c>
      <c r="AE814" s="108" t="b">
        <f t="shared" si="356"/>
        <v>0</v>
      </c>
      <c r="AF814" s="108" t="b">
        <f t="shared" si="356"/>
        <v>0</v>
      </c>
      <c r="AG814" s="108" t="b">
        <f t="shared" si="356"/>
        <v>0</v>
      </c>
      <c r="AH814" s="108" t="b">
        <f t="shared" si="356"/>
        <v>0</v>
      </c>
      <c r="AI814" s="108" t="b">
        <f t="shared" si="356"/>
        <v>0</v>
      </c>
      <c r="AJ814" s="553" t="s">
        <v>2248</v>
      </c>
      <c r="AK814" s="663" t="str">
        <f>IF(AND(CNTR_ExistSubInstEntries,MSconst_RequireSubAttrEmissions,COUNTIFS(AC814:AI814,FALSE,H814:N814,"")&gt;0),EUconst_Error&amp;"BM"&amp;$Q617,"")</f>
        <v/>
      </c>
      <c r="AL814" s="2"/>
    </row>
    <row r="815" spans="1:38" ht="25.5" customHeight="1" x14ac:dyDescent="0.25">
      <c r="A815" s="2"/>
      <c r="B815" s="178"/>
      <c r="C815" s="779"/>
      <c r="D815" s="416" t="s">
        <v>23</v>
      </c>
      <c r="E815" s="2613" t="str">
        <f>Translations!$B$608</f>
        <v>Nettomängd importerad värme från delanläggningar för salpetersyra</v>
      </c>
      <c r="F815" s="1997"/>
      <c r="G815" s="364" t="str">
        <f>EUconst_TJpa</f>
        <v>TJ / år</v>
      </c>
      <c r="H815" s="582"/>
      <c r="I815" s="1105"/>
      <c r="J815" s="1115"/>
      <c r="K815" s="582"/>
      <c r="L815" s="582"/>
      <c r="M815" s="582"/>
      <c r="N815" s="1146"/>
      <c r="O815" s="15"/>
      <c r="P815" s="1362"/>
      <c r="Q815" s="165" t="str">
        <f>EUconst_CNTR_HeatImportNitric &amp; I617</f>
        <v>HeatImNitric_</v>
      </c>
      <c r="R815" s="2"/>
      <c r="S815" s="343"/>
      <c r="T815" s="343"/>
      <c r="U815" s="343"/>
      <c r="V815" s="343"/>
      <c r="W815" s="2"/>
      <c r="X815" s="2"/>
      <c r="Y815" s="2"/>
      <c r="Z815" s="2"/>
      <c r="AA815" s="2"/>
      <c r="AB815" s="2"/>
      <c r="AC815" s="108" t="b">
        <f>AC814</f>
        <v>0</v>
      </c>
      <c r="AD815" s="108" t="b">
        <f t="shared" ref="AD815:AI815" si="357">AD814</f>
        <v>0</v>
      </c>
      <c r="AE815" s="108" t="b">
        <f t="shared" si="357"/>
        <v>0</v>
      </c>
      <c r="AF815" s="108" t="b">
        <f t="shared" si="357"/>
        <v>0</v>
      </c>
      <c r="AG815" s="108" t="b">
        <f t="shared" si="357"/>
        <v>0</v>
      </c>
      <c r="AH815" s="108" t="b">
        <f t="shared" si="357"/>
        <v>0</v>
      </c>
      <c r="AI815" s="108" t="b">
        <f t="shared" si="357"/>
        <v>0</v>
      </c>
      <c r="AJ815" s="553" t="s">
        <v>2248</v>
      </c>
      <c r="AK815" s="663" t="str">
        <f>IF(AND(CNTR_ExistSubInstEntries,MSconst_RequireSubAttrEmissions,COUNTIFS(AC815:AI815,FALSE,H815:N815,"")&gt;0),EUconst_Error&amp;"BM"&amp;$Q617,"")</f>
        <v/>
      </c>
      <c r="AL815" s="2"/>
    </row>
    <row r="816" spans="1:38" ht="5.15" customHeight="1" thickBot="1" x14ac:dyDescent="0.3">
      <c r="A816" s="2"/>
      <c r="B816" s="178"/>
      <c r="C816" s="779"/>
      <c r="D816" s="780"/>
      <c r="E816" s="780"/>
      <c r="F816" s="780"/>
      <c r="G816" s="780"/>
      <c r="H816" s="780"/>
      <c r="I816" s="780"/>
      <c r="J816" s="780"/>
      <c r="K816" s="780"/>
      <c r="L816" s="780"/>
      <c r="M816" s="780"/>
      <c r="N816" s="519"/>
      <c r="O816" s="15"/>
      <c r="P816" s="15"/>
      <c r="Q816" s="343"/>
      <c r="R816" s="2"/>
      <c r="S816" s="343"/>
      <c r="T816" s="343"/>
      <c r="U816" s="343"/>
      <c r="V816" s="343"/>
      <c r="W816" s="2"/>
      <c r="X816" s="2"/>
      <c r="Y816" s="2"/>
      <c r="Z816" s="2"/>
      <c r="AA816" s="2"/>
      <c r="AB816" s="2"/>
      <c r="AC816" s="2"/>
      <c r="AD816" s="2"/>
      <c r="AE816" s="2"/>
      <c r="AF816" s="2"/>
      <c r="AG816" s="2"/>
      <c r="AH816" s="2"/>
      <c r="AI816" s="2"/>
      <c r="AJ816" s="2"/>
      <c r="AK816" s="2"/>
      <c r="AL816" s="2"/>
    </row>
    <row r="817" spans="1:38" ht="12.75" customHeight="1" thickBot="1" x14ac:dyDescent="0.3">
      <c r="A817" s="2"/>
      <c r="B817" s="178"/>
      <c r="C817" s="779"/>
      <c r="D817" s="780"/>
      <c r="E817" s="2605" t="str">
        <f>Translations!$B$609</f>
        <v>Total exporterad värme</v>
      </c>
      <c r="F817" s="2497"/>
      <c r="G817" s="361" t="str">
        <f>EUconst_Unit</f>
        <v>Enhet</v>
      </c>
      <c r="H817" s="362">
        <f t="shared" ref="H817:N817" si="358">H$3042</f>
        <v>2019</v>
      </c>
      <c r="I817" s="1103">
        <f t="shared" si="358"/>
        <v>2020</v>
      </c>
      <c r="J817" s="1104">
        <f t="shared" si="358"/>
        <v>2021</v>
      </c>
      <c r="K817" s="362">
        <f t="shared" si="358"/>
        <v>2022</v>
      </c>
      <c r="L817" s="362">
        <f t="shared" si="358"/>
        <v>2023</v>
      </c>
      <c r="M817" s="362">
        <f t="shared" si="358"/>
        <v>2024</v>
      </c>
      <c r="N817" s="1141">
        <f t="shared" si="358"/>
        <v>2025</v>
      </c>
      <c r="O817" s="15"/>
      <c r="P817" s="15"/>
      <c r="Q817" s="343"/>
      <c r="R817" s="2"/>
      <c r="S817" s="772"/>
      <c r="T817" s="609">
        <f t="shared" ref="T817:Z817" si="359">H817</f>
        <v>2019</v>
      </c>
      <c r="U817" s="609">
        <f t="shared" si="359"/>
        <v>2020</v>
      </c>
      <c r="V817" s="609">
        <f t="shared" si="359"/>
        <v>2021</v>
      </c>
      <c r="W817" s="609">
        <f t="shared" si="359"/>
        <v>2022</v>
      </c>
      <c r="X817" s="609">
        <f t="shared" si="359"/>
        <v>2023</v>
      </c>
      <c r="Y817" s="609">
        <f t="shared" si="359"/>
        <v>2024</v>
      </c>
      <c r="Z817" s="610">
        <f t="shared" si="359"/>
        <v>2025</v>
      </c>
      <c r="AA817" s="2"/>
      <c r="AB817" s="2"/>
      <c r="AC817" s="1044">
        <f t="shared" ref="AC817:AI817" si="360">H$20</f>
        <v>2019</v>
      </c>
      <c r="AD817" s="1044">
        <f t="shared" si="360"/>
        <v>2020</v>
      </c>
      <c r="AE817" s="1044">
        <f t="shared" si="360"/>
        <v>2021</v>
      </c>
      <c r="AF817" s="1044">
        <f t="shared" si="360"/>
        <v>2022</v>
      </c>
      <c r="AG817" s="1044">
        <f t="shared" si="360"/>
        <v>2023</v>
      </c>
      <c r="AH817" s="1044">
        <f t="shared" si="360"/>
        <v>2024</v>
      </c>
      <c r="AI817" s="1044">
        <f t="shared" si="360"/>
        <v>2025</v>
      </c>
      <c r="AJ817" s="2"/>
      <c r="AK817" s="2"/>
      <c r="AL817" s="2"/>
    </row>
    <row r="818" spans="1:38" ht="12.75" customHeight="1" x14ac:dyDescent="0.25">
      <c r="A818" s="2"/>
      <c r="B818" s="178"/>
      <c r="C818" s="779"/>
      <c r="D818" s="416" t="s">
        <v>859</v>
      </c>
      <c r="E818" s="2613" t="str">
        <f>Translations!$B$610</f>
        <v>Nettomängd exporterad värme</v>
      </c>
      <c r="F818" s="1997"/>
      <c r="G818" s="364" t="str">
        <f>EUconst_TJpa</f>
        <v>TJ / år</v>
      </c>
      <c r="H818" s="582"/>
      <c r="I818" s="1105"/>
      <c r="J818" s="1115"/>
      <c r="K818" s="582"/>
      <c r="L818" s="582"/>
      <c r="M818" s="582"/>
      <c r="N818" s="1146"/>
      <c r="O818" s="15"/>
      <c r="P818" s="1362"/>
      <c r="Q818" s="165" t="str">
        <f>EUconst_CNTR_HeatExport &amp; I617</f>
        <v>HeatEx_</v>
      </c>
      <c r="R818" s="2"/>
      <c r="S818" s="1751" t="str">
        <f>EUconst_ERR_AttrEmBMapplied &amp; I617</f>
        <v>ERR_AttrEmBM_</v>
      </c>
      <c r="T818" s="108">
        <f t="shared" ref="T818:Z818" si="361">IF(AND(H818&lt;&gt;0,H819="",EUconst_StatusOfDataCollection=FALSE),1,0)</f>
        <v>0</v>
      </c>
      <c r="U818" s="108">
        <f t="shared" si="361"/>
        <v>0</v>
      </c>
      <c r="V818" s="108">
        <f t="shared" si="361"/>
        <v>0</v>
      </c>
      <c r="W818" s="108">
        <f t="shared" si="361"/>
        <v>0</v>
      </c>
      <c r="X818" s="108">
        <f t="shared" si="361"/>
        <v>0</v>
      </c>
      <c r="Y818" s="108">
        <f t="shared" si="361"/>
        <v>0</v>
      </c>
      <c r="Z818" s="109">
        <f t="shared" si="361"/>
        <v>0</v>
      </c>
      <c r="AA818" s="2"/>
      <c r="AB818" s="672" t="s">
        <v>782</v>
      </c>
      <c r="AC818" s="108" t="b">
        <f>AC814</f>
        <v>0</v>
      </c>
      <c r="AD818" s="108" t="b">
        <f t="shared" ref="AD818:AI818" si="362">AD814</f>
        <v>0</v>
      </c>
      <c r="AE818" s="108" t="b">
        <f t="shared" si="362"/>
        <v>0</v>
      </c>
      <c r="AF818" s="108" t="b">
        <f t="shared" si="362"/>
        <v>0</v>
      </c>
      <c r="AG818" s="108" t="b">
        <f t="shared" si="362"/>
        <v>0</v>
      </c>
      <c r="AH818" s="108" t="b">
        <f t="shared" si="362"/>
        <v>0</v>
      </c>
      <c r="AI818" s="108" t="b">
        <f t="shared" si="362"/>
        <v>0</v>
      </c>
      <c r="AJ818" s="553" t="s">
        <v>2248</v>
      </c>
      <c r="AK818" s="663" t="str">
        <f>IF(AND(CNTR_ExistSubInstEntries,MSconst_RequireSubAttrEmissions,COUNTIFS(AC818:AI818,FALSE,H818:N818,"")&gt;0),EUconst_Error&amp;"BM"&amp;$Q617,"")</f>
        <v/>
      </c>
      <c r="AL818" s="2"/>
    </row>
    <row r="819" spans="1:38" ht="12.75" customHeight="1" thickBot="1" x14ac:dyDescent="0.3">
      <c r="A819" s="2"/>
      <c r="B819" s="178"/>
      <c r="C819" s="779"/>
      <c r="D819" s="416" t="s">
        <v>860</v>
      </c>
      <c r="E819" s="2613" t="str">
        <f>Translations!$B$611</f>
        <v>Särskild emissionsfaktor (exporterad värme)</v>
      </c>
      <c r="F819" s="1997"/>
      <c r="G819" s="364" t="str">
        <f>EUconst_tCO2pTJ</f>
        <v>t CO2 / TJ</v>
      </c>
      <c r="H819" s="582"/>
      <c r="I819" s="1105"/>
      <c r="J819" s="1115"/>
      <c r="K819" s="582"/>
      <c r="L819" s="582"/>
      <c r="M819" s="582"/>
      <c r="N819" s="1146"/>
      <c r="O819" s="15"/>
      <c r="P819" s="1362"/>
      <c r="Q819" s="165" t="str">
        <f>EUconst_CNTR_HeatExportEF &amp; I617</f>
        <v>HeatExEF_</v>
      </c>
      <c r="R819" s="2"/>
      <c r="S819" s="773" t="str">
        <f>EUconst_CNTR_AttributedEmissions &amp; I617</f>
        <v>AttrEmissions_</v>
      </c>
      <c r="T819" s="111" t="str">
        <f t="shared" ref="T819:Z819" si="363">IF(T625,-SUM(H818)*IF(INDEX(EUconst_BMlistNumberOfBM,MATCH($I617,EUconst_BMlistNames,0))=39,0,IF(ISNUMBER(H819),H819,EUconst_HeatBMvalue)),"")</f>
        <v/>
      </c>
      <c r="U819" s="111" t="str">
        <f t="shared" si="363"/>
        <v/>
      </c>
      <c r="V819" s="111" t="str">
        <f t="shared" si="363"/>
        <v/>
      </c>
      <c r="W819" s="111" t="str">
        <f t="shared" si="363"/>
        <v/>
      </c>
      <c r="X819" s="111" t="str">
        <f t="shared" si="363"/>
        <v/>
      </c>
      <c r="Y819" s="111" t="str">
        <f t="shared" si="363"/>
        <v/>
      </c>
      <c r="Z819" s="112" t="str">
        <f t="shared" si="363"/>
        <v/>
      </c>
      <c r="AA819" s="2"/>
      <c r="AB819" s="2"/>
      <c r="AC819" s="108" t="b">
        <f>AC818</f>
        <v>0</v>
      </c>
      <c r="AD819" s="108" t="b">
        <f t="shared" ref="AD819:AI819" si="364">AD818</f>
        <v>0</v>
      </c>
      <c r="AE819" s="108" t="b">
        <f t="shared" si="364"/>
        <v>0</v>
      </c>
      <c r="AF819" s="108" t="b">
        <f t="shared" si="364"/>
        <v>0</v>
      </c>
      <c r="AG819" s="108" t="b">
        <f t="shared" si="364"/>
        <v>0</v>
      </c>
      <c r="AH819" s="108" t="b">
        <f t="shared" si="364"/>
        <v>0</v>
      </c>
      <c r="AI819" s="108" t="b">
        <f t="shared" si="364"/>
        <v>0</v>
      </c>
      <c r="AJ819" s="2"/>
      <c r="AK819" s="2"/>
      <c r="AL819" s="2"/>
    </row>
    <row r="820" spans="1:38" ht="12.75" customHeight="1" x14ac:dyDescent="0.25">
      <c r="A820" s="2"/>
      <c r="B820" s="178"/>
      <c r="C820" s="779"/>
      <c r="D820" s="780"/>
      <c r="E820" s="780"/>
      <c r="F820" s="780"/>
      <c r="G820" s="780"/>
      <c r="H820" s="780"/>
      <c r="I820" s="780"/>
      <c r="J820" s="780"/>
      <c r="K820" s="780"/>
      <c r="L820" s="780"/>
      <c r="M820" s="623"/>
      <c r="N820" s="519"/>
      <c r="O820" s="15"/>
      <c r="P820" s="15"/>
      <c r="Q820" s="343"/>
      <c r="R820" s="2"/>
      <c r="S820" s="343"/>
      <c r="T820" s="343"/>
      <c r="U820" s="343"/>
      <c r="V820" s="343"/>
      <c r="W820" s="2"/>
      <c r="X820" s="2"/>
      <c r="Y820" s="2"/>
      <c r="Z820" s="2"/>
      <c r="AA820" s="2"/>
      <c r="AB820" s="2"/>
      <c r="AC820" s="2"/>
      <c r="AD820" s="2"/>
      <c r="AE820" s="2"/>
      <c r="AF820" s="2"/>
      <c r="AG820" s="2"/>
      <c r="AH820" s="2"/>
      <c r="AI820" s="2"/>
      <c r="AJ820" s="2"/>
      <c r="AK820" s="2"/>
      <c r="AL820" s="2"/>
    </row>
    <row r="821" spans="1:38" ht="12.75" customHeight="1" x14ac:dyDescent="0.25">
      <c r="A821" s="2"/>
      <c r="B821" s="178"/>
      <c r="C821" s="779"/>
      <c r="D821" s="373" t="s">
        <v>526</v>
      </c>
      <c r="E821" s="2614" t="str">
        <f>Translations!$B$612</f>
        <v>Delanläggningens restgasbalans</v>
      </c>
      <c r="F821" s="1960"/>
      <c r="G821" s="1960"/>
      <c r="H821" s="1960"/>
      <c r="I821" s="1960"/>
      <c r="J821" s="1960"/>
      <c r="K821" s="1960"/>
      <c r="L821" s="1960"/>
      <c r="M821" s="1960"/>
      <c r="N821" s="2597"/>
      <c r="O821" s="15"/>
      <c r="P821" s="15"/>
      <c r="Q821" s="343"/>
      <c r="R821" s="2"/>
      <c r="S821" s="343"/>
      <c r="T821" s="343"/>
      <c r="U821" s="343"/>
      <c r="V821" s="343"/>
      <c r="W821" s="2"/>
      <c r="X821" s="2"/>
      <c r="Y821" s="2"/>
      <c r="Z821" s="2"/>
      <c r="AA821" s="2"/>
      <c r="AB821" s="2"/>
      <c r="AC821" s="2"/>
      <c r="AD821" s="2"/>
      <c r="AE821" s="2"/>
      <c r="AF821" s="2"/>
      <c r="AG821" s="2"/>
      <c r="AH821" s="2"/>
      <c r="AI821" s="2"/>
      <c r="AJ821" s="2"/>
      <c r="AK821" s="2"/>
      <c r="AL821" s="2"/>
    </row>
    <row r="822" spans="1:38" ht="5.15" customHeight="1" x14ac:dyDescent="0.25">
      <c r="A822" s="2"/>
      <c r="B822" s="178"/>
      <c r="C822" s="779"/>
      <c r="D822" s="780"/>
      <c r="E822" s="1804"/>
      <c r="F822" s="1804"/>
      <c r="G822" s="1804"/>
      <c r="H822" s="1804"/>
      <c r="I822" s="1804"/>
      <c r="J822" s="1804"/>
      <c r="K822" s="1804"/>
      <c r="L822" s="1804"/>
      <c r="M822" s="1804"/>
      <c r="N822" s="1810"/>
      <c r="O822" s="15"/>
      <c r="P822" s="15"/>
      <c r="Q822" s="343"/>
      <c r="R822" s="2"/>
      <c r="S822" s="343"/>
      <c r="T822" s="343"/>
      <c r="U822" s="343"/>
      <c r="V822" s="343"/>
      <c r="W822" s="2"/>
      <c r="X822" s="2"/>
      <c r="Y822" s="2"/>
      <c r="Z822" s="2"/>
      <c r="AA822" s="2"/>
      <c r="AB822" s="2"/>
      <c r="AC822" s="2"/>
      <c r="AD822" s="2"/>
      <c r="AE822" s="2"/>
      <c r="AF822" s="2"/>
      <c r="AG822" s="2"/>
      <c r="AH822" s="2"/>
      <c r="AI822" s="2"/>
      <c r="AJ822" s="2"/>
      <c r="AK822" s="2"/>
      <c r="AL822" s="2"/>
    </row>
    <row r="823" spans="1:38" ht="12.75" customHeight="1" x14ac:dyDescent="0.25">
      <c r="A823" s="2"/>
      <c r="B823" s="178"/>
      <c r="C823" s="779"/>
      <c r="D823" s="416" t="s">
        <v>8</v>
      </c>
      <c r="E823" s="2614" t="str">
        <f>Translations!$B$613</f>
        <v>Är restgaser relevanta för delanläggningen?</v>
      </c>
      <c r="F823" s="1960"/>
      <c r="G823" s="1960"/>
      <c r="H823" s="1960"/>
      <c r="I823" s="1960"/>
      <c r="J823" s="1960"/>
      <c r="K823" s="2520"/>
      <c r="L823" s="749"/>
      <c r="M823" s="1806"/>
      <c r="N823" s="1807"/>
      <c r="O823" s="15"/>
      <c r="P823" s="1362"/>
      <c r="Q823" s="343"/>
      <c r="R823" s="2"/>
      <c r="S823" s="343"/>
      <c r="T823" s="2"/>
      <c r="U823" s="2"/>
      <c r="V823" s="2"/>
      <c r="W823" s="2"/>
      <c r="X823" s="2"/>
      <c r="Y823" s="2"/>
      <c r="Z823" s="2"/>
      <c r="AA823" s="2"/>
      <c r="AB823" s="2"/>
      <c r="AC823" s="2"/>
      <c r="AD823" s="2"/>
      <c r="AE823" s="2"/>
      <c r="AF823" s="672" t="s">
        <v>782</v>
      </c>
      <c r="AG823" s="1196" t="b">
        <f>AND(CNTR_ExistSubInstEntries,I617="")</f>
        <v>0</v>
      </c>
      <c r="AH823" s="2"/>
      <c r="AI823" s="2"/>
      <c r="AJ823" s="2"/>
      <c r="AK823" s="2"/>
      <c r="AL823" s="2"/>
    </row>
    <row r="824" spans="1:38" ht="12.75" customHeight="1" x14ac:dyDescent="0.25">
      <c r="A824" s="2"/>
      <c r="B824" s="178"/>
      <c r="C824" s="779"/>
      <c r="D824" s="780"/>
      <c r="E824" s="2610" t="str">
        <f>Translations!$B$614</f>
        <v>Om svaret ”FALSKT” anges kommer hela avsnittet att gråmarkeras och ni kan gå vidare till nästa punkt nedan.</v>
      </c>
      <c r="F824" s="1960"/>
      <c r="G824" s="1960"/>
      <c r="H824" s="1960"/>
      <c r="I824" s="1960"/>
      <c r="J824" s="1960"/>
      <c r="K824" s="1960"/>
      <c r="L824" s="1960"/>
      <c r="M824" s="1960"/>
      <c r="N824" s="2597"/>
      <c r="O824" s="15"/>
      <c r="P824" s="15"/>
      <c r="Q824" s="343"/>
      <c r="R824" s="2"/>
      <c r="S824" s="343"/>
      <c r="T824" s="2"/>
      <c r="U824" s="2"/>
      <c r="V824" s="2"/>
      <c r="W824" s="2"/>
      <c r="X824" s="2"/>
      <c r="Y824" s="2"/>
      <c r="Z824" s="2"/>
      <c r="AA824" s="2"/>
      <c r="AB824" s="2"/>
      <c r="AC824" s="2"/>
      <c r="AD824" s="2"/>
      <c r="AE824" s="2"/>
      <c r="AF824" s="2"/>
      <c r="AG824" s="2"/>
      <c r="AH824" s="2"/>
      <c r="AI824" s="2"/>
      <c r="AJ824" s="2"/>
      <c r="AK824" s="2"/>
      <c r="AL824" s="2"/>
    </row>
    <row r="825" spans="1:38" ht="12.75" customHeight="1" x14ac:dyDescent="0.25">
      <c r="A825" s="2"/>
      <c r="B825" s="178"/>
      <c r="C825" s="779"/>
      <c r="D825" s="416" t="s">
        <v>9</v>
      </c>
      <c r="E825" s="2614" t="str">
        <f>Translations!$B$615</f>
        <v>Typer av producerade restgaser:</v>
      </c>
      <c r="F825" s="1960"/>
      <c r="G825" s="1960"/>
      <c r="H825" s="2520"/>
      <c r="I825" s="2621"/>
      <c r="J825" s="2510"/>
      <c r="K825" s="2510"/>
      <c r="L825" s="2510"/>
      <c r="M825" s="2511"/>
      <c r="N825" s="1807"/>
      <c r="O825" s="15"/>
      <c r="P825" s="1362"/>
      <c r="Q825" s="343"/>
      <c r="R825" s="2"/>
      <c r="S825" s="343"/>
      <c r="T825" s="2"/>
      <c r="U825" s="2"/>
      <c r="V825" s="2"/>
      <c r="W825" s="2"/>
      <c r="X825" s="2"/>
      <c r="Y825" s="2"/>
      <c r="Z825" s="2"/>
      <c r="AA825" s="2"/>
      <c r="AB825" s="2"/>
      <c r="AC825" s="672" t="s">
        <v>782</v>
      </c>
      <c r="AD825" s="1196" t="b">
        <f>OR(AG823,AND($L823&lt;&gt;"",$L823=FALSE))</f>
        <v>0</v>
      </c>
      <c r="AE825" s="2"/>
      <c r="AF825" s="2"/>
      <c r="AG825" s="2"/>
      <c r="AH825" s="2"/>
      <c r="AI825" s="2"/>
      <c r="AJ825" s="2"/>
      <c r="AK825" s="2"/>
      <c r="AL825" s="2"/>
    </row>
    <row r="826" spans="1:38" ht="12.75" customHeight="1" x14ac:dyDescent="0.25">
      <c r="A826" s="2"/>
      <c r="B826" s="178"/>
      <c r="C826" s="779"/>
      <c r="D826" s="780"/>
      <c r="E826" s="2610" t="str">
        <f>Translations!$B$616</f>
        <v>Ni kan välja att rapportera i ton eller i 1 000 Nm3. Enheterna måste stämma överens med de som används för effektivt värmevärde och emissionsfaktorn nedan.</v>
      </c>
      <c r="F826" s="1960"/>
      <c r="G826" s="1960"/>
      <c r="H826" s="1960"/>
      <c r="I826" s="1960"/>
      <c r="J826" s="1960"/>
      <c r="K826" s="1960"/>
      <c r="L826" s="1960"/>
      <c r="M826" s="1960"/>
      <c r="N826" s="2597"/>
      <c r="O826" s="15"/>
      <c r="P826" s="15"/>
      <c r="Q826" s="343"/>
      <c r="R826" s="2"/>
      <c r="S826" s="343"/>
      <c r="T826" s="343"/>
      <c r="U826" s="343"/>
      <c r="V826" s="343"/>
      <c r="W826" s="2"/>
      <c r="X826" s="2"/>
      <c r="Y826" s="2"/>
      <c r="Z826" s="2"/>
      <c r="AA826" s="2"/>
      <c r="AB826" s="2"/>
      <c r="AC826" s="2"/>
      <c r="AD826" s="2"/>
      <c r="AE826" s="2"/>
      <c r="AF826" s="2"/>
      <c r="AG826" s="2"/>
      <c r="AH826" s="2"/>
      <c r="AI826" s="2"/>
      <c r="AJ826" s="2"/>
      <c r="AK826" s="2"/>
      <c r="AL826" s="2"/>
    </row>
    <row r="827" spans="1:38" ht="12.75" customHeight="1" x14ac:dyDescent="0.25">
      <c r="A827" s="2"/>
      <c r="B827" s="178"/>
      <c r="C827" s="779"/>
      <c r="D827" s="780"/>
      <c r="E827" s="2596" t="str">
        <f>Translations!$B$570</f>
        <v>De uppgifter som anges här används bara för konsekvenskontroll och har ingen direkt inverkan på vare sig de utsläpp som kan tillskrivas eller tilldelningen.</v>
      </c>
      <c r="F827" s="1960"/>
      <c r="G827" s="1960"/>
      <c r="H827" s="1960"/>
      <c r="I827" s="1960"/>
      <c r="J827" s="1960"/>
      <c r="K827" s="1960"/>
      <c r="L827" s="1960"/>
      <c r="M827" s="1960"/>
      <c r="N827" s="2597"/>
      <c r="O827" s="15"/>
      <c r="P827" s="15"/>
      <c r="Q827" s="343"/>
      <c r="R827" s="2"/>
      <c r="S827" s="343"/>
      <c r="T827" s="343"/>
      <c r="U827" s="343"/>
      <c r="V827" s="343"/>
      <c r="W827" s="2"/>
      <c r="X827" s="2"/>
      <c r="Y827" s="2"/>
      <c r="Z827" s="2"/>
      <c r="AA827" s="2"/>
      <c r="AB827" s="2"/>
      <c r="AC827" s="2"/>
      <c r="AD827" s="2"/>
      <c r="AE827" s="2"/>
      <c r="AF827" s="2"/>
      <c r="AG827" s="2"/>
      <c r="AH827" s="2"/>
      <c r="AI827" s="2"/>
      <c r="AJ827" s="2"/>
      <c r="AK827" s="2"/>
      <c r="AL827" s="2"/>
    </row>
    <row r="828" spans="1:38" ht="12.75" customHeight="1" thickBot="1" x14ac:dyDescent="0.3">
      <c r="A828" s="2"/>
      <c r="B828" s="178"/>
      <c r="C828" s="779"/>
      <c r="D828" s="780"/>
      <c r="E828" s="1716"/>
      <c r="F828" s="1717"/>
      <c r="G828" s="361" t="str">
        <f>EUconst_Unit</f>
        <v>Enhet</v>
      </c>
      <c r="H828" s="362">
        <f t="shared" ref="H828:N828" si="365">H$3042</f>
        <v>2019</v>
      </c>
      <c r="I828" s="1103">
        <f t="shared" si="365"/>
        <v>2020</v>
      </c>
      <c r="J828" s="1104">
        <f t="shared" si="365"/>
        <v>2021</v>
      </c>
      <c r="K828" s="362">
        <f t="shared" si="365"/>
        <v>2022</v>
      </c>
      <c r="L828" s="362">
        <f t="shared" si="365"/>
        <v>2023</v>
      </c>
      <c r="M828" s="362">
        <f t="shared" si="365"/>
        <v>2024</v>
      </c>
      <c r="N828" s="1141">
        <f t="shared" si="365"/>
        <v>2025</v>
      </c>
      <c r="O828" s="15"/>
      <c r="P828" s="15"/>
      <c r="Q828" s="343"/>
      <c r="R828" s="2"/>
      <c r="S828" s="343"/>
      <c r="T828" s="343"/>
      <c r="U828" s="343"/>
      <c r="V828" s="343"/>
      <c r="W828" s="2"/>
      <c r="X828" s="2"/>
      <c r="Y828" s="2"/>
      <c r="Z828" s="2"/>
      <c r="AA828" s="2"/>
      <c r="AB828" s="2"/>
      <c r="AC828" s="1044">
        <f t="shared" ref="AC828:AI828" si="366">H$20</f>
        <v>2019</v>
      </c>
      <c r="AD828" s="1044">
        <f t="shared" si="366"/>
        <v>2020</v>
      </c>
      <c r="AE828" s="1044">
        <f t="shared" si="366"/>
        <v>2021</v>
      </c>
      <c r="AF828" s="1044">
        <f t="shared" si="366"/>
        <v>2022</v>
      </c>
      <c r="AG828" s="1044">
        <f t="shared" si="366"/>
        <v>2023</v>
      </c>
      <c r="AH828" s="1044">
        <f t="shared" si="366"/>
        <v>2024</v>
      </c>
      <c r="AI828" s="1044">
        <f t="shared" si="366"/>
        <v>2025</v>
      </c>
      <c r="AJ828" s="2"/>
      <c r="AK828" s="2"/>
      <c r="AL828" s="2"/>
    </row>
    <row r="829" spans="1:38" ht="12.75" customHeight="1" x14ac:dyDescent="0.25">
      <c r="A829" s="2"/>
      <c r="B829" s="178"/>
      <c r="C829" s="779"/>
      <c r="D829" s="416" t="s">
        <v>10</v>
      </c>
      <c r="E829" s="2611" t="str">
        <f>Translations!$B$617</f>
        <v>Producerade mängder</v>
      </c>
      <c r="F829" s="2484"/>
      <c r="G829" s="1314"/>
      <c r="H829" s="1298"/>
      <c r="I829" s="1299"/>
      <c r="J829" s="1300"/>
      <c r="K829" s="1298"/>
      <c r="L829" s="1298"/>
      <c r="M829" s="1298"/>
      <c r="N829" s="1301"/>
      <c r="O829" s="15"/>
      <c r="P829" s="1362"/>
      <c r="Q829" s="343"/>
      <c r="R829" s="2"/>
      <c r="S829" s="343"/>
      <c r="T829" s="343"/>
      <c r="U829" s="343"/>
      <c r="V829" s="343"/>
      <c r="W829" s="2"/>
      <c r="X829" s="2"/>
      <c r="Y829" s="2"/>
      <c r="Z829" s="2"/>
      <c r="AA829" s="2"/>
      <c r="AB829" s="672" t="s">
        <v>782</v>
      </c>
      <c r="AC829" s="1196" t="b">
        <f>OR(AND($L823&lt;&gt;"",$L823=FALSE),AC687)</f>
        <v>0</v>
      </c>
      <c r="AD829" s="108" t="b">
        <f t="shared" ref="AD829:AI829" si="367">OR(AND($L823&lt;&gt;"",$L823=FALSE),AD687)</f>
        <v>0</v>
      </c>
      <c r="AE829" s="108" t="b">
        <f t="shared" si="367"/>
        <v>0</v>
      </c>
      <c r="AF829" s="108" t="b">
        <f t="shared" si="367"/>
        <v>0</v>
      </c>
      <c r="AG829" s="108" t="b">
        <f t="shared" si="367"/>
        <v>0</v>
      </c>
      <c r="AH829" s="108" t="b">
        <f t="shared" si="367"/>
        <v>0</v>
      </c>
      <c r="AI829" s="108" t="b">
        <f t="shared" si="367"/>
        <v>0</v>
      </c>
      <c r="AJ829" s="553" t="s">
        <v>2248</v>
      </c>
      <c r="AK829" s="663" t="str">
        <f>IF(AND(CNTR_ExistSubInstEntries,MSconst_RequireSubAttrEmissions,COUNTIFS(AC829:AI829,FALSE,H829:N829,"")&gt;0),EUconst_Error&amp;"BM"&amp;$Q617,"")</f>
        <v/>
      </c>
      <c r="AL829" s="2"/>
    </row>
    <row r="830" spans="1:38" ht="12.75" customHeight="1" x14ac:dyDescent="0.25">
      <c r="A830" s="2"/>
      <c r="B830" s="178"/>
      <c r="C830" s="779"/>
      <c r="D830" s="416" t="s">
        <v>23</v>
      </c>
      <c r="E830" s="2612" t="str">
        <f>Translations!$B$318</f>
        <v>Effektivt värmevärde</v>
      </c>
      <c r="F830" s="2487"/>
      <c r="G830" s="51" t="str">
        <f>IF(ISBLANK(G829),EUconst_GJperUnit,INDEX(EUconst_GJperTorKNm3,MATCH(G829,EUconst_TonnesOrkNm3pa,0)))</f>
        <v>GJ / Enhet</v>
      </c>
      <c r="H830" s="1306"/>
      <c r="I830" s="1307"/>
      <c r="J830" s="1308"/>
      <c r="K830" s="1306"/>
      <c r="L830" s="1306"/>
      <c r="M830" s="1306"/>
      <c r="N830" s="1309"/>
      <c r="O830" s="15"/>
      <c r="P830" s="1362"/>
      <c r="Q830" s="2"/>
      <c r="R830" s="2"/>
      <c r="S830" s="343"/>
      <c r="T830" s="343"/>
      <c r="U830" s="343"/>
      <c r="V830" s="343"/>
      <c r="W830" s="343"/>
      <c r="X830" s="343"/>
      <c r="Y830" s="343"/>
      <c r="Z830" s="343"/>
      <c r="AA830" s="2"/>
      <c r="AB830" s="2"/>
      <c r="AC830" s="108" t="b">
        <f>AC829</f>
        <v>0</v>
      </c>
      <c r="AD830" s="108" t="b">
        <f t="shared" ref="AD830:AI830" si="368">AD829</f>
        <v>0</v>
      </c>
      <c r="AE830" s="108" t="b">
        <f t="shared" si="368"/>
        <v>0</v>
      </c>
      <c r="AF830" s="108" t="b">
        <f t="shared" si="368"/>
        <v>0</v>
      </c>
      <c r="AG830" s="108" t="b">
        <f t="shared" si="368"/>
        <v>0</v>
      </c>
      <c r="AH830" s="108" t="b">
        <f t="shared" si="368"/>
        <v>0</v>
      </c>
      <c r="AI830" s="108" t="b">
        <f t="shared" si="368"/>
        <v>0</v>
      </c>
      <c r="AJ830" s="553" t="s">
        <v>2248</v>
      </c>
      <c r="AK830" s="663" t="str">
        <f>IF(AND(CNTR_ExistSubInstEntries,MSconst_RequireSubAttrEmissions,COUNTIFS(AC830:AI830,FALSE,H830:N830,"")&gt;0),EUconst_Error&amp;"BM"&amp;$Q617,"")</f>
        <v/>
      </c>
      <c r="AL830" s="2"/>
    </row>
    <row r="831" spans="1:38" ht="12.75" customHeight="1" x14ac:dyDescent="0.25">
      <c r="A831" s="2"/>
      <c r="B831" s="178"/>
      <c r="C831" s="779"/>
      <c r="D831" s="416" t="s">
        <v>859</v>
      </c>
      <c r="E831" s="2613" t="str">
        <f>Translations!$B$618</f>
        <v>Producerad restgas</v>
      </c>
      <c r="F831" s="1997"/>
      <c r="G831" s="364" t="str">
        <f>EUconst_TJpa</f>
        <v>TJ / år</v>
      </c>
      <c r="H831" s="414" t="str">
        <f t="shared" ref="H831:N831" si="369">IF(COUNT(H829:H830)=2,H829*H830/1000,"")</f>
        <v/>
      </c>
      <c r="I831" s="1108" t="str">
        <f t="shared" si="369"/>
        <v/>
      </c>
      <c r="J831" s="1114" t="str">
        <f t="shared" si="369"/>
        <v/>
      </c>
      <c r="K831" s="414" t="str">
        <f t="shared" si="369"/>
        <v/>
      </c>
      <c r="L831" s="414" t="str">
        <f t="shared" si="369"/>
        <v/>
      </c>
      <c r="M831" s="414" t="str">
        <f t="shared" si="369"/>
        <v/>
      </c>
      <c r="N831" s="1147" t="str">
        <f t="shared" si="369"/>
        <v/>
      </c>
      <c r="O831" s="15"/>
      <c r="P831" s="15"/>
      <c r="Q831" s="165" t="str">
        <f>EUconst_CNTR_WGProduced &amp; I617</f>
        <v>WasteGasProd_</v>
      </c>
      <c r="R831" s="2"/>
      <c r="S831" s="343"/>
      <c r="T831" s="343"/>
      <c r="U831" s="343"/>
      <c r="V831" s="343"/>
      <c r="W831" s="343"/>
      <c r="X831" s="343"/>
      <c r="Y831" s="343"/>
      <c r="Z831" s="343"/>
      <c r="AA831" s="2"/>
      <c r="AB831" s="2"/>
      <c r="AC831" s="2"/>
      <c r="AD831" s="2"/>
      <c r="AE831" s="2"/>
      <c r="AF831" s="2"/>
      <c r="AG831" s="2"/>
      <c r="AH831" s="2"/>
      <c r="AI831" s="2"/>
      <c r="AJ831" s="2"/>
      <c r="AK831" s="2"/>
      <c r="AL831" s="2"/>
    </row>
    <row r="832" spans="1:38" ht="12.75" customHeight="1" x14ac:dyDescent="0.25">
      <c r="A832" s="2"/>
      <c r="B832" s="178"/>
      <c r="C832" s="779"/>
      <c r="D832" s="416" t="s">
        <v>860</v>
      </c>
      <c r="E832" s="2613" t="str">
        <f>Translations!$B$619</f>
        <v>Särskild emissionsfaktor (producerad restgas)</v>
      </c>
      <c r="F832" s="1997"/>
      <c r="G832" s="364" t="str">
        <f>EUconst_tCO2pTJ</f>
        <v>t CO2 / TJ</v>
      </c>
      <c r="H832" s="582"/>
      <c r="I832" s="1105"/>
      <c r="J832" s="1115"/>
      <c r="K832" s="582"/>
      <c r="L832" s="582"/>
      <c r="M832" s="582"/>
      <c r="N832" s="1146"/>
      <c r="O832" s="15"/>
      <c r="P832" s="1362"/>
      <c r="Q832" s="165" t="str">
        <f>EUconst_CNTR_WGProducedEF &amp; I617</f>
        <v>WasteGasProdEF_</v>
      </c>
      <c r="R832" s="2"/>
      <c r="S832" s="343"/>
      <c r="T832" s="343"/>
      <c r="U832" s="343"/>
      <c r="V832" s="343"/>
      <c r="W832" s="343"/>
      <c r="X832" s="343"/>
      <c r="Y832" s="343"/>
      <c r="Z832" s="343"/>
      <c r="AA832" s="2"/>
      <c r="AB832" s="672" t="s">
        <v>782</v>
      </c>
      <c r="AC832" s="108" t="b">
        <f>AC830</f>
        <v>0</v>
      </c>
      <c r="AD832" s="108" t="b">
        <f t="shared" ref="AD832:AI832" si="370">AD830</f>
        <v>0</v>
      </c>
      <c r="AE832" s="108" t="b">
        <f t="shared" si="370"/>
        <v>0</v>
      </c>
      <c r="AF832" s="108" t="b">
        <f t="shared" si="370"/>
        <v>0</v>
      </c>
      <c r="AG832" s="108" t="b">
        <f t="shared" si="370"/>
        <v>0</v>
      </c>
      <c r="AH832" s="108" t="b">
        <f t="shared" si="370"/>
        <v>0</v>
      </c>
      <c r="AI832" s="108" t="b">
        <f t="shared" si="370"/>
        <v>0</v>
      </c>
      <c r="AJ832" s="553" t="s">
        <v>2248</v>
      </c>
      <c r="AK832" s="663" t="str">
        <f>IF(AND(CNTR_ExistSubInstEntries,MSconst_RequireSubAttrEmissions,COUNTIFS(AC832:AI832,FALSE,H832:N832,"")&gt;0),EUconst_Error&amp;"BM"&amp;$Q617,"")</f>
        <v/>
      </c>
      <c r="AL832" s="2"/>
    </row>
    <row r="833" spans="1:38" ht="12.75" customHeight="1" x14ac:dyDescent="0.25">
      <c r="A833" s="2"/>
      <c r="B833" s="178"/>
      <c r="C833" s="779"/>
      <c r="D833" s="780"/>
      <c r="E833" s="780"/>
      <c r="F833" s="780"/>
      <c r="G833" s="780"/>
      <c r="H833" s="1805"/>
      <c r="I833" s="780"/>
      <c r="J833" s="780"/>
      <c r="K833" s="780"/>
      <c r="L833" s="780"/>
      <c r="M833" s="623"/>
      <c r="N833" s="519"/>
      <c r="O833" s="15"/>
      <c r="P833" s="15"/>
      <c r="Q833" s="343"/>
      <c r="R833" s="2"/>
      <c r="S833" s="343"/>
      <c r="T833" s="343"/>
      <c r="U833" s="343"/>
      <c r="V833" s="343"/>
      <c r="W833" s="343"/>
      <c r="X833" s="343"/>
      <c r="Y833" s="343"/>
      <c r="Z833" s="343"/>
      <c r="AA833" s="2"/>
      <c r="AB833" s="2"/>
      <c r="AC833" s="2"/>
      <c r="AD833" s="2"/>
      <c r="AE833" s="2"/>
      <c r="AF833" s="2"/>
      <c r="AG833" s="2"/>
      <c r="AH833" s="2"/>
      <c r="AI833" s="2"/>
      <c r="AJ833" s="2"/>
      <c r="AK833" s="2"/>
      <c r="AL833" s="2"/>
    </row>
    <row r="834" spans="1:38" ht="12.75" customHeight="1" x14ac:dyDescent="0.25">
      <c r="A834" s="2"/>
      <c r="B834" s="178"/>
      <c r="C834" s="779"/>
      <c r="D834" s="416" t="s">
        <v>861</v>
      </c>
      <c r="E834" s="2614" t="str">
        <f>Translations!$B$620</f>
        <v>Typer av restgaser som förbrukas:</v>
      </c>
      <c r="F834" s="1960"/>
      <c r="G834" s="1960"/>
      <c r="H834" s="2520"/>
      <c r="I834" s="2621"/>
      <c r="J834" s="2510"/>
      <c r="K834" s="2510"/>
      <c r="L834" s="2510"/>
      <c r="M834" s="2511"/>
      <c r="N834" s="1807"/>
      <c r="O834" s="15"/>
      <c r="P834" s="1362"/>
      <c r="Q834" s="343"/>
      <c r="R834" s="2"/>
      <c r="S834" s="343"/>
      <c r="T834" s="343"/>
      <c r="U834" s="343"/>
      <c r="V834" s="343"/>
      <c r="W834" s="343"/>
      <c r="X834" s="343"/>
      <c r="Y834" s="343"/>
      <c r="Z834" s="343"/>
      <c r="AA834" s="2"/>
      <c r="AB834" s="2"/>
      <c r="AC834" s="672" t="s">
        <v>782</v>
      </c>
      <c r="AD834" s="108" t="b">
        <f>AD825</f>
        <v>0</v>
      </c>
      <c r="AE834" s="2"/>
      <c r="AF834" s="2"/>
      <c r="AG834" s="2"/>
      <c r="AH834" s="2"/>
      <c r="AI834" s="2"/>
      <c r="AJ834" s="2"/>
      <c r="AK834" s="2"/>
      <c r="AL834" s="2"/>
    </row>
    <row r="835" spans="1:38" ht="25.5" customHeight="1" x14ac:dyDescent="0.25">
      <c r="A835" s="2"/>
      <c r="B835" s="178"/>
      <c r="C835" s="779"/>
      <c r="D835" s="416"/>
      <c r="E835" s="2610" t="str">
        <f>Translations!$B$621</f>
        <v>Detta innefattar alla restgastyper som förbrukas av delanläggningen för produktion av mätbar värme, icke-mätbar värme (inklusive för säkerhetsfackling) eller mekanisk energi (annan än för elproduktion). Mängden avgaser för fackling utom för säkerhetsfackling bör rapporteras i nästa punkt nedan.</v>
      </c>
      <c r="F835" s="1960"/>
      <c r="G835" s="1960"/>
      <c r="H835" s="1960"/>
      <c r="I835" s="1960"/>
      <c r="J835" s="1960"/>
      <c r="K835" s="1960"/>
      <c r="L835" s="1960"/>
      <c r="M835" s="1960"/>
      <c r="N835" s="2597"/>
      <c r="O835" s="15"/>
      <c r="P835" s="15"/>
      <c r="Q835" s="343"/>
      <c r="R835" s="2"/>
      <c r="S835" s="343"/>
      <c r="T835" s="343"/>
      <c r="U835" s="343"/>
      <c r="V835" s="343"/>
      <c r="W835" s="343"/>
      <c r="X835" s="343"/>
      <c r="Y835" s="343"/>
      <c r="Z835" s="343"/>
      <c r="AA835" s="2"/>
      <c r="AB835" s="2"/>
      <c r="AC835" s="2"/>
      <c r="AD835" s="2"/>
      <c r="AE835" s="2"/>
      <c r="AF835" s="2"/>
      <c r="AG835" s="2"/>
      <c r="AH835" s="2"/>
      <c r="AI835" s="2"/>
      <c r="AJ835" s="2"/>
      <c r="AK835" s="2"/>
      <c r="AL835" s="2"/>
    </row>
    <row r="836" spans="1:38" ht="12.75" customHeight="1" x14ac:dyDescent="0.25">
      <c r="A836" s="2"/>
      <c r="B836" s="178"/>
      <c r="C836" s="779"/>
      <c r="D836" s="780"/>
      <c r="E836" s="2596" t="str">
        <f>Translations!$B$570</f>
        <v>De uppgifter som anges här används bara för konsekvenskontroll och har ingen direkt inverkan på vare sig de utsläpp som kan tillskrivas eller tilldelningen.</v>
      </c>
      <c r="F836" s="1960"/>
      <c r="G836" s="1960"/>
      <c r="H836" s="1960"/>
      <c r="I836" s="1960"/>
      <c r="J836" s="1960"/>
      <c r="K836" s="1960"/>
      <c r="L836" s="1960"/>
      <c r="M836" s="1960"/>
      <c r="N836" s="2597"/>
      <c r="O836" s="15"/>
      <c r="P836" s="15"/>
      <c r="Q836" s="343"/>
      <c r="R836" s="2"/>
      <c r="S836" s="343"/>
      <c r="T836" s="343"/>
      <c r="U836" s="343"/>
      <c r="V836" s="343"/>
      <c r="W836" s="343"/>
      <c r="X836" s="343"/>
      <c r="Y836" s="343"/>
      <c r="Z836" s="343"/>
      <c r="AA836" s="2"/>
      <c r="AB836" s="2"/>
      <c r="AC836" s="2"/>
      <c r="AD836" s="2"/>
      <c r="AE836" s="2"/>
      <c r="AF836" s="2"/>
      <c r="AG836" s="2"/>
      <c r="AH836" s="2"/>
      <c r="AI836" s="2"/>
      <c r="AJ836" s="2"/>
      <c r="AK836" s="2"/>
      <c r="AL836" s="2"/>
    </row>
    <row r="837" spans="1:38" ht="12.75" customHeight="1" thickBot="1" x14ac:dyDescent="0.3">
      <c r="A837" s="2"/>
      <c r="B837" s="178"/>
      <c r="C837" s="779"/>
      <c r="D837" s="780"/>
      <c r="E837" s="1716"/>
      <c r="F837" s="1717"/>
      <c r="G837" s="361" t="str">
        <f>EUconst_Unit</f>
        <v>Enhet</v>
      </c>
      <c r="H837" s="362">
        <f t="shared" ref="H837:N837" si="371">H$3042</f>
        <v>2019</v>
      </c>
      <c r="I837" s="1103">
        <f t="shared" si="371"/>
        <v>2020</v>
      </c>
      <c r="J837" s="1104">
        <f t="shared" si="371"/>
        <v>2021</v>
      </c>
      <c r="K837" s="362">
        <f t="shared" si="371"/>
        <v>2022</v>
      </c>
      <c r="L837" s="362">
        <f t="shared" si="371"/>
        <v>2023</v>
      </c>
      <c r="M837" s="362">
        <f t="shared" si="371"/>
        <v>2024</v>
      </c>
      <c r="N837" s="1141">
        <f t="shared" si="371"/>
        <v>2025</v>
      </c>
      <c r="O837" s="15"/>
      <c r="P837" s="15"/>
      <c r="Q837" s="343"/>
      <c r="R837" s="2"/>
      <c r="S837" s="343"/>
      <c r="T837" s="343"/>
      <c r="U837" s="343"/>
      <c r="V837" s="343"/>
      <c r="W837" s="343"/>
      <c r="X837" s="343"/>
      <c r="Y837" s="343"/>
      <c r="Z837" s="343"/>
      <c r="AA837" s="2"/>
      <c r="AB837" s="2"/>
      <c r="AC837" s="1044">
        <f t="shared" ref="AC837:AI837" si="372">H$20</f>
        <v>2019</v>
      </c>
      <c r="AD837" s="1044">
        <f t="shared" si="372"/>
        <v>2020</v>
      </c>
      <c r="AE837" s="1044">
        <f t="shared" si="372"/>
        <v>2021</v>
      </c>
      <c r="AF837" s="1044">
        <f t="shared" si="372"/>
        <v>2022</v>
      </c>
      <c r="AG837" s="1044">
        <f t="shared" si="372"/>
        <v>2023</v>
      </c>
      <c r="AH837" s="1044">
        <f t="shared" si="372"/>
        <v>2024</v>
      </c>
      <c r="AI837" s="1044">
        <f t="shared" si="372"/>
        <v>2025</v>
      </c>
      <c r="AJ837" s="2"/>
      <c r="AK837" s="2"/>
      <c r="AL837" s="2"/>
    </row>
    <row r="838" spans="1:38" ht="12.75" customHeight="1" x14ac:dyDescent="0.25">
      <c r="A838" s="2"/>
      <c r="B838" s="178"/>
      <c r="C838" s="779"/>
      <c r="D838" s="416" t="s">
        <v>862</v>
      </c>
      <c r="E838" s="2611" t="str">
        <f>Translations!$B$622</f>
        <v>Förbrukade mängder</v>
      </c>
      <c r="F838" s="2484"/>
      <c r="G838" s="1314"/>
      <c r="H838" s="1298"/>
      <c r="I838" s="1299"/>
      <c r="J838" s="1300"/>
      <c r="K838" s="1298"/>
      <c r="L838" s="1298"/>
      <c r="M838" s="1298"/>
      <c r="N838" s="1301"/>
      <c r="O838" s="15"/>
      <c r="P838" s="1362"/>
      <c r="Q838" s="343"/>
      <c r="R838" s="2"/>
      <c r="S838" s="343"/>
      <c r="T838" s="343"/>
      <c r="U838" s="343"/>
      <c r="V838" s="343"/>
      <c r="W838" s="343"/>
      <c r="X838" s="343"/>
      <c r="Y838" s="343"/>
      <c r="Z838" s="343"/>
      <c r="AA838" s="2"/>
      <c r="AB838" s="672" t="s">
        <v>782</v>
      </c>
      <c r="AC838" s="108" t="b">
        <f>AC829</f>
        <v>0</v>
      </c>
      <c r="AD838" s="108" t="b">
        <f t="shared" ref="AD838:AI838" si="373">AD829</f>
        <v>0</v>
      </c>
      <c r="AE838" s="108" t="b">
        <f t="shared" si="373"/>
        <v>0</v>
      </c>
      <c r="AF838" s="108" t="b">
        <f t="shared" si="373"/>
        <v>0</v>
      </c>
      <c r="AG838" s="108" t="b">
        <f t="shared" si="373"/>
        <v>0</v>
      </c>
      <c r="AH838" s="108" t="b">
        <f t="shared" si="373"/>
        <v>0</v>
      </c>
      <c r="AI838" s="108" t="b">
        <f t="shared" si="373"/>
        <v>0</v>
      </c>
      <c r="AJ838" s="553" t="s">
        <v>2248</v>
      </c>
      <c r="AK838" s="663" t="str">
        <f>IF(AND(CNTR_ExistSubInstEntries,MSconst_RequireSubAttrEmissions,COUNTIFS(AC838:AI838,FALSE,H838:N838,"")&gt;0),EUconst_Error&amp;"BM"&amp;$Q617,"")</f>
        <v/>
      </c>
      <c r="AL838" s="2"/>
    </row>
    <row r="839" spans="1:38" ht="12.75" customHeight="1" x14ac:dyDescent="0.25">
      <c r="A839" s="2"/>
      <c r="B839" s="178"/>
      <c r="C839" s="779"/>
      <c r="D839" s="416" t="s">
        <v>863</v>
      </c>
      <c r="E839" s="2612" t="str">
        <f>Translations!$B$318</f>
        <v>Effektivt värmevärde</v>
      </c>
      <c r="F839" s="2487"/>
      <c r="G839" s="51" t="str">
        <f>IF(ISBLANK(G838),EUconst_GJperUnit,INDEX(EUconst_GJperTorKNm3,MATCH(G838,EUconst_TonnesOrkNm3pa,0)))</f>
        <v>GJ / Enhet</v>
      </c>
      <c r="H839" s="1306"/>
      <c r="I839" s="1307"/>
      <c r="J839" s="1308"/>
      <c r="K839" s="1306"/>
      <c r="L839" s="1306"/>
      <c r="M839" s="1306"/>
      <c r="N839" s="1309"/>
      <c r="O839" s="15"/>
      <c r="P839" s="1362"/>
      <c r="Q839" s="2"/>
      <c r="R839" s="2"/>
      <c r="S839" s="343"/>
      <c r="T839" s="343"/>
      <c r="U839" s="343"/>
      <c r="V839" s="343"/>
      <c r="W839" s="343"/>
      <c r="X839" s="343"/>
      <c r="Y839" s="343"/>
      <c r="Z839" s="343"/>
      <c r="AA839" s="2"/>
      <c r="AB839" s="2"/>
      <c r="AC839" s="108" t="b">
        <f>AC838</f>
        <v>0</v>
      </c>
      <c r="AD839" s="108" t="b">
        <f t="shared" ref="AD839:AI839" si="374">AD838</f>
        <v>0</v>
      </c>
      <c r="AE839" s="108" t="b">
        <f t="shared" si="374"/>
        <v>0</v>
      </c>
      <c r="AF839" s="108" t="b">
        <f t="shared" si="374"/>
        <v>0</v>
      </c>
      <c r="AG839" s="108" t="b">
        <f t="shared" si="374"/>
        <v>0</v>
      </c>
      <c r="AH839" s="108" t="b">
        <f t="shared" si="374"/>
        <v>0</v>
      </c>
      <c r="AI839" s="108" t="b">
        <f t="shared" si="374"/>
        <v>0</v>
      </c>
      <c r="AJ839" s="553" t="s">
        <v>2248</v>
      </c>
      <c r="AK839" s="663" t="str">
        <f>IF(AND(CNTR_ExistSubInstEntries,MSconst_RequireSubAttrEmissions,COUNTIFS(AC839:AI839,FALSE,H839:N839,"")&gt;0),EUconst_Error&amp;"BM"&amp;$Q617,"")</f>
        <v/>
      </c>
      <c r="AL839" s="2"/>
    </row>
    <row r="840" spans="1:38" ht="12.75" customHeight="1" x14ac:dyDescent="0.25">
      <c r="A840" s="2"/>
      <c r="B840" s="178"/>
      <c r="C840" s="779"/>
      <c r="D840" s="416" t="s">
        <v>72</v>
      </c>
      <c r="E840" s="2613" t="str">
        <f>Translations!$B$623</f>
        <v>Förbrukad restgas</v>
      </c>
      <c r="F840" s="1997"/>
      <c r="G840" s="364" t="str">
        <f>EUconst_TJpa</f>
        <v>TJ / år</v>
      </c>
      <c r="H840" s="414" t="str">
        <f t="shared" ref="H840:N840" si="375">IF(COUNT(H838:H839)=2,H838*H839/1000,"")</f>
        <v/>
      </c>
      <c r="I840" s="1108" t="str">
        <f t="shared" si="375"/>
        <v/>
      </c>
      <c r="J840" s="1114" t="str">
        <f t="shared" si="375"/>
        <v/>
      </c>
      <c r="K840" s="414" t="str">
        <f t="shared" si="375"/>
        <v/>
      </c>
      <c r="L840" s="414" t="str">
        <f t="shared" si="375"/>
        <v/>
      </c>
      <c r="M840" s="414" t="str">
        <f t="shared" si="375"/>
        <v/>
      </c>
      <c r="N840" s="1147" t="str">
        <f t="shared" si="375"/>
        <v/>
      </c>
      <c r="O840" s="15"/>
      <c r="P840" s="15"/>
      <c r="Q840" s="165" t="str">
        <f>EUconst_CNTR_WGConsumed &amp; I617</f>
        <v>WasteGasCons_</v>
      </c>
      <c r="R840" s="2"/>
      <c r="S840" s="343"/>
      <c r="T840" s="343"/>
      <c r="U840" s="343"/>
      <c r="V840" s="343"/>
      <c r="W840" s="343"/>
      <c r="X840" s="343"/>
      <c r="Y840" s="343"/>
      <c r="Z840" s="343"/>
      <c r="AA840" s="2"/>
      <c r="AB840" s="2"/>
      <c r="AC840" s="2"/>
      <c r="AD840" s="2"/>
      <c r="AE840" s="2"/>
      <c r="AF840" s="2"/>
      <c r="AG840" s="2"/>
      <c r="AH840" s="2"/>
      <c r="AI840" s="2"/>
      <c r="AJ840" s="2"/>
      <c r="AK840" s="2"/>
      <c r="AL840" s="2"/>
    </row>
    <row r="841" spans="1:38" ht="12.75" customHeight="1" x14ac:dyDescent="0.25">
      <c r="A841" s="2"/>
      <c r="B841" s="178"/>
      <c r="C841" s="779"/>
      <c r="D841" s="416" t="s">
        <v>73</v>
      </c>
      <c r="E841" s="2613" t="str">
        <f>Translations!$B$624</f>
        <v>Särskild emissionsfaktor (förbrukad restgas)</v>
      </c>
      <c r="F841" s="1997"/>
      <c r="G841" s="364" t="str">
        <f>EUconst_tCO2pTJ</f>
        <v>t CO2 / TJ</v>
      </c>
      <c r="H841" s="582"/>
      <c r="I841" s="1105"/>
      <c r="J841" s="1115"/>
      <c r="K841" s="582"/>
      <c r="L841" s="582"/>
      <c r="M841" s="582"/>
      <c r="N841" s="1146"/>
      <c r="O841" s="15"/>
      <c r="P841" s="1362"/>
      <c r="Q841" s="165" t="str">
        <f>EUconst_CNTR_WGConsumedEF &amp; I617</f>
        <v>WasteGasConsEF_</v>
      </c>
      <c r="R841" s="2"/>
      <c r="S841" s="343"/>
      <c r="T841" s="343"/>
      <c r="U841" s="343"/>
      <c r="V841" s="343"/>
      <c r="W841" s="343"/>
      <c r="X841" s="343"/>
      <c r="Y841" s="343"/>
      <c r="Z841" s="343"/>
      <c r="AA841" s="2"/>
      <c r="AB841" s="672" t="s">
        <v>782</v>
      </c>
      <c r="AC841" s="108" t="b">
        <f>AC839</f>
        <v>0</v>
      </c>
      <c r="AD841" s="108" t="b">
        <f t="shared" ref="AD841:AI841" si="376">AD839</f>
        <v>0</v>
      </c>
      <c r="AE841" s="108" t="b">
        <f t="shared" si="376"/>
        <v>0</v>
      </c>
      <c r="AF841" s="108" t="b">
        <f t="shared" si="376"/>
        <v>0</v>
      </c>
      <c r="AG841" s="108" t="b">
        <f t="shared" si="376"/>
        <v>0</v>
      </c>
      <c r="AH841" s="108" t="b">
        <f t="shared" si="376"/>
        <v>0</v>
      </c>
      <c r="AI841" s="108" t="b">
        <f t="shared" si="376"/>
        <v>0</v>
      </c>
      <c r="AJ841" s="553" t="s">
        <v>2248</v>
      </c>
      <c r="AK841" s="663" t="str">
        <f>IF(AND(CNTR_ExistSubInstEntries,MSconst_RequireSubAttrEmissions,COUNTIFS(AC841:AI841,FALSE,H841:N841,"")&gt;0),EUconst_Error&amp;"BM"&amp;$Q617,"")</f>
        <v/>
      </c>
      <c r="AL841" s="2"/>
    </row>
    <row r="842" spans="1:38" ht="12.75" customHeight="1" x14ac:dyDescent="0.25">
      <c r="A842" s="2"/>
      <c r="B842" s="178"/>
      <c r="C842" s="779"/>
      <c r="D842" s="780"/>
      <c r="E842" s="780"/>
      <c r="F842" s="780"/>
      <c r="G842" s="780"/>
      <c r="H842" s="1805"/>
      <c r="I842" s="780"/>
      <c r="J842" s="780"/>
      <c r="K842" s="780"/>
      <c r="L842" s="780"/>
      <c r="M842" s="623"/>
      <c r="N842" s="519"/>
      <c r="O842" s="15"/>
      <c r="P842" s="15"/>
      <c r="Q842" s="343"/>
      <c r="R842" s="2"/>
      <c r="S842" s="343"/>
      <c r="T842" s="343"/>
      <c r="U842" s="343"/>
      <c r="V842" s="343"/>
      <c r="W842" s="2"/>
      <c r="X842" s="2"/>
      <c r="Y842" s="2"/>
      <c r="Z842" s="2"/>
      <c r="AA842" s="2"/>
      <c r="AB842" s="2"/>
      <c r="AC842" s="2"/>
      <c r="AD842" s="2"/>
      <c r="AE842" s="2"/>
      <c r="AF842" s="2"/>
      <c r="AG842" s="2"/>
      <c r="AH842" s="2"/>
      <c r="AI842" s="2"/>
      <c r="AJ842" s="2"/>
      <c r="AK842" s="2"/>
      <c r="AL842" s="2"/>
    </row>
    <row r="843" spans="1:38" ht="12.75" customHeight="1" x14ac:dyDescent="0.25">
      <c r="A843" s="2"/>
      <c r="B843" s="178"/>
      <c r="C843" s="779"/>
      <c r="D843" s="416" t="s">
        <v>74</v>
      </c>
      <c r="E843" s="2614" t="str">
        <f>Translations!$B$625</f>
        <v>Facklade restgastyper:</v>
      </c>
      <c r="F843" s="1960"/>
      <c r="G843" s="1960"/>
      <c r="H843" s="2520"/>
      <c r="I843" s="2621"/>
      <c r="J843" s="2510"/>
      <c r="K843" s="2510"/>
      <c r="L843" s="2510"/>
      <c r="M843" s="2511"/>
      <c r="N843" s="1807"/>
      <c r="O843" s="15"/>
      <c r="P843" s="1362"/>
      <c r="Q843" s="343"/>
      <c r="R843" s="2"/>
      <c r="S843" s="343"/>
      <c r="T843" s="2"/>
      <c r="U843" s="2"/>
      <c r="V843" s="2"/>
      <c r="W843" s="2"/>
      <c r="X843" s="2"/>
      <c r="Y843" s="2"/>
      <c r="Z843" s="2"/>
      <c r="AA843" s="2"/>
      <c r="AB843" s="2"/>
      <c r="AC843" s="672" t="s">
        <v>782</v>
      </c>
      <c r="AD843" s="108" t="b">
        <f>AD834</f>
        <v>0</v>
      </c>
      <c r="AE843" s="2"/>
      <c r="AF843" s="2"/>
      <c r="AG843" s="2"/>
      <c r="AH843" s="2"/>
      <c r="AI843" s="2"/>
      <c r="AJ843" s="2"/>
      <c r="AK843" s="2"/>
      <c r="AL843" s="2"/>
    </row>
    <row r="844" spans="1:38" ht="12.75" customHeight="1" x14ac:dyDescent="0.25">
      <c r="A844" s="2"/>
      <c r="B844" s="178"/>
      <c r="C844" s="779"/>
      <c r="D844" s="416"/>
      <c r="E844" s="2610" t="str">
        <f>Translations!$B$626</f>
        <v>Detta innefattar alla restgastyper som i slutändan blir föremål för annan fackling än säkerhetsfackling, antingen inom eller utanför delanläggningen.</v>
      </c>
      <c r="F844" s="1960"/>
      <c r="G844" s="1960"/>
      <c r="H844" s="1960"/>
      <c r="I844" s="1960"/>
      <c r="J844" s="1960"/>
      <c r="K844" s="1960"/>
      <c r="L844" s="1960"/>
      <c r="M844" s="1960"/>
      <c r="N844" s="2597"/>
      <c r="O844" s="15"/>
      <c r="P844" s="15"/>
      <c r="Q844" s="343"/>
      <c r="R844" s="2"/>
      <c r="S844" s="2"/>
      <c r="T844" s="343"/>
      <c r="U844" s="343"/>
      <c r="V844" s="343"/>
      <c r="W844" s="2"/>
      <c r="X844" s="2"/>
      <c r="Y844" s="2"/>
      <c r="Z844" s="2"/>
      <c r="AA844" s="2"/>
      <c r="AB844" s="2"/>
      <c r="AC844" s="2"/>
      <c r="AD844" s="2"/>
      <c r="AE844" s="2"/>
      <c r="AF844" s="2"/>
      <c r="AG844" s="2"/>
      <c r="AH844" s="2"/>
      <c r="AI844" s="2"/>
      <c r="AJ844" s="2"/>
      <c r="AK844" s="2"/>
      <c r="AL844" s="2"/>
    </row>
    <row r="845" spans="1:38" ht="12.75" customHeight="1" x14ac:dyDescent="0.25">
      <c r="A845" s="2"/>
      <c r="B845" s="178"/>
      <c r="C845" s="779"/>
      <c r="D845" s="780"/>
      <c r="E845" s="2610" t="str">
        <f>Translations!$B$627</f>
        <v>De uppgifter som anges här används bara i konsekvenskontrollsyfte och får ingen direkt påverkan på de utsläpp som kan tillskrivas.</v>
      </c>
      <c r="F845" s="1960"/>
      <c r="G845" s="1960"/>
      <c r="H845" s="1960"/>
      <c r="I845" s="1960"/>
      <c r="J845" s="1960"/>
      <c r="K845" s="1960"/>
      <c r="L845" s="1960"/>
      <c r="M845" s="1960"/>
      <c r="N845" s="2597"/>
      <c r="O845" s="15"/>
      <c r="P845" s="15"/>
      <c r="Q845" s="343"/>
      <c r="R845" s="2"/>
      <c r="S845" s="343"/>
      <c r="T845" s="343"/>
      <c r="U845" s="343"/>
      <c r="V845" s="343"/>
      <c r="W845" s="2"/>
      <c r="X845" s="2"/>
      <c r="Y845" s="2"/>
      <c r="Z845" s="2"/>
      <c r="AA845" s="2"/>
      <c r="AB845" s="2"/>
      <c r="AC845" s="2"/>
      <c r="AD845" s="2"/>
      <c r="AE845" s="2"/>
      <c r="AF845" s="2"/>
      <c r="AG845" s="2"/>
      <c r="AH845" s="2"/>
      <c r="AI845" s="2"/>
      <c r="AJ845" s="2"/>
      <c r="AK845" s="2"/>
      <c r="AL845" s="2"/>
    </row>
    <row r="846" spans="1:38" ht="12.75" customHeight="1" x14ac:dyDescent="0.25">
      <c r="A846" s="2"/>
      <c r="B846" s="178"/>
      <c r="C846" s="779"/>
      <c r="D846" s="780"/>
      <c r="E846" s="2596" t="str">
        <f>Translations!$B$628</f>
        <v>Från och med 2026 kommer dock tilldelningen att minskas med avseende på annan fackling av restgaser än säkerhetsfackling.</v>
      </c>
      <c r="F846" s="1960"/>
      <c r="G846" s="1960"/>
      <c r="H846" s="1960"/>
      <c r="I846" s="1960"/>
      <c r="J846" s="1960"/>
      <c r="K846" s="1960"/>
      <c r="L846" s="1960"/>
      <c r="M846" s="1960"/>
      <c r="N846" s="2597"/>
      <c r="O846" s="15"/>
      <c r="P846" s="15"/>
      <c r="Q846" s="343"/>
      <c r="R846" s="2"/>
      <c r="S846" s="343"/>
      <c r="T846" s="343"/>
      <c r="U846" s="343"/>
      <c r="V846" s="343"/>
      <c r="W846" s="343"/>
      <c r="X846" s="343"/>
      <c r="Y846" s="343"/>
      <c r="Z846" s="343"/>
      <c r="AA846" s="2"/>
      <c r="AB846" s="2"/>
      <c r="AC846" s="2"/>
      <c r="AD846" s="2"/>
      <c r="AE846" s="2"/>
      <c r="AF846" s="2"/>
      <c r="AG846" s="2"/>
      <c r="AH846" s="2"/>
      <c r="AI846" s="2"/>
      <c r="AJ846" s="2"/>
      <c r="AK846" s="2"/>
      <c r="AL846" s="2"/>
    </row>
    <row r="847" spans="1:38" ht="12.75" customHeight="1" thickBot="1" x14ac:dyDescent="0.3">
      <c r="A847" s="2"/>
      <c r="B847" s="178"/>
      <c r="C847" s="779"/>
      <c r="D847" s="780"/>
      <c r="E847" s="1716"/>
      <c r="F847" s="1717"/>
      <c r="G847" s="361" t="str">
        <f>EUconst_Unit</f>
        <v>Enhet</v>
      </c>
      <c r="H847" s="362">
        <f t="shared" ref="H847:N847" si="377">H$3042</f>
        <v>2019</v>
      </c>
      <c r="I847" s="1103">
        <f t="shared" si="377"/>
        <v>2020</v>
      </c>
      <c r="J847" s="1104">
        <f t="shared" si="377"/>
        <v>2021</v>
      </c>
      <c r="K847" s="362">
        <f t="shared" si="377"/>
        <v>2022</v>
      </c>
      <c r="L847" s="362">
        <f t="shared" si="377"/>
        <v>2023</v>
      </c>
      <c r="M847" s="362">
        <f t="shared" si="377"/>
        <v>2024</v>
      </c>
      <c r="N847" s="1141">
        <f t="shared" si="377"/>
        <v>2025</v>
      </c>
      <c r="O847" s="15"/>
      <c r="P847" s="15"/>
      <c r="Q847" s="343"/>
      <c r="R847" s="2"/>
      <c r="S847" s="343"/>
      <c r="T847" s="343"/>
      <c r="U847" s="343"/>
      <c r="V847" s="343"/>
      <c r="W847" s="343"/>
      <c r="X847" s="343"/>
      <c r="Y847" s="343"/>
      <c r="Z847" s="343"/>
      <c r="AA847" s="2"/>
      <c r="AB847" s="2"/>
      <c r="AC847" s="1044">
        <f t="shared" ref="AC847:AI847" si="378">H$20</f>
        <v>2019</v>
      </c>
      <c r="AD847" s="1044">
        <f t="shared" si="378"/>
        <v>2020</v>
      </c>
      <c r="AE847" s="1044">
        <f t="shared" si="378"/>
        <v>2021</v>
      </c>
      <c r="AF847" s="1044">
        <f t="shared" si="378"/>
        <v>2022</v>
      </c>
      <c r="AG847" s="1044">
        <f t="shared" si="378"/>
        <v>2023</v>
      </c>
      <c r="AH847" s="1044">
        <f t="shared" si="378"/>
        <v>2024</v>
      </c>
      <c r="AI847" s="1044">
        <f t="shared" si="378"/>
        <v>2025</v>
      </c>
      <c r="AJ847" s="2"/>
      <c r="AK847" s="2"/>
      <c r="AL847" s="2"/>
    </row>
    <row r="848" spans="1:38" ht="12.75" customHeight="1" x14ac:dyDescent="0.25">
      <c r="A848" s="2"/>
      <c r="B848" s="178"/>
      <c r="C848" s="779"/>
      <c r="D848" s="416" t="s">
        <v>1201</v>
      </c>
      <c r="E848" s="2611" t="str">
        <f>Translations!$B$629</f>
        <v>Facklade mängder</v>
      </c>
      <c r="F848" s="2484"/>
      <c r="G848" s="1314" t="s">
        <v>2202</v>
      </c>
      <c r="H848" s="1298"/>
      <c r="I848" s="1299"/>
      <c r="J848" s="1300"/>
      <c r="K848" s="1298"/>
      <c r="L848" s="1298"/>
      <c r="M848" s="1298"/>
      <c r="N848" s="1301"/>
      <c r="O848" s="15"/>
      <c r="P848" s="1362"/>
      <c r="Q848" s="343"/>
      <c r="R848" s="2"/>
      <c r="S848" s="343"/>
      <c r="T848" s="343"/>
      <c r="U848" s="343"/>
      <c r="V848" s="343"/>
      <c r="W848" s="343"/>
      <c r="X848" s="343"/>
      <c r="Y848" s="343"/>
      <c r="Z848" s="343"/>
      <c r="AA848" s="2"/>
      <c r="AB848" s="672" t="s">
        <v>782</v>
      </c>
      <c r="AC848" s="108" t="b">
        <f>AC838</f>
        <v>0</v>
      </c>
      <c r="AD848" s="108" t="b">
        <f t="shared" ref="AD848:AI848" si="379">AD838</f>
        <v>0</v>
      </c>
      <c r="AE848" s="108" t="b">
        <f t="shared" si="379"/>
        <v>0</v>
      </c>
      <c r="AF848" s="108" t="b">
        <f t="shared" si="379"/>
        <v>0</v>
      </c>
      <c r="AG848" s="108" t="b">
        <f t="shared" si="379"/>
        <v>0</v>
      </c>
      <c r="AH848" s="108" t="b">
        <f t="shared" si="379"/>
        <v>0</v>
      </c>
      <c r="AI848" s="108" t="b">
        <f t="shared" si="379"/>
        <v>0</v>
      </c>
      <c r="AJ848" s="553" t="s">
        <v>2248</v>
      </c>
      <c r="AK848" s="663" t="str">
        <f>IF(AND(CNTR_ExistSubInstEntries,MSconst_RequireSubAttrEmissions,COUNTIFS(AC848:AI848,FALSE,H848:N848,"")&gt;0),EUconst_Error&amp;"BM"&amp;$Q617,"")</f>
        <v/>
      </c>
      <c r="AL848" s="2"/>
    </row>
    <row r="849" spans="1:38" ht="12.75" customHeight="1" x14ac:dyDescent="0.25">
      <c r="A849" s="2"/>
      <c r="B849" s="178"/>
      <c r="C849" s="779"/>
      <c r="D849" s="416" t="s">
        <v>1202</v>
      </c>
      <c r="E849" s="2612" t="str">
        <f>Translations!$B$318</f>
        <v>Effektivt värmevärde</v>
      </c>
      <c r="F849" s="2487"/>
      <c r="G849" s="51" t="e">
        <f>IF(ISBLANK(G848),EUconst_GJperUnit,INDEX(EUconst_GJperTorKNm3,MATCH(G848,EUconst_TonnesOrkNm3pa,0)))</f>
        <v>#N/A</v>
      </c>
      <c r="H849" s="1306"/>
      <c r="I849" s="1307"/>
      <c r="J849" s="1308"/>
      <c r="K849" s="1306"/>
      <c r="L849" s="1306"/>
      <c r="M849" s="1306"/>
      <c r="N849" s="1309"/>
      <c r="O849" s="15"/>
      <c r="P849" s="1362"/>
      <c r="Q849" s="2"/>
      <c r="R849" s="2"/>
      <c r="S849" s="343"/>
      <c r="T849" s="343"/>
      <c r="U849" s="343"/>
      <c r="V849" s="343"/>
      <c r="W849" s="343"/>
      <c r="X849" s="343"/>
      <c r="Y849" s="343"/>
      <c r="Z849" s="343"/>
      <c r="AA849" s="2"/>
      <c r="AB849" s="2"/>
      <c r="AC849" s="108" t="b">
        <f>AC848</f>
        <v>0</v>
      </c>
      <c r="AD849" s="108" t="b">
        <f t="shared" ref="AD849:AI849" si="380">AD848</f>
        <v>0</v>
      </c>
      <c r="AE849" s="108" t="b">
        <f t="shared" si="380"/>
        <v>0</v>
      </c>
      <c r="AF849" s="108" t="b">
        <f t="shared" si="380"/>
        <v>0</v>
      </c>
      <c r="AG849" s="108" t="b">
        <f t="shared" si="380"/>
        <v>0</v>
      </c>
      <c r="AH849" s="108" t="b">
        <f t="shared" si="380"/>
        <v>0</v>
      </c>
      <c r="AI849" s="108" t="b">
        <f t="shared" si="380"/>
        <v>0</v>
      </c>
      <c r="AJ849" s="553" t="s">
        <v>2248</v>
      </c>
      <c r="AK849" s="663" t="str">
        <f>IF(AND(CNTR_ExistSubInstEntries,MSconst_RequireSubAttrEmissions,COUNTIFS(AC849:AI849,FALSE,H849:N849,"")&gt;0),EUconst_Error&amp;"BM"&amp;$Q617,"")</f>
        <v/>
      </c>
      <c r="AL849" s="2"/>
    </row>
    <row r="850" spans="1:38" ht="12.75" customHeight="1" x14ac:dyDescent="0.25">
      <c r="A850" s="2"/>
      <c r="B850" s="178"/>
      <c r="C850" s="779"/>
      <c r="D850" s="416" t="s">
        <v>1203</v>
      </c>
      <c r="E850" s="2613" t="str">
        <f>Translations!$B$630</f>
        <v>Facklad restgas</v>
      </c>
      <c r="F850" s="1997"/>
      <c r="G850" s="364" t="str">
        <f>EUconst_TJpa</f>
        <v>TJ / år</v>
      </c>
      <c r="H850" s="414" t="str">
        <f t="shared" ref="H850:N850" si="381">IF(COUNT(H848:H849)=2,H848*H849/1000,"")</f>
        <v/>
      </c>
      <c r="I850" s="1108" t="str">
        <f t="shared" si="381"/>
        <v/>
      </c>
      <c r="J850" s="1114" t="str">
        <f t="shared" si="381"/>
        <v/>
      </c>
      <c r="K850" s="414" t="str">
        <f t="shared" si="381"/>
        <v/>
      </c>
      <c r="L850" s="414" t="str">
        <f t="shared" si="381"/>
        <v/>
      </c>
      <c r="M850" s="414" t="str">
        <f t="shared" si="381"/>
        <v/>
      </c>
      <c r="N850" s="1147" t="str">
        <f t="shared" si="381"/>
        <v/>
      </c>
      <c r="O850" s="15"/>
      <c r="P850" s="15"/>
      <c r="Q850" s="165" t="str">
        <f>EUconst_CNTR_WGFlared &amp; I617</f>
        <v>WasteGasFlare_</v>
      </c>
      <c r="R850" s="2"/>
      <c r="S850" s="343"/>
      <c r="T850" s="343"/>
      <c r="U850" s="343"/>
      <c r="V850" s="343"/>
      <c r="W850" s="343"/>
      <c r="X850" s="343"/>
      <c r="Y850" s="343"/>
      <c r="Z850" s="343"/>
      <c r="AA850" s="2"/>
      <c r="AB850" s="2"/>
      <c r="AC850" s="2"/>
      <c r="AD850" s="2"/>
      <c r="AE850" s="2"/>
      <c r="AF850" s="2"/>
      <c r="AG850" s="2"/>
      <c r="AH850" s="2"/>
      <c r="AI850" s="2"/>
      <c r="AJ850" s="2"/>
      <c r="AK850" s="2"/>
      <c r="AL850" s="2"/>
    </row>
    <row r="851" spans="1:38" ht="12.75" customHeight="1" x14ac:dyDescent="0.25">
      <c r="A851" s="2"/>
      <c r="B851" s="178"/>
      <c r="C851" s="779"/>
      <c r="D851" s="416" t="s">
        <v>1204</v>
      </c>
      <c r="E851" s="2613" t="str">
        <f>Translations!$B$631</f>
        <v>Särskild emissionsfaktor (facklad restgas)</v>
      </c>
      <c r="F851" s="1997"/>
      <c r="G851" s="364" t="str">
        <f>EUconst_tCO2pTJ</f>
        <v>t CO2 / TJ</v>
      </c>
      <c r="H851" s="582"/>
      <c r="I851" s="1105"/>
      <c r="J851" s="1115"/>
      <c r="K851" s="582"/>
      <c r="L851" s="582"/>
      <c r="M851" s="582"/>
      <c r="N851" s="1146"/>
      <c r="O851" s="15"/>
      <c r="P851" s="1362"/>
      <c r="Q851" s="165" t="str">
        <f>EUconst_CNTR_WGFlaredEF &amp; I617</f>
        <v>WasteGasFlareEF_</v>
      </c>
      <c r="R851" s="2"/>
      <c r="S851" s="343"/>
      <c r="T851" s="343"/>
      <c r="U851" s="343"/>
      <c r="V851" s="343"/>
      <c r="W851" s="343"/>
      <c r="X851" s="343"/>
      <c r="Y851" s="343"/>
      <c r="Z851" s="343"/>
      <c r="AA851" s="2"/>
      <c r="AB851" s="672" t="s">
        <v>782</v>
      </c>
      <c r="AC851" s="108" t="b">
        <f>AC849</f>
        <v>0</v>
      </c>
      <c r="AD851" s="108" t="b">
        <f t="shared" ref="AD851:AI851" si="382">AD849</f>
        <v>0</v>
      </c>
      <c r="AE851" s="108" t="b">
        <f t="shared" si="382"/>
        <v>0</v>
      </c>
      <c r="AF851" s="108" t="b">
        <f t="shared" si="382"/>
        <v>0</v>
      </c>
      <c r="AG851" s="108" t="b">
        <f t="shared" si="382"/>
        <v>0</v>
      </c>
      <c r="AH851" s="108" t="b">
        <f t="shared" si="382"/>
        <v>0</v>
      </c>
      <c r="AI851" s="108" t="b">
        <f t="shared" si="382"/>
        <v>0</v>
      </c>
      <c r="AJ851" s="553" t="s">
        <v>2248</v>
      </c>
      <c r="AK851" s="663" t="str">
        <f>IF(AND(CNTR_ExistSubInstEntries,MSconst_RequireSubAttrEmissions,COUNTIFS(AC851:AI851,FALSE,H851:N851,"")&gt;0),EUconst_Error&amp;"BM"&amp;$Q617,"")</f>
        <v/>
      </c>
      <c r="AL851" s="2"/>
    </row>
    <row r="852" spans="1:38" ht="5.15" customHeight="1" thickBot="1" x14ac:dyDescent="0.3">
      <c r="A852" s="2"/>
      <c r="B852" s="178"/>
      <c r="C852" s="779"/>
      <c r="D852" s="780"/>
      <c r="E852" s="780"/>
      <c r="F852" s="780"/>
      <c r="G852" s="780"/>
      <c r="H852" s="1805"/>
      <c r="I852" s="780"/>
      <c r="J852" s="780"/>
      <c r="K852" s="780"/>
      <c r="L852" s="780"/>
      <c r="M852" s="623"/>
      <c r="N852" s="519"/>
      <c r="O852" s="15"/>
      <c r="P852" s="15"/>
      <c r="Q852" s="343"/>
      <c r="R852" s="2"/>
      <c r="S852" s="343"/>
      <c r="T852" s="343"/>
      <c r="U852" s="343"/>
      <c r="V852" s="343"/>
      <c r="W852" s="2"/>
      <c r="X852" s="2"/>
      <c r="Y852" s="2"/>
      <c r="Z852" s="2"/>
      <c r="AA852" s="2"/>
      <c r="AB852" s="2"/>
      <c r="AC852" s="2"/>
      <c r="AD852" s="2"/>
      <c r="AE852" s="2"/>
      <c r="AF852" s="2"/>
      <c r="AG852" s="2"/>
      <c r="AH852" s="2"/>
      <c r="AI852" s="2"/>
      <c r="AJ852" s="2"/>
      <c r="AK852" s="2"/>
      <c r="AL852" s="2"/>
    </row>
    <row r="853" spans="1:38" ht="12.75" customHeight="1" thickBot="1" x14ac:dyDescent="0.3">
      <c r="A853" s="2"/>
      <c r="B853" s="178"/>
      <c r="C853" s="779"/>
      <c r="D853" s="780"/>
      <c r="E853" s="2613" t="str">
        <f>Translations!$B$1484</f>
        <v>Mängd facklad restgas</v>
      </c>
      <c r="F853" s="2613"/>
      <c r="G853" s="1206" t="str">
        <f>EUconst_tCO2</f>
        <v>t CO2</v>
      </c>
      <c r="H853" s="626" t="str">
        <f t="shared" ref="H853:N853" si="383">IF(T625,SUM(H850)*SUM(H851),"")</f>
        <v/>
      </c>
      <c r="I853" s="1364" t="str">
        <f t="shared" si="383"/>
        <v/>
      </c>
      <c r="J853" s="1365" t="str">
        <f t="shared" si="383"/>
        <v/>
      </c>
      <c r="K853" s="626" t="str">
        <f t="shared" si="383"/>
        <v/>
      </c>
      <c r="L853" s="626" t="str">
        <f t="shared" si="383"/>
        <v/>
      </c>
      <c r="M853" s="626" t="str">
        <f t="shared" si="383"/>
        <v/>
      </c>
      <c r="N853" s="626" t="str">
        <f t="shared" si="383"/>
        <v/>
      </c>
      <c r="O853" s="15"/>
      <c r="P853" s="15"/>
      <c r="Q853" s="165" t="str">
        <f>EUconst_CNTR_HAL &amp; EUconst_CNTR_WGFlared &amp; I617</f>
        <v>HAL_WasteGasFlare_</v>
      </c>
      <c r="R853" s="2"/>
      <c r="S853" s="553" t="s">
        <v>1962</v>
      </c>
      <c r="T853" s="445" t="b">
        <f>CNTR_SubPeriod=2</f>
        <v>1</v>
      </c>
      <c r="U853" s="343"/>
      <c r="V853" s="343"/>
      <c r="W853" s="2"/>
      <c r="X853" s="2"/>
      <c r="Y853" s="2"/>
      <c r="Z853" s="2"/>
      <c r="AA853" s="2"/>
      <c r="AB853" s="2"/>
      <c r="AC853" s="2"/>
      <c r="AD853" s="2"/>
      <c r="AE853" s="2"/>
      <c r="AF853" s="2"/>
      <c r="AG853" s="2"/>
      <c r="AH853" s="2"/>
      <c r="AI853" s="2"/>
      <c r="AJ853" s="2"/>
      <c r="AK853" s="2"/>
      <c r="AL853" s="2"/>
    </row>
    <row r="854" spans="1:38" ht="5.15" customHeight="1" thickBot="1" x14ac:dyDescent="0.3">
      <c r="A854" s="2"/>
      <c r="B854" s="178"/>
      <c r="C854" s="779"/>
      <c r="D854" s="780"/>
      <c r="E854" s="780"/>
      <c r="F854" s="780"/>
      <c r="G854" s="780"/>
      <c r="H854" s="1805"/>
      <c r="I854" s="780"/>
      <c r="J854" s="780"/>
      <c r="K854" s="780"/>
      <c r="L854" s="780"/>
      <c r="M854" s="623"/>
      <c r="N854" s="519"/>
      <c r="O854" s="15"/>
      <c r="P854" s="15"/>
      <c r="Q854" s="343"/>
      <c r="R854" s="2"/>
      <c r="S854" s="343"/>
      <c r="T854" s="343"/>
      <c r="U854" s="343"/>
      <c r="V854" s="343"/>
      <c r="W854" s="2"/>
      <c r="X854" s="2"/>
      <c r="Y854" s="2"/>
      <c r="Z854" s="2"/>
      <c r="AA854" s="2"/>
      <c r="AB854" s="2"/>
      <c r="AC854" s="2"/>
      <c r="AD854" s="2"/>
      <c r="AE854" s="2"/>
      <c r="AF854" s="2"/>
      <c r="AG854" s="2"/>
      <c r="AH854" s="2"/>
      <c r="AI854" s="2"/>
      <c r="AJ854" s="2"/>
      <c r="AK854" s="2"/>
      <c r="AL854" s="2"/>
    </row>
    <row r="855" spans="1:38" ht="5.15" customHeight="1" thickBot="1" x14ac:dyDescent="0.3">
      <c r="A855" s="2"/>
      <c r="B855" s="178"/>
      <c r="C855" s="779"/>
      <c r="D855" s="1263"/>
      <c r="E855" s="1264"/>
      <c r="F855" s="1264"/>
      <c r="G855" s="1264"/>
      <c r="H855" s="1265"/>
      <c r="I855" s="1264"/>
      <c r="J855" s="1264"/>
      <c r="K855" s="1264"/>
      <c r="L855" s="1264"/>
      <c r="M855" s="1266"/>
      <c r="N855" s="1267"/>
      <c r="O855" s="15"/>
      <c r="P855" s="15"/>
      <c r="Q855" s="343"/>
      <c r="R855" s="2"/>
      <c r="S855" s="343"/>
      <c r="T855" s="343"/>
      <c r="U855" s="343"/>
      <c r="V855" s="343"/>
      <c r="W855" s="2"/>
      <c r="X855" s="2"/>
      <c r="Y855" s="2"/>
      <c r="Z855" s="2"/>
      <c r="AA855" s="2"/>
      <c r="AB855" s="2"/>
      <c r="AC855" s="2"/>
      <c r="AD855" s="2"/>
      <c r="AE855" s="2"/>
      <c r="AF855" s="2"/>
      <c r="AG855" s="2"/>
      <c r="AH855" s="2"/>
      <c r="AI855" s="2"/>
      <c r="AJ855" s="2"/>
      <c r="AK855" s="2"/>
      <c r="AL855" s="2"/>
    </row>
    <row r="856" spans="1:38" ht="12.75" customHeight="1" x14ac:dyDescent="0.25">
      <c r="A856" s="2"/>
      <c r="B856" s="178"/>
      <c r="C856" s="779"/>
      <c r="D856" s="1290" t="s">
        <v>2193</v>
      </c>
      <c r="E856" s="2619" t="str">
        <f>Translations!$B$1485</f>
        <v>Justeringar: facklad restgas</v>
      </c>
      <c r="F856" s="2497"/>
      <c r="G856" s="2497"/>
      <c r="H856" s="1228" t="str">
        <f>EUconst_Unit</f>
        <v>Enhet</v>
      </c>
      <c r="I856" s="1229" t="str">
        <f>Translations!$B$1481</f>
        <v>Värde (NIMs)</v>
      </c>
      <c r="J856" s="1268">
        <f>J$3042</f>
        <v>2021</v>
      </c>
      <c r="K856" s="1230">
        <f>K$3042</f>
        <v>2022</v>
      </c>
      <c r="L856" s="1230">
        <f>L$3042</f>
        <v>2023</v>
      </c>
      <c r="M856" s="1230">
        <f>M$3042</f>
        <v>2024</v>
      </c>
      <c r="N856" s="1258">
        <f>N$3042</f>
        <v>2025</v>
      </c>
      <c r="O856" s="15"/>
      <c r="P856" s="15"/>
      <c r="Q856" s="343"/>
      <c r="R856" s="2"/>
      <c r="S856" s="2"/>
      <c r="T856" s="2"/>
      <c r="U856" s="772"/>
      <c r="V856" s="1077">
        <f>J856</f>
        <v>2021</v>
      </c>
      <c r="W856" s="1077">
        <f>K856</f>
        <v>2022</v>
      </c>
      <c r="X856" s="1077">
        <f>L856</f>
        <v>2023</v>
      </c>
      <c r="Y856" s="1077">
        <f>M856</f>
        <v>2024</v>
      </c>
      <c r="Z856" s="1078">
        <f>N856</f>
        <v>2025</v>
      </c>
      <c r="AA856" s="2"/>
      <c r="AB856" s="2"/>
      <c r="AC856" s="2"/>
      <c r="AD856" s="2"/>
      <c r="AE856" s="2"/>
      <c r="AF856" s="2"/>
      <c r="AG856" s="2"/>
      <c r="AH856" s="2"/>
      <c r="AI856" s="2"/>
      <c r="AJ856" s="2"/>
      <c r="AK856" s="2"/>
      <c r="AL856" s="2"/>
    </row>
    <row r="857" spans="1:38" ht="12.75" customHeight="1" x14ac:dyDescent="0.25">
      <c r="A857" s="2"/>
      <c r="B857" s="178"/>
      <c r="C857" s="779"/>
      <c r="D857" s="1246" t="s">
        <v>8</v>
      </c>
      <c r="E857" s="2618" t="str">
        <f>Translations!$B$1482</f>
        <v>Genomsnittligt årligt värde</v>
      </c>
      <c r="F857" s="1997"/>
      <c r="G857" s="1997"/>
      <c r="H857" s="1232" t="str">
        <f>G853</f>
        <v>t CO2</v>
      </c>
      <c r="I857" s="990" t="str">
        <f>INDEX('B+C_SubInstallations'!$K:$K,MATCH(Q857,'B+C_SubInstallations'!$V:$V,0))</f>
        <v/>
      </c>
      <c r="J857" s="1215" t="str">
        <f>IF($T853&lt;&gt;TRUE,"",IF(AND(V857&gt;=3,CNTR_ReportingYear&gt;J856-1),AVERAGE(SUM(H853),SUM(I853)),""))</f>
        <v/>
      </c>
      <c r="K857" s="1216" t="str">
        <f>IF($T853&lt;&gt;TRUE,"",IF(AND(W857&gt;=3,CNTR_ReportingYear&gt;K856-1),AVERAGE(SUM(I853),SUM(J853)),""))</f>
        <v/>
      </c>
      <c r="L857" s="1216" t="str">
        <f>IF($T853&lt;&gt;TRUE,"",IF(AND(X857&gt;=3,CNTR_ReportingYear&gt;L856-1),AVERAGE(SUM(J853),SUM(K853)),""))</f>
        <v/>
      </c>
      <c r="M857" s="1216" t="str">
        <f>IF($T853&lt;&gt;TRUE,"",IF(AND(Y857&gt;=3,CNTR_ReportingYear&gt;M856-1),AVERAGE(SUM(K853),SUM(L853)),""))</f>
        <v/>
      </c>
      <c r="N857" s="1227" t="str">
        <f>IF($T853&lt;&gt;TRUE,"",IF(AND(Z857&gt;=3,CNTR_ReportingYear&gt;N856-1),AVERAGE(SUM(L853),SUM(M853)),""))</f>
        <v/>
      </c>
      <c r="O857" s="15"/>
      <c r="P857" s="15"/>
      <c r="Q857" s="165" t="str">
        <f>EUconst_CNTR_HALinitial &amp; EUconst_CNTR_WGFlared &amp; I617</f>
        <v>HALini_WasteGasFlare_</v>
      </c>
      <c r="R857" s="2"/>
      <c r="S857" s="2"/>
      <c r="T857" s="2"/>
      <c r="U857" s="1079" t="s">
        <v>1850</v>
      </c>
      <c r="V857" s="663">
        <f>V639</f>
        <v>0</v>
      </c>
      <c r="W857" s="663">
        <f>W639</f>
        <v>0</v>
      </c>
      <c r="X857" s="663">
        <f>X639</f>
        <v>0</v>
      </c>
      <c r="Y857" s="663">
        <f>Y639</f>
        <v>0</v>
      </c>
      <c r="Z857" s="1080">
        <f>Z639</f>
        <v>0</v>
      </c>
      <c r="AA857" s="2"/>
      <c r="AB857" s="2"/>
      <c r="AC857" s="2"/>
      <c r="AD857" s="2"/>
      <c r="AE857" s="2"/>
      <c r="AF857" s="2"/>
      <c r="AG857" s="2"/>
      <c r="AH857" s="2"/>
      <c r="AI857" s="2"/>
      <c r="AJ857" s="2"/>
      <c r="AK857" s="2"/>
      <c r="AL857" s="2"/>
    </row>
    <row r="858" spans="1:38" ht="12.75" hidden="1" customHeight="1" x14ac:dyDescent="0.25">
      <c r="A858" s="343" t="s">
        <v>346</v>
      </c>
      <c r="B858" s="178"/>
      <c r="C858" s="779"/>
      <c r="D858" s="1246"/>
      <c r="E858" s="2618" t="s">
        <v>1980</v>
      </c>
      <c r="F858" s="1997"/>
      <c r="G858" s="1997"/>
      <c r="H858" s="1233"/>
      <c r="I858" s="1235"/>
      <c r="J858" s="1013" t="str">
        <f>IF(J857="","",IF($I860=0,IF(J857=0,0%,100%),J857/$I860-1))</f>
        <v/>
      </c>
      <c r="K858" s="938" t="str">
        <f>IF(K857="","",IF($I860=0,IF(K857=0,0%,100%),K857/$I860-1))</f>
        <v/>
      </c>
      <c r="L858" s="938" t="str">
        <f>IF(L857="","",IF($I860=0,IF(L857=0,0%,100%),L857/$I860-1))</f>
        <v/>
      </c>
      <c r="M858" s="938" t="str">
        <f>IF(M857="","",IF($I860=0,IF(M857=0,0%,100%),M857/$I860-1))</f>
        <v/>
      </c>
      <c r="N858" s="1223" t="str">
        <f>IF(N857="","",IF($I860=0,IF(N857=0,0%,100%),N857/$I860-1))</f>
        <v/>
      </c>
      <c r="O858" s="15"/>
      <c r="P858" s="15"/>
      <c r="Q858" s="165" t="str">
        <f>EUconst_CNTR_RelThreshold &amp; Q860</f>
        <v>RelThresh_HALprelim_WasteGasFlare_</v>
      </c>
      <c r="R858" s="2"/>
      <c r="S858" s="2"/>
      <c r="T858" s="2"/>
      <c r="U858" s="1079" t="s">
        <v>1855</v>
      </c>
      <c r="V858" s="603" t="str">
        <f>IF(J857="","",ABS(J858)&gt;15%)</f>
        <v/>
      </c>
      <c r="W858" s="603" t="str">
        <f>IF(K857="","",ABS(K858)&gt;15%)</f>
        <v/>
      </c>
      <c r="X858" s="603" t="str">
        <f>IF(L857="","",ABS(L858)&gt;15%)</f>
        <v/>
      </c>
      <c r="Y858" s="603" t="str">
        <f>IF(M857="","",ABS(M858)&gt;15%)</f>
        <v/>
      </c>
      <c r="Z858" s="1756" t="str">
        <f>IF(N857="","",ABS(N858)&gt;15%)</f>
        <v/>
      </c>
      <c r="AA858" s="2"/>
      <c r="AB858" s="2"/>
      <c r="AC858" s="2"/>
      <c r="AD858" s="2"/>
      <c r="AE858" s="2"/>
      <c r="AF858" s="2"/>
      <c r="AG858" s="2"/>
      <c r="AH858" s="2"/>
      <c r="AI858" s="2"/>
      <c r="AJ858" s="2"/>
      <c r="AK858" s="2"/>
      <c r="AL858" s="2"/>
    </row>
    <row r="859" spans="1:38" ht="12.75" customHeight="1" x14ac:dyDescent="0.25">
      <c r="A859" s="343"/>
      <c r="B859" s="178"/>
      <c r="C859" s="779"/>
      <c r="D859" s="1246" t="s">
        <v>9</v>
      </c>
      <c r="E859" s="2618" t="str">
        <f>Translations!$B$1474</f>
        <v>Preliminär justering (om relativa tröskelvärden överskrids)</v>
      </c>
      <c r="F859" s="1997"/>
      <c r="G859" s="1997"/>
      <c r="H859" s="1233"/>
      <c r="I859" s="1235"/>
      <c r="J859" s="992" t="str">
        <f>IF(J857="","",IF(V858=FALSE,0%,J858))</f>
        <v/>
      </c>
      <c r="K859" s="937" t="str">
        <f>IF(K857="","",IF(W858=FALSE,0%,K858))</f>
        <v/>
      </c>
      <c r="L859" s="937" t="str">
        <f>IF(L857="","",IF(X858=FALSE,0%,L858))</f>
        <v/>
      </c>
      <c r="M859" s="937" t="str">
        <f>IF(M857="","",IF(Y858=FALSE,0%,M858))</f>
        <v/>
      </c>
      <c r="N859" s="1220" t="str">
        <f>IF(N857="","",IF(Z858=FALSE,0%,N858))</f>
        <v/>
      </c>
      <c r="O859" s="15"/>
      <c r="P859" s="15"/>
      <c r="Q859" s="343"/>
      <c r="R859" s="2"/>
      <c r="S859" s="2"/>
      <c r="T859" s="2"/>
      <c r="U859" s="1081"/>
      <c r="V859" s="2"/>
      <c r="W859" s="2"/>
      <c r="X859" s="2"/>
      <c r="Y859" s="2"/>
      <c r="Z859" s="228"/>
      <c r="AA859" s="2"/>
      <c r="AB859" s="2"/>
      <c r="AC859" s="2"/>
      <c r="AD859" s="2"/>
      <c r="AE859" s="2"/>
      <c r="AF859" s="2"/>
      <c r="AG859" s="2"/>
      <c r="AH859" s="2"/>
      <c r="AI859" s="2"/>
      <c r="AJ859" s="2"/>
      <c r="AK859" s="2"/>
      <c r="AL859" s="2"/>
    </row>
    <row r="860" spans="1:38" ht="12.75" hidden="1" customHeight="1" x14ac:dyDescent="0.25">
      <c r="A860" s="343" t="s">
        <v>346</v>
      </c>
      <c r="B860" s="178"/>
      <c r="C860" s="779"/>
      <c r="D860" s="1246"/>
      <c r="E860" s="2618" t="s">
        <v>1889</v>
      </c>
      <c r="F860" s="1997"/>
      <c r="G860" s="1997"/>
      <c r="H860" s="1232" t="str">
        <f>H857</f>
        <v>t CO2</v>
      </c>
      <c r="I860" s="990" t="str">
        <f>IF($I617="","",IF(AB617=FALSE,EUconst_NA,IF(V617&gt;($J$3042-3),INDEX(H853:N853,MATCH(V617,H847:N847,0)),SUM(I857))))</f>
        <v/>
      </c>
      <c r="J860" s="993" t="str">
        <f>IF($I617="","",IF(V857&lt;2,SUM(J853),IF(V857&lt;3,SUM(I853),IF(V860="",I860,V860))))</f>
        <v/>
      </c>
      <c r="K860" s="920" t="str">
        <f>IF($I617="","",IF(W857&lt;2,SUM(K853),IF(W857&lt;3,SUM(J853),IF(W860="",J860,W860))))</f>
        <v/>
      </c>
      <c r="L860" s="920" t="str">
        <f>IF($I617="","",IF(X857&lt;2,SUM(L853),IF(X857&lt;3,SUM(K853),IF(X860="",K860,X860))))</f>
        <v/>
      </c>
      <c r="M860" s="920" t="str">
        <f>IF($I617="","",IF(Y857&lt;2,SUM(M853),IF(Y857&lt;3,SUM(L853),IF(Y860="",L860,Y860))))</f>
        <v/>
      </c>
      <c r="N860" s="1218" t="str">
        <f>IF($I617="","",IF(Z857&lt;2,SUM(N853),IF(Z857&lt;3,SUM(M853),IF(Z860="",M860,Z860))))</f>
        <v/>
      </c>
      <c r="O860" s="15"/>
      <c r="P860" s="15"/>
      <c r="Q860" s="165" t="str">
        <f>EUconst_CNTR_HALprelim&amp;EUconst_CNTR_WGFlared &amp; I617</f>
        <v>HALprelim_WasteGasFlare_</v>
      </c>
      <c r="R860" s="2"/>
      <c r="S860" s="2"/>
      <c r="T860" s="2"/>
      <c r="U860" s="1079" t="s">
        <v>1898</v>
      </c>
      <c r="V860" s="1752" t="str">
        <f>IF(J857="","",IF(CNTR_ReportingYear&lt;J856,I859,IF($I860=0,J857,$I860*(1+J859))))</f>
        <v/>
      </c>
      <c r="W860" s="1752" t="str">
        <f>IF(K857="","",IF(CNTR_ReportingYear&lt;K856,J859,IF($I860=0,K857,$I860*(1+K859))))</f>
        <v/>
      </c>
      <c r="X860" s="1752" t="str">
        <f>IF(L857="","",IF(CNTR_ReportingYear&lt;L856,K859,IF($I860=0,L857,$I860*(1+L859))))</f>
        <v/>
      </c>
      <c r="Y860" s="1752" t="str">
        <f>IF(M857="","",IF(CNTR_ReportingYear&lt;M856,L859,IF($I860=0,M857,$I860*(1+M859))))</f>
        <v/>
      </c>
      <c r="Z860" s="1761" t="str">
        <f>IF(N857="","",IF(CNTR_ReportingYear&lt;N856,M859,IF($I860=0,N857,$I860*(1+N859))))</f>
        <v/>
      </c>
      <c r="AA860" s="2"/>
      <c r="AB860" s="2"/>
      <c r="AC860" s="2"/>
      <c r="AD860" s="2"/>
      <c r="AE860" s="2"/>
      <c r="AF860" s="2"/>
      <c r="AG860" s="2"/>
      <c r="AH860" s="2"/>
      <c r="AI860" s="2"/>
      <c r="AJ860" s="2"/>
      <c r="AK860" s="2"/>
      <c r="AL860" s="2"/>
    </row>
    <row r="861" spans="1:38" ht="5.15" customHeight="1" x14ac:dyDescent="0.25">
      <c r="A861" s="343"/>
      <c r="B861" s="178"/>
      <c r="C861" s="779"/>
      <c r="D861" s="1246"/>
      <c r="E861" s="1244"/>
      <c r="F861" s="1244"/>
      <c r="G861" s="1244"/>
      <c r="H861" s="1244"/>
      <c r="I861" s="1244"/>
      <c r="J861" s="1236"/>
      <c r="K861" s="1236"/>
      <c r="L861" s="1236"/>
      <c r="M861" s="1236"/>
      <c r="N861" s="1247"/>
      <c r="O861" s="15"/>
      <c r="P861" s="15"/>
      <c r="Q861" s="343"/>
      <c r="R861" s="2"/>
      <c r="S861" s="2"/>
      <c r="T861" s="2"/>
      <c r="U861" s="1086"/>
      <c r="V861" s="343"/>
      <c r="W861" s="2"/>
      <c r="X861" s="2"/>
      <c r="Y861" s="2"/>
      <c r="Z861" s="228"/>
      <c r="AA861" s="2"/>
      <c r="AB861" s="2"/>
      <c r="AC861" s="2"/>
      <c r="AD861" s="2"/>
      <c r="AE861" s="2"/>
      <c r="AF861" s="2"/>
      <c r="AG861" s="2"/>
      <c r="AH861" s="2"/>
      <c r="AI861" s="2"/>
      <c r="AJ861" s="2"/>
      <c r="AK861" s="2"/>
      <c r="AL861" s="2"/>
    </row>
    <row r="862" spans="1:38" ht="12.75" customHeight="1" x14ac:dyDescent="0.25">
      <c r="A862" s="343"/>
      <c r="B862" s="178"/>
      <c r="C862" s="779"/>
      <c r="D862" s="1246"/>
      <c r="E862" s="2619" t="str">
        <f>Translations!$B$1475</f>
        <v>Faktisk justering (grund för följande år)</v>
      </c>
      <c r="F862" s="2497"/>
      <c r="G862" s="2497"/>
      <c r="H862" s="2497"/>
      <c r="I862" s="2616"/>
      <c r="J862" s="1268">
        <f>J$3042</f>
        <v>2021</v>
      </c>
      <c r="K862" s="1230">
        <f>K$3042</f>
        <v>2022</v>
      </c>
      <c r="L862" s="1230">
        <f>L$3042</f>
        <v>2023</v>
      </c>
      <c r="M862" s="1230">
        <f>M$3042</f>
        <v>2024</v>
      </c>
      <c r="N862" s="1258">
        <f>N$3042</f>
        <v>2025</v>
      </c>
      <c r="O862" s="15"/>
      <c r="P862" s="15"/>
      <c r="Q862" s="343"/>
      <c r="R862" s="2"/>
      <c r="S862" s="2"/>
      <c r="T862" s="2"/>
      <c r="U862" s="584"/>
      <c r="V862" s="2"/>
      <c r="W862" s="2"/>
      <c r="X862" s="2"/>
      <c r="Y862" s="2"/>
      <c r="Z862" s="228"/>
      <c r="AA862" s="2"/>
      <c r="AB862" s="2"/>
      <c r="AC862" s="2"/>
      <c r="AD862" s="2"/>
      <c r="AE862" s="2"/>
      <c r="AF862" s="2"/>
      <c r="AG862" s="2"/>
      <c r="AH862" s="2"/>
      <c r="AI862" s="2"/>
      <c r="AJ862" s="2"/>
      <c r="AK862" s="2"/>
      <c r="AL862" s="2"/>
    </row>
    <row r="863" spans="1:38" ht="12.75" customHeight="1" x14ac:dyDescent="0.25">
      <c r="A863" s="343"/>
      <c r="B863" s="178"/>
      <c r="C863" s="779"/>
      <c r="D863" s="1246" t="s">
        <v>10</v>
      </c>
      <c r="E863" s="2618" t="str">
        <f>Translations!$B$1476</f>
        <v>&gt;= 100 utsläppsrätter kriterium uppnått?</v>
      </c>
      <c r="F863" s="1997"/>
      <c r="G863" s="1997"/>
      <c r="H863" s="1997"/>
      <c r="I863" s="2620"/>
      <c r="J863" s="994" t="str">
        <f>IF($I617="","",INDEX(K_Summary!J:J,MATCH($Q863,K_Summary!$P:$P,0)))</f>
        <v/>
      </c>
      <c r="K863" s="912" t="str">
        <f>IF($I617="","",INDEX(K_Summary!K:K,MATCH($Q863,K_Summary!$P:$P,0)))</f>
        <v/>
      </c>
      <c r="L863" s="912" t="str">
        <f>IF($I617="","",INDEX(K_Summary!L:L,MATCH($Q863,K_Summary!$P:$P,0)))</f>
        <v/>
      </c>
      <c r="M863" s="912" t="str">
        <f>IF($I617="","",INDEX(K_Summary!M:M,MATCH($Q863,K_Summary!$P:$P,0)))</f>
        <v/>
      </c>
      <c r="N863" s="1221" t="str">
        <f>IF($I617="","",INDEX(K_Summary!N:N,MATCH($Q863,K_Summary!$P:$P,0)))</f>
        <v/>
      </c>
      <c r="O863" s="15"/>
      <c r="P863" s="15"/>
      <c r="Q863" s="165" t="str">
        <f>EUconst_CNTR_100EUA_WGFlare&amp;I617</f>
        <v>EUA100WGFlare_</v>
      </c>
      <c r="R863" s="2"/>
      <c r="S863" s="2"/>
      <c r="T863" s="2"/>
      <c r="U863" s="584"/>
      <c r="V863" s="2"/>
      <c r="W863" s="2"/>
      <c r="X863" s="2"/>
      <c r="Y863" s="2"/>
      <c r="Z863" s="228"/>
      <c r="AA863" s="2"/>
      <c r="AB863" s="2"/>
      <c r="AC863" s="2"/>
      <c r="AD863" s="2"/>
      <c r="AE863" s="2"/>
      <c r="AF863" s="2"/>
      <c r="AG863" s="2"/>
      <c r="AH863" s="2"/>
      <c r="AI863" s="2"/>
      <c r="AJ863" s="2"/>
      <c r="AK863" s="2"/>
      <c r="AL863" s="2"/>
    </row>
    <row r="864" spans="1:38" ht="5.15" customHeight="1" thickBot="1" x14ac:dyDescent="0.3">
      <c r="A864" s="343"/>
      <c r="B864" s="178"/>
      <c r="C864" s="779"/>
      <c r="D864" s="1246"/>
      <c r="E864" s="1244"/>
      <c r="F864" s="1244"/>
      <c r="G864" s="1244"/>
      <c r="H864" s="1244"/>
      <c r="I864" s="1244"/>
      <c r="J864" s="1244"/>
      <c r="K864" s="1244"/>
      <c r="L864" s="1244"/>
      <c r="M864" s="1244"/>
      <c r="N864" s="1248"/>
      <c r="O864" s="15"/>
      <c r="P864" s="15"/>
      <c r="Q864" s="343"/>
      <c r="R864" s="2"/>
      <c r="S864" s="2"/>
      <c r="T864" s="2"/>
      <c r="U864" s="1086"/>
      <c r="V864" s="343"/>
      <c r="W864" s="2"/>
      <c r="X864" s="2"/>
      <c r="Y864" s="2"/>
      <c r="Z864" s="228"/>
      <c r="AA864" s="2"/>
      <c r="AB864" s="2"/>
      <c r="AC864" s="2"/>
      <c r="AD864" s="2"/>
      <c r="AE864" s="2"/>
      <c r="AF864" s="2"/>
      <c r="AG864" s="2"/>
      <c r="AH864" s="2"/>
      <c r="AI864" s="2"/>
      <c r="AJ864" s="2"/>
      <c r="AK864" s="2"/>
      <c r="AL864" s="2"/>
    </row>
    <row r="865" spans="1:38" ht="12.75" customHeight="1" thickBot="1" x14ac:dyDescent="0.3">
      <c r="A865" s="2"/>
      <c r="B865" s="178"/>
      <c r="C865" s="779"/>
      <c r="D865" s="1246" t="s">
        <v>23</v>
      </c>
      <c r="E865" s="2618" t="str">
        <f>Translations!$B$1477</f>
        <v>Faktisk justering (om alla tröskelvärden överskrids)</v>
      </c>
      <c r="F865" s="1997"/>
      <c r="G865" s="1997"/>
      <c r="H865" s="1997"/>
      <c r="I865" s="2620"/>
      <c r="J865" s="1099" t="str">
        <f>IF(J863="","",IF(OR(J863,V857&lt;1),J859,I865))</f>
        <v/>
      </c>
      <c r="K865" s="1100" t="str">
        <f>IF(K863="","",IF(OR(K863,W857&lt;1),K859,J865))</f>
        <v/>
      </c>
      <c r="L865" s="1100" t="str">
        <f>IF(L863="","",IF(OR(L863,X857&lt;1),L859,K865))</f>
        <v/>
      </c>
      <c r="M865" s="1100" t="str">
        <f>IF(M863="","",IF(OR(M863,Y857&lt;1),M859,L865))</f>
        <v/>
      </c>
      <c r="N865" s="1101" t="str">
        <f>IF(N863="","",IF(OR(N863,Z857&lt;1),N859,M865))</f>
        <v/>
      </c>
      <c r="O865" s="15"/>
      <c r="P865" s="15"/>
      <c r="Q865" s="343"/>
      <c r="R865" s="2"/>
      <c r="S865" s="2"/>
      <c r="T865" s="2"/>
      <c r="U865" s="1086" t="s">
        <v>1858</v>
      </c>
      <c r="V865" s="1068">
        <f>J862</f>
        <v>2021</v>
      </c>
      <c r="W865" s="1068">
        <f>K862</f>
        <v>2022</v>
      </c>
      <c r="X865" s="1068">
        <f>L862</f>
        <v>2023</v>
      </c>
      <c r="Y865" s="1068">
        <f>M862</f>
        <v>2024</v>
      </c>
      <c r="Z865" s="1087">
        <f>N862</f>
        <v>2025</v>
      </c>
      <c r="AA865" s="2"/>
      <c r="AB865" s="2"/>
      <c r="AC865" s="2"/>
      <c r="AD865" s="2"/>
      <c r="AE865" s="2"/>
      <c r="AF865" s="2"/>
      <c r="AG865" s="2"/>
      <c r="AH865" s="2"/>
      <c r="AI865" s="2"/>
      <c r="AJ865" s="2"/>
      <c r="AK865" s="2"/>
      <c r="AL865" s="2"/>
    </row>
    <row r="866" spans="1:38" ht="12.75" customHeight="1" thickBot="1" x14ac:dyDescent="0.3">
      <c r="A866" s="343"/>
      <c r="B866" s="178"/>
      <c r="C866" s="779"/>
      <c r="D866" s="1246" t="s">
        <v>859</v>
      </c>
      <c r="E866" s="2618" t="str">
        <f>Translations!$B$1478</f>
        <v>Faktiskt värde</v>
      </c>
      <c r="F866" s="1997"/>
      <c r="G866" s="1997"/>
      <c r="H866" s="1232" t="str">
        <f>H857</f>
        <v>t CO2</v>
      </c>
      <c r="I866" s="990" t="str">
        <f>I860</f>
        <v/>
      </c>
      <c r="J866" s="1072" t="str">
        <f>IF($I617="","",IF(OR($I866=0,$I866=EUconst_NA),IF(OR(J863=TRUE,J862=$V617),J860,SUM(I866)),IF(J865="",J860,$I866*(1+SUM(J865)))))</f>
        <v/>
      </c>
      <c r="K866" s="1073" t="str">
        <f>IF($I617="","",IF(OR($I866=0,$I866=EUconst_NA),IF(OR(K863=TRUE,K862=$V617),K860,SUM(J866)),IF(K865="",K860,$I866*(1+SUM(K865)))))</f>
        <v/>
      </c>
      <c r="L866" s="1073" t="str">
        <f>IF($I617="","",IF(OR($I866=0,$I866=EUconst_NA),IF(OR(L863=TRUE,L862=$V617),L860,SUM(K866)),IF(L865="",L860,$I866*(1+SUM(L865)))))</f>
        <v/>
      </c>
      <c r="M866" s="1073" t="str">
        <f>IF($I617="","",IF(OR($I866=0,$I866=EUconst_NA),IF(OR(M863=TRUE,M862=$V617),M860,SUM(L866)),IF(M865="",M860,$I866*(1+SUM(M865)))))</f>
        <v/>
      </c>
      <c r="N866" s="1074" t="str">
        <f>IF($I617="","",IF(OR($I866=0,$I866=EUconst_NA),IF(OR(N863=TRUE,N862=$V617),N860,SUM(M866)),IF(N865="",N860,$I866*(1+SUM(N865)))))</f>
        <v/>
      </c>
      <c r="O866" s="15"/>
      <c r="P866" s="15"/>
      <c r="Q866" s="165" t="str">
        <f>EUconst_CNTR_HALfinal&amp;EUconst_CNTR_WGFlared &amp; I617</f>
        <v>HALfinal_WasteGasFlare_</v>
      </c>
      <c r="R866" s="2"/>
      <c r="S866" s="2"/>
      <c r="T866" s="2"/>
      <c r="U866" s="1765" t="b">
        <v>0</v>
      </c>
      <c r="V866" s="1757" t="str">
        <f>IF(V816,IF(J863=TRUE,V625,U866),"")</f>
        <v/>
      </c>
      <c r="W866" s="1757" t="str">
        <f>IF(W816,IF(K863=TRUE,W625,V866),"")</f>
        <v/>
      </c>
      <c r="X866" s="1757" t="str">
        <f>IF(X816,IF(L863=TRUE,X625,W866),"")</f>
        <v/>
      </c>
      <c r="Y866" s="1757" t="str">
        <f>IF(Y816,IF(M863=TRUE,Y625,X866),"")</f>
        <v/>
      </c>
      <c r="Z866" s="1758" t="str">
        <f>IF(Z816,IF(N863=TRUE,Z625,Y866),"")</f>
        <v/>
      </c>
      <c r="AA866" s="2"/>
      <c r="AB866" s="2"/>
      <c r="AC866" s="2"/>
      <c r="AD866" s="2"/>
      <c r="AE866" s="2"/>
      <c r="AF866" s="2"/>
      <c r="AG866" s="2"/>
      <c r="AH866" s="2"/>
      <c r="AI866" s="2"/>
      <c r="AJ866" s="553" t="s">
        <v>2242</v>
      </c>
      <c r="AK866" s="108" t="str">
        <f>IF(OR(ISERROR(J866),ISERROR(K866),ISERROR(L866),ISERROR(M866),ISERROR(N866)),EUconst_Error &amp; "BM" &amp; Q617,"")</f>
        <v/>
      </c>
      <c r="AL866" s="2"/>
    </row>
    <row r="867" spans="1:38" ht="5.15" customHeight="1" thickBot="1" x14ac:dyDescent="0.3">
      <c r="A867" s="2"/>
      <c r="B867" s="178"/>
      <c r="C867" s="779"/>
      <c r="D867" s="1269"/>
      <c r="E867" s="1270"/>
      <c r="F867" s="1270"/>
      <c r="G867" s="1270"/>
      <c r="H867" s="1271"/>
      <c r="I867" s="1270"/>
      <c r="J867" s="1270"/>
      <c r="K867" s="1270"/>
      <c r="L867" s="1270"/>
      <c r="M867" s="1272"/>
      <c r="N867" s="1273"/>
      <c r="O867" s="15"/>
      <c r="P867" s="15"/>
      <c r="Q867" s="343"/>
      <c r="R867" s="2"/>
      <c r="S867" s="343"/>
      <c r="T867" s="343"/>
      <c r="U867" s="343"/>
      <c r="V867" s="343"/>
      <c r="W867" s="2"/>
      <c r="X867" s="2"/>
      <c r="Y867" s="2"/>
      <c r="Z867" s="2"/>
      <c r="AA867" s="2"/>
      <c r="AB867" s="2"/>
      <c r="AC867" s="2"/>
      <c r="AD867" s="2"/>
      <c r="AE867" s="2"/>
      <c r="AF867" s="2"/>
      <c r="AG867" s="2"/>
      <c r="AH867" s="2"/>
      <c r="AI867" s="2"/>
      <c r="AJ867" s="2"/>
      <c r="AK867" s="2"/>
      <c r="AL867" s="2"/>
    </row>
    <row r="868" spans="1:38" ht="5.15" customHeight="1" x14ac:dyDescent="0.25">
      <c r="A868" s="2"/>
      <c r="B868" s="178"/>
      <c r="C868" s="779"/>
      <c r="D868" s="780"/>
      <c r="E868" s="780"/>
      <c r="F868" s="780"/>
      <c r="G868" s="780"/>
      <c r="H868" s="1805"/>
      <c r="I868" s="780"/>
      <c r="J868" s="780"/>
      <c r="K868" s="780"/>
      <c r="L868" s="780"/>
      <c r="M868" s="623"/>
      <c r="N868" s="519"/>
      <c r="O868" s="15"/>
      <c r="P868" s="15"/>
      <c r="Q868" s="343"/>
      <c r="R868" s="2"/>
      <c r="S868" s="343"/>
      <c r="T868" s="343"/>
      <c r="U868" s="343"/>
      <c r="V868" s="343"/>
      <c r="W868" s="2"/>
      <c r="X868" s="2"/>
      <c r="Y868" s="2"/>
      <c r="Z868" s="2"/>
      <c r="AA868" s="2"/>
      <c r="AB868" s="2"/>
      <c r="AC868" s="2"/>
      <c r="AD868" s="2"/>
      <c r="AE868" s="2"/>
      <c r="AF868" s="2"/>
      <c r="AG868" s="2"/>
      <c r="AH868" s="2"/>
      <c r="AI868" s="2"/>
      <c r="AJ868" s="2"/>
      <c r="AK868" s="2"/>
      <c r="AL868" s="2"/>
    </row>
    <row r="869" spans="1:38" ht="12.75" customHeight="1" x14ac:dyDescent="0.25">
      <c r="A869" s="2"/>
      <c r="B869" s="178"/>
      <c r="C869" s="779"/>
      <c r="D869" s="416" t="s">
        <v>1205</v>
      </c>
      <c r="E869" s="2614" t="str">
        <f>Translations!$B$632</f>
        <v>Importerade restgastyper:</v>
      </c>
      <c r="F869" s="1960"/>
      <c r="G869" s="1960"/>
      <c r="H869" s="2520"/>
      <c r="I869" s="2621"/>
      <c r="J869" s="2510"/>
      <c r="K869" s="2510"/>
      <c r="L869" s="2510"/>
      <c r="M869" s="2511"/>
      <c r="N869" s="519"/>
      <c r="O869" s="15"/>
      <c r="P869" s="1362"/>
      <c r="Q869" s="343"/>
      <c r="R869" s="2"/>
      <c r="S869" s="343"/>
      <c r="T869" s="2"/>
      <c r="U869" s="2"/>
      <c r="V869" s="2"/>
      <c r="W869" s="2"/>
      <c r="X869" s="2"/>
      <c r="Y869" s="2"/>
      <c r="Z869" s="2"/>
      <c r="AA869" s="2"/>
      <c r="AB869" s="2"/>
      <c r="AC869" s="672" t="s">
        <v>782</v>
      </c>
      <c r="AD869" s="108" t="b">
        <f>AD843</f>
        <v>0</v>
      </c>
      <c r="AE869" s="2"/>
      <c r="AF869" s="2"/>
      <c r="AG869" s="2"/>
      <c r="AH869" s="2"/>
      <c r="AI869" s="2"/>
      <c r="AJ869" s="2"/>
      <c r="AK869" s="2"/>
      <c r="AL869" s="2"/>
    </row>
    <row r="870" spans="1:38" ht="12.75" customHeight="1" x14ac:dyDescent="0.25">
      <c r="A870" s="2"/>
      <c r="B870" s="178"/>
      <c r="C870" s="779"/>
      <c r="D870" s="416"/>
      <c r="E870" s="2596" t="str">
        <f>Translations!$B$633</f>
        <v>De uppgifter som anges här påverkar de utsläpp som kan tillskrivas i enlighet med avsnitt 10.1.5 i bilaga VII till FAR.</v>
      </c>
      <c r="F870" s="1960"/>
      <c r="G870" s="1960"/>
      <c r="H870" s="1960"/>
      <c r="I870" s="1960"/>
      <c r="J870" s="1960"/>
      <c r="K870" s="1960"/>
      <c r="L870" s="1960"/>
      <c r="M870" s="1960"/>
      <c r="N870" s="2597"/>
      <c r="O870" s="15"/>
      <c r="P870" s="15"/>
      <c r="Q870" s="343"/>
      <c r="R870" s="2"/>
      <c r="S870" s="343"/>
      <c r="T870" s="343"/>
      <c r="U870" s="343"/>
      <c r="V870" s="343"/>
      <c r="W870" s="2"/>
      <c r="X870" s="2"/>
      <c r="Y870" s="2"/>
      <c r="Z870" s="2"/>
      <c r="AA870" s="2"/>
      <c r="AB870" s="2"/>
      <c r="AC870" s="2"/>
      <c r="AD870" s="2"/>
      <c r="AE870" s="2"/>
      <c r="AF870" s="2"/>
      <c r="AG870" s="2"/>
      <c r="AH870" s="2"/>
      <c r="AI870" s="2"/>
      <c r="AJ870" s="2"/>
      <c r="AK870" s="2"/>
      <c r="AL870" s="2"/>
    </row>
    <row r="871" spans="1:38" ht="25.5" customHeight="1" x14ac:dyDescent="0.25">
      <c r="A871" s="2"/>
      <c r="B871" s="178"/>
      <c r="C871" s="779"/>
      <c r="D871" s="416"/>
      <c r="E871" s="2610" t="str">
        <f>Translations!$B$634</f>
        <v>Detta innefattar alla restgastyper som produceras utanför delanläggningens systemgränser men som importeras till delanläggningen och används för produktion av mätbar värme, icke-mätbar värme (inklusive för säkerhetsfackling) eller mekanisk energi (annat än för elproduktion).</v>
      </c>
      <c r="F871" s="1960"/>
      <c r="G871" s="1960"/>
      <c r="H871" s="1960"/>
      <c r="I871" s="1960"/>
      <c r="J871" s="1960"/>
      <c r="K871" s="1960"/>
      <c r="L871" s="1960"/>
      <c r="M871" s="1960"/>
      <c r="N871" s="2597"/>
      <c r="O871" s="15"/>
      <c r="P871" s="15"/>
      <c r="Q871" s="343"/>
      <c r="R871" s="2"/>
      <c r="S871" s="343"/>
      <c r="T871" s="343"/>
      <c r="U871" s="343"/>
      <c r="V871" s="343"/>
      <c r="W871" s="2"/>
      <c r="X871" s="2"/>
      <c r="Y871" s="2"/>
      <c r="Z871" s="2"/>
      <c r="AA871" s="2"/>
      <c r="AB871" s="2"/>
      <c r="AC871" s="2"/>
      <c r="AD871" s="2"/>
      <c r="AE871" s="2"/>
      <c r="AF871" s="2"/>
      <c r="AG871" s="2"/>
      <c r="AH871" s="2"/>
      <c r="AI871" s="2"/>
      <c r="AJ871" s="2"/>
      <c r="AK871" s="2"/>
      <c r="AL871" s="2"/>
    </row>
    <row r="872" spans="1:38" ht="12.75" customHeight="1" thickBot="1" x14ac:dyDescent="0.3">
      <c r="A872" s="2"/>
      <c r="B872" s="178"/>
      <c r="C872" s="779"/>
      <c r="D872" s="780"/>
      <c r="E872" s="1716"/>
      <c r="F872" s="1717"/>
      <c r="G872" s="361" t="str">
        <f>EUconst_Unit</f>
        <v>Enhet</v>
      </c>
      <c r="H872" s="362">
        <f t="shared" ref="H872:N872" si="384">H$3042</f>
        <v>2019</v>
      </c>
      <c r="I872" s="1103">
        <f t="shared" si="384"/>
        <v>2020</v>
      </c>
      <c r="J872" s="1104">
        <f t="shared" si="384"/>
        <v>2021</v>
      </c>
      <c r="K872" s="362">
        <f t="shared" si="384"/>
        <v>2022</v>
      </c>
      <c r="L872" s="362">
        <f t="shared" si="384"/>
        <v>2023</v>
      </c>
      <c r="M872" s="362">
        <f t="shared" si="384"/>
        <v>2024</v>
      </c>
      <c r="N872" s="1141">
        <f t="shared" si="384"/>
        <v>2025</v>
      </c>
      <c r="O872" s="15"/>
      <c r="P872" s="15"/>
      <c r="Q872" s="343"/>
      <c r="R872" s="2"/>
      <c r="S872" s="343"/>
      <c r="T872" s="343"/>
      <c r="U872" s="343"/>
      <c r="V872" s="343"/>
      <c r="W872" s="2"/>
      <c r="X872" s="2"/>
      <c r="Y872" s="2"/>
      <c r="Z872" s="2"/>
      <c r="AA872" s="2"/>
      <c r="AB872" s="2"/>
      <c r="AC872" s="1044">
        <f t="shared" ref="AC872:AI872" si="385">H$20</f>
        <v>2019</v>
      </c>
      <c r="AD872" s="1044">
        <f t="shared" si="385"/>
        <v>2020</v>
      </c>
      <c r="AE872" s="1044">
        <f t="shared" si="385"/>
        <v>2021</v>
      </c>
      <c r="AF872" s="1044">
        <f t="shared" si="385"/>
        <v>2022</v>
      </c>
      <c r="AG872" s="1044">
        <f t="shared" si="385"/>
        <v>2023</v>
      </c>
      <c r="AH872" s="1044">
        <f t="shared" si="385"/>
        <v>2024</v>
      </c>
      <c r="AI872" s="1044">
        <f t="shared" si="385"/>
        <v>2025</v>
      </c>
      <c r="AJ872" s="2"/>
      <c r="AK872" s="2"/>
      <c r="AL872" s="2"/>
    </row>
    <row r="873" spans="1:38" ht="12.75" customHeight="1" thickBot="1" x14ac:dyDescent="0.3">
      <c r="A873" s="2"/>
      <c r="B873" s="178"/>
      <c r="C873" s="779"/>
      <c r="D873" s="416" t="s">
        <v>1206</v>
      </c>
      <c r="E873" s="2611" t="str">
        <f>Translations!$B$635</f>
        <v>Importerade mängder</v>
      </c>
      <c r="F873" s="2484"/>
      <c r="G873" s="1314"/>
      <c r="H873" s="1298"/>
      <c r="I873" s="1299"/>
      <c r="J873" s="1300"/>
      <c r="K873" s="1298"/>
      <c r="L873" s="1298"/>
      <c r="M873" s="1298"/>
      <c r="N873" s="1301"/>
      <c r="O873" s="15"/>
      <c r="P873" s="1362"/>
      <c r="Q873" s="343"/>
      <c r="R873" s="2"/>
      <c r="S873" s="343"/>
      <c r="T873" s="343"/>
      <c r="U873" s="343"/>
      <c r="V873" s="343"/>
      <c r="W873" s="2"/>
      <c r="X873" s="2"/>
      <c r="Y873" s="2"/>
      <c r="Z873" s="2"/>
      <c r="AA873" s="2"/>
      <c r="AB873" s="672" t="s">
        <v>782</v>
      </c>
      <c r="AC873" s="108" t="b">
        <f t="shared" ref="AC873:AI873" si="386">AC829</f>
        <v>0</v>
      </c>
      <c r="AD873" s="108" t="b">
        <f t="shared" si="386"/>
        <v>0</v>
      </c>
      <c r="AE873" s="108" t="b">
        <f t="shared" si="386"/>
        <v>0</v>
      </c>
      <c r="AF873" s="108" t="b">
        <f t="shared" si="386"/>
        <v>0</v>
      </c>
      <c r="AG873" s="108" t="b">
        <f t="shared" si="386"/>
        <v>0</v>
      </c>
      <c r="AH873" s="108" t="b">
        <f t="shared" si="386"/>
        <v>0</v>
      </c>
      <c r="AI873" s="108" t="b">
        <f t="shared" si="386"/>
        <v>0</v>
      </c>
      <c r="AJ873" s="553" t="s">
        <v>2248</v>
      </c>
      <c r="AK873" s="663" t="str">
        <f>IF(AND(CNTR_ExistSubInstEntries,MSconst_RequireSubAttrEmissions,COUNTIFS(AC873:AI873,FALSE,H873:N873,"")&gt;0),EUconst_Error&amp;"BM"&amp;$Q617,"")</f>
        <v/>
      </c>
      <c r="AL873" s="2"/>
    </row>
    <row r="874" spans="1:38" ht="12.75" customHeight="1" x14ac:dyDescent="0.25">
      <c r="A874" s="2"/>
      <c r="B874" s="178"/>
      <c r="C874" s="779"/>
      <c r="D874" s="416" t="s">
        <v>1207</v>
      </c>
      <c r="E874" s="2612" t="str">
        <f>Translations!$B$318</f>
        <v>Effektivt värmevärde</v>
      </c>
      <c r="F874" s="2487"/>
      <c r="G874" s="51" t="str">
        <f>IF(ISBLANK(G873),EUconst_GJperUnit,INDEX(EUconst_GJperTorKNm3,MATCH(G873,EUconst_TonnesOrkNm3pa,0)))</f>
        <v>GJ / Enhet</v>
      </c>
      <c r="H874" s="1306"/>
      <c r="I874" s="1307"/>
      <c r="J874" s="1308"/>
      <c r="K874" s="1306"/>
      <c r="L874" s="1306"/>
      <c r="M874" s="1306"/>
      <c r="N874" s="1309"/>
      <c r="O874" s="15"/>
      <c r="P874" s="1362"/>
      <c r="Q874" s="343"/>
      <c r="R874" s="2"/>
      <c r="S874" s="772"/>
      <c r="T874" s="609">
        <f t="shared" ref="T874:Z874" si="387">H872</f>
        <v>2019</v>
      </c>
      <c r="U874" s="609">
        <f t="shared" si="387"/>
        <v>2020</v>
      </c>
      <c r="V874" s="609">
        <f t="shared" si="387"/>
        <v>2021</v>
      </c>
      <c r="W874" s="609">
        <f t="shared" si="387"/>
        <v>2022</v>
      </c>
      <c r="X874" s="609">
        <f t="shared" si="387"/>
        <v>2023</v>
      </c>
      <c r="Y874" s="609">
        <f t="shared" si="387"/>
        <v>2024</v>
      </c>
      <c r="Z874" s="610">
        <f t="shared" si="387"/>
        <v>2025</v>
      </c>
      <c r="AA874" s="2"/>
      <c r="AB874" s="2"/>
      <c r="AC874" s="108" t="b">
        <f>AC873</f>
        <v>0</v>
      </c>
      <c r="AD874" s="108" t="b">
        <f t="shared" ref="AD874:AI874" si="388">AD873</f>
        <v>0</v>
      </c>
      <c r="AE874" s="108" t="b">
        <f t="shared" si="388"/>
        <v>0</v>
      </c>
      <c r="AF874" s="108" t="b">
        <f t="shared" si="388"/>
        <v>0</v>
      </c>
      <c r="AG874" s="108" t="b">
        <f t="shared" si="388"/>
        <v>0</v>
      </c>
      <c r="AH874" s="108" t="b">
        <f t="shared" si="388"/>
        <v>0</v>
      </c>
      <c r="AI874" s="108" t="b">
        <f t="shared" si="388"/>
        <v>0</v>
      </c>
      <c r="AJ874" s="553" t="s">
        <v>2248</v>
      </c>
      <c r="AK874" s="663" t="str">
        <f>IF(AND(CNTR_ExistSubInstEntries,MSconst_RequireSubAttrEmissions,COUNTIFS(AC874:AI874,FALSE,H874:N874,"")&gt;0),EUconst_Error&amp;"BM"&amp;$Q617,"")</f>
        <v/>
      </c>
      <c r="AL874" s="2"/>
    </row>
    <row r="875" spans="1:38" ht="12.75" customHeight="1" x14ac:dyDescent="0.25">
      <c r="A875" s="2"/>
      <c r="B875" s="178"/>
      <c r="C875" s="779"/>
      <c r="D875" s="416" t="s">
        <v>1208</v>
      </c>
      <c r="E875" s="2613" t="str">
        <f>Translations!$B$636</f>
        <v>Importerad restgas</v>
      </c>
      <c r="F875" s="1997"/>
      <c r="G875" s="364" t="str">
        <f>EUconst_TJpa</f>
        <v>TJ / år</v>
      </c>
      <c r="H875" s="351" t="str">
        <f t="shared" ref="H875:N875" si="389">IF(COUNT(H873:H874)=2,H873*H874/1000,"")</f>
        <v/>
      </c>
      <c r="I875" s="1107" t="str">
        <f t="shared" si="389"/>
        <v/>
      </c>
      <c r="J875" s="1113" t="str">
        <f t="shared" si="389"/>
        <v/>
      </c>
      <c r="K875" s="351" t="str">
        <f t="shared" si="389"/>
        <v/>
      </c>
      <c r="L875" s="351" t="str">
        <f t="shared" si="389"/>
        <v/>
      </c>
      <c r="M875" s="351" t="str">
        <f t="shared" si="389"/>
        <v/>
      </c>
      <c r="N875" s="1148" t="str">
        <f t="shared" si="389"/>
        <v/>
      </c>
      <c r="O875" s="15"/>
      <c r="P875" s="15"/>
      <c r="Q875" s="165" t="str">
        <f>EUconst_CNTR_WGImport &amp; I617</f>
        <v>WasteGasIm_</v>
      </c>
      <c r="R875" s="2"/>
      <c r="S875" s="1751" t="str">
        <f>EUconst_ERR_AttrEmBMapplied &amp; I617</f>
        <v>ERR_AttrEmBM_</v>
      </c>
      <c r="T875" s="108">
        <f t="shared" ref="T875:Z875" si="390">IF(AND(H875&lt;&gt;"",EUconst_StatusOfDataCollection=FALSE),1,0)</f>
        <v>0</v>
      </c>
      <c r="U875" s="108">
        <f t="shared" si="390"/>
        <v>0</v>
      </c>
      <c r="V875" s="108">
        <f t="shared" si="390"/>
        <v>0</v>
      </c>
      <c r="W875" s="108">
        <f t="shared" si="390"/>
        <v>0</v>
      </c>
      <c r="X875" s="108">
        <f t="shared" si="390"/>
        <v>0</v>
      </c>
      <c r="Y875" s="108">
        <f t="shared" si="390"/>
        <v>0</v>
      </c>
      <c r="Z875" s="109">
        <f t="shared" si="390"/>
        <v>0</v>
      </c>
      <c r="AA875" s="2"/>
      <c r="AB875" s="2"/>
      <c r="AC875" s="2"/>
      <c r="AD875" s="2"/>
      <c r="AE875" s="2"/>
      <c r="AF875" s="2"/>
      <c r="AG875" s="2"/>
      <c r="AH875" s="2"/>
      <c r="AI875" s="2"/>
      <c r="AJ875" s="2"/>
      <c r="AK875" s="2"/>
      <c r="AL875" s="2"/>
    </row>
    <row r="876" spans="1:38" s="534" customFormat="1" ht="12.75" customHeight="1" thickBot="1" x14ac:dyDescent="0.3">
      <c r="A876" s="343"/>
      <c r="B876" s="178"/>
      <c r="C876" s="779"/>
      <c r="D876" s="416" t="s">
        <v>1209</v>
      </c>
      <c r="E876" s="2613" t="str">
        <f>Translations!$B$637</f>
        <v>Särskild emissionsfaktor (importerad restgas)</v>
      </c>
      <c r="F876" s="1997"/>
      <c r="G876" s="363" t="str">
        <f>EUconst_tCO2pTJ</f>
        <v>t CO2 / TJ</v>
      </c>
      <c r="H876" s="1315"/>
      <c r="I876" s="1316"/>
      <c r="J876" s="1317"/>
      <c r="K876" s="1315"/>
      <c r="L876" s="1315"/>
      <c r="M876" s="1315"/>
      <c r="N876" s="1318"/>
      <c r="O876" s="15"/>
      <c r="P876" s="1362"/>
      <c r="Q876" s="165" t="str">
        <f>EUconst_CNTR_WGImportEF &amp; I617</f>
        <v>WasteGasImEF_</v>
      </c>
      <c r="R876" s="343"/>
      <c r="S876" s="773" t="str">
        <f>EUconst_CNTR_AttributedEmissions &amp; I617</f>
        <v>AttrEmissions_</v>
      </c>
      <c r="T876" s="111" t="str">
        <f t="shared" ref="T876:Z876" si="391">IF(T625,SUM(H875)*EUconst_FuelBMvalue,"")</f>
        <v/>
      </c>
      <c r="U876" s="111" t="str">
        <f t="shared" si="391"/>
        <v/>
      </c>
      <c r="V876" s="111" t="str">
        <f t="shared" si="391"/>
        <v/>
      </c>
      <c r="W876" s="111" t="str">
        <f t="shared" si="391"/>
        <v/>
      </c>
      <c r="X876" s="111" t="str">
        <f t="shared" si="391"/>
        <v/>
      </c>
      <c r="Y876" s="111" t="str">
        <f t="shared" si="391"/>
        <v/>
      </c>
      <c r="Z876" s="112" t="str">
        <f t="shared" si="391"/>
        <v/>
      </c>
      <c r="AA876" s="343"/>
      <c r="AB876" s="672" t="s">
        <v>782</v>
      </c>
      <c r="AC876" s="108" t="b">
        <f>AC874</f>
        <v>0</v>
      </c>
      <c r="AD876" s="108" t="b">
        <f t="shared" ref="AD876:AI876" si="392">AD874</f>
        <v>0</v>
      </c>
      <c r="AE876" s="108" t="b">
        <f t="shared" si="392"/>
        <v>0</v>
      </c>
      <c r="AF876" s="108" t="b">
        <f t="shared" si="392"/>
        <v>0</v>
      </c>
      <c r="AG876" s="108" t="b">
        <f t="shared" si="392"/>
        <v>0</v>
      </c>
      <c r="AH876" s="108" t="b">
        <f t="shared" si="392"/>
        <v>0</v>
      </c>
      <c r="AI876" s="108" t="b">
        <f t="shared" si="392"/>
        <v>0</v>
      </c>
      <c r="AJ876" s="553" t="s">
        <v>2248</v>
      </c>
      <c r="AK876" s="663" t="str">
        <f>IF(AND(CNTR_ExistSubInstEntries,MSconst_RequireSubAttrEmissions,COUNTIFS(AC876:AI876,FALSE,H876:N876,"")&gt;0),EUconst_Error&amp;"BM"&amp;$Q617,"")</f>
        <v/>
      </c>
      <c r="AL876" s="2"/>
    </row>
    <row r="877" spans="1:38" ht="12.75" customHeight="1" x14ac:dyDescent="0.25">
      <c r="A877" s="2"/>
      <c r="B877" s="178"/>
      <c r="C877" s="779"/>
      <c r="D877" s="780"/>
      <c r="E877" s="780"/>
      <c r="F877" s="780"/>
      <c r="G877" s="780"/>
      <c r="H877" s="1805"/>
      <c r="I877" s="780"/>
      <c r="J877" s="780"/>
      <c r="K877" s="780"/>
      <c r="L877" s="780"/>
      <c r="M877" s="623"/>
      <c r="N877" s="519"/>
      <c r="O877" s="15"/>
      <c r="P877" s="15"/>
      <c r="Q877" s="343"/>
      <c r="R877" s="2"/>
      <c r="S877" s="343"/>
      <c r="T877" s="343"/>
      <c r="U877" s="343"/>
      <c r="V877" s="343"/>
      <c r="W877" s="2"/>
      <c r="X877" s="2"/>
      <c r="Y877" s="2"/>
      <c r="Z877" s="2"/>
      <c r="AA877" s="2"/>
      <c r="AB877" s="2"/>
      <c r="AC877" s="2"/>
      <c r="AD877" s="2"/>
      <c r="AE877" s="2"/>
      <c r="AF877" s="2"/>
      <c r="AG877" s="2"/>
      <c r="AH877" s="2"/>
      <c r="AI877" s="2"/>
      <c r="AJ877" s="2"/>
      <c r="AK877" s="2"/>
      <c r="AL877" s="2"/>
    </row>
    <row r="878" spans="1:38" ht="12.75" customHeight="1" x14ac:dyDescent="0.25">
      <c r="A878" s="2"/>
      <c r="B878" s="178"/>
      <c r="C878" s="779"/>
      <c r="D878" s="416" t="s">
        <v>1210</v>
      </c>
      <c r="E878" s="2614" t="str">
        <f>Translations!$B$638</f>
        <v>Exporterade restgastyper:</v>
      </c>
      <c r="F878" s="1960"/>
      <c r="G878" s="1960"/>
      <c r="H878" s="2520"/>
      <c r="I878" s="2621"/>
      <c r="J878" s="2510"/>
      <c r="K878" s="2510"/>
      <c r="L878" s="2510"/>
      <c r="M878" s="2511"/>
      <c r="N878" s="1807"/>
      <c r="O878" s="15"/>
      <c r="P878" s="1362"/>
      <c r="Q878" s="343"/>
      <c r="R878" s="2"/>
      <c r="S878" s="343"/>
      <c r="T878" s="2"/>
      <c r="U878" s="2"/>
      <c r="V878" s="2"/>
      <c r="W878" s="2"/>
      <c r="X878" s="2"/>
      <c r="Y878" s="2"/>
      <c r="Z878" s="2"/>
      <c r="AA878" s="2"/>
      <c r="AB878" s="2"/>
      <c r="AC878" s="672" t="s">
        <v>782</v>
      </c>
      <c r="AD878" s="108" t="b">
        <f>AD869</f>
        <v>0</v>
      </c>
      <c r="AE878" s="2"/>
      <c r="AF878" s="2"/>
      <c r="AG878" s="2"/>
      <c r="AH878" s="2"/>
      <c r="AI878" s="2"/>
      <c r="AJ878" s="2"/>
      <c r="AK878" s="2"/>
      <c r="AL878" s="2"/>
    </row>
    <row r="879" spans="1:38" ht="12.75" customHeight="1" x14ac:dyDescent="0.25">
      <c r="A879" s="2"/>
      <c r="B879" s="178"/>
      <c r="C879" s="779"/>
      <c r="D879" s="416"/>
      <c r="E879" s="2596" t="str">
        <f>Translations!$B$633</f>
        <v>De uppgifter som anges här påverkar de utsläpp som kan tillskrivas i enlighet med avsnitt 10.1.5 i bilaga VII till FAR.</v>
      </c>
      <c r="F879" s="1960"/>
      <c r="G879" s="1960"/>
      <c r="H879" s="1960"/>
      <c r="I879" s="1960"/>
      <c r="J879" s="1960"/>
      <c r="K879" s="1960"/>
      <c r="L879" s="1960"/>
      <c r="M879" s="1960"/>
      <c r="N879" s="2597"/>
      <c r="O879" s="15"/>
      <c r="P879" s="15"/>
      <c r="Q879" s="343"/>
      <c r="R879" s="2"/>
      <c r="S879" s="343"/>
      <c r="T879" s="343"/>
      <c r="U879" s="343"/>
      <c r="V879" s="343"/>
      <c r="W879" s="2"/>
      <c r="X879" s="2"/>
      <c r="Y879" s="2"/>
      <c r="Z879" s="2"/>
      <c r="AA879" s="2"/>
      <c r="AB879" s="2"/>
      <c r="AC879" s="2"/>
      <c r="AD879" s="2"/>
      <c r="AE879" s="2"/>
      <c r="AF879" s="2"/>
      <c r="AG879" s="2"/>
      <c r="AH879" s="2"/>
      <c r="AI879" s="2"/>
      <c r="AJ879" s="2"/>
      <c r="AK879" s="2"/>
      <c r="AL879" s="2"/>
    </row>
    <row r="880" spans="1:38" ht="25.5" customHeight="1" x14ac:dyDescent="0.25">
      <c r="A880" s="2"/>
      <c r="B880" s="178"/>
      <c r="C880" s="779"/>
      <c r="D880" s="416"/>
      <c r="E880" s="2610" t="str">
        <f>Translations!$B$639</f>
        <v>Detta innefattar alla restgastyper som produceras inom delanläggningens systemgränser och som exporteras från delanläggningen till en annan delanläggning samt till eventuella andra anläggningar eller enheter.</v>
      </c>
      <c r="F880" s="1960"/>
      <c r="G880" s="1960"/>
      <c r="H880" s="1960"/>
      <c r="I880" s="1960"/>
      <c r="J880" s="1960"/>
      <c r="K880" s="1960"/>
      <c r="L880" s="1960"/>
      <c r="M880" s="1960"/>
      <c r="N880" s="2597"/>
      <c r="O880" s="15"/>
      <c r="P880" s="15"/>
      <c r="Q880" s="343"/>
      <c r="R880" s="2"/>
      <c r="S880" s="343"/>
      <c r="T880" s="343"/>
      <c r="U880" s="343"/>
      <c r="V880" s="343"/>
      <c r="W880" s="2"/>
      <c r="X880" s="2"/>
      <c r="Y880" s="2"/>
      <c r="Z880" s="2"/>
      <c r="AA880" s="2"/>
      <c r="AB880" s="2"/>
      <c r="AC880" s="2"/>
      <c r="AD880" s="2"/>
      <c r="AE880" s="2"/>
      <c r="AF880" s="2"/>
      <c r="AG880" s="2"/>
      <c r="AH880" s="2"/>
      <c r="AI880" s="2"/>
      <c r="AJ880" s="2"/>
      <c r="AK880" s="2"/>
      <c r="AL880" s="2"/>
    </row>
    <row r="881" spans="1:38" ht="12.75" customHeight="1" thickBot="1" x14ac:dyDescent="0.3">
      <c r="A881" s="2"/>
      <c r="B881" s="178"/>
      <c r="C881" s="779"/>
      <c r="D881" s="780"/>
      <c r="E881" s="1716"/>
      <c r="F881" s="1717"/>
      <c r="G881" s="361" t="str">
        <f>EUconst_Unit</f>
        <v>Enhet</v>
      </c>
      <c r="H881" s="362">
        <f t="shared" ref="H881:N881" si="393">H$3042</f>
        <v>2019</v>
      </c>
      <c r="I881" s="1103">
        <f t="shared" si="393"/>
        <v>2020</v>
      </c>
      <c r="J881" s="1104">
        <f t="shared" si="393"/>
        <v>2021</v>
      </c>
      <c r="K881" s="362">
        <f t="shared" si="393"/>
        <v>2022</v>
      </c>
      <c r="L881" s="362">
        <f t="shared" si="393"/>
        <v>2023</v>
      </c>
      <c r="M881" s="362">
        <f t="shared" si="393"/>
        <v>2024</v>
      </c>
      <c r="N881" s="1141">
        <f t="shared" si="393"/>
        <v>2025</v>
      </c>
      <c r="O881" s="15"/>
      <c r="P881" s="15"/>
      <c r="Q881" s="343"/>
      <c r="R881" s="2"/>
      <c r="S881" s="343"/>
      <c r="T881" s="343"/>
      <c r="U881" s="343"/>
      <c r="V881" s="343"/>
      <c r="W881" s="2"/>
      <c r="X881" s="2"/>
      <c r="Y881" s="2"/>
      <c r="Z881" s="2"/>
      <c r="AA881" s="2"/>
      <c r="AB881" s="2"/>
      <c r="AC881" s="1044">
        <f t="shared" ref="AC881:AI881" si="394">H$20</f>
        <v>2019</v>
      </c>
      <c r="AD881" s="1044">
        <f t="shared" si="394"/>
        <v>2020</v>
      </c>
      <c r="AE881" s="1044">
        <f t="shared" si="394"/>
        <v>2021</v>
      </c>
      <c r="AF881" s="1044">
        <f t="shared" si="394"/>
        <v>2022</v>
      </c>
      <c r="AG881" s="1044">
        <f t="shared" si="394"/>
        <v>2023</v>
      </c>
      <c r="AH881" s="1044">
        <f t="shared" si="394"/>
        <v>2024</v>
      </c>
      <c r="AI881" s="1044">
        <f t="shared" si="394"/>
        <v>2025</v>
      </c>
      <c r="AJ881" s="2"/>
      <c r="AK881" s="2"/>
      <c r="AL881" s="2"/>
    </row>
    <row r="882" spans="1:38" ht="12.75" customHeight="1" x14ac:dyDescent="0.25">
      <c r="A882" s="2"/>
      <c r="B882" s="178"/>
      <c r="C882" s="779"/>
      <c r="D882" s="416" t="s">
        <v>1211</v>
      </c>
      <c r="E882" s="2611" t="str">
        <f>Translations!$B$640</f>
        <v>Exporterade mängder</v>
      </c>
      <c r="F882" s="2484"/>
      <c r="G882" s="1314"/>
      <c r="H882" s="1298"/>
      <c r="I882" s="1299"/>
      <c r="J882" s="1300"/>
      <c r="K882" s="1298"/>
      <c r="L882" s="1298"/>
      <c r="M882" s="1298"/>
      <c r="N882" s="1301"/>
      <c r="O882" s="15"/>
      <c r="P882" s="1362"/>
      <c r="Q882" s="343"/>
      <c r="R882" s="2"/>
      <c r="S882" s="343"/>
      <c r="T882" s="343"/>
      <c r="U882" s="343"/>
      <c r="V882" s="343"/>
      <c r="W882" s="2"/>
      <c r="X882" s="2"/>
      <c r="Y882" s="2"/>
      <c r="Z882" s="2"/>
      <c r="AA882" s="2"/>
      <c r="AB882" s="672" t="s">
        <v>782</v>
      </c>
      <c r="AC882" s="108" t="b">
        <f>AC829</f>
        <v>0</v>
      </c>
      <c r="AD882" s="108" t="b">
        <f t="shared" ref="AD882:AI882" si="395">AD829</f>
        <v>0</v>
      </c>
      <c r="AE882" s="108" t="b">
        <f t="shared" si="395"/>
        <v>0</v>
      </c>
      <c r="AF882" s="108" t="b">
        <f t="shared" si="395"/>
        <v>0</v>
      </c>
      <c r="AG882" s="108" t="b">
        <f t="shared" si="395"/>
        <v>0</v>
      </c>
      <c r="AH882" s="108" t="b">
        <f t="shared" si="395"/>
        <v>0</v>
      </c>
      <c r="AI882" s="108" t="b">
        <f t="shared" si="395"/>
        <v>0</v>
      </c>
      <c r="AJ882" s="553" t="s">
        <v>2248</v>
      </c>
      <c r="AK882" s="663" t="str">
        <f>IF(AND(CNTR_ExistSubInstEntries,MSconst_RequireSubAttrEmissions,COUNTIFS(AC882:AI882,FALSE,H882:N882,"")&gt;0),EUconst_Error&amp;"BM"&amp;$Q617,"")</f>
        <v/>
      </c>
      <c r="AL882" s="2"/>
    </row>
    <row r="883" spans="1:38" ht="12.75" customHeight="1" thickBot="1" x14ac:dyDescent="0.3">
      <c r="A883" s="2"/>
      <c r="B883" s="178"/>
      <c r="C883" s="779"/>
      <c r="D883" s="416" t="s">
        <v>1733</v>
      </c>
      <c r="E883" s="2612" t="str">
        <f>Translations!$B$318</f>
        <v>Effektivt värmevärde</v>
      </c>
      <c r="F883" s="2487"/>
      <c r="G883" s="51" t="str">
        <f>IF(ISBLANK(G882),EUconst_GJperUnit,INDEX(EUconst_GJperTorKNm3,MATCH(G882,EUconst_TonnesOrkNm3pa,0)))</f>
        <v>GJ / Enhet</v>
      </c>
      <c r="H883" s="1306"/>
      <c r="I883" s="1307"/>
      <c r="J883" s="1308"/>
      <c r="K883" s="1306"/>
      <c r="L883" s="1306"/>
      <c r="M883" s="1306"/>
      <c r="N883" s="1309"/>
      <c r="O883" s="15"/>
      <c r="P883" s="1362"/>
      <c r="Q883" s="343"/>
      <c r="R883" s="2"/>
      <c r="S883" s="343"/>
      <c r="T883" s="343"/>
      <c r="U883" s="343"/>
      <c r="V883" s="343"/>
      <c r="W883" s="2"/>
      <c r="X883" s="2"/>
      <c r="Y883" s="2"/>
      <c r="Z883" s="2"/>
      <c r="AA883" s="2"/>
      <c r="AB883" s="2"/>
      <c r="AC883" s="108" t="b">
        <f>AC882</f>
        <v>0</v>
      </c>
      <c r="AD883" s="108" t="b">
        <f t="shared" ref="AD883:AI883" si="396">AD882</f>
        <v>0</v>
      </c>
      <c r="AE883" s="108" t="b">
        <f t="shared" si="396"/>
        <v>0</v>
      </c>
      <c r="AF883" s="108" t="b">
        <f t="shared" si="396"/>
        <v>0</v>
      </c>
      <c r="AG883" s="108" t="b">
        <f t="shared" si="396"/>
        <v>0</v>
      </c>
      <c r="AH883" s="108" t="b">
        <f t="shared" si="396"/>
        <v>0</v>
      </c>
      <c r="AI883" s="108" t="b">
        <f t="shared" si="396"/>
        <v>0</v>
      </c>
      <c r="AJ883" s="553" t="s">
        <v>2248</v>
      </c>
      <c r="AK883" s="663" t="str">
        <f>IF(AND(CNTR_ExistSubInstEntries,MSconst_RequireSubAttrEmissions,COUNTIFS(AC883:AI883,FALSE,H883:N883,"")&gt;0),EUconst_Error&amp;"BM"&amp;$Q617,"")</f>
        <v/>
      </c>
      <c r="AL883" s="2"/>
    </row>
    <row r="884" spans="1:38" ht="12.75" customHeight="1" x14ac:dyDescent="0.25">
      <c r="A884" s="2"/>
      <c r="B884" s="178"/>
      <c r="C884" s="779"/>
      <c r="D884" s="416" t="s">
        <v>1787</v>
      </c>
      <c r="E884" s="2613" t="str">
        <f>Translations!$B$641</f>
        <v>Exporterad restgas</v>
      </c>
      <c r="F884" s="1997"/>
      <c r="G884" s="364" t="str">
        <f>EUconst_TJpa</f>
        <v>TJ / år</v>
      </c>
      <c r="H884" s="351" t="str">
        <f t="shared" ref="H884:N884" si="397">IF(COUNT(H882:H883)=2,H882*H883/1000,"")</f>
        <v/>
      </c>
      <c r="I884" s="1107" t="str">
        <f t="shared" si="397"/>
        <v/>
      </c>
      <c r="J884" s="1113" t="str">
        <f t="shared" si="397"/>
        <v/>
      </c>
      <c r="K884" s="351" t="str">
        <f t="shared" si="397"/>
        <v/>
      </c>
      <c r="L884" s="351" t="str">
        <f t="shared" si="397"/>
        <v/>
      </c>
      <c r="M884" s="351" t="str">
        <f t="shared" si="397"/>
        <v/>
      </c>
      <c r="N884" s="1148" t="str">
        <f t="shared" si="397"/>
        <v/>
      </c>
      <c r="O884" s="15"/>
      <c r="P884" s="15"/>
      <c r="Q884" s="165" t="str">
        <f>EUconst_CNTR_WGExport &amp; I617</f>
        <v>WasteGasEx_</v>
      </c>
      <c r="R884" s="2"/>
      <c r="S884" s="772"/>
      <c r="T884" s="609">
        <f t="shared" ref="T884:Z884" si="398">H881</f>
        <v>2019</v>
      </c>
      <c r="U884" s="609">
        <f t="shared" si="398"/>
        <v>2020</v>
      </c>
      <c r="V884" s="609">
        <f t="shared" si="398"/>
        <v>2021</v>
      </c>
      <c r="W884" s="609">
        <f t="shared" si="398"/>
        <v>2022</v>
      </c>
      <c r="X884" s="609">
        <f t="shared" si="398"/>
        <v>2023</v>
      </c>
      <c r="Y884" s="609">
        <f t="shared" si="398"/>
        <v>2024</v>
      </c>
      <c r="Z884" s="610">
        <f t="shared" si="398"/>
        <v>2025</v>
      </c>
      <c r="AA884" s="2"/>
      <c r="AB884" s="2"/>
      <c r="AC884" s="2"/>
      <c r="AD884" s="2"/>
      <c r="AE884" s="2"/>
      <c r="AF884" s="2"/>
      <c r="AG884" s="2"/>
      <c r="AH884" s="2"/>
      <c r="AI884" s="2"/>
      <c r="AJ884" s="2"/>
      <c r="AK884" s="2"/>
      <c r="AL884" s="2"/>
    </row>
    <row r="885" spans="1:38" s="534" customFormat="1" ht="12.75" customHeight="1" thickBot="1" x14ac:dyDescent="0.3">
      <c r="A885" s="2"/>
      <c r="B885" s="178"/>
      <c r="C885" s="779"/>
      <c r="D885" s="416" t="s">
        <v>1788</v>
      </c>
      <c r="E885" s="2613" t="str">
        <f>Translations!$B$642</f>
        <v>Särskild emissionsfaktor (exporterad restgas)</v>
      </c>
      <c r="F885" s="1997"/>
      <c r="G885" s="363" t="str">
        <f>EUconst_tCO2pTJ</f>
        <v>t CO2 / TJ</v>
      </c>
      <c r="H885" s="1315"/>
      <c r="I885" s="1316"/>
      <c r="J885" s="1317"/>
      <c r="K885" s="1315"/>
      <c r="L885" s="1315"/>
      <c r="M885" s="1315"/>
      <c r="N885" s="1318"/>
      <c r="O885" s="15"/>
      <c r="P885" s="1362"/>
      <c r="Q885" s="165" t="str">
        <f>EUconst_CNTR_WGExportEF &amp; I617</f>
        <v>WasteGasExEF_</v>
      </c>
      <c r="R885" s="343"/>
      <c r="S885" s="773" t="str">
        <f>EUconst_CNTR_AttributedEmissions &amp; I617</f>
        <v>AttrEmissions_</v>
      </c>
      <c r="T885" s="111" t="str">
        <f t="shared" ref="T885:Z885" si="399">IF(T625,-SUM(H884)*EUconst_NGEFvalue*EUconst_WasteGasCorrFactor,"")</f>
        <v/>
      </c>
      <c r="U885" s="111" t="str">
        <f t="shared" si="399"/>
        <v/>
      </c>
      <c r="V885" s="111" t="str">
        <f t="shared" si="399"/>
        <v/>
      </c>
      <c r="W885" s="111" t="str">
        <f t="shared" si="399"/>
        <v/>
      </c>
      <c r="X885" s="111" t="str">
        <f t="shared" si="399"/>
        <v/>
      </c>
      <c r="Y885" s="111" t="str">
        <f t="shared" si="399"/>
        <v/>
      </c>
      <c r="Z885" s="112" t="str">
        <f t="shared" si="399"/>
        <v/>
      </c>
      <c r="AA885" s="343"/>
      <c r="AB885" s="672" t="s">
        <v>782</v>
      </c>
      <c r="AC885" s="108" t="b">
        <f t="shared" ref="AC885:AI885" si="400">AC832</f>
        <v>0</v>
      </c>
      <c r="AD885" s="108" t="b">
        <f t="shared" si="400"/>
        <v>0</v>
      </c>
      <c r="AE885" s="108" t="b">
        <f t="shared" si="400"/>
        <v>0</v>
      </c>
      <c r="AF885" s="108" t="b">
        <f t="shared" si="400"/>
        <v>0</v>
      </c>
      <c r="AG885" s="108" t="b">
        <f t="shared" si="400"/>
        <v>0</v>
      </c>
      <c r="AH885" s="108" t="b">
        <f t="shared" si="400"/>
        <v>0</v>
      </c>
      <c r="AI885" s="108" t="b">
        <f t="shared" si="400"/>
        <v>0</v>
      </c>
      <c r="AJ885" s="553" t="s">
        <v>2248</v>
      </c>
      <c r="AK885" s="663" t="str">
        <f>IF(AND(CNTR_ExistSubInstEntries,MSconst_RequireSubAttrEmissions,COUNTIFS(AC885:AI885,FALSE,H885:N885,"")&gt;0),EUconst_Error&amp;"BM"&amp;$Q617,"")</f>
        <v/>
      </c>
      <c r="AL885" s="2"/>
    </row>
    <row r="886" spans="1:38" ht="12.75" customHeight="1" x14ac:dyDescent="0.25">
      <c r="A886" s="2"/>
      <c r="B886" s="178"/>
      <c r="C886" s="779"/>
      <c r="D886" s="780"/>
      <c r="E886" s="780"/>
      <c r="F886" s="780"/>
      <c r="G886" s="780"/>
      <c r="H886" s="780"/>
      <c r="I886" s="1805"/>
      <c r="J886" s="780"/>
      <c r="K886" s="780"/>
      <c r="L886" s="780"/>
      <c r="M886" s="780"/>
      <c r="N886" s="519"/>
      <c r="O886" s="15"/>
      <c r="P886" s="15"/>
      <c r="Q886" s="343"/>
      <c r="R886" s="2"/>
      <c r="S886" s="343"/>
      <c r="T886" s="2"/>
      <c r="U886" s="2"/>
      <c r="V886" s="2"/>
      <c r="W886" s="2"/>
      <c r="X886" s="2"/>
      <c r="Y886" s="2"/>
      <c r="Z886" s="2"/>
      <c r="AA886" s="2"/>
      <c r="AB886" s="2"/>
      <c r="AC886" s="2"/>
      <c r="AD886" s="2"/>
      <c r="AE886" s="2"/>
      <c r="AF886" s="2"/>
      <c r="AG886" s="2"/>
      <c r="AH886" s="2"/>
      <c r="AI886" s="2"/>
      <c r="AJ886" s="2"/>
      <c r="AK886" s="2"/>
      <c r="AL886" s="2"/>
    </row>
    <row r="887" spans="1:38" ht="12.75" customHeight="1" x14ac:dyDescent="0.25">
      <c r="A887" s="2"/>
      <c r="B887" s="178"/>
      <c r="C887" s="779"/>
      <c r="D887" s="373" t="s">
        <v>527</v>
      </c>
      <c r="E887" s="2614" t="str">
        <f>Translations!$B$268</f>
        <v>Elproduktion</v>
      </c>
      <c r="F887" s="1960"/>
      <c r="G887" s="1960"/>
      <c r="H887" s="1960"/>
      <c r="I887" s="1960"/>
      <c r="J887" s="1960"/>
      <c r="K887" s="1960"/>
      <c r="L887" s="1960"/>
      <c r="M887" s="1960"/>
      <c r="N887" s="2597"/>
      <c r="O887" s="15"/>
      <c r="P887" s="15"/>
      <c r="Q887" s="343"/>
      <c r="R887" s="2"/>
      <c r="S887" s="343"/>
      <c r="T887" s="2"/>
      <c r="U887" s="2"/>
      <c r="V887" s="2"/>
      <c r="W887" s="2"/>
      <c r="X887" s="2"/>
      <c r="Y887" s="2"/>
      <c r="Z887" s="2"/>
      <c r="AA887" s="2"/>
      <c r="AB887" s="2"/>
      <c r="AC887" s="2"/>
      <c r="AD887" s="2"/>
      <c r="AE887" s="2"/>
      <c r="AF887" s="2"/>
      <c r="AG887" s="2"/>
      <c r="AH887" s="2"/>
      <c r="AI887" s="2"/>
      <c r="AJ887" s="2"/>
      <c r="AK887" s="2"/>
      <c r="AL887" s="2"/>
    </row>
    <row r="888" spans="1:38" ht="12.75" customHeight="1" x14ac:dyDescent="0.25">
      <c r="A888" s="2"/>
      <c r="B888" s="178"/>
      <c r="C888" s="779"/>
      <c r="D888" s="416"/>
      <c r="E888" s="2596" t="str">
        <f>Translations!$B$643</f>
        <v>De uppgifter som anges här påverkar de utsläpp som kan tillskrivas i enlighet med kapitel 10 i bilaga VII till FAR.</v>
      </c>
      <c r="F888" s="1960"/>
      <c r="G888" s="1960"/>
      <c r="H888" s="1960"/>
      <c r="I888" s="1960"/>
      <c r="J888" s="1960"/>
      <c r="K888" s="1960"/>
      <c r="L888" s="1960"/>
      <c r="M888" s="1960"/>
      <c r="N888" s="2597"/>
      <c r="O888" s="15"/>
      <c r="P888" s="15"/>
      <c r="Q888" s="343"/>
      <c r="R888" s="2"/>
      <c r="S888" s="343"/>
      <c r="T888" s="343"/>
      <c r="U888" s="343"/>
      <c r="V888" s="343"/>
      <c r="W888" s="2"/>
      <c r="X888" s="2"/>
      <c r="Y888" s="2"/>
      <c r="Z888" s="2"/>
      <c r="AA888" s="2"/>
      <c r="AB888" s="2"/>
      <c r="AC888" s="2"/>
      <c r="AD888" s="2"/>
      <c r="AE888" s="2"/>
      <c r="AF888" s="2"/>
      <c r="AG888" s="2"/>
      <c r="AH888" s="2"/>
      <c r="AI888" s="2"/>
      <c r="AJ888" s="2"/>
      <c r="AK888" s="2"/>
      <c r="AL888" s="2"/>
    </row>
    <row r="889" spans="1:38" ht="25.5" customHeight="1" thickBot="1" x14ac:dyDescent="0.3">
      <c r="A889" s="2"/>
      <c r="B889" s="178"/>
      <c r="C889" s="779"/>
      <c r="D889" s="780"/>
      <c r="E889" s="2610" t="str">
        <f>Translations!$B$644</f>
        <v>Detta innefattar el som produceras direkt från delanläggningen i enlighet med avsnitt 3.1 (i) i bilaga IV till FAR. El som produceras via intermediär mätbar värme bör inte anges här utan som export av mätbar värme i punkt k.v ovan.</v>
      </c>
      <c r="F889" s="1960"/>
      <c r="G889" s="1960"/>
      <c r="H889" s="1960"/>
      <c r="I889" s="1960"/>
      <c r="J889" s="1960"/>
      <c r="K889" s="1960"/>
      <c r="L889" s="1960"/>
      <c r="M889" s="1960"/>
      <c r="N889" s="2597"/>
      <c r="O889" s="15"/>
      <c r="P889" s="15"/>
      <c r="Q889" s="343"/>
      <c r="R889" s="2"/>
      <c r="S889" s="343"/>
      <c r="T889" s="2"/>
      <c r="U889" s="2"/>
      <c r="V889" s="2"/>
      <c r="W889" s="2"/>
      <c r="X889" s="2"/>
      <c r="Y889" s="2"/>
      <c r="Z889" s="2"/>
      <c r="AA889" s="2"/>
      <c r="AB889" s="2"/>
      <c r="AC889" s="2"/>
      <c r="AD889" s="2"/>
      <c r="AE889" s="2"/>
      <c r="AF889" s="2"/>
      <c r="AG889" s="2"/>
      <c r="AH889" s="2"/>
      <c r="AI889" s="2"/>
      <c r="AJ889" s="2"/>
      <c r="AK889" s="2"/>
      <c r="AL889" s="2"/>
    </row>
    <row r="890" spans="1:38" ht="12.75" customHeight="1" thickBot="1" x14ac:dyDescent="0.3">
      <c r="A890" s="2"/>
      <c r="B890" s="178"/>
      <c r="C890" s="779"/>
      <c r="D890" s="373"/>
      <c r="E890" s="1716"/>
      <c r="F890" s="1717"/>
      <c r="G890" s="361" t="str">
        <f>EUconst_Unit</f>
        <v>Enhet</v>
      </c>
      <c r="H890" s="362">
        <f t="shared" ref="H890:N890" si="401">H$3042</f>
        <v>2019</v>
      </c>
      <c r="I890" s="1103">
        <f t="shared" si="401"/>
        <v>2020</v>
      </c>
      <c r="J890" s="1104">
        <f t="shared" si="401"/>
        <v>2021</v>
      </c>
      <c r="K890" s="362">
        <f t="shared" si="401"/>
        <v>2022</v>
      </c>
      <c r="L890" s="362">
        <f t="shared" si="401"/>
        <v>2023</v>
      </c>
      <c r="M890" s="362">
        <f t="shared" si="401"/>
        <v>2024</v>
      </c>
      <c r="N890" s="1141">
        <f t="shared" si="401"/>
        <v>2025</v>
      </c>
      <c r="O890" s="15"/>
      <c r="P890" s="15"/>
      <c r="Q890" s="343"/>
      <c r="R890" s="2"/>
      <c r="S890" s="772"/>
      <c r="T890" s="609">
        <f t="shared" ref="T890:Z890" si="402">H890</f>
        <v>2019</v>
      </c>
      <c r="U890" s="609">
        <f t="shared" si="402"/>
        <v>2020</v>
      </c>
      <c r="V890" s="609">
        <f t="shared" si="402"/>
        <v>2021</v>
      </c>
      <c r="W890" s="609">
        <f t="shared" si="402"/>
        <v>2022</v>
      </c>
      <c r="X890" s="609">
        <f t="shared" si="402"/>
        <v>2023</v>
      </c>
      <c r="Y890" s="609">
        <f t="shared" si="402"/>
        <v>2024</v>
      </c>
      <c r="Z890" s="610">
        <f t="shared" si="402"/>
        <v>2025</v>
      </c>
      <c r="AA890" s="2"/>
      <c r="AB890" s="2"/>
      <c r="AC890" s="1044">
        <f t="shared" ref="AC890:AI890" si="403">H$20</f>
        <v>2019</v>
      </c>
      <c r="AD890" s="1044">
        <f t="shared" si="403"/>
        <v>2020</v>
      </c>
      <c r="AE890" s="1044">
        <f t="shared" si="403"/>
        <v>2021</v>
      </c>
      <c r="AF890" s="1044">
        <f t="shared" si="403"/>
        <v>2022</v>
      </c>
      <c r="AG890" s="1044">
        <f t="shared" si="403"/>
        <v>2023</v>
      </c>
      <c r="AH890" s="1044">
        <f t="shared" si="403"/>
        <v>2024</v>
      </c>
      <c r="AI890" s="1044">
        <f t="shared" si="403"/>
        <v>2025</v>
      </c>
      <c r="AJ890" s="2"/>
      <c r="AK890" s="2"/>
      <c r="AL890" s="2"/>
    </row>
    <row r="891" spans="1:38" ht="12.75" customHeight="1" thickBot="1" x14ac:dyDescent="0.3">
      <c r="A891" s="2"/>
      <c r="B891" s="178"/>
      <c r="C891" s="779"/>
      <c r="D891" s="416"/>
      <c r="E891" s="2613" t="str">
        <f>Translations!$B$645</f>
        <v>Producerad el</v>
      </c>
      <c r="F891" s="1997"/>
      <c r="G891" s="364" t="str">
        <f>EUconst_MWhpa</f>
        <v>MWh / år</v>
      </c>
      <c r="H891" s="582"/>
      <c r="I891" s="1105"/>
      <c r="J891" s="1115"/>
      <c r="K891" s="582"/>
      <c r="L891" s="582"/>
      <c r="M891" s="582"/>
      <c r="N891" s="1146"/>
      <c r="O891" s="15"/>
      <c r="P891" s="1362"/>
      <c r="Q891" s="165" t="str">
        <f>EUconst_CNTR_ElectricityExported &amp; I617</f>
        <v>ElecEx_</v>
      </c>
      <c r="R891" s="2"/>
      <c r="S891" s="773" t="str">
        <f>EUconst_CNTR_AttributedEmissions &amp; I617</f>
        <v>AttrEmissions_</v>
      </c>
      <c r="T891" s="111" t="str">
        <f t="shared" ref="T891:Z891" si="404">IF(T625,-SUM(H891)*EUconst_ElBM,"")</f>
        <v/>
      </c>
      <c r="U891" s="111" t="str">
        <f t="shared" si="404"/>
        <v/>
      </c>
      <c r="V891" s="111" t="str">
        <f t="shared" si="404"/>
        <v/>
      </c>
      <c r="W891" s="111" t="str">
        <f t="shared" si="404"/>
        <v/>
      </c>
      <c r="X891" s="111" t="str">
        <f t="shared" si="404"/>
        <v/>
      </c>
      <c r="Y891" s="111" t="str">
        <f t="shared" si="404"/>
        <v/>
      </c>
      <c r="Z891" s="112" t="str">
        <f t="shared" si="404"/>
        <v/>
      </c>
      <c r="AA891" s="2"/>
      <c r="AB891" s="672" t="s">
        <v>782</v>
      </c>
      <c r="AC891" s="108" t="b">
        <f>AC687</f>
        <v>0</v>
      </c>
      <c r="AD891" s="108" t="b">
        <f t="shared" ref="AD891:AI891" si="405">AD687</f>
        <v>0</v>
      </c>
      <c r="AE891" s="108" t="b">
        <f t="shared" si="405"/>
        <v>0</v>
      </c>
      <c r="AF891" s="108" t="b">
        <f t="shared" si="405"/>
        <v>0</v>
      </c>
      <c r="AG891" s="108" t="b">
        <f t="shared" si="405"/>
        <v>0</v>
      </c>
      <c r="AH891" s="108" t="b">
        <f t="shared" si="405"/>
        <v>0</v>
      </c>
      <c r="AI891" s="108" t="b">
        <f t="shared" si="405"/>
        <v>0</v>
      </c>
      <c r="AJ891" s="553" t="s">
        <v>2248</v>
      </c>
      <c r="AK891" s="663" t="str">
        <f>IF(AND(CNTR_ExistSubInstEntries,MSconst_RequireSubAttrEmissions,COUNTIFS(AC891:AI891,FALSE,H891:N891,"")&gt;0),EUconst_Error&amp;"BM"&amp;$Q617,"")</f>
        <v/>
      </c>
      <c r="AL891" s="2"/>
    </row>
    <row r="892" spans="1:38" ht="12.75" customHeight="1" x14ac:dyDescent="0.25">
      <c r="A892" s="2"/>
      <c r="B892" s="178"/>
      <c r="C892" s="779"/>
      <c r="D892" s="780"/>
      <c r="E892" s="780"/>
      <c r="F892" s="780"/>
      <c r="G892" s="780"/>
      <c r="H892" s="780"/>
      <c r="I892" s="1805"/>
      <c r="J892" s="780"/>
      <c r="K892" s="780"/>
      <c r="L892" s="780"/>
      <c r="M892" s="780"/>
      <c r="N892" s="519"/>
      <c r="O892" s="15"/>
      <c r="P892" s="15"/>
      <c r="Q892" s="343"/>
      <c r="R892" s="2"/>
      <c r="S892" s="343"/>
      <c r="T892" s="2"/>
      <c r="U892" s="2"/>
      <c r="V892" s="343"/>
      <c r="W892" s="2"/>
      <c r="X892" s="2"/>
      <c r="Y892" s="2"/>
      <c r="Z892" s="2"/>
      <c r="AA892" s="2"/>
      <c r="AB892" s="2"/>
      <c r="AC892" s="2"/>
      <c r="AD892" s="2"/>
      <c r="AE892" s="2"/>
      <c r="AF892" s="2"/>
      <c r="AG892" s="2"/>
      <c r="AH892" s="2"/>
      <c r="AI892" s="2"/>
      <c r="AJ892" s="2"/>
      <c r="AK892" s="2"/>
      <c r="AL892" s="2"/>
    </row>
    <row r="893" spans="1:38" ht="12.75" customHeight="1" x14ac:dyDescent="0.25">
      <c r="A893" s="2"/>
      <c r="B893" s="178"/>
      <c r="C893" s="779"/>
      <c r="D893" s="373" t="s">
        <v>271</v>
      </c>
      <c r="E893" s="2614" t="str">
        <f>Translations!$B$646</f>
        <v>Total producerad massamängd</v>
      </c>
      <c r="F893" s="1960"/>
      <c r="G893" s="1960"/>
      <c r="H893" s="1960"/>
      <c r="I893" s="1960"/>
      <c r="J893" s="1960"/>
      <c r="K893" s="1960"/>
      <c r="L893" s="1960"/>
      <c r="M893" s="1960"/>
      <c r="N893" s="2597"/>
      <c r="O893" s="15"/>
      <c r="P893" s="15"/>
      <c r="Q893" s="2"/>
      <c r="R893" s="2"/>
      <c r="S893" s="2"/>
      <c r="T893" s="2"/>
      <c r="U893" s="2"/>
      <c r="V893" s="343"/>
      <c r="W893" s="2"/>
      <c r="X893" s="2"/>
      <c r="Y893" s="2"/>
      <c r="Z893" s="2"/>
      <c r="AA893" s="2"/>
      <c r="AB893" s="2"/>
      <c r="AC893" s="2"/>
      <c r="AD893" s="2"/>
      <c r="AE893" s="2"/>
      <c r="AF893" s="2"/>
      <c r="AG893" s="2"/>
      <c r="AH893" s="2"/>
      <c r="AI893" s="2"/>
      <c r="AJ893" s="2"/>
      <c r="AK893" s="2"/>
      <c r="AL893" s="2"/>
    </row>
    <row r="894" spans="1:38" ht="25.5" customHeight="1" x14ac:dyDescent="0.25">
      <c r="A894" s="2"/>
      <c r="B894" s="178"/>
      <c r="C894" s="779"/>
      <c r="D894" s="780"/>
      <c r="E894" s="2610" t="str">
        <f>Translations!$B$647</f>
        <v>Enligt avsnitt 2.7 k i bilaga IV till FAR ska det lämnas uppgift om den totala mängden massa som produceras för delanläggningar med produktriktmärke för kortfibrig sulfatmassa, långfibrig sulfatmassa, termomekanisk massa och mekanisk massa samt sulfitmassa.</v>
      </c>
      <c r="F894" s="1960"/>
      <c r="G894" s="1960"/>
      <c r="H894" s="1960"/>
      <c r="I894" s="1960"/>
      <c r="J894" s="1960"/>
      <c r="K894" s="1960"/>
      <c r="L894" s="1960"/>
      <c r="M894" s="1960"/>
      <c r="N894" s="2597"/>
      <c r="O894" s="15"/>
      <c r="P894" s="15"/>
      <c r="Q894" s="343"/>
      <c r="R894" s="2"/>
      <c r="S894" s="343"/>
      <c r="T894" s="2"/>
      <c r="U894" s="2"/>
      <c r="V894" s="343"/>
      <c r="W894" s="2"/>
      <c r="X894" s="2"/>
      <c r="Y894" s="2"/>
      <c r="Z894" s="2"/>
      <c r="AA894" s="2"/>
      <c r="AB894" s="2"/>
      <c r="AC894" s="2"/>
      <c r="AD894" s="2"/>
      <c r="AE894" s="2"/>
      <c r="AF894" s="2"/>
      <c r="AG894" s="2"/>
      <c r="AH894" s="2"/>
      <c r="AI894" s="2"/>
      <c r="AJ894" s="2"/>
      <c r="AK894" s="2"/>
      <c r="AL894" s="2"/>
    </row>
    <row r="895" spans="1:38" ht="12.75" customHeight="1" x14ac:dyDescent="0.25">
      <c r="A895" s="2"/>
      <c r="B895" s="178"/>
      <c r="C895" s="779"/>
      <c r="D895" s="780"/>
      <c r="E895" s="2610" t="str">
        <f>Translations!$B$648</f>
        <v>Avsnittet kommer att gråmarkeras om det inte rör sig om någon massaproducerande delanläggning av dessa slag. Var god gå vidare till nedanstående punkter, i sådana fall.</v>
      </c>
      <c r="F895" s="1960"/>
      <c r="G895" s="1960"/>
      <c r="H895" s="1960"/>
      <c r="I895" s="1960"/>
      <c r="J895" s="1960"/>
      <c r="K895" s="1960"/>
      <c r="L895" s="1960"/>
      <c r="M895" s="1960"/>
      <c r="N895" s="2597"/>
      <c r="O895" s="15"/>
      <c r="P895" s="15"/>
      <c r="Q895" s="343"/>
      <c r="R895" s="2"/>
      <c r="S895" s="343"/>
      <c r="T895" s="2"/>
      <c r="U895" s="2"/>
      <c r="V895" s="343"/>
      <c r="W895" s="2"/>
      <c r="X895" s="2"/>
      <c r="Y895" s="2"/>
      <c r="Z895" s="2"/>
      <c r="AA895" s="2"/>
      <c r="AB895" s="2"/>
      <c r="AC895" s="2"/>
      <c r="AD895" s="2"/>
      <c r="AE895" s="2"/>
      <c r="AF895" s="2"/>
      <c r="AG895" s="2"/>
      <c r="AH895" s="2"/>
      <c r="AI895" s="2"/>
      <c r="AJ895" s="2"/>
      <c r="AK895" s="2"/>
      <c r="AL895" s="2"/>
    </row>
    <row r="896" spans="1:38" ht="12.75" customHeight="1" thickBot="1" x14ac:dyDescent="0.3">
      <c r="A896" s="2"/>
      <c r="B896" s="178"/>
      <c r="C896" s="779"/>
      <c r="D896" s="416"/>
      <c r="E896" s="2615" t="str">
        <f>Translations!$B$649</f>
        <v>De uppgifter som anges här är relevanta för uppdateringen av det särskilda riktmärket för massa.</v>
      </c>
      <c r="F896" s="2497"/>
      <c r="G896" s="2497"/>
      <c r="H896" s="2497"/>
      <c r="I896" s="2497"/>
      <c r="J896" s="2497"/>
      <c r="K896" s="2497"/>
      <c r="L896" s="2497"/>
      <c r="M896" s="2497"/>
      <c r="N896" s="2616"/>
      <c r="O896" s="15"/>
      <c r="P896" s="15"/>
      <c r="Q896" s="343"/>
      <c r="R896" s="2"/>
      <c r="S896" s="343"/>
      <c r="T896" s="2"/>
      <c r="U896" s="2"/>
      <c r="V896" s="343"/>
      <c r="W896" s="2"/>
      <c r="X896" s="2"/>
      <c r="Y896" s="2"/>
      <c r="Z896" s="2"/>
      <c r="AA896" s="2"/>
      <c r="AB896" s="2"/>
      <c r="AC896" s="1044">
        <f t="shared" ref="AC896:AI896" si="406">H$20</f>
        <v>2019</v>
      </c>
      <c r="AD896" s="1044">
        <f t="shared" si="406"/>
        <v>2020</v>
      </c>
      <c r="AE896" s="1044">
        <f t="shared" si="406"/>
        <v>2021</v>
      </c>
      <c r="AF896" s="1044">
        <f t="shared" si="406"/>
        <v>2022</v>
      </c>
      <c r="AG896" s="1044">
        <f t="shared" si="406"/>
        <v>2023</v>
      </c>
      <c r="AH896" s="1044">
        <f t="shared" si="406"/>
        <v>2024</v>
      </c>
      <c r="AI896" s="1044">
        <f t="shared" si="406"/>
        <v>2025</v>
      </c>
      <c r="AJ896" s="2"/>
      <c r="AK896" s="2"/>
      <c r="AL896" s="2"/>
    </row>
    <row r="897" spans="1:38" ht="12.75" customHeight="1" x14ac:dyDescent="0.25">
      <c r="A897" s="2"/>
      <c r="B897" s="178"/>
      <c r="C897" s="779"/>
      <c r="D897" s="416"/>
      <c r="E897" s="2617" t="str">
        <f>IF(I617="","",IF(INDEX(EUconst_BMlistPulp,MATCH(I617,EUconst_BMlistNames,0)),I617,""))</f>
        <v/>
      </c>
      <c r="F897" s="1997"/>
      <c r="G897" s="364" t="str">
        <f>EUconst_Tons</f>
        <v>ton</v>
      </c>
      <c r="H897" s="582"/>
      <c r="I897" s="1105"/>
      <c r="J897" s="1115"/>
      <c r="K897" s="582"/>
      <c r="L897" s="582"/>
      <c r="M897" s="582"/>
      <c r="N897" s="1146"/>
      <c r="O897" s="15"/>
      <c r="P897" s="1362"/>
      <c r="Q897" s="165" t="str">
        <f>EUconst_CNTR_HALPulpTotal &amp; I617</f>
        <v>HALPulpTotal_</v>
      </c>
      <c r="R897" s="2"/>
      <c r="S897" s="343"/>
      <c r="T897" s="2"/>
      <c r="U897" s="2"/>
      <c r="V897" s="2"/>
      <c r="W897" s="2"/>
      <c r="X897" s="2"/>
      <c r="Y897" s="2"/>
      <c r="Z897" s="2"/>
      <c r="AA897" s="2"/>
      <c r="AB897" s="672" t="s">
        <v>782</v>
      </c>
      <c r="AC897" s="1196" t="b">
        <f t="shared" ref="AC897:AI897" si="407">IF($I617&lt;&gt;"",IF(INDEX(EUconst_BMlistPulp,MATCH($I617,EUconst_BMlistNames,0))=TRUE,FALSE,TRUE),AC687)</f>
        <v>0</v>
      </c>
      <c r="AD897" s="108" t="b">
        <f t="shared" si="407"/>
        <v>0</v>
      </c>
      <c r="AE897" s="108" t="b">
        <f t="shared" si="407"/>
        <v>0</v>
      </c>
      <c r="AF897" s="108" t="b">
        <f t="shared" si="407"/>
        <v>0</v>
      </c>
      <c r="AG897" s="108" t="b">
        <f t="shared" si="407"/>
        <v>0</v>
      </c>
      <c r="AH897" s="108" t="b">
        <f t="shared" si="407"/>
        <v>0</v>
      </c>
      <c r="AI897" s="108" t="b">
        <f t="shared" si="407"/>
        <v>0</v>
      </c>
      <c r="AJ897" s="553" t="s">
        <v>2248</v>
      </c>
      <c r="AK897" s="663" t="str">
        <f>IF(AND(CNTR_ExistSubInstEntries,MSconst_RequireSubAttrEmissions,COUNTIFS(AC897:AI897,FALSE,H897:N897,"")&gt;0),EUconst_Error&amp;"BM"&amp;$Q617,"")</f>
        <v/>
      </c>
      <c r="AL897" s="2"/>
    </row>
    <row r="898" spans="1:38" ht="12.75" customHeight="1" x14ac:dyDescent="0.25">
      <c r="A898" s="2"/>
      <c r="B898" s="178"/>
      <c r="C898" s="779"/>
      <c r="D898" s="416"/>
      <c r="E898" s="416"/>
      <c r="F898" s="416"/>
      <c r="G898" s="416"/>
      <c r="H898" s="1805"/>
      <c r="I898" s="416"/>
      <c r="J898" s="416"/>
      <c r="K898" s="416"/>
      <c r="L898" s="416"/>
      <c r="M898" s="416"/>
      <c r="N898" s="1810"/>
      <c r="O898" s="15"/>
      <c r="P898" s="15"/>
      <c r="Q898" s="343"/>
      <c r="R898" s="2"/>
      <c r="S898" s="343"/>
      <c r="T898" s="2"/>
      <c r="U898" s="2"/>
      <c r="V898" s="343"/>
      <c r="W898" s="2"/>
      <c r="X898" s="2"/>
      <c r="Y898" s="2"/>
      <c r="Z898" s="2"/>
      <c r="AA898" s="2"/>
      <c r="AB898" s="2"/>
      <c r="AC898" s="2"/>
      <c r="AD898" s="2"/>
      <c r="AE898" s="2"/>
      <c r="AF898" s="2"/>
      <c r="AG898" s="2"/>
      <c r="AH898" s="2"/>
      <c r="AI898" s="2"/>
      <c r="AJ898" s="2"/>
      <c r="AK898" s="2"/>
      <c r="AL898" s="2"/>
    </row>
    <row r="899" spans="1:38" ht="12.75" customHeight="1" x14ac:dyDescent="0.25">
      <c r="A899" s="2"/>
      <c r="B899" s="178"/>
      <c r="C899" s="779"/>
      <c r="D899" s="373" t="s">
        <v>906</v>
      </c>
      <c r="E899" s="2614" t="str">
        <f>Translations!$B$650</f>
        <v>Import eller export av mellanprodukter som omfattas av produktriktmärken</v>
      </c>
      <c r="F899" s="1960"/>
      <c r="G899" s="1960"/>
      <c r="H899" s="1960"/>
      <c r="I899" s="1960"/>
      <c r="J899" s="1960"/>
      <c r="K899" s="1960"/>
      <c r="L899" s="1960"/>
      <c r="M899" s="1960"/>
      <c r="N899" s="2597"/>
      <c r="O899" s="15"/>
      <c r="P899" s="15"/>
      <c r="Q899" s="343"/>
      <c r="R899" s="2"/>
      <c r="S899" s="343"/>
      <c r="T899" s="2"/>
      <c r="U899" s="2"/>
      <c r="V899" s="343"/>
      <c r="W899" s="2"/>
      <c r="X899" s="2"/>
      <c r="Y899" s="2"/>
      <c r="Z899" s="2"/>
      <c r="AA899" s="2"/>
      <c r="AB899" s="2"/>
      <c r="AC899" s="2"/>
      <c r="AD899" s="2"/>
      <c r="AE899" s="2"/>
      <c r="AF899" s="2"/>
      <c r="AG899" s="2"/>
      <c r="AH899" s="2"/>
      <c r="AI899" s="2"/>
      <c r="AJ899" s="2"/>
      <c r="AK899" s="2"/>
      <c r="AL899" s="2"/>
    </row>
    <row r="900" spans="1:38" ht="25.5" customHeight="1" x14ac:dyDescent="0.25">
      <c r="A900" s="2"/>
      <c r="B900" s="178"/>
      <c r="C900" s="779"/>
      <c r="D900" s="780"/>
      <c r="E900" s="2610" t="str">
        <f>Translations!$B$651</f>
        <v>För att undvika eventuell dubbelräkning eller luckor i tilldelade utsläpp vid fastställandet av de uppdaterade riktmärkena ska man enligt avsnitt 2.7 d i bilaga IV till FAR ange eventuell import eller export av mellanprodukter som omfattas av något av produktriktmärkena i bilaga I till FAR.</v>
      </c>
      <c r="F900" s="1960"/>
      <c r="G900" s="1960"/>
      <c r="H900" s="1960"/>
      <c r="I900" s="1960"/>
      <c r="J900" s="1960"/>
      <c r="K900" s="1960"/>
      <c r="L900" s="1960"/>
      <c r="M900" s="1960"/>
      <c r="N900" s="2597"/>
      <c r="O900" s="15"/>
      <c r="P900" s="15"/>
      <c r="Q900" s="343"/>
      <c r="R900" s="2"/>
      <c r="S900" s="343"/>
      <c r="T900" s="2"/>
      <c r="U900" s="2"/>
      <c r="V900" s="343"/>
      <c r="W900" s="2"/>
      <c r="X900" s="2"/>
      <c r="Y900" s="2"/>
      <c r="Z900" s="2"/>
      <c r="AA900" s="2"/>
      <c r="AB900" s="2"/>
      <c r="AC900" s="2"/>
      <c r="AD900" s="2"/>
      <c r="AE900" s="2"/>
      <c r="AF900" s="2"/>
      <c r="AG900" s="2"/>
      <c r="AH900" s="2"/>
      <c r="AI900" s="2"/>
      <c r="AJ900" s="2"/>
      <c r="AK900" s="2"/>
      <c r="AL900" s="2"/>
    </row>
    <row r="901" spans="1:38" ht="12.75" customHeight="1" x14ac:dyDescent="0.25">
      <c r="A901" s="2"/>
      <c r="B901" s="178"/>
      <c r="C901" s="779"/>
      <c r="D901" s="780"/>
      <c r="E901" s="2596" t="str">
        <f>Translations!$B$652</f>
        <v>De uppgifter som anges här kan påverka uppdateringen av det särskilda riktmärket.</v>
      </c>
      <c r="F901" s="1960"/>
      <c r="G901" s="1960"/>
      <c r="H901" s="1960"/>
      <c r="I901" s="1960"/>
      <c r="J901" s="1960"/>
      <c r="K901" s="1960"/>
      <c r="L901" s="1960"/>
      <c r="M901" s="1960"/>
      <c r="N901" s="2597"/>
      <c r="O901" s="15"/>
      <c r="P901" s="15"/>
      <c r="Q901" s="343"/>
      <c r="R901" s="2"/>
      <c r="S901" s="343"/>
      <c r="T901" s="2"/>
      <c r="U901" s="2"/>
      <c r="V901" s="343"/>
      <c r="W901" s="2"/>
      <c r="X901" s="2"/>
      <c r="Y901" s="2"/>
      <c r="Z901" s="2"/>
      <c r="AA901" s="2"/>
      <c r="AB901" s="2"/>
      <c r="AC901" s="2"/>
      <c r="AD901" s="2"/>
      <c r="AE901" s="2"/>
      <c r="AF901" s="2"/>
      <c r="AG901" s="2"/>
      <c r="AH901" s="2"/>
      <c r="AI901" s="2"/>
      <c r="AJ901" s="2"/>
      <c r="AK901" s="2"/>
      <c r="AL901" s="2"/>
    </row>
    <row r="902" spans="1:38" ht="12.75" customHeight="1" x14ac:dyDescent="0.25">
      <c r="A902" s="2"/>
      <c r="B902" s="19"/>
      <c r="C902" s="779"/>
      <c r="D902" s="416" t="s">
        <v>8</v>
      </c>
      <c r="E902" s="2598" t="str">
        <f>Translations!$B$653</f>
        <v>Förekommer import eller export av mellanprodukter som omfattas av produktriktmärken?</v>
      </c>
      <c r="F902" s="1960"/>
      <c r="G902" s="1960"/>
      <c r="H902" s="1960"/>
      <c r="I902" s="1960"/>
      <c r="J902" s="1960"/>
      <c r="K902" s="2520"/>
      <c r="L902" s="749"/>
      <c r="M902" s="360"/>
      <c r="N902" s="535"/>
      <c r="O902" s="15"/>
      <c r="P902" s="1362"/>
      <c r="Q902" s="2"/>
      <c r="R902" s="2"/>
      <c r="S902" s="2"/>
      <c r="T902" s="2"/>
      <c r="U902" s="2"/>
      <c r="V902" s="2"/>
      <c r="W902" s="2"/>
      <c r="X902" s="2"/>
      <c r="Y902" s="2"/>
      <c r="Z902" s="2"/>
      <c r="AA902" s="2"/>
      <c r="AB902" s="2"/>
      <c r="AC902" s="2"/>
      <c r="AD902" s="2"/>
      <c r="AE902" s="2"/>
      <c r="AF902" s="672" t="s">
        <v>782</v>
      </c>
      <c r="AG902" s="1196" t="b">
        <f>AND(CNTR_ExistSubInstEntries,I617="")</f>
        <v>0</v>
      </c>
      <c r="AH902" s="2"/>
      <c r="AI902" s="2"/>
      <c r="AJ902" s="2"/>
      <c r="AK902" s="2"/>
      <c r="AL902" s="2"/>
    </row>
    <row r="903" spans="1:38" ht="5.15" customHeight="1" x14ac:dyDescent="0.25">
      <c r="A903" s="2"/>
      <c r="B903" s="178"/>
      <c r="C903" s="779"/>
      <c r="D903" s="416"/>
      <c r="E903" s="416"/>
      <c r="F903" s="416"/>
      <c r="G903" s="416"/>
      <c r="H903" s="1805"/>
      <c r="I903" s="416"/>
      <c r="J903" s="416"/>
      <c r="K903" s="416"/>
      <c r="L903" s="416"/>
      <c r="M903" s="416"/>
      <c r="N903" s="1810"/>
      <c r="O903" s="15"/>
      <c r="P903" s="15"/>
      <c r="Q903" s="343"/>
      <c r="R903" s="2"/>
      <c r="S903" s="343"/>
      <c r="T903" s="2"/>
      <c r="U903" s="2"/>
      <c r="V903" s="343"/>
      <c r="W903" s="2"/>
      <c r="X903" s="2"/>
      <c r="Y903" s="2"/>
      <c r="Z903" s="2"/>
      <c r="AA903" s="2"/>
      <c r="AB903" s="2"/>
      <c r="AC903" s="2"/>
      <c r="AD903" s="2"/>
      <c r="AE903" s="2"/>
      <c r="AF903" s="2"/>
      <c r="AG903" s="2"/>
      <c r="AH903" s="2"/>
      <c r="AI903" s="2"/>
      <c r="AJ903" s="2"/>
      <c r="AK903" s="2"/>
      <c r="AL903" s="2"/>
    </row>
    <row r="904" spans="1:38" ht="12.75" customHeight="1" thickBot="1" x14ac:dyDescent="0.3">
      <c r="A904" s="2"/>
      <c r="B904" s="178"/>
      <c r="C904" s="779"/>
      <c r="D904" s="373"/>
      <c r="E904" s="2605" t="str">
        <f>Translations!$B$654</f>
        <v>Importerade mängder:</v>
      </c>
      <c r="F904" s="2497"/>
      <c r="G904" s="415" t="str">
        <f>EUconst_Unit</f>
        <v>Enhet</v>
      </c>
      <c r="H904" s="362">
        <f t="shared" ref="H904:N904" si="408">H$3042</f>
        <v>2019</v>
      </c>
      <c r="I904" s="1103">
        <f t="shared" si="408"/>
        <v>2020</v>
      </c>
      <c r="J904" s="1104">
        <f t="shared" si="408"/>
        <v>2021</v>
      </c>
      <c r="K904" s="362">
        <f t="shared" si="408"/>
        <v>2022</v>
      </c>
      <c r="L904" s="362">
        <f t="shared" si="408"/>
        <v>2023</v>
      </c>
      <c r="M904" s="362">
        <f t="shared" si="408"/>
        <v>2024</v>
      </c>
      <c r="N904" s="1141">
        <f t="shared" si="408"/>
        <v>2025</v>
      </c>
      <c r="O904" s="15"/>
      <c r="P904" s="15"/>
      <c r="Q904" s="343"/>
      <c r="R904" s="2"/>
      <c r="S904" s="343"/>
      <c r="T904" s="2"/>
      <c r="U904" s="2"/>
      <c r="V904" s="343"/>
      <c r="W904" s="2"/>
      <c r="X904" s="2"/>
      <c r="Y904" s="2"/>
      <c r="Z904" s="2"/>
      <c r="AA904" s="2"/>
      <c r="AB904" s="2"/>
      <c r="AC904" s="1044">
        <f t="shared" ref="AC904:AI904" si="409">H$20</f>
        <v>2019</v>
      </c>
      <c r="AD904" s="1044">
        <f t="shared" si="409"/>
        <v>2020</v>
      </c>
      <c r="AE904" s="1044">
        <f t="shared" si="409"/>
        <v>2021</v>
      </c>
      <c r="AF904" s="1044">
        <f t="shared" si="409"/>
        <v>2022</v>
      </c>
      <c r="AG904" s="1044">
        <f t="shared" si="409"/>
        <v>2023</v>
      </c>
      <c r="AH904" s="1044">
        <f t="shared" si="409"/>
        <v>2024</v>
      </c>
      <c r="AI904" s="1044">
        <f t="shared" si="409"/>
        <v>2025</v>
      </c>
      <c r="AJ904" s="2"/>
      <c r="AK904" s="2"/>
      <c r="AL904" s="2"/>
    </row>
    <row r="905" spans="1:38" ht="12.75" customHeight="1" x14ac:dyDescent="0.25">
      <c r="A905" s="2"/>
      <c r="B905" s="178"/>
      <c r="C905" s="779"/>
      <c r="D905" s="416" t="s">
        <v>9</v>
      </c>
      <c r="E905" s="2606"/>
      <c r="F905" s="2607"/>
      <c r="G905" s="59" t="str">
        <f>IF(E905&lt;&gt;"",INDEX(EUconst_BMlistUnits,MATCH(E905,EUconst_BMlistNames,0)),EUconst_Tons)</f>
        <v>ton</v>
      </c>
      <c r="H905" s="1319"/>
      <c r="I905" s="1320"/>
      <c r="J905" s="1321"/>
      <c r="K905" s="1319"/>
      <c r="L905" s="1319"/>
      <c r="M905" s="1319"/>
      <c r="N905" s="1322"/>
      <c r="O905" s="15"/>
      <c r="P905" s="1362"/>
      <c r="Q905" s="165" t="str">
        <f>EUconst_CNTR_IntermediateImport &amp; S905 &amp; "_" &amp; I617</f>
        <v>IntImp_1_</v>
      </c>
      <c r="R905" s="2"/>
      <c r="S905" s="165">
        <v>1</v>
      </c>
      <c r="T905" s="2"/>
      <c r="U905" s="2"/>
      <c r="V905" s="343"/>
      <c r="W905" s="2"/>
      <c r="X905" s="2"/>
      <c r="Y905" s="2"/>
      <c r="Z905" s="2"/>
      <c r="AA905" s="2"/>
      <c r="AB905" s="672" t="s">
        <v>782</v>
      </c>
      <c r="AC905" s="1196" t="b">
        <f>OR(AND($L902&lt;&gt;"",$L902=FALSE),AC687)</f>
        <v>0</v>
      </c>
      <c r="AD905" s="108" t="b">
        <f t="shared" ref="AD905:AI905" si="410">OR(AND($L902&lt;&gt;"",$L902=FALSE),AD687)</f>
        <v>0</v>
      </c>
      <c r="AE905" s="108" t="b">
        <f t="shared" si="410"/>
        <v>0</v>
      </c>
      <c r="AF905" s="108" t="b">
        <f t="shared" si="410"/>
        <v>0</v>
      </c>
      <c r="AG905" s="108" t="b">
        <f t="shared" si="410"/>
        <v>0</v>
      </c>
      <c r="AH905" s="108" t="b">
        <f t="shared" si="410"/>
        <v>0</v>
      </c>
      <c r="AI905" s="108" t="b">
        <f t="shared" si="410"/>
        <v>0</v>
      </c>
      <c r="AJ905" s="553" t="s">
        <v>2248</v>
      </c>
      <c r="AK905" s="663" t="str">
        <f>IF(AND(CNTR_ExistSubInstEntries,MSconst_RequireSubAttrEmissions,COUNTIFS(AC905:AI905,FALSE,H905:N905,"")&gt;0),EUconst_Error&amp;"BM"&amp;$Q617,"")</f>
        <v/>
      </c>
      <c r="AL905" s="2"/>
    </row>
    <row r="906" spans="1:38" ht="12.75" customHeight="1" x14ac:dyDescent="0.25">
      <c r="A906" s="2"/>
      <c r="B906" s="178"/>
      <c r="C906" s="779"/>
      <c r="D906" s="416" t="s">
        <v>10</v>
      </c>
      <c r="E906" s="2608"/>
      <c r="F906" s="2609"/>
      <c r="G906" s="51" t="str">
        <f>IF(E906&lt;&gt;"",INDEX(EUconst_BMlistUnits,MATCH(E906,EUconst_BMlistNames,0)),EUconst_Tons)</f>
        <v>ton</v>
      </c>
      <c r="H906" s="1323"/>
      <c r="I906" s="1324"/>
      <c r="J906" s="1325"/>
      <c r="K906" s="1323"/>
      <c r="L906" s="1323"/>
      <c r="M906" s="1323"/>
      <c r="N906" s="1326"/>
      <c r="O906" s="15"/>
      <c r="P906" s="1362"/>
      <c r="Q906" s="165" t="str">
        <f>EUconst_CNTR_IntermediateImport &amp; S906 &amp; "_" &amp; I617</f>
        <v>IntImp_2_</v>
      </c>
      <c r="R906" s="2"/>
      <c r="S906" s="165">
        <v>2</v>
      </c>
      <c r="T906" s="2"/>
      <c r="U906" s="2"/>
      <c r="V906" s="343"/>
      <c r="W906" s="2"/>
      <c r="X906" s="2"/>
      <c r="Y906" s="2"/>
      <c r="Z906" s="2"/>
      <c r="AA906" s="2"/>
      <c r="AB906" s="2"/>
      <c r="AC906" s="108" t="b">
        <f>AC905</f>
        <v>0</v>
      </c>
      <c r="AD906" s="108" t="b">
        <f t="shared" ref="AD906:AI906" si="411">AD905</f>
        <v>0</v>
      </c>
      <c r="AE906" s="108" t="b">
        <f t="shared" si="411"/>
        <v>0</v>
      </c>
      <c r="AF906" s="108" t="b">
        <f t="shared" si="411"/>
        <v>0</v>
      </c>
      <c r="AG906" s="108" t="b">
        <f t="shared" si="411"/>
        <v>0</v>
      </c>
      <c r="AH906" s="108" t="b">
        <f t="shared" si="411"/>
        <v>0</v>
      </c>
      <c r="AI906" s="108" t="b">
        <f t="shared" si="411"/>
        <v>0</v>
      </c>
      <c r="AJ906" s="2"/>
      <c r="AK906" s="2"/>
      <c r="AL906" s="2"/>
    </row>
    <row r="907" spans="1:38" ht="5.15" customHeight="1" x14ac:dyDescent="0.25">
      <c r="A907" s="2"/>
      <c r="B907" s="178"/>
      <c r="C907" s="779"/>
      <c r="D907" s="416"/>
      <c r="E907" s="416"/>
      <c r="F907" s="416"/>
      <c r="G907" s="416"/>
      <c r="H907" s="416"/>
      <c r="I907" s="416"/>
      <c r="J907" s="416"/>
      <c r="K907" s="416"/>
      <c r="L907" s="416"/>
      <c r="M907" s="416"/>
      <c r="N907" s="1149"/>
      <c r="O907" s="15"/>
      <c r="P907" s="15"/>
      <c r="Q907" s="343"/>
      <c r="R907" s="2"/>
      <c r="S907" s="343"/>
      <c r="T907" s="2"/>
      <c r="U907" s="2"/>
      <c r="V907" s="343"/>
      <c r="W907" s="2"/>
      <c r="X907" s="2"/>
      <c r="Y907" s="2"/>
      <c r="Z907" s="2"/>
      <c r="AA907" s="2"/>
      <c r="AB907" s="2"/>
      <c r="AC907" s="2"/>
      <c r="AD907" s="2"/>
      <c r="AE907" s="2"/>
      <c r="AF907" s="2"/>
      <c r="AG907" s="2"/>
      <c r="AH907" s="2"/>
      <c r="AI907" s="2"/>
      <c r="AJ907" s="2"/>
      <c r="AK907" s="2"/>
      <c r="AL907" s="2"/>
    </row>
    <row r="908" spans="1:38" ht="12.75" customHeight="1" thickBot="1" x14ac:dyDescent="0.3">
      <c r="A908" s="2"/>
      <c r="B908" s="178"/>
      <c r="C908" s="779"/>
      <c r="D908" s="373"/>
      <c r="E908" s="2605" t="str">
        <f>Translations!$B$655</f>
        <v>Exporterade mängder:</v>
      </c>
      <c r="F908" s="2497"/>
      <c r="G908" s="415" t="str">
        <f>EUconst_Unit</f>
        <v>Enhet</v>
      </c>
      <c r="H908" s="362">
        <f t="shared" ref="H908:N908" si="412">H$3042</f>
        <v>2019</v>
      </c>
      <c r="I908" s="1103">
        <f t="shared" si="412"/>
        <v>2020</v>
      </c>
      <c r="J908" s="1104">
        <f t="shared" si="412"/>
        <v>2021</v>
      </c>
      <c r="K908" s="362">
        <f t="shared" si="412"/>
        <v>2022</v>
      </c>
      <c r="L908" s="362">
        <f t="shared" si="412"/>
        <v>2023</v>
      </c>
      <c r="M908" s="362">
        <f t="shared" si="412"/>
        <v>2024</v>
      </c>
      <c r="N908" s="1141">
        <f t="shared" si="412"/>
        <v>2025</v>
      </c>
      <c r="O908" s="15"/>
      <c r="P908" s="15"/>
      <c r="Q908" s="343"/>
      <c r="R908" s="2"/>
      <c r="S908" s="343"/>
      <c r="T908" s="2"/>
      <c r="U908" s="2"/>
      <c r="V908" s="343"/>
      <c r="W908" s="2"/>
      <c r="X908" s="2"/>
      <c r="Y908" s="2"/>
      <c r="Z908" s="2"/>
      <c r="AA908" s="2"/>
      <c r="AB908" s="2"/>
      <c r="AC908" s="1044">
        <f t="shared" ref="AC908:AI908" si="413">H$20</f>
        <v>2019</v>
      </c>
      <c r="AD908" s="1044">
        <f t="shared" si="413"/>
        <v>2020</v>
      </c>
      <c r="AE908" s="1044">
        <f t="shared" si="413"/>
        <v>2021</v>
      </c>
      <c r="AF908" s="1044">
        <f t="shared" si="413"/>
        <v>2022</v>
      </c>
      <c r="AG908" s="1044">
        <f t="shared" si="413"/>
        <v>2023</v>
      </c>
      <c r="AH908" s="1044">
        <f t="shared" si="413"/>
        <v>2024</v>
      </c>
      <c r="AI908" s="1044">
        <f t="shared" si="413"/>
        <v>2025</v>
      </c>
      <c r="AJ908" s="2"/>
      <c r="AK908" s="2"/>
      <c r="AL908" s="2"/>
    </row>
    <row r="909" spans="1:38" ht="12.75" customHeight="1" x14ac:dyDescent="0.25">
      <c r="A909" s="2"/>
      <c r="B909" s="178"/>
      <c r="C909" s="779"/>
      <c r="D909" s="416" t="s">
        <v>23</v>
      </c>
      <c r="E909" s="2606"/>
      <c r="F909" s="2607"/>
      <c r="G909" s="59" t="str">
        <f>IF(E909&lt;&gt;"",INDEX(EUconst_BMlistUnits,MATCH(E909,EUconst_BMlistNames,0)),EUconst_Tons)</f>
        <v>ton</v>
      </c>
      <c r="H909" s="1319"/>
      <c r="I909" s="1320"/>
      <c r="J909" s="1321"/>
      <c r="K909" s="1319"/>
      <c r="L909" s="1319"/>
      <c r="M909" s="1319"/>
      <c r="N909" s="1322"/>
      <c r="O909" s="15"/>
      <c r="P909" s="1362"/>
      <c r="Q909" s="165" t="str">
        <f>EUconst_CNTR_IntermediateExport &amp; S905 &amp; "_" &amp; I617</f>
        <v>IntExp_1_</v>
      </c>
      <c r="R909" s="2"/>
      <c r="S909" s="165">
        <v>1</v>
      </c>
      <c r="T909" s="2"/>
      <c r="U909" s="2"/>
      <c r="V909" s="343"/>
      <c r="W909" s="2"/>
      <c r="X909" s="413"/>
      <c r="Y909" s="413"/>
      <c r="Z909" s="2"/>
      <c r="AA909" s="2"/>
      <c r="AB909" s="672" t="s">
        <v>782</v>
      </c>
      <c r="AC909" s="108" t="b">
        <f>AC905</f>
        <v>0</v>
      </c>
      <c r="AD909" s="108" t="b">
        <f t="shared" ref="AD909:AI909" si="414">AD905</f>
        <v>0</v>
      </c>
      <c r="AE909" s="108" t="b">
        <f t="shared" si="414"/>
        <v>0</v>
      </c>
      <c r="AF909" s="108" t="b">
        <f t="shared" si="414"/>
        <v>0</v>
      </c>
      <c r="AG909" s="108" t="b">
        <f t="shared" si="414"/>
        <v>0</v>
      </c>
      <c r="AH909" s="108" t="b">
        <f t="shared" si="414"/>
        <v>0</v>
      </c>
      <c r="AI909" s="108" t="b">
        <f t="shared" si="414"/>
        <v>0</v>
      </c>
      <c r="AJ909" s="553" t="s">
        <v>2248</v>
      </c>
      <c r="AK909" s="663" t="str">
        <f>IF(AND(CNTR_ExistSubInstEntries,MSconst_RequireSubAttrEmissions,COUNTIFS(AC909:AI909,FALSE,H909:N909,"")&gt;0),EUconst_Error&amp;"BM"&amp;$Q617,"")</f>
        <v/>
      </c>
      <c r="AL909" s="2"/>
    </row>
    <row r="910" spans="1:38" ht="12.75" customHeight="1" x14ac:dyDescent="0.25">
      <c r="A910" s="2"/>
      <c r="B910" s="178"/>
      <c r="C910" s="779"/>
      <c r="D910" s="416" t="s">
        <v>859</v>
      </c>
      <c r="E910" s="2608"/>
      <c r="F910" s="2609"/>
      <c r="G910" s="51" t="str">
        <f>IF(E910&lt;&gt;"",INDEX(EUconst_BMlistUnits,MATCH(E910,EUconst_BMlistNames,0)),EUconst_Tons)</f>
        <v>ton</v>
      </c>
      <c r="H910" s="1323"/>
      <c r="I910" s="1324"/>
      <c r="J910" s="1325"/>
      <c r="K910" s="1323"/>
      <c r="L910" s="1323"/>
      <c r="M910" s="1323"/>
      <c r="N910" s="1326"/>
      <c r="O910" s="15"/>
      <c r="P910" s="1362"/>
      <c r="Q910" s="165" t="str">
        <f>EUconst_CNTR_IntermediateExport &amp; S910 &amp; "_" &amp; I617</f>
        <v>IntExp_2_</v>
      </c>
      <c r="R910" s="2"/>
      <c r="S910" s="165">
        <v>2</v>
      </c>
      <c r="T910" s="2"/>
      <c r="U910" s="2"/>
      <c r="V910" s="343"/>
      <c r="W910" s="2"/>
      <c r="X910" s="413"/>
      <c r="Y910" s="413"/>
      <c r="Z910" s="2"/>
      <c r="AA910" s="2"/>
      <c r="AB910" s="2"/>
      <c r="AC910" s="108" t="b">
        <f t="shared" ref="AC910:AI910" si="415">AC906</f>
        <v>0</v>
      </c>
      <c r="AD910" s="108" t="b">
        <f t="shared" si="415"/>
        <v>0</v>
      </c>
      <c r="AE910" s="108" t="b">
        <f t="shared" si="415"/>
        <v>0</v>
      </c>
      <c r="AF910" s="108" t="b">
        <f t="shared" si="415"/>
        <v>0</v>
      </c>
      <c r="AG910" s="108" t="b">
        <f t="shared" si="415"/>
        <v>0</v>
      </c>
      <c r="AH910" s="108" t="b">
        <f t="shared" si="415"/>
        <v>0</v>
      </c>
      <c r="AI910" s="108" t="b">
        <f t="shared" si="415"/>
        <v>0</v>
      </c>
      <c r="AJ910" s="2"/>
      <c r="AK910" s="2"/>
      <c r="AL910" s="2"/>
    </row>
    <row r="911" spans="1:38" ht="5.15" customHeight="1" x14ac:dyDescent="0.25">
      <c r="A911" s="2"/>
      <c r="B911" s="178"/>
      <c r="C911" s="779"/>
      <c r="D911" s="416"/>
      <c r="E911" s="416"/>
      <c r="F911" s="416"/>
      <c r="G911" s="416"/>
      <c r="H911" s="416"/>
      <c r="I911" s="416"/>
      <c r="J911" s="416"/>
      <c r="K911" s="416"/>
      <c r="L911" s="416"/>
      <c r="M911" s="416"/>
      <c r="N911" s="1810"/>
      <c r="O911" s="15"/>
      <c r="P911" s="15"/>
      <c r="Q911" s="343"/>
      <c r="R911" s="2"/>
      <c r="S911" s="343"/>
      <c r="T911" s="2"/>
      <c r="U911" s="2"/>
      <c r="V911" s="343"/>
      <c r="W911" s="2"/>
      <c r="X911" s="413"/>
      <c r="Y911" s="413"/>
      <c r="Z911" s="2"/>
      <c r="AA911" s="2"/>
      <c r="AB911" s="2"/>
      <c r="AC911" s="2"/>
      <c r="AD911" s="2"/>
      <c r="AE911" s="2"/>
      <c r="AF911" s="2"/>
      <c r="AG911" s="2"/>
      <c r="AH911" s="2"/>
      <c r="AI911" s="2"/>
      <c r="AJ911" s="2"/>
      <c r="AK911" s="2"/>
      <c r="AL911" s="2"/>
    </row>
    <row r="912" spans="1:38" ht="12.75" customHeight="1" x14ac:dyDescent="0.25">
      <c r="A912" s="2"/>
      <c r="B912" s="178"/>
      <c r="C912" s="779"/>
      <c r="D912" s="416" t="s">
        <v>860</v>
      </c>
      <c r="E912" s="623" t="str">
        <f>Translations!$B$656</f>
        <v>Beskrivning av importerade eller exporterade mellanprodukter</v>
      </c>
      <c r="F912" s="623"/>
      <c r="G912" s="623"/>
      <c r="H912" s="623"/>
      <c r="I912" s="623"/>
      <c r="J912" s="623"/>
      <c r="K912" s="623"/>
      <c r="L912" s="623"/>
      <c r="M912" s="623"/>
      <c r="N912" s="1810"/>
      <c r="O912" s="15"/>
      <c r="P912" s="15"/>
      <c r="Q912" s="343"/>
      <c r="R912" s="2"/>
      <c r="S912" s="343"/>
      <c r="T912" s="2"/>
      <c r="U912" s="2"/>
      <c r="V912" s="343"/>
      <c r="W912" s="2"/>
      <c r="X912" s="413"/>
      <c r="Y912" s="413"/>
      <c r="Z912" s="2"/>
      <c r="AA912" s="2"/>
      <c r="AB912" s="2"/>
      <c r="AC912" s="2"/>
      <c r="AD912" s="2"/>
      <c r="AE912" s="2"/>
      <c r="AF912" s="2"/>
      <c r="AG912" s="2"/>
      <c r="AH912" s="2"/>
      <c r="AI912" s="2"/>
      <c r="AJ912" s="2"/>
      <c r="AK912" s="2"/>
      <c r="AL912" s="2"/>
    </row>
    <row r="913" spans="1:38" ht="12.75" customHeight="1" x14ac:dyDescent="0.25">
      <c r="A913" s="2"/>
      <c r="B913" s="178"/>
      <c r="C913" s="779"/>
      <c r="D913" s="416"/>
      <c r="E913" s="1139" t="str">
        <f>Translations!$B$657</f>
        <v>Var god ge en kort beskrivning av produktionsprocessen för importerade eller exporterade mellanprodukter</v>
      </c>
      <c r="F913" s="1806"/>
      <c r="G913" s="1806"/>
      <c r="H913" s="1806"/>
      <c r="I913" s="1806"/>
      <c r="J913" s="1806"/>
      <c r="K913" s="1806"/>
      <c r="L913" s="1806"/>
      <c r="M913" s="1806"/>
      <c r="N913" s="1807"/>
      <c r="O913" s="15"/>
      <c r="P913" s="15"/>
      <c r="Q913" s="343"/>
      <c r="R913" s="2"/>
      <c r="S913" s="343"/>
      <c r="T913" s="2"/>
      <c r="U913" s="2"/>
      <c r="V913" s="343"/>
      <c r="W913" s="2"/>
      <c r="X913" s="413"/>
      <c r="Y913" s="413"/>
      <c r="Z913" s="2"/>
      <c r="AA913" s="2"/>
      <c r="AB913" s="2"/>
      <c r="AC913" s="2"/>
      <c r="AD913" s="2"/>
      <c r="AE913" s="2"/>
      <c r="AF913" s="2"/>
      <c r="AG913" s="2"/>
      <c r="AH913" s="2"/>
      <c r="AI913" s="2"/>
      <c r="AJ913" s="2"/>
      <c r="AK913" s="2"/>
      <c r="AL913" s="2"/>
    </row>
    <row r="914" spans="1:38" ht="12.75" customHeight="1" x14ac:dyDescent="0.25">
      <c r="A914" s="2"/>
      <c r="B914" s="178"/>
      <c r="C914" s="779"/>
      <c r="D914" s="416"/>
      <c r="E914" s="2599"/>
      <c r="F914" s="2600"/>
      <c r="G914" s="2600"/>
      <c r="H914" s="2600"/>
      <c r="I914" s="2600"/>
      <c r="J914" s="2600"/>
      <c r="K914" s="2600"/>
      <c r="L914" s="2600"/>
      <c r="M914" s="2601"/>
      <c r="N914" s="1810"/>
      <c r="O914" s="15"/>
      <c r="P914" s="1362"/>
      <c r="Q914" s="343"/>
      <c r="R914" s="2"/>
      <c r="S914" s="343"/>
      <c r="T914" s="2"/>
      <c r="U914" s="2"/>
      <c r="V914" s="343"/>
      <c r="W914" s="2"/>
      <c r="X914" s="413"/>
      <c r="Y914" s="413"/>
      <c r="Z914" s="2"/>
      <c r="AA914" s="2"/>
      <c r="AB914" s="672" t="s">
        <v>782</v>
      </c>
      <c r="AC914" s="108" t="b">
        <f>AND(AC909:AI909)</f>
        <v>0</v>
      </c>
      <c r="AD914" s="2"/>
      <c r="AE914" s="2"/>
      <c r="AF914" s="2"/>
      <c r="AG914" s="2"/>
      <c r="AH914" s="2"/>
      <c r="AI914" s="2"/>
      <c r="AJ914" s="2"/>
      <c r="AK914" s="2"/>
      <c r="AL914" s="2"/>
    </row>
    <row r="915" spans="1:38" ht="12.75" customHeight="1" x14ac:dyDescent="0.25">
      <c r="A915" s="2"/>
      <c r="B915" s="178"/>
      <c r="C915" s="779"/>
      <c r="D915" s="416"/>
      <c r="E915" s="2602"/>
      <c r="F915" s="2603"/>
      <c r="G915" s="2603"/>
      <c r="H915" s="2603"/>
      <c r="I915" s="2603"/>
      <c r="J915" s="2603"/>
      <c r="K915" s="2603"/>
      <c r="L915" s="2603"/>
      <c r="M915" s="2604"/>
      <c r="N915" s="1810"/>
      <c r="O915" s="15"/>
      <c r="P915" s="15"/>
      <c r="Q915" s="343"/>
      <c r="R915" s="2"/>
      <c r="S915" s="343"/>
      <c r="T915" s="2"/>
      <c r="U915" s="2"/>
      <c r="V915" s="343"/>
      <c r="W915" s="2"/>
      <c r="X915" s="413"/>
      <c r="Y915" s="413"/>
      <c r="Z915" s="2"/>
      <c r="AA915" s="2"/>
      <c r="AB915" s="2"/>
      <c r="AC915" s="108" t="b">
        <f>AC914</f>
        <v>0</v>
      </c>
      <c r="AD915" s="2"/>
      <c r="AE915" s="2"/>
      <c r="AF915" s="2"/>
      <c r="AG915" s="2"/>
      <c r="AH915" s="2"/>
      <c r="AI915" s="2"/>
      <c r="AJ915" s="2"/>
      <c r="AK915" s="2"/>
      <c r="AL915" s="2"/>
    </row>
    <row r="916" spans="1:38" ht="12.75" customHeight="1" thickBot="1" x14ac:dyDescent="0.3">
      <c r="A916" s="2"/>
      <c r="B916" s="178"/>
      <c r="C916" s="781"/>
      <c r="D916" s="782"/>
      <c r="E916" s="782"/>
      <c r="F916" s="782"/>
      <c r="G916" s="782"/>
      <c r="H916" s="782"/>
      <c r="I916" s="782"/>
      <c r="J916" s="782"/>
      <c r="K916" s="782"/>
      <c r="L916" s="782"/>
      <c r="M916" s="783"/>
      <c r="N916" s="784"/>
      <c r="O916" s="15"/>
      <c r="P916" s="15"/>
      <c r="Q916" s="343"/>
      <c r="R916" s="2"/>
      <c r="S916" s="343"/>
      <c r="T916" s="2"/>
      <c r="U916" s="2"/>
      <c r="V916" s="343"/>
      <c r="W916" s="2"/>
      <c r="X916" s="2"/>
      <c r="Y916" s="2"/>
      <c r="Z916" s="2"/>
      <c r="AA916" s="2"/>
      <c r="AB916" s="2"/>
      <c r="AC916" s="2"/>
      <c r="AD916" s="2"/>
      <c r="AE916" s="2"/>
      <c r="AF916" s="2"/>
      <c r="AG916" s="2"/>
      <c r="AH916" s="2"/>
      <c r="AI916" s="2"/>
      <c r="AJ916" s="2"/>
      <c r="AK916" s="2"/>
      <c r="AL916" s="2"/>
    </row>
    <row r="917" spans="1:38" ht="12.75" customHeight="1" thickBot="1" x14ac:dyDescent="0.3">
      <c r="A917" s="343"/>
      <c r="B917" s="3"/>
      <c r="C917" s="3"/>
      <c r="D917" s="3"/>
      <c r="E917" s="3"/>
      <c r="F917" s="3"/>
      <c r="G917" s="3"/>
      <c r="H917" s="3"/>
      <c r="I917" s="3"/>
      <c r="J917" s="3"/>
      <c r="K917" s="3"/>
      <c r="L917" s="3"/>
      <c r="M917" s="6"/>
      <c r="N917" s="6"/>
      <c r="O917" s="6"/>
      <c r="P917" s="6"/>
      <c r="Q917" s="294" t="str">
        <f>IF(OR(AND(CNTR_ExistProductSubEntries=FALSE,Q617=1),AND(I617&lt;&gt;"",COUNTIF(Q918:$Q3071,"PRINT")=0)),"PRINT","")</f>
        <v/>
      </c>
      <c r="R917" s="7"/>
      <c r="S917" s="7"/>
      <c r="T917" s="7"/>
      <c r="U917" s="7"/>
      <c r="V917" s="7"/>
      <c r="W917" s="7"/>
      <c r="X917" s="7"/>
      <c r="Y917" s="7"/>
      <c r="Z917" s="2"/>
      <c r="AA917" s="2"/>
      <c r="AB917" s="2"/>
      <c r="AC917" s="2"/>
      <c r="AD917" s="2"/>
      <c r="AE917" s="349"/>
      <c r="AF917" s="349"/>
      <c r="AG917" s="349"/>
      <c r="AH917" s="349"/>
      <c r="AI917" s="349"/>
      <c r="AJ917" s="349"/>
      <c r="AK917" s="349"/>
      <c r="AL917" s="349"/>
    </row>
    <row r="918" spans="1:38" ht="5.15" customHeight="1" thickBot="1" x14ac:dyDescent="0.3">
      <c r="A918" s="2"/>
      <c r="B918" s="178"/>
      <c r="C918" s="785"/>
      <c r="D918" s="785"/>
      <c r="E918" s="785"/>
      <c r="F918" s="785"/>
      <c r="G918" s="785"/>
      <c r="H918" s="785"/>
      <c r="I918" s="785"/>
      <c r="J918" s="785"/>
      <c r="K918" s="785"/>
      <c r="L918" s="785"/>
      <c r="M918" s="785"/>
      <c r="N918" s="785"/>
      <c r="O918" s="15"/>
      <c r="P918" s="15"/>
      <c r="Q918" s="1723"/>
      <c r="R918" s="1723"/>
      <c r="S918" s="1723"/>
      <c r="T918" s="1723"/>
      <c r="U918" s="1723"/>
      <c r="V918" s="1723"/>
      <c r="W918" s="1723"/>
      <c r="X918" s="1723"/>
      <c r="Y918" s="1723"/>
      <c r="Z918" s="1723"/>
      <c r="AA918" s="1723"/>
      <c r="AB918" s="1723"/>
      <c r="AC918" s="1723"/>
      <c r="AD918" s="1723"/>
      <c r="AE918" s="1723"/>
      <c r="AF918" s="1723"/>
      <c r="AG918" s="1723"/>
      <c r="AH918" s="1723"/>
      <c r="AI918" s="1723"/>
      <c r="AJ918" s="1723"/>
      <c r="AK918" s="1723"/>
      <c r="AL918" s="1723"/>
    </row>
    <row r="919" spans="1:38" ht="14.5" thickBot="1" x14ac:dyDescent="0.3">
      <c r="A919" s="2"/>
      <c r="B919" s="178"/>
      <c r="C919" s="771">
        <f>C617+1</f>
        <v>4</v>
      </c>
      <c r="D919" s="2053" t="str">
        <f>EUconst_BMSubinst &amp; ":"</f>
        <v>Delanläggning med produktriktmärke:</v>
      </c>
      <c r="E919" s="1963"/>
      <c r="F919" s="1963"/>
      <c r="G919" s="1963"/>
      <c r="H919" s="2060"/>
      <c r="I919" s="2090" t="str">
        <f>IF(INDEX(CNTR_SubInstListIsProdBM,$C919),INDEX(CNTR_SubInstListNames,$C919),"")</f>
        <v/>
      </c>
      <c r="J919" s="2120"/>
      <c r="K919" s="2120"/>
      <c r="L919" s="2120"/>
      <c r="M919" s="2120"/>
      <c r="N919" s="2154"/>
      <c r="O919" s="15"/>
      <c r="P919" s="15"/>
      <c r="Q919" s="294">
        <f>C919</f>
        <v>4</v>
      </c>
      <c r="R919" s="2"/>
      <c r="S919" s="553" t="s">
        <v>608</v>
      </c>
      <c r="T919" s="979" t="str">
        <f>IF(I919="","",MAX(INDEX(CNTR_SubInstStartDate,MATCH($I919,CNTR_SubInstListNames,0)),DATE(2005,1,1)))</f>
        <v/>
      </c>
      <c r="U919" s="343" t="s">
        <v>1873</v>
      </c>
      <c r="V919" s="663">
        <f>IF(ISNUMBER(T919),YEAR($T919-IF(YEAR(T919)&gt;=2022,0,1))+1,2005)</f>
        <v>2005</v>
      </c>
      <c r="W919" s="553" t="s">
        <v>1876</v>
      </c>
      <c r="X919" s="979" t="str">
        <f>IF(I919="","",INDEX(CNTR_SubInstCessationDate,MATCH($I919,CNTR_SubInstListNames,0)))</f>
        <v/>
      </c>
      <c r="Y919" s="553" t="s">
        <v>1877</v>
      </c>
      <c r="Z919" s="663">
        <f>IF(SUM(X919)=0,2050,YEAR($X919))</f>
        <v>2050</v>
      </c>
      <c r="AA919" s="553" t="s">
        <v>2201</v>
      </c>
      <c r="AB919" s="663" t="b">
        <f>CNTR_ReportingYear&gt;V919</f>
        <v>1</v>
      </c>
      <c r="AC919" s="2"/>
      <c r="AD919" s="2"/>
      <c r="AE919" s="2"/>
      <c r="AF919" s="2"/>
      <c r="AG919" s="2"/>
      <c r="AH919" s="2"/>
      <c r="AI919" s="2"/>
      <c r="AJ919" s="2"/>
      <c r="AK919" s="2"/>
      <c r="AL919" s="555" t="b">
        <f>AND(CNTR_ExistSubInstEntries,I919="")</f>
        <v>0</v>
      </c>
    </row>
    <row r="920" spans="1:38" ht="12.75" customHeight="1" x14ac:dyDescent="0.25">
      <c r="A920" s="2"/>
      <c r="B920" s="178"/>
      <c r="C920" s="178"/>
      <c r="D920" s="15"/>
      <c r="E920" s="2061" t="str">
        <f>Translations!$B$360</f>
        <v>Namnet på delanläggningen med produktriktmärke visas automatiskt i inmatningsfälten i blad ”A_InstallationData”.</v>
      </c>
      <c r="F920" s="1963"/>
      <c r="G920" s="1963"/>
      <c r="H920" s="1963"/>
      <c r="I920" s="1963"/>
      <c r="J920" s="1963"/>
      <c r="K920" s="1963"/>
      <c r="L920" s="1963"/>
      <c r="M920" s="1963"/>
      <c r="N920" s="1963"/>
      <c r="O920" s="15"/>
      <c r="P920" s="15"/>
      <c r="Q920" s="343"/>
      <c r="R920" s="2"/>
      <c r="S920" s="343"/>
      <c r="T920" s="343"/>
      <c r="U920" s="2"/>
      <c r="V920" s="2"/>
      <c r="W920" s="2"/>
      <c r="X920" s="2"/>
      <c r="Y920" s="2"/>
      <c r="Z920" s="2"/>
      <c r="AA920" s="2"/>
      <c r="AB920" s="2"/>
      <c r="AC920" s="2"/>
      <c r="AD920" s="2"/>
      <c r="AE920" s="2"/>
      <c r="AF920" s="2"/>
      <c r="AG920" s="2"/>
      <c r="AH920" s="2"/>
      <c r="AI920" s="2"/>
      <c r="AJ920" s="2"/>
      <c r="AK920" s="2"/>
      <c r="AL920" s="2"/>
    </row>
    <row r="921" spans="1:38" ht="5.15" customHeight="1" x14ac:dyDescent="0.25">
      <c r="A921" s="2"/>
      <c r="B921" s="178"/>
      <c r="C921" s="178"/>
      <c r="D921" s="178"/>
      <c r="E921" s="178"/>
      <c r="F921" s="178"/>
      <c r="G921" s="178"/>
      <c r="H921" s="178"/>
      <c r="I921" s="178"/>
      <c r="J921" s="178"/>
      <c r="K921" s="178"/>
      <c r="L921" s="178"/>
      <c r="M921" s="15"/>
      <c r="N921" s="15"/>
      <c r="O921" s="15"/>
      <c r="P921" s="15"/>
      <c r="Q921" s="343"/>
      <c r="R921" s="2"/>
      <c r="S921" s="343"/>
      <c r="T921" s="343"/>
      <c r="U921" s="2"/>
      <c r="V921" s="2"/>
      <c r="W921" s="2"/>
      <c r="X921" s="2"/>
      <c r="Y921" s="2"/>
      <c r="Z921" s="2"/>
      <c r="AA921" s="2"/>
      <c r="AB921" s="2"/>
      <c r="AC921" s="2"/>
      <c r="AD921" s="2"/>
      <c r="AE921" s="2"/>
      <c r="AF921" s="2"/>
      <c r="AG921" s="2"/>
      <c r="AH921" s="2"/>
      <c r="AI921" s="2"/>
      <c r="AJ921" s="2"/>
      <c r="AK921" s="2"/>
      <c r="AL921" s="2"/>
    </row>
    <row r="922" spans="1:38" ht="13" x14ac:dyDescent="0.25">
      <c r="A922" s="2"/>
      <c r="B922" s="178"/>
      <c r="C922" s="178"/>
      <c r="D922" s="13" t="s">
        <v>442</v>
      </c>
      <c r="E922" s="1943" t="str">
        <f>Translations!$B$1466</f>
        <v>Verksamhetsnivåer</v>
      </c>
      <c r="F922" s="1963"/>
      <c r="G922" s="1963"/>
      <c r="H922" s="1963"/>
      <c r="I922" s="1963"/>
      <c r="J922" s="1963"/>
      <c r="K922" s="1963"/>
      <c r="L922" s="1963"/>
      <c r="M922" s="1963"/>
      <c r="N922" s="1963"/>
      <c r="O922" s="15"/>
      <c r="P922" s="15"/>
      <c r="Q922" s="343"/>
      <c r="R922" s="2"/>
      <c r="S922" s="2"/>
      <c r="T922" s="2"/>
      <c r="U922" s="2"/>
      <c r="V922" s="2"/>
      <c r="W922" s="2"/>
      <c r="X922" s="2"/>
      <c r="Y922" s="2"/>
      <c r="Z922" s="2"/>
      <c r="AA922" s="2"/>
      <c r="AB922" s="2"/>
      <c r="AC922" s="2"/>
      <c r="AD922" s="2"/>
      <c r="AE922" s="2"/>
      <c r="AF922" s="2"/>
      <c r="AG922" s="2"/>
      <c r="AH922" s="2"/>
      <c r="AI922" s="2"/>
      <c r="AJ922" s="2"/>
      <c r="AK922" s="2"/>
      <c r="AL922" s="2"/>
    </row>
    <row r="923" spans="1:38" ht="12.75" customHeight="1" x14ac:dyDescent="0.25">
      <c r="A923" s="2"/>
      <c r="B923" s="178"/>
      <c r="C923" s="178"/>
      <c r="D923" s="15"/>
      <c r="E923" s="2061" t="str">
        <f>Translations!$B$514</f>
        <v>I denna punkt ska de ”huvudsakliga verksamhetsnivåerna” anges, dvs. de uppgifter som är direkt tillämpliga för att beräkna tilldelningen.</v>
      </c>
      <c r="F923" s="1963"/>
      <c r="G923" s="1963"/>
      <c r="H923" s="1963"/>
      <c r="I923" s="1963"/>
      <c r="J923" s="1963"/>
      <c r="K923" s="1963"/>
      <c r="L923" s="1963"/>
      <c r="M923" s="1963"/>
      <c r="N923" s="1963"/>
      <c r="O923" s="15"/>
      <c r="P923" s="15"/>
      <c r="Q923" s="343"/>
      <c r="R923" s="2"/>
      <c r="S923" s="343"/>
      <c r="T923" s="343"/>
      <c r="U923" s="343"/>
      <c r="V923" s="2"/>
      <c r="W923" s="2"/>
      <c r="X923" s="2"/>
      <c r="Y923" s="2"/>
      <c r="Z923" s="2"/>
      <c r="AA923" s="2"/>
      <c r="AB923" s="2"/>
      <c r="AC923" s="2"/>
      <c r="AD923" s="2"/>
      <c r="AE923" s="2"/>
      <c r="AF923" s="2"/>
      <c r="AG923" s="2"/>
      <c r="AH923" s="2"/>
      <c r="AI923" s="2"/>
      <c r="AJ923" s="2"/>
      <c r="AK923" s="2"/>
      <c r="AL923" s="2"/>
    </row>
    <row r="924" spans="1:38" ht="12.75" customHeight="1" x14ac:dyDescent="0.25">
      <c r="A924" s="2"/>
      <c r="B924" s="178"/>
      <c r="C924" s="178"/>
      <c r="D924" s="15"/>
      <c r="E924" s="2061" t="str">
        <f>Translations!$B$515</f>
        <v xml:space="preserve">Detta är i regel produktionsuppgifter för produkten, t.ex. grå cementklinker i ton eller glasflaskor i ton, i enlighet med bilaga I till FAR. </v>
      </c>
      <c r="F924" s="1963"/>
      <c r="G924" s="1963"/>
      <c r="H924" s="1963"/>
      <c r="I924" s="1963"/>
      <c r="J924" s="1963"/>
      <c r="K924" s="1963"/>
      <c r="L924" s="1963"/>
      <c r="M924" s="1963"/>
      <c r="N924" s="1963"/>
      <c r="O924" s="15"/>
      <c r="P924" s="15"/>
      <c r="Q924" s="343"/>
      <c r="R924" s="2"/>
      <c r="S924" s="343"/>
      <c r="T924" s="343"/>
      <c r="U924" s="343"/>
      <c r="V924" s="2"/>
      <c r="W924" s="2"/>
      <c r="X924" s="2"/>
      <c r="Y924" s="2"/>
      <c r="Z924" s="2"/>
      <c r="AA924" s="2"/>
      <c r="AB924" s="2"/>
      <c r="AC924" s="2"/>
      <c r="AD924" s="2"/>
      <c r="AE924" s="2"/>
      <c r="AF924" s="2"/>
      <c r="AG924" s="2"/>
      <c r="AH924" s="2"/>
      <c r="AI924" s="2"/>
      <c r="AJ924" s="2"/>
      <c r="AK924" s="2"/>
      <c r="AL924" s="2"/>
    </row>
    <row r="925" spans="1:38" ht="12.75" customHeight="1" x14ac:dyDescent="0.25">
      <c r="A925" s="2"/>
      <c r="B925" s="178"/>
      <c r="C925" s="178"/>
      <c r="D925" s="15"/>
      <c r="E925" s="2061" t="str">
        <f>Translations!$B$516</f>
        <v>Om ett meddelande visas i punkt iv måste dock lämpligt beräkningsverktyg användas, och resultaten kopieras automatiskt in i tabellen i punkt ii.</v>
      </c>
      <c r="F925" s="1963"/>
      <c r="G925" s="1963"/>
      <c r="H925" s="1963"/>
      <c r="I925" s="1963"/>
      <c r="J925" s="1963"/>
      <c r="K925" s="1963"/>
      <c r="L925" s="1963"/>
      <c r="M925" s="1963"/>
      <c r="N925" s="1963"/>
      <c r="O925" s="15"/>
      <c r="P925" s="15"/>
      <c r="Q925" s="343"/>
      <c r="R925" s="2"/>
      <c r="S925" s="343"/>
      <c r="T925" s="2"/>
      <c r="U925" s="2"/>
      <c r="V925" s="2"/>
      <c r="W925" s="2"/>
      <c r="X925" s="2"/>
      <c r="Y925" s="2"/>
      <c r="Z925" s="343"/>
      <c r="AA925" s="2"/>
      <c r="AB925" s="2"/>
      <c r="AC925" s="2"/>
      <c r="AD925" s="2"/>
      <c r="AE925" s="2"/>
      <c r="AF925" s="2"/>
      <c r="AG925" s="2"/>
      <c r="AH925" s="2"/>
      <c r="AI925" s="2"/>
      <c r="AJ925" s="2"/>
      <c r="AK925" s="2"/>
      <c r="AL925" s="2"/>
    </row>
    <row r="926" spans="1:38" ht="13.5" customHeight="1" thickBot="1" x14ac:dyDescent="0.3">
      <c r="A926" s="2"/>
      <c r="B926" s="19"/>
      <c r="C926" s="19"/>
      <c r="D926" s="13"/>
      <c r="E926" s="2062" t="str">
        <f>Translations!$B$517</f>
        <v>Årliga verksamhetsnivåer:</v>
      </c>
      <c r="F926" s="2062"/>
      <c r="G926" s="30" t="str">
        <f>EUconst_Unit</f>
        <v>Enhet</v>
      </c>
      <c r="H926" s="320">
        <f t="shared" ref="H926:N926" si="416">H$3042</f>
        <v>2019</v>
      </c>
      <c r="I926" s="342">
        <f t="shared" si="416"/>
        <v>2020</v>
      </c>
      <c r="J926" s="987">
        <f t="shared" si="416"/>
        <v>2021</v>
      </c>
      <c r="K926" s="320">
        <f t="shared" si="416"/>
        <v>2022</v>
      </c>
      <c r="L926" s="320">
        <f t="shared" si="416"/>
        <v>2023</v>
      </c>
      <c r="M926" s="320">
        <f t="shared" si="416"/>
        <v>2024</v>
      </c>
      <c r="N926" s="350">
        <f t="shared" si="416"/>
        <v>2025</v>
      </c>
      <c r="O926" s="15"/>
      <c r="P926" s="15"/>
      <c r="Q926" s="343"/>
      <c r="R926" s="2"/>
      <c r="S926" s="2"/>
      <c r="T926" s="1044">
        <f t="shared" ref="T926:Z926" si="417">H926</f>
        <v>2019</v>
      </c>
      <c r="U926" s="1044">
        <f t="shared" si="417"/>
        <v>2020</v>
      </c>
      <c r="V926" s="1044">
        <f t="shared" si="417"/>
        <v>2021</v>
      </c>
      <c r="W926" s="1044">
        <f t="shared" si="417"/>
        <v>2022</v>
      </c>
      <c r="X926" s="1044">
        <f t="shared" si="417"/>
        <v>2023</v>
      </c>
      <c r="Y926" s="1044">
        <f t="shared" si="417"/>
        <v>2024</v>
      </c>
      <c r="Z926" s="1044">
        <f t="shared" si="417"/>
        <v>2025</v>
      </c>
      <c r="AA926" s="2"/>
      <c r="AB926" s="2"/>
      <c r="AC926" s="1044">
        <f t="shared" ref="AC926:AI926" si="418">H$20</f>
        <v>2019</v>
      </c>
      <c r="AD926" s="1044">
        <f t="shared" si="418"/>
        <v>2020</v>
      </c>
      <c r="AE926" s="1044">
        <f t="shared" si="418"/>
        <v>2021</v>
      </c>
      <c r="AF926" s="1044">
        <f t="shared" si="418"/>
        <v>2022</v>
      </c>
      <c r="AG926" s="1044">
        <f t="shared" si="418"/>
        <v>2023</v>
      </c>
      <c r="AH926" s="1044">
        <f t="shared" si="418"/>
        <v>2024</v>
      </c>
      <c r="AI926" s="1044">
        <f t="shared" si="418"/>
        <v>2025</v>
      </c>
      <c r="AJ926" s="2"/>
      <c r="AK926" s="2"/>
      <c r="AL926" s="343"/>
    </row>
    <row r="927" spans="1:38" ht="13" thickBot="1" x14ac:dyDescent="0.3">
      <c r="A927" s="2"/>
      <c r="B927" s="19"/>
      <c r="C927" s="19"/>
      <c r="D927" s="175" t="s">
        <v>8</v>
      </c>
      <c r="E927" s="2655" t="str">
        <f>I919</f>
        <v/>
      </c>
      <c r="F927" s="2655"/>
      <c r="G927" s="91" t="str">
        <f>IF(INDEX(CNTR_SubInstListIsProdBM,$C919),INDEX(CNTR_SubInstListHALUnit,$C919),EUconst_Tons)</f>
        <v>ton</v>
      </c>
      <c r="H927" s="921"/>
      <c r="I927" s="985"/>
      <c r="J927" s="988"/>
      <c r="K927" s="921"/>
      <c r="L927" s="921"/>
      <c r="M927" s="921"/>
      <c r="N927" s="1124"/>
      <c r="O927" s="15"/>
      <c r="P927" s="1362"/>
      <c r="Q927" s="2"/>
      <c r="R927" s="2"/>
      <c r="S927" s="343" t="s">
        <v>1874</v>
      </c>
      <c r="T927" s="1762" t="b">
        <f t="shared" ref="T927:Z927" si="419">AND($I919&lt;&gt;"",H926&lt;CNTR_ReportingYear,H926&gt;=$V919-1)</f>
        <v>0</v>
      </c>
      <c r="U927" s="1763" t="b">
        <f t="shared" si="419"/>
        <v>0</v>
      </c>
      <c r="V927" s="1763" t="b">
        <f t="shared" si="419"/>
        <v>0</v>
      </c>
      <c r="W927" s="1763" t="b">
        <f t="shared" si="419"/>
        <v>0</v>
      </c>
      <c r="X927" s="1763" t="b">
        <f t="shared" si="419"/>
        <v>0</v>
      </c>
      <c r="Y927" s="1763" t="b">
        <f t="shared" si="419"/>
        <v>0</v>
      </c>
      <c r="Z927" s="1764" t="b">
        <f t="shared" si="419"/>
        <v>0</v>
      </c>
      <c r="AA927" s="343"/>
      <c r="AB927" s="672" t="s">
        <v>782</v>
      </c>
      <c r="AC927" s="1755" t="b">
        <f t="shared" ref="AC927:AI927" si="420">IF(CNTR_ExistSubInstEntries,OR($I919="",$R931,H926&gt;=CNTR_ReportingYear,AC926&lt;$V919-1),FALSE)</f>
        <v>0</v>
      </c>
      <c r="AD927" s="1042" t="b">
        <f t="shared" si="420"/>
        <v>0</v>
      </c>
      <c r="AE927" s="1042" t="b">
        <f t="shared" si="420"/>
        <v>0</v>
      </c>
      <c r="AF927" s="1042" t="b">
        <f t="shared" si="420"/>
        <v>0</v>
      </c>
      <c r="AG927" s="1042" t="b">
        <f t="shared" si="420"/>
        <v>0</v>
      </c>
      <c r="AH927" s="1042" t="b">
        <f t="shared" si="420"/>
        <v>0</v>
      </c>
      <c r="AI927" s="1043" t="b">
        <f t="shared" si="420"/>
        <v>0</v>
      </c>
      <c r="AJ927" s="553" t="s">
        <v>2248</v>
      </c>
      <c r="AK927" s="663" t="str">
        <f>IF(AND(CNTR_ExistSubInstEntries,COUNTIFS(AC927:AI927,FALSE,H927:N927,"")&gt;0),EUconst_Error&amp;"BM"&amp;$Q919,"")</f>
        <v/>
      </c>
      <c r="AL927" s="2"/>
    </row>
    <row r="928" spans="1:38" ht="13" customHeight="1" thickBot="1" x14ac:dyDescent="0.3">
      <c r="A928" s="2"/>
      <c r="B928" s="19"/>
      <c r="C928" s="19"/>
      <c r="D928" s="175" t="s">
        <v>9</v>
      </c>
      <c r="E928" s="2655" t="str">
        <f>Translations!$B$518</f>
        <v>Från blad ”H_SpecialBM”:</v>
      </c>
      <c r="F928" s="2655"/>
      <c r="G928" s="91" t="str">
        <f>G927</f>
        <v>ton</v>
      </c>
      <c r="H928" s="922" t="str">
        <f>IF(OR($I919="",H926&gt;=CNTR_ReportingYear),"",IF($R931,SUMIF(H_SpecialBM!$Q$9:$Q$414,$Q928,H_SpecialBM!H$9:H$414),""))</f>
        <v/>
      </c>
      <c r="I928" s="986" t="str">
        <f>IF(OR($I919="",I926&gt;=CNTR_ReportingYear),"",IF($R931,SUMIF(H_SpecialBM!$Q$9:$Q$414,$Q928,H_SpecialBM!I$9:I$414),""))</f>
        <v/>
      </c>
      <c r="J928" s="989" t="str">
        <f>IF(OR($I919="",J926&gt;=CNTR_ReportingYear),"",IF($R931,SUMIF(H_SpecialBM!$Q$9:$Q$414,$Q928,H_SpecialBM!J$9:J$414),""))</f>
        <v/>
      </c>
      <c r="K928" s="922" t="str">
        <f>IF(OR($I919="",K926&gt;=CNTR_ReportingYear),"",IF($R931,SUMIF(H_SpecialBM!$Q$9:$Q$414,$Q928,H_SpecialBM!K$9:K$414),""))</f>
        <v/>
      </c>
      <c r="L928" s="922" t="str">
        <f>IF(OR($I919="",L926&gt;=CNTR_ReportingYear),"",IF($R931,SUMIF(H_SpecialBM!$Q$9:$Q$414,$Q928,H_SpecialBM!L$9:L$414),""))</f>
        <v/>
      </c>
      <c r="M928" s="922" t="str">
        <f>IF(OR($I919="",M926&gt;=CNTR_ReportingYear),"",IF($R931,SUMIF(H_SpecialBM!$Q$9:$Q$414,$Q928,H_SpecialBM!M$9:M$414),""))</f>
        <v/>
      </c>
      <c r="N928" s="1125" t="str">
        <f>IF(OR($I919="",N926&gt;=CNTR_ReportingYear),"",IF($R931,SUMIF(H_SpecialBM!$Q$9:$Q$414,$Q928,H_SpecialBM!N$9:N$414),""))</f>
        <v/>
      </c>
      <c r="O928" s="15"/>
      <c r="P928" s="15"/>
      <c r="Q928" s="165" t="str">
        <f>EUconst_CNTR_HALspecial&amp;I919</f>
        <v>HALspecial_</v>
      </c>
      <c r="R928" s="2"/>
      <c r="S928" s="2"/>
      <c r="T928" s="2"/>
      <c r="U928" s="2"/>
      <c r="V928" s="2"/>
      <c r="W928" s="2"/>
      <c r="X928" s="2"/>
      <c r="Y928" s="2"/>
      <c r="Z928" s="2"/>
      <c r="AA928" s="2"/>
      <c r="AB928" s="672" t="s">
        <v>782</v>
      </c>
      <c r="AC928" s="1755" t="b">
        <f t="shared" ref="AC928:AI928" si="421">AND(CNTR_HasEntries_A_I,OR($R931=FALSE,H926&gt;=CNTR_ReportingYear))</f>
        <v>0</v>
      </c>
      <c r="AD928" s="1042" t="b">
        <f t="shared" si="421"/>
        <v>0</v>
      </c>
      <c r="AE928" s="1042" t="b">
        <f t="shared" si="421"/>
        <v>0</v>
      </c>
      <c r="AF928" s="1042" t="b">
        <f t="shared" si="421"/>
        <v>0</v>
      </c>
      <c r="AG928" s="1042" t="b">
        <f t="shared" si="421"/>
        <v>0</v>
      </c>
      <c r="AH928" s="1042" t="b">
        <f t="shared" si="421"/>
        <v>0</v>
      </c>
      <c r="AI928" s="1043" t="b">
        <f t="shared" si="421"/>
        <v>0</v>
      </c>
      <c r="AJ928" s="766"/>
      <c r="AK928" s="766"/>
      <c r="AL928" s="343"/>
    </row>
    <row r="929" spans="1:38" ht="13" customHeight="1" x14ac:dyDescent="0.25">
      <c r="A929" s="2"/>
      <c r="B929" s="19"/>
      <c r="C929" s="19"/>
      <c r="D929" s="175" t="s">
        <v>10</v>
      </c>
      <c r="E929" s="2655" t="str">
        <f>Translations!$B$519</f>
        <v>Värden som används för beräkning:</v>
      </c>
      <c r="F929" s="2655"/>
      <c r="G929" s="91" t="str">
        <f>G928</f>
        <v>ton</v>
      </c>
      <c r="H929" s="922" t="str">
        <f t="shared" ref="H929:N929" si="422">IF(OR($I919="",H926&gt;=CNTR_ReportingYear),"",IF($R931=TRUE,IF(ISNUMBER(H928),H928,0),IF(AND(H926&gt;=$V919-1,ISNUMBER(H927)),H927,0)))</f>
        <v/>
      </c>
      <c r="I929" s="986" t="str">
        <f t="shared" si="422"/>
        <v/>
      </c>
      <c r="J929" s="989" t="str">
        <f t="shared" si="422"/>
        <v/>
      </c>
      <c r="K929" s="922" t="str">
        <f t="shared" si="422"/>
        <v/>
      </c>
      <c r="L929" s="922" t="str">
        <f t="shared" si="422"/>
        <v/>
      </c>
      <c r="M929" s="922" t="str">
        <f t="shared" si="422"/>
        <v/>
      </c>
      <c r="N929" s="1125" t="str">
        <f t="shared" si="422"/>
        <v/>
      </c>
      <c r="O929" s="15"/>
      <c r="P929" s="918"/>
      <c r="Q929" s="165" t="str">
        <f>EUconst_CNTR_HAL&amp;I919</f>
        <v>HAL_</v>
      </c>
      <c r="R929" s="2"/>
      <c r="S929" s="2"/>
      <c r="T929" s="2"/>
      <c r="U929" s="2"/>
      <c r="V929" s="2"/>
      <c r="W929" s="2"/>
      <c r="X929" s="2"/>
      <c r="Y929" s="2"/>
      <c r="Z929" s="2"/>
      <c r="AA929" s="2"/>
      <c r="AB929" s="2"/>
      <c r="AC929" s="2"/>
      <c r="AD929" s="2"/>
      <c r="AE929" s="2"/>
      <c r="AF929" s="2"/>
      <c r="AG929" s="2"/>
      <c r="AH929" s="2"/>
      <c r="AI929" s="2"/>
      <c r="AJ929" s="553" t="s">
        <v>2242</v>
      </c>
      <c r="AK929" s="108" t="str">
        <f>IF(COUNTIFS(H926:N926,"&lt;"&amp;YEAR(SUM(T919)),H929:N929,"&gt;"&amp;0)&gt;0,EUconst_Error&amp;"BM"&amp;Q919,"")</f>
        <v/>
      </c>
      <c r="AL929" s="343"/>
    </row>
    <row r="930" spans="1:38" ht="5.15" customHeight="1" x14ac:dyDescent="0.25">
      <c r="A930" s="2"/>
      <c r="B930" s="178"/>
      <c r="C930" s="178"/>
      <c r="D930" s="178"/>
      <c r="E930" s="178"/>
      <c r="F930" s="178"/>
      <c r="G930" s="178"/>
      <c r="H930" s="178"/>
      <c r="I930" s="178"/>
      <c r="J930" s="178"/>
      <c r="K930" s="178"/>
      <c r="L930" s="178"/>
      <c r="M930" s="15"/>
      <c r="N930" s="15"/>
      <c r="O930" s="15"/>
      <c r="P930" s="15"/>
      <c r="Q930" s="343"/>
      <c r="R930" s="2"/>
      <c r="S930" s="343"/>
      <c r="T930" s="343"/>
      <c r="U930" s="2"/>
      <c r="V930" s="2"/>
      <c r="W930" s="2"/>
      <c r="X930" s="2"/>
      <c r="Y930" s="2"/>
      <c r="Z930" s="2"/>
      <c r="AA930" s="2"/>
      <c r="AB930" s="2"/>
      <c r="AC930" s="2"/>
      <c r="AD930" s="2"/>
      <c r="AE930" s="2"/>
      <c r="AF930" s="2"/>
      <c r="AG930" s="2"/>
      <c r="AH930" s="2"/>
      <c r="AI930" s="2"/>
      <c r="AJ930" s="2"/>
      <c r="AK930" s="2"/>
      <c r="AL930" s="2"/>
    </row>
    <row r="931" spans="1:38" ht="12.75" customHeight="1" x14ac:dyDescent="0.25">
      <c r="A931" s="2"/>
      <c r="B931" s="178"/>
      <c r="C931" s="178"/>
      <c r="D931" s="289" t="s">
        <v>23</v>
      </c>
      <c r="E931" s="1943" t="str">
        <f>Translations!$B$520</f>
        <v>Särskilda rapporteringskrav:</v>
      </c>
      <c r="F931" s="1943"/>
      <c r="G931" s="2067"/>
      <c r="H931" s="2652" t="str">
        <f>IF(I919="","",HYPERLINK(INDEX(EUconst_BMlistSpecialJumpTable,MATCH(I919,EUconst_BMlistNames,0)),INDEX(EUconst_BMlistSpecialReporting,MATCH(I919,EUconst_BMlistNames,0))))</f>
        <v/>
      </c>
      <c r="I931" s="2656"/>
      <c r="J931" s="2656"/>
      <c r="K931" s="2656"/>
      <c r="L931" s="2656"/>
      <c r="M931" s="2656"/>
      <c r="N931" s="2657"/>
      <c r="O931" s="15"/>
      <c r="P931" s="15"/>
      <c r="Q931" s="553" t="s">
        <v>133</v>
      </c>
      <c r="R931" s="108" t="str">
        <f>IF(I919="","",IF(AND(INDEX(EUconst_BMlistSpecialJumpTable,MATCH(I919,EUconst_BMlistNames,0))&lt;&gt;"",MATCH(I919,EUconst_BMlistNames,0)&lt;&gt;47),TRUE,FALSE))</f>
        <v/>
      </c>
      <c r="S931" s="343"/>
      <c r="T931" s="343"/>
      <c r="U931" s="2"/>
      <c r="V931" s="2"/>
      <c r="W931" s="2"/>
      <c r="X931" s="2"/>
      <c r="Y931" s="2"/>
      <c r="Z931" s="2"/>
      <c r="AA931" s="2"/>
      <c r="AB931" s="2"/>
      <c r="AC931" s="2"/>
      <c r="AD931" s="2"/>
      <c r="AE931" s="2"/>
      <c r="AF931" s="2"/>
      <c r="AG931" s="2"/>
      <c r="AH931" s="2"/>
      <c r="AI931" s="2"/>
      <c r="AJ931" s="2"/>
      <c r="AK931" s="2"/>
      <c r="AL931" s="2"/>
    </row>
    <row r="932" spans="1:38" ht="12.75" customHeight="1" x14ac:dyDescent="0.25">
      <c r="A932" s="2"/>
      <c r="B932" s="178"/>
      <c r="C932" s="178"/>
      <c r="D932" s="15"/>
      <c r="E932" s="2061" t="str">
        <f>Translations!$B$521</f>
        <v>Särskild information måste ges när det gäller vissa produktriktmärken (t.ex. CWT-värden). Ett automatiskt meddelande kommer att visas här, i relevanta fall.</v>
      </c>
      <c r="F932" s="1963"/>
      <c r="G932" s="1963"/>
      <c r="H932" s="1963"/>
      <c r="I932" s="1963"/>
      <c r="J932" s="1963"/>
      <c r="K932" s="1963"/>
      <c r="L932" s="1963"/>
      <c r="M932" s="1963"/>
      <c r="N932" s="1963"/>
      <c r="O932" s="15"/>
      <c r="P932" s="15"/>
      <c r="Q932" s="343"/>
      <c r="R932" s="2"/>
      <c r="S932" s="343"/>
      <c r="T932" s="343"/>
      <c r="U932" s="2"/>
      <c r="V932" s="2"/>
      <c r="W932" s="2"/>
      <c r="X932" s="2"/>
      <c r="Y932" s="2"/>
      <c r="Z932" s="2"/>
      <c r="AA932" s="2"/>
      <c r="AB932" s="2"/>
      <c r="AC932" s="2"/>
      <c r="AD932" s="2"/>
      <c r="AE932" s="2"/>
      <c r="AF932" s="2"/>
      <c r="AG932" s="2"/>
      <c r="AH932" s="2"/>
      <c r="AI932" s="2"/>
      <c r="AJ932" s="2"/>
      <c r="AK932" s="2"/>
      <c r="AL932" s="2"/>
    </row>
    <row r="933" spans="1:38" ht="5.15" customHeight="1" x14ac:dyDescent="0.25">
      <c r="A933" s="2"/>
      <c r="B933" s="178"/>
      <c r="C933" s="178"/>
      <c r="D933" s="15"/>
      <c r="E933" s="15"/>
      <c r="F933" s="15"/>
      <c r="G933" s="15"/>
      <c r="H933" s="15"/>
      <c r="I933" s="15"/>
      <c r="J933" s="15"/>
      <c r="K933" s="15"/>
      <c r="L933" s="15"/>
      <c r="M933" s="15"/>
      <c r="N933" s="15"/>
      <c r="O933" s="15"/>
      <c r="P933" s="15"/>
      <c r="Q933" s="343"/>
      <c r="R933" s="2"/>
      <c r="S933" s="343"/>
      <c r="T933" s="343"/>
      <c r="U933" s="2"/>
      <c r="V933" s="2"/>
      <c r="W933" s="2"/>
      <c r="X933" s="2"/>
      <c r="Y933" s="2"/>
      <c r="Z933" s="343"/>
      <c r="AA933" s="2"/>
      <c r="AB933" s="2"/>
      <c r="AC933" s="2"/>
      <c r="AD933" s="2"/>
      <c r="AE933" s="2"/>
      <c r="AF933" s="2"/>
      <c r="AG933" s="2"/>
      <c r="AH933" s="2"/>
      <c r="AI933" s="2"/>
      <c r="AJ933" s="2"/>
      <c r="AK933" s="2"/>
      <c r="AL933" s="343"/>
    </row>
    <row r="934" spans="1:38" ht="12.75" customHeight="1" x14ac:dyDescent="0.25">
      <c r="A934" s="2"/>
      <c r="B934" s="178"/>
      <c r="C934" s="178"/>
      <c r="D934" s="13" t="s">
        <v>955</v>
      </c>
      <c r="E934" s="1943" t="str">
        <f>Translations!$B$1467</f>
        <v>Eventuella justeringar av verksamhetsnivå</v>
      </c>
      <c r="F934" s="1963"/>
      <c r="G934" s="1963"/>
      <c r="H934" s="1963"/>
      <c r="I934" s="1963"/>
      <c r="J934" s="1963"/>
      <c r="K934" s="1963"/>
      <c r="L934" s="1963"/>
      <c r="M934" s="1963"/>
      <c r="N934" s="1963"/>
      <c r="O934" s="15"/>
      <c r="P934" s="15"/>
      <c r="Q934" s="343"/>
      <c r="R934" s="2"/>
      <c r="S934" s="343"/>
      <c r="T934" s="343"/>
      <c r="U934" s="2"/>
      <c r="V934" s="2"/>
      <c r="W934" s="2"/>
      <c r="X934" s="2"/>
      <c r="Y934" s="2"/>
      <c r="Z934" s="343"/>
      <c r="AA934" s="2"/>
      <c r="AB934" s="2"/>
      <c r="AC934" s="2"/>
      <c r="AD934" s="2"/>
      <c r="AE934" s="2"/>
      <c r="AF934" s="2"/>
      <c r="AG934" s="2"/>
      <c r="AH934" s="2"/>
      <c r="AI934" s="2"/>
      <c r="AJ934" s="2"/>
      <c r="AK934" s="2"/>
      <c r="AL934" s="343"/>
    </row>
    <row r="935" spans="1:38" ht="12.75" customHeight="1" x14ac:dyDescent="0.25">
      <c r="A935" s="2"/>
      <c r="B935" s="178"/>
      <c r="C935" s="178"/>
      <c r="D935" s="15"/>
      <c r="E935" s="2061" t="str">
        <f>Translations!$B$1468</f>
        <v>Den historiska verksamhetsnivån (HAL) kommer att bestämmas automatiskt baserat på uppgifter under punkt a) ovan och uppgifter i blad B+C_SubInstallations. För nya delanläggningar kommer HAL att visas under v) baserat på det första fullständiga verksamhetsåret.</v>
      </c>
      <c r="F935" s="1963"/>
      <c r="G935" s="1963"/>
      <c r="H935" s="1963"/>
      <c r="I935" s="1963"/>
      <c r="J935" s="1963"/>
      <c r="K935" s="1963"/>
      <c r="L935" s="1963"/>
      <c r="M935" s="1963"/>
      <c r="N935" s="1963"/>
      <c r="O935" s="15"/>
      <c r="P935" s="15"/>
      <c r="Q935" s="343"/>
      <c r="R935" s="2"/>
      <c r="S935" s="343"/>
      <c r="T935" s="343"/>
      <c r="U935" s="343"/>
      <c r="V935" s="2"/>
      <c r="W935" s="2"/>
      <c r="X935" s="2"/>
      <c r="Y935" s="2"/>
      <c r="Z935" s="2"/>
      <c r="AA935" s="2"/>
      <c r="AB935" s="2"/>
      <c r="AC935" s="2"/>
      <c r="AD935" s="2"/>
      <c r="AE935" s="2"/>
      <c r="AF935" s="2"/>
      <c r="AG935" s="2"/>
      <c r="AH935" s="2"/>
      <c r="AI935" s="2"/>
      <c r="AJ935" s="2"/>
      <c r="AK935" s="2"/>
      <c r="AL935" s="2"/>
    </row>
    <row r="936" spans="1:38" ht="25.5" customHeight="1" x14ac:dyDescent="0.25">
      <c r="A936" s="2"/>
      <c r="B936" s="178"/>
      <c r="C936" s="178"/>
      <c r="D936" s="15"/>
      <c r="E936" s="2061" t="str">
        <f>Translations!$B$1469</f>
        <v>Baserat på värdena för HAL och värdena under punkt a) ovan bestäms de genomsnittliga verksamhetsnivåerna här. Tilldelningen kommer endast att ändras om alla följande tröskelvärden i artikel 5 i verksamhetsändringsförordningen överskrids:</v>
      </c>
      <c r="F936" s="1963"/>
      <c r="G936" s="1963"/>
      <c r="H936" s="1963"/>
      <c r="I936" s="1963"/>
      <c r="J936" s="1963"/>
      <c r="K936" s="1963"/>
      <c r="L936" s="1963"/>
      <c r="M936" s="1963"/>
      <c r="N936" s="1963"/>
      <c r="O936" s="15"/>
      <c r="P936" s="15"/>
      <c r="Q936" s="343"/>
      <c r="R936" s="2"/>
      <c r="S936" s="343"/>
      <c r="T936" s="343"/>
      <c r="U936" s="343"/>
      <c r="V936" s="2"/>
      <c r="W936" s="2"/>
      <c r="X936" s="2"/>
      <c r="Y936" s="2"/>
      <c r="Z936" s="2"/>
      <c r="AA936" s="2"/>
      <c r="AB936" s="2"/>
      <c r="AC936" s="2"/>
      <c r="AD936" s="2"/>
      <c r="AE936" s="2"/>
      <c r="AF936" s="2"/>
      <c r="AG936" s="2"/>
      <c r="AH936" s="2"/>
      <c r="AI936" s="2"/>
      <c r="AJ936" s="2"/>
      <c r="AK936" s="2"/>
      <c r="AL936" s="2"/>
    </row>
    <row r="937" spans="1:38" ht="12.75" customHeight="1" x14ac:dyDescent="0.25">
      <c r="A937" s="2"/>
      <c r="B937" s="178"/>
      <c r="C937" s="178"/>
      <c r="D937" s="15"/>
      <c r="E937" s="1102" t="s">
        <v>1112</v>
      </c>
      <c r="F937" s="2095" t="str">
        <f>Translations!$B$1470</f>
        <v>De relativa tröskelvärdena (15 % och 5 % för efterföljande ändringar) för de genomsnittliga verksamhetsnivåerna jämfört med HAL</v>
      </c>
      <c r="G937" s="2159"/>
      <c r="H937" s="2159"/>
      <c r="I937" s="2159"/>
      <c r="J937" s="2159"/>
      <c r="K937" s="2159"/>
      <c r="L937" s="2159"/>
      <c r="M937" s="2159"/>
      <c r="N937" s="2159"/>
      <c r="O937" s="15"/>
      <c r="P937" s="15"/>
      <c r="Q937" s="343"/>
      <c r="R937" s="2"/>
      <c r="S937" s="343"/>
      <c r="T937" s="343"/>
      <c r="U937" s="343"/>
      <c r="V937" s="2"/>
      <c r="W937" s="2"/>
      <c r="X937" s="2"/>
      <c r="Y937" s="2"/>
      <c r="Z937" s="2"/>
      <c r="AA937" s="2"/>
      <c r="AB937" s="2"/>
      <c r="AC937" s="2"/>
      <c r="AD937" s="2"/>
      <c r="AE937" s="2"/>
      <c r="AF937" s="2"/>
      <c r="AG937" s="2"/>
      <c r="AH937" s="2"/>
      <c r="AI937" s="2"/>
      <c r="AJ937" s="2"/>
      <c r="AK937" s="2"/>
      <c r="AL937" s="2"/>
    </row>
    <row r="938" spans="1:38" ht="12.75" customHeight="1" thickBot="1" x14ac:dyDescent="0.3">
      <c r="A938" s="2"/>
      <c r="B938" s="178"/>
      <c r="C938" s="178"/>
      <c r="D938" s="15"/>
      <c r="E938" s="1102" t="s">
        <v>1112</v>
      </c>
      <c r="F938" s="2095" t="str">
        <f>Translations!$B$1471</f>
        <v>Det absoluta tröskelvärdet, dvs. en ändring skulle leda till en ändring av den preliminära tilldelningen på minst 100 utsläppsrätter</v>
      </c>
      <c r="G938" s="2159"/>
      <c r="H938" s="2159"/>
      <c r="I938" s="2159"/>
      <c r="J938" s="2159"/>
      <c r="K938" s="2159"/>
      <c r="L938" s="2159"/>
      <c r="M938" s="2159"/>
      <c r="N938" s="2159"/>
      <c r="O938" s="15"/>
      <c r="P938" s="15"/>
      <c r="Q938" s="343"/>
      <c r="R938" s="2"/>
      <c r="S938" s="343"/>
      <c r="T938" s="343"/>
      <c r="U938" s="343"/>
      <c r="V938" s="2"/>
      <c r="W938" s="2"/>
      <c r="X938" s="2"/>
      <c r="Y938" s="2"/>
      <c r="Z938" s="2"/>
      <c r="AA938" s="2"/>
      <c r="AB938" s="2"/>
      <c r="AC938" s="2"/>
      <c r="AD938" s="2"/>
      <c r="AE938" s="2"/>
      <c r="AF938" s="2"/>
      <c r="AG938" s="2"/>
      <c r="AH938" s="2"/>
      <c r="AI938" s="2"/>
      <c r="AJ938" s="2"/>
      <c r="AK938" s="2"/>
      <c r="AL938" s="2"/>
    </row>
    <row r="939" spans="1:38" ht="5.15" customHeight="1" thickBot="1" x14ac:dyDescent="0.3">
      <c r="A939" s="2"/>
      <c r="B939" s="178"/>
      <c r="C939" s="178"/>
      <c r="D939" s="1238"/>
      <c r="E939" s="1278"/>
      <c r="F939" s="1239"/>
      <c r="G939" s="1279"/>
      <c r="H939" s="1279"/>
      <c r="I939" s="1279"/>
      <c r="J939" s="1279"/>
      <c r="K939" s="1279"/>
      <c r="L939" s="1279"/>
      <c r="M939" s="1279"/>
      <c r="N939" s="1280"/>
      <c r="O939" s="15"/>
      <c r="P939" s="15"/>
      <c r="Q939" s="343"/>
      <c r="R939" s="2"/>
      <c r="S939" s="343"/>
      <c r="T939" s="343"/>
      <c r="U939" s="343"/>
      <c r="V939" s="2"/>
      <c r="W939" s="2"/>
      <c r="X939" s="2"/>
      <c r="Y939" s="2"/>
      <c r="Z939" s="2"/>
      <c r="AA939" s="2"/>
      <c r="AB939" s="2"/>
      <c r="AC939" s="2"/>
      <c r="AD939" s="2"/>
      <c r="AE939" s="2"/>
      <c r="AF939" s="2"/>
      <c r="AG939" s="2"/>
      <c r="AH939" s="2"/>
      <c r="AI939" s="2"/>
      <c r="AJ939" s="2"/>
      <c r="AK939" s="2"/>
      <c r="AL939" s="2"/>
    </row>
    <row r="940" spans="1:38" ht="12.75" customHeight="1" x14ac:dyDescent="0.25">
      <c r="A940" s="2"/>
      <c r="B940" s="178"/>
      <c r="C940" s="178"/>
      <c r="D940" s="1290"/>
      <c r="E940" s="1243" t="str">
        <f>Translations!$B$1340</f>
        <v>Justeringar</v>
      </c>
      <c r="F940" s="1244"/>
      <c r="G940" s="1244"/>
      <c r="H940" s="1228" t="str">
        <f>EUconst_Unit</f>
        <v>Enhet</v>
      </c>
      <c r="I940" s="1229" t="str">
        <f>Translations!$B$1472</f>
        <v>HAL</v>
      </c>
      <c r="J940" s="1268">
        <f>J$3042</f>
        <v>2021</v>
      </c>
      <c r="K940" s="1230">
        <f>K$3042</f>
        <v>2022</v>
      </c>
      <c r="L940" s="1230">
        <f>L$3042</f>
        <v>2023</v>
      </c>
      <c r="M940" s="1230">
        <f>M$3042</f>
        <v>2024</v>
      </c>
      <c r="N940" s="1258">
        <f>N$3042</f>
        <v>2025</v>
      </c>
      <c r="O940" s="15"/>
      <c r="P940" s="15"/>
      <c r="Q940" s="343"/>
      <c r="R940" s="2"/>
      <c r="S940" s="2"/>
      <c r="T940" s="2"/>
      <c r="U940" s="772"/>
      <c r="V940" s="1077">
        <f>J940</f>
        <v>2021</v>
      </c>
      <c r="W940" s="1077">
        <f>K940</f>
        <v>2022</v>
      </c>
      <c r="X940" s="1077">
        <f>L940</f>
        <v>2023</v>
      </c>
      <c r="Y940" s="1077">
        <f>M940</f>
        <v>2024</v>
      </c>
      <c r="Z940" s="1078">
        <f>N940</f>
        <v>2025</v>
      </c>
      <c r="AA940" s="2"/>
      <c r="AB940" s="2"/>
      <c r="AC940" s="2"/>
      <c r="AD940" s="2"/>
      <c r="AE940" s="2"/>
      <c r="AF940" s="2"/>
      <c r="AG940" s="2"/>
      <c r="AH940" s="2"/>
      <c r="AI940" s="2"/>
      <c r="AJ940" s="2"/>
      <c r="AK940" s="2"/>
      <c r="AL940" s="2"/>
    </row>
    <row r="941" spans="1:38" ht="12.75" customHeight="1" x14ac:dyDescent="0.25">
      <c r="A941" s="2"/>
      <c r="B941" s="178"/>
      <c r="C941" s="178"/>
      <c r="D941" s="1246" t="s">
        <v>8</v>
      </c>
      <c r="E941" s="1231" t="str">
        <f>Translations!$B$1473</f>
        <v>Genomsnittlig årlig verksamhetsnivå</v>
      </c>
      <c r="F941" s="1231"/>
      <c r="G941" s="1231"/>
      <c r="H941" s="917" t="str">
        <f>IF(INDEX(CNTR_SubInstListIsProdBM,$C919),INDEX(CNTR_SubInstListHALUnit,$C919),EUconst_Tons)</f>
        <v>ton</v>
      </c>
      <c r="I941" s="990" t="str">
        <f>IF(V919&gt;($J$3042-3),EUconst_NA,INDEX('B+C_SubInstallations'!$I:$I,MATCH(Q941,'B+C_SubInstallations'!$T:$T,0)))</f>
        <v/>
      </c>
      <c r="J941" s="993" t="str">
        <f>IF(AND(V941&gt;=3,CNTR_ReportingYear&gt;J940-1),AVERAGE(H929:I929),"")</f>
        <v/>
      </c>
      <c r="K941" s="920" t="str">
        <f>IF(AND(W941&gt;=3,CNTR_ReportingYear&gt;K940-1),AVERAGE(I929:J929),"")</f>
        <v/>
      </c>
      <c r="L941" s="920" t="str">
        <f>IF(AND(X941&gt;=3,CNTR_ReportingYear&gt;L940-1),AVERAGE(J929:K929),"")</f>
        <v/>
      </c>
      <c r="M941" s="920" t="str">
        <f>IF(AND(Y941&gt;=3,CNTR_ReportingYear&gt;M940-1),AVERAGE(K929:L929),"")</f>
        <v/>
      </c>
      <c r="N941" s="1218" t="str">
        <f>IF(AND(Z941&gt;=3,CNTR_ReportingYear&gt;N940-1),AVERAGE(L929:M929),"")</f>
        <v/>
      </c>
      <c r="O941" s="15"/>
      <c r="P941" s="15"/>
      <c r="Q941" s="672" t="str">
        <f>EUconst_CNTR_HALinitial&amp;I919</f>
        <v>HALini_</v>
      </c>
      <c r="R941" s="2"/>
      <c r="S941" s="2"/>
      <c r="T941" s="2"/>
      <c r="U941" s="1088" t="s">
        <v>1850</v>
      </c>
      <c r="V941" s="663">
        <f>IF($I919="",0,V940-$V919+1)</f>
        <v>0</v>
      </c>
      <c r="W941" s="663">
        <f>IF($I919="",0,W940-$V919+1)</f>
        <v>0</v>
      </c>
      <c r="X941" s="663">
        <f>IF($I919="",0,X940-$V919+1)</f>
        <v>0</v>
      </c>
      <c r="Y941" s="663">
        <f>IF($I919="",0,Y940-$V919+1)</f>
        <v>0</v>
      </c>
      <c r="Z941" s="1080">
        <f>IF($I919="",0,Z940-$V919+1)</f>
        <v>0</v>
      </c>
      <c r="AA941" s="2"/>
      <c r="AB941" s="2"/>
      <c r="AC941" s="2"/>
      <c r="AD941" s="2"/>
      <c r="AE941" s="2"/>
      <c r="AF941" s="2"/>
      <c r="AG941" s="2"/>
      <c r="AH941" s="2"/>
      <c r="AI941" s="2"/>
      <c r="AJ941" s="2"/>
      <c r="AK941" s="2"/>
      <c r="AL941" s="2"/>
    </row>
    <row r="942" spans="1:38" ht="12.75" hidden="1" customHeight="1" x14ac:dyDescent="0.25">
      <c r="A942" s="343" t="s">
        <v>346</v>
      </c>
      <c r="B942" s="178"/>
      <c r="C942" s="178"/>
      <c r="D942" s="1242"/>
      <c r="E942" s="1281" t="s">
        <v>1848</v>
      </c>
      <c r="F942" s="1281"/>
      <c r="G942" s="1281"/>
      <c r="H942" s="1283"/>
      <c r="I942" s="1284"/>
      <c r="J942" s="991" t="str">
        <f>IF(J941="","",IF($I944=0,IF(J941=0,0%,100%),J941/$I944-1))</f>
        <v/>
      </c>
      <c r="K942" s="960" t="str">
        <f>IF(K941="","",IF($I944=0,IF(K941=0,0%,100%),K941/$I944-1))</f>
        <v/>
      </c>
      <c r="L942" s="960" t="str">
        <f>IF(L941="","",IF($I944=0,IF(L941=0,0%,100%),L941/$I944-1))</f>
        <v/>
      </c>
      <c r="M942" s="960" t="str">
        <f>IF(M941="","",IF($I944=0,IF(M941=0,0%,100%),M941/$I944-1))</f>
        <v/>
      </c>
      <c r="N942" s="1219" t="str">
        <f>IF(N941="","",IF($I944=0,IF(N941=0,0%,100%),N941/$I944-1))</f>
        <v/>
      </c>
      <c r="O942" s="15"/>
      <c r="P942" s="15"/>
      <c r="Q942" s="165" t="str">
        <f>EUconst_CNTR_RelThreshold &amp; Q944</f>
        <v>RelThresh_HALprelim_</v>
      </c>
      <c r="R942" s="2"/>
      <c r="S942" s="2"/>
      <c r="T942" s="2"/>
      <c r="U942" s="1088" t="s">
        <v>1855</v>
      </c>
      <c r="V942" s="603" t="str">
        <f>IF(J941="","",ABS(J942)&gt;15%)</f>
        <v/>
      </c>
      <c r="W942" s="603" t="str">
        <f>IF(K941="","",ABS(K942)&gt;15%)</f>
        <v/>
      </c>
      <c r="X942" s="603" t="str">
        <f>IF(L941="","",ABS(L942)&gt;15%)</f>
        <v/>
      </c>
      <c r="Y942" s="603" t="str">
        <f>IF(M941="","",ABS(M942)&gt;15%)</f>
        <v/>
      </c>
      <c r="Z942" s="1756" t="str">
        <f>IF(N941="","",ABS(N942)&gt;15%)</f>
        <v/>
      </c>
      <c r="AA942" s="2"/>
      <c r="AB942" s="2"/>
      <c r="AC942" s="2"/>
      <c r="AD942" s="2"/>
      <c r="AE942" s="2"/>
      <c r="AF942" s="2"/>
      <c r="AG942" s="2"/>
      <c r="AH942" s="2"/>
      <c r="AI942" s="2"/>
      <c r="AJ942" s="2"/>
      <c r="AK942" s="2"/>
      <c r="AL942" s="343"/>
    </row>
    <row r="943" spans="1:38" ht="12.75" customHeight="1" x14ac:dyDescent="0.25">
      <c r="A943" s="343"/>
      <c r="B943" s="178"/>
      <c r="C943" s="178"/>
      <c r="D943" s="1246" t="s">
        <v>9</v>
      </c>
      <c r="E943" s="1231" t="str">
        <f>Translations!$B$1474</f>
        <v>Preliminär justering (om relativa tröskelvärden överskrids)</v>
      </c>
      <c r="F943" s="1231"/>
      <c r="G943" s="1231"/>
      <c r="H943" s="1233"/>
      <c r="I943" s="1235"/>
      <c r="J943" s="992" t="str">
        <f>IF(J941="","",IF(V942=FALSE,0%,IF(V943,J942,I949)))</f>
        <v/>
      </c>
      <c r="K943" s="937" t="str">
        <f>IF(K941="","",IF(W942=FALSE,0%,IF(W943,K942,J949)))</f>
        <v/>
      </c>
      <c r="L943" s="937" t="str">
        <f>IF(L941="","",IF(X942=FALSE,0%,IF(X943,L942,K949)))</f>
        <v/>
      </c>
      <c r="M943" s="937" t="str">
        <f>IF(M941="","",IF(Y942=FALSE,0%,IF(Y943,M942,L949)))</f>
        <v/>
      </c>
      <c r="N943" s="1220" t="str">
        <f>IF(N941="","",IF(Z942=FALSE,0%,IF(Z943,N942,M949)))</f>
        <v/>
      </c>
      <c r="O943" s="15"/>
      <c r="P943" s="15"/>
      <c r="Q943" s="2"/>
      <c r="R943" s="2"/>
      <c r="S943" s="2"/>
      <c r="T943" s="2"/>
      <c r="U943" s="1088" t="s">
        <v>1856</v>
      </c>
      <c r="V943" s="603" t="str">
        <f>IF(J941="","",AND(V942,IF(SUM(I949)&lt;0,OR(SUM(J942)&lt;SUM(I949)-MOD(SUM(I949),5%),J942&gt;=SUM(I949)+5%-MOD(SUM(I949),5%)),OR(SUM(J942)&lt;=SUM(I949)-MOD(SUM(I949),5%),SUM(J942)&gt;SUM(I949)+5%-MOD(SUM(I949),5%)))))</f>
        <v/>
      </c>
      <c r="W943" s="603" t="str">
        <f>IF(K941="","",AND(W942,IF(SUM(J949)&lt;0,OR(SUM(K942)&lt;SUM(J949)-MOD(SUM(J949),5%),K942&gt;=SUM(J949)+5%-MOD(SUM(J949),5%)),OR(SUM(K942)&lt;=SUM(J949)-MOD(SUM(J949),5%),SUM(K942)&gt;SUM(J949)+5%-MOD(SUM(J949),5%)))))</f>
        <v/>
      </c>
      <c r="X943" s="603" t="str">
        <f>IF(L941="","",AND(X942,IF(SUM(K949)&lt;0,OR(SUM(L942)&lt;SUM(K949)-MOD(SUM(K949),5%),L942&gt;=SUM(K949)+5%-MOD(SUM(K949),5%)),OR(SUM(L942)&lt;=SUM(K949)-MOD(SUM(K949),5%),SUM(L942)&gt;SUM(K949)+5%-MOD(SUM(K949),5%)))))</f>
        <v/>
      </c>
      <c r="Y943" s="603" t="str">
        <f>IF(M941="","",AND(Y942,IF(SUM(L949)&lt;0,OR(SUM(M942)&lt;SUM(L949)-MOD(SUM(L949),5%),M942&gt;=SUM(L949)+5%-MOD(SUM(L949),5%)),OR(SUM(M942)&lt;=SUM(L949)-MOD(SUM(L949),5%),SUM(M942)&gt;SUM(L949)+5%-MOD(SUM(L949),5%)))))</f>
        <v/>
      </c>
      <c r="Z943" s="1756" t="str">
        <f>IF(N941="","",AND(Z942,IF(SUM(M949)&lt;0,OR(SUM(N942)&lt;SUM(M949)-MOD(SUM(M949),5%),N942&gt;=SUM(M949)+5%-MOD(SUM(M949),5%)),OR(SUM(N942)&lt;=SUM(M949)-MOD(SUM(M949),5%),SUM(N942)&gt;SUM(M949)+5%-MOD(SUM(M949),5%)))))</f>
        <v/>
      </c>
      <c r="AA943" s="2"/>
      <c r="AB943" s="2"/>
      <c r="AC943" s="2"/>
      <c r="AD943" s="2"/>
      <c r="AE943" s="2"/>
      <c r="AF943" s="2"/>
      <c r="AG943" s="2"/>
      <c r="AH943" s="2"/>
      <c r="AI943" s="2"/>
      <c r="AJ943" s="2"/>
      <c r="AK943" s="2"/>
      <c r="AL943" s="343"/>
    </row>
    <row r="944" spans="1:38" ht="12.75" hidden="1" customHeight="1" x14ac:dyDescent="0.25">
      <c r="A944" s="343" t="s">
        <v>346</v>
      </c>
      <c r="B944" s="178"/>
      <c r="C944" s="178"/>
      <c r="D944" s="1242"/>
      <c r="E944" s="1231" t="s">
        <v>1889</v>
      </c>
      <c r="F944" s="1231"/>
      <c r="G944" s="1231"/>
      <c r="H944" s="917" t="str">
        <f>H941</f>
        <v>ton</v>
      </c>
      <c r="I944" s="990" t="str">
        <f>IF(I919="","",IF(AB919=FALSE,EUconst_NA,IF(V919&gt;($J$3042-3),INDEX(H929:N929,MATCH(V919,H926:N926,0)),SUM(I941))))</f>
        <v/>
      </c>
      <c r="J944" s="993" t="str">
        <f>IF($I919="","",IF(V941&lt;2,SUM(J929),IF(V941&lt;3,SUM(I929),IF(V944="",I944,V944))))</f>
        <v/>
      </c>
      <c r="K944" s="920" t="str">
        <f>IF($I919="","",IF(W941&lt;2,SUM(K929),IF(W941&lt;3,SUM(J929),IF(W944="",J944,W944))))</f>
        <v/>
      </c>
      <c r="L944" s="920" t="str">
        <f>IF($I919="","",IF(X941&lt;2,SUM(L929),IF(X941&lt;3,SUM(K929),IF(X944="",K944,X944))))</f>
        <v/>
      </c>
      <c r="M944" s="920" t="str">
        <f>IF($I919="","",IF(Y941&lt;2,SUM(M929),IF(Y941&lt;3,SUM(L929),IF(Y944="",L944,Y944))))</f>
        <v/>
      </c>
      <c r="N944" s="1218" t="str">
        <f>IF($I919="","",IF(Z941&lt;2,SUM(N929),IF(Z941&lt;3,SUM(M929),IF(Z944="",M944,Z944))))</f>
        <v/>
      </c>
      <c r="O944" s="15"/>
      <c r="P944" s="15"/>
      <c r="Q944" s="672" t="str">
        <f>EUconst_CNTR_HALprelim&amp;I919</f>
        <v>HALprelim_</v>
      </c>
      <c r="R944" s="2"/>
      <c r="S944" s="2"/>
      <c r="T944" s="2"/>
      <c r="U944" s="1088" t="s">
        <v>1898</v>
      </c>
      <c r="V944" s="1752" t="str">
        <f>IF(J941="","",IF(CNTR_ReportingYear&lt;J940,I943,IF($I944=0,J941,$I944*(1+J943))))</f>
        <v/>
      </c>
      <c r="W944" s="1752" t="str">
        <f>IF(K941="","",IF(CNTR_ReportingYear&lt;K940,J943,IF($I944=0,K941,$I944*(1+K943))))</f>
        <v/>
      </c>
      <c r="X944" s="1752" t="str">
        <f>IF(L941="","",IF(CNTR_ReportingYear&lt;L940,K943,IF($I944=0,L941,$I944*(1+L943))))</f>
        <v/>
      </c>
      <c r="Y944" s="1752" t="str">
        <f>IF(M941="","",IF(CNTR_ReportingYear&lt;M940,L943,IF($I944=0,M941,$I944*(1+M943))))</f>
        <v/>
      </c>
      <c r="Z944" s="1761" t="str">
        <f>IF(N941="","",IF(CNTR_ReportingYear&lt;N940,M943,IF($I944=0,N941,$I944*(1+N943))))</f>
        <v/>
      </c>
      <c r="AA944" s="2"/>
      <c r="AB944" s="2"/>
      <c r="AC944" s="2"/>
      <c r="AD944" s="2"/>
      <c r="AE944" s="2"/>
      <c r="AF944" s="2"/>
      <c r="AG944" s="2"/>
      <c r="AH944" s="2"/>
      <c r="AI944" s="2"/>
      <c r="AJ944" s="2"/>
      <c r="AK944" s="2"/>
      <c r="AL944" s="343"/>
    </row>
    <row r="945" spans="1:38" ht="5.15" customHeight="1" x14ac:dyDescent="0.25">
      <c r="A945" s="343"/>
      <c r="B945" s="178"/>
      <c r="C945" s="178"/>
      <c r="D945" s="1242"/>
      <c r="E945" s="1244"/>
      <c r="F945" s="1244"/>
      <c r="G945" s="1244"/>
      <c r="H945" s="1244"/>
      <c r="I945" s="1244"/>
      <c r="J945" s="1236"/>
      <c r="K945" s="1236"/>
      <c r="L945" s="1236"/>
      <c r="M945" s="1236"/>
      <c r="N945" s="1247"/>
      <c r="O945" s="15"/>
      <c r="P945" s="15"/>
      <c r="Q945" s="343"/>
      <c r="R945" s="2"/>
      <c r="S945" s="2"/>
      <c r="T945" s="2"/>
      <c r="U945" s="1086"/>
      <c r="V945" s="343"/>
      <c r="W945" s="2"/>
      <c r="X945" s="2"/>
      <c r="Y945" s="2"/>
      <c r="Z945" s="228"/>
      <c r="AA945" s="2"/>
      <c r="AB945" s="2"/>
      <c r="AC945" s="2"/>
      <c r="AD945" s="2"/>
      <c r="AE945" s="2"/>
      <c r="AF945" s="2"/>
      <c r="AG945" s="2"/>
      <c r="AH945" s="2"/>
      <c r="AI945" s="2"/>
      <c r="AJ945" s="2"/>
      <c r="AK945" s="2"/>
      <c r="AL945" s="343"/>
    </row>
    <row r="946" spans="1:38" ht="12.75" customHeight="1" x14ac:dyDescent="0.25">
      <c r="A946" s="343"/>
      <c r="B946" s="178"/>
      <c r="C946" s="178"/>
      <c r="D946" s="1242"/>
      <c r="E946" s="1234" t="str">
        <f>Translations!$B$1475</f>
        <v>Faktisk justering (grund för följande år)</v>
      </c>
      <c r="F946" s="1234"/>
      <c r="G946" s="1234"/>
      <c r="H946" s="1234"/>
      <c r="I946" s="1234"/>
      <c r="J946" s="1268">
        <f>J$3042</f>
        <v>2021</v>
      </c>
      <c r="K946" s="1230">
        <f>K$3042</f>
        <v>2022</v>
      </c>
      <c r="L946" s="1230">
        <f>L$3042</f>
        <v>2023</v>
      </c>
      <c r="M946" s="1230">
        <f>M$3042</f>
        <v>2024</v>
      </c>
      <c r="N946" s="1258">
        <f>N$3042</f>
        <v>2025</v>
      </c>
      <c r="O946" s="15"/>
      <c r="P946" s="15"/>
      <c r="Q946" s="343"/>
      <c r="R946" s="2"/>
      <c r="S946" s="2"/>
      <c r="T946" s="2"/>
      <c r="U946" s="584"/>
      <c r="V946" s="2"/>
      <c r="W946" s="2"/>
      <c r="X946" s="2"/>
      <c r="Y946" s="2"/>
      <c r="Z946" s="228"/>
      <c r="AA946" s="2"/>
      <c r="AB946" s="2"/>
      <c r="AC946" s="2"/>
      <c r="AD946" s="2"/>
      <c r="AE946" s="2"/>
      <c r="AF946" s="2"/>
      <c r="AG946" s="2"/>
      <c r="AH946" s="2"/>
      <c r="AI946" s="2"/>
      <c r="AJ946" s="2"/>
      <c r="AK946" s="2"/>
      <c r="AL946" s="343"/>
    </row>
    <row r="947" spans="1:38" ht="12.75" customHeight="1" x14ac:dyDescent="0.25">
      <c r="A947" s="343"/>
      <c r="B947" s="178"/>
      <c r="C947" s="178"/>
      <c r="D947" s="1246" t="s">
        <v>10</v>
      </c>
      <c r="E947" s="1231" t="str">
        <f>Translations!$B$1476</f>
        <v>&gt;= 100 utsläppsrätter kriterium uppnått?</v>
      </c>
      <c r="F947" s="1231"/>
      <c r="G947" s="1231"/>
      <c r="H947" s="1231"/>
      <c r="I947" s="1231"/>
      <c r="J947" s="994" t="str">
        <f>IF($I919="","",INDEX(K_Summary!J:J,MATCH($Q947,K_Summary!$P:$P,0)))</f>
        <v/>
      </c>
      <c r="K947" s="912" t="str">
        <f>IF($I919="","",INDEX(K_Summary!K:K,MATCH($Q947,K_Summary!$P:$P,0)))</f>
        <v/>
      </c>
      <c r="L947" s="912" t="str">
        <f>IF($I919="","",INDEX(K_Summary!L:L,MATCH($Q947,K_Summary!$P:$P,0)))</f>
        <v/>
      </c>
      <c r="M947" s="912" t="str">
        <f>IF($I919="","",INDEX(K_Summary!M:M,MATCH($Q947,K_Summary!$P:$P,0)))</f>
        <v/>
      </c>
      <c r="N947" s="1221" t="str">
        <f>IF($I919="","",INDEX(K_Summary!N:N,MATCH($Q947,K_Summary!$P:$P,0)))</f>
        <v/>
      </c>
      <c r="O947" s="15"/>
      <c r="P947" s="15"/>
      <c r="Q947" s="672" t="str">
        <f>EUconst_CNTR_100EUA_ActivityLevel&amp;I919</f>
        <v>EUA100AL_</v>
      </c>
      <c r="R947" s="2"/>
      <c r="S947" s="2"/>
      <c r="T947" s="2"/>
      <c r="U947" s="584"/>
      <c r="V947" s="1123"/>
      <c r="W947" s="1123"/>
      <c r="X947" s="1123"/>
      <c r="Y947" s="1123"/>
      <c r="Z947" s="228"/>
      <c r="AA947" s="2"/>
      <c r="AB947" s="2"/>
      <c r="AC947" s="2"/>
      <c r="AD947" s="2"/>
      <c r="AE947" s="2"/>
      <c r="AF947" s="2"/>
      <c r="AG947" s="2"/>
      <c r="AH947" s="2"/>
      <c r="AI947" s="2"/>
      <c r="AJ947" s="2"/>
      <c r="AK947" s="2"/>
      <c r="AL947" s="343"/>
    </row>
    <row r="948" spans="1:38" ht="5.15" customHeight="1" thickBot="1" x14ac:dyDescent="0.3">
      <c r="A948" s="343"/>
      <c r="B948" s="178"/>
      <c r="C948" s="178"/>
      <c r="D948" s="1242"/>
      <c r="E948" s="1244"/>
      <c r="F948" s="1244"/>
      <c r="G948" s="1244"/>
      <c r="H948" s="1244"/>
      <c r="I948" s="1244"/>
      <c r="J948" s="1244"/>
      <c r="K948" s="1244"/>
      <c r="L948" s="1244"/>
      <c r="M948" s="1244"/>
      <c r="N948" s="1248"/>
      <c r="O948" s="15"/>
      <c r="P948" s="15"/>
      <c r="Q948" s="343"/>
      <c r="R948" s="2"/>
      <c r="S948" s="2"/>
      <c r="T948" s="2"/>
      <c r="U948" s="1086"/>
      <c r="V948" s="343"/>
      <c r="W948" s="2"/>
      <c r="X948" s="2"/>
      <c r="Y948" s="2"/>
      <c r="Z948" s="228"/>
      <c r="AA948" s="2"/>
      <c r="AB948" s="2"/>
      <c r="AC948" s="2"/>
      <c r="AD948" s="2"/>
      <c r="AE948" s="2"/>
      <c r="AF948" s="2"/>
      <c r="AG948" s="2"/>
      <c r="AH948" s="2"/>
      <c r="AI948" s="2"/>
      <c r="AJ948" s="2"/>
      <c r="AK948" s="2"/>
      <c r="AL948" s="343"/>
    </row>
    <row r="949" spans="1:38" ht="12.75" customHeight="1" thickBot="1" x14ac:dyDescent="0.3">
      <c r="A949" s="2"/>
      <c r="B949" s="178"/>
      <c r="C949" s="178"/>
      <c r="D949" s="1246" t="s">
        <v>23</v>
      </c>
      <c r="E949" s="1231" t="str">
        <f>Translations!$B$1477</f>
        <v>Faktisk justering (om alla tröskelvärden överskrids)</v>
      </c>
      <c r="F949" s="1231"/>
      <c r="G949" s="1231"/>
      <c r="H949" s="1233"/>
      <c r="I949" s="1237"/>
      <c r="J949" s="1099" t="str">
        <f>IF(J947="","",IF(J940&gt;$Z919,-100%,IF(OR(J947,V941&lt;1),J943,I949)))</f>
        <v/>
      </c>
      <c r="K949" s="1100" t="str">
        <f>IF(K947="","",IF(K940&gt;$Z919,-100%,IF(OR(K947,W941&lt;1),K943,J949)))</f>
        <v/>
      </c>
      <c r="L949" s="1100" t="str">
        <f>IF(L947="","",IF(L940&gt;$Z919,-100%,IF(OR(L947,X941&lt;1),L943,K949)))</f>
        <v/>
      </c>
      <c r="M949" s="1100" t="str">
        <f>IF(M947="","",IF(M940&gt;$Z919,-100%,IF(OR(M947,Y941&lt;1),M943,L949)))</f>
        <v/>
      </c>
      <c r="N949" s="1101" t="str">
        <f>IF(N947="","",IF(N940&gt;$Z919,-100%,IF(OR(N947,Z941&lt;1),N943,M949)))</f>
        <v/>
      </c>
      <c r="O949" s="15"/>
      <c r="P949" s="918"/>
      <c r="Q949" s="165" t="str">
        <f>EUconst_CNTR_HALAdjPct &amp; I919</f>
        <v>HALAdjPct_</v>
      </c>
      <c r="R949" s="2"/>
      <c r="S949" s="2"/>
      <c r="T949" s="2"/>
      <c r="U949" s="1086" t="s">
        <v>1858</v>
      </c>
      <c r="V949" s="1068">
        <f>J946</f>
        <v>2021</v>
      </c>
      <c r="W949" s="1068">
        <f>K946</f>
        <v>2022</v>
      </c>
      <c r="X949" s="1068">
        <f>L946</f>
        <v>2023</v>
      </c>
      <c r="Y949" s="1068">
        <f>M946</f>
        <v>2024</v>
      </c>
      <c r="Z949" s="1087">
        <f>N946</f>
        <v>2025</v>
      </c>
      <c r="AA949" s="2"/>
      <c r="AB949" s="2"/>
      <c r="AC949" s="2"/>
      <c r="AD949" s="2"/>
      <c r="AE949" s="2"/>
      <c r="AF949" s="2"/>
      <c r="AG949" s="2"/>
      <c r="AH949" s="2"/>
      <c r="AI949" s="2"/>
      <c r="AJ949" s="2"/>
      <c r="AK949" s="2"/>
      <c r="AL949" s="343"/>
    </row>
    <row r="950" spans="1:38" ht="12.75" customHeight="1" thickBot="1" x14ac:dyDescent="0.3">
      <c r="A950" s="343"/>
      <c r="B950" s="178"/>
      <c r="C950" s="178"/>
      <c r="D950" s="1246" t="s">
        <v>859</v>
      </c>
      <c r="E950" s="1231" t="str">
        <f>Translations!$B$1478</f>
        <v>Faktiskt värde</v>
      </c>
      <c r="F950" s="1231"/>
      <c r="G950" s="1231"/>
      <c r="H950" s="917" t="str">
        <f>H941</f>
        <v>ton</v>
      </c>
      <c r="I950" s="990" t="str">
        <f>I944</f>
        <v/>
      </c>
      <c r="J950" s="1072" t="str">
        <f>IF($I919="","",IF(OR($I950=0,J949="",$I950=EUconst_NA),IF(OR(J947=TRUE,J946&lt;=$V919),J944,SUM(I950)),$I950*(1+SUM(J949))))</f>
        <v/>
      </c>
      <c r="K950" s="1073" t="str">
        <f>IF($I919="","",IF(OR($I950=0,K949="",$I950=EUconst_NA),IF(OR(K947=TRUE,K946&lt;=$V919),K944,SUM(J950)),$I950*(1+SUM(K949))))</f>
        <v/>
      </c>
      <c r="L950" s="1073" t="str">
        <f>IF($I919="","",IF(OR($I950=0,L949="",$I950=EUconst_NA),IF(OR(L947=TRUE,L946&lt;=$V919),L944,SUM(K950)),$I950*(1+SUM(L949))))</f>
        <v/>
      </c>
      <c r="M950" s="1073" t="str">
        <f>IF($I919="","",IF(OR($I950=0,M949="",$I950=EUconst_NA),IF(OR(M947=TRUE,M946&lt;=$V919),M944,SUM(L950)),$I950*(1+SUM(M949))))</f>
        <v/>
      </c>
      <c r="N950" s="1074" t="str">
        <f>IF($I919="","",IF(OR($I950=0,N949="",$I950=EUconst_NA),IF(OR(N947=TRUE,N946&lt;=$V919),N944,SUM(M950)),$I950*(1+SUM(N949))))</f>
        <v/>
      </c>
      <c r="O950" s="15"/>
      <c r="P950" s="15"/>
      <c r="Q950" s="672" t="str">
        <f>EUconst_CNTR_HALfinal&amp;I919</f>
        <v>HALfinal_</v>
      </c>
      <c r="R950" s="2"/>
      <c r="S950" s="2"/>
      <c r="T950" s="2"/>
      <c r="U950" s="1765" t="b">
        <v>0</v>
      </c>
      <c r="V950" s="1757" t="str">
        <f>IF(V927,IF(J947=TRUE,V942,U950),"")</f>
        <v/>
      </c>
      <c r="W950" s="1757" t="str">
        <f>IF(W927,IF(K947=TRUE,W942,V950),"")</f>
        <v/>
      </c>
      <c r="X950" s="1757" t="str">
        <f>IF(X927,IF(L947=TRUE,X942,W950),"")</f>
        <v/>
      </c>
      <c r="Y950" s="1757" t="str">
        <f>IF(Y927,IF(M947=TRUE,Y942,X950),"")</f>
        <v/>
      </c>
      <c r="Z950" s="1758" t="str">
        <f>IF(Z927,IF(N947=TRUE,Z942,Y950),"")</f>
        <v/>
      </c>
      <c r="AA950" s="2"/>
      <c r="AB950" s="2"/>
      <c r="AC950" s="2"/>
      <c r="AD950" s="2"/>
      <c r="AE950" s="2"/>
      <c r="AF950" s="2"/>
      <c r="AG950" s="2"/>
      <c r="AH950" s="2"/>
      <c r="AI950" s="2"/>
      <c r="AJ950" s="553" t="s">
        <v>2242</v>
      </c>
      <c r="AK950" s="108" t="str">
        <f>IF(OR(ISERROR(J950),ISERROR(K950),ISERROR(L950),ISERROR(M950),ISERROR(N950)),EUconst_Error &amp; "BM" &amp; Q919,"")</f>
        <v/>
      </c>
      <c r="AL950" s="343"/>
    </row>
    <row r="951" spans="1:38" ht="5.15" customHeight="1" thickBot="1" x14ac:dyDescent="0.3">
      <c r="A951" s="2"/>
      <c r="B951" s="178"/>
      <c r="C951" s="178"/>
      <c r="D951" s="1282"/>
      <c r="E951" s="1272"/>
      <c r="F951" s="1272"/>
      <c r="G951" s="1272"/>
      <c r="H951" s="1272"/>
      <c r="I951" s="1272"/>
      <c r="J951" s="1272"/>
      <c r="K951" s="1272"/>
      <c r="L951" s="1272"/>
      <c r="M951" s="1272"/>
      <c r="N951" s="1273"/>
      <c r="O951" s="15"/>
      <c r="P951" s="15"/>
      <c r="Q951" s="343"/>
      <c r="R951" s="2"/>
      <c r="S951" s="2"/>
      <c r="T951" s="2"/>
      <c r="U951" s="343"/>
      <c r="V951" s="343"/>
      <c r="W951" s="2"/>
      <c r="X951" s="2"/>
      <c r="Y951" s="2"/>
      <c r="Z951" s="2"/>
      <c r="AA951" s="2"/>
      <c r="AB951" s="2"/>
      <c r="AC951" s="2"/>
      <c r="AD951" s="2"/>
      <c r="AE951" s="2"/>
      <c r="AF951" s="2"/>
      <c r="AG951" s="2"/>
      <c r="AH951" s="2"/>
      <c r="AI951" s="2"/>
      <c r="AJ951" s="2"/>
      <c r="AK951" s="2"/>
      <c r="AL951" s="343"/>
    </row>
    <row r="952" spans="1:38" ht="5.15" customHeight="1" x14ac:dyDescent="0.25">
      <c r="A952" s="2"/>
      <c r="B952" s="178"/>
      <c r="C952" s="178"/>
      <c r="D952" s="15"/>
      <c r="E952" s="15"/>
      <c r="F952" s="15"/>
      <c r="G952" s="15"/>
      <c r="H952" s="15"/>
      <c r="I952" s="15"/>
      <c r="J952" s="15"/>
      <c r="K952" s="15"/>
      <c r="L952" s="15"/>
      <c r="M952" s="15"/>
      <c r="N952" s="15"/>
      <c r="O952" s="15"/>
      <c r="P952" s="15"/>
      <c r="Q952" s="343"/>
      <c r="R952" s="2"/>
      <c r="S952" s="2"/>
      <c r="T952" s="2"/>
      <c r="U952" s="343"/>
      <c r="V952" s="343"/>
      <c r="W952" s="2"/>
      <c r="X952" s="2"/>
      <c r="Y952" s="2"/>
      <c r="Z952" s="2"/>
      <c r="AA952" s="2"/>
      <c r="AB952" s="2"/>
      <c r="AC952" s="2"/>
      <c r="AD952" s="2"/>
      <c r="AE952" s="2"/>
      <c r="AF952" s="2"/>
      <c r="AG952" s="2"/>
      <c r="AH952" s="2"/>
      <c r="AI952" s="2"/>
      <c r="AJ952" s="2"/>
      <c r="AK952" s="2"/>
      <c r="AL952" s="343"/>
    </row>
    <row r="953" spans="1:38" ht="15" customHeight="1" x14ac:dyDescent="0.25">
      <c r="A953" s="2"/>
      <c r="B953" s="19"/>
      <c r="C953" s="178"/>
      <c r="D953" s="2053" t="str">
        <f>Translations!$B$522</f>
        <v>Andra korrigeringsfaktorer</v>
      </c>
      <c r="E953" s="1963"/>
      <c r="F953" s="1963"/>
      <c r="G953" s="1963"/>
      <c r="H953" s="1963"/>
      <c r="I953" s="1963"/>
      <c r="J953" s="1963"/>
      <c r="K953" s="1963"/>
      <c r="L953" s="1963"/>
      <c r="M953" s="1963"/>
      <c r="N953" s="1963"/>
      <c r="O953" s="15"/>
      <c r="P953" s="15"/>
      <c r="Q953" s="2"/>
      <c r="R953" s="2"/>
      <c r="S953" s="2"/>
      <c r="T953" s="2"/>
      <c r="U953" s="343"/>
      <c r="V953" s="343"/>
      <c r="W953" s="2"/>
      <c r="X953" s="2"/>
      <c r="Y953" s="2"/>
      <c r="Z953" s="2"/>
      <c r="AA953" s="2"/>
      <c r="AB953" s="2"/>
      <c r="AC953" s="2"/>
      <c r="AD953" s="2"/>
      <c r="AE953" s="2"/>
      <c r="AF953" s="2"/>
      <c r="AG953" s="2"/>
      <c r="AH953" s="2"/>
      <c r="AI953" s="2"/>
      <c r="AJ953" s="2"/>
      <c r="AK953" s="2"/>
      <c r="AL953" s="2"/>
    </row>
    <row r="954" spans="1:38" ht="5.15" customHeight="1" x14ac:dyDescent="0.25">
      <c r="A954" s="2"/>
      <c r="B954" s="178"/>
      <c r="C954" s="178"/>
      <c r="D954" s="178"/>
      <c r="E954" s="178"/>
      <c r="F954" s="178"/>
      <c r="G954" s="178"/>
      <c r="H954" s="178"/>
      <c r="I954" s="178"/>
      <c r="J954" s="178"/>
      <c r="K954" s="178"/>
      <c r="L954" s="178"/>
      <c r="M954" s="178"/>
      <c r="N954" s="178"/>
      <c r="O954" s="15"/>
      <c r="P954" s="15"/>
      <c r="Q954" s="343"/>
      <c r="R954" s="2"/>
      <c r="S954" s="2"/>
      <c r="T954" s="2"/>
      <c r="U954" s="343"/>
      <c r="V954" s="343"/>
      <c r="W954" s="2"/>
      <c r="X954" s="2"/>
      <c r="Y954" s="2"/>
      <c r="Z954" s="2"/>
      <c r="AA954" s="2"/>
      <c r="AB954" s="2"/>
      <c r="AC954" s="2"/>
      <c r="AD954" s="2"/>
      <c r="AE954" s="2"/>
      <c r="AF954" s="2"/>
      <c r="AG954" s="2"/>
      <c r="AH954" s="2"/>
      <c r="AI954" s="2"/>
      <c r="AJ954" s="2"/>
      <c r="AK954" s="2"/>
      <c r="AL954" s="2"/>
    </row>
    <row r="955" spans="1:38" ht="12.75" customHeight="1" x14ac:dyDescent="0.25">
      <c r="A955" s="2"/>
      <c r="B955" s="19"/>
      <c r="C955" s="19"/>
      <c r="D955" s="13" t="s">
        <v>55</v>
      </c>
      <c r="E955" s="1943" t="str">
        <f>Translations!$B$523</f>
        <v>Utbytbarhet mellan bränsle och el:</v>
      </c>
      <c r="F955" s="1963"/>
      <c r="G955" s="1963"/>
      <c r="H955" s="1963"/>
      <c r="I955" s="2060"/>
      <c r="J955" s="2652" t="str">
        <f>IF(I919="","",IF(T955,EUconst_MsgEnterThisSection,HYPERLINK(R955,EUconst_MsgGoOn)))</f>
        <v/>
      </c>
      <c r="K955" s="2653"/>
      <c r="L955" s="2653"/>
      <c r="M955" s="2653"/>
      <c r="N955" s="2654"/>
      <c r="O955" s="15"/>
      <c r="P955" s="15"/>
      <c r="Q955" s="2" t="s">
        <v>484</v>
      </c>
      <c r="R955" s="294" t="str">
        <f>"#"&amp;ADDRESS(ROW(D983),COLUMN(D983))</f>
        <v>#$D$983</v>
      </c>
      <c r="S955" s="553" t="s">
        <v>1874</v>
      </c>
      <c r="T955" s="165" t="str">
        <f>IF(I919="","",INDEX(EUconst_BMlistElExchangability,MATCH(I919,EUconst_BMlistNames,0)))</f>
        <v/>
      </c>
      <c r="U955" s="343"/>
      <c r="V955" s="343"/>
      <c r="W955" s="2"/>
      <c r="X955" s="2"/>
      <c r="Y955" s="2"/>
      <c r="Z955" s="2"/>
      <c r="AA955" s="2"/>
      <c r="AB955" s="2"/>
      <c r="AC955" s="2"/>
      <c r="AD955" s="2"/>
      <c r="AE955" s="2"/>
      <c r="AF955" s="2"/>
      <c r="AG955" s="2"/>
      <c r="AH955" s="2"/>
      <c r="AI955" s="2"/>
      <c r="AJ955" s="2"/>
      <c r="AK955" s="2"/>
      <c r="AL955" s="2"/>
    </row>
    <row r="956" spans="1:38" ht="12.75" customHeight="1" x14ac:dyDescent="0.25">
      <c r="A956" s="2"/>
      <c r="B956" s="178"/>
      <c r="C956" s="178"/>
      <c r="D956" s="15"/>
      <c r="E956" s="2061" t="str">
        <f>Translations!$B$524</f>
        <v>Ett automatiskt meddelande kommer att visas här, i relevanta fall, där ni ombeds göra den inmatning som krävs för att utbytbarheten mellan bränsle och el (ElExch-F) ska kunna beaktas.</v>
      </c>
      <c r="F956" s="1963"/>
      <c r="G956" s="1963"/>
      <c r="H956" s="1963"/>
      <c r="I956" s="1963"/>
      <c r="J956" s="1963"/>
      <c r="K956" s="1963"/>
      <c r="L956" s="1963"/>
      <c r="M956" s="1963"/>
      <c r="N956" s="1963"/>
      <c r="O956" s="15"/>
      <c r="P956" s="15"/>
      <c r="Q956" s="2"/>
      <c r="R956" s="2"/>
      <c r="S956" s="2"/>
      <c r="T956" s="2"/>
      <c r="U956" s="343"/>
      <c r="V956" s="343"/>
      <c r="W956" s="2"/>
      <c r="X956" s="2"/>
      <c r="Y956" s="2"/>
      <c r="Z956" s="2"/>
      <c r="AA956" s="2"/>
      <c r="AB956" s="2"/>
      <c r="AC956" s="2"/>
      <c r="AD956" s="2"/>
      <c r="AE956" s="2"/>
      <c r="AF956" s="2"/>
      <c r="AG956" s="2"/>
      <c r="AH956" s="2"/>
      <c r="AI956" s="2"/>
      <c r="AJ956" s="2"/>
      <c r="AK956" s="2"/>
      <c r="AL956" s="2"/>
    </row>
    <row r="957" spans="1:38" ht="12.75" customHeight="1" x14ac:dyDescent="0.25">
      <c r="A957" s="2"/>
      <c r="B957" s="178"/>
      <c r="C957" s="178"/>
      <c r="D957" s="15"/>
      <c r="E957" s="2061" t="str">
        <f>Translations!$B$525</f>
        <v>Enligt artikel 22 i FAR krävs ”direkta utsläpp”, nettomängd ”importerad värme” och ”relevant elförbrukning”.</v>
      </c>
      <c r="F957" s="1963"/>
      <c r="G957" s="1963"/>
      <c r="H957" s="1963"/>
      <c r="I957" s="1963"/>
      <c r="J957" s="1963"/>
      <c r="K957" s="1963"/>
      <c r="L957" s="1963"/>
      <c r="M957" s="1963"/>
      <c r="N957" s="1963"/>
      <c r="O957" s="15"/>
      <c r="P957" s="15"/>
      <c r="Q957" s="343"/>
      <c r="R957" s="2"/>
      <c r="S957" s="2"/>
      <c r="T957" s="2"/>
      <c r="U957" s="343"/>
      <c r="V957" s="343"/>
      <c r="W957" s="343"/>
      <c r="X957" s="343"/>
      <c r="Y957" s="343"/>
      <c r="Z957" s="343"/>
      <c r="AA957" s="2"/>
      <c r="AB957" s="2"/>
      <c r="AC957" s="2"/>
      <c r="AD957" s="2"/>
      <c r="AE957" s="2"/>
      <c r="AF957" s="2"/>
      <c r="AG957" s="2"/>
      <c r="AH957" s="2"/>
      <c r="AI957" s="2"/>
      <c r="AJ957" s="2"/>
      <c r="AK957" s="2"/>
      <c r="AL957" s="2"/>
    </row>
    <row r="958" spans="1:38" ht="25.5" customHeight="1" x14ac:dyDescent="0.25">
      <c r="A958" s="2"/>
      <c r="B958" s="178"/>
      <c r="C958" s="178"/>
      <c r="D958" s="15"/>
      <c r="E958" s="2061" t="str">
        <f>Translations!$B$526</f>
        <v>De totala direkta utsläppen är i regel identiska med de värden som anges i punkt g nedan. Ytterligare korrigeringar kan dock behöva göras, framför allt vid användning av restgaser. Var god se vägledningen i punkt g nedan. Uppgifter om nettomängd importerad värme hämtas automatiskt från punkt k.i nedan.</v>
      </c>
      <c r="F958" s="1963"/>
      <c r="G958" s="1963"/>
      <c r="H958" s="1963"/>
      <c r="I958" s="1963"/>
      <c r="J958" s="1963"/>
      <c r="K958" s="1963"/>
      <c r="L958" s="1963"/>
      <c r="M958" s="1963"/>
      <c r="N958" s="1963"/>
      <c r="O958" s="15"/>
      <c r="P958" s="15"/>
      <c r="Q958" s="343"/>
      <c r="R958" s="2"/>
      <c r="S958" s="2"/>
      <c r="T958" s="2"/>
      <c r="U958" s="343"/>
      <c r="V958" s="343"/>
      <c r="W958" s="343"/>
      <c r="X958" s="343"/>
      <c r="Y958" s="343"/>
      <c r="Z958" s="343"/>
      <c r="AA958" s="2"/>
      <c r="AB958" s="2"/>
      <c r="AC958" s="2"/>
      <c r="AD958" s="2"/>
      <c r="AE958" s="2"/>
      <c r="AF958" s="2"/>
      <c r="AG958" s="2"/>
      <c r="AH958" s="2"/>
      <c r="AI958" s="2"/>
      <c r="AJ958" s="2"/>
      <c r="AK958" s="2"/>
      <c r="AL958" s="2"/>
    </row>
    <row r="959" spans="1:38" s="534" customFormat="1" ht="13.5" thickBot="1" x14ac:dyDescent="0.3">
      <c r="A959" s="343"/>
      <c r="B959" s="15"/>
      <c r="C959" s="15"/>
      <c r="D959" s="13"/>
      <c r="E959" s="914" t="str">
        <f>Translations!$B$527</f>
        <v>Parameter</v>
      </c>
      <c r="F959" s="913"/>
      <c r="G959" s="30" t="str">
        <f>EUconst_Unit</f>
        <v>Enhet</v>
      </c>
      <c r="H959" s="320">
        <f>H$3042</f>
        <v>2019</v>
      </c>
      <c r="I959" s="342">
        <f>I$3042</f>
        <v>2020</v>
      </c>
      <c r="J959" s="987">
        <f>J$112</f>
        <v>2021</v>
      </c>
      <c r="K959" s="1001">
        <f>K$112</f>
        <v>2022</v>
      </c>
      <c r="L959" s="320">
        <f>L$112</f>
        <v>2023</v>
      </c>
      <c r="M959" s="320">
        <f>M$112</f>
        <v>2024</v>
      </c>
      <c r="N959" s="320">
        <f>N$112</f>
        <v>2025</v>
      </c>
      <c r="O959" s="15"/>
      <c r="P959" s="15"/>
      <c r="Q959" s="343"/>
      <c r="R959" s="343"/>
      <c r="S959" s="2"/>
      <c r="T959" s="2"/>
      <c r="U959" s="343"/>
      <c r="V959" s="343"/>
      <c r="W959" s="343"/>
      <c r="X959" s="343"/>
      <c r="Y959" s="343"/>
      <c r="Z959" s="343"/>
      <c r="AA959" s="343"/>
      <c r="AB959" s="2"/>
      <c r="AC959" s="1044">
        <f t="shared" ref="AC959:AI959" si="423">H$20</f>
        <v>2019</v>
      </c>
      <c r="AD959" s="1044">
        <f t="shared" si="423"/>
        <v>2020</v>
      </c>
      <c r="AE959" s="1044">
        <f t="shared" si="423"/>
        <v>2021</v>
      </c>
      <c r="AF959" s="1044">
        <f t="shared" si="423"/>
        <v>2022</v>
      </c>
      <c r="AG959" s="1044">
        <f t="shared" si="423"/>
        <v>2023</v>
      </c>
      <c r="AH959" s="1044">
        <f t="shared" si="423"/>
        <v>2024</v>
      </c>
      <c r="AI959" s="1044">
        <f t="shared" si="423"/>
        <v>2025</v>
      </c>
      <c r="AJ959" s="2"/>
      <c r="AK959" s="2"/>
      <c r="AL959" s="2"/>
    </row>
    <row r="960" spans="1:38" s="534" customFormat="1" ht="13.5" customHeight="1" thickBot="1" x14ac:dyDescent="0.3">
      <c r="A960" s="343"/>
      <c r="B960" s="15"/>
      <c r="C960" s="15"/>
      <c r="D960" s="289" t="s">
        <v>8</v>
      </c>
      <c r="E960" s="925" t="str">
        <f>Translations!$B$528</f>
        <v>Direkta utsläpp</v>
      </c>
      <c r="F960" s="925"/>
      <c r="G960" s="456" t="str">
        <f>EUconst_tCO2pa</f>
        <v>t CO2 / år</v>
      </c>
      <c r="H960" s="614"/>
      <c r="I960" s="995"/>
      <c r="J960" s="1005"/>
      <c r="K960" s="615"/>
      <c r="L960" s="615"/>
      <c r="M960" s="614"/>
      <c r="N960" s="614"/>
      <c r="O960" s="15"/>
      <c r="P960" s="1362"/>
      <c r="Q960" s="343"/>
      <c r="R960" s="343"/>
      <c r="S960" s="2"/>
      <c r="T960" s="2"/>
      <c r="U960" s="343"/>
      <c r="V960" s="343"/>
      <c r="W960" s="343"/>
      <c r="X960" s="343"/>
      <c r="Y960" s="343"/>
      <c r="Z960" s="343"/>
      <c r="AA960" s="343"/>
      <c r="AB960" s="672" t="s">
        <v>782</v>
      </c>
      <c r="AC960" s="1766" t="b">
        <f t="shared" ref="AC960:AI960" si="424">IF(CNTR_ExistSubInstEntries,IF($I919="",TRUE,OR(H959&gt;=CNTR_ReportingYear,AC959&lt;$V919-1,INDEX(EUconst_BMlistElExchangability,MATCH($I919,EUconst_BMlistNames,0))=FALSE)),FALSE)</f>
        <v>0</v>
      </c>
      <c r="AD960" s="1052" t="b">
        <f t="shared" si="424"/>
        <v>0</v>
      </c>
      <c r="AE960" s="1052" t="b">
        <f t="shared" si="424"/>
        <v>0</v>
      </c>
      <c r="AF960" s="1052" t="b">
        <f t="shared" si="424"/>
        <v>0</v>
      </c>
      <c r="AG960" s="1052" t="b">
        <f t="shared" si="424"/>
        <v>0</v>
      </c>
      <c r="AH960" s="1052" t="b">
        <f t="shared" si="424"/>
        <v>0</v>
      </c>
      <c r="AI960" s="1053" t="b">
        <f t="shared" si="424"/>
        <v>0</v>
      </c>
      <c r="AJ960" s="553" t="s">
        <v>2248</v>
      </c>
      <c r="AK960" s="663" t="str">
        <f>IF(AND(CNTR_ExistSubInstEntries,COUNTIFS(AC960:AI960,FALSE,H960:N960,"")&gt;0),EUconst_Error&amp;"BM"&amp;$Q919,"")</f>
        <v/>
      </c>
      <c r="AL960" s="2"/>
    </row>
    <row r="961" spans="1:38" s="534" customFormat="1" ht="12.75" customHeight="1" x14ac:dyDescent="0.25">
      <c r="A961" s="343"/>
      <c r="B961" s="15"/>
      <c r="C961" s="15"/>
      <c r="D961" s="289" t="s">
        <v>9</v>
      </c>
      <c r="E961" s="923" t="str">
        <f>Translations!$B$529</f>
        <v>Nettomängd importerad värme</v>
      </c>
      <c r="F961" s="923"/>
      <c r="G961" s="459" t="str">
        <f>EUconst_TJpa</f>
        <v>TJ / år</v>
      </c>
      <c r="H961" s="460" t="str">
        <f t="shared" ref="H961:N961" si="425">IF(AND($I919&lt;&gt;"",H959&lt;CNTR_ReportingYear),IF(INDEX(EUconst_BMlistElExchangability,MATCH($I919,EUconst_BMlistNames,0)),SUM(H1112),""),"")</f>
        <v/>
      </c>
      <c r="I961" s="996" t="str">
        <f t="shared" si="425"/>
        <v/>
      </c>
      <c r="J961" s="1006" t="str">
        <f t="shared" si="425"/>
        <v/>
      </c>
      <c r="K961" s="1002" t="str">
        <f t="shared" si="425"/>
        <v/>
      </c>
      <c r="L961" s="460" t="str">
        <f t="shared" si="425"/>
        <v/>
      </c>
      <c r="M961" s="460" t="str">
        <f t="shared" si="425"/>
        <v/>
      </c>
      <c r="N961" s="460" t="str">
        <f t="shared" si="425"/>
        <v/>
      </c>
      <c r="O961" s="15"/>
      <c r="P961" s="15"/>
      <c r="Q961" s="343"/>
      <c r="R961" s="343"/>
      <c r="S961" s="772"/>
      <c r="T961" s="609">
        <f t="shared" ref="T961:Z961" si="426">H959</f>
        <v>2019</v>
      </c>
      <c r="U961" s="609">
        <f t="shared" si="426"/>
        <v>2020</v>
      </c>
      <c r="V961" s="609">
        <f t="shared" si="426"/>
        <v>2021</v>
      </c>
      <c r="W961" s="609">
        <f t="shared" si="426"/>
        <v>2022</v>
      </c>
      <c r="X961" s="609">
        <f t="shared" si="426"/>
        <v>2023</v>
      </c>
      <c r="Y961" s="609">
        <f t="shared" si="426"/>
        <v>2024</v>
      </c>
      <c r="Z961" s="610">
        <f t="shared" si="426"/>
        <v>2025</v>
      </c>
      <c r="AA961" s="343"/>
      <c r="AB961" s="343"/>
      <c r="AC961" s="584"/>
      <c r="AD961" s="343"/>
      <c r="AE961" s="343"/>
      <c r="AF961" s="343"/>
      <c r="AG961" s="343"/>
      <c r="AH961" s="343"/>
      <c r="AI961" s="1328"/>
      <c r="AJ961" s="343"/>
      <c r="AK961" s="343"/>
      <c r="AL961" s="2"/>
    </row>
    <row r="962" spans="1:38" s="534" customFormat="1" ht="12.75" customHeight="1" thickBot="1" x14ac:dyDescent="0.3">
      <c r="A962" s="343"/>
      <c r="B962" s="15"/>
      <c r="C962" s="15"/>
      <c r="D962" s="289" t="s">
        <v>10</v>
      </c>
      <c r="E962" s="1778" t="str">
        <f>Translations!$B$530</f>
        <v>Relevant elförbrukning</v>
      </c>
      <c r="F962" s="1520"/>
      <c r="G962" s="473" t="str">
        <f>EUconst_MWhpa</f>
        <v>MWh / år</v>
      </c>
      <c r="H962" s="474"/>
      <c r="I962" s="997"/>
      <c r="J962" s="669"/>
      <c r="K962" s="1003"/>
      <c r="L962" s="474"/>
      <c r="M962" s="474"/>
      <c r="N962" s="474"/>
      <c r="O962" s="15"/>
      <c r="P962" s="1362"/>
      <c r="Q962" s="165" t="str">
        <f>EUconst_CNTR_HAL&amp;EUconst_CNTR_ELEXCH</f>
        <v>HAL_ELEXCH_</v>
      </c>
      <c r="R962" s="165" t="str">
        <f>EUconst_CNTR_HAL&amp;EUconst_CNTR_ELEXCH &amp; I919</f>
        <v>HAL_ELEXCH_</v>
      </c>
      <c r="S962" s="1888" t="str">
        <f>EUconst_CNTR_AttributedEmissions &amp; I919</f>
        <v>AttrEmissions_</v>
      </c>
      <c r="T962" s="1330" t="str">
        <f t="shared" ref="T962:Z962" si="427">IF(T927,SUM(H962)*EUconst_ElBM,"")</f>
        <v/>
      </c>
      <c r="U962" s="1330" t="str">
        <f t="shared" si="427"/>
        <v/>
      </c>
      <c r="V962" s="1330" t="str">
        <f t="shared" si="427"/>
        <v/>
      </c>
      <c r="W962" s="1330" t="str">
        <f t="shared" si="427"/>
        <v/>
      </c>
      <c r="X962" s="1330" t="str">
        <f t="shared" si="427"/>
        <v/>
      </c>
      <c r="Y962" s="1330" t="str">
        <f t="shared" si="427"/>
        <v/>
      </c>
      <c r="Z962" s="1331" t="str">
        <f t="shared" si="427"/>
        <v/>
      </c>
      <c r="AA962" s="343"/>
      <c r="AB962" s="343"/>
      <c r="AC962" s="1329" t="b">
        <f>AC960</f>
        <v>0</v>
      </c>
      <c r="AD962" s="1330" t="b">
        <f t="shared" ref="AD962:AI962" si="428">AD960</f>
        <v>0</v>
      </c>
      <c r="AE962" s="1330" t="b">
        <f t="shared" si="428"/>
        <v>0</v>
      </c>
      <c r="AF962" s="1330" t="b">
        <f t="shared" si="428"/>
        <v>0</v>
      </c>
      <c r="AG962" s="1330" t="b">
        <f t="shared" si="428"/>
        <v>0</v>
      </c>
      <c r="AH962" s="1330" t="b">
        <f t="shared" si="428"/>
        <v>0</v>
      </c>
      <c r="AI962" s="1331" t="b">
        <f t="shared" si="428"/>
        <v>0</v>
      </c>
      <c r="AJ962" s="553" t="s">
        <v>2248</v>
      </c>
      <c r="AK962" s="663" t="str">
        <f>IF(AND(CNTR_ExistSubInstEntries,COUNTIFS(AC962:AI962,FALSE,H962:N962,"")&gt;0),EUconst_Error&amp;"BM"&amp;$Q919,"")</f>
        <v/>
      </c>
      <c r="AL962" s="2"/>
    </row>
    <row r="963" spans="1:38" s="534" customFormat="1" ht="13.5" customHeight="1" x14ac:dyDescent="0.25">
      <c r="A963" s="343"/>
      <c r="B963" s="15"/>
      <c r="C963" s="15"/>
      <c r="D963" s="289" t="s">
        <v>23</v>
      </c>
      <c r="E963" s="925" t="str">
        <f>Translations!$B$531</f>
        <v>Totala direkta utsläpp</v>
      </c>
      <c r="F963" s="925"/>
      <c r="G963" s="456" t="str">
        <f>EUconst_tCO2pa</f>
        <v>t CO2 / år</v>
      </c>
      <c r="H963" s="457" t="str">
        <f t="shared" ref="H963:N963" si="429">IF(ISNUMBER(H960),H960+SUM(H961)*EUconst_HeatBMvalue,"")</f>
        <v/>
      </c>
      <c r="I963" s="998" t="str">
        <f t="shared" si="429"/>
        <v/>
      </c>
      <c r="J963" s="1007" t="str">
        <f t="shared" si="429"/>
        <v/>
      </c>
      <c r="K963" s="458" t="str">
        <f t="shared" si="429"/>
        <v/>
      </c>
      <c r="L963" s="458" t="str">
        <f t="shared" si="429"/>
        <v/>
      </c>
      <c r="M963" s="457" t="str">
        <f t="shared" si="429"/>
        <v/>
      </c>
      <c r="N963" s="457" t="str">
        <f t="shared" si="429"/>
        <v/>
      </c>
      <c r="O963" s="15"/>
      <c r="P963" s="15"/>
      <c r="Q963" s="343"/>
      <c r="R963" s="343"/>
      <c r="S963" s="2"/>
      <c r="T963" s="2"/>
      <c r="U963" s="343"/>
      <c r="V963" s="343"/>
      <c r="W963" s="343"/>
      <c r="X963" s="343"/>
      <c r="Y963" s="343"/>
      <c r="Z963" s="343"/>
      <c r="AA963" s="343"/>
      <c r="AB963" s="343"/>
      <c r="AC963" s="343"/>
      <c r="AD963" s="343"/>
      <c r="AE963" s="343"/>
      <c r="AF963" s="343"/>
      <c r="AG963" s="343"/>
      <c r="AH963" s="343"/>
      <c r="AI963" s="343"/>
      <c r="AJ963" s="343"/>
      <c r="AK963" s="343"/>
      <c r="AL963" s="2"/>
    </row>
    <row r="964" spans="1:38" s="534" customFormat="1" ht="13.5" customHeight="1" x14ac:dyDescent="0.25">
      <c r="A964" s="343"/>
      <c r="B964" s="15"/>
      <c r="C964" s="15"/>
      <c r="D964" s="289" t="s">
        <v>859</v>
      </c>
      <c r="E964" s="924" t="str">
        <f>Translations!$B$532</f>
        <v>Indirekta utsläpp</v>
      </c>
      <c r="F964" s="924"/>
      <c r="G964" s="461" t="str">
        <f>EUconst_tCO2pa</f>
        <v>t CO2 / år</v>
      </c>
      <c r="H964" s="462" t="str">
        <f t="shared" ref="H964:N964" si="430">IF(ISNUMBER(H962),H962*EUconst_ElBM,"")</f>
        <v/>
      </c>
      <c r="I964" s="999" t="str">
        <f t="shared" si="430"/>
        <v/>
      </c>
      <c r="J964" s="1008" t="str">
        <f t="shared" si="430"/>
        <v/>
      </c>
      <c r="K964" s="463" t="str">
        <f t="shared" si="430"/>
        <v/>
      </c>
      <c r="L964" s="463" t="str">
        <f t="shared" si="430"/>
        <v/>
      </c>
      <c r="M964" s="462" t="str">
        <f t="shared" si="430"/>
        <v/>
      </c>
      <c r="N964" s="462" t="str">
        <f t="shared" si="430"/>
        <v/>
      </c>
      <c r="O964" s="15"/>
      <c r="P964" s="15"/>
      <c r="Q964" s="343"/>
      <c r="R964" s="343"/>
      <c r="S964" s="2"/>
      <c r="T964" s="2"/>
      <c r="U964" s="343"/>
      <c r="V964" s="343"/>
      <c r="W964" s="343"/>
      <c r="X964" s="343"/>
      <c r="Y964" s="343"/>
      <c r="Z964" s="343"/>
      <c r="AA964" s="343"/>
      <c r="AB964" s="343"/>
      <c r="AC964" s="343"/>
      <c r="AD964" s="343"/>
      <c r="AE964" s="343"/>
      <c r="AF964" s="343"/>
      <c r="AG964" s="343"/>
      <c r="AH964" s="343"/>
      <c r="AI964" s="343"/>
      <c r="AJ964" s="343"/>
      <c r="AK964" s="343"/>
      <c r="AL964" s="2"/>
    </row>
    <row r="965" spans="1:38" ht="5.15" customHeight="1" x14ac:dyDescent="0.25">
      <c r="A965" s="2"/>
      <c r="B965" s="178"/>
      <c r="C965" s="178"/>
      <c r="D965" s="178"/>
      <c r="E965" s="178"/>
      <c r="F965" s="178"/>
      <c r="G965" s="178"/>
      <c r="H965" s="178"/>
      <c r="I965" s="178"/>
      <c r="J965" s="1009"/>
      <c r="K965" s="178"/>
      <c r="L965" s="178"/>
      <c r="M965" s="15"/>
      <c r="N965" s="15"/>
      <c r="O965" s="15"/>
      <c r="P965" s="15"/>
      <c r="Q965" s="343"/>
      <c r="R965" s="2"/>
      <c r="S965" s="2"/>
      <c r="T965" s="2"/>
      <c r="U965" s="343"/>
      <c r="V965" s="343"/>
      <c r="W965" s="343"/>
      <c r="X965" s="343"/>
      <c r="Y965" s="343"/>
      <c r="Z965" s="343"/>
      <c r="AA965" s="2"/>
      <c r="AB965" s="2"/>
      <c r="AC965" s="2"/>
      <c r="AD965" s="2"/>
      <c r="AE965" s="2"/>
      <c r="AF965" s="2"/>
      <c r="AG965" s="2"/>
      <c r="AH965" s="2"/>
      <c r="AI965" s="2"/>
      <c r="AJ965" s="2"/>
      <c r="AK965" s="2"/>
      <c r="AL965" s="2"/>
    </row>
    <row r="966" spans="1:38" ht="12.75" customHeight="1" x14ac:dyDescent="0.25">
      <c r="A966" s="2"/>
      <c r="B966" s="178"/>
      <c r="C966" s="178"/>
      <c r="D966" s="289" t="s">
        <v>860</v>
      </c>
      <c r="E966" s="514" t="s">
        <v>1526</v>
      </c>
      <c r="F966" s="929"/>
      <c r="G966" s="930" t="s">
        <v>1112</v>
      </c>
      <c r="H966" s="926" t="str">
        <f t="shared" ref="H966:N966" si="431">IF(COUNT(H963:H964)&gt;0,SUM(H963)/SUM(H963:H964),IF($T955=TRUE,IF(H959&gt;CNTR_ReportingYear,"",1),""))</f>
        <v/>
      </c>
      <c r="I966" s="1000" t="str">
        <f t="shared" si="431"/>
        <v/>
      </c>
      <c r="J966" s="1010" t="str">
        <f t="shared" si="431"/>
        <v/>
      </c>
      <c r="K966" s="1004" t="str">
        <f t="shared" si="431"/>
        <v/>
      </c>
      <c r="L966" s="926" t="str">
        <f t="shared" si="431"/>
        <v/>
      </c>
      <c r="M966" s="926" t="str">
        <f t="shared" si="431"/>
        <v/>
      </c>
      <c r="N966" s="926" t="str">
        <f t="shared" si="431"/>
        <v/>
      </c>
      <c r="O966" s="15"/>
      <c r="P966" s="15"/>
      <c r="Q966" s="165" t="str">
        <f>EUconst_CNTR_ELEXCH &amp; I919</f>
        <v>ELEXCH_</v>
      </c>
      <c r="R966" s="2"/>
      <c r="S966" s="2"/>
      <c r="T966" s="2"/>
      <c r="U966" s="2"/>
      <c r="V966" s="2"/>
      <c r="W966" s="2"/>
      <c r="X966" s="2"/>
      <c r="Y966" s="2"/>
      <c r="Z966" s="2"/>
      <c r="AA966" s="2"/>
      <c r="AB966" s="2"/>
      <c r="AC966" s="2"/>
      <c r="AD966" s="2"/>
      <c r="AE966" s="2"/>
      <c r="AF966" s="2"/>
      <c r="AG966" s="2"/>
      <c r="AH966" s="2"/>
      <c r="AI966" s="2"/>
      <c r="AJ966" s="2"/>
      <c r="AK966" s="2"/>
      <c r="AL966" s="2"/>
    </row>
    <row r="967" spans="1:38" ht="5.15" customHeight="1" x14ac:dyDescent="0.25">
      <c r="A967" s="2"/>
      <c r="B967" s="178"/>
      <c r="C967" s="178"/>
      <c r="D967" s="178"/>
      <c r="E967" s="178"/>
      <c r="F967" s="178"/>
      <c r="G967" s="178"/>
      <c r="H967" s="178"/>
      <c r="I967" s="178"/>
      <c r="J967" s="178"/>
      <c r="K967" s="178"/>
      <c r="L967" s="178"/>
      <c r="M967" s="15"/>
      <c r="N967" s="15"/>
      <c r="O967" s="15"/>
      <c r="P967" s="15"/>
      <c r="Q967" s="343"/>
      <c r="R967" s="2"/>
      <c r="S967" s="2"/>
      <c r="T967" s="2"/>
      <c r="U967" s="2"/>
      <c r="V967" s="2"/>
      <c r="W967" s="2"/>
      <c r="X967" s="2"/>
      <c r="Y967" s="2"/>
      <c r="Z967" s="2"/>
      <c r="AA967" s="2"/>
      <c r="AB967" s="2"/>
      <c r="AC967" s="2"/>
      <c r="AD967" s="2"/>
      <c r="AE967" s="2"/>
      <c r="AF967" s="2"/>
      <c r="AG967" s="2"/>
      <c r="AH967" s="2"/>
      <c r="AI967" s="2"/>
      <c r="AJ967" s="2"/>
      <c r="AK967" s="2"/>
      <c r="AL967" s="2"/>
    </row>
    <row r="968" spans="1:38" ht="25.5" customHeight="1" thickBot="1" x14ac:dyDescent="0.3">
      <c r="A968" s="2"/>
      <c r="B968" s="178"/>
      <c r="C968" s="178"/>
      <c r="D968" s="15"/>
      <c r="E968" s="2061" t="str">
        <f>Translations!$B$1479</f>
        <v>Baserat på uppgifterna ovan bestäms ett genomsnittligt årligt värde. Tilldelningen kommer endast att ändras om det relativa tröskelvärdet (15 % jämfört med värdet från de nationella genomförandeåtgärderna) och det absoluta tröskelvärdet (ändring leder till mer än 100 utsläppsrätter) överskrids, enligt artikel 6.4 i verksamhetsändringsförordningen.</v>
      </c>
      <c r="F968" s="1963"/>
      <c r="G968" s="1963"/>
      <c r="H968" s="1963"/>
      <c r="I968" s="1963"/>
      <c r="J968" s="1963"/>
      <c r="K968" s="1963"/>
      <c r="L968" s="1963"/>
      <c r="M968" s="1963"/>
      <c r="N968" s="1963"/>
      <c r="O968" s="15"/>
      <c r="P968" s="15"/>
      <c r="Q968" s="343"/>
      <c r="R968" s="2"/>
      <c r="S968" s="343"/>
      <c r="T968" s="343"/>
      <c r="U968" s="343"/>
      <c r="V968" s="2"/>
      <c r="W968" s="2"/>
      <c r="X968" s="2"/>
      <c r="Y968" s="2"/>
      <c r="Z968" s="2"/>
      <c r="AA968" s="2"/>
      <c r="AB968" s="2"/>
      <c r="AC968" s="2"/>
      <c r="AD968" s="2"/>
      <c r="AE968" s="2"/>
      <c r="AF968" s="2"/>
      <c r="AG968" s="2"/>
      <c r="AH968" s="2"/>
      <c r="AI968" s="2"/>
      <c r="AJ968" s="2"/>
      <c r="AK968" s="2"/>
      <c r="AL968" s="2"/>
    </row>
    <row r="969" spans="1:38" ht="5.15" customHeight="1" thickBot="1" x14ac:dyDescent="0.3">
      <c r="A969" s="2"/>
      <c r="B969" s="178"/>
      <c r="C969" s="178"/>
      <c r="D969" s="1238"/>
      <c r="E969" s="1266"/>
      <c r="F969" s="1266"/>
      <c r="G969" s="1266"/>
      <c r="H969" s="1266"/>
      <c r="I969" s="1266"/>
      <c r="J969" s="1266"/>
      <c r="K969" s="1266"/>
      <c r="L969" s="1266"/>
      <c r="M969" s="1266"/>
      <c r="N969" s="1267"/>
      <c r="O969" s="15"/>
      <c r="P969" s="15"/>
      <c r="Q969" s="343"/>
      <c r="R969" s="2"/>
      <c r="S969" s="343"/>
      <c r="T969" s="343"/>
      <c r="U969" s="343"/>
      <c r="V969" s="2"/>
      <c r="W969" s="2"/>
      <c r="X969" s="2"/>
      <c r="Y969" s="2"/>
      <c r="Z969" s="2"/>
      <c r="AA969" s="2"/>
      <c r="AB969" s="2"/>
      <c r="AC969" s="2"/>
      <c r="AD969" s="2"/>
      <c r="AE969" s="2"/>
      <c r="AF969" s="2"/>
      <c r="AG969" s="2"/>
      <c r="AH969" s="2"/>
      <c r="AI969" s="2"/>
      <c r="AJ969" s="2"/>
      <c r="AK969" s="2"/>
      <c r="AL969" s="2"/>
    </row>
    <row r="970" spans="1:38" ht="12.75" customHeight="1" x14ac:dyDescent="0.25">
      <c r="A970" s="2"/>
      <c r="B970" s="178"/>
      <c r="C970" s="178"/>
      <c r="D970" s="1290" t="s">
        <v>2191</v>
      </c>
      <c r="E970" s="1243" t="str">
        <f>Translations!$B$1480</f>
        <v>Justeringar: Elutbyte</v>
      </c>
      <c r="F970" s="1244"/>
      <c r="G970" s="1244"/>
      <c r="H970" s="1228" t="str">
        <f>EUconst_Unit</f>
        <v>Enhet</v>
      </c>
      <c r="I970" s="1229" t="str">
        <f>Translations!$B$1481</f>
        <v>Värde (NIMs)</v>
      </c>
      <c r="J970" s="1268">
        <f>J$3042</f>
        <v>2021</v>
      </c>
      <c r="K970" s="1230">
        <f>K$3042</f>
        <v>2022</v>
      </c>
      <c r="L970" s="1230">
        <f>L$3042</f>
        <v>2023</v>
      </c>
      <c r="M970" s="1230">
        <f>M$3042</f>
        <v>2024</v>
      </c>
      <c r="N970" s="1258">
        <f>N$3042</f>
        <v>2025</v>
      </c>
      <c r="O970" s="15"/>
      <c r="P970" s="15"/>
      <c r="Q970" s="343"/>
      <c r="R970" s="2"/>
      <c r="S970" s="2"/>
      <c r="T970" s="2"/>
      <c r="U970" s="772"/>
      <c r="V970" s="1077">
        <f>J970</f>
        <v>2021</v>
      </c>
      <c r="W970" s="1077">
        <f>K970</f>
        <v>2022</v>
      </c>
      <c r="X970" s="1077">
        <f>L970</f>
        <v>2023</v>
      </c>
      <c r="Y970" s="1077">
        <f>M970</f>
        <v>2024</v>
      </c>
      <c r="Z970" s="1078">
        <f>N970</f>
        <v>2025</v>
      </c>
      <c r="AA970" s="2"/>
      <c r="AB970" s="2"/>
      <c r="AC970" s="2"/>
      <c r="AD970" s="2"/>
      <c r="AE970" s="2"/>
      <c r="AF970" s="2"/>
      <c r="AG970" s="2"/>
      <c r="AH970" s="2"/>
      <c r="AI970" s="2"/>
      <c r="AJ970" s="2"/>
      <c r="AK970" s="2"/>
      <c r="AL970" s="343"/>
    </row>
    <row r="971" spans="1:38" ht="12.75" customHeight="1" x14ac:dyDescent="0.25">
      <c r="A971" s="2"/>
      <c r="B971" s="178"/>
      <c r="C971" s="178"/>
      <c r="D971" s="1246" t="s">
        <v>8</v>
      </c>
      <c r="E971" s="1231" t="str">
        <f>Translations!$B$1482</f>
        <v>Genomsnittligt årligt värde</v>
      </c>
      <c r="F971" s="1231"/>
      <c r="G971" s="1231"/>
      <c r="H971" s="1232" t="str">
        <f>G966</f>
        <v>-</v>
      </c>
      <c r="I971" s="1011" t="str">
        <f>IF($T955&lt;&gt;TRUE,"",INDEX('B+C_SubInstallations'!$L:$L,MATCH(Q971,'B+C_SubInstallations'!$W:$W,0)))</f>
        <v/>
      </c>
      <c r="J971" s="1012" t="str">
        <f>IF($T955&lt;&gt;TRUE,"",IF(AND(V971&gt;=3,CNTR_ReportingYear&gt;J970-1),AVERAGE(SUM(H966),SUM(I966)),""))</f>
        <v/>
      </c>
      <c r="K971" s="927" t="str">
        <f>IF($T955&lt;&gt;TRUE,"",IF(AND(W971&gt;=3,CNTR_ReportingYear&gt;K970-1),AVERAGE(SUM(I966),SUM(J966)),""))</f>
        <v/>
      </c>
      <c r="L971" s="927" t="str">
        <f>IF($T955&lt;&gt;TRUE,"",IF(AND(X971&gt;=3,CNTR_ReportingYear&gt;L970-1),AVERAGE(SUM(J966),SUM(K966)),""))</f>
        <v/>
      </c>
      <c r="M971" s="927" t="str">
        <f>IF($T955&lt;&gt;TRUE,"",IF(AND(Y971&gt;=3,CNTR_ReportingYear&gt;M970-1),AVERAGE(SUM(K966),SUM(L966)),""))</f>
        <v/>
      </c>
      <c r="N971" s="1222" t="str">
        <f>IF($T955&lt;&gt;TRUE,"",IF(AND(Z971&gt;=3,CNTR_ReportingYear&gt;N970-1),AVERAGE(SUM(L966),SUM(M966)),""))</f>
        <v/>
      </c>
      <c r="O971" s="15"/>
      <c r="P971" s="15"/>
      <c r="Q971" s="165" t="str">
        <f>EUconst_CNTR_HAL &amp; EUconst_CNTR_ELEXCHInitial &amp; I919</f>
        <v>HAL_ELEXCHIni_</v>
      </c>
      <c r="R971" s="2"/>
      <c r="S971" s="2"/>
      <c r="T971" s="2"/>
      <c r="U971" s="1079" t="s">
        <v>1850</v>
      </c>
      <c r="V971" s="663">
        <f>V941</f>
        <v>0</v>
      </c>
      <c r="W971" s="663">
        <f>W941</f>
        <v>0</v>
      </c>
      <c r="X971" s="663">
        <f>X941</f>
        <v>0</v>
      </c>
      <c r="Y971" s="663">
        <f>Y941</f>
        <v>0</v>
      </c>
      <c r="Z971" s="1080">
        <f>Z941</f>
        <v>0</v>
      </c>
      <c r="AA971" s="2"/>
      <c r="AB971" s="2"/>
      <c r="AC971" s="2"/>
      <c r="AD971" s="2"/>
      <c r="AE971" s="2"/>
      <c r="AF971" s="2"/>
      <c r="AG971" s="2"/>
      <c r="AH971" s="2"/>
      <c r="AI971" s="2"/>
      <c r="AJ971" s="2"/>
      <c r="AK971" s="2"/>
      <c r="AL971" s="343"/>
    </row>
    <row r="972" spans="1:38" ht="12.75" hidden="1" customHeight="1" x14ac:dyDescent="0.25">
      <c r="A972" s="343" t="s">
        <v>346</v>
      </c>
      <c r="B972" s="178"/>
      <c r="C972" s="178"/>
      <c r="D972" s="1246"/>
      <c r="E972" s="1231" t="s">
        <v>1980</v>
      </c>
      <c r="F972" s="1231"/>
      <c r="G972" s="1231"/>
      <c r="H972" s="1233"/>
      <c r="I972" s="1235"/>
      <c r="J972" s="1013" t="str">
        <f>IF(J971="","",IF($I974=0,IF(J971=0,0%,100%),J971/$I974-1))</f>
        <v/>
      </c>
      <c r="K972" s="938" t="str">
        <f>IF(K971="","",IF($I974=0,IF(K971=0,0%,100%),K971/$I974-1))</f>
        <v/>
      </c>
      <c r="L972" s="938" t="str">
        <f>IF(L971="","",IF($I974=0,IF(L971=0,0%,100%),L971/$I974-1))</f>
        <v/>
      </c>
      <c r="M972" s="938" t="str">
        <f>IF(M971="","",IF($I974=0,IF(M971=0,0%,100%),M971/$I974-1))</f>
        <v/>
      </c>
      <c r="N972" s="1223" t="str">
        <f>IF(N971="","",IF($I974=0,IF(N971=0,0%,100%),N971/$I974-1))</f>
        <v/>
      </c>
      <c r="O972" s="15"/>
      <c r="P972" s="15"/>
      <c r="Q972" s="165" t="str">
        <f>EUconst_CNTR_RelThreshold &amp; Q974</f>
        <v>RelThresh_HALprelim_ELEXCH_</v>
      </c>
      <c r="R972" s="2"/>
      <c r="S972" s="2"/>
      <c r="T972" s="2"/>
      <c r="U972" s="1079" t="s">
        <v>1855</v>
      </c>
      <c r="V972" s="603" t="str">
        <f>IF(J971="","",ABS(J972)&gt;15%)</f>
        <v/>
      </c>
      <c r="W972" s="603" t="str">
        <f>IF(K971="","",ABS(K972)&gt;15%)</f>
        <v/>
      </c>
      <c r="X972" s="603" t="str">
        <f>IF(L971="","",ABS(L972)&gt;15%)</f>
        <v/>
      </c>
      <c r="Y972" s="603" t="str">
        <f>IF(M971="","",ABS(M972)&gt;15%)</f>
        <v/>
      </c>
      <c r="Z972" s="1756" t="str">
        <f>IF(N971="","",ABS(N972)&gt;15%)</f>
        <v/>
      </c>
      <c r="AA972" s="2"/>
      <c r="AB972" s="2"/>
      <c r="AC972" s="2"/>
      <c r="AD972" s="2"/>
      <c r="AE972" s="2"/>
      <c r="AF972" s="2"/>
      <c r="AG972" s="2"/>
      <c r="AH972" s="2"/>
      <c r="AI972" s="2"/>
      <c r="AJ972" s="2"/>
      <c r="AK972" s="2"/>
      <c r="AL972" s="343"/>
    </row>
    <row r="973" spans="1:38" ht="12.75" customHeight="1" x14ac:dyDescent="0.25">
      <c r="A973" s="343"/>
      <c r="B973" s="178"/>
      <c r="C973" s="178"/>
      <c r="D973" s="1246" t="s">
        <v>9</v>
      </c>
      <c r="E973" s="1231" t="str">
        <f>Translations!$B$1474</f>
        <v>Preliminär justering (om relativa tröskelvärden överskrids)</v>
      </c>
      <c r="F973" s="1231"/>
      <c r="G973" s="1231"/>
      <c r="H973" s="1233"/>
      <c r="I973" s="1235"/>
      <c r="J973" s="992" t="str">
        <f>IF(J971="","",IF(V972=FALSE,0%,J972))</f>
        <v/>
      </c>
      <c r="K973" s="937" t="str">
        <f>IF(K971="","",IF(W972=FALSE,0%,K972))</f>
        <v/>
      </c>
      <c r="L973" s="937" t="str">
        <f>IF(L971="","",IF(X972=FALSE,0%,L972))</f>
        <v/>
      </c>
      <c r="M973" s="937" t="str">
        <f>IF(M971="","",IF(Y972=FALSE,0%,M972))</f>
        <v/>
      </c>
      <c r="N973" s="1220" t="str">
        <f>IF(N971="","",IF(Z972=FALSE,0%,N972))</f>
        <v/>
      </c>
      <c r="O973" s="15"/>
      <c r="P973" s="15"/>
      <c r="Q973" s="343"/>
      <c r="R973" s="2"/>
      <c r="S973" s="2"/>
      <c r="T973" s="2"/>
      <c r="U973" s="1081"/>
      <c r="V973" s="2"/>
      <c r="W973" s="2"/>
      <c r="X973" s="2"/>
      <c r="Y973" s="2"/>
      <c r="Z973" s="228"/>
      <c r="AA973" s="2"/>
      <c r="AB973" s="2"/>
      <c r="AC973" s="2"/>
      <c r="AD973" s="2"/>
      <c r="AE973" s="2"/>
      <c r="AF973" s="2"/>
      <c r="AG973" s="2"/>
      <c r="AH973" s="2"/>
      <c r="AI973" s="2"/>
      <c r="AJ973" s="2"/>
      <c r="AK973" s="2"/>
      <c r="AL973" s="343"/>
    </row>
    <row r="974" spans="1:38" ht="12.75" hidden="1" customHeight="1" x14ac:dyDescent="0.25">
      <c r="A974" s="343" t="s">
        <v>346</v>
      </c>
      <c r="B974" s="178"/>
      <c r="C974" s="178"/>
      <c r="D974" s="1246"/>
      <c r="E974" s="1231" t="s">
        <v>1889</v>
      </c>
      <c r="F974" s="1231"/>
      <c r="G974" s="1231"/>
      <c r="H974" s="1232" t="str">
        <f>H971</f>
        <v>-</v>
      </c>
      <c r="I974" s="1011" t="str">
        <f>IF($T955&lt;&gt;TRUE,"",IF(AB919=FALSE,EUconst_NA,IF(V919&gt;($J$3042-3),INDEX(H966:N966,MATCH(V919,H959:N959,0)),SUM(I971))))</f>
        <v/>
      </c>
      <c r="J974" s="1014" t="str">
        <f>IF(OR($I919="",$T955=FALSE),"",IF(V971&lt;2,SUM(J966),IF(V971&lt;3,SUM(I966),IF(V974="",I974,V974))))</f>
        <v/>
      </c>
      <c r="K974" s="928" t="str">
        <f>IF(OR($I919="",$T955=FALSE),"",IF(W971&lt;2,SUM(K966),IF(W971&lt;3,SUM(J966),IF(W974="",J974,W974))))</f>
        <v/>
      </c>
      <c r="L974" s="928" t="str">
        <f>IF(OR($I919="",$T955=FALSE),"",IF(X971&lt;2,SUM(L966),IF(X971&lt;3,SUM(K966),IF(X974="",K974,X974))))</f>
        <v/>
      </c>
      <c r="M974" s="928" t="str">
        <f>IF(OR($I919="",$T955=FALSE),"",IF(Y971&lt;2,SUM(M966),IF(Y971&lt;3,SUM(L966),IF(Y974="",L974,Y974))))</f>
        <v/>
      </c>
      <c r="N974" s="1224" t="str">
        <f>IF(OR($I919="",$T955=FALSE),"",IF(Z971&lt;2,SUM(N966),IF(Z971&lt;3,SUM(M966),IF(Z974="",M974,Z974))))</f>
        <v/>
      </c>
      <c r="O974" s="15"/>
      <c r="P974" s="15"/>
      <c r="Q974" s="165" t="str">
        <f>EUconst_CNTR_HALprelim&amp;EUconst_CNTR_ELEXCH &amp; I919</f>
        <v>HALprelim_ELEXCH_</v>
      </c>
      <c r="R974" s="2"/>
      <c r="S974" s="2"/>
      <c r="T974" s="2"/>
      <c r="U974" s="1079" t="s">
        <v>1898</v>
      </c>
      <c r="V974" s="1753" t="str">
        <f>IF(J971="","",IF(CNTR_ReportingYear&lt;J970,I973,IF($I974=0,J971,$I974*(1+J973))))</f>
        <v/>
      </c>
      <c r="W974" s="1753" t="str">
        <f>IF(K971="","",IF(CNTR_ReportingYear&lt;K970,J973,IF($I974=0,K971,$I974*(1+K973))))</f>
        <v/>
      </c>
      <c r="X974" s="1753" t="str">
        <f>IF(L971="","",IF(CNTR_ReportingYear&lt;L970,K973,IF($I974=0,L971,$I974*(1+L973))))</f>
        <v/>
      </c>
      <c r="Y974" s="1753" t="str">
        <f>IF(M971="","",IF(CNTR_ReportingYear&lt;M970,L973,IF($I974=0,M971,$I974*(1+M973))))</f>
        <v/>
      </c>
      <c r="Z974" s="1760" t="str">
        <f>IF(N971="","",IF(CNTR_ReportingYear&lt;N970,M973,IF($I974=0,N971,$I974*(1+N973))))</f>
        <v/>
      </c>
      <c r="AA974" s="2"/>
      <c r="AB974" s="2"/>
      <c r="AC974" s="2"/>
      <c r="AD974" s="2"/>
      <c r="AE974" s="2"/>
      <c r="AF974" s="2"/>
      <c r="AG974" s="2"/>
      <c r="AH974" s="2"/>
      <c r="AI974" s="2"/>
      <c r="AJ974" s="2"/>
      <c r="AK974" s="2"/>
      <c r="AL974" s="343"/>
    </row>
    <row r="975" spans="1:38" ht="5.15" customHeight="1" x14ac:dyDescent="0.25">
      <c r="A975" s="343"/>
      <c r="B975" s="178"/>
      <c r="C975" s="178"/>
      <c r="D975" s="1246"/>
      <c r="E975" s="1244"/>
      <c r="F975" s="1244"/>
      <c r="G975" s="1244"/>
      <c r="H975" s="1244"/>
      <c r="I975" s="1244"/>
      <c r="J975" s="1236"/>
      <c r="K975" s="1236"/>
      <c r="L975" s="1236"/>
      <c r="M975" s="1236"/>
      <c r="N975" s="1247"/>
      <c r="O975" s="15"/>
      <c r="P975" s="15"/>
      <c r="Q975" s="343"/>
      <c r="R975" s="2"/>
      <c r="S975" s="2"/>
      <c r="T975" s="2"/>
      <c r="U975" s="1086"/>
      <c r="V975" s="343"/>
      <c r="W975" s="2"/>
      <c r="X975" s="2"/>
      <c r="Y975" s="2"/>
      <c r="Z975" s="228"/>
      <c r="AA975" s="2"/>
      <c r="AB975" s="2"/>
      <c r="AC975" s="2"/>
      <c r="AD975" s="2"/>
      <c r="AE975" s="2"/>
      <c r="AF975" s="2"/>
      <c r="AG975" s="2"/>
      <c r="AH975" s="2"/>
      <c r="AI975" s="2"/>
      <c r="AJ975" s="2"/>
      <c r="AK975" s="2"/>
      <c r="AL975" s="343"/>
    </row>
    <row r="976" spans="1:38" ht="12.75" customHeight="1" x14ac:dyDescent="0.25">
      <c r="A976" s="343"/>
      <c r="B976" s="178"/>
      <c r="C976" s="178"/>
      <c r="D976" s="1246"/>
      <c r="E976" s="1234" t="str">
        <f>Translations!$B$1475</f>
        <v>Faktisk justering (grund för följande år)</v>
      </c>
      <c r="F976" s="1234"/>
      <c r="G976" s="1234"/>
      <c r="H976" s="1234"/>
      <c r="I976" s="1234"/>
      <c r="J976" s="1268">
        <f>J$3042</f>
        <v>2021</v>
      </c>
      <c r="K976" s="1230">
        <f>K$3042</f>
        <v>2022</v>
      </c>
      <c r="L976" s="1230">
        <f>L$3042</f>
        <v>2023</v>
      </c>
      <c r="M976" s="1230">
        <f>M$3042</f>
        <v>2024</v>
      </c>
      <c r="N976" s="1258">
        <f>N$3042</f>
        <v>2025</v>
      </c>
      <c r="O976" s="15"/>
      <c r="P976" s="15"/>
      <c r="Q976" s="343"/>
      <c r="R976" s="2"/>
      <c r="S976" s="2"/>
      <c r="T976" s="2"/>
      <c r="U976" s="584"/>
      <c r="V976" s="2"/>
      <c r="W976" s="2"/>
      <c r="X976" s="2"/>
      <c r="Y976" s="2"/>
      <c r="Z976" s="228"/>
      <c r="AA976" s="2"/>
      <c r="AB976" s="2"/>
      <c r="AC976" s="2"/>
      <c r="AD976" s="2"/>
      <c r="AE976" s="2"/>
      <c r="AF976" s="2"/>
      <c r="AG976" s="2"/>
      <c r="AH976" s="2"/>
      <c r="AI976" s="2"/>
      <c r="AJ976" s="2"/>
      <c r="AK976" s="2"/>
      <c r="AL976" s="343"/>
    </row>
    <row r="977" spans="1:38" ht="12.75" customHeight="1" x14ac:dyDescent="0.25">
      <c r="A977" s="343"/>
      <c r="B977" s="178"/>
      <c r="C977" s="178"/>
      <c r="D977" s="1246" t="s">
        <v>10</v>
      </c>
      <c r="E977" s="1231" t="str">
        <f>Translations!$B$1476</f>
        <v>&gt;= 100 utsläppsrätter kriterium uppnått?</v>
      </c>
      <c r="F977" s="1231"/>
      <c r="G977" s="1231"/>
      <c r="H977" s="1231"/>
      <c r="I977" s="1231"/>
      <c r="J977" s="994" t="str">
        <f>IF(OR($I919="",$T955=FALSE),"",INDEX(K_Summary!J:J,MATCH($Q977,K_Summary!$P:$P,0)))</f>
        <v/>
      </c>
      <c r="K977" s="912" t="str">
        <f>IF(OR($I919="",$T955=FALSE),"",INDEX(K_Summary!K:K,MATCH($Q977,K_Summary!$P:$P,0)))</f>
        <v/>
      </c>
      <c r="L977" s="912" t="str">
        <f>IF(OR($I919="",$T955=FALSE),"",INDEX(K_Summary!L:L,MATCH($Q977,K_Summary!$P:$P,0)))</f>
        <v/>
      </c>
      <c r="M977" s="912" t="str">
        <f>IF(OR($I919="",$T955=FALSE),"",INDEX(K_Summary!M:M,MATCH($Q977,K_Summary!$P:$P,0)))</f>
        <v/>
      </c>
      <c r="N977" s="1221" t="str">
        <f>IF(OR($I919="",$T955=FALSE),"",INDEX(K_Summary!N:N,MATCH($Q977,K_Summary!$P:$P,0)))</f>
        <v/>
      </c>
      <c r="O977" s="15"/>
      <c r="P977" s="15"/>
      <c r="Q977" s="165" t="str">
        <f>EUconst_CNTR_100EUA_ElExch&amp;I919</f>
        <v>EUA100ElExch_</v>
      </c>
      <c r="R977" s="2"/>
      <c r="S977" s="2"/>
      <c r="T977" s="2"/>
      <c r="U977" s="584"/>
      <c r="V977" s="2"/>
      <c r="W977" s="2"/>
      <c r="X977" s="2"/>
      <c r="Y977" s="2"/>
      <c r="Z977" s="228"/>
      <c r="AA977" s="2"/>
      <c r="AB977" s="2"/>
      <c r="AC977" s="2"/>
      <c r="AD977" s="2"/>
      <c r="AE977" s="2"/>
      <c r="AF977" s="2"/>
      <c r="AG977" s="2"/>
      <c r="AH977" s="2"/>
      <c r="AI977" s="2"/>
      <c r="AJ977" s="2"/>
      <c r="AK977" s="2"/>
      <c r="AL977" s="343"/>
    </row>
    <row r="978" spans="1:38" ht="5.15" customHeight="1" thickBot="1" x14ac:dyDescent="0.3">
      <c r="A978" s="343"/>
      <c r="B978" s="178"/>
      <c r="C978" s="178"/>
      <c r="D978" s="1246"/>
      <c r="E978" s="1244"/>
      <c r="F978" s="1244"/>
      <c r="G978" s="1244"/>
      <c r="H978" s="1244"/>
      <c r="I978" s="1244"/>
      <c r="J978" s="1244"/>
      <c r="K978" s="1244"/>
      <c r="L978" s="1244"/>
      <c r="M978" s="1244"/>
      <c r="N978" s="1248"/>
      <c r="O978" s="15"/>
      <c r="P978" s="15"/>
      <c r="Q978" s="343"/>
      <c r="R978" s="2"/>
      <c r="S978" s="2"/>
      <c r="T978" s="2"/>
      <c r="U978" s="1086"/>
      <c r="V978" s="343"/>
      <c r="W978" s="2"/>
      <c r="X978" s="2"/>
      <c r="Y978" s="2"/>
      <c r="Z978" s="228"/>
      <c r="AA978" s="2"/>
      <c r="AB978" s="2"/>
      <c r="AC978" s="2"/>
      <c r="AD978" s="2"/>
      <c r="AE978" s="2"/>
      <c r="AF978" s="2"/>
      <c r="AG978" s="2"/>
      <c r="AH978" s="2"/>
      <c r="AI978" s="2"/>
      <c r="AJ978" s="2"/>
      <c r="AK978" s="2"/>
      <c r="AL978" s="343"/>
    </row>
    <row r="979" spans="1:38" ht="12.75" customHeight="1" thickBot="1" x14ac:dyDescent="0.3">
      <c r="A979" s="2"/>
      <c r="B979" s="178"/>
      <c r="C979" s="178"/>
      <c r="D979" s="1246" t="s">
        <v>23</v>
      </c>
      <c r="E979" s="1231" t="str">
        <f>Translations!$B$1477</f>
        <v>Faktisk justering (om alla tröskelvärden överskrids)</v>
      </c>
      <c r="F979" s="1231"/>
      <c r="G979" s="1231"/>
      <c r="H979" s="1233"/>
      <c r="I979" s="1237"/>
      <c r="J979" s="1099" t="str">
        <f>IF(J977="","",IF(OR(J977,V971&lt;1),J973,I979))</f>
        <v/>
      </c>
      <c r="K979" s="1100" t="str">
        <f>IF(K977="","",IF(OR(K977,W971&lt;1),K973,J979))</f>
        <v/>
      </c>
      <c r="L979" s="1100" t="str">
        <f>IF(L977="","",IF(OR(L977,X971&lt;1),L973,K979))</f>
        <v/>
      </c>
      <c r="M979" s="1100" t="str">
        <f>IF(M977="","",IF(OR(M977,Y971&lt;1),M973,L979))</f>
        <v/>
      </c>
      <c r="N979" s="1101" t="str">
        <f>IF(N977="","",IF(OR(N977,Z971&lt;1),N973,M979))</f>
        <v/>
      </c>
      <c r="O979" s="15"/>
      <c r="P979" s="15"/>
      <c r="Q979" s="343"/>
      <c r="R979" s="2"/>
      <c r="S979" s="2"/>
      <c r="T979" s="2"/>
      <c r="U979" s="1086" t="s">
        <v>1858</v>
      </c>
      <c r="V979" s="1068">
        <f>J976</f>
        <v>2021</v>
      </c>
      <c r="W979" s="1068">
        <f>K976</f>
        <v>2022</v>
      </c>
      <c r="X979" s="1068">
        <f>L976</f>
        <v>2023</v>
      </c>
      <c r="Y979" s="1068">
        <f>M976</f>
        <v>2024</v>
      </c>
      <c r="Z979" s="1087">
        <f>N976</f>
        <v>2025</v>
      </c>
      <c r="AA979" s="2"/>
      <c r="AB979" s="2"/>
      <c r="AC979" s="2"/>
      <c r="AD979" s="2"/>
      <c r="AE979" s="2"/>
      <c r="AF979" s="2"/>
      <c r="AG979" s="2"/>
      <c r="AH979" s="2"/>
      <c r="AI979" s="2"/>
      <c r="AJ979" s="2"/>
      <c r="AK979" s="2"/>
      <c r="AL979" s="343"/>
    </row>
    <row r="980" spans="1:38" ht="12.75" customHeight="1" thickBot="1" x14ac:dyDescent="0.3">
      <c r="A980" s="343"/>
      <c r="B980" s="178"/>
      <c r="C980" s="178"/>
      <c r="D980" s="1246" t="s">
        <v>859</v>
      </c>
      <c r="E980" s="1231" t="str">
        <f>Translations!$B$1478</f>
        <v>Faktiskt värde</v>
      </c>
      <c r="F980" s="1231"/>
      <c r="G980" s="1231"/>
      <c r="H980" s="1232" t="str">
        <f>H971</f>
        <v>-</v>
      </c>
      <c r="I980" s="1011" t="str">
        <f>I974</f>
        <v/>
      </c>
      <c r="J980" s="1069" t="str">
        <f>IF(OR($I919="",$T955=FALSE),"",IF(OR($I980=0,$I980=EUconst_NA,J979="",J976&lt;=$V919),J974,$I980*(1+SUM(J979))))</f>
        <v/>
      </c>
      <c r="K980" s="1070" t="str">
        <f>IF(OR($I919="",$T955=FALSE),"",IF(OR($I980=0,$I980=EUconst_NA,K979="",K976&lt;=$V919),K974,$I980*(1+SUM(K979))))</f>
        <v/>
      </c>
      <c r="L980" s="1070" t="str">
        <f>IF(OR($I919="",$T955=FALSE),"",IF(OR($I980=0,$I980=EUconst_NA,L979="",L976&lt;=$V919),L974,$I980*(1+SUM(L979))))</f>
        <v/>
      </c>
      <c r="M980" s="1070" t="str">
        <f>IF(OR($I919="",$T955=FALSE),"",IF(OR($I980=0,$I980=EUconst_NA,M979="",M976&lt;=$V919),M974,$I980*(1+SUM(M979))))</f>
        <v/>
      </c>
      <c r="N980" s="1071" t="str">
        <f>IF(OR($I919="",$T955=FALSE),"",IF(OR($I980=0,$I980=EUconst_NA,N979="",N976&lt;=$V919),N974,$I980*(1+SUM(N979))))</f>
        <v/>
      </c>
      <c r="O980" s="15"/>
      <c r="P980" s="15"/>
      <c r="Q980" s="165" t="str">
        <f>EUconst_CNTR_HALfinal&amp;EUconst_CNTR_ELEXCH &amp; I919</f>
        <v>HALfinal_ELEXCH_</v>
      </c>
      <c r="R980" s="2"/>
      <c r="S980" s="2"/>
      <c r="T980" s="2"/>
      <c r="U980" s="1765" t="b">
        <v>0</v>
      </c>
      <c r="V980" s="1757" t="str">
        <f>IF(V927,IF(J977=TRUE,V972,U980),"")</f>
        <v/>
      </c>
      <c r="W980" s="1757" t="str">
        <f>IF(W927,IF(K977=TRUE,W972,V980),"")</f>
        <v/>
      </c>
      <c r="X980" s="1757" t="str">
        <f>IF(X927,IF(L977=TRUE,X972,W980),"")</f>
        <v/>
      </c>
      <c r="Y980" s="1757" t="str">
        <f>IF(Y927,IF(M977=TRUE,Y972,X980),"")</f>
        <v/>
      </c>
      <c r="Z980" s="1758" t="str">
        <f>IF(Z927,IF(N977=TRUE,Z972,Y980),"")</f>
        <v/>
      </c>
      <c r="AA980" s="2"/>
      <c r="AB980" s="2"/>
      <c r="AC980" s="2"/>
      <c r="AD980" s="2"/>
      <c r="AE980" s="2"/>
      <c r="AF980" s="2"/>
      <c r="AG980" s="2"/>
      <c r="AH980" s="2"/>
      <c r="AI980" s="2"/>
      <c r="AJ980" s="553" t="s">
        <v>2242</v>
      </c>
      <c r="AK980" s="108" t="str">
        <f>IF(OR(ISERROR(J980),ISERROR(K980),ISERROR(L980),ISERROR(M980),ISERROR(N980)),EUconst_Error &amp; "BM" &amp; Q919,"")</f>
        <v/>
      </c>
      <c r="AL980" s="343"/>
    </row>
    <row r="981" spans="1:38" ht="5.15" customHeight="1" thickBot="1" x14ac:dyDescent="0.3">
      <c r="A981" s="2"/>
      <c r="B981" s="178"/>
      <c r="C981" s="178"/>
      <c r="D981" s="1269"/>
      <c r="E981" s="1270"/>
      <c r="F981" s="1270"/>
      <c r="G981" s="1270"/>
      <c r="H981" s="1270"/>
      <c r="I981" s="1270"/>
      <c r="J981" s="1270"/>
      <c r="K981" s="1270"/>
      <c r="L981" s="1270"/>
      <c r="M981" s="1272"/>
      <c r="N981" s="1273"/>
      <c r="O981" s="15"/>
      <c r="P981" s="15"/>
      <c r="Q981" s="343"/>
      <c r="R981" s="2"/>
      <c r="S981" s="2"/>
      <c r="T981" s="2"/>
      <c r="U981" s="2"/>
      <c r="V981" s="2"/>
      <c r="W981" s="2"/>
      <c r="X981" s="2"/>
      <c r="Y981" s="2"/>
      <c r="Z981" s="2"/>
      <c r="AA981" s="2"/>
      <c r="AB981" s="2"/>
      <c r="AC981" s="2"/>
      <c r="AD981" s="2"/>
      <c r="AE981" s="2"/>
      <c r="AF981" s="2"/>
      <c r="AG981" s="2"/>
      <c r="AH981" s="2"/>
      <c r="AI981" s="2"/>
      <c r="AJ981" s="2"/>
      <c r="AK981" s="2"/>
      <c r="AL981" s="2"/>
    </row>
    <row r="982" spans="1:38" ht="5.15" customHeight="1" x14ac:dyDescent="0.25">
      <c r="A982" s="2"/>
      <c r="B982" s="178"/>
      <c r="C982" s="178"/>
      <c r="D982" s="178"/>
      <c r="E982" s="178"/>
      <c r="F982" s="178"/>
      <c r="G982" s="178"/>
      <c r="H982" s="178"/>
      <c r="I982" s="178"/>
      <c r="J982" s="178"/>
      <c r="K982" s="178"/>
      <c r="L982" s="178"/>
      <c r="M982" s="15"/>
      <c r="N982" s="15"/>
      <c r="O982" s="15"/>
      <c r="P982" s="15"/>
      <c r="Q982" s="343"/>
      <c r="R982" s="2"/>
      <c r="S982" s="2"/>
      <c r="T982" s="2"/>
      <c r="U982" s="2"/>
      <c r="V982" s="2"/>
      <c r="W982" s="2"/>
      <c r="X982" s="2"/>
      <c r="Y982" s="2"/>
      <c r="Z982" s="2"/>
      <c r="AA982" s="2"/>
      <c r="AB982" s="2"/>
      <c r="AC982" s="2"/>
      <c r="AD982" s="2"/>
      <c r="AE982" s="2"/>
      <c r="AF982" s="2"/>
      <c r="AG982" s="2"/>
      <c r="AH982" s="2"/>
      <c r="AI982" s="2"/>
      <c r="AJ982" s="2"/>
      <c r="AK982" s="2"/>
      <c r="AL982" s="2"/>
    </row>
    <row r="983" spans="1:38" ht="12.75" customHeight="1" x14ac:dyDescent="0.25">
      <c r="A983" s="2"/>
      <c r="B983" s="178"/>
      <c r="C983" s="178"/>
      <c r="D983" s="13" t="s">
        <v>960</v>
      </c>
      <c r="E983" s="1943" t="str">
        <f>Translations!$B$533</f>
        <v>Värme som importeras från anläggningar eller enheter utanför ETS:</v>
      </c>
      <c r="F983" s="1943"/>
      <c r="G983" s="1943"/>
      <c r="H983" s="1943"/>
      <c r="I983" s="2067"/>
      <c r="J983" s="2652" t="str">
        <f>IF(I919="","",HYPERLINK(R983,EUconst_MsgGoOnIfNotRelevant))</f>
        <v/>
      </c>
      <c r="K983" s="2653"/>
      <c r="L983" s="2653"/>
      <c r="M983" s="2653"/>
      <c r="N983" s="2654"/>
      <c r="O983" s="15"/>
      <c r="P983" s="15"/>
      <c r="Q983" s="2" t="s">
        <v>484</v>
      </c>
      <c r="R983" s="294" t="str">
        <f>"#"&amp;ADDRESS(ROW(D1008),COLUMN(D1008))</f>
        <v>#$D$1008</v>
      </c>
      <c r="S983" s="2"/>
      <c r="T983" s="2"/>
      <c r="U983" s="2"/>
      <c r="V983" s="2"/>
      <c r="W983" s="2"/>
      <c r="X983" s="2"/>
      <c r="Y983" s="2"/>
      <c r="Z983" s="2"/>
      <c r="AA983" s="2"/>
      <c r="AB983" s="2"/>
      <c r="AC983" s="2"/>
      <c r="AD983" s="2"/>
      <c r="AE983" s="2"/>
      <c r="AF983" s="2"/>
      <c r="AG983" s="2"/>
      <c r="AH983" s="2"/>
      <c r="AI983" s="2"/>
      <c r="AJ983" s="2"/>
      <c r="AK983" s="2"/>
      <c r="AL983" s="2"/>
    </row>
    <row r="984" spans="1:38" ht="12.75" customHeight="1" x14ac:dyDescent="0.25">
      <c r="A984" s="2"/>
      <c r="B984" s="178"/>
      <c r="C984" s="178"/>
      <c r="D984" s="15"/>
      <c r="E984" s="2061" t="str">
        <f>Translations!$B$534</f>
        <v>Enligt artikel 21 i FAR måste en utsläppsmängd dras av från det preliminära årsantalet utsläppsrätter från delanläggningar med produktriktmärke.</v>
      </c>
      <c r="F984" s="1963"/>
      <c r="G984" s="1963"/>
      <c r="H984" s="1963"/>
      <c r="I984" s="1963"/>
      <c r="J984" s="1963"/>
      <c r="K984" s="1963"/>
      <c r="L984" s="1963"/>
      <c r="M984" s="1963"/>
      <c r="N984" s="1963"/>
      <c r="O984" s="15"/>
      <c r="P984" s="15"/>
      <c r="Q984" s="343"/>
      <c r="R984" s="2"/>
      <c r="S984" s="2"/>
      <c r="T984" s="2"/>
      <c r="U984" s="343"/>
      <c r="V984" s="343"/>
      <c r="W984" s="2"/>
      <c r="X984" s="2"/>
      <c r="Y984" s="2"/>
      <c r="Z984" s="2"/>
      <c r="AA984" s="2"/>
      <c r="AB984" s="2"/>
      <c r="AC984" s="2"/>
      <c r="AD984" s="2"/>
      <c r="AE984" s="2"/>
      <c r="AF984" s="2"/>
      <c r="AG984" s="2"/>
      <c r="AH984" s="2"/>
      <c r="AI984" s="2"/>
      <c r="AJ984" s="2"/>
      <c r="AK984" s="2"/>
      <c r="AL984" s="2"/>
    </row>
    <row r="985" spans="1:38" ht="12.75" customHeight="1" x14ac:dyDescent="0.25">
      <c r="A985" s="2"/>
      <c r="B985" s="178"/>
      <c r="C985" s="178"/>
      <c r="D985" s="15"/>
      <c r="E985" s="2061" t="str">
        <f>Translations!$B$535</f>
        <v>Detta är mängden mätbar värme som importeras från anläggningar utanför ETS (inklusive eventuell värme från delanläggningar för salpetersyra) eller enheter multiplicerat med värmeriktmärket.</v>
      </c>
      <c r="F985" s="1963"/>
      <c r="G985" s="1963"/>
      <c r="H985" s="1963"/>
      <c r="I985" s="1963"/>
      <c r="J985" s="1963"/>
      <c r="K985" s="1963"/>
      <c r="L985" s="1963"/>
      <c r="M985" s="1963"/>
      <c r="N985" s="1963"/>
      <c r="O985" s="15"/>
      <c r="P985" s="15"/>
      <c r="Q985" s="343"/>
      <c r="R985" s="2"/>
      <c r="S985" s="2"/>
      <c r="T985" s="2"/>
      <c r="U985" s="343"/>
      <c r="V985" s="343"/>
      <c r="W985" s="2"/>
      <c r="X985" s="2"/>
      <c r="Y985" s="2"/>
      <c r="Z985" s="2"/>
      <c r="AA985" s="2"/>
      <c r="AB985" s="2"/>
      <c r="AC985" s="2"/>
      <c r="AD985" s="2"/>
      <c r="AE985" s="2"/>
      <c r="AF985" s="2"/>
      <c r="AG985" s="2"/>
      <c r="AH985" s="2"/>
      <c r="AI985" s="2"/>
      <c r="AJ985" s="2"/>
      <c r="AK985" s="2"/>
      <c r="AL985" s="2"/>
    </row>
    <row r="986" spans="1:38" ht="12.75" customHeight="1" x14ac:dyDescent="0.25">
      <c r="A986" s="2"/>
      <c r="B986" s="178"/>
      <c r="C986" s="178"/>
      <c r="D986" s="15"/>
      <c r="E986" s="2061" t="str">
        <f>Translations!$B$536</f>
        <v>Var god ange relevanta värden här. Notera att värdena måste överensstämma med delsummorna för import från anläggningar och enheter utanför ETS enligt punkt E.II.c i bladet ”E_Energy flows”.</v>
      </c>
      <c r="F986" s="1963"/>
      <c r="G986" s="1963"/>
      <c r="H986" s="1963"/>
      <c r="I986" s="1963"/>
      <c r="J986" s="1963"/>
      <c r="K986" s="1963"/>
      <c r="L986" s="1963"/>
      <c r="M986" s="1963"/>
      <c r="N986" s="1963"/>
      <c r="O986" s="15"/>
      <c r="P986" s="15"/>
      <c r="Q986" s="343"/>
      <c r="R986" s="2"/>
      <c r="S986" s="2"/>
      <c r="T986" s="2"/>
      <c r="U986" s="343"/>
      <c r="V986" s="343"/>
      <c r="W986" s="2"/>
      <c r="X986" s="2"/>
      <c r="Y986" s="2"/>
      <c r="Z986" s="2"/>
      <c r="AA986" s="2"/>
      <c r="AB986" s="2"/>
      <c r="AC986" s="2"/>
      <c r="AD986" s="2"/>
      <c r="AE986" s="2"/>
      <c r="AF986" s="2"/>
      <c r="AG986" s="2"/>
      <c r="AH986" s="2"/>
      <c r="AI986" s="2"/>
      <c r="AJ986" s="2"/>
      <c r="AK986" s="2"/>
      <c r="AL986" s="2"/>
    </row>
    <row r="987" spans="1:38" ht="12.75" customHeight="1" x14ac:dyDescent="0.25">
      <c r="A987" s="2"/>
      <c r="B987" s="178"/>
      <c r="C987" s="178"/>
      <c r="D987" s="15"/>
      <c r="E987" s="2061" t="str">
        <f>Translations!$B$537</f>
        <v>Uppgifterna måste också överensstämma med den totala mätbara nettovärme som importeras, vilken anges i punkt k.i nedan.</v>
      </c>
      <c r="F987" s="1963"/>
      <c r="G987" s="1963"/>
      <c r="H987" s="1963"/>
      <c r="I987" s="1963"/>
      <c r="J987" s="1963"/>
      <c r="K987" s="1963"/>
      <c r="L987" s="1963"/>
      <c r="M987" s="1963"/>
      <c r="N987" s="1963"/>
      <c r="O987" s="15"/>
      <c r="P987" s="15"/>
      <c r="Q987" s="343"/>
      <c r="R987" s="2"/>
      <c r="S987" s="2"/>
      <c r="T987" s="2"/>
      <c r="U987" s="343"/>
      <c r="V987" s="343"/>
      <c r="W987" s="343"/>
      <c r="X987" s="343"/>
      <c r="Y987" s="343"/>
      <c r="Z987" s="343"/>
      <c r="AA987" s="2"/>
      <c r="AB987" s="2"/>
      <c r="AC987" s="2"/>
      <c r="AD987" s="2"/>
      <c r="AE987" s="2"/>
      <c r="AF987" s="2"/>
      <c r="AG987" s="2"/>
      <c r="AH987" s="2"/>
      <c r="AI987" s="2"/>
      <c r="AJ987" s="2"/>
      <c r="AK987" s="2"/>
      <c r="AL987" s="2"/>
    </row>
    <row r="988" spans="1:38" ht="13.5" thickBot="1" x14ac:dyDescent="0.3">
      <c r="A988" s="2"/>
      <c r="B988" s="19"/>
      <c r="C988" s="19"/>
      <c r="D988" s="13"/>
      <c r="E988" s="914" t="str">
        <f>Translations!$B$527</f>
        <v>Parameter</v>
      </c>
      <c r="F988" s="913"/>
      <c r="G988" s="30" t="str">
        <f>EUconst_Unit</f>
        <v>Enhet</v>
      </c>
      <c r="H988" s="320">
        <f>H$3042</f>
        <v>2019</v>
      </c>
      <c r="I988" s="342">
        <f>I$3042</f>
        <v>2020</v>
      </c>
      <c r="J988" s="987">
        <f>J$112</f>
        <v>2021</v>
      </c>
      <c r="K988" s="320">
        <f>K$112</f>
        <v>2022</v>
      </c>
      <c r="L988" s="320">
        <f>L$112</f>
        <v>2023</v>
      </c>
      <c r="M988" s="320">
        <f>M$112</f>
        <v>2024</v>
      </c>
      <c r="N988" s="320">
        <f>N$112</f>
        <v>2025</v>
      </c>
      <c r="O988" s="15"/>
      <c r="P988" s="15"/>
      <c r="Q988" s="2"/>
      <c r="R988" s="40"/>
      <c r="S988" s="553" t="s">
        <v>2072</v>
      </c>
      <c r="T988" s="1044">
        <f t="shared" ref="T988:Z988" si="432">H988</f>
        <v>2019</v>
      </c>
      <c r="U988" s="1044">
        <f t="shared" si="432"/>
        <v>2020</v>
      </c>
      <c r="V988" s="1044">
        <f t="shared" si="432"/>
        <v>2021</v>
      </c>
      <c r="W988" s="1044">
        <f t="shared" si="432"/>
        <v>2022</v>
      </c>
      <c r="X988" s="1044">
        <f t="shared" si="432"/>
        <v>2023</v>
      </c>
      <c r="Y988" s="1044">
        <f t="shared" si="432"/>
        <v>2024</v>
      </c>
      <c r="Z988" s="1044">
        <f t="shared" si="432"/>
        <v>2025</v>
      </c>
      <c r="AA988" s="40"/>
      <c r="AB988" s="2"/>
      <c r="AC988" s="1044">
        <f t="shared" ref="AC988:AI988" si="433">H$20</f>
        <v>2019</v>
      </c>
      <c r="AD988" s="1044">
        <f t="shared" si="433"/>
        <v>2020</v>
      </c>
      <c r="AE988" s="1044">
        <f t="shared" si="433"/>
        <v>2021</v>
      </c>
      <c r="AF988" s="1044">
        <f t="shared" si="433"/>
        <v>2022</v>
      </c>
      <c r="AG988" s="1044">
        <f t="shared" si="433"/>
        <v>2023</v>
      </c>
      <c r="AH988" s="1044">
        <f t="shared" si="433"/>
        <v>2024</v>
      </c>
      <c r="AI988" s="1044">
        <f t="shared" si="433"/>
        <v>2025</v>
      </c>
      <c r="AJ988" s="2"/>
      <c r="AK988" s="2"/>
      <c r="AL988" s="2"/>
    </row>
    <row r="989" spans="1:38" ht="13" customHeight="1" thickBot="1" x14ac:dyDescent="0.3">
      <c r="A989" s="2"/>
      <c r="B989" s="19"/>
      <c r="C989" s="19"/>
      <c r="D989" s="175" t="s">
        <v>8</v>
      </c>
      <c r="E989" s="915" t="str">
        <f>Translations!$B$538</f>
        <v>Mätbar värme som importeras från anläggningar utanför ETS:</v>
      </c>
      <c r="F989" s="915"/>
      <c r="G989" s="43" t="str">
        <f>EUconst_TJpa</f>
        <v>TJ / år</v>
      </c>
      <c r="H989" s="260"/>
      <c r="I989" s="670"/>
      <c r="J989" s="671"/>
      <c r="K989" s="260"/>
      <c r="L989" s="260"/>
      <c r="M989" s="260"/>
      <c r="N989" s="260"/>
      <c r="O989" s="15"/>
      <c r="P989" s="1362"/>
      <c r="Q989" s="108" t="str">
        <f>EUconst_CNTR_HAL&amp;EUconst_CNTR_nonETSMeasHeat</f>
        <v>HAL_mätbar värme utanför ETS</v>
      </c>
      <c r="R989" s="2"/>
      <c r="S989" s="553"/>
      <c r="T989" s="1551" t="str">
        <f t="shared" ref="T989:Z989" si="434">IF(H989="","",SUM(H989)*EUconst_HeatBMvalue)</f>
        <v/>
      </c>
      <c r="U989" s="1551" t="str">
        <f t="shared" si="434"/>
        <v/>
      </c>
      <c r="V989" s="1551" t="str">
        <f t="shared" si="434"/>
        <v/>
      </c>
      <c r="W989" s="1551" t="str">
        <f t="shared" si="434"/>
        <v/>
      </c>
      <c r="X989" s="1551" t="str">
        <f t="shared" si="434"/>
        <v/>
      </c>
      <c r="Y989" s="1551" t="str">
        <f t="shared" si="434"/>
        <v/>
      </c>
      <c r="Z989" s="1551" t="str">
        <f t="shared" si="434"/>
        <v/>
      </c>
      <c r="AA989" s="2"/>
      <c r="AB989" s="672" t="s">
        <v>782</v>
      </c>
      <c r="AC989" s="1755" t="b">
        <f t="shared" ref="AC989:AI989" si="435">IF(CNTR_ExistSubInstEntries,OR($I919="",H926&gt;=CNTR_ReportingYear,AC988&lt;$V919-1),FALSE)</f>
        <v>0</v>
      </c>
      <c r="AD989" s="1042" t="b">
        <f t="shared" si="435"/>
        <v>0</v>
      </c>
      <c r="AE989" s="1042" t="b">
        <f t="shared" si="435"/>
        <v>0</v>
      </c>
      <c r="AF989" s="1042" t="b">
        <f t="shared" si="435"/>
        <v>0</v>
      </c>
      <c r="AG989" s="1042" t="b">
        <f t="shared" si="435"/>
        <v>0</v>
      </c>
      <c r="AH989" s="1042" t="b">
        <f t="shared" si="435"/>
        <v>0</v>
      </c>
      <c r="AI989" s="1043" t="b">
        <f t="shared" si="435"/>
        <v>0</v>
      </c>
      <c r="AJ989" s="553" t="s">
        <v>2248</v>
      </c>
      <c r="AK989" s="663" t="str">
        <f>IF(AND(CNTR_ExistSubInstEntries,COUNTIFS(AC989:AI989,FALSE,H989:N989,"")&gt;0),EUconst_Error&amp;"BM"&amp;$Q919,"")</f>
        <v/>
      </c>
      <c r="AL989" s="2"/>
    </row>
    <row r="990" spans="1:38" ht="25.5" customHeight="1" x14ac:dyDescent="0.25">
      <c r="A990" s="2"/>
      <c r="B990" s="19"/>
      <c r="C990" s="19"/>
      <c r="D990" s="175" t="s">
        <v>9</v>
      </c>
      <c r="E990" s="916" t="str">
        <f>Translations!$B$539</f>
        <v>Konsekvenskontroll mot blad ”E_Energy flows”:</v>
      </c>
      <c r="F990" s="916"/>
      <c r="G990" s="549" t="s">
        <v>1113</v>
      </c>
      <c r="H990" s="247" t="str">
        <f>IF(AND(ISNUMBER(H989),ISNUMBER(E_EnergyFlows!H$114)), H989/E_EnergyFlows!H$114*100,"")</f>
        <v/>
      </c>
      <c r="I990" s="1015" t="str">
        <f>IF(AND(ISNUMBER(I989),ISNUMBER(E_EnergyFlows!I$114)), I989/E_EnergyFlows!I$114*100,"")</f>
        <v/>
      </c>
      <c r="J990" s="1017" t="str">
        <f>IF(AND(ISNUMBER(J989),ISNUMBER(E_EnergyFlows!J$114)), J989/E_EnergyFlows!J$114*100,"")</f>
        <v/>
      </c>
      <c r="K990" s="247" t="str">
        <f>IF(AND(ISNUMBER(K989),ISNUMBER(E_EnergyFlows!K$114)), K989/E_EnergyFlows!K$114*100,"")</f>
        <v/>
      </c>
      <c r="L990" s="247" t="str">
        <f>IF(AND(ISNUMBER(L989),ISNUMBER(E_EnergyFlows!L$114)), L989/E_EnergyFlows!L$114*100,"")</f>
        <v/>
      </c>
      <c r="M990" s="247" t="str">
        <f>IF(AND(ISNUMBER(M989),ISNUMBER(E_EnergyFlows!M$114)), M989/E_EnergyFlows!M$114*100,"")</f>
        <v/>
      </c>
      <c r="N990" s="247" t="str">
        <f>IF(AND(ISNUMBER(N989),ISNUMBER(E_EnergyFlows!N$114)), N989/E_EnergyFlows!N$114*100,"")</f>
        <v/>
      </c>
      <c r="O990" s="15"/>
      <c r="P990" s="15"/>
      <c r="Q990" s="152" t="str">
        <f>EUconst_CNTR_HEAT &amp; I919</f>
        <v>HEAT_</v>
      </c>
      <c r="R990" s="343"/>
      <c r="S990" s="2"/>
      <c r="T990" s="2"/>
      <c r="U990" s="343"/>
      <c r="V990" s="343"/>
      <c r="W990" s="2"/>
      <c r="X990" s="2"/>
      <c r="Y990" s="2"/>
      <c r="Z990" s="2"/>
      <c r="AA990" s="2"/>
      <c r="AB990" s="2"/>
      <c r="AC990" s="2"/>
      <c r="AD990" s="2"/>
      <c r="AE990" s="2"/>
      <c r="AF990" s="2"/>
      <c r="AG990" s="2"/>
      <c r="AH990" s="2"/>
      <c r="AI990" s="2"/>
      <c r="AJ990" s="2"/>
      <c r="AK990" s="2"/>
      <c r="AL990" s="2"/>
    </row>
    <row r="991" spans="1:38" ht="12.65" customHeight="1" x14ac:dyDescent="0.25">
      <c r="A991" s="2"/>
      <c r="B991" s="19"/>
      <c r="C991" s="19"/>
      <c r="D991" s="175" t="s">
        <v>10</v>
      </c>
      <c r="E991" s="1783" t="str">
        <f>Translations!$B$540</f>
        <v>Konsekvenskontroll mot punkt k.i:</v>
      </c>
      <c r="F991" s="1035"/>
      <c r="G991" s="919" t="s">
        <v>1113</v>
      </c>
      <c r="H991" s="246" t="str">
        <f t="shared" ref="H991:N991" si="436">IF(AND(H1112&gt;0,ISNUMBER(H989)), H989/H1112*100,"")</f>
        <v/>
      </c>
      <c r="I991" s="1016" t="str">
        <f t="shared" si="436"/>
        <v/>
      </c>
      <c r="J991" s="1018" t="str">
        <f t="shared" si="436"/>
        <v/>
      </c>
      <c r="K991" s="246" t="str">
        <f t="shared" si="436"/>
        <v/>
      </c>
      <c r="L991" s="246" t="str">
        <f t="shared" si="436"/>
        <v/>
      </c>
      <c r="M991" s="246" t="str">
        <f t="shared" si="436"/>
        <v/>
      </c>
      <c r="N991" s="246" t="str">
        <f t="shared" si="436"/>
        <v/>
      </c>
      <c r="O991" s="15"/>
      <c r="P991" s="15"/>
      <c r="Q991" s="2"/>
      <c r="R991" s="2"/>
      <c r="S991" s="2"/>
      <c r="T991" s="2"/>
      <c r="U991" s="343"/>
      <c r="V991" s="343"/>
      <c r="W991" s="2"/>
      <c r="X991" s="2"/>
      <c r="Y991" s="2"/>
      <c r="Z991" s="2"/>
      <c r="AA991" s="2"/>
      <c r="AB991" s="2"/>
      <c r="AC991" s="2"/>
      <c r="AD991" s="2"/>
      <c r="AE991" s="2"/>
      <c r="AF991" s="2"/>
      <c r="AG991" s="2"/>
      <c r="AH991" s="2"/>
      <c r="AI991" s="2"/>
      <c r="AJ991" s="2"/>
      <c r="AK991" s="2"/>
      <c r="AL991" s="2"/>
    </row>
    <row r="992" spans="1:38" ht="5.15" customHeight="1" x14ac:dyDescent="0.25">
      <c r="A992" s="2"/>
      <c r="B992" s="19"/>
      <c r="C992" s="19"/>
      <c r="D992" s="19"/>
      <c r="E992" s="19"/>
      <c r="F992" s="19"/>
      <c r="G992" s="19"/>
      <c r="H992" s="19"/>
      <c r="I992" s="99"/>
      <c r="J992" s="19"/>
      <c r="K992" s="19"/>
      <c r="L992" s="19"/>
      <c r="M992" s="19"/>
      <c r="N992" s="19"/>
      <c r="O992" s="15"/>
      <c r="P992" s="15"/>
      <c r="Q992" s="130"/>
      <c r="R992" s="2"/>
      <c r="S992" s="2"/>
      <c r="T992" s="2"/>
      <c r="U992" s="343"/>
      <c r="V992" s="343"/>
      <c r="W992" s="2"/>
      <c r="X992" s="2"/>
      <c r="Y992" s="2"/>
      <c r="Z992" s="2"/>
      <c r="AA992" s="2"/>
      <c r="AB992" s="2"/>
      <c r="AC992" s="2"/>
      <c r="AD992" s="2"/>
      <c r="AE992" s="2"/>
      <c r="AF992" s="2"/>
      <c r="AG992" s="2"/>
      <c r="AH992" s="2"/>
      <c r="AI992" s="2"/>
      <c r="AJ992" s="2"/>
      <c r="AK992" s="2"/>
      <c r="AL992" s="2"/>
    </row>
    <row r="993" spans="1:38" ht="25.5" customHeight="1" thickBot="1" x14ac:dyDescent="0.3">
      <c r="A993" s="2"/>
      <c r="B993" s="178"/>
      <c r="C993" s="178"/>
      <c r="D993" s="15"/>
      <c r="E993" s="2061" t="str">
        <f>Translations!$B$1479</f>
        <v>Baserat på uppgifterna ovan bestäms ett genomsnittligt årligt värde. Tilldelningen kommer endast att ändras om det relativa tröskelvärdet (15 % jämfört med värdet från de nationella genomförandeåtgärderna) och det absoluta tröskelvärdet (ändring leder till mer än 100 utsläppsrätter) överskrids, enligt artikel 6.4 i verksamhetsändringsförordningen.</v>
      </c>
      <c r="F993" s="1963"/>
      <c r="G993" s="1963"/>
      <c r="H993" s="1963"/>
      <c r="I993" s="1963"/>
      <c r="J993" s="1963"/>
      <c r="K993" s="1963"/>
      <c r="L993" s="1963"/>
      <c r="M993" s="1963"/>
      <c r="N993" s="1963"/>
      <c r="O993" s="15"/>
      <c r="P993" s="15"/>
      <c r="Q993" s="343"/>
      <c r="R993" s="2"/>
      <c r="S993" s="343"/>
      <c r="T993" s="343"/>
      <c r="U993" s="343"/>
      <c r="V993" s="2"/>
      <c r="W993" s="2"/>
      <c r="X993" s="2"/>
      <c r="Y993" s="2"/>
      <c r="Z993" s="2"/>
      <c r="AA993" s="2"/>
      <c r="AB993" s="2"/>
      <c r="AC993" s="2"/>
      <c r="AD993" s="2"/>
      <c r="AE993" s="2"/>
      <c r="AF993" s="2"/>
      <c r="AG993" s="2"/>
      <c r="AH993" s="2"/>
      <c r="AI993" s="2"/>
      <c r="AJ993" s="2"/>
      <c r="AK993" s="2"/>
      <c r="AL993" s="2"/>
    </row>
    <row r="994" spans="1:38" ht="5.15" customHeight="1" thickBot="1" x14ac:dyDescent="0.3">
      <c r="A994" s="2"/>
      <c r="B994" s="178"/>
      <c r="C994" s="178"/>
      <c r="D994" s="1238"/>
      <c r="E994" s="1239"/>
      <c r="F994" s="1240"/>
      <c r="G994" s="1240"/>
      <c r="H994" s="1240"/>
      <c r="I994" s="1240"/>
      <c r="J994" s="1240"/>
      <c r="K994" s="1240"/>
      <c r="L994" s="1240"/>
      <c r="M994" s="1240"/>
      <c r="N994" s="1241"/>
      <c r="O994" s="15"/>
      <c r="P994" s="15"/>
      <c r="Q994" s="343"/>
      <c r="R994" s="2"/>
      <c r="S994" s="343"/>
      <c r="T994" s="343"/>
      <c r="U994" s="343"/>
      <c r="V994" s="2"/>
      <c r="W994" s="2"/>
      <c r="X994" s="2"/>
      <c r="Y994" s="2"/>
      <c r="Z994" s="2"/>
      <c r="AA994" s="2"/>
      <c r="AB994" s="2"/>
      <c r="AC994" s="2"/>
      <c r="AD994" s="2"/>
      <c r="AE994" s="2"/>
      <c r="AF994" s="2"/>
      <c r="AG994" s="2"/>
      <c r="AH994" s="2"/>
      <c r="AI994" s="2"/>
      <c r="AJ994" s="2"/>
      <c r="AK994" s="2"/>
      <c r="AL994" s="2"/>
    </row>
    <row r="995" spans="1:38" ht="12.75" customHeight="1" x14ac:dyDescent="0.25">
      <c r="A995" s="2"/>
      <c r="B995" s="178"/>
      <c r="C995" s="178"/>
      <c r="D995" s="1290" t="s">
        <v>2192</v>
      </c>
      <c r="E995" s="1243" t="str">
        <f>Translations!$B$1483</f>
        <v>Justeringar: Värme från icke-ETS</v>
      </c>
      <c r="F995" s="1244"/>
      <c r="G995" s="1244"/>
      <c r="H995" s="1228" t="str">
        <f>EUconst_Unit</f>
        <v>Enhet</v>
      </c>
      <c r="I995" s="1229" t="str">
        <f>Translations!$B$1481</f>
        <v>Värde (NIMs)</v>
      </c>
      <c r="J995" s="1268">
        <f>J$3042</f>
        <v>2021</v>
      </c>
      <c r="K995" s="1230">
        <f>K$3042</f>
        <v>2022</v>
      </c>
      <c r="L995" s="1230">
        <f>L$3042</f>
        <v>2023</v>
      </c>
      <c r="M995" s="1230">
        <f>M$3042</f>
        <v>2024</v>
      </c>
      <c r="N995" s="1258">
        <f>N$3042</f>
        <v>2025</v>
      </c>
      <c r="O995" s="15"/>
      <c r="P995" s="15"/>
      <c r="Q995" s="343"/>
      <c r="R995" s="2"/>
      <c r="S995" s="2"/>
      <c r="T995" s="2"/>
      <c r="U995" s="772"/>
      <c r="V995" s="1077">
        <f>J995</f>
        <v>2021</v>
      </c>
      <c r="W995" s="1077">
        <f>K995</f>
        <v>2022</v>
      </c>
      <c r="X995" s="1077">
        <f>L995</f>
        <v>2023</v>
      </c>
      <c r="Y995" s="1077">
        <f>M995</f>
        <v>2024</v>
      </c>
      <c r="Z995" s="1078">
        <f>N995</f>
        <v>2025</v>
      </c>
      <c r="AA995" s="2"/>
      <c r="AB995" s="2"/>
      <c r="AC995" s="2"/>
      <c r="AD995" s="2"/>
      <c r="AE995" s="2"/>
      <c r="AF995" s="2"/>
      <c r="AG995" s="2"/>
      <c r="AH995" s="2"/>
      <c r="AI995" s="2"/>
      <c r="AJ995" s="2"/>
      <c r="AK995" s="2"/>
      <c r="AL995" s="2"/>
    </row>
    <row r="996" spans="1:38" ht="12.75" customHeight="1" x14ac:dyDescent="0.25">
      <c r="A996" s="2"/>
      <c r="B996" s="178"/>
      <c r="C996" s="178"/>
      <c r="D996" s="1246" t="s">
        <v>8</v>
      </c>
      <c r="E996" s="1231" t="str">
        <f>Translations!$B$1482</f>
        <v>Genomsnittligt årligt värde</v>
      </c>
      <c r="F996" s="1231"/>
      <c r="G996" s="1231"/>
      <c r="H996" s="1232" t="str">
        <f>EUconst_tCO2</f>
        <v>t CO2</v>
      </c>
      <c r="I996" s="990" t="str">
        <f>INDEX('B+C_SubInstallations'!$J:$J,MATCH(Q996,'B+C_SubInstallations'!$U:$U,0))</f>
        <v/>
      </c>
      <c r="J996" s="1215" t="str">
        <f>IF(AND(V996&gt;=3,CNTR_ReportingYear&gt;J995-1),AVERAGE(SUM(T989),SUM(U989)),"")</f>
        <v/>
      </c>
      <c r="K996" s="1216" t="str">
        <f>IF(AND(W996&gt;=3,CNTR_ReportingYear&gt;K995-1),AVERAGE(SUM(U989),SUM(V989)),"")</f>
        <v/>
      </c>
      <c r="L996" s="1216" t="str">
        <f>IF(AND(X996&gt;=3,CNTR_ReportingYear&gt;L995-1),AVERAGE(SUM(V989),SUM(W989)),"")</f>
        <v/>
      </c>
      <c r="M996" s="1216" t="str">
        <f>IF(AND(Y996&gt;=3,CNTR_ReportingYear&gt;M995-1),AVERAGE(SUM(W989),SUM(X989)),"")</f>
        <v/>
      </c>
      <c r="N996" s="1227" t="str">
        <f>IF(AND(Z996&gt;=3,CNTR_ReportingYear&gt;N995-1),AVERAGE(SUM(X989),SUM(Y989)),"")</f>
        <v/>
      </c>
      <c r="O996" s="15"/>
      <c r="P996" s="15"/>
      <c r="Q996" s="1217" t="str">
        <f>EUconst_CNTR_HEATInitial &amp; I919</f>
        <v>HEATIni_</v>
      </c>
      <c r="R996" s="2"/>
      <c r="S996" s="2"/>
      <c r="T996" s="2"/>
      <c r="U996" s="1086" t="s">
        <v>1850</v>
      </c>
      <c r="V996" s="663">
        <f>V941</f>
        <v>0</v>
      </c>
      <c r="W996" s="663">
        <f>W941</f>
        <v>0</v>
      </c>
      <c r="X996" s="663">
        <f>X941</f>
        <v>0</v>
      </c>
      <c r="Y996" s="663">
        <f>Y941</f>
        <v>0</v>
      </c>
      <c r="Z996" s="1080">
        <f>Z941</f>
        <v>0</v>
      </c>
      <c r="AA996" s="2"/>
      <c r="AB996" s="2"/>
      <c r="AC996" s="2"/>
      <c r="AD996" s="2"/>
      <c r="AE996" s="2"/>
      <c r="AF996" s="2"/>
      <c r="AG996" s="2"/>
      <c r="AH996" s="2"/>
      <c r="AI996" s="2"/>
      <c r="AJ996" s="2"/>
      <c r="AK996" s="2"/>
      <c r="AL996" s="2"/>
    </row>
    <row r="997" spans="1:38" ht="12.75" hidden="1" customHeight="1" x14ac:dyDescent="0.25">
      <c r="A997" s="343" t="s">
        <v>346</v>
      </c>
      <c r="B997" s="178"/>
      <c r="C997" s="178"/>
      <c r="D997" s="1246"/>
      <c r="E997" s="1231" t="s">
        <v>1980</v>
      </c>
      <c r="F997" s="1231"/>
      <c r="G997" s="1231"/>
      <c r="H997" s="1233"/>
      <c r="I997" s="1235"/>
      <c r="J997" s="1013" t="str">
        <f>IF(J996="","",IF($I999=0,IF(J996=0,0%,100%),J996/$I999-1))</f>
        <v/>
      </c>
      <c r="K997" s="938" t="str">
        <f>IF(K996="","",IF($I999=0,IF(K996=0,0%,100%),K996/$I999-1))</f>
        <v/>
      </c>
      <c r="L997" s="938" t="str">
        <f>IF(L996="","",IF($I999=0,IF(L996=0,0%,100%),L996/$I999-1))</f>
        <v/>
      </c>
      <c r="M997" s="938" t="str">
        <f>IF(M996="","",IF($I999=0,IF(M996=0,0%,100%),M996/$I999-1))</f>
        <v/>
      </c>
      <c r="N997" s="1223" t="str">
        <f>IF(N996="","",IF($I999=0,IF(N996=0,0%,100%),N996/$I999-1))</f>
        <v/>
      </c>
      <c r="O997" s="15"/>
      <c r="P997" s="15"/>
      <c r="Q997" s="165" t="str">
        <f>EUconst_CNTR_RelThreshold &amp; Q999</f>
        <v>RelThresh_HEATprelim_</v>
      </c>
      <c r="R997" s="2"/>
      <c r="S997" s="2"/>
      <c r="T997" s="2"/>
      <c r="U997" s="1086" t="s">
        <v>1855</v>
      </c>
      <c r="V997" s="603" t="str">
        <f>IF(J996="","",ABS(J997)&gt;15%)</f>
        <v/>
      </c>
      <c r="W997" s="603" t="str">
        <f>IF(K996="","",ABS(K997)&gt;15%)</f>
        <v/>
      </c>
      <c r="X997" s="603" t="str">
        <f>IF(L996="","",ABS(L997)&gt;15%)</f>
        <v/>
      </c>
      <c r="Y997" s="603" t="str">
        <f>IF(M996="","",ABS(M997)&gt;15%)</f>
        <v/>
      </c>
      <c r="Z997" s="1756" t="str">
        <f>IF(N996="","",ABS(N997)&gt;15%)</f>
        <v/>
      </c>
      <c r="AA997" s="2"/>
      <c r="AB997" s="2"/>
      <c r="AC997" s="2"/>
      <c r="AD997" s="2"/>
      <c r="AE997" s="2"/>
      <c r="AF997" s="2"/>
      <c r="AG997" s="2"/>
      <c r="AH997" s="2"/>
      <c r="AI997" s="2"/>
      <c r="AJ997" s="2"/>
      <c r="AK997" s="2"/>
      <c r="AL997" s="2"/>
    </row>
    <row r="998" spans="1:38" ht="12.75" customHeight="1" x14ac:dyDescent="0.25">
      <c r="A998" s="343"/>
      <c r="B998" s="178"/>
      <c r="C998" s="178"/>
      <c r="D998" s="1246" t="s">
        <v>9</v>
      </c>
      <c r="E998" s="1231" t="str">
        <f>Translations!$B$1474</f>
        <v>Preliminär justering (om relativa tröskelvärden överskrids)</v>
      </c>
      <c r="F998" s="1231"/>
      <c r="G998" s="1231"/>
      <c r="H998" s="1233"/>
      <c r="I998" s="1235"/>
      <c r="J998" s="992" t="str">
        <f>IF(J996="","",IF(V997=FALSE,0%,J997))</f>
        <v/>
      </c>
      <c r="K998" s="937" t="str">
        <f>IF(K996="","",IF(W997=FALSE,0%,K997))</f>
        <v/>
      </c>
      <c r="L998" s="937" t="str">
        <f>IF(L996="","",IF(X997=FALSE,0%,L997))</f>
        <v/>
      </c>
      <c r="M998" s="937" t="str">
        <f>IF(M996="","",IF(Y997=FALSE,0%,M997))</f>
        <v/>
      </c>
      <c r="N998" s="1220" t="str">
        <f>IF(N996="","",IF(Z997=FALSE,0%,N997))</f>
        <v/>
      </c>
      <c r="O998" s="15"/>
      <c r="P998" s="15"/>
      <c r="Q998" s="343"/>
      <c r="R998" s="2"/>
      <c r="S998" s="2"/>
      <c r="T998" s="2"/>
      <c r="U998" s="584"/>
      <c r="V998" s="2"/>
      <c r="W998" s="2"/>
      <c r="X998" s="2"/>
      <c r="Y998" s="2"/>
      <c r="Z998" s="228"/>
      <c r="AA998" s="2"/>
      <c r="AB998" s="2"/>
      <c r="AC998" s="2"/>
      <c r="AD998" s="2"/>
      <c r="AE998" s="2"/>
      <c r="AF998" s="2"/>
      <c r="AG998" s="2"/>
      <c r="AH998" s="2"/>
      <c r="AI998" s="2"/>
      <c r="AJ998" s="2"/>
      <c r="AK998" s="2"/>
      <c r="AL998" s="343"/>
    </row>
    <row r="999" spans="1:38" ht="12.75" hidden="1" customHeight="1" x14ac:dyDescent="0.25">
      <c r="A999" s="343" t="s">
        <v>346</v>
      </c>
      <c r="B999" s="178"/>
      <c r="C999" s="178"/>
      <c r="D999" s="1246"/>
      <c r="E999" s="1231" t="s">
        <v>1889</v>
      </c>
      <c r="F999" s="1231"/>
      <c r="G999" s="1231"/>
      <c r="H999" s="1232" t="str">
        <f>H996</f>
        <v>t CO2</v>
      </c>
      <c r="I999" s="990" t="str">
        <f>IF($I919="","",IF(AB919=FALSE,EUconst_NA,IF(V919&gt;($J$3042-3),SUM(INDEX(H989:N989,MATCH(V919,H988:N988,0))*EUconst_HeatBMvalue),SUM(I996))))</f>
        <v/>
      </c>
      <c r="J999" s="993" t="str">
        <f>IF($I919="","",IF(V996&lt;2,SUM(V989),IF(V996&lt;3,SUM(U989),IF(V999="",I999,V999))))</f>
        <v/>
      </c>
      <c r="K999" s="920" t="str">
        <f>IF($I919="","",IF(W996&lt;2,SUM(W989),IF(W996&lt;3,SUM(V989),IF(W999="",J999,W999))))</f>
        <v/>
      </c>
      <c r="L999" s="920" t="str">
        <f>IF($I919="","",IF(X996&lt;2,SUM(X989),IF(X996&lt;3,SUM(W989),IF(X999="",K999,X999))))</f>
        <v/>
      </c>
      <c r="M999" s="920" t="str">
        <f>IF($I919="","",IF(Y996&lt;2,SUM(Y989),IF(Y996&lt;3,SUM(X989),IF(Y999="",L999,Y999))))</f>
        <v/>
      </c>
      <c r="N999" s="1218" t="str">
        <f>IF($I919="","",IF(Z996&lt;2,SUM(Z989),IF(Z996&lt;3,SUM(Y989),IF(Z999="",M999,Z999))))</f>
        <v/>
      </c>
      <c r="O999" s="15"/>
      <c r="P999" s="15"/>
      <c r="Q999" s="165" t="str">
        <f>EUconst_CNTR_HEATprelim &amp; I919</f>
        <v>HEATprelim_</v>
      </c>
      <c r="R999" s="2"/>
      <c r="S999" s="2"/>
      <c r="T999" s="2"/>
      <c r="U999" s="1086" t="s">
        <v>1898</v>
      </c>
      <c r="V999" s="1754" t="str">
        <f>IF(J996="","",IF(CNTR_ReportingYear&lt;J995,I998,IF($I999=0,J996,$I999*(1+J998))))</f>
        <v/>
      </c>
      <c r="W999" s="1754" t="str">
        <f>IF(K996="","",IF(CNTR_ReportingYear&lt;K995,J998,IF($I999=0,K996,$I999*(1+K998))))</f>
        <v/>
      </c>
      <c r="X999" s="1754" t="str">
        <f>IF(L996="","",IF(CNTR_ReportingYear&lt;L995,K998,IF($I999=0,L996,$I999*(1+L998))))</f>
        <v/>
      </c>
      <c r="Y999" s="1754" t="str">
        <f>IF(M996="","",IF(CNTR_ReportingYear&lt;M995,L998,IF($I999=0,M996,$I999*(1+M998))))</f>
        <v/>
      </c>
      <c r="Z999" s="1759" t="str">
        <f>IF(N996="","",IF(CNTR_ReportingYear&lt;N995,M998,IF($I999=0,N996,$I999*(1+N998))))</f>
        <v/>
      </c>
      <c r="AA999" s="2"/>
      <c r="AB999" s="2"/>
      <c r="AC999" s="2"/>
      <c r="AD999" s="2"/>
      <c r="AE999" s="2"/>
      <c r="AF999" s="2"/>
      <c r="AG999" s="2"/>
      <c r="AH999" s="2"/>
      <c r="AI999" s="2"/>
      <c r="AJ999" s="2"/>
      <c r="AK999" s="2"/>
      <c r="AL999" s="343"/>
    </row>
    <row r="1000" spans="1:38" ht="5.15" customHeight="1" x14ac:dyDescent="0.25">
      <c r="A1000" s="343"/>
      <c r="B1000" s="178"/>
      <c r="C1000" s="178"/>
      <c r="D1000" s="1246"/>
      <c r="E1000" s="1244"/>
      <c r="F1000" s="1244"/>
      <c r="G1000" s="1244"/>
      <c r="H1000" s="1244"/>
      <c r="I1000" s="1244"/>
      <c r="J1000" s="1236"/>
      <c r="K1000" s="1236"/>
      <c r="L1000" s="1236"/>
      <c r="M1000" s="1236"/>
      <c r="N1000" s="1247"/>
      <c r="O1000" s="15"/>
      <c r="P1000" s="15"/>
      <c r="Q1000" s="343"/>
      <c r="R1000" s="2"/>
      <c r="S1000" s="2"/>
      <c r="T1000" s="2"/>
      <c r="U1000" s="1086"/>
      <c r="V1000" s="343"/>
      <c r="W1000" s="2"/>
      <c r="X1000" s="2"/>
      <c r="Y1000" s="2"/>
      <c r="Z1000" s="228"/>
      <c r="AA1000" s="2"/>
      <c r="AB1000" s="2"/>
      <c r="AC1000" s="2"/>
      <c r="AD1000" s="2"/>
      <c r="AE1000" s="2"/>
      <c r="AF1000" s="2"/>
      <c r="AG1000" s="2"/>
      <c r="AH1000" s="2"/>
      <c r="AI1000" s="2"/>
      <c r="AJ1000" s="2"/>
      <c r="AK1000" s="2"/>
      <c r="AL1000" s="343"/>
    </row>
    <row r="1001" spans="1:38" ht="12.75" customHeight="1" x14ac:dyDescent="0.25">
      <c r="A1001" s="343"/>
      <c r="B1001" s="178"/>
      <c r="C1001" s="178"/>
      <c r="D1001" s="1246"/>
      <c r="E1001" s="1234" t="str">
        <f>Translations!$B$1475</f>
        <v>Faktisk justering (grund för följande år)</v>
      </c>
      <c r="F1001" s="1234"/>
      <c r="G1001" s="1234"/>
      <c r="H1001" s="1234"/>
      <c r="I1001" s="1234"/>
      <c r="J1001" s="1268">
        <f>J$3042</f>
        <v>2021</v>
      </c>
      <c r="K1001" s="1230">
        <f>K$3042</f>
        <v>2022</v>
      </c>
      <c r="L1001" s="1230">
        <f>L$3042</f>
        <v>2023</v>
      </c>
      <c r="M1001" s="1230">
        <f>M$3042</f>
        <v>2024</v>
      </c>
      <c r="N1001" s="1258">
        <f>N$3042</f>
        <v>2025</v>
      </c>
      <c r="O1001" s="15"/>
      <c r="P1001" s="15"/>
      <c r="Q1001" s="343"/>
      <c r="R1001" s="2"/>
      <c r="S1001" s="2"/>
      <c r="T1001" s="2"/>
      <c r="U1001" s="584"/>
      <c r="V1001" s="2"/>
      <c r="W1001" s="2"/>
      <c r="X1001" s="2"/>
      <c r="Y1001" s="2"/>
      <c r="Z1001" s="228"/>
      <c r="AA1001" s="2"/>
      <c r="AB1001" s="2"/>
      <c r="AC1001" s="2"/>
      <c r="AD1001" s="2"/>
      <c r="AE1001" s="2"/>
      <c r="AF1001" s="2"/>
      <c r="AG1001" s="2"/>
      <c r="AH1001" s="2"/>
      <c r="AI1001" s="2"/>
      <c r="AJ1001" s="2"/>
      <c r="AK1001" s="2"/>
      <c r="AL1001" s="343"/>
    </row>
    <row r="1002" spans="1:38" ht="12.75" customHeight="1" x14ac:dyDescent="0.25">
      <c r="A1002" s="343"/>
      <c r="B1002" s="178"/>
      <c r="C1002" s="178"/>
      <c r="D1002" s="1246" t="s">
        <v>10</v>
      </c>
      <c r="E1002" s="1231" t="str">
        <f>Translations!$B$1476</f>
        <v>&gt;= 100 utsläppsrätter kriterium uppnått?</v>
      </c>
      <c r="F1002" s="1231"/>
      <c r="G1002" s="1231"/>
      <c r="H1002" s="1231"/>
      <c r="I1002" s="1231"/>
      <c r="J1002" s="994" t="str">
        <f>IF($I919="","",INDEX(K_Summary!J:J,MATCH($Q1002,K_Summary!$P:$P,0)))</f>
        <v/>
      </c>
      <c r="K1002" s="912" t="str">
        <f>IF($I919="","",INDEX(K_Summary!K:K,MATCH($Q1002,K_Summary!$P:$P,0)))</f>
        <v/>
      </c>
      <c r="L1002" s="912" t="str">
        <f>IF($I919="","",INDEX(K_Summary!L:L,MATCH($Q1002,K_Summary!$P:$P,0)))</f>
        <v/>
      </c>
      <c r="M1002" s="912" t="str">
        <f>IF($I919="","",INDEX(K_Summary!M:M,MATCH($Q1002,K_Summary!$P:$P,0)))</f>
        <v/>
      </c>
      <c r="N1002" s="1221" t="str">
        <f>IF($I919="","",INDEX(K_Summary!N:N,MATCH($Q1002,K_Summary!$P:$P,0)))</f>
        <v/>
      </c>
      <c r="O1002" s="15"/>
      <c r="P1002" s="15"/>
      <c r="Q1002" s="165" t="str">
        <f>EUconst_CNTR_100EUA_HEAT&amp;I919</f>
        <v>EUA100HEAT_</v>
      </c>
      <c r="R1002" s="2"/>
      <c r="S1002" s="2"/>
      <c r="T1002" s="2"/>
      <c r="U1002" s="584"/>
      <c r="V1002" s="2"/>
      <c r="W1002" s="2"/>
      <c r="X1002" s="2"/>
      <c r="Y1002" s="2"/>
      <c r="Z1002" s="228"/>
      <c r="AA1002" s="2"/>
      <c r="AB1002" s="2"/>
      <c r="AC1002" s="2"/>
      <c r="AD1002" s="2"/>
      <c r="AE1002" s="2"/>
      <c r="AF1002" s="2"/>
      <c r="AG1002" s="2"/>
      <c r="AH1002" s="2"/>
      <c r="AI1002" s="2"/>
      <c r="AJ1002" s="2"/>
      <c r="AK1002" s="2"/>
      <c r="AL1002" s="343"/>
    </row>
    <row r="1003" spans="1:38" ht="5.15" customHeight="1" thickBot="1" x14ac:dyDescent="0.3">
      <c r="A1003" s="343"/>
      <c r="B1003" s="178"/>
      <c r="C1003" s="178"/>
      <c r="D1003" s="1246"/>
      <c r="E1003" s="1244"/>
      <c r="F1003" s="1244"/>
      <c r="G1003" s="1244"/>
      <c r="H1003" s="1244"/>
      <c r="I1003" s="1244"/>
      <c r="J1003" s="1244"/>
      <c r="K1003" s="1244"/>
      <c r="L1003" s="1244"/>
      <c r="M1003" s="1244"/>
      <c r="N1003" s="1248"/>
      <c r="O1003" s="15"/>
      <c r="P1003" s="15"/>
      <c r="Q1003" s="343"/>
      <c r="R1003" s="2"/>
      <c r="S1003" s="2"/>
      <c r="T1003" s="2"/>
      <c r="U1003" s="1086"/>
      <c r="V1003" s="343"/>
      <c r="W1003" s="2"/>
      <c r="X1003" s="2"/>
      <c r="Y1003" s="2"/>
      <c r="Z1003" s="228"/>
      <c r="AA1003" s="2"/>
      <c r="AB1003" s="2"/>
      <c r="AC1003" s="2"/>
      <c r="AD1003" s="2"/>
      <c r="AE1003" s="2"/>
      <c r="AF1003" s="2"/>
      <c r="AG1003" s="2"/>
      <c r="AH1003" s="2"/>
      <c r="AI1003" s="2"/>
      <c r="AJ1003" s="2"/>
      <c r="AK1003" s="2"/>
      <c r="AL1003" s="343"/>
    </row>
    <row r="1004" spans="1:38" ht="12.75" customHeight="1" thickBot="1" x14ac:dyDescent="0.3">
      <c r="A1004" s="2"/>
      <c r="B1004" s="178"/>
      <c r="C1004" s="178"/>
      <c r="D1004" s="1246" t="s">
        <v>23</v>
      </c>
      <c r="E1004" s="1231" t="str">
        <f>Translations!$B$1477</f>
        <v>Faktisk justering (om alla tröskelvärden överskrids)</v>
      </c>
      <c r="F1004" s="1231"/>
      <c r="G1004" s="1231"/>
      <c r="H1004" s="1233"/>
      <c r="I1004" s="1237"/>
      <c r="J1004" s="1099" t="str">
        <f>IF(J1002="","",IF(OR(J1002,V996&lt;1),J998,I1004))</f>
        <v/>
      </c>
      <c r="K1004" s="1100" t="str">
        <f>IF(K1002="","",IF(OR(K1002,W996&lt;1),K998,J1004))</f>
        <v/>
      </c>
      <c r="L1004" s="1100" t="str">
        <f>IF(L1002="","",IF(OR(L1002,X996&lt;1),L998,K1004))</f>
        <v/>
      </c>
      <c r="M1004" s="1100" t="str">
        <f>IF(M1002="","",IF(OR(M1002,Y996&lt;1),M998,L1004))</f>
        <v/>
      </c>
      <c r="N1004" s="1101" t="str">
        <f>IF(N1002="","",IF(OR(N1002,Z996&lt;1),N998,M1004))</f>
        <v/>
      </c>
      <c r="O1004" s="15"/>
      <c r="P1004" s="15"/>
      <c r="Q1004" s="343"/>
      <c r="R1004" s="2"/>
      <c r="S1004" s="2"/>
      <c r="T1004" s="2"/>
      <c r="U1004" s="1086" t="s">
        <v>1858</v>
      </c>
      <c r="V1004" s="1068">
        <f>J1001</f>
        <v>2021</v>
      </c>
      <c r="W1004" s="1068">
        <f>K1001</f>
        <v>2022</v>
      </c>
      <c r="X1004" s="1068">
        <f>L1001</f>
        <v>2023</v>
      </c>
      <c r="Y1004" s="1068">
        <f>M1001</f>
        <v>2024</v>
      </c>
      <c r="Z1004" s="1087">
        <f>N1001</f>
        <v>2025</v>
      </c>
      <c r="AA1004" s="2"/>
      <c r="AB1004" s="2"/>
      <c r="AC1004" s="2"/>
      <c r="AD1004" s="2"/>
      <c r="AE1004" s="2"/>
      <c r="AF1004" s="2"/>
      <c r="AG1004" s="2"/>
      <c r="AH1004" s="2"/>
      <c r="AI1004" s="2"/>
      <c r="AJ1004" s="2"/>
      <c r="AK1004" s="2"/>
      <c r="AL1004" s="343"/>
    </row>
    <row r="1005" spans="1:38" ht="12.75" customHeight="1" thickBot="1" x14ac:dyDescent="0.3">
      <c r="A1005" s="343"/>
      <c r="B1005" s="178"/>
      <c r="C1005" s="178"/>
      <c r="D1005" s="1246" t="s">
        <v>859</v>
      </c>
      <c r="E1005" s="1231" t="str">
        <f>Translations!$B$1478</f>
        <v>Faktiskt värde</v>
      </c>
      <c r="F1005" s="1231"/>
      <c r="G1005" s="1231"/>
      <c r="H1005" s="1232" t="str">
        <f>H996</f>
        <v>t CO2</v>
      </c>
      <c r="I1005" s="990" t="str">
        <f>I999</f>
        <v/>
      </c>
      <c r="J1005" s="1072" t="str">
        <f>IF($I919="","",IF(OR($I1005=0,$I1005=EUconst_NA,J1004=""),IF(OR(J1002=TRUE,J1001&lt;=$V919),J999,SUM(I1005)),$I1005*(1+SUM(J1004))))</f>
        <v/>
      </c>
      <c r="K1005" s="1073" t="str">
        <f>IF($I919="","",IF(OR($I1005=0,$I1005=EUconst_NA,K1004=""),IF(OR(K1002=TRUE,K1001&lt;=$V919),K999,SUM(J1005)),$I1005*(1+SUM(K1004))))</f>
        <v/>
      </c>
      <c r="L1005" s="1073" t="str">
        <f>IF($I919="","",IF(OR($I1005=0,$I1005=EUconst_NA,L1004=""),IF(OR(L1002=TRUE,L1001&lt;=$V919),L999,SUM(K1005)),$I1005*(1+SUM(L1004))))</f>
        <v/>
      </c>
      <c r="M1005" s="1073" t="str">
        <f>IF($I919="","",IF(OR($I1005=0,$I1005=EUconst_NA,M1004=""),IF(OR(M1002=TRUE,M1001&lt;=$V919),M999,SUM(L1005)),$I1005*(1+SUM(M1004))))</f>
        <v/>
      </c>
      <c r="N1005" s="1074" t="str">
        <f>IF($I919="","",IF(OR($I1005=0,$I1005=EUconst_NA,N1004=""),IF(OR(N1002=TRUE,N1001&lt;=$V919),N999,SUM(M1005)),$I1005*(1+SUM(N1004))))</f>
        <v/>
      </c>
      <c r="O1005" s="15"/>
      <c r="P1005" s="15"/>
      <c r="Q1005" s="165" t="str">
        <f>EUconst_CNTR_HEATfinal &amp; I919</f>
        <v>HEATfinal_</v>
      </c>
      <c r="R1005" s="2"/>
      <c r="S1005" s="2"/>
      <c r="T1005" s="2"/>
      <c r="U1005" s="1765" t="b">
        <v>0</v>
      </c>
      <c r="V1005" s="1757" t="str">
        <f>IF(V927,IF(J1002=TRUE,V997,U1005),"")</f>
        <v/>
      </c>
      <c r="W1005" s="1757" t="str">
        <f>IF(W927,IF(K1002=TRUE,W997,V1005),"")</f>
        <v/>
      </c>
      <c r="X1005" s="1757" t="str">
        <f>IF(X927,IF(L1002=TRUE,X997,W1005),"")</f>
        <v/>
      </c>
      <c r="Y1005" s="1757" t="str">
        <f>IF(Y927,IF(M1002=TRUE,Y997,X1005),"")</f>
        <v/>
      </c>
      <c r="Z1005" s="1758" t="str">
        <f>IF(Z927,IF(N1002=TRUE,Z997,Y1005),"")</f>
        <v/>
      </c>
      <c r="AA1005" s="2"/>
      <c r="AB1005" s="2"/>
      <c r="AC1005" s="2"/>
      <c r="AD1005" s="2"/>
      <c r="AE1005" s="2"/>
      <c r="AF1005" s="2"/>
      <c r="AG1005" s="2"/>
      <c r="AH1005" s="2"/>
      <c r="AI1005" s="2"/>
      <c r="AJ1005" s="553" t="s">
        <v>2242</v>
      </c>
      <c r="AK1005" s="108" t="str">
        <f>IF(OR(ISERROR(J1005),ISERROR(K1005),ISERROR(L1005),ISERROR(M1005),ISERROR(N1005)),EUconst_Error &amp; "BM" &amp; Q919,"")</f>
        <v/>
      </c>
      <c r="AL1005" s="2"/>
    </row>
    <row r="1006" spans="1:38" ht="5.15" customHeight="1" thickBot="1" x14ac:dyDescent="0.3">
      <c r="A1006" s="2"/>
      <c r="B1006" s="19"/>
      <c r="C1006" s="19"/>
      <c r="D1006" s="1274"/>
      <c r="E1006" s="1275"/>
      <c r="F1006" s="1275"/>
      <c r="G1006" s="1275"/>
      <c r="H1006" s="1275"/>
      <c r="I1006" s="1276"/>
      <c r="J1006" s="1275"/>
      <c r="K1006" s="1275"/>
      <c r="L1006" s="1275"/>
      <c r="M1006" s="1275"/>
      <c r="N1006" s="1277"/>
      <c r="O1006" s="15"/>
      <c r="P1006" s="15"/>
      <c r="Q1006" s="130"/>
      <c r="R1006" s="2"/>
      <c r="S1006" s="343"/>
      <c r="T1006" s="343"/>
      <c r="U1006" s="2"/>
      <c r="V1006" s="2"/>
      <c r="W1006" s="2"/>
      <c r="X1006" s="2"/>
      <c r="Y1006" s="2"/>
      <c r="Z1006" s="2"/>
      <c r="AA1006" s="2"/>
      <c r="AB1006" s="2"/>
      <c r="AC1006" s="2"/>
      <c r="AD1006" s="2"/>
      <c r="AE1006" s="2"/>
      <c r="AF1006" s="2"/>
      <c r="AG1006" s="2"/>
      <c r="AH1006" s="2"/>
      <c r="AI1006" s="2"/>
      <c r="AJ1006" s="2"/>
      <c r="AK1006" s="2"/>
      <c r="AL1006" s="2"/>
    </row>
    <row r="1007" spans="1:38" ht="5.15" customHeight="1" x14ac:dyDescent="0.25">
      <c r="A1007" s="2"/>
      <c r="B1007" s="19"/>
      <c r="C1007" s="19"/>
      <c r="D1007" s="19"/>
      <c r="E1007" s="19"/>
      <c r="F1007" s="19"/>
      <c r="G1007" s="19"/>
      <c r="H1007" s="19"/>
      <c r="I1007" s="99"/>
      <c r="J1007" s="19"/>
      <c r="K1007" s="19"/>
      <c r="L1007" s="19"/>
      <c r="M1007" s="19"/>
      <c r="N1007" s="19"/>
      <c r="O1007" s="15"/>
      <c r="P1007" s="15"/>
      <c r="Q1007" s="130"/>
      <c r="R1007" s="2"/>
      <c r="S1007" s="343"/>
      <c r="T1007" s="343"/>
      <c r="U1007" s="2"/>
      <c r="V1007" s="2"/>
      <c r="W1007" s="2"/>
      <c r="X1007" s="2"/>
      <c r="Y1007" s="2"/>
      <c r="Z1007" s="2"/>
      <c r="AA1007" s="2"/>
      <c r="AB1007" s="2"/>
      <c r="AC1007" s="2"/>
      <c r="AD1007" s="2"/>
      <c r="AE1007" s="2"/>
      <c r="AF1007" s="2"/>
      <c r="AG1007" s="2"/>
      <c r="AH1007" s="2"/>
      <c r="AI1007" s="2"/>
      <c r="AJ1007" s="2"/>
      <c r="AK1007" s="2"/>
      <c r="AL1007" s="2"/>
    </row>
    <row r="1008" spans="1:38" ht="15" customHeight="1" x14ac:dyDescent="0.25">
      <c r="A1008" s="2"/>
      <c r="B1008" s="19"/>
      <c r="C1008" s="619"/>
      <c r="D1008" s="2053" t="str">
        <f>Translations!$B$541</f>
        <v>Produktionsuppgifter</v>
      </c>
      <c r="E1008" s="1963"/>
      <c r="F1008" s="1963"/>
      <c r="G1008" s="1963"/>
      <c r="H1008" s="1963"/>
      <c r="I1008" s="1963"/>
      <c r="J1008" s="1963"/>
      <c r="K1008" s="1963"/>
      <c r="L1008" s="1963"/>
      <c r="M1008" s="1963"/>
      <c r="N1008" s="1963"/>
      <c r="O1008" s="15"/>
      <c r="P1008" s="15"/>
      <c r="Q1008" s="2"/>
      <c r="R1008" s="2"/>
      <c r="S1008" s="343"/>
      <c r="T1008" s="343"/>
      <c r="U1008" s="2"/>
      <c r="V1008" s="2"/>
      <c r="W1008" s="2"/>
      <c r="X1008" s="2"/>
      <c r="Y1008" s="2"/>
      <c r="Z1008" s="2"/>
      <c r="AA1008" s="2"/>
      <c r="AB1008" s="2"/>
      <c r="AC1008" s="2"/>
      <c r="AD1008" s="2"/>
      <c r="AE1008" s="2"/>
      <c r="AF1008" s="2"/>
      <c r="AG1008" s="2"/>
      <c r="AH1008" s="2"/>
      <c r="AI1008" s="2"/>
      <c r="AJ1008" s="2"/>
      <c r="AK1008" s="2"/>
      <c r="AL1008" s="2"/>
    </row>
    <row r="1009" spans="1:38" ht="5.15" customHeight="1" x14ac:dyDescent="0.25">
      <c r="A1009" s="2"/>
      <c r="B1009" s="178"/>
      <c r="C1009" s="178"/>
      <c r="D1009" s="178"/>
      <c r="E1009" s="178"/>
      <c r="F1009" s="178"/>
      <c r="G1009" s="178"/>
      <c r="H1009" s="178"/>
      <c r="I1009" s="178"/>
      <c r="J1009" s="178"/>
      <c r="K1009" s="178"/>
      <c r="L1009" s="178"/>
      <c r="M1009" s="178"/>
      <c r="N1009" s="178"/>
      <c r="O1009" s="15"/>
      <c r="P1009" s="15"/>
      <c r="Q1009" s="343"/>
      <c r="R1009" s="343"/>
      <c r="S1009" s="343"/>
      <c r="T1009" s="343"/>
      <c r="U1009" s="2"/>
      <c r="V1009" s="2"/>
      <c r="W1009" s="2"/>
      <c r="X1009" s="2"/>
      <c r="Y1009" s="2"/>
      <c r="Z1009" s="2"/>
      <c r="AA1009" s="2"/>
      <c r="AB1009" s="2"/>
      <c r="AC1009" s="2"/>
      <c r="AD1009" s="2"/>
      <c r="AE1009" s="2"/>
      <c r="AF1009" s="2"/>
      <c r="AG1009" s="2"/>
      <c r="AH1009" s="2"/>
      <c r="AI1009" s="2"/>
      <c r="AJ1009" s="2"/>
      <c r="AK1009" s="2"/>
      <c r="AL1009" s="2"/>
    </row>
    <row r="1010" spans="1:38" ht="12.75" customHeight="1" x14ac:dyDescent="0.25">
      <c r="A1010" s="2"/>
      <c r="B1010" s="178"/>
      <c r="C1010" s="13"/>
      <c r="D1010" s="13" t="s">
        <v>65</v>
      </c>
      <c r="E1010" s="1943" t="str">
        <f>Translations!$B$542</f>
        <v>Identifiering av produkter som ingår i delanläggningen med produktriktmärke</v>
      </c>
      <c r="F1010" s="1963"/>
      <c r="G1010" s="1963"/>
      <c r="H1010" s="1963"/>
      <c r="I1010" s="1963"/>
      <c r="J1010" s="1963"/>
      <c r="K1010" s="1963"/>
      <c r="L1010" s="1963"/>
      <c r="M1010" s="1963"/>
      <c r="N1010" s="1963"/>
      <c r="O1010" s="15"/>
      <c r="P1010" s="15"/>
      <c r="Q1010" s="343"/>
      <c r="R1010" s="2"/>
      <c r="S1010" s="343"/>
      <c r="T1010" s="343"/>
      <c r="U1010" s="2"/>
      <c r="V1010" s="2"/>
      <c r="W1010" s="2"/>
      <c r="X1010" s="2"/>
      <c r="Y1010" s="2"/>
      <c r="Z1010" s="2"/>
      <c r="AA1010" s="2"/>
      <c r="AB1010" s="2"/>
      <c r="AC1010" s="2"/>
      <c r="AD1010" s="2"/>
      <c r="AE1010" s="2"/>
      <c r="AF1010" s="2"/>
      <c r="AG1010" s="2"/>
      <c r="AH1010" s="2"/>
      <c r="AI1010" s="2"/>
      <c r="AJ1010" s="2"/>
      <c r="AK1010" s="2"/>
      <c r="AL1010" s="2"/>
    </row>
    <row r="1011" spans="1:38" ht="25.5" customHeight="1" x14ac:dyDescent="0.25">
      <c r="A1011" s="2"/>
      <c r="B1011" s="178"/>
      <c r="C1011" s="15"/>
      <c r="D1011" s="15"/>
      <c r="E1011" s="2061" t="s">
        <v>2215</v>
      </c>
      <c r="F1011" s="1963"/>
      <c r="G1011" s="1963"/>
      <c r="H1011" s="1963"/>
      <c r="I1011" s="1963"/>
      <c r="J1011" s="1963"/>
      <c r="K1011" s="1963"/>
      <c r="L1011" s="1963"/>
      <c r="M1011" s="1963"/>
      <c r="N1011" s="1963"/>
      <c r="O1011" s="15"/>
      <c r="P1011" s="15"/>
      <c r="Q1011" s="343"/>
      <c r="R1011" s="2"/>
      <c r="S1011" s="343"/>
      <c r="T1011" s="343"/>
      <c r="U1011" s="2"/>
      <c r="V1011" s="2"/>
      <c r="W1011" s="2"/>
      <c r="X1011" s="2"/>
      <c r="Y1011" s="2"/>
      <c r="Z1011" s="2"/>
      <c r="AA1011" s="2"/>
      <c r="AB1011" s="2"/>
      <c r="AC1011" s="2"/>
      <c r="AD1011" s="2"/>
      <c r="AE1011" s="2"/>
      <c r="AF1011" s="2"/>
      <c r="AG1011" s="2"/>
      <c r="AH1011" s="2"/>
      <c r="AI1011" s="2"/>
      <c r="AJ1011" s="2"/>
      <c r="AK1011" s="2"/>
      <c r="AL1011" s="2"/>
    </row>
    <row r="1012" spans="1:38" ht="25.5" customHeight="1" x14ac:dyDescent="0.25">
      <c r="A1012" s="2"/>
      <c r="B1012" s="178"/>
      <c r="C1012" s="15"/>
      <c r="D1012" s="15"/>
      <c r="E1012" s="2061" t="str">
        <f>Translations!$B$543</f>
        <v>Prodcom-koder ska anges i formatet ”nnnnnnnn”, dvs. utan punkter eller andra avgränsare. Endast om Prodcom-koder inte finns ska en Nace-kod på fyra siffror anges i formatet ”nnnn”.</v>
      </c>
      <c r="F1012" s="1963"/>
      <c r="G1012" s="1963"/>
      <c r="H1012" s="1963"/>
      <c r="I1012" s="1963"/>
      <c r="J1012" s="1963"/>
      <c r="K1012" s="1963"/>
      <c r="L1012" s="1963"/>
      <c r="M1012" s="1963"/>
      <c r="N1012" s="1963"/>
      <c r="O1012" s="15"/>
      <c r="P1012" s="15"/>
      <c r="Q1012" s="343"/>
      <c r="R1012" s="2"/>
      <c r="S1012" s="343"/>
      <c r="T1012" s="343"/>
      <c r="U1012" s="2"/>
      <c r="V1012" s="2"/>
      <c r="W1012" s="2"/>
      <c r="X1012" s="2"/>
      <c r="Y1012" s="2"/>
      <c r="Z1012" s="2"/>
      <c r="AA1012" s="2"/>
      <c r="AB1012" s="2"/>
      <c r="AC1012" s="2"/>
      <c r="AD1012" s="2"/>
      <c r="AE1012" s="2"/>
      <c r="AF1012" s="2"/>
      <c r="AG1012" s="2"/>
      <c r="AH1012" s="2"/>
      <c r="AI1012" s="2"/>
      <c r="AJ1012" s="2"/>
      <c r="AK1012" s="2"/>
      <c r="AL1012" s="2"/>
    </row>
    <row r="1013" spans="1:38" ht="12.75" customHeight="1" x14ac:dyDescent="0.25">
      <c r="A1013" s="2"/>
      <c r="B1013" s="178"/>
      <c r="C1013" s="15"/>
      <c r="D1013" s="15"/>
      <c r="E1013" s="2061" t="str">
        <f>Translations!$B$544</f>
        <v>En förteckning över 2010 års Prodcom-koder finns här:</v>
      </c>
      <c r="F1013" s="1963"/>
      <c r="G1013" s="1963"/>
      <c r="H1013" s="1963"/>
      <c r="I1013" s="1963"/>
      <c r="J1013" s="1963"/>
      <c r="K1013" s="1963"/>
      <c r="L1013" s="1963"/>
      <c r="M1013" s="1963"/>
      <c r="N1013" s="1963"/>
      <c r="O1013" s="15"/>
      <c r="P1013" s="15"/>
      <c r="Q1013" s="343"/>
      <c r="R1013" s="2"/>
      <c r="S1013" s="343"/>
      <c r="T1013" s="343"/>
      <c r="U1013" s="2"/>
      <c r="V1013" s="2"/>
      <c r="W1013" s="2"/>
      <c r="X1013" s="2"/>
      <c r="Y1013" s="2"/>
      <c r="Z1013" s="2"/>
      <c r="AA1013" s="2"/>
      <c r="AB1013" s="2"/>
      <c r="AC1013" s="2"/>
      <c r="AD1013" s="2"/>
      <c r="AE1013" s="2"/>
      <c r="AF1013" s="2"/>
      <c r="AG1013" s="2"/>
      <c r="AH1013" s="2"/>
      <c r="AI1013" s="2"/>
      <c r="AJ1013" s="2"/>
      <c r="AK1013" s="2"/>
      <c r="AL1013" s="2"/>
    </row>
    <row r="1014" spans="1:38" x14ac:dyDescent="0.25">
      <c r="A1014" s="2"/>
      <c r="B1014" s="178"/>
      <c r="C1014" s="15"/>
      <c r="D1014" s="15"/>
      <c r="E1014" s="2644" t="str">
        <f>Translations!$B$545</f>
        <v>http://ec.europa.eu/eurostat/ramon/nomenclatures/index.cfm?TargetUrl=LST_CLS_DLD&amp;StrNom=PRD_2010&amp;StrLanguageCode=EN&amp;StrLayoutCode=HIERARCHIC</v>
      </c>
      <c r="F1014" s="1940"/>
      <c r="G1014" s="1940"/>
      <c r="H1014" s="1940"/>
      <c r="I1014" s="1940"/>
      <c r="J1014" s="1940"/>
      <c r="K1014" s="1940"/>
      <c r="L1014" s="1940"/>
      <c r="M1014" s="1940"/>
      <c r="N1014" s="1940"/>
      <c r="O1014" s="15"/>
      <c r="P1014" s="15"/>
      <c r="Q1014" s="343"/>
      <c r="R1014" s="2"/>
      <c r="S1014" s="343"/>
      <c r="T1014" s="343"/>
      <c r="U1014" s="2"/>
      <c r="V1014" s="2"/>
      <c r="W1014" s="2"/>
      <c r="X1014" s="2"/>
      <c r="Y1014" s="2"/>
      <c r="Z1014" s="2"/>
      <c r="AA1014" s="2"/>
      <c r="AB1014" s="2"/>
      <c r="AC1014" s="2"/>
      <c r="AD1014" s="2"/>
      <c r="AE1014" s="2"/>
      <c r="AF1014" s="2"/>
      <c r="AG1014" s="2"/>
      <c r="AH1014" s="2"/>
      <c r="AI1014" s="2"/>
      <c r="AJ1014" s="2"/>
      <c r="AK1014" s="2"/>
      <c r="AL1014" s="2"/>
    </row>
    <row r="1015" spans="1:38" ht="5.15" customHeight="1" x14ac:dyDescent="0.25">
      <c r="A1015" s="2"/>
      <c r="B1015" s="178"/>
      <c r="C1015" s="178"/>
      <c r="D1015" s="178"/>
      <c r="E1015" s="178"/>
      <c r="F1015" s="178"/>
      <c r="G1015" s="178"/>
      <c r="H1015" s="178"/>
      <c r="I1015" s="178"/>
      <c r="J1015" s="178"/>
      <c r="K1015" s="178"/>
      <c r="L1015" s="178"/>
      <c r="M1015" s="178"/>
      <c r="N1015" s="178"/>
      <c r="O1015" s="15"/>
      <c r="P1015" s="15"/>
      <c r="Q1015" s="343"/>
      <c r="R1015" s="343"/>
      <c r="S1015" s="343"/>
      <c r="T1015" s="343"/>
      <c r="U1015" s="2"/>
      <c r="V1015" s="2"/>
      <c r="W1015" s="2"/>
      <c r="X1015" s="2"/>
      <c r="Y1015" s="2"/>
      <c r="Z1015" s="2"/>
      <c r="AA1015" s="2"/>
      <c r="AB1015" s="2"/>
      <c r="AC1015" s="2"/>
      <c r="AD1015" s="2"/>
      <c r="AE1015" s="2"/>
      <c r="AF1015" s="2"/>
      <c r="AG1015" s="2"/>
      <c r="AH1015" s="2"/>
      <c r="AI1015" s="2"/>
      <c r="AJ1015" s="2"/>
      <c r="AK1015" s="2"/>
      <c r="AL1015" s="2"/>
    </row>
    <row r="1016" spans="1:38" ht="12.75" customHeight="1" x14ac:dyDescent="0.25">
      <c r="A1016" s="2"/>
      <c r="B1016" s="178"/>
      <c r="C1016" s="13"/>
      <c r="D1016" s="13" t="s">
        <v>66</v>
      </c>
      <c r="E1016" s="1943" t="str">
        <f>Translations!$B$546</f>
        <v>Individuella produktionsnivåer för produkter som ingår i delanläggningen med produktriktmärke</v>
      </c>
      <c r="F1016" s="1963"/>
      <c r="G1016" s="1963"/>
      <c r="H1016" s="1963"/>
      <c r="I1016" s="1963"/>
      <c r="J1016" s="1963"/>
      <c r="K1016" s="1963"/>
      <c r="L1016" s="1963"/>
      <c r="M1016" s="1963"/>
      <c r="N1016" s="1963"/>
      <c r="O1016" s="15"/>
      <c r="P1016" s="15"/>
      <c r="Q1016" s="343"/>
      <c r="R1016" s="2"/>
      <c r="S1016" s="343"/>
      <c r="T1016" s="343"/>
      <c r="U1016" s="2"/>
      <c r="V1016" s="2"/>
      <c r="W1016" s="2"/>
      <c r="X1016" s="2"/>
      <c r="Y1016" s="2"/>
      <c r="Z1016" s="2"/>
      <c r="AA1016" s="2"/>
      <c r="AB1016" s="2"/>
      <c r="AC1016" s="2"/>
      <c r="AD1016" s="2"/>
      <c r="AE1016" s="2"/>
      <c r="AF1016" s="2"/>
      <c r="AG1016" s="2"/>
      <c r="AH1016" s="2"/>
      <c r="AI1016" s="2"/>
      <c r="AJ1016" s="2"/>
      <c r="AK1016" s="2"/>
      <c r="AL1016" s="2"/>
    </row>
    <row r="1017" spans="1:38" ht="5.15" customHeight="1" x14ac:dyDescent="0.25">
      <c r="A1017" s="2"/>
      <c r="B1017" s="178"/>
      <c r="C1017" s="178"/>
      <c r="D1017" s="15"/>
      <c r="E1017" s="16"/>
      <c r="F1017" s="16"/>
      <c r="G1017" s="16"/>
      <c r="H1017" s="16"/>
      <c r="I1017" s="16"/>
      <c r="J1017" s="20"/>
      <c r="K1017" s="20"/>
      <c r="L1017" s="20"/>
      <c r="M1017" s="15"/>
      <c r="N1017" s="15"/>
      <c r="O1017" s="15"/>
      <c r="P1017" s="15"/>
      <c r="Q1017" s="343"/>
      <c r="R1017" s="2"/>
      <c r="S1017" s="343"/>
      <c r="T1017" s="343"/>
      <c r="U1017" s="2"/>
      <c r="V1017" s="2"/>
      <c r="W1017" s="2"/>
      <c r="X1017" s="2"/>
      <c r="Y1017" s="2"/>
      <c r="Z1017" s="2"/>
      <c r="AA1017" s="2"/>
      <c r="AB1017" s="2"/>
      <c r="AC1017" s="2"/>
      <c r="AD1017" s="2"/>
      <c r="AE1017" s="2"/>
      <c r="AF1017" s="2"/>
      <c r="AG1017" s="2"/>
      <c r="AH1017" s="2"/>
      <c r="AI1017" s="2"/>
      <c r="AJ1017" s="2"/>
      <c r="AK1017" s="2"/>
      <c r="AL1017" s="2"/>
    </row>
    <row r="1018" spans="1:38" ht="25.5" customHeight="1" thickBot="1" x14ac:dyDescent="0.3">
      <c r="A1018" s="2"/>
      <c r="B1018" s="19"/>
      <c r="C1018" s="19"/>
      <c r="D1018" s="38"/>
      <c r="E1018" s="321" t="s">
        <v>1030</v>
      </c>
      <c r="F1018" s="1027" t="str">
        <f>Translations!$B$547</f>
        <v>Namn på produkt eller produktgrupp</v>
      </c>
      <c r="G1018" s="774" t="str">
        <f>EUconst_Unit</f>
        <v>Enhet</v>
      </c>
      <c r="H1018" s="320">
        <f t="shared" ref="H1018:N1018" si="437">H$3042</f>
        <v>2019</v>
      </c>
      <c r="I1018" s="342">
        <f t="shared" si="437"/>
        <v>2020</v>
      </c>
      <c r="J1018" s="987">
        <f t="shared" si="437"/>
        <v>2021</v>
      </c>
      <c r="K1018" s="320">
        <f t="shared" si="437"/>
        <v>2022</v>
      </c>
      <c r="L1018" s="320">
        <f t="shared" si="437"/>
        <v>2023</v>
      </c>
      <c r="M1018" s="320">
        <f t="shared" si="437"/>
        <v>2024</v>
      </c>
      <c r="N1018" s="320">
        <f t="shared" si="437"/>
        <v>2025</v>
      </c>
      <c r="O1018" s="15"/>
      <c r="P1018" s="15"/>
      <c r="Q1018" s="2"/>
      <c r="R1018" s="2"/>
      <c r="S1018" s="343"/>
      <c r="T1018" s="343"/>
      <c r="U1018" s="2"/>
      <c r="V1018" s="2"/>
      <c r="W1018" s="2"/>
      <c r="X1018" s="2"/>
      <c r="Y1018" s="2"/>
      <c r="Z1018" s="1055" t="s">
        <v>782</v>
      </c>
      <c r="AA1018" s="2"/>
      <c r="AB1018" s="2"/>
      <c r="AC1018" s="1044">
        <f t="shared" ref="AC1018:AI1018" si="438">H$20</f>
        <v>2019</v>
      </c>
      <c r="AD1018" s="1044">
        <f t="shared" si="438"/>
        <v>2020</v>
      </c>
      <c r="AE1018" s="1044">
        <f t="shared" si="438"/>
        <v>2021</v>
      </c>
      <c r="AF1018" s="1044">
        <f t="shared" si="438"/>
        <v>2022</v>
      </c>
      <c r="AG1018" s="1044">
        <f t="shared" si="438"/>
        <v>2023</v>
      </c>
      <c r="AH1018" s="1044">
        <f t="shared" si="438"/>
        <v>2024</v>
      </c>
      <c r="AI1018" s="1044">
        <f t="shared" si="438"/>
        <v>2025</v>
      </c>
      <c r="AJ1018" s="2"/>
      <c r="AK1018" s="2"/>
      <c r="AL1018" s="2"/>
    </row>
    <row r="1019" spans="1:38" x14ac:dyDescent="0.25">
      <c r="A1019" s="2"/>
      <c r="B1019" s="19"/>
      <c r="C1019" s="19"/>
      <c r="D1019" s="32">
        <v>1</v>
      </c>
      <c r="E1019" s="1787"/>
      <c r="F1019" s="1047"/>
      <c r="G1019" s="602"/>
      <c r="H1019" s="383"/>
      <c r="I1019" s="467"/>
      <c r="J1019" s="1106"/>
      <c r="K1019" s="383"/>
      <c r="L1019" s="383"/>
      <c r="M1019" s="383"/>
      <c r="N1019" s="383"/>
      <c r="O1019" s="15"/>
      <c r="P1019" s="1362"/>
      <c r="Q1019" s="2"/>
      <c r="R1019" s="2"/>
      <c r="S1019" s="343"/>
      <c r="T1019" s="343"/>
      <c r="U1019" s="2"/>
      <c r="V1019" s="2"/>
      <c r="W1019" s="2"/>
      <c r="X1019" s="2"/>
      <c r="Y1019" s="2"/>
      <c r="Z1019" s="1056" t="b">
        <f t="shared" ref="Z1019:Z1028" si="439">AA1019</f>
        <v>0</v>
      </c>
      <c r="AA1019" s="1057" t="b">
        <f t="shared" ref="AA1019:AA1028" si="440">AB1019</f>
        <v>0</v>
      </c>
      <c r="AB1019" s="1363" t="b">
        <f>AND(AC1019:AI1019)</f>
        <v>0</v>
      </c>
      <c r="AC1019" s="1054" t="b">
        <f t="shared" ref="AC1019:AI1019" si="441">AC989</f>
        <v>0</v>
      </c>
      <c r="AD1019" s="1052" t="b">
        <f t="shared" si="441"/>
        <v>0</v>
      </c>
      <c r="AE1019" s="1052" t="b">
        <f t="shared" si="441"/>
        <v>0</v>
      </c>
      <c r="AF1019" s="1052" t="b">
        <f t="shared" si="441"/>
        <v>0</v>
      </c>
      <c r="AG1019" s="1052" t="b">
        <f t="shared" si="441"/>
        <v>0</v>
      </c>
      <c r="AH1019" s="1052" t="b">
        <f t="shared" si="441"/>
        <v>0</v>
      </c>
      <c r="AI1019" s="1053" t="b">
        <f t="shared" si="441"/>
        <v>0</v>
      </c>
      <c r="AJ1019" s="553" t="s">
        <v>2248</v>
      </c>
      <c r="AK1019" s="663" t="str">
        <f>IF(AND(CNTR_ExistSubInstEntries,COUNTIFS(AC1019:AI1019,FALSE,H1019:N1019,"")&gt;0),EUconst_Error&amp;"BM"&amp;$Q919,"")</f>
        <v/>
      </c>
      <c r="AL1019" s="2"/>
    </row>
    <row r="1020" spans="1:38" x14ac:dyDescent="0.25">
      <c r="A1020" s="2"/>
      <c r="B1020" s="19"/>
      <c r="C1020" s="19"/>
      <c r="D1020" s="33">
        <f>D1019+1</f>
        <v>2</v>
      </c>
      <c r="E1020" s="1788"/>
      <c r="F1020" s="1048"/>
      <c r="G1020" s="446"/>
      <c r="H1020" s="431"/>
      <c r="I1020" s="468"/>
      <c r="J1020" s="1120"/>
      <c r="K1020" s="431"/>
      <c r="L1020" s="431"/>
      <c r="M1020" s="431"/>
      <c r="N1020" s="431"/>
      <c r="O1020" s="15"/>
      <c r="P1020" s="1362"/>
      <c r="Q1020" s="2"/>
      <c r="R1020" s="2"/>
      <c r="S1020" s="343"/>
      <c r="T1020" s="343"/>
      <c r="U1020" s="2"/>
      <c r="V1020" s="2"/>
      <c r="W1020" s="2"/>
      <c r="X1020" s="2"/>
      <c r="Y1020" s="2"/>
      <c r="Z1020" s="583" t="b">
        <f t="shared" si="439"/>
        <v>0</v>
      </c>
      <c r="AA1020" s="108" t="b">
        <f t="shared" si="440"/>
        <v>0</v>
      </c>
      <c r="AB1020" s="109" t="b">
        <f t="shared" ref="AB1020:AB1028" si="442">AND(AC1020:AI1020)</f>
        <v>0</v>
      </c>
      <c r="AC1020" s="153" t="b">
        <f>AC1019</f>
        <v>0</v>
      </c>
      <c r="AD1020" s="108" t="b">
        <f t="shared" ref="AD1020:AI1020" si="443">AD1019</f>
        <v>0</v>
      </c>
      <c r="AE1020" s="108" t="b">
        <f t="shared" si="443"/>
        <v>0</v>
      </c>
      <c r="AF1020" s="108" t="b">
        <f t="shared" si="443"/>
        <v>0</v>
      </c>
      <c r="AG1020" s="108" t="b">
        <f t="shared" si="443"/>
        <v>0</v>
      </c>
      <c r="AH1020" s="108" t="b">
        <f t="shared" si="443"/>
        <v>0</v>
      </c>
      <c r="AI1020" s="109" t="b">
        <f t="shared" si="443"/>
        <v>0</v>
      </c>
      <c r="AJ1020" s="2"/>
      <c r="AK1020" s="2"/>
      <c r="AL1020" s="2"/>
    </row>
    <row r="1021" spans="1:38" x14ac:dyDescent="0.25">
      <c r="A1021" s="2"/>
      <c r="B1021" s="19"/>
      <c r="C1021" s="19"/>
      <c r="D1021" s="33">
        <f t="shared" ref="D1021:D1028" si="444">D1020+1</f>
        <v>3</v>
      </c>
      <c r="E1021" s="1788"/>
      <c r="F1021" s="1049"/>
      <c r="G1021" s="446"/>
      <c r="H1021" s="431"/>
      <c r="I1021" s="468"/>
      <c r="J1021" s="1120"/>
      <c r="K1021" s="431"/>
      <c r="L1021" s="431"/>
      <c r="M1021" s="431"/>
      <c r="N1021" s="431"/>
      <c r="O1021" s="15"/>
      <c r="P1021" s="1362"/>
      <c r="Q1021" s="2"/>
      <c r="R1021" s="2"/>
      <c r="S1021" s="343"/>
      <c r="T1021" s="343"/>
      <c r="U1021" s="2"/>
      <c r="V1021" s="2"/>
      <c r="W1021" s="2"/>
      <c r="X1021" s="2"/>
      <c r="Y1021" s="2"/>
      <c r="Z1021" s="583" t="b">
        <f t="shared" si="439"/>
        <v>0</v>
      </c>
      <c r="AA1021" s="108" t="b">
        <f t="shared" si="440"/>
        <v>0</v>
      </c>
      <c r="AB1021" s="109" t="b">
        <f t="shared" si="442"/>
        <v>0</v>
      </c>
      <c r="AC1021" s="153" t="b">
        <f t="shared" ref="AC1021:AI1028" si="445">AC1020</f>
        <v>0</v>
      </c>
      <c r="AD1021" s="108" t="b">
        <f t="shared" si="445"/>
        <v>0</v>
      </c>
      <c r="AE1021" s="108" t="b">
        <f t="shared" si="445"/>
        <v>0</v>
      </c>
      <c r="AF1021" s="108" t="b">
        <f t="shared" si="445"/>
        <v>0</v>
      </c>
      <c r="AG1021" s="108" t="b">
        <f t="shared" si="445"/>
        <v>0</v>
      </c>
      <c r="AH1021" s="108" t="b">
        <f t="shared" si="445"/>
        <v>0</v>
      </c>
      <c r="AI1021" s="109" t="b">
        <f t="shared" si="445"/>
        <v>0</v>
      </c>
      <c r="AJ1021" s="2"/>
      <c r="AK1021" s="2"/>
      <c r="AL1021" s="2"/>
    </row>
    <row r="1022" spans="1:38" x14ac:dyDescent="0.25">
      <c r="A1022" s="2"/>
      <c r="B1022" s="19"/>
      <c r="C1022" s="19"/>
      <c r="D1022" s="33">
        <f t="shared" si="444"/>
        <v>4</v>
      </c>
      <c r="E1022" s="1788"/>
      <c r="F1022" s="1049"/>
      <c r="G1022" s="446"/>
      <c r="H1022" s="431"/>
      <c r="I1022" s="468"/>
      <c r="J1022" s="1120"/>
      <c r="K1022" s="431"/>
      <c r="L1022" s="431"/>
      <c r="M1022" s="431"/>
      <c r="N1022" s="431"/>
      <c r="O1022" s="15"/>
      <c r="P1022" s="1362"/>
      <c r="Q1022" s="2"/>
      <c r="R1022" s="2"/>
      <c r="S1022" s="343"/>
      <c r="T1022" s="343"/>
      <c r="U1022" s="2"/>
      <c r="V1022" s="2"/>
      <c r="W1022" s="2"/>
      <c r="X1022" s="2"/>
      <c r="Y1022" s="2"/>
      <c r="Z1022" s="583" t="b">
        <f t="shared" si="439"/>
        <v>0</v>
      </c>
      <c r="AA1022" s="108" t="b">
        <f t="shared" si="440"/>
        <v>0</v>
      </c>
      <c r="AB1022" s="109" t="b">
        <f t="shared" si="442"/>
        <v>0</v>
      </c>
      <c r="AC1022" s="153" t="b">
        <f t="shared" si="445"/>
        <v>0</v>
      </c>
      <c r="AD1022" s="108" t="b">
        <f t="shared" si="445"/>
        <v>0</v>
      </c>
      <c r="AE1022" s="108" t="b">
        <f t="shared" si="445"/>
        <v>0</v>
      </c>
      <c r="AF1022" s="108" t="b">
        <f t="shared" si="445"/>
        <v>0</v>
      </c>
      <c r="AG1022" s="108" t="b">
        <f t="shared" si="445"/>
        <v>0</v>
      </c>
      <c r="AH1022" s="108" t="b">
        <f t="shared" si="445"/>
        <v>0</v>
      </c>
      <c r="AI1022" s="109" t="b">
        <f t="shared" si="445"/>
        <v>0</v>
      </c>
      <c r="AJ1022" s="2"/>
      <c r="AK1022" s="2"/>
      <c r="AL1022" s="2"/>
    </row>
    <row r="1023" spans="1:38" x14ac:dyDescent="0.25">
      <c r="A1023" s="2"/>
      <c r="B1023" s="19"/>
      <c r="C1023" s="19"/>
      <c r="D1023" s="33">
        <f t="shared" si="444"/>
        <v>5</v>
      </c>
      <c r="E1023" s="1788"/>
      <c r="F1023" s="1049"/>
      <c r="G1023" s="446"/>
      <c r="H1023" s="431"/>
      <c r="I1023" s="468"/>
      <c r="J1023" s="1120"/>
      <c r="K1023" s="431"/>
      <c r="L1023" s="431"/>
      <c r="M1023" s="431"/>
      <c r="N1023" s="431"/>
      <c r="O1023" s="15"/>
      <c r="P1023" s="1362"/>
      <c r="Q1023" s="2"/>
      <c r="R1023" s="2"/>
      <c r="S1023" s="343"/>
      <c r="T1023" s="343"/>
      <c r="U1023" s="2"/>
      <c r="V1023" s="2"/>
      <c r="W1023" s="2"/>
      <c r="X1023" s="2"/>
      <c r="Y1023" s="2"/>
      <c r="Z1023" s="583" t="b">
        <f t="shared" si="439"/>
        <v>0</v>
      </c>
      <c r="AA1023" s="108" t="b">
        <f t="shared" si="440"/>
        <v>0</v>
      </c>
      <c r="AB1023" s="109" t="b">
        <f t="shared" si="442"/>
        <v>0</v>
      </c>
      <c r="AC1023" s="153" t="b">
        <f t="shared" si="445"/>
        <v>0</v>
      </c>
      <c r="AD1023" s="108" t="b">
        <f t="shared" si="445"/>
        <v>0</v>
      </c>
      <c r="AE1023" s="108" t="b">
        <f t="shared" si="445"/>
        <v>0</v>
      </c>
      <c r="AF1023" s="108" t="b">
        <f t="shared" si="445"/>
        <v>0</v>
      </c>
      <c r="AG1023" s="108" t="b">
        <f t="shared" si="445"/>
        <v>0</v>
      </c>
      <c r="AH1023" s="108" t="b">
        <f t="shared" si="445"/>
        <v>0</v>
      </c>
      <c r="AI1023" s="109" t="b">
        <f t="shared" si="445"/>
        <v>0</v>
      </c>
      <c r="AJ1023" s="2"/>
      <c r="AK1023" s="2"/>
      <c r="AL1023" s="2"/>
    </row>
    <row r="1024" spans="1:38" x14ac:dyDescent="0.25">
      <c r="A1024" s="2"/>
      <c r="B1024" s="19"/>
      <c r="C1024" s="19"/>
      <c r="D1024" s="33">
        <f t="shared" si="444"/>
        <v>6</v>
      </c>
      <c r="E1024" s="1788"/>
      <c r="F1024" s="1049"/>
      <c r="G1024" s="446"/>
      <c r="H1024" s="431"/>
      <c r="I1024" s="468"/>
      <c r="J1024" s="1120"/>
      <c r="K1024" s="431"/>
      <c r="L1024" s="431"/>
      <c r="M1024" s="431"/>
      <c r="N1024" s="431"/>
      <c r="O1024" s="15"/>
      <c r="P1024" s="1362"/>
      <c r="Q1024" s="2"/>
      <c r="R1024" s="2"/>
      <c r="S1024" s="343"/>
      <c r="T1024" s="343"/>
      <c r="U1024" s="2"/>
      <c r="V1024" s="2"/>
      <c r="W1024" s="2"/>
      <c r="X1024" s="2"/>
      <c r="Y1024" s="2"/>
      <c r="Z1024" s="583" t="b">
        <f t="shared" si="439"/>
        <v>0</v>
      </c>
      <c r="AA1024" s="108" t="b">
        <f t="shared" si="440"/>
        <v>0</v>
      </c>
      <c r="AB1024" s="109" t="b">
        <f t="shared" si="442"/>
        <v>0</v>
      </c>
      <c r="AC1024" s="153" t="b">
        <f t="shared" si="445"/>
        <v>0</v>
      </c>
      <c r="AD1024" s="108" t="b">
        <f t="shared" si="445"/>
        <v>0</v>
      </c>
      <c r="AE1024" s="108" t="b">
        <f t="shared" si="445"/>
        <v>0</v>
      </c>
      <c r="AF1024" s="108" t="b">
        <f t="shared" si="445"/>
        <v>0</v>
      </c>
      <c r="AG1024" s="108" t="b">
        <f t="shared" si="445"/>
        <v>0</v>
      </c>
      <c r="AH1024" s="108" t="b">
        <f t="shared" si="445"/>
        <v>0</v>
      </c>
      <c r="AI1024" s="109" t="b">
        <f t="shared" si="445"/>
        <v>0</v>
      </c>
      <c r="AJ1024" s="2"/>
      <c r="AK1024" s="2"/>
      <c r="AL1024" s="2"/>
    </row>
    <row r="1025" spans="1:38" x14ac:dyDescent="0.25">
      <c r="A1025" s="2"/>
      <c r="B1025" s="19"/>
      <c r="C1025" s="19"/>
      <c r="D1025" s="33">
        <f t="shared" si="444"/>
        <v>7</v>
      </c>
      <c r="E1025" s="1788"/>
      <c r="F1025" s="1049"/>
      <c r="G1025" s="446"/>
      <c r="H1025" s="431"/>
      <c r="I1025" s="468"/>
      <c r="J1025" s="1120"/>
      <c r="K1025" s="431"/>
      <c r="L1025" s="431"/>
      <c r="M1025" s="431"/>
      <c r="N1025" s="431"/>
      <c r="O1025" s="15"/>
      <c r="P1025" s="1362"/>
      <c r="Q1025" s="2"/>
      <c r="R1025" s="2"/>
      <c r="S1025" s="343"/>
      <c r="T1025" s="343"/>
      <c r="U1025" s="2"/>
      <c r="V1025" s="2"/>
      <c r="W1025" s="2"/>
      <c r="X1025" s="2"/>
      <c r="Y1025" s="2"/>
      <c r="Z1025" s="583" t="b">
        <f t="shared" si="439"/>
        <v>0</v>
      </c>
      <c r="AA1025" s="108" t="b">
        <f t="shared" si="440"/>
        <v>0</v>
      </c>
      <c r="AB1025" s="109" t="b">
        <f t="shared" si="442"/>
        <v>0</v>
      </c>
      <c r="AC1025" s="153" t="b">
        <f t="shared" si="445"/>
        <v>0</v>
      </c>
      <c r="AD1025" s="108" t="b">
        <f t="shared" si="445"/>
        <v>0</v>
      </c>
      <c r="AE1025" s="108" t="b">
        <f t="shared" si="445"/>
        <v>0</v>
      </c>
      <c r="AF1025" s="108" t="b">
        <f t="shared" si="445"/>
        <v>0</v>
      </c>
      <c r="AG1025" s="108" t="b">
        <f t="shared" si="445"/>
        <v>0</v>
      </c>
      <c r="AH1025" s="108" t="b">
        <f t="shared" si="445"/>
        <v>0</v>
      </c>
      <c r="AI1025" s="109" t="b">
        <f t="shared" si="445"/>
        <v>0</v>
      </c>
      <c r="AJ1025" s="2"/>
      <c r="AK1025" s="2"/>
      <c r="AL1025" s="2"/>
    </row>
    <row r="1026" spans="1:38" x14ac:dyDescent="0.25">
      <c r="A1026" s="2"/>
      <c r="B1026" s="19"/>
      <c r="C1026" s="19"/>
      <c r="D1026" s="33">
        <f t="shared" si="444"/>
        <v>8</v>
      </c>
      <c r="E1026" s="1788"/>
      <c r="F1026" s="1049"/>
      <c r="G1026" s="446"/>
      <c r="H1026" s="431"/>
      <c r="I1026" s="468"/>
      <c r="J1026" s="1120"/>
      <c r="K1026" s="431"/>
      <c r="L1026" s="431"/>
      <c r="M1026" s="431"/>
      <c r="N1026" s="431"/>
      <c r="O1026" s="15"/>
      <c r="P1026" s="1362"/>
      <c r="Q1026" s="2"/>
      <c r="R1026" s="2"/>
      <c r="S1026" s="343"/>
      <c r="T1026" s="343"/>
      <c r="U1026" s="2"/>
      <c r="V1026" s="2"/>
      <c r="W1026" s="2"/>
      <c r="X1026" s="2"/>
      <c r="Y1026" s="2"/>
      <c r="Z1026" s="583" t="b">
        <f t="shared" si="439"/>
        <v>0</v>
      </c>
      <c r="AA1026" s="108" t="b">
        <f t="shared" si="440"/>
        <v>0</v>
      </c>
      <c r="AB1026" s="109" t="b">
        <f t="shared" si="442"/>
        <v>0</v>
      </c>
      <c r="AC1026" s="153" t="b">
        <f t="shared" si="445"/>
        <v>0</v>
      </c>
      <c r="AD1026" s="108" t="b">
        <f t="shared" si="445"/>
        <v>0</v>
      </c>
      <c r="AE1026" s="108" t="b">
        <f t="shared" si="445"/>
        <v>0</v>
      </c>
      <c r="AF1026" s="108" t="b">
        <f t="shared" si="445"/>
        <v>0</v>
      </c>
      <c r="AG1026" s="108" t="b">
        <f t="shared" si="445"/>
        <v>0</v>
      </c>
      <c r="AH1026" s="108" t="b">
        <f t="shared" si="445"/>
        <v>0</v>
      </c>
      <c r="AI1026" s="109" t="b">
        <f t="shared" si="445"/>
        <v>0</v>
      </c>
      <c r="AJ1026" s="2"/>
      <c r="AK1026" s="2"/>
      <c r="AL1026" s="2"/>
    </row>
    <row r="1027" spans="1:38" x14ac:dyDescent="0.25">
      <c r="A1027" s="2"/>
      <c r="B1027" s="19"/>
      <c r="C1027" s="19"/>
      <c r="D1027" s="33">
        <f t="shared" si="444"/>
        <v>9</v>
      </c>
      <c r="E1027" s="1788"/>
      <c r="F1027" s="1049"/>
      <c r="G1027" s="446"/>
      <c r="H1027" s="431"/>
      <c r="I1027" s="468"/>
      <c r="J1027" s="1120"/>
      <c r="K1027" s="431"/>
      <c r="L1027" s="431"/>
      <c r="M1027" s="431"/>
      <c r="N1027" s="431"/>
      <c r="O1027" s="15"/>
      <c r="P1027" s="1362"/>
      <c r="Q1027" s="2"/>
      <c r="R1027" s="2"/>
      <c r="S1027" s="343"/>
      <c r="T1027" s="343"/>
      <c r="U1027" s="2"/>
      <c r="V1027" s="2"/>
      <c r="W1027" s="2"/>
      <c r="X1027" s="2"/>
      <c r="Y1027" s="2"/>
      <c r="Z1027" s="583" t="b">
        <f t="shared" si="439"/>
        <v>0</v>
      </c>
      <c r="AA1027" s="108" t="b">
        <f t="shared" si="440"/>
        <v>0</v>
      </c>
      <c r="AB1027" s="109" t="b">
        <f t="shared" si="442"/>
        <v>0</v>
      </c>
      <c r="AC1027" s="153" t="b">
        <f t="shared" si="445"/>
        <v>0</v>
      </c>
      <c r="AD1027" s="108" t="b">
        <f t="shared" si="445"/>
        <v>0</v>
      </c>
      <c r="AE1027" s="108" t="b">
        <f t="shared" si="445"/>
        <v>0</v>
      </c>
      <c r="AF1027" s="108" t="b">
        <f t="shared" si="445"/>
        <v>0</v>
      </c>
      <c r="AG1027" s="108" t="b">
        <f t="shared" si="445"/>
        <v>0</v>
      </c>
      <c r="AH1027" s="108" t="b">
        <f t="shared" si="445"/>
        <v>0</v>
      </c>
      <c r="AI1027" s="109" t="b">
        <f t="shared" si="445"/>
        <v>0</v>
      </c>
      <c r="AJ1027" s="2"/>
      <c r="AK1027" s="2"/>
      <c r="AL1027" s="2"/>
    </row>
    <row r="1028" spans="1:38" ht="13" thickBot="1" x14ac:dyDescent="0.3">
      <c r="A1028" s="2"/>
      <c r="B1028" s="19"/>
      <c r="C1028" s="19"/>
      <c r="D1028" s="36">
        <f t="shared" si="444"/>
        <v>10</v>
      </c>
      <c r="E1028" s="1790"/>
      <c r="F1028" s="1050"/>
      <c r="G1028" s="447"/>
      <c r="H1028" s="357"/>
      <c r="I1028" s="469"/>
      <c r="J1028" s="1112"/>
      <c r="K1028" s="357"/>
      <c r="L1028" s="357"/>
      <c r="M1028" s="357"/>
      <c r="N1028" s="357"/>
      <c r="O1028" s="15"/>
      <c r="P1028" s="1362"/>
      <c r="Q1028" s="2"/>
      <c r="R1028" s="2"/>
      <c r="S1028" s="343"/>
      <c r="T1028" s="343"/>
      <c r="U1028" s="2"/>
      <c r="V1028" s="2"/>
      <c r="W1028" s="2"/>
      <c r="X1028" s="2"/>
      <c r="Y1028" s="2"/>
      <c r="Z1028" s="110" t="b">
        <f t="shared" si="439"/>
        <v>0</v>
      </c>
      <c r="AA1028" s="111" t="b">
        <f t="shared" si="440"/>
        <v>0</v>
      </c>
      <c r="AB1028" s="112" t="b">
        <f t="shared" si="442"/>
        <v>0</v>
      </c>
      <c r="AC1028" s="156" t="b">
        <f t="shared" si="445"/>
        <v>0</v>
      </c>
      <c r="AD1028" s="111" t="b">
        <f t="shared" si="445"/>
        <v>0</v>
      </c>
      <c r="AE1028" s="111" t="b">
        <f t="shared" si="445"/>
        <v>0</v>
      </c>
      <c r="AF1028" s="111" t="b">
        <f t="shared" si="445"/>
        <v>0</v>
      </c>
      <c r="AG1028" s="111" t="b">
        <f t="shared" si="445"/>
        <v>0</v>
      </c>
      <c r="AH1028" s="111" t="b">
        <f t="shared" si="445"/>
        <v>0</v>
      </c>
      <c r="AI1028" s="112" t="b">
        <f t="shared" si="445"/>
        <v>0</v>
      </c>
      <c r="AJ1028" s="2"/>
      <c r="AK1028" s="2"/>
      <c r="AL1028" s="2"/>
    </row>
    <row r="1029" spans="1:38" ht="12.75" customHeight="1" thickBot="1" x14ac:dyDescent="0.3">
      <c r="A1029" s="2"/>
      <c r="B1029" s="19"/>
      <c r="C1029" s="19"/>
      <c r="D1029" s="90"/>
      <c r="E1029" s="1026" t="str">
        <f>Translations!$B$548</f>
        <v>Summa av produktionsnivåer</v>
      </c>
      <c r="F1029" s="915"/>
      <c r="G1029" s="554"/>
      <c r="H1029" s="275" t="str">
        <f t="shared" ref="H1029:N1029" si="446">IF(COUNT(H1019:H1028)&gt;0,SUM(H1019:H1028),"")</f>
        <v/>
      </c>
      <c r="I1029" s="281" t="str">
        <f t="shared" si="446"/>
        <v/>
      </c>
      <c r="J1029" s="1118" t="str">
        <f t="shared" si="446"/>
        <v/>
      </c>
      <c r="K1029" s="275" t="str">
        <f t="shared" si="446"/>
        <v/>
      </c>
      <c r="L1029" s="275" t="str">
        <f t="shared" si="446"/>
        <v/>
      </c>
      <c r="M1029" s="275" t="str">
        <f t="shared" si="446"/>
        <v/>
      </c>
      <c r="N1029" s="275" t="str">
        <f t="shared" si="446"/>
        <v/>
      </c>
      <c r="O1029" s="15"/>
      <c r="P1029" s="15"/>
      <c r="Q1029" s="2"/>
      <c r="R1029" s="2"/>
      <c r="S1029" s="343"/>
      <c r="T1029" s="343"/>
      <c r="U1029" s="2"/>
      <c r="V1029" s="2"/>
      <c r="W1029" s="2"/>
      <c r="X1029" s="2"/>
      <c r="Y1029" s="2"/>
      <c r="Z1029" s="2"/>
      <c r="AA1029" s="2"/>
      <c r="AB1029" s="555" t="b">
        <f>AND(AB1019:AB1028)</f>
        <v>0</v>
      </c>
      <c r="AC1029" s="2"/>
      <c r="AD1029" s="2"/>
      <c r="AE1029" s="2"/>
      <c r="AF1029" s="2"/>
      <c r="AG1029" s="2"/>
      <c r="AH1029" s="2"/>
      <c r="AI1029" s="2"/>
      <c r="AJ1029" s="2"/>
      <c r="AK1029" s="2"/>
      <c r="AL1029" s="2"/>
    </row>
    <row r="1030" spans="1:38" ht="12.75" customHeight="1" thickBot="1" x14ac:dyDescent="0.3">
      <c r="A1030" s="2"/>
      <c r="B1030" s="178"/>
      <c r="C1030" s="178"/>
      <c r="D1030" s="178"/>
      <c r="E1030" s="178"/>
      <c r="F1030" s="178"/>
      <c r="G1030" s="178"/>
      <c r="H1030" s="178"/>
      <c r="I1030" s="178"/>
      <c r="J1030" s="178"/>
      <c r="K1030" s="178"/>
      <c r="L1030" s="178"/>
      <c r="M1030" s="15"/>
      <c r="N1030" s="15"/>
      <c r="O1030" s="15"/>
      <c r="P1030" s="15"/>
      <c r="Q1030" s="343"/>
      <c r="R1030" s="2"/>
      <c r="S1030" s="343"/>
      <c r="T1030" s="343"/>
      <c r="U1030" s="2"/>
      <c r="V1030" s="2"/>
      <c r="W1030" s="2"/>
      <c r="X1030" s="2"/>
      <c r="Y1030" s="2"/>
      <c r="Z1030" s="2"/>
      <c r="AA1030" s="2"/>
      <c r="AB1030" s="2"/>
      <c r="AC1030" s="2"/>
      <c r="AD1030" s="2"/>
      <c r="AE1030" s="2"/>
      <c r="AF1030" s="2"/>
      <c r="AG1030" s="2"/>
      <c r="AH1030" s="2"/>
      <c r="AI1030" s="2"/>
      <c r="AJ1030" s="2"/>
      <c r="AK1030" s="2"/>
      <c r="AL1030" s="2"/>
    </row>
    <row r="1031" spans="1:38" ht="5.15" customHeight="1" x14ac:dyDescent="0.25">
      <c r="A1031" s="2"/>
      <c r="B1031" s="178"/>
      <c r="C1031" s="775"/>
      <c r="D1031" s="776"/>
      <c r="E1031" s="776"/>
      <c r="F1031" s="776"/>
      <c r="G1031" s="776"/>
      <c r="H1031" s="776"/>
      <c r="I1031" s="776"/>
      <c r="J1031" s="776"/>
      <c r="K1031" s="776"/>
      <c r="L1031" s="776"/>
      <c r="M1031" s="777"/>
      <c r="N1031" s="778"/>
      <c r="O1031" s="15"/>
      <c r="P1031" s="15"/>
      <c r="Q1031" s="343"/>
      <c r="R1031" s="2"/>
      <c r="S1031" s="343"/>
      <c r="T1031" s="343"/>
      <c r="U1031" s="2"/>
      <c r="V1031" s="2"/>
      <c r="W1031" s="2"/>
      <c r="X1031" s="2"/>
      <c r="Y1031" s="2"/>
      <c r="Z1031" s="2"/>
      <c r="AA1031" s="2"/>
      <c r="AB1031" s="2"/>
      <c r="AC1031" s="2"/>
      <c r="AD1031" s="2"/>
      <c r="AE1031" s="2"/>
      <c r="AF1031" s="2"/>
      <c r="AG1031" s="2"/>
      <c r="AH1031" s="2"/>
      <c r="AI1031" s="2"/>
      <c r="AJ1031" s="2"/>
      <c r="AK1031" s="2"/>
      <c r="AL1031" s="2"/>
    </row>
    <row r="1032" spans="1:38" ht="15" customHeight="1" x14ac:dyDescent="0.25">
      <c r="A1032" s="2"/>
      <c r="B1032" s="19"/>
      <c r="C1032" s="779"/>
      <c r="D1032" s="2645" t="str">
        <f>Translations!$B$549</f>
        <v>Uppgifter som krävs för att fastställa den riktmärkesrelaterade förbättringsfaktorn enligt artikel 10a.2 i ETS-direktivet</v>
      </c>
      <c r="E1032" s="2635"/>
      <c r="F1032" s="2635"/>
      <c r="G1032" s="2635"/>
      <c r="H1032" s="2635"/>
      <c r="I1032" s="2635"/>
      <c r="J1032" s="2635"/>
      <c r="K1032" s="2635"/>
      <c r="L1032" s="2635"/>
      <c r="M1032" s="2635"/>
      <c r="N1032" s="2636"/>
      <c r="O1032" s="15"/>
      <c r="P1032" s="15"/>
      <c r="Q1032" s="2"/>
      <c r="R1032" s="2"/>
      <c r="S1032" s="343"/>
      <c r="T1032" s="343"/>
      <c r="U1032" s="2"/>
      <c r="V1032" s="2"/>
      <c r="W1032" s="2"/>
      <c r="X1032" s="2"/>
      <c r="Y1032" s="2"/>
      <c r="Z1032" s="2"/>
      <c r="AA1032" s="2"/>
      <c r="AB1032" s="2"/>
      <c r="AC1032" s="2"/>
      <c r="AD1032" s="2"/>
      <c r="AE1032" s="2"/>
      <c r="AF1032" s="2"/>
      <c r="AG1032" s="2"/>
      <c r="AH1032" s="2"/>
      <c r="AI1032" s="2"/>
      <c r="AJ1032" s="2"/>
      <c r="AK1032" s="2"/>
      <c r="AL1032" s="2"/>
    </row>
    <row r="1033" spans="1:38" ht="5.15" customHeight="1" x14ac:dyDescent="0.25">
      <c r="A1033" s="2"/>
      <c r="B1033" s="19"/>
      <c r="C1033" s="371"/>
      <c r="D1033" s="360"/>
      <c r="E1033" s="360"/>
      <c r="F1033" s="360"/>
      <c r="G1033" s="360"/>
      <c r="H1033" s="360"/>
      <c r="I1033" s="360"/>
      <c r="J1033" s="360"/>
      <c r="K1033" s="360"/>
      <c r="L1033" s="360"/>
      <c r="M1033" s="360"/>
      <c r="N1033" s="372"/>
      <c r="O1033" s="15"/>
      <c r="P1033" s="15"/>
      <c r="Q1033" s="2"/>
      <c r="R1033" s="2"/>
      <c r="S1033" s="343"/>
      <c r="T1033" s="343"/>
      <c r="U1033" s="2"/>
      <c r="V1033" s="2"/>
      <c r="W1033" s="2"/>
      <c r="X1033" s="2"/>
      <c r="Y1033" s="2"/>
      <c r="Z1033" s="2"/>
      <c r="AA1033" s="2"/>
      <c r="AB1033" s="2"/>
      <c r="AC1033" s="2"/>
      <c r="AD1033" s="2"/>
      <c r="AE1033" s="2"/>
      <c r="AF1033" s="2"/>
      <c r="AG1033" s="2"/>
      <c r="AH1033" s="2"/>
      <c r="AI1033" s="2"/>
      <c r="AJ1033" s="2"/>
      <c r="AK1033" s="2"/>
      <c r="AL1033" s="2"/>
    </row>
    <row r="1034" spans="1:38" ht="15" customHeight="1" x14ac:dyDescent="0.25">
      <c r="A1034" s="2"/>
      <c r="B1034" s="19"/>
      <c r="C1034" s="371"/>
      <c r="D1034" s="2646" t="str">
        <f>EUconst_BMSubinst &amp; ":"</f>
        <v>Delanläggning med produktriktmärke:</v>
      </c>
      <c r="E1034" s="2642"/>
      <c r="F1034" s="2642"/>
      <c r="G1034" s="2642"/>
      <c r="H1034" s="2647"/>
      <c r="I1034" s="2090" t="str">
        <f>I919</f>
        <v/>
      </c>
      <c r="J1034" s="2120"/>
      <c r="K1034" s="2120"/>
      <c r="L1034" s="2120"/>
      <c r="M1034" s="2120"/>
      <c r="N1034" s="2648"/>
      <c r="O1034" s="15"/>
      <c r="P1034" s="15"/>
      <c r="Q1034" s="2"/>
      <c r="R1034" s="2"/>
      <c r="S1034" s="343"/>
      <c r="T1034" s="343"/>
      <c r="U1034" s="2"/>
      <c r="V1034" s="2"/>
      <c r="W1034" s="2"/>
      <c r="X1034" s="2"/>
      <c r="Y1034" s="2"/>
      <c r="Z1034" s="2"/>
      <c r="AA1034" s="2"/>
      <c r="AB1034" s="2"/>
      <c r="AC1034" s="2"/>
      <c r="AD1034" s="2"/>
      <c r="AE1034" s="2"/>
      <c r="AF1034" s="2"/>
      <c r="AG1034" s="2"/>
      <c r="AH1034" s="2"/>
      <c r="AI1034" s="2"/>
      <c r="AJ1034" s="2"/>
      <c r="AK1034" s="2"/>
      <c r="AL1034" s="2"/>
    </row>
    <row r="1035" spans="1:38" ht="5.15" customHeight="1" x14ac:dyDescent="0.25">
      <c r="A1035" s="2"/>
      <c r="B1035" s="19"/>
      <c r="C1035" s="371"/>
      <c r="D1035" s="360"/>
      <c r="E1035" s="360"/>
      <c r="F1035" s="360"/>
      <c r="G1035" s="360"/>
      <c r="H1035" s="360"/>
      <c r="I1035" s="360"/>
      <c r="J1035" s="360"/>
      <c r="K1035" s="360"/>
      <c r="L1035" s="360"/>
      <c r="M1035" s="360"/>
      <c r="N1035" s="372"/>
      <c r="O1035" s="15"/>
      <c r="P1035" s="15"/>
      <c r="Q1035" s="2"/>
      <c r="R1035" s="2"/>
      <c r="S1035" s="343"/>
      <c r="T1035" s="343"/>
      <c r="U1035" s="2"/>
      <c r="V1035" s="2"/>
      <c r="W1035" s="2"/>
      <c r="X1035" s="2"/>
      <c r="Y1035" s="2"/>
      <c r="Z1035" s="2"/>
      <c r="AA1035" s="2"/>
      <c r="AB1035" s="2"/>
      <c r="AC1035" s="2"/>
      <c r="AD1035" s="2"/>
      <c r="AE1035" s="2"/>
      <c r="AF1035" s="2"/>
      <c r="AG1035" s="2"/>
      <c r="AH1035" s="2"/>
      <c r="AI1035" s="2"/>
      <c r="AJ1035" s="2"/>
      <c r="AK1035" s="2"/>
      <c r="AL1035" s="2"/>
    </row>
    <row r="1036" spans="1:38" ht="30" customHeight="1" x14ac:dyDescent="0.25">
      <c r="A1036" s="2"/>
      <c r="B1036" s="178"/>
      <c r="C1036" s="779"/>
      <c r="D1036" s="780"/>
      <c r="E1036" s="2649" t="str">
        <f>Translations!$B$550</f>
        <v>Detta underavsnitt avser tillskrivning av utsläpp från bränsle-/materialmängder, utsläppskällor, import och export av mätbar värme och restgaser inklusive värmeförluster i enlighet med avsnitt 10 i bilaga VII till FAR.</v>
      </c>
      <c r="F1036" s="2649"/>
      <c r="G1036" s="2649"/>
      <c r="H1036" s="2649"/>
      <c r="I1036" s="2649"/>
      <c r="J1036" s="2649"/>
      <c r="K1036" s="2649"/>
      <c r="L1036" s="2649"/>
      <c r="M1036" s="2649"/>
      <c r="N1036" s="2650"/>
      <c r="O1036" s="15"/>
      <c r="P1036" s="15"/>
      <c r="Q1036" s="343"/>
      <c r="R1036" s="2"/>
      <c r="S1036" s="2"/>
      <c r="T1036" s="2"/>
      <c r="U1036" s="2"/>
      <c r="V1036" s="2"/>
      <c r="W1036" s="2"/>
      <c r="X1036" s="2"/>
      <c r="Y1036" s="2"/>
      <c r="Z1036" s="2"/>
      <c r="AA1036" s="2"/>
      <c r="AB1036" s="2"/>
      <c r="AC1036" s="2"/>
      <c r="AD1036" s="2"/>
      <c r="AE1036" s="2"/>
      <c r="AF1036" s="2"/>
      <c r="AG1036" s="2"/>
      <c r="AH1036" s="2"/>
      <c r="AI1036" s="2"/>
      <c r="AJ1036" s="2"/>
      <c r="AK1036" s="2"/>
      <c r="AL1036" s="2"/>
    </row>
    <row r="1037" spans="1:38" ht="30" customHeight="1" x14ac:dyDescent="0.25">
      <c r="A1037" s="2"/>
      <c r="B1037" s="178"/>
      <c r="C1037" s="779"/>
      <c r="D1037" s="780"/>
      <c r="E1037" s="2649" t="str">
        <f>Translations!$B$551</f>
        <v xml:space="preserve">Var god notera att även om viss vägledning ges för varje punkt nedan bör ytterligare information inhämtas från vägledning 5 (”Monitoring and Reporting in relation to the FAR”), som också innehåller exempel. </v>
      </c>
      <c r="F1037" s="2649"/>
      <c r="G1037" s="2649"/>
      <c r="H1037" s="2649"/>
      <c r="I1037" s="2649"/>
      <c r="J1037" s="2649"/>
      <c r="K1037" s="2649"/>
      <c r="L1037" s="2649"/>
      <c r="M1037" s="2649"/>
      <c r="N1037" s="2597"/>
      <c r="O1037" s="15"/>
      <c r="P1037" s="15"/>
      <c r="Q1037" s="343"/>
      <c r="R1037" s="2"/>
      <c r="S1037" s="2"/>
      <c r="T1037" s="2"/>
      <c r="U1037" s="2"/>
      <c r="V1037" s="2"/>
      <c r="W1037" s="2"/>
      <c r="X1037" s="2"/>
      <c r="Y1037" s="2"/>
      <c r="Z1037" s="2"/>
      <c r="AA1037" s="2"/>
      <c r="AB1037" s="2"/>
      <c r="AC1037" s="2"/>
      <c r="AD1037" s="2"/>
      <c r="AE1037" s="2"/>
      <c r="AF1037" s="2"/>
      <c r="AG1037" s="2"/>
      <c r="AH1037" s="2"/>
      <c r="AI1037" s="2"/>
      <c r="AJ1037" s="2"/>
      <c r="AK1037" s="2"/>
      <c r="AL1037" s="2"/>
    </row>
    <row r="1038" spans="1:38" ht="12.75" customHeight="1" x14ac:dyDescent="0.25">
      <c r="A1038" s="2"/>
      <c r="B1038" s="178"/>
      <c r="C1038" s="779"/>
      <c r="D1038" s="780"/>
      <c r="E1038" s="2649" t="str">
        <f>Translations!$B$552</f>
        <v xml:space="preserve">Vägledningen kan laddas ner via följande länk: </v>
      </c>
      <c r="F1038" s="1960"/>
      <c r="G1038" s="1960"/>
      <c r="H1038" s="1960"/>
      <c r="I1038" s="1960"/>
      <c r="J1038" s="1960"/>
      <c r="K1038" s="1960"/>
      <c r="L1038" s="1960"/>
      <c r="M1038" s="1960"/>
      <c r="N1038" s="2597"/>
      <c r="O1038" s="15"/>
      <c r="P1038" s="15"/>
      <c r="Q1038" s="343"/>
      <c r="R1038" s="2"/>
      <c r="S1038" s="2"/>
      <c r="T1038" s="2"/>
      <c r="U1038" s="2"/>
      <c r="V1038" s="2"/>
      <c r="W1038" s="2"/>
      <c r="X1038" s="2"/>
      <c r="Y1038" s="2"/>
      <c r="Z1038" s="2"/>
      <c r="AA1038" s="2"/>
      <c r="AB1038" s="2"/>
      <c r="AC1038" s="2"/>
      <c r="AD1038" s="2"/>
      <c r="AE1038" s="2"/>
      <c r="AF1038" s="2"/>
      <c r="AG1038" s="2"/>
      <c r="AH1038" s="2"/>
      <c r="AI1038" s="2"/>
      <c r="AJ1038" s="2"/>
      <c r="AK1038" s="2"/>
      <c r="AL1038" s="2"/>
    </row>
    <row r="1039" spans="1:38" ht="15" customHeight="1" x14ac:dyDescent="0.25">
      <c r="A1039" s="2"/>
      <c r="B1039" s="178"/>
      <c r="C1039" s="779"/>
      <c r="D1039" s="780"/>
      <c r="E1039" s="2651" t="str">
        <f>Translations!$B$553</f>
        <v>https://ec.europa.eu/clima/policies/ets/allowances_en#tab-0-1</v>
      </c>
      <c r="F1039" s="2651"/>
      <c r="G1039" s="2651"/>
      <c r="H1039" s="2651"/>
      <c r="I1039" s="2651"/>
      <c r="J1039" s="2651"/>
      <c r="K1039" s="2651"/>
      <c r="L1039" s="2651"/>
      <c r="M1039" s="2651"/>
      <c r="N1039" s="2624"/>
      <c r="O1039" s="15"/>
      <c r="P1039" s="15"/>
      <c r="Q1039" s="343"/>
      <c r="R1039" s="2"/>
      <c r="S1039" s="2"/>
      <c r="T1039" s="2"/>
      <c r="U1039" s="2"/>
      <c r="V1039" s="2"/>
      <c r="W1039" s="2"/>
      <c r="X1039" s="2"/>
      <c r="Y1039" s="2"/>
      <c r="Z1039" s="2"/>
      <c r="AA1039" s="2"/>
      <c r="AB1039" s="2"/>
      <c r="AC1039" s="2"/>
      <c r="AD1039" s="2"/>
      <c r="AE1039" s="2"/>
      <c r="AF1039" s="2"/>
      <c r="AG1039" s="2"/>
      <c r="AH1039" s="2"/>
      <c r="AI1039" s="2"/>
      <c r="AJ1039" s="2"/>
      <c r="AK1039" s="2"/>
      <c r="AL1039" s="2"/>
    </row>
    <row r="1040" spans="1:38" ht="5.15" customHeight="1" x14ac:dyDescent="0.25">
      <c r="A1040" s="2"/>
      <c r="B1040" s="19"/>
      <c r="C1040" s="371"/>
      <c r="D1040" s="360"/>
      <c r="E1040" s="360"/>
      <c r="F1040" s="360"/>
      <c r="G1040" s="360"/>
      <c r="H1040" s="360"/>
      <c r="I1040" s="360"/>
      <c r="J1040" s="360"/>
      <c r="K1040" s="360"/>
      <c r="L1040" s="360"/>
      <c r="M1040" s="360"/>
      <c r="N1040" s="372"/>
      <c r="O1040" s="15"/>
      <c r="P1040" s="15"/>
      <c r="Q1040" s="2"/>
      <c r="R1040" s="2"/>
      <c r="S1040" s="343"/>
      <c r="T1040" s="343"/>
      <c r="U1040" s="2"/>
      <c r="V1040" s="2"/>
      <c r="W1040" s="2"/>
      <c r="X1040" s="2"/>
      <c r="Y1040" s="2"/>
      <c r="Z1040" s="2"/>
      <c r="AA1040" s="2"/>
      <c r="AB1040" s="2"/>
      <c r="AC1040" s="2"/>
      <c r="AD1040" s="2"/>
      <c r="AE1040" s="2"/>
      <c r="AF1040" s="2"/>
      <c r="AG1040" s="2"/>
      <c r="AH1040" s="2"/>
      <c r="AI1040" s="2"/>
      <c r="AJ1040" s="2"/>
      <c r="AK1040" s="2"/>
      <c r="AL1040" s="2"/>
    </row>
    <row r="1041" spans="1:38" ht="15" customHeight="1" x14ac:dyDescent="0.25">
      <c r="A1041" s="2"/>
      <c r="B1041" s="178"/>
      <c r="C1041" s="779"/>
      <c r="D1041" s="780"/>
      <c r="E1041" s="2633" t="str">
        <f>Translations!$B$554</f>
        <v>Utifrån de uppgifter som anges nedan beräknas de tillskrivna utsläppen i avsnitt K.III.2 i det sammanfattande bladet "K_Summary".</v>
      </c>
      <c r="F1041" s="2633"/>
      <c r="G1041" s="2633"/>
      <c r="H1041" s="2633"/>
      <c r="I1041" s="2633"/>
      <c r="J1041" s="2633"/>
      <c r="K1041" s="2633"/>
      <c r="L1041" s="2633"/>
      <c r="M1041" s="2633"/>
      <c r="N1041" s="2624"/>
      <c r="O1041" s="15"/>
      <c r="P1041" s="15"/>
      <c r="Q1041" s="343"/>
      <c r="R1041" s="2"/>
      <c r="S1041" s="2"/>
      <c r="T1041" s="2"/>
      <c r="U1041" s="2"/>
      <c r="V1041" s="2"/>
      <c r="W1041" s="2"/>
      <c r="X1041" s="2"/>
      <c r="Y1041" s="2"/>
      <c r="Z1041" s="2"/>
      <c r="AA1041" s="2"/>
      <c r="AB1041" s="2"/>
      <c r="AC1041" s="2"/>
      <c r="AD1041" s="2"/>
      <c r="AE1041" s="2"/>
      <c r="AF1041" s="2"/>
      <c r="AG1041" s="2"/>
      <c r="AH1041" s="2"/>
      <c r="AI1041" s="2"/>
      <c r="AJ1041" s="2"/>
      <c r="AK1041" s="2"/>
      <c r="AL1041" s="2"/>
    </row>
    <row r="1042" spans="1:38" ht="5.15" customHeight="1" x14ac:dyDescent="0.25">
      <c r="A1042" s="2"/>
      <c r="B1042" s="19"/>
      <c r="C1042" s="371"/>
      <c r="D1042" s="360"/>
      <c r="E1042" s="360"/>
      <c r="F1042" s="360"/>
      <c r="G1042" s="360"/>
      <c r="H1042" s="360"/>
      <c r="I1042" s="360"/>
      <c r="J1042" s="360"/>
      <c r="K1042" s="360"/>
      <c r="L1042" s="360"/>
      <c r="M1042" s="360"/>
      <c r="N1042" s="372"/>
      <c r="O1042" s="15"/>
      <c r="P1042" s="15"/>
      <c r="Q1042" s="2"/>
      <c r="R1042" s="2"/>
      <c r="S1042" s="343"/>
      <c r="T1042" s="343"/>
      <c r="U1042" s="2"/>
      <c r="V1042" s="2"/>
      <c r="W1042" s="2"/>
      <c r="X1042" s="2"/>
      <c r="Y1042" s="2"/>
      <c r="Z1042" s="2"/>
      <c r="AA1042" s="2"/>
      <c r="AB1042" s="2"/>
      <c r="AC1042" s="2"/>
      <c r="AD1042" s="2"/>
      <c r="AE1042" s="2"/>
      <c r="AF1042" s="2"/>
      <c r="AG1042" s="2"/>
      <c r="AH1042" s="2"/>
      <c r="AI1042" s="2"/>
      <c r="AJ1042" s="2"/>
      <c r="AK1042" s="2"/>
      <c r="AL1042" s="2"/>
    </row>
    <row r="1043" spans="1:38" ht="12.75" customHeight="1" x14ac:dyDescent="0.25">
      <c r="A1043" s="2"/>
      <c r="B1043" s="178"/>
      <c r="C1043" s="779"/>
      <c r="D1043" s="373" t="s">
        <v>299</v>
      </c>
      <c r="E1043" s="2634" t="str">
        <f>Translations!$B$555</f>
        <v>Utsläpp som direkt kan tillskrivas (DirEm* (bränsle-/materialmängder enligt övervakningsplan)) delanläggningen</v>
      </c>
      <c r="F1043" s="2635"/>
      <c r="G1043" s="2635"/>
      <c r="H1043" s="2635"/>
      <c r="I1043" s="2635"/>
      <c r="J1043" s="2635"/>
      <c r="K1043" s="2635"/>
      <c r="L1043" s="2635"/>
      <c r="M1043" s="2635"/>
      <c r="N1043" s="2636"/>
      <c r="O1043" s="15"/>
      <c r="P1043" s="15"/>
      <c r="Q1043" s="343"/>
      <c r="R1043" s="2"/>
      <c r="S1043" s="343"/>
      <c r="T1043" s="343"/>
      <c r="U1043" s="2"/>
      <c r="V1043" s="2"/>
      <c r="W1043" s="2"/>
      <c r="X1043" s="2"/>
      <c r="Y1043" s="2"/>
      <c r="Z1043" s="2"/>
      <c r="AA1043" s="2"/>
      <c r="AB1043" s="2"/>
      <c r="AC1043" s="2"/>
      <c r="AD1043" s="2"/>
      <c r="AE1043" s="2"/>
      <c r="AF1043" s="2"/>
      <c r="AG1043" s="2"/>
      <c r="AH1043" s="2"/>
      <c r="AI1043" s="2"/>
      <c r="AJ1043" s="2"/>
      <c r="AK1043" s="2"/>
      <c r="AL1043" s="2"/>
    </row>
    <row r="1044" spans="1:38" ht="12.75" customHeight="1" x14ac:dyDescent="0.25">
      <c r="A1044" s="2"/>
      <c r="B1044" s="178"/>
      <c r="C1044" s="779"/>
      <c r="D1044" s="416"/>
      <c r="E1044" s="2637" t="str">
        <f>Translations!$B$556</f>
        <v>De uppgifter som anges här påverkar de utsläpp som kan tillskrivas i enlighet med avsnitt 10.1.1 i bilaga VII till FAR.</v>
      </c>
      <c r="F1044" s="2634"/>
      <c r="G1044" s="2634"/>
      <c r="H1044" s="2634"/>
      <c r="I1044" s="2634"/>
      <c r="J1044" s="2634"/>
      <c r="K1044" s="2634"/>
      <c r="L1044" s="2634"/>
      <c r="M1044" s="2634"/>
      <c r="N1044" s="2638"/>
      <c r="O1044" s="15"/>
      <c r="P1044" s="15"/>
      <c r="Q1044" s="343"/>
      <c r="R1044" s="2"/>
      <c r="S1044" s="343"/>
      <c r="T1044" s="343"/>
      <c r="U1044" s="2"/>
      <c r="V1044" s="2"/>
      <c r="W1044" s="2"/>
      <c r="X1044" s="2"/>
      <c r="Y1044" s="2"/>
      <c r="Z1044" s="2"/>
      <c r="AA1044" s="2"/>
      <c r="AB1044" s="2"/>
      <c r="AC1044" s="2"/>
      <c r="AD1044" s="2"/>
      <c r="AE1044" s="2"/>
      <c r="AF1044" s="2"/>
      <c r="AG1044" s="2"/>
      <c r="AH1044" s="2"/>
      <c r="AI1044" s="2"/>
      <c r="AJ1044" s="2"/>
      <c r="AK1044" s="2"/>
      <c r="AL1044" s="2"/>
    </row>
    <row r="1045" spans="1:38" ht="12.75" customHeight="1" x14ac:dyDescent="0.25">
      <c r="A1045" s="2"/>
      <c r="B1045" s="178"/>
      <c r="C1045" s="779"/>
      <c r="D1045" s="780"/>
      <c r="E1045" s="2639" t="str">
        <f>Translations!$B$557</f>
        <v>Var god ange utsläpp som direkt kan tillskrivas (DirEm* (bränsle-/materialmängder enligt övervakningsplan)) delanläggningen med beaktande av följande bestämmelser:</v>
      </c>
      <c r="F1045" s="2639"/>
      <c r="G1045" s="2639"/>
      <c r="H1045" s="2639"/>
      <c r="I1045" s="2639"/>
      <c r="J1045" s="2639"/>
      <c r="K1045" s="2639"/>
      <c r="L1045" s="2639"/>
      <c r="M1045" s="2639"/>
      <c r="N1045" s="2640"/>
      <c r="O1045" s="15"/>
      <c r="P1045" s="15"/>
      <c r="Q1045" s="343"/>
      <c r="R1045" s="2"/>
      <c r="S1045" s="343"/>
      <c r="T1045" s="2"/>
      <c r="U1045" s="2"/>
      <c r="V1045" s="2"/>
      <c r="W1045" s="2"/>
      <c r="X1045" s="2"/>
      <c r="Y1045" s="2"/>
      <c r="Z1045" s="2"/>
      <c r="AA1045" s="2"/>
      <c r="AB1045" s="2"/>
      <c r="AC1045" s="2"/>
      <c r="AD1045" s="2"/>
      <c r="AE1045" s="2"/>
      <c r="AF1045" s="2"/>
      <c r="AG1045" s="2"/>
      <c r="AH1045" s="2"/>
      <c r="AI1045" s="2"/>
      <c r="AJ1045" s="2"/>
      <c r="AK1045" s="2"/>
      <c r="AL1045" s="2"/>
    </row>
    <row r="1046" spans="1:38" ht="25.5" customHeight="1" x14ac:dyDescent="0.25">
      <c r="A1046" s="2"/>
      <c r="B1046" s="178"/>
      <c r="C1046" s="779"/>
      <c r="D1046" s="780"/>
      <c r="E1046" s="1140" t="s">
        <v>1112</v>
      </c>
      <c r="F1046" s="2641" t="str">
        <f>Translations!$B$558</f>
        <v>”Utsläpp som direkt kan tillskrivas” övervakas enligt den övervakningsplan som ska godkännas enligt M&amp;R-förordningen, dvs. med hänsyn tagen till de utsläpp som fastställts utifrån beräkningsbaserade metoder (med hjälp av bränsle-/materialmängder), mätbaserade metoder (Cems) och nivålösa metoder (”alternativa övervakningsmetoder”/”fall-back”).</v>
      </c>
      <c r="G1046" s="2642"/>
      <c r="H1046" s="2642"/>
      <c r="I1046" s="2642"/>
      <c r="J1046" s="2642"/>
      <c r="K1046" s="2642"/>
      <c r="L1046" s="2642"/>
      <c r="M1046" s="2642"/>
      <c r="N1046" s="2643"/>
      <c r="O1046" s="15"/>
      <c r="P1046" s="15"/>
      <c r="Q1046" s="343"/>
      <c r="R1046" s="2"/>
      <c r="S1046" s="343"/>
      <c r="T1046" s="2"/>
      <c r="U1046" s="2"/>
      <c r="V1046" s="2"/>
      <c r="W1046" s="2"/>
      <c r="X1046" s="2"/>
      <c r="Y1046" s="2"/>
      <c r="Z1046" s="2"/>
      <c r="AA1046" s="2"/>
      <c r="AB1046" s="2"/>
      <c r="AC1046" s="2"/>
      <c r="AD1046" s="2"/>
      <c r="AE1046" s="2"/>
      <c r="AF1046" s="2"/>
      <c r="AG1046" s="2"/>
      <c r="AH1046" s="2"/>
      <c r="AI1046" s="2"/>
      <c r="AJ1046" s="2"/>
      <c r="AK1046" s="2"/>
      <c r="AL1046" s="2"/>
    </row>
    <row r="1047" spans="1:38" ht="38.25" customHeight="1" x14ac:dyDescent="0.25">
      <c r="A1047" s="2"/>
      <c r="B1047" s="178"/>
      <c r="C1047" s="779"/>
      <c r="D1047" s="780"/>
      <c r="E1047" s="1140"/>
      <c r="F1047" s="2610" t="str">
        <f>Translations!$B$559</f>
        <v>I flera situationer är ”utsläppen som direkt kan tillskrivas” i detta avsnitt dock inte identiska med de som ska rapporteras enligt M&amp;R-förordningen. Sådana situationer är bland annat när bränsle-/materialmängder används för produktion av mätbar värme, restgaser osv. Med andra ord måste man därför vara uppmärksam när man fyller i avsnitten nedan, så att man följer instruktionerna noggrant för att undvika dubbelräkning eller utelämnanden.</v>
      </c>
      <c r="G1047" s="1960"/>
      <c r="H1047" s="1960"/>
      <c r="I1047" s="1960"/>
      <c r="J1047" s="1960"/>
      <c r="K1047" s="1960"/>
      <c r="L1047" s="1960"/>
      <c r="M1047" s="1960"/>
      <c r="N1047" s="2597"/>
      <c r="O1047" s="15"/>
      <c r="P1047" s="15"/>
      <c r="Q1047" s="343"/>
      <c r="R1047" s="2"/>
      <c r="S1047" s="343"/>
      <c r="T1047" s="2"/>
      <c r="U1047" s="2"/>
      <c r="V1047" s="2"/>
      <c r="W1047" s="2"/>
      <c r="X1047" s="2"/>
      <c r="Y1047" s="2"/>
      <c r="Z1047" s="2"/>
      <c r="AA1047" s="2"/>
      <c r="AB1047" s="2"/>
      <c r="AC1047" s="2"/>
      <c r="AD1047" s="2"/>
      <c r="AE1047" s="2"/>
      <c r="AF1047" s="2"/>
      <c r="AG1047" s="2"/>
      <c r="AH1047" s="2"/>
      <c r="AI1047" s="2"/>
      <c r="AJ1047" s="2"/>
      <c r="AK1047" s="2"/>
      <c r="AL1047" s="2"/>
    </row>
    <row r="1048" spans="1:38" ht="12.75" customHeight="1" x14ac:dyDescent="0.25">
      <c r="A1048" s="2"/>
      <c r="B1048" s="178"/>
      <c r="C1048" s="779"/>
      <c r="D1048" s="780"/>
      <c r="E1048" s="1140" t="s">
        <v>1112</v>
      </c>
      <c r="F1048" s="2641" t="str">
        <f>Translations!$B$560</f>
        <v xml:space="preserve">Mätbar värme: om värmen enbart produceras för en delanläggning kan utsläppen tillskrivas direkt här via bränslets utsläpp. </v>
      </c>
      <c r="G1048" s="2642"/>
      <c r="H1048" s="2642"/>
      <c r="I1048" s="2642"/>
      <c r="J1048" s="2642"/>
      <c r="K1048" s="2642"/>
      <c r="L1048" s="2642"/>
      <c r="M1048" s="2642"/>
      <c r="N1048" s="2643"/>
      <c r="O1048" s="15"/>
      <c r="P1048" s="15"/>
      <c r="Q1048" s="343"/>
      <c r="R1048" s="2"/>
      <c r="S1048" s="343"/>
      <c r="T1048" s="2"/>
      <c r="U1048" s="2"/>
      <c r="V1048" s="2"/>
      <c r="W1048" s="2"/>
      <c r="X1048" s="2"/>
      <c r="Y1048" s="2"/>
      <c r="Z1048" s="2"/>
      <c r="AA1048" s="2"/>
      <c r="AB1048" s="2"/>
      <c r="AC1048" s="2"/>
      <c r="AD1048" s="2"/>
      <c r="AE1048" s="2"/>
      <c r="AF1048" s="2"/>
      <c r="AG1048" s="2"/>
      <c r="AH1048" s="2"/>
      <c r="AI1048" s="2"/>
      <c r="AJ1048" s="2"/>
      <c r="AK1048" s="2"/>
      <c r="AL1048" s="2"/>
    </row>
    <row r="1049" spans="1:38" ht="38.9" customHeight="1" x14ac:dyDescent="0.25">
      <c r="A1049" s="2"/>
      <c r="B1049" s="178"/>
      <c r="C1049" s="779"/>
      <c r="D1049" s="780"/>
      <c r="E1049" s="1140"/>
      <c r="F1049" s="2641" t="str">
        <f>Translations!$B$561</f>
        <v>I samtliga fall där bränslen används för att producera mätbar värme som används i mer än en delanläggning där värmen förbrukas (vilket innefattar situationer med import från och export till andra anläggningar), bör bränslena inte räknas med i de ”utsläpp som direkt kan tillskrivas” delanläggningen utan tas med i punkt k nedan.</v>
      </c>
      <c r="G1049" s="2642"/>
      <c r="H1049" s="2642"/>
      <c r="I1049" s="2642"/>
      <c r="J1049" s="2642"/>
      <c r="K1049" s="2642"/>
      <c r="L1049" s="2642"/>
      <c r="M1049" s="2642"/>
      <c r="N1049" s="2643"/>
      <c r="O1049" s="15"/>
      <c r="P1049" s="15"/>
      <c r="Q1049" s="343"/>
      <c r="R1049" s="2"/>
      <c r="S1049" s="343"/>
      <c r="T1049" s="2"/>
      <c r="U1049" s="2"/>
      <c r="V1049" s="2"/>
      <c r="W1049" s="2"/>
      <c r="X1049" s="2"/>
      <c r="Y1049" s="2"/>
      <c r="Z1049" s="2"/>
      <c r="AA1049" s="2"/>
      <c r="AB1049" s="2"/>
      <c r="AC1049" s="2"/>
      <c r="AD1049" s="2"/>
      <c r="AE1049" s="2"/>
      <c r="AF1049" s="2"/>
      <c r="AG1049" s="2"/>
      <c r="AH1049" s="2"/>
      <c r="AI1049" s="2"/>
      <c r="AJ1049" s="2"/>
      <c r="AK1049" s="2"/>
      <c r="AL1049" s="2"/>
    </row>
    <row r="1050" spans="1:38" ht="25.5" customHeight="1" x14ac:dyDescent="0.25">
      <c r="A1050" s="2"/>
      <c r="B1050" s="178"/>
      <c r="C1050" s="779"/>
      <c r="D1050" s="780"/>
      <c r="E1050" s="1140"/>
      <c r="F1050" s="2641" t="str">
        <f>Translations!$B$562</f>
        <v>Detta innefattar mätbar värme från en enhet på platsen (t.ex. en energicentral vid anläggningen eller ett mer komplext ångnätverk med flera värmeproducerande enheter) som ger värme till mer än en delanläggning. I ett sådant fall bör utsläppen inte heller tillskrivas här utan i punkt k.i nedan.</v>
      </c>
      <c r="G1050" s="2642"/>
      <c r="H1050" s="2642"/>
      <c r="I1050" s="2642"/>
      <c r="J1050" s="2642"/>
      <c r="K1050" s="2642"/>
      <c r="L1050" s="2642"/>
      <c r="M1050" s="2642"/>
      <c r="N1050" s="2643"/>
      <c r="O1050" s="15"/>
      <c r="P1050" s="15"/>
      <c r="Q1050" s="343"/>
      <c r="R1050" s="2"/>
      <c r="S1050" s="343"/>
      <c r="T1050" s="2"/>
      <c r="U1050" s="2"/>
      <c r="V1050" s="2"/>
      <c r="W1050" s="2"/>
      <c r="X1050" s="2"/>
      <c r="Y1050" s="2"/>
      <c r="Z1050" s="2"/>
      <c r="AA1050" s="2"/>
      <c r="AB1050" s="2"/>
      <c r="AC1050" s="2"/>
      <c r="AD1050" s="2"/>
      <c r="AE1050" s="2"/>
      <c r="AF1050" s="2"/>
      <c r="AG1050" s="2"/>
      <c r="AH1050" s="2"/>
      <c r="AI1050" s="2"/>
      <c r="AJ1050" s="2"/>
      <c r="AK1050" s="2"/>
      <c r="AL1050" s="2"/>
    </row>
    <row r="1051" spans="1:38" ht="25.5" customHeight="1" x14ac:dyDescent="0.25">
      <c r="A1051" s="2"/>
      <c r="B1051" s="178"/>
      <c r="C1051" s="779"/>
      <c r="D1051" s="780"/>
      <c r="E1051" s="1140" t="s">
        <v>1112</v>
      </c>
      <c r="F1051" s="2641" t="str">
        <f>Translations!$B$563</f>
        <v>Exporterad mätbar värme: inga korrigeringar bör göras här om sådan värme återvinns från processen och exporteras. Avdrag för tillhörande utsläpp görs utifrån de uppgifter som ges i punkt k.v nedan.</v>
      </c>
      <c r="G1051" s="2642"/>
      <c r="H1051" s="2642"/>
      <c r="I1051" s="2642"/>
      <c r="J1051" s="2642"/>
      <c r="K1051" s="2642"/>
      <c r="L1051" s="2642"/>
      <c r="M1051" s="2642"/>
      <c r="N1051" s="2643"/>
      <c r="O1051" s="15"/>
      <c r="P1051" s="15"/>
      <c r="Q1051" s="343"/>
      <c r="R1051" s="2"/>
      <c r="S1051" s="343"/>
      <c r="T1051" s="2"/>
      <c r="U1051" s="2"/>
      <c r="V1051" s="2"/>
      <c r="W1051" s="2"/>
      <c r="X1051" s="2"/>
      <c r="Y1051" s="2"/>
      <c r="Z1051" s="2"/>
      <c r="AA1051" s="2"/>
      <c r="AB1051" s="2"/>
      <c r="AC1051" s="2"/>
      <c r="AD1051" s="2"/>
      <c r="AE1051" s="2"/>
      <c r="AF1051" s="2"/>
      <c r="AG1051" s="2"/>
      <c r="AH1051" s="2"/>
      <c r="AI1051" s="2"/>
      <c r="AJ1051" s="2"/>
      <c r="AK1051" s="2"/>
      <c r="AL1051" s="2"/>
    </row>
    <row r="1052" spans="1:38" ht="25.5" customHeight="1" thickBot="1" x14ac:dyDescent="0.3">
      <c r="A1052" s="2"/>
      <c r="B1052" s="178"/>
      <c r="C1052" s="779"/>
      <c r="D1052" s="780"/>
      <c r="E1052" s="1140" t="s">
        <v>1112</v>
      </c>
      <c r="F1052" s="2641" t="str">
        <f>Translations!$B$564</f>
        <v>Restgaser: utsläpp från restgaser som IMPORTERAS från andra anläggningar eller delanläggningar och förbrukas i denna delanläggning bör inte tas med här utan i punkt l nedan.</v>
      </c>
      <c r="G1052" s="2642"/>
      <c r="H1052" s="2642"/>
      <c r="I1052" s="2642"/>
      <c r="J1052" s="2642"/>
      <c r="K1052" s="2642"/>
      <c r="L1052" s="2642"/>
      <c r="M1052" s="2642"/>
      <c r="N1052" s="2643"/>
      <c r="O1052" s="15"/>
      <c r="P1052" s="15"/>
      <c r="Q1052" s="343"/>
      <c r="R1052" s="2"/>
      <c r="S1052" s="343"/>
      <c r="T1052" s="2"/>
      <c r="U1052" s="2"/>
      <c r="V1052" s="2"/>
      <c r="W1052" s="2"/>
      <c r="X1052" s="2"/>
      <c r="Y1052" s="2"/>
      <c r="Z1052" s="2"/>
      <c r="AA1052" s="2"/>
      <c r="AB1052" s="2"/>
      <c r="AC1052" s="2"/>
      <c r="AD1052" s="2"/>
      <c r="AE1052" s="2"/>
      <c r="AF1052" s="2"/>
      <c r="AG1052" s="2"/>
      <c r="AH1052" s="2"/>
      <c r="AI1052" s="2"/>
      <c r="AJ1052" s="2"/>
      <c r="AK1052" s="2"/>
      <c r="AL1052" s="2"/>
    </row>
    <row r="1053" spans="1:38" ht="12.75" customHeight="1" thickBot="1" x14ac:dyDescent="0.3">
      <c r="A1053" s="2"/>
      <c r="B1053" s="178"/>
      <c r="C1053" s="779"/>
      <c r="D1053" s="373"/>
      <c r="E1053" s="2605" t="str">
        <f>Translations!$B$565</f>
        <v>Utsläpp som direkt kan tillskrivas (DirEm*)</v>
      </c>
      <c r="F1053" s="2605"/>
      <c r="G1053" s="361" t="str">
        <f>EUconst_Unit</f>
        <v>Enhet</v>
      </c>
      <c r="H1053" s="362">
        <f t="shared" ref="H1053:N1053" si="447">H$3042</f>
        <v>2019</v>
      </c>
      <c r="I1053" s="1103">
        <f t="shared" si="447"/>
        <v>2020</v>
      </c>
      <c r="J1053" s="1104">
        <f t="shared" si="447"/>
        <v>2021</v>
      </c>
      <c r="K1053" s="362">
        <f t="shared" si="447"/>
        <v>2022</v>
      </c>
      <c r="L1053" s="362">
        <f t="shared" si="447"/>
        <v>2023</v>
      </c>
      <c r="M1053" s="362">
        <f t="shared" si="447"/>
        <v>2024</v>
      </c>
      <c r="N1053" s="1141">
        <f t="shared" si="447"/>
        <v>2025</v>
      </c>
      <c r="O1053" s="15"/>
      <c r="P1053" s="15"/>
      <c r="Q1053" s="343"/>
      <c r="R1053" s="2"/>
      <c r="S1053" s="772"/>
      <c r="T1053" s="609">
        <f t="shared" ref="T1053:Z1053" si="448">H1053</f>
        <v>2019</v>
      </c>
      <c r="U1053" s="609">
        <f t="shared" si="448"/>
        <v>2020</v>
      </c>
      <c r="V1053" s="609">
        <f t="shared" si="448"/>
        <v>2021</v>
      </c>
      <c r="W1053" s="609">
        <f t="shared" si="448"/>
        <v>2022</v>
      </c>
      <c r="X1053" s="609">
        <f t="shared" si="448"/>
        <v>2023</v>
      </c>
      <c r="Y1053" s="609">
        <f t="shared" si="448"/>
        <v>2024</v>
      </c>
      <c r="Z1053" s="610">
        <f t="shared" si="448"/>
        <v>2025</v>
      </c>
      <c r="AA1053" s="2"/>
      <c r="AB1053" s="2"/>
      <c r="AC1053" s="1044">
        <f t="shared" ref="AC1053:AI1053" si="449">H$20</f>
        <v>2019</v>
      </c>
      <c r="AD1053" s="1044">
        <f t="shared" si="449"/>
        <v>2020</v>
      </c>
      <c r="AE1053" s="1044">
        <f t="shared" si="449"/>
        <v>2021</v>
      </c>
      <c r="AF1053" s="1044">
        <f t="shared" si="449"/>
        <v>2022</v>
      </c>
      <c r="AG1053" s="1044">
        <f t="shared" si="449"/>
        <v>2023</v>
      </c>
      <c r="AH1053" s="1044">
        <f t="shared" si="449"/>
        <v>2024</v>
      </c>
      <c r="AI1053" s="1044">
        <f t="shared" si="449"/>
        <v>2025</v>
      </c>
      <c r="AJ1053" s="2"/>
      <c r="AK1053" s="2"/>
      <c r="AL1053" s="2"/>
    </row>
    <row r="1054" spans="1:38" ht="12.75" customHeight="1" thickBot="1" x14ac:dyDescent="0.3">
      <c r="A1054" s="2"/>
      <c r="B1054" s="178"/>
      <c r="C1054" s="779"/>
      <c r="D1054" s="780"/>
      <c r="E1054" s="2617" t="str">
        <f>I919</f>
        <v/>
      </c>
      <c r="F1054" s="1997"/>
      <c r="G1054" s="363" t="str">
        <f>EUconst_tCO2epa</f>
        <v>t CO2e/år</v>
      </c>
      <c r="H1054" s="582"/>
      <c r="I1054" s="1105"/>
      <c r="J1054" s="1115"/>
      <c r="K1054" s="582"/>
      <c r="L1054" s="582"/>
      <c r="M1054" s="582"/>
      <c r="N1054" s="1146"/>
      <c r="O1054" s="15"/>
      <c r="P1054" s="1362"/>
      <c r="Q1054" s="165" t="str">
        <f>EUconst_CNTR_Emissions &amp; I919</f>
        <v>DirEmissions_</v>
      </c>
      <c r="R1054" s="2"/>
      <c r="S1054" s="773" t="str">
        <f>EUconst_CNTR_AttributedEmissions &amp; I919</f>
        <v>AttrEmissions_</v>
      </c>
      <c r="T1054" s="111" t="str">
        <f t="shared" ref="T1054:Z1054" si="450">IF(T927,SUM(H1054),"")</f>
        <v/>
      </c>
      <c r="U1054" s="111" t="str">
        <f t="shared" si="450"/>
        <v/>
      </c>
      <c r="V1054" s="111" t="str">
        <f t="shared" si="450"/>
        <v/>
      </c>
      <c r="W1054" s="111" t="str">
        <f t="shared" si="450"/>
        <v/>
      </c>
      <c r="X1054" s="111" t="str">
        <f t="shared" si="450"/>
        <v/>
      </c>
      <c r="Y1054" s="111" t="str">
        <f t="shared" si="450"/>
        <v/>
      </c>
      <c r="Z1054" s="112" t="str">
        <f t="shared" si="450"/>
        <v/>
      </c>
      <c r="AA1054" s="2"/>
      <c r="AB1054" s="672" t="s">
        <v>782</v>
      </c>
      <c r="AC1054" s="108" t="b">
        <f>AC989</f>
        <v>0</v>
      </c>
      <c r="AD1054" s="108" t="b">
        <f t="shared" ref="AD1054:AI1054" si="451">AD989</f>
        <v>0</v>
      </c>
      <c r="AE1054" s="108" t="b">
        <f t="shared" si="451"/>
        <v>0</v>
      </c>
      <c r="AF1054" s="108" t="b">
        <f t="shared" si="451"/>
        <v>0</v>
      </c>
      <c r="AG1054" s="108" t="b">
        <f t="shared" si="451"/>
        <v>0</v>
      </c>
      <c r="AH1054" s="108" t="b">
        <f t="shared" si="451"/>
        <v>0</v>
      </c>
      <c r="AI1054" s="108" t="b">
        <f t="shared" si="451"/>
        <v>0</v>
      </c>
      <c r="AJ1054" s="553" t="s">
        <v>2248</v>
      </c>
      <c r="AK1054" s="663" t="str">
        <f>IF(AND(CNTR_ExistSubInstEntries,MSconst_RequireSubAttrEmissions,COUNTIFS(AC1054:AI1054,FALSE,H1054:N1054,"")&gt;0),EUconst_Error&amp;"BM"&amp;$Q919,"")</f>
        <v/>
      </c>
      <c r="AL1054" s="2"/>
    </row>
    <row r="1055" spans="1:38" ht="12.75" customHeight="1" x14ac:dyDescent="0.25">
      <c r="A1055" s="2"/>
      <c r="B1055" s="178"/>
      <c r="C1055" s="779"/>
      <c r="D1055" s="780"/>
      <c r="E1055" s="780"/>
      <c r="F1055" s="780"/>
      <c r="G1055" s="780"/>
      <c r="H1055" s="780"/>
      <c r="I1055" s="780"/>
      <c r="J1055" s="780"/>
      <c r="K1055" s="780"/>
      <c r="L1055" s="780"/>
      <c r="M1055" s="623"/>
      <c r="N1055" s="519"/>
      <c r="O1055" s="15"/>
      <c r="P1055" s="15"/>
      <c r="Q1055" s="343"/>
      <c r="R1055" s="2"/>
      <c r="S1055" s="343"/>
      <c r="T1055" s="2"/>
      <c r="U1055" s="2"/>
      <c r="V1055" s="2"/>
      <c r="W1055" s="2"/>
      <c r="X1055" s="2"/>
      <c r="Y1055" s="2"/>
      <c r="Z1055" s="2"/>
      <c r="AA1055" s="2"/>
      <c r="AB1055" s="2"/>
      <c r="AC1055" s="2"/>
      <c r="AD1055" s="2"/>
      <c r="AE1055" s="2"/>
      <c r="AF1055" s="2"/>
      <c r="AG1055" s="2"/>
      <c r="AH1055" s="2"/>
      <c r="AI1055" s="2"/>
      <c r="AJ1055" s="2"/>
      <c r="AK1055" s="2"/>
      <c r="AL1055" s="2"/>
    </row>
    <row r="1056" spans="1:38" ht="12.75" customHeight="1" x14ac:dyDescent="0.25">
      <c r="A1056" s="2"/>
      <c r="B1056" s="178"/>
      <c r="C1056" s="779"/>
      <c r="D1056" s="373" t="s">
        <v>303</v>
      </c>
      <c r="E1056" s="2614" t="str">
        <f>Translations!$B$566</f>
        <v>Insatsbränsle till delanläggningen och relevant emissionsfaktor</v>
      </c>
      <c r="F1056" s="1960"/>
      <c r="G1056" s="1960"/>
      <c r="H1056" s="1960"/>
      <c r="I1056" s="1960"/>
      <c r="J1056" s="1960"/>
      <c r="K1056" s="1960"/>
      <c r="L1056" s="1960"/>
      <c r="M1056" s="1960"/>
      <c r="N1056" s="2597"/>
      <c r="O1056" s="15"/>
      <c r="P1056" s="15"/>
      <c r="Q1056" s="343"/>
      <c r="R1056" s="343"/>
      <c r="S1056" s="343"/>
      <c r="T1056" s="2"/>
      <c r="U1056" s="2"/>
      <c r="V1056" s="2"/>
      <c r="W1056" s="2"/>
      <c r="X1056" s="2"/>
      <c r="Y1056" s="2"/>
      <c r="Z1056" s="2"/>
      <c r="AA1056" s="2"/>
      <c r="AB1056" s="2"/>
      <c r="AC1056" s="2"/>
      <c r="AD1056" s="2"/>
      <c r="AE1056" s="2"/>
      <c r="AF1056" s="2"/>
      <c r="AG1056" s="2"/>
      <c r="AH1056" s="2"/>
      <c r="AI1056" s="2"/>
      <c r="AJ1056" s="2"/>
      <c r="AK1056" s="2"/>
      <c r="AL1056" s="2"/>
    </row>
    <row r="1057" spans="1:38" ht="25.5" customHeight="1" x14ac:dyDescent="0.25">
      <c r="A1057" s="2"/>
      <c r="B1057" s="178"/>
      <c r="C1057" s="779"/>
      <c r="D1057" s="780"/>
      <c r="E1057" s="2639" t="str">
        <f>Translations!$B$567</f>
        <v>I enlighet med kravet i avsnitt 2.4 a i bilaga IV till FAR, var god ange den totala bränsletillförseln till delanläggningen och motsvarande viktad emissionsfaktor, med beaktande av energiinnehållet hos varje bränsle som finns med under punkt g och med tillämpning av samma systemgränser som för punkt g.</v>
      </c>
      <c r="F1057" s="2639"/>
      <c r="G1057" s="2639"/>
      <c r="H1057" s="2639"/>
      <c r="I1057" s="2639"/>
      <c r="J1057" s="2639"/>
      <c r="K1057" s="2639"/>
      <c r="L1057" s="2639"/>
      <c r="M1057" s="2639"/>
      <c r="N1057" s="2640"/>
      <c r="O1057" s="15"/>
      <c r="P1057" s="15"/>
      <c r="Q1057" s="343"/>
      <c r="R1057" s="343"/>
      <c r="S1057" s="343"/>
      <c r="T1057" s="2"/>
      <c r="U1057" s="2"/>
      <c r="V1057" s="2"/>
      <c r="W1057" s="2"/>
      <c r="X1057" s="2"/>
      <c r="Y1057" s="2"/>
      <c r="Z1057" s="2"/>
      <c r="AA1057" s="2"/>
      <c r="AB1057" s="2"/>
      <c r="AC1057" s="2"/>
      <c r="AD1057" s="2"/>
      <c r="AE1057" s="2"/>
      <c r="AF1057" s="2"/>
      <c r="AG1057" s="2"/>
      <c r="AH1057" s="2"/>
      <c r="AI1057" s="2"/>
      <c r="AJ1057" s="2"/>
      <c r="AK1057" s="2"/>
      <c r="AL1057" s="2"/>
    </row>
    <row r="1058" spans="1:38" ht="25.5" customHeight="1" x14ac:dyDescent="0.25">
      <c r="A1058" s="2"/>
      <c r="B1058" s="178"/>
      <c r="C1058" s="779"/>
      <c r="D1058" s="780"/>
      <c r="E1058" s="2639" t="str">
        <f>Translations!$B$568</f>
        <v>Med ”bränsle” avses varje bränsle-/materialmängd enligt M&amp;R-förordningen som är brännbar och för vilken ett effektivt värmevärde kan fastställas. Den viktade emissionsfaktorn motsvarar de ackumulerade bränsleutsläppen delat med det totala energiinnehållet.</v>
      </c>
      <c r="F1058" s="2639"/>
      <c r="G1058" s="2639"/>
      <c r="H1058" s="2639"/>
      <c r="I1058" s="2639"/>
      <c r="J1058" s="2639"/>
      <c r="K1058" s="2639"/>
      <c r="L1058" s="2639"/>
      <c r="M1058" s="2639"/>
      <c r="N1058" s="2640"/>
      <c r="O1058" s="15"/>
      <c r="P1058" s="15"/>
      <c r="Q1058" s="343"/>
      <c r="R1058" s="2"/>
      <c r="S1058" s="343"/>
      <c r="T1058" s="2"/>
      <c r="U1058" s="2"/>
      <c r="V1058" s="2"/>
      <c r="W1058" s="2"/>
      <c r="X1058" s="2"/>
      <c r="Y1058" s="2"/>
      <c r="Z1058" s="2"/>
      <c r="AA1058" s="2"/>
      <c r="AB1058" s="2"/>
      <c r="AC1058" s="2"/>
      <c r="AD1058" s="2"/>
      <c r="AE1058" s="2"/>
      <c r="AF1058" s="2"/>
      <c r="AG1058" s="2"/>
      <c r="AH1058" s="2"/>
      <c r="AI1058" s="2"/>
      <c r="AJ1058" s="2"/>
      <c r="AK1058" s="2"/>
      <c r="AL1058" s="2"/>
    </row>
    <row r="1059" spans="1:38" ht="12.75" customHeight="1" x14ac:dyDescent="0.25">
      <c r="A1059" s="2"/>
      <c r="B1059" s="178"/>
      <c r="C1059" s="779"/>
      <c r="D1059" s="780"/>
      <c r="E1059" s="2639" t="str">
        <f>Translations!$B$569</f>
        <v>Den viktade emissionsfaktorn bör dessutom innefatta utsläpp från motsvarande rökgasrening, i tillämpliga fall.</v>
      </c>
      <c r="F1059" s="2639"/>
      <c r="G1059" s="2639"/>
      <c r="H1059" s="2639"/>
      <c r="I1059" s="2639"/>
      <c r="J1059" s="2639"/>
      <c r="K1059" s="2639"/>
      <c r="L1059" s="2639"/>
      <c r="M1059" s="2639"/>
      <c r="N1059" s="2640"/>
      <c r="O1059" s="15"/>
      <c r="P1059" s="15"/>
      <c r="Q1059" s="343"/>
      <c r="R1059" s="2"/>
      <c r="S1059" s="343"/>
      <c r="T1059" s="2"/>
      <c r="U1059" s="2"/>
      <c r="V1059" s="2"/>
      <c r="W1059" s="2"/>
      <c r="X1059" s="2"/>
      <c r="Y1059" s="2"/>
      <c r="Z1059" s="2"/>
      <c r="AA1059" s="2"/>
      <c r="AB1059" s="2"/>
      <c r="AC1059" s="2"/>
      <c r="AD1059" s="2"/>
      <c r="AE1059" s="2"/>
      <c r="AF1059" s="2"/>
      <c r="AG1059" s="2"/>
      <c r="AH1059" s="2"/>
      <c r="AI1059" s="2"/>
      <c r="AJ1059" s="2"/>
      <c r="AK1059" s="2"/>
      <c r="AL1059" s="2"/>
    </row>
    <row r="1060" spans="1:38" ht="12.75" customHeight="1" x14ac:dyDescent="0.25">
      <c r="A1060" s="2"/>
      <c r="B1060" s="178"/>
      <c r="C1060" s="779"/>
      <c r="D1060" s="780"/>
      <c r="E1060" s="2596" t="str">
        <f>Translations!$B$570</f>
        <v>De uppgifter som anges här används bara för konsekvenskontroll och har ingen direkt inverkan på vare sig de utsläpp som kan tillskrivas eller tilldelningen.</v>
      </c>
      <c r="F1060" s="1960"/>
      <c r="G1060" s="1960"/>
      <c r="H1060" s="1960"/>
      <c r="I1060" s="1960"/>
      <c r="J1060" s="1960"/>
      <c r="K1060" s="1960"/>
      <c r="L1060" s="1960"/>
      <c r="M1060" s="1960"/>
      <c r="N1060" s="2597"/>
      <c r="O1060" s="15"/>
      <c r="P1060" s="15"/>
      <c r="Q1060" s="343"/>
      <c r="R1060" s="2"/>
      <c r="S1060" s="343"/>
      <c r="T1060" s="2"/>
      <c r="U1060" s="2"/>
      <c r="V1060" s="2"/>
      <c r="W1060" s="2"/>
      <c r="X1060" s="2"/>
      <c r="Y1060" s="2"/>
      <c r="Z1060" s="2"/>
      <c r="AA1060" s="2"/>
      <c r="AB1060" s="2"/>
      <c r="AC1060" s="2"/>
      <c r="AD1060" s="2"/>
      <c r="AE1060" s="2"/>
      <c r="AF1060" s="2"/>
      <c r="AG1060" s="2"/>
      <c r="AH1060" s="2"/>
      <c r="AI1060" s="2"/>
      <c r="AJ1060" s="2"/>
      <c r="AK1060" s="2"/>
      <c r="AL1060" s="2"/>
    </row>
    <row r="1061" spans="1:38" ht="12.75" customHeight="1" thickBot="1" x14ac:dyDescent="0.3">
      <c r="A1061" s="2"/>
      <c r="B1061" s="178"/>
      <c r="C1061" s="779"/>
      <c r="D1061" s="373"/>
      <c r="E1061" s="1716"/>
      <c r="F1061" s="1717"/>
      <c r="G1061" s="361" t="str">
        <f>EUconst_Unit</f>
        <v>Enhet</v>
      </c>
      <c r="H1061" s="362">
        <f t="shared" ref="H1061:N1061" si="452">H$3042</f>
        <v>2019</v>
      </c>
      <c r="I1061" s="1103">
        <f t="shared" si="452"/>
        <v>2020</v>
      </c>
      <c r="J1061" s="1104">
        <f t="shared" si="452"/>
        <v>2021</v>
      </c>
      <c r="K1061" s="362">
        <f t="shared" si="452"/>
        <v>2022</v>
      </c>
      <c r="L1061" s="362">
        <f t="shared" si="452"/>
        <v>2023</v>
      </c>
      <c r="M1061" s="362">
        <f t="shared" si="452"/>
        <v>2024</v>
      </c>
      <c r="N1061" s="1141">
        <f t="shared" si="452"/>
        <v>2025</v>
      </c>
      <c r="O1061" s="15"/>
      <c r="P1061" s="15"/>
      <c r="Q1061" s="343"/>
      <c r="R1061" s="2"/>
      <c r="S1061" s="343"/>
      <c r="T1061" s="2"/>
      <c r="U1061" s="2"/>
      <c r="V1061" s="2"/>
      <c r="W1061" s="2"/>
      <c r="X1061" s="2"/>
      <c r="Y1061" s="2"/>
      <c r="Z1061" s="2"/>
      <c r="AA1061" s="2"/>
      <c r="AB1061" s="2"/>
      <c r="AC1061" s="1044">
        <f t="shared" ref="AC1061:AI1061" si="453">H$20</f>
        <v>2019</v>
      </c>
      <c r="AD1061" s="1044">
        <f t="shared" si="453"/>
        <v>2020</v>
      </c>
      <c r="AE1061" s="1044">
        <f t="shared" si="453"/>
        <v>2021</v>
      </c>
      <c r="AF1061" s="1044">
        <f t="shared" si="453"/>
        <v>2022</v>
      </c>
      <c r="AG1061" s="1044">
        <f t="shared" si="453"/>
        <v>2023</v>
      </c>
      <c r="AH1061" s="1044">
        <f t="shared" si="453"/>
        <v>2024</v>
      </c>
      <c r="AI1061" s="1044">
        <f t="shared" si="453"/>
        <v>2025</v>
      </c>
      <c r="AJ1061" s="2"/>
      <c r="AK1061" s="2"/>
      <c r="AL1061" s="2"/>
    </row>
    <row r="1062" spans="1:38" ht="12.75" customHeight="1" x14ac:dyDescent="0.25">
      <c r="A1062" s="2"/>
      <c r="B1062" s="178"/>
      <c r="C1062" s="779"/>
      <c r="D1062" s="416" t="s">
        <v>8</v>
      </c>
      <c r="E1062" s="2613" t="str">
        <f>Translations!$B$571</f>
        <v>Insatsbränsle</v>
      </c>
      <c r="F1062" s="1997"/>
      <c r="G1062" s="364" t="str">
        <f>EUconst_TJpa</f>
        <v>TJ / år</v>
      </c>
      <c r="H1062" s="582"/>
      <c r="I1062" s="1105"/>
      <c r="J1062" s="1115"/>
      <c r="K1062" s="582"/>
      <c r="L1062" s="582"/>
      <c r="M1062" s="582"/>
      <c r="N1062" s="1146"/>
      <c r="O1062" s="15"/>
      <c r="P1062" s="1362"/>
      <c r="Q1062" s="165" t="str">
        <f>EUconst_CNTR_FuelInput &amp; I919</f>
        <v>FuelInput_</v>
      </c>
      <c r="R1062" s="2"/>
      <c r="S1062" s="343"/>
      <c r="T1062" s="2"/>
      <c r="U1062" s="2"/>
      <c r="V1062" s="2"/>
      <c r="W1062" s="2"/>
      <c r="X1062" s="2"/>
      <c r="Y1062" s="2"/>
      <c r="Z1062" s="2"/>
      <c r="AA1062" s="2"/>
      <c r="AB1062" s="672" t="s">
        <v>782</v>
      </c>
      <c r="AC1062" s="108" t="b">
        <f>AC989</f>
        <v>0</v>
      </c>
      <c r="AD1062" s="108" t="b">
        <f t="shared" ref="AD1062:AI1062" si="454">AD989</f>
        <v>0</v>
      </c>
      <c r="AE1062" s="108" t="b">
        <f t="shared" si="454"/>
        <v>0</v>
      </c>
      <c r="AF1062" s="108" t="b">
        <f t="shared" si="454"/>
        <v>0</v>
      </c>
      <c r="AG1062" s="108" t="b">
        <f t="shared" si="454"/>
        <v>0</v>
      </c>
      <c r="AH1062" s="108" t="b">
        <f t="shared" si="454"/>
        <v>0</v>
      </c>
      <c r="AI1062" s="108" t="b">
        <f t="shared" si="454"/>
        <v>0</v>
      </c>
      <c r="AJ1062" s="553" t="s">
        <v>2248</v>
      </c>
      <c r="AK1062" s="663" t="str">
        <f>IF(AND(CNTR_ExistSubInstEntries,MSconst_RequireSubAttrEmissions,COUNTIFS(AC1062:AI1062,FALSE,H1062:N1062,"")&gt;0),EUconst_Error&amp;"BM"&amp;$Q919,"")</f>
        <v/>
      </c>
      <c r="AL1062" s="2"/>
    </row>
    <row r="1063" spans="1:38" ht="12.75" customHeight="1" x14ac:dyDescent="0.25">
      <c r="A1063" s="2"/>
      <c r="B1063" s="178"/>
      <c r="C1063" s="779"/>
      <c r="D1063" s="416" t="s">
        <v>9</v>
      </c>
      <c r="E1063" s="2613" t="str">
        <f>Translations!$B$572</f>
        <v>Viktad emissionsfaktor</v>
      </c>
      <c r="F1063" s="1997"/>
      <c r="G1063" s="449" t="str">
        <f>EUconst_tCO2pTJ</f>
        <v>t CO2 / TJ</v>
      </c>
      <c r="H1063" s="747"/>
      <c r="I1063" s="1295"/>
      <c r="J1063" s="1296"/>
      <c r="K1063" s="747"/>
      <c r="L1063" s="747"/>
      <c r="M1063" s="747"/>
      <c r="N1063" s="1297"/>
      <c r="O1063" s="15"/>
      <c r="P1063" s="1362"/>
      <c r="Q1063" s="165" t="str">
        <f>EUconst_CNTR_FuelEF &amp; I919</f>
        <v>FuelEF_</v>
      </c>
      <c r="R1063" s="2"/>
      <c r="S1063" s="343"/>
      <c r="T1063" s="2"/>
      <c r="U1063" s="2"/>
      <c r="V1063" s="2"/>
      <c r="W1063" s="2"/>
      <c r="X1063" s="2"/>
      <c r="Y1063" s="2"/>
      <c r="Z1063" s="2"/>
      <c r="AA1063" s="2"/>
      <c r="AB1063" s="2"/>
      <c r="AC1063" s="108" t="b">
        <f>AC1062</f>
        <v>0</v>
      </c>
      <c r="AD1063" s="108" t="b">
        <f t="shared" ref="AD1063:AI1063" si="455">AD1062</f>
        <v>0</v>
      </c>
      <c r="AE1063" s="108" t="b">
        <f t="shared" si="455"/>
        <v>0</v>
      </c>
      <c r="AF1063" s="108" t="b">
        <f t="shared" si="455"/>
        <v>0</v>
      </c>
      <c r="AG1063" s="108" t="b">
        <f t="shared" si="455"/>
        <v>0</v>
      </c>
      <c r="AH1063" s="108" t="b">
        <f t="shared" si="455"/>
        <v>0</v>
      </c>
      <c r="AI1063" s="108" t="b">
        <f t="shared" si="455"/>
        <v>0</v>
      </c>
      <c r="AJ1063" s="553" t="s">
        <v>2248</v>
      </c>
      <c r="AK1063" s="663" t="str">
        <f>IF(AND(CNTR_ExistSubInstEntries,MSconst_RequireSubAttrEmissions,COUNTIFS(AC1063:AI1063,FALSE,H1063:N1063,"")&gt;0),EUconst_Error&amp;"BM"&amp;$Q919,"")</f>
        <v/>
      </c>
      <c r="AL1063" s="2"/>
    </row>
    <row r="1064" spans="1:38" ht="12.75" customHeight="1" x14ac:dyDescent="0.25">
      <c r="A1064" s="2"/>
      <c r="B1064" s="178"/>
      <c r="C1064" s="779"/>
      <c r="D1064" s="780"/>
      <c r="E1064" s="780"/>
      <c r="F1064" s="780"/>
      <c r="G1064" s="780"/>
      <c r="H1064" s="780"/>
      <c r="I1064" s="780"/>
      <c r="J1064" s="780"/>
      <c r="K1064" s="780"/>
      <c r="L1064" s="780"/>
      <c r="M1064" s="623"/>
      <c r="N1064" s="519"/>
      <c r="O1064" s="15"/>
      <c r="P1064" s="15"/>
      <c r="Q1064" s="343"/>
      <c r="R1064" s="2"/>
      <c r="S1064" s="343"/>
      <c r="T1064" s="2"/>
      <c r="U1064" s="2"/>
      <c r="V1064" s="2"/>
      <c r="W1064" s="2"/>
      <c r="X1064" s="2"/>
      <c r="Y1064" s="2"/>
      <c r="Z1064" s="2"/>
      <c r="AA1064" s="2"/>
      <c r="AB1064" s="2"/>
      <c r="AC1064" s="2"/>
      <c r="AD1064" s="2"/>
      <c r="AE1064" s="2"/>
      <c r="AF1064" s="2"/>
      <c r="AG1064" s="2"/>
      <c r="AH1064" s="2"/>
      <c r="AI1064" s="2"/>
      <c r="AJ1064" s="2"/>
      <c r="AK1064" s="2"/>
      <c r="AL1064" s="2"/>
    </row>
    <row r="1065" spans="1:38" ht="12.75" customHeight="1" x14ac:dyDescent="0.25">
      <c r="A1065" s="2"/>
      <c r="B1065" s="178"/>
      <c r="C1065" s="779"/>
      <c r="D1065" s="373" t="s">
        <v>305</v>
      </c>
      <c r="E1065" s="2614" t="str">
        <f>Translations!$B$573</f>
        <v>Andra interna bränsle-/materialmängder som importeras till eller exporteras från delanläggningen</v>
      </c>
      <c r="F1065" s="1960"/>
      <c r="G1065" s="1960"/>
      <c r="H1065" s="1960"/>
      <c r="I1065" s="1960"/>
      <c r="J1065" s="1960"/>
      <c r="K1065" s="1960"/>
      <c r="L1065" s="1960"/>
      <c r="M1065" s="1960"/>
      <c r="N1065" s="2597"/>
      <c r="O1065" s="15"/>
      <c r="P1065" s="15"/>
      <c r="Q1065" s="343"/>
      <c r="R1065" s="343"/>
      <c r="S1065" s="343"/>
      <c r="T1065" s="2"/>
      <c r="U1065" s="2"/>
      <c r="V1065" s="2"/>
      <c r="W1065" s="2"/>
      <c r="X1065" s="2"/>
      <c r="Y1065" s="2"/>
      <c r="Z1065" s="2"/>
      <c r="AA1065" s="2"/>
      <c r="AB1065" s="2"/>
      <c r="AC1065" s="2"/>
      <c r="AD1065" s="2"/>
      <c r="AE1065" s="2"/>
      <c r="AF1065" s="2"/>
      <c r="AG1065" s="2"/>
      <c r="AH1065" s="2"/>
      <c r="AI1065" s="2"/>
      <c r="AJ1065" s="2"/>
      <c r="AK1065" s="2"/>
      <c r="AL1065" s="2"/>
    </row>
    <row r="1066" spans="1:38" ht="12.75" customHeight="1" x14ac:dyDescent="0.25">
      <c r="A1066" s="2"/>
      <c r="B1066" s="178"/>
      <c r="C1066" s="779"/>
      <c r="D1066" s="416"/>
      <c r="E1066" s="2596" t="str">
        <f>Translations!$B$556</f>
        <v>De uppgifter som anges här påverkar de utsläpp som kan tillskrivas i enlighet med avsnitt 10.1.1 i bilaga VII till FAR.</v>
      </c>
      <c r="F1066" s="1960"/>
      <c r="G1066" s="1960"/>
      <c r="H1066" s="1960"/>
      <c r="I1066" s="1960"/>
      <c r="J1066" s="1960"/>
      <c r="K1066" s="1960"/>
      <c r="L1066" s="1960"/>
      <c r="M1066" s="1960"/>
      <c r="N1066" s="2597"/>
      <c r="O1066" s="15"/>
      <c r="P1066" s="15"/>
      <c r="Q1066" s="343"/>
      <c r="R1066" s="2"/>
      <c r="S1066" s="343"/>
      <c r="T1066" s="343"/>
      <c r="U1066" s="343"/>
      <c r="V1066" s="343"/>
      <c r="W1066" s="2"/>
      <c r="X1066" s="2"/>
      <c r="Y1066" s="2"/>
      <c r="Z1066" s="2"/>
      <c r="AA1066" s="2"/>
      <c r="AB1066" s="2"/>
      <c r="AC1066" s="2"/>
      <c r="AD1066" s="2"/>
      <c r="AE1066" s="2"/>
      <c r="AF1066" s="2"/>
      <c r="AG1066" s="2"/>
      <c r="AH1066" s="2"/>
      <c r="AI1066" s="2"/>
      <c r="AJ1066" s="2"/>
      <c r="AK1066" s="2"/>
      <c r="AL1066" s="2"/>
    </row>
    <row r="1067" spans="1:38" ht="25.5" customHeight="1" x14ac:dyDescent="0.25">
      <c r="A1067" s="2"/>
      <c r="B1067" s="178"/>
      <c r="C1067" s="779"/>
      <c r="D1067" s="780"/>
      <c r="E1067" s="2596" t="str">
        <f>Translations!$B$574</f>
        <v>Det bör noteras att alla bränsle-/materialmängder endast bör anges här om de inte redan omfattas av de direkta utsläppen i punkt g ovan, i syfte att undvika eventuella dataluckor eller eventuell dubbelräkning. Utsläpp i samband med restgaser bör INTE anges här utan i punkt l nedan.</v>
      </c>
      <c r="F1067" s="1960"/>
      <c r="G1067" s="1960"/>
      <c r="H1067" s="1960"/>
      <c r="I1067" s="1960"/>
      <c r="J1067" s="1960"/>
      <c r="K1067" s="1960"/>
      <c r="L1067" s="1960"/>
      <c r="M1067" s="1960"/>
      <c r="N1067" s="2597"/>
      <c r="O1067" s="15"/>
      <c r="P1067" s="15"/>
      <c r="Q1067" s="343"/>
      <c r="R1067" s="343"/>
      <c r="S1067" s="343"/>
      <c r="T1067" s="2"/>
      <c r="U1067" s="2"/>
      <c r="V1067" s="2"/>
      <c r="W1067" s="2"/>
      <c r="X1067" s="2"/>
      <c r="Y1067" s="2"/>
      <c r="Z1067" s="2"/>
      <c r="AA1067" s="2"/>
      <c r="AB1067" s="2"/>
      <c r="AC1067" s="2"/>
      <c r="AD1067" s="2"/>
      <c r="AE1067" s="2"/>
      <c r="AF1067" s="2"/>
      <c r="AG1067" s="2"/>
      <c r="AH1067" s="2"/>
      <c r="AI1067" s="2"/>
      <c r="AJ1067" s="2"/>
      <c r="AK1067" s="2"/>
      <c r="AL1067" s="2"/>
    </row>
    <row r="1068" spans="1:38" ht="12.75" customHeight="1" x14ac:dyDescent="0.25">
      <c r="A1068" s="2"/>
      <c r="B1068" s="178"/>
      <c r="C1068" s="779"/>
      <c r="D1068" s="780"/>
      <c r="E1068" s="2610" t="str">
        <f>Translations!$B$575</f>
        <v>Var god ange information om de så kallade interna bränsle-/materialmängderna som överförs mellan delanläggningar, dvs. importeras till eller exporteras från delanläggningen.</v>
      </c>
      <c r="F1068" s="1960"/>
      <c r="G1068" s="1960"/>
      <c r="H1068" s="1960"/>
      <c r="I1068" s="1960"/>
      <c r="J1068" s="1960"/>
      <c r="K1068" s="1960"/>
      <c r="L1068" s="1960"/>
      <c r="M1068" s="1960"/>
      <c r="N1068" s="2597"/>
      <c r="O1068" s="15"/>
      <c r="P1068" s="15"/>
      <c r="Q1068" s="343"/>
      <c r="R1068" s="343"/>
      <c r="S1068" s="343"/>
      <c r="T1068" s="2"/>
      <c r="U1068" s="2"/>
      <c r="V1068" s="2"/>
      <c r="W1068" s="2"/>
      <c r="X1068" s="2"/>
      <c r="Y1068" s="2"/>
      <c r="Z1068" s="2"/>
      <c r="AA1068" s="2"/>
      <c r="AB1068" s="2"/>
      <c r="AC1068" s="2"/>
      <c r="AD1068" s="2"/>
      <c r="AE1068" s="2"/>
      <c r="AF1068" s="2"/>
      <c r="AG1068" s="2"/>
      <c r="AH1068" s="2"/>
      <c r="AI1068" s="2"/>
      <c r="AJ1068" s="2"/>
      <c r="AK1068" s="2"/>
      <c r="AL1068" s="2"/>
    </row>
    <row r="1069" spans="1:38" ht="38.9" customHeight="1" x14ac:dyDescent="0.25">
      <c r="A1069" s="2"/>
      <c r="B1069" s="178"/>
      <c r="C1069" s="779"/>
      <c r="D1069" s="780"/>
      <c r="E1069" s="2610" t="str">
        <f>Translations!$B$576</f>
        <v>Om det rör sig om en koksdelanläggning vid en integrerad järn- och stålanläggning förekommer utsläppen i samband med förbrukningen av koks i masugnen och bör därför inte tillskrivas delanläggningen (dvs. koksdelanläggningen). En del av utsläppen ska dock tas med i punkt g ovan, eftersom det kol som förs in i koksugnen kommer att vara en av de bränsle-/materialmängder som tillskrivs i ett första steg.</v>
      </c>
      <c r="F1069" s="1960"/>
      <c r="G1069" s="1960"/>
      <c r="H1069" s="1960"/>
      <c r="I1069" s="1960"/>
      <c r="J1069" s="1960"/>
      <c r="K1069" s="1960"/>
      <c r="L1069" s="1960"/>
      <c r="M1069" s="1960"/>
      <c r="N1069" s="2597"/>
      <c r="O1069" s="15"/>
      <c r="P1069" s="15"/>
      <c r="Q1069" s="343"/>
      <c r="R1069" s="2"/>
      <c r="S1069" s="343"/>
      <c r="T1069" s="2"/>
      <c r="U1069" s="2"/>
      <c r="V1069" s="2"/>
      <c r="W1069" s="2"/>
      <c r="X1069" s="2"/>
      <c r="Y1069" s="2"/>
      <c r="Z1069" s="2"/>
      <c r="AA1069" s="2"/>
      <c r="AB1069" s="2"/>
      <c r="AC1069" s="2"/>
      <c r="AD1069" s="2"/>
      <c r="AE1069" s="2"/>
      <c r="AF1069" s="2"/>
      <c r="AG1069" s="2"/>
      <c r="AH1069" s="2"/>
      <c r="AI1069" s="2"/>
      <c r="AJ1069" s="2"/>
      <c r="AK1069" s="2"/>
      <c r="AL1069" s="2"/>
    </row>
    <row r="1070" spans="1:38" ht="51" customHeight="1" x14ac:dyDescent="0.25">
      <c r="A1070" s="2"/>
      <c r="B1070" s="178"/>
      <c r="C1070" s="779"/>
      <c r="D1070" s="780"/>
      <c r="E1070" s="2610" t="str">
        <f>Translations!$B$577</f>
        <v>För att undvika dubbelräkning måste korrigering göras för den koks som lämnar koksdelanläggningen som utgående ”intern bränsle-/materialmängd”. Detta görs genom ett negativt värde på mängden koks i händelse av ”export”. För att få en komplett balans i utsläppen från den kol som kommer in till koksdelanläggningen omfattas utsläppen i samband med användningen av koksugnsgas (= en restgas) redan av punkt g ovan (eftersom de ingår i kolutsläppen) i den mån som gasen används inom delanläggningen. Korrigeringar för att beakta exporterade mängder av restgasen bör inte göras här utan i punkt l.xx nedan.</v>
      </c>
      <c r="F1070" s="1960"/>
      <c r="G1070" s="1960"/>
      <c r="H1070" s="1960"/>
      <c r="I1070" s="1960"/>
      <c r="J1070" s="1960"/>
      <c r="K1070" s="1960"/>
      <c r="L1070" s="1960"/>
      <c r="M1070" s="1960"/>
      <c r="N1070" s="2597"/>
      <c r="O1070" s="15"/>
      <c r="P1070" s="15"/>
      <c r="Q1070" s="343"/>
      <c r="R1070" s="2"/>
      <c r="S1070" s="343"/>
      <c r="T1070" s="2"/>
      <c r="U1070" s="2"/>
      <c r="V1070" s="2"/>
      <c r="W1070" s="2"/>
      <c r="X1070" s="2"/>
      <c r="Y1070" s="2"/>
      <c r="Z1070" s="2"/>
      <c r="AA1070" s="2"/>
      <c r="AB1070" s="2"/>
      <c r="AC1070" s="2"/>
      <c r="AD1070" s="2"/>
      <c r="AE1070" s="2"/>
      <c r="AF1070" s="2"/>
      <c r="AG1070" s="2"/>
      <c r="AH1070" s="2"/>
      <c r="AI1070" s="2"/>
      <c r="AJ1070" s="2"/>
      <c r="AK1070" s="2"/>
      <c r="AL1070" s="2"/>
    </row>
    <row r="1071" spans="1:38" ht="25.5" customHeight="1" x14ac:dyDescent="0.25">
      <c r="A1071" s="2"/>
      <c r="B1071" s="178"/>
      <c r="C1071" s="779"/>
      <c r="D1071" s="780"/>
      <c r="E1071" s="2610" t="str">
        <f>Translations!$B$578</f>
        <v>Omvänt innebär detta att om det rör sig om en delanläggning med råjärnsriktmärke vid en integrerad järn- och stålanläggning måste koksen anges här som en ingående/importerad ”intern” bränsle/materialmängd med positiva siffror.</v>
      </c>
      <c r="F1071" s="1960"/>
      <c r="G1071" s="1960"/>
      <c r="H1071" s="1960"/>
      <c r="I1071" s="1960"/>
      <c r="J1071" s="1960"/>
      <c r="K1071" s="1960"/>
      <c r="L1071" s="1960"/>
      <c r="M1071" s="1960"/>
      <c r="N1071" s="2597"/>
      <c r="O1071" s="15"/>
      <c r="P1071" s="15"/>
      <c r="Q1071" s="343"/>
      <c r="R1071" s="2"/>
      <c r="S1071" s="343"/>
      <c r="T1071" s="2"/>
      <c r="U1071" s="2"/>
      <c r="V1071" s="2"/>
      <c r="W1071" s="2"/>
      <c r="X1071" s="2"/>
      <c r="Y1071" s="2"/>
      <c r="Z1071" s="2"/>
      <c r="AA1071" s="2"/>
      <c r="AB1071" s="2"/>
      <c r="AC1071" s="2"/>
      <c r="AD1071" s="2"/>
      <c r="AE1071" s="2"/>
      <c r="AF1071" s="2"/>
      <c r="AG1071" s="2"/>
      <c r="AH1071" s="2"/>
      <c r="AI1071" s="2"/>
      <c r="AJ1071" s="2"/>
      <c r="AK1071" s="2"/>
      <c r="AL1071" s="2"/>
    </row>
    <row r="1072" spans="1:38" ht="12.75" customHeight="1" x14ac:dyDescent="0.25">
      <c r="A1072" s="2"/>
      <c r="B1072" s="178"/>
      <c r="C1072" s="779"/>
      <c r="D1072" s="416" t="s">
        <v>8</v>
      </c>
      <c r="E1072" s="2598" t="str">
        <f>Translations!$B$579</f>
        <v>Är andra importerade eller exporterade interna bränsle-/materialmängder relevanta för delanläggningen?</v>
      </c>
      <c r="F1072" s="1960"/>
      <c r="G1072" s="1960"/>
      <c r="H1072" s="1960"/>
      <c r="I1072" s="1960"/>
      <c r="J1072" s="1960"/>
      <c r="K1072" s="2520"/>
      <c r="L1072" s="749"/>
      <c r="M1072" s="1806"/>
      <c r="N1072" s="1807"/>
      <c r="O1072" s="15"/>
      <c r="P1072" s="1362"/>
      <c r="Q1072" s="343"/>
      <c r="R1072" s="2"/>
      <c r="S1072" s="343"/>
      <c r="T1072" s="2"/>
      <c r="U1072" s="2"/>
      <c r="V1072" s="2"/>
      <c r="W1072" s="2"/>
      <c r="X1072" s="2"/>
      <c r="Y1072" s="2"/>
      <c r="Z1072" s="2"/>
      <c r="AA1072" s="2"/>
      <c r="AB1072" s="2"/>
      <c r="AC1072" s="2"/>
      <c r="AD1072" s="2"/>
      <c r="AE1072" s="2"/>
      <c r="AF1072" s="672" t="s">
        <v>782</v>
      </c>
      <c r="AG1072" s="1196" t="b">
        <f>AND(CNTR_ExistSubInstEntries,I919="")</f>
        <v>0</v>
      </c>
      <c r="AH1072" s="2"/>
      <c r="AI1072" s="2"/>
      <c r="AJ1072" s="2"/>
      <c r="AK1072" s="2"/>
      <c r="AL1072" s="2"/>
    </row>
    <row r="1073" spans="1:38" ht="12.75" customHeight="1" x14ac:dyDescent="0.25">
      <c r="A1073" s="2"/>
      <c r="B1073" s="178"/>
      <c r="C1073" s="779"/>
      <c r="D1073" s="780"/>
      <c r="E1073" s="2610" t="str">
        <f>Translations!$B$580</f>
        <v>Om det finns mer än två importerade eller exporterade bränsle-/materialmängder bör de olika bränsle-/materialmängderna slås samman och namnen på var och en av dessa anges.</v>
      </c>
      <c r="F1073" s="1960"/>
      <c r="G1073" s="1960"/>
      <c r="H1073" s="1960"/>
      <c r="I1073" s="1960"/>
      <c r="J1073" s="1960"/>
      <c r="K1073" s="1960"/>
      <c r="L1073" s="1960"/>
      <c r="M1073" s="1960"/>
      <c r="N1073" s="2597"/>
      <c r="O1073" s="15"/>
      <c r="P1073" s="15"/>
      <c r="Q1073" s="343"/>
      <c r="R1073" s="2"/>
      <c r="S1073" s="343"/>
      <c r="T1073" s="2"/>
      <c r="U1073" s="2"/>
      <c r="V1073" s="2"/>
      <c r="W1073" s="2"/>
      <c r="X1073" s="2"/>
      <c r="Y1073" s="2"/>
      <c r="Z1073" s="2"/>
      <c r="AA1073" s="2"/>
      <c r="AB1073" s="2"/>
      <c r="AC1073" s="2"/>
      <c r="AD1073" s="2"/>
      <c r="AE1073" s="2"/>
      <c r="AF1073" s="2"/>
      <c r="AG1073" s="2"/>
      <c r="AH1073" s="2"/>
      <c r="AI1073" s="2"/>
      <c r="AJ1073" s="2"/>
      <c r="AK1073" s="2"/>
      <c r="AL1073" s="2"/>
    </row>
    <row r="1074" spans="1:38" ht="12.75" customHeight="1" x14ac:dyDescent="0.25">
      <c r="A1074" s="2"/>
      <c r="B1074" s="178"/>
      <c r="C1074" s="779"/>
      <c r="D1074" s="416" t="s">
        <v>9</v>
      </c>
      <c r="E1074" s="2614" t="str">
        <f>Translations!$B$581</f>
        <v>Namn på andra bränsle-/materialmängder – 1:</v>
      </c>
      <c r="F1074" s="1960"/>
      <c r="G1074" s="1960"/>
      <c r="H1074" s="2520"/>
      <c r="I1074" s="2621"/>
      <c r="J1074" s="2631"/>
      <c r="K1074" s="2631"/>
      <c r="L1074" s="2631"/>
      <c r="M1074" s="2632"/>
      <c r="N1074" s="518"/>
      <c r="O1074" s="15"/>
      <c r="P1074" s="1362"/>
      <c r="Q1074" s="343"/>
      <c r="R1074" s="2"/>
      <c r="S1074" s="343"/>
      <c r="T1074" s="2"/>
      <c r="U1074" s="2"/>
      <c r="V1074" s="2"/>
      <c r="W1074" s="2"/>
      <c r="X1074" s="2"/>
      <c r="Y1074" s="2"/>
      <c r="Z1074" s="2"/>
      <c r="AA1074" s="2"/>
      <c r="AB1074" s="2"/>
      <c r="AC1074" s="672" t="s">
        <v>782</v>
      </c>
      <c r="AD1074" s="1196" t="b">
        <f>OR(AG1072,AND($L1072&lt;&gt;"",$L1072=FALSE))</f>
        <v>0</v>
      </c>
      <c r="AE1074" s="2"/>
      <c r="AF1074" s="2"/>
      <c r="AG1074" s="2"/>
      <c r="AH1074" s="2"/>
      <c r="AI1074" s="2"/>
      <c r="AJ1074" s="2"/>
      <c r="AK1074" s="2"/>
      <c r="AL1074" s="2"/>
    </row>
    <row r="1075" spans="1:38" ht="5.15" customHeight="1" x14ac:dyDescent="0.25">
      <c r="A1075" s="2"/>
      <c r="B1075" s="178"/>
      <c r="C1075" s="779"/>
      <c r="D1075" s="780"/>
      <c r="E1075" s="1804"/>
      <c r="F1075" s="1806"/>
      <c r="G1075" s="1806"/>
      <c r="H1075" s="1806"/>
      <c r="I1075" s="1806"/>
      <c r="J1075" s="1806"/>
      <c r="K1075" s="1806"/>
      <c r="L1075" s="1806"/>
      <c r="M1075" s="1806"/>
      <c r="N1075" s="1807"/>
      <c r="O1075" s="15"/>
      <c r="P1075" s="15"/>
      <c r="Q1075" s="343"/>
      <c r="R1075" s="2"/>
      <c r="S1075" s="343"/>
      <c r="T1075" s="2"/>
      <c r="U1075" s="2"/>
      <c r="V1075" s="2"/>
      <c r="W1075" s="2"/>
      <c r="X1075" s="2"/>
      <c r="Y1075" s="2"/>
      <c r="Z1075" s="2"/>
      <c r="AA1075" s="2"/>
      <c r="AB1075" s="2"/>
      <c r="AC1075" s="2"/>
      <c r="AD1075" s="2"/>
      <c r="AE1075" s="2"/>
      <c r="AF1075" s="2"/>
      <c r="AG1075" s="2"/>
      <c r="AH1075" s="2"/>
      <c r="AI1075" s="2"/>
      <c r="AJ1075" s="2"/>
      <c r="AK1075" s="2"/>
      <c r="AL1075" s="2"/>
    </row>
    <row r="1076" spans="1:38" ht="12.75" customHeight="1" thickBot="1" x14ac:dyDescent="0.3">
      <c r="A1076" s="2"/>
      <c r="B1076" s="178"/>
      <c r="C1076" s="779"/>
      <c r="D1076" s="780"/>
      <c r="E1076" s="2605" t="str">
        <f>Translations!$B$582</f>
        <v>Andra bränsle-/materialmängder – 1</v>
      </c>
      <c r="F1076" s="2497"/>
      <c r="G1076" s="361" t="str">
        <f>EUconst_Unit</f>
        <v>Enhet</v>
      </c>
      <c r="H1076" s="362">
        <f t="shared" ref="H1076:N1076" si="456">H$3042</f>
        <v>2019</v>
      </c>
      <c r="I1076" s="1103">
        <f t="shared" si="456"/>
        <v>2020</v>
      </c>
      <c r="J1076" s="1104">
        <f t="shared" si="456"/>
        <v>2021</v>
      </c>
      <c r="K1076" s="362">
        <f t="shared" si="456"/>
        <v>2022</v>
      </c>
      <c r="L1076" s="362">
        <f t="shared" si="456"/>
        <v>2023</v>
      </c>
      <c r="M1076" s="362">
        <f t="shared" si="456"/>
        <v>2024</v>
      </c>
      <c r="N1076" s="1141">
        <f t="shared" si="456"/>
        <v>2025</v>
      </c>
      <c r="O1076" s="15"/>
      <c r="P1076" s="15"/>
      <c r="Q1076" s="343"/>
      <c r="R1076" s="2"/>
      <c r="S1076" s="343"/>
      <c r="T1076" s="2"/>
      <c r="U1076" s="2"/>
      <c r="V1076" s="2"/>
      <c r="W1076" s="2"/>
      <c r="X1076" s="2"/>
      <c r="Y1076" s="2"/>
      <c r="Z1076" s="2"/>
      <c r="AA1076" s="2"/>
      <c r="AB1076" s="2"/>
      <c r="AC1076" s="1044">
        <f t="shared" ref="AC1076:AI1076" si="457">H$20</f>
        <v>2019</v>
      </c>
      <c r="AD1076" s="1044">
        <f t="shared" si="457"/>
        <v>2020</v>
      </c>
      <c r="AE1076" s="1044">
        <f t="shared" si="457"/>
        <v>2021</v>
      </c>
      <c r="AF1076" s="1044">
        <f t="shared" si="457"/>
        <v>2022</v>
      </c>
      <c r="AG1076" s="1044">
        <f t="shared" si="457"/>
        <v>2023</v>
      </c>
      <c r="AH1076" s="1044">
        <f t="shared" si="457"/>
        <v>2024</v>
      </c>
      <c r="AI1076" s="1044">
        <f t="shared" si="457"/>
        <v>2025</v>
      </c>
      <c r="AJ1076" s="2"/>
      <c r="AK1076" s="2"/>
      <c r="AL1076" s="2"/>
    </row>
    <row r="1077" spans="1:38" ht="12.75" customHeight="1" x14ac:dyDescent="0.25">
      <c r="A1077" s="2"/>
      <c r="B1077" s="178"/>
      <c r="C1077" s="779"/>
      <c r="D1077" s="416" t="s">
        <v>10</v>
      </c>
      <c r="E1077" s="2611" t="str">
        <f>Translations!$B$583</f>
        <v>Importerad eller exporterad mängd</v>
      </c>
      <c r="F1077" s="2484"/>
      <c r="G1077" s="365" t="str">
        <f>EUconst_tpa</f>
        <v>t / år</v>
      </c>
      <c r="H1077" s="1298"/>
      <c r="I1077" s="1299"/>
      <c r="J1077" s="1300"/>
      <c r="K1077" s="1298"/>
      <c r="L1077" s="1298"/>
      <c r="M1077" s="1298"/>
      <c r="N1077" s="1301"/>
      <c r="O1077" s="15"/>
      <c r="P1077" s="1362"/>
      <c r="Q1077" s="343"/>
      <c r="R1077" s="2"/>
      <c r="S1077" s="343"/>
      <c r="T1077" s="2"/>
      <c r="U1077" s="2"/>
      <c r="V1077" s="2"/>
      <c r="W1077" s="2"/>
      <c r="X1077" s="2"/>
      <c r="Y1077" s="2"/>
      <c r="Z1077" s="2"/>
      <c r="AA1077" s="2"/>
      <c r="AB1077" s="672" t="s">
        <v>782</v>
      </c>
      <c r="AC1077" s="1196" t="b">
        <f>OR(AND($L1072&lt;&gt;"",$L1072=FALSE),AC989)</f>
        <v>0</v>
      </c>
      <c r="AD1077" s="108" t="b">
        <f t="shared" ref="AD1077:AI1077" si="458">OR(AND($L1072&lt;&gt;"",$L1072=FALSE),AD989)</f>
        <v>0</v>
      </c>
      <c r="AE1077" s="108" t="b">
        <f t="shared" si="458"/>
        <v>0</v>
      </c>
      <c r="AF1077" s="108" t="b">
        <f t="shared" si="458"/>
        <v>0</v>
      </c>
      <c r="AG1077" s="108" t="b">
        <f t="shared" si="458"/>
        <v>0</v>
      </c>
      <c r="AH1077" s="108" t="b">
        <f t="shared" si="458"/>
        <v>0</v>
      </c>
      <c r="AI1077" s="108" t="b">
        <f t="shared" si="458"/>
        <v>0</v>
      </c>
      <c r="AJ1077" s="553" t="s">
        <v>2248</v>
      </c>
      <c r="AK1077" s="663" t="str">
        <f>IF(AND(CNTR_ExistSubInstEntries,MSconst_RequireSubAttrEmissions,COUNTIFS(AC1077:AI1077,FALSE,H1077:N1077,"")&gt;0),EUconst_Error&amp;"BM"&amp;$Q919,"")</f>
        <v/>
      </c>
      <c r="AL1077" s="2"/>
    </row>
    <row r="1078" spans="1:38" ht="12.75" customHeight="1" x14ac:dyDescent="0.25">
      <c r="A1078" s="2"/>
      <c r="B1078" s="178"/>
      <c r="C1078" s="779"/>
      <c r="D1078" s="416" t="s">
        <v>23</v>
      </c>
      <c r="E1078" s="2625" t="str">
        <f>Translations!$B$584</f>
        <v>Effektivt värmevärde, i tillämpliga fall</v>
      </c>
      <c r="F1078" s="2476"/>
      <c r="G1078" s="424" t="str">
        <f>EUconst_GJpt</f>
        <v>GJ / t</v>
      </c>
      <c r="H1078" s="1302"/>
      <c r="I1078" s="1303"/>
      <c r="J1078" s="1304"/>
      <c r="K1078" s="1302"/>
      <c r="L1078" s="1302"/>
      <c r="M1078" s="1302"/>
      <c r="N1078" s="1305"/>
      <c r="O1078" s="15"/>
      <c r="P1078" s="1362"/>
      <c r="Q1078" s="343"/>
      <c r="R1078" s="2"/>
      <c r="S1078" s="343"/>
      <c r="T1078" s="2"/>
      <c r="U1078" s="2"/>
      <c r="V1078" s="2"/>
      <c r="W1078" s="2"/>
      <c r="X1078" s="2"/>
      <c r="Y1078" s="2"/>
      <c r="Z1078" s="2"/>
      <c r="AA1078" s="2"/>
      <c r="AB1078" s="2"/>
      <c r="AC1078" s="108" t="b">
        <f t="shared" ref="AC1078:AI1078" si="459">AC1077</f>
        <v>0</v>
      </c>
      <c r="AD1078" s="108" t="b">
        <f t="shared" si="459"/>
        <v>0</v>
      </c>
      <c r="AE1078" s="108" t="b">
        <f t="shared" si="459"/>
        <v>0</v>
      </c>
      <c r="AF1078" s="108" t="b">
        <f t="shared" si="459"/>
        <v>0</v>
      </c>
      <c r="AG1078" s="108" t="b">
        <f t="shared" si="459"/>
        <v>0</v>
      </c>
      <c r="AH1078" s="108" t="b">
        <f t="shared" si="459"/>
        <v>0</v>
      </c>
      <c r="AI1078" s="108" t="b">
        <f t="shared" si="459"/>
        <v>0</v>
      </c>
      <c r="AJ1078" s="553" t="s">
        <v>2248</v>
      </c>
      <c r="AK1078" s="663" t="str">
        <f>IF(AND(CNTR_ExistSubInstEntries,MSconst_RequireSubAttrEmissions,COUNTIFS(AC1078:AI1078,FALSE,H1078:N1078,"")&gt;0),EUconst_Error&amp;"BM"&amp;$Q919,"")</f>
        <v/>
      </c>
      <c r="AL1078" s="2"/>
    </row>
    <row r="1079" spans="1:38" ht="12.75" customHeight="1" thickBot="1" x14ac:dyDescent="0.3">
      <c r="A1079" s="2"/>
      <c r="B1079" s="178"/>
      <c r="C1079" s="779"/>
      <c r="D1079" s="416" t="s">
        <v>859</v>
      </c>
      <c r="E1079" s="2625" t="str">
        <f>Translations!$B$585</f>
        <v>Kolinnehåll (viktprocent)</v>
      </c>
      <c r="F1079" s="2476"/>
      <c r="G1079" s="425" t="s">
        <v>957</v>
      </c>
      <c r="H1079" s="1302"/>
      <c r="I1079" s="1303"/>
      <c r="J1079" s="1304"/>
      <c r="K1079" s="1302"/>
      <c r="L1079" s="1302"/>
      <c r="M1079" s="1302"/>
      <c r="N1079" s="1305"/>
      <c r="O1079" s="15"/>
      <c r="P1079" s="1362"/>
      <c r="Q1079" s="343"/>
      <c r="R1079" s="2"/>
      <c r="S1079" s="343"/>
      <c r="T1079" s="2"/>
      <c r="U1079" s="2"/>
      <c r="V1079" s="2"/>
      <c r="W1079" s="2"/>
      <c r="X1079" s="2"/>
      <c r="Y1079" s="2"/>
      <c r="Z1079" s="2"/>
      <c r="AA1079" s="2"/>
      <c r="AB1079" s="2"/>
      <c r="AC1079" s="108" t="b">
        <f t="shared" ref="AC1079:AI1079" si="460">AC1078</f>
        <v>0</v>
      </c>
      <c r="AD1079" s="108" t="b">
        <f t="shared" si="460"/>
        <v>0</v>
      </c>
      <c r="AE1079" s="108" t="b">
        <f t="shared" si="460"/>
        <v>0</v>
      </c>
      <c r="AF1079" s="108" t="b">
        <f t="shared" si="460"/>
        <v>0</v>
      </c>
      <c r="AG1079" s="108" t="b">
        <f t="shared" si="460"/>
        <v>0</v>
      </c>
      <c r="AH1079" s="108" t="b">
        <f t="shared" si="460"/>
        <v>0</v>
      </c>
      <c r="AI1079" s="108" t="b">
        <f t="shared" si="460"/>
        <v>0</v>
      </c>
      <c r="AJ1079" s="553" t="s">
        <v>2248</v>
      </c>
      <c r="AK1079" s="663" t="str">
        <f>IF(AND(CNTR_ExistSubInstEntries,MSconst_RequireSubAttrEmissions,COUNTIFS(AC1079:AI1079,FALSE,H1079:N1079,"")&gt;0),EUconst_Error&amp;"BM"&amp;$Q919,"")</f>
        <v/>
      </c>
      <c r="AL1079" s="2"/>
    </row>
    <row r="1080" spans="1:38" ht="12.75" customHeight="1" x14ac:dyDescent="0.25">
      <c r="A1080" s="2"/>
      <c r="B1080" s="178"/>
      <c r="C1080" s="779"/>
      <c r="D1080" s="416" t="s">
        <v>860</v>
      </c>
      <c r="E1080" s="2626" t="str">
        <f>Translations!$B$586</f>
        <v>Biomassahalt (som kolfraktion)</v>
      </c>
      <c r="F1080" s="2487"/>
      <c r="G1080" s="384" t="s">
        <v>957</v>
      </c>
      <c r="H1080" s="1306"/>
      <c r="I1080" s="1307"/>
      <c r="J1080" s="1308"/>
      <c r="K1080" s="1306"/>
      <c r="L1080" s="1306"/>
      <c r="M1080" s="1306"/>
      <c r="N1080" s="1309"/>
      <c r="O1080" s="15"/>
      <c r="P1080" s="1362"/>
      <c r="Q1080" s="343"/>
      <c r="R1080" s="2"/>
      <c r="S1080" s="772"/>
      <c r="T1080" s="609">
        <f t="shared" ref="T1080:Z1080" si="461">H1076</f>
        <v>2019</v>
      </c>
      <c r="U1080" s="609">
        <f t="shared" si="461"/>
        <v>2020</v>
      </c>
      <c r="V1080" s="609">
        <f t="shared" si="461"/>
        <v>2021</v>
      </c>
      <c r="W1080" s="609">
        <f t="shared" si="461"/>
        <v>2022</v>
      </c>
      <c r="X1080" s="609">
        <f t="shared" si="461"/>
        <v>2023</v>
      </c>
      <c r="Y1080" s="609">
        <f t="shared" si="461"/>
        <v>2024</v>
      </c>
      <c r="Z1080" s="610">
        <f t="shared" si="461"/>
        <v>2025</v>
      </c>
      <c r="AA1080" s="2"/>
      <c r="AB1080" s="2"/>
      <c r="AC1080" s="108" t="b">
        <f t="shared" ref="AC1080:AI1080" si="462">AC1079</f>
        <v>0</v>
      </c>
      <c r="AD1080" s="108" t="b">
        <f t="shared" si="462"/>
        <v>0</v>
      </c>
      <c r="AE1080" s="108" t="b">
        <f t="shared" si="462"/>
        <v>0</v>
      </c>
      <c r="AF1080" s="108" t="b">
        <f t="shared" si="462"/>
        <v>0</v>
      </c>
      <c r="AG1080" s="108" t="b">
        <f t="shared" si="462"/>
        <v>0</v>
      </c>
      <c r="AH1080" s="108" t="b">
        <f t="shared" si="462"/>
        <v>0</v>
      </c>
      <c r="AI1080" s="108" t="b">
        <f t="shared" si="462"/>
        <v>0</v>
      </c>
      <c r="AJ1080" s="553" t="s">
        <v>2248</v>
      </c>
      <c r="AK1080" s="663" t="str">
        <f>IF(AND(CNTR_ExistSubInstEntries,MSconst_RequireSubAttrEmissions,COUNTIFS(AC1080:AI1080,FALSE,H1080:N1080,"")&gt;0),EUconst_Error&amp;"BM"&amp;$Q919,"")</f>
        <v/>
      </c>
      <c r="AL1080" s="2"/>
    </row>
    <row r="1081" spans="1:38" ht="12.75" customHeight="1" thickBot="1" x14ac:dyDescent="0.3">
      <c r="A1081" s="2"/>
      <c r="B1081" s="178"/>
      <c r="C1081" s="779"/>
      <c r="D1081" s="416" t="s">
        <v>861</v>
      </c>
      <c r="E1081" s="2627" t="str">
        <f>Translations!$B$587</f>
        <v>Utsläpp (fossila, beräknade)</v>
      </c>
      <c r="F1081" s="2484"/>
      <c r="G1081" s="426" t="str">
        <f>EUconst_tCO2pa</f>
        <v>t CO2 / år</v>
      </c>
      <c r="H1081" s="273" t="str">
        <f t="shared" ref="H1081:N1081" si="463">IF(AND(COUNT(H1077:H1080)&gt;0,H1084=""),3.664*H1077*(H1079/100)*(1-H1080/100),"")</f>
        <v/>
      </c>
      <c r="I1081" s="1109" t="str">
        <f t="shared" si="463"/>
        <v/>
      </c>
      <c r="J1081" s="1116" t="str">
        <f t="shared" si="463"/>
        <v/>
      </c>
      <c r="K1081" s="273" t="str">
        <f t="shared" si="463"/>
        <v/>
      </c>
      <c r="L1081" s="273" t="str">
        <f t="shared" si="463"/>
        <v/>
      </c>
      <c r="M1081" s="273" t="str">
        <f t="shared" si="463"/>
        <v/>
      </c>
      <c r="N1081" s="1142" t="str">
        <f t="shared" si="463"/>
        <v/>
      </c>
      <c r="O1081" s="15"/>
      <c r="P1081" s="15"/>
      <c r="Q1081" s="165" t="str">
        <f>EUconst_CNTR_EmissionsIntSource1 &amp; I919</f>
        <v>EmInternalSource1_</v>
      </c>
      <c r="R1081" s="2"/>
      <c r="S1081" s="773" t="str">
        <f>EUconst_CNTR_AttributedEmissions &amp; I919</f>
        <v>AttrEmissions_</v>
      </c>
      <c r="T1081" s="111" t="str">
        <f t="shared" ref="T1081:Z1081" si="464">IF(T927,SUM(H1081),"")</f>
        <v/>
      </c>
      <c r="U1081" s="111" t="str">
        <f t="shared" si="464"/>
        <v/>
      </c>
      <c r="V1081" s="111" t="str">
        <f t="shared" si="464"/>
        <v/>
      </c>
      <c r="W1081" s="111" t="str">
        <f t="shared" si="464"/>
        <v/>
      </c>
      <c r="X1081" s="111" t="str">
        <f t="shared" si="464"/>
        <v/>
      </c>
      <c r="Y1081" s="111" t="str">
        <f t="shared" si="464"/>
        <v/>
      </c>
      <c r="Z1081" s="112" t="str">
        <f t="shared" si="464"/>
        <v/>
      </c>
      <c r="AA1081" s="2"/>
      <c r="AB1081" s="2"/>
      <c r="AC1081" s="2"/>
      <c r="AD1081" s="2"/>
      <c r="AE1081" s="2"/>
      <c r="AF1081" s="2"/>
      <c r="AG1081" s="2"/>
      <c r="AH1081" s="2"/>
      <c r="AI1081" s="2"/>
      <c r="AJ1081" s="2"/>
      <c r="AK1081" s="2"/>
      <c r="AL1081" s="2"/>
    </row>
    <row r="1082" spans="1:38" ht="12.75" customHeight="1" x14ac:dyDescent="0.25">
      <c r="A1082" s="2"/>
      <c r="B1082" s="178"/>
      <c r="C1082" s="779"/>
      <c r="D1082" s="416" t="s">
        <v>862</v>
      </c>
      <c r="E1082" s="2628" t="str">
        <f>Translations!$B$588</f>
        <v>Memorandumpost: Utsläpp biomassa</v>
      </c>
      <c r="F1082" s="2476"/>
      <c r="G1082" s="427" t="str">
        <f>EUconst_tCO2pa</f>
        <v>t CO2 / år</v>
      </c>
      <c r="H1082" s="272" t="str">
        <f t="shared" ref="H1082:N1082" si="465">IF(ISNUMBER(H1081),3.664*H1077*(H1079/100)*(H1080/100),"")</f>
        <v/>
      </c>
      <c r="I1082" s="1110" t="str">
        <f t="shared" si="465"/>
        <v/>
      </c>
      <c r="J1082" s="1117" t="str">
        <f t="shared" si="465"/>
        <v/>
      </c>
      <c r="K1082" s="272" t="str">
        <f t="shared" si="465"/>
        <v/>
      </c>
      <c r="L1082" s="272" t="str">
        <f t="shared" si="465"/>
        <v/>
      </c>
      <c r="M1082" s="272" t="str">
        <f t="shared" si="465"/>
        <v/>
      </c>
      <c r="N1082" s="1143" t="str">
        <f t="shared" si="465"/>
        <v/>
      </c>
      <c r="O1082" s="15"/>
      <c r="P1082" s="15"/>
      <c r="Q1082" s="343"/>
      <c r="R1082" s="2"/>
      <c r="S1082" s="343"/>
      <c r="T1082" s="2"/>
      <c r="U1082" s="2"/>
      <c r="V1082" s="2"/>
      <c r="W1082" s="2"/>
      <c r="X1082" s="2"/>
      <c r="Y1082" s="2"/>
      <c r="Z1082" s="2"/>
      <c r="AA1082" s="2"/>
      <c r="AB1082" s="2"/>
      <c r="AC1082" s="2"/>
      <c r="AD1082" s="2"/>
      <c r="AE1082" s="2"/>
      <c r="AF1082" s="2"/>
      <c r="AG1082" s="2"/>
      <c r="AH1082" s="2"/>
      <c r="AI1082" s="2"/>
      <c r="AJ1082" s="2"/>
      <c r="AK1082" s="2"/>
      <c r="AL1082" s="2"/>
    </row>
    <row r="1083" spans="1:38" ht="12.75" customHeight="1" x14ac:dyDescent="0.25">
      <c r="A1083" s="2"/>
      <c r="B1083" s="178"/>
      <c r="C1083" s="779"/>
      <c r="D1083" s="416" t="s">
        <v>863</v>
      </c>
      <c r="E1083" s="2626" t="str">
        <f>Translations!$B$589</f>
        <v>Energiinnehåll (beräknat)</v>
      </c>
      <c r="F1083" s="2487"/>
      <c r="G1083" s="428" t="str">
        <f>EUconst_TJpa</f>
        <v>TJ / år</v>
      </c>
      <c r="H1083" s="275" t="str">
        <f t="shared" ref="H1083:N1083" si="466">IF(COUNT(H1077:H1078)=2,H1077*H1078/1000,"")</f>
        <v/>
      </c>
      <c r="I1083" s="281" t="str">
        <f t="shared" si="466"/>
        <v/>
      </c>
      <c r="J1083" s="1118" t="str">
        <f t="shared" si="466"/>
        <v/>
      </c>
      <c r="K1083" s="275" t="str">
        <f t="shared" si="466"/>
        <v/>
      </c>
      <c r="L1083" s="275" t="str">
        <f t="shared" si="466"/>
        <v/>
      </c>
      <c r="M1083" s="275" t="str">
        <f t="shared" si="466"/>
        <v/>
      </c>
      <c r="N1083" s="1144" t="str">
        <f t="shared" si="466"/>
        <v/>
      </c>
      <c r="O1083" s="15"/>
      <c r="P1083" s="15"/>
      <c r="Q1083" s="343"/>
      <c r="R1083" s="2"/>
      <c r="S1083" s="343"/>
      <c r="T1083" s="2"/>
      <c r="U1083" s="2"/>
      <c r="V1083" s="2"/>
      <c r="W1083" s="2"/>
      <c r="X1083" s="2"/>
      <c r="Y1083" s="2"/>
      <c r="Z1083" s="2"/>
      <c r="AA1083" s="2"/>
      <c r="AB1083" s="2"/>
      <c r="AC1083" s="2"/>
      <c r="AD1083" s="2"/>
      <c r="AE1083" s="2"/>
      <c r="AF1083" s="2"/>
      <c r="AG1083" s="2"/>
      <c r="AH1083" s="2"/>
      <c r="AI1083" s="2"/>
      <c r="AJ1083" s="2"/>
      <c r="AK1083" s="2"/>
      <c r="AL1083" s="2"/>
    </row>
    <row r="1084" spans="1:38" ht="12.75" customHeight="1" x14ac:dyDescent="0.25">
      <c r="A1084" s="2"/>
      <c r="B1084" s="178"/>
      <c r="C1084" s="779"/>
      <c r="D1084" s="416" t="s">
        <v>72</v>
      </c>
      <c r="E1084" s="2629" t="str">
        <f>Translations!$B$590</f>
        <v>Felmeddelanden (utsläpp)</v>
      </c>
      <c r="F1084" s="2630"/>
      <c r="G1084" s="429"/>
      <c r="H1084" s="520" t="str">
        <f t="shared" ref="H1084:N1084" si="467">IF(COUNT(H1077,H1079:H1080)&gt;0,IF(COUNTIF(H1078:H1080,"&lt;0")&gt;0,EUconst_Negative,IF(COUNT(H1077,H1079:H1080)&lt;3,EUconst_Incomplete,"")),"")</f>
        <v/>
      </c>
      <c r="I1084" s="1111" t="str">
        <f t="shared" si="467"/>
        <v/>
      </c>
      <c r="J1084" s="1119" t="str">
        <f t="shared" si="467"/>
        <v/>
      </c>
      <c r="K1084" s="520" t="str">
        <f t="shared" si="467"/>
        <v/>
      </c>
      <c r="L1084" s="520" t="str">
        <f t="shared" si="467"/>
        <v/>
      </c>
      <c r="M1084" s="520" t="str">
        <f t="shared" si="467"/>
        <v/>
      </c>
      <c r="N1084" s="1145" t="str">
        <f t="shared" si="467"/>
        <v/>
      </c>
      <c r="O1084" s="15"/>
      <c r="P1084" s="15"/>
      <c r="Q1084" s="343"/>
      <c r="R1084" s="2"/>
      <c r="S1084" s="343"/>
      <c r="T1084" s="2"/>
      <c r="U1084" s="2"/>
      <c r="V1084" s="2"/>
      <c r="W1084" s="2"/>
      <c r="X1084" s="2"/>
      <c r="Y1084" s="2"/>
      <c r="Z1084" s="2"/>
      <c r="AA1084" s="2"/>
      <c r="AB1084" s="2"/>
      <c r="AC1084" s="2"/>
      <c r="AD1084" s="2"/>
      <c r="AE1084" s="2"/>
      <c r="AF1084" s="2"/>
      <c r="AG1084" s="2"/>
      <c r="AH1084" s="2"/>
      <c r="AI1084" s="2"/>
      <c r="AJ1084" s="2"/>
      <c r="AK1084" s="2"/>
      <c r="AL1084" s="2"/>
    </row>
    <row r="1085" spans="1:38" ht="12.75" customHeight="1" x14ac:dyDescent="0.25">
      <c r="A1085" s="2"/>
      <c r="B1085" s="178"/>
      <c r="C1085" s="779"/>
      <c r="D1085" s="416"/>
      <c r="E1085" s="780"/>
      <c r="F1085" s="780"/>
      <c r="G1085" s="780"/>
      <c r="H1085" s="780"/>
      <c r="I1085" s="780"/>
      <c r="J1085" s="780"/>
      <c r="K1085" s="780"/>
      <c r="L1085" s="780"/>
      <c r="M1085" s="623"/>
      <c r="N1085" s="519"/>
      <c r="O1085" s="15"/>
      <c r="P1085" s="15"/>
      <c r="Q1085" s="343"/>
      <c r="R1085" s="2"/>
      <c r="S1085" s="343"/>
      <c r="T1085" s="2"/>
      <c r="U1085" s="2"/>
      <c r="V1085" s="2"/>
      <c r="W1085" s="2"/>
      <c r="X1085" s="2"/>
      <c r="Y1085" s="2"/>
      <c r="Z1085" s="2"/>
      <c r="AA1085" s="2"/>
      <c r="AB1085" s="2"/>
      <c r="AC1085" s="2"/>
      <c r="AD1085" s="2"/>
      <c r="AE1085" s="2"/>
      <c r="AF1085" s="2"/>
      <c r="AG1085" s="2"/>
      <c r="AH1085" s="2"/>
      <c r="AI1085" s="2"/>
      <c r="AJ1085" s="2"/>
      <c r="AK1085" s="2"/>
      <c r="AL1085" s="2"/>
    </row>
    <row r="1086" spans="1:38" ht="12.75" customHeight="1" x14ac:dyDescent="0.25">
      <c r="A1086" s="2"/>
      <c r="B1086" s="178"/>
      <c r="C1086" s="779"/>
      <c r="D1086" s="416" t="s">
        <v>73</v>
      </c>
      <c r="E1086" s="2614" t="str">
        <f>Translations!$B$591</f>
        <v>Namn på andra bränsle-/materialmängder – 2:</v>
      </c>
      <c r="F1086" s="1960"/>
      <c r="G1086" s="1960"/>
      <c r="H1086" s="2520"/>
      <c r="I1086" s="2621"/>
      <c r="J1086" s="2510"/>
      <c r="K1086" s="2510"/>
      <c r="L1086" s="2510"/>
      <c r="M1086" s="2511"/>
      <c r="N1086" s="1807"/>
      <c r="O1086" s="15"/>
      <c r="P1086" s="1362"/>
      <c r="Q1086" s="343"/>
      <c r="R1086" s="2"/>
      <c r="S1086" s="343"/>
      <c r="T1086" s="2"/>
      <c r="U1086" s="2"/>
      <c r="V1086" s="2"/>
      <c r="W1086" s="2"/>
      <c r="X1086" s="2"/>
      <c r="Y1086" s="2"/>
      <c r="Z1086" s="2"/>
      <c r="AA1086" s="2"/>
      <c r="AB1086" s="2"/>
      <c r="AC1086" s="672" t="s">
        <v>782</v>
      </c>
      <c r="AD1086" s="108" t="b">
        <f>AD1074</f>
        <v>0</v>
      </c>
      <c r="AE1086" s="2"/>
      <c r="AF1086" s="2"/>
      <c r="AG1086" s="2"/>
      <c r="AH1086" s="2"/>
      <c r="AI1086" s="2"/>
      <c r="AJ1086" s="2"/>
      <c r="AK1086" s="2"/>
      <c r="AL1086" s="2"/>
    </row>
    <row r="1087" spans="1:38" ht="5.15" customHeight="1" x14ac:dyDescent="0.25">
      <c r="A1087" s="2"/>
      <c r="B1087" s="178"/>
      <c r="C1087" s="779"/>
      <c r="D1087" s="780"/>
      <c r="E1087" s="1804"/>
      <c r="F1087" s="1806"/>
      <c r="G1087" s="780"/>
      <c r="H1087" s="780"/>
      <c r="I1087" s="1806"/>
      <c r="J1087" s="1806"/>
      <c r="K1087" s="1806"/>
      <c r="L1087" s="1806"/>
      <c r="M1087" s="1806"/>
      <c r="N1087" s="1807"/>
      <c r="O1087" s="15"/>
      <c r="P1087" s="15"/>
      <c r="Q1087" s="343"/>
      <c r="R1087" s="2"/>
      <c r="S1087" s="343"/>
      <c r="T1087" s="2"/>
      <c r="U1087" s="2"/>
      <c r="V1087" s="2"/>
      <c r="W1087" s="2"/>
      <c r="X1087" s="2"/>
      <c r="Y1087" s="2"/>
      <c r="Z1087" s="2"/>
      <c r="AA1087" s="2"/>
      <c r="AB1087" s="2"/>
      <c r="AC1087" s="2"/>
      <c r="AD1087" s="2"/>
      <c r="AE1087" s="2"/>
      <c r="AF1087" s="2"/>
      <c r="AG1087" s="2"/>
      <c r="AH1087" s="2"/>
      <c r="AI1087" s="2"/>
      <c r="AJ1087" s="2"/>
      <c r="AK1087" s="2"/>
      <c r="AL1087" s="2"/>
    </row>
    <row r="1088" spans="1:38" ht="12.75" customHeight="1" thickBot="1" x14ac:dyDescent="0.3">
      <c r="A1088" s="2"/>
      <c r="B1088" s="178"/>
      <c r="C1088" s="779"/>
      <c r="D1088" s="416"/>
      <c r="E1088" s="2605" t="str">
        <f>Translations!$B$592</f>
        <v>Andra bränsle-/materialmängder – 2</v>
      </c>
      <c r="F1088" s="2497"/>
      <c r="G1088" s="361" t="str">
        <f>EUconst_Unit</f>
        <v>Enhet</v>
      </c>
      <c r="H1088" s="362">
        <f t="shared" ref="H1088:N1088" si="468">H$3042</f>
        <v>2019</v>
      </c>
      <c r="I1088" s="1103">
        <f t="shared" si="468"/>
        <v>2020</v>
      </c>
      <c r="J1088" s="1104">
        <f t="shared" si="468"/>
        <v>2021</v>
      </c>
      <c r="K1088" s="362">
        <f t="shared" si="468"/>
        <v>2022</v>
      </c>
      <c r="L1088" s="362">
        <f t="shared" si="468"/>
        <v>2023</v>
      </c>
      <c r="M1088" s="362">
        <f t="shared" si="468"/>
        <v>2024</v>
      </c>
      <c r="N1088" s="1141">
        <f t="shared" si="468"/>
        <v>2025</v>
      </c>
      <c r="O1088" s="15"/>
      <c r="P1088" s="15"/>
      <c r="Q1088" s="343"/>
      <c r="R1088" s="2"/>
      <c r="S1088" s="343"/>
      <c r="T1088" s="2"/>
      <c r="U1088" s="2"/>
      <c r="V1088" s="2"/>
      <c r="W1088" s="2"/>
      <c r="X1088" s="2"/>
      <c r="Y1088" s="2"/>
      <c r="Z1088" s="2"/>
      <c r="AA1088" s="2"/>
      <c r="AB1088" s="2"/>
      <c r="AC1088" s="1044">
        <f t="shared" ref="AC1088:AI1088" si="469">H$20</f>
        <v>2019</v>
      </c>
      <c r="AD1088" s="1044">
        <f t="shared" si="469"/>
        <v>2020</v>
      </c>
      <c r="AE1088" s="1044">
        <f t="shared" si="469"/>
        <v>2021</v>
      </c>
      <c r="AF1088" s="1044">
        <f t="shared" si="469"/>
        <v>2022</v>
      </c>
      <c r="AG1088" s="1044">
        <f t="shared" si="469"/>
        <v>2023</v>
      </c>
      <c r="AH1088" s="1044">
        <f t="shared" si="469"/>
        <v>2024</v>
      </c>
      <c r="AI1088" s="1044">
        <f t="shared" si="469"/>
        <v>2025</v>
      </c>
      <c r="AJ1088" s="2"/>
      <c r="AK1088" s="2"/>
      <c r="AL1088" s="2"/>
    </row>
    <row r="1089" spans="1:38" ht="12.75" customHeight="1" x14ac:dyDescent="0.25">
      <c r="A1089" s="2"/>
      <c r="B1089" s="178"/>
      <c r="C1089" s="779"/>
      <c r="D1089" s="416" t="s">
        <v>74</v>
      </c>
      <c r="E1089" s="2611" t="str">
        <f>Translations!$B$583</f>
        <v>Importerad eller exporterad mängd</v>
      </c>
      <c r="F1089" s="2484"/>
      <c r="G1089" s="365" t="str">
        <f>EUconst_tpa</f>
        <v>t / år</v>
      </c>
      <c r="H1089" s="1298"/>
      <c r="I1089" s="1299"/>
      <c r="J1089" s="1300"/>
      <c r="K1089" s="1298"/>
      <c r="L1089" s="1298"/>
      <c r="M1089" s="1298"/>
      <c r="N1089" s="1301"/>
      <c r="O1089" s="15"/>
      <c r="P1089" s="1362"/>
      <c r="Q1089" s="343"/>
      <c r="R1089" s="2"/>
      <c r="S1089" s="343"/>
      <c r="T1089" s="2"/>
      <c r="U1089" s="2"/>
      <c r="V1089" s="2"/>
      <c r="W1089" s="2"/>
      <c r="X1089" s="2"/>
      <c r="Y1089" s="2"/>
      <c r="Z1089" s="2"/>
      <c r="AA1089" s="2"/>
      <c r="AB1089" s="672" t="s">
        <v>782</v>
      </c>
      <c r="AC1089" s="108" t="b">
        <f>AC1077</f>
        <v>0</v>
      </c>
      <c r="AD1089" s="108" t="b">
        <f t="shared" ref="AD1089:AI1089" si="470">AD1077</f>
        <v>0</v>
      </c>
      <c r="AE1089" s="108" t="b">
        <f t="shared" si="470"/>
        <v>0</v>
      </c>
      <c r="AF1089" s="108" t="b">
        <f t="shared" si="470"/>
        <v>0</v>
      </c>
      <c r="AG1089" s="108" t="b">
        <f t="shared" si="470"/>
        <v>0</v>
      </c>
      <c r="AH1089" s="108" t="b">
        <f t="shared" si="470"/>
        <v>0</v>
      </c>
      <c r="AI1089" s="108" t="b">
        <f t="shared" si="470"/>
        <v>0</v>
      </c>
      <c r="AJ1089" s="553" t="s">
        <v>2248</v>
      </c>
      <c r="AK1089" s="663" t="str">
        <f>IF(AND(CNTR_ExistSubInstEntries,MSconst_RequireSubAttrEmissions,COUNTIFS(AC1089:AI1089,FALSE,H1089:N1089,"")&gt;0),EUconst_Error&amp;"BM"&amp;$Q919,"")</f>
        <v/>
      </c>
      <c r="AL1089" s="2"/>
    </row>
    <row r="1090" spans="1:38" ht="12.75" customHeight="1" x14ac:dyDescent="0.25">
      <c r="A1090" s="2"/>
      <c r="B1090" s="178"/>
      <c r="C1090" s="779"/>
      <c r="D1090" s="416" t="s">
        <v>1201</v>
      </c>
      <c r="E1090" s="2625" t="str">
        <f>Translations!$B$584</f>
        <v>Effektivt värmevärde, i tillämpliga fall</v>
      </c>
      <c r="F1090" s="2476"/>
      <c r="G1090" s="424" t="str">
        <f>EUconst_GJpt</f>
        <v>GJ / t</v>
      </c>
      <c r="H1090" s="1302"/>
      <c r="I1090" s="1303"/>
      <c r="J1090" s="1304"/>
      <c r="K1090" s="1302"/>
      <c r="L1090" s="1302"/>
      <c r="M1090" s="1302"/>
      <c r="N1090" s="1305"/>
      <c r="O1090" s="15"/>
      <c r="P1090" s="1362"/>
      <c r="Q1090" s="343"/>
      <c r="R1090" s="2"/>
      <c r="S1090" s="343"/>
      <c r="T1090" s="2"/>
      <c r="U1090" s="2"/>
      <c r="V1090" s="2"/>
      <c r="W1090" s="2"/>
      <c r="X1090" s="2"/>
      <c r="Y1090" s="2"/>
      <c r="Z1090" s="2"/>
      <c r="AA1090" s="2"/>
      <c r="AB1090" s="2"/>
      <c r="AC1090" s="108" t="b">
        <f t="shared" ref="AC1090:AI1090" si="471">AC1078</f>
        <v>0</v>
      </c>
      <c r="AD1090" s="108" t="b">
        <f t="shared" si="471"/>
        <v>0</v>
      </c>
      <c r="AE1090" s="108" t="b">
        <f t="shared" si="471"/>
        <v>0</v>
      </c>
      <c r="AF1090" s="108" t="b">
        <f t="shared" si="471"/>
        <v>0</v>
      </c>
      <c r="AG1090" s="108" t="b">
        <f t="shared" si="471"/>
        <v>0</v>
      </c>
      <c r="AH1090" s="108" t="b">
        <f t="shared" si="471"/>
        <v>0</v>
      </c>
      <c r="AI1090" s="108" t="b">
        <f t="shared" si="471"/>
        <v>0</v>
      </c>
      <c r="AJ1090" s="553" t="s">
        <v>2248</v>
      </c>
      <c r="AK1090" s="663" t="str">
        <f>IF(AND(CNTR_ExistSubInstEntries,MSconst_RequireSubAttrEmissions,COUNTIFS(AC1090:AI1090,FALSE,H1090:N1090,"")&gt;0),EUconst_Error&amp;"BM"&amp;$Q919,"")</f>
        <v/>
      </c>
      <c r="AL1090" s="2"/>
    </row>
    <row r="1091" spans="1:38" ht="12.75" customHeight="1" thickBot="1" x14ac:dyDescent="0.3">
      <c r="A1091" s="2"/>
      <c r="B1091" s="178"/>
      <c r="C1091" s="779"/>
      <c r="D1091" s="416" t="s">
        <v>1202</v>
      </c>
      <c r="E1091" s="2625" t="str">
        <f>Translations!$B$585</f>
        <v>Kolinnehåll (viktprocent)</v>
      </c>
      <c r="F1091" s="2476"/>
      <c r="G1091" s="425" t="s">
        <v>957</v>
      </c>
      <c r="H1091" s="1302"/>
      <c r="I1091" s="1303"/>
      <c r="J1091" s="1304"/>
      <c r="K1091" s="1302"/>
      <c r="L1091" s="1302"/>
      <c r="M1091" s="1302"/>
      <c r="N1091" s="1305"/>
      <c r="O1091" s="15"/>
      <c r="P1091" s="1362"/>
      <c r="Q1091" s="343"/>
      <c r="R1091" s="2"/>
      <c r="S1091" s="343"/>
      <c r="T1091" s="2"/>
      <c r="U1091" s="2"/>
      <c r="V1091" s="2"/>
      <c r="W1091" s="2"/>
      <c r="X1091" s="2"/>
      <c r="Y1091" s="2"/>
      <c r="Z1091" s="2"/>
      <c r="AA1091" s="2"/>
      <c r="AB1091" s="2"/>
      <c r="AC1091" s="108" t="b">
        <f t="shared" ref="AC1091:AI1091" si="472">AC1079</f>
        <v>0</v>
      </c>
      <c r="AD1091" s="108" t="b">
        <f t="shared" si="472"/>
        <v>0</v>
      </c>
      <c r="AE1091" s="108" t="b">
        <f t="shared" si="472"/>
        <v>0</v>
      </c>
      <c r="AF1091" s="108" t="b">
        <f t="shared" si="472"/>
        <v>0</v>
      </c>
      <c r="AG1091" s="108" t="b">
        <f t="shared" si="472"/>
        <v>0</v>
      </c>
      <c r="AH1091" s="108" t="b">
        <f t="shared" si="472"/>
        <v>0</v>
      </c>
      <c r="AI1091" s="108" t="b">
        <f t="shared" si="472"/>
        <v>0</v>
      </c>
      <c r="AJ1091" s="553" t="s">
        <v>2248</v>
      </c>
      <c r="AK1091" s="663" t="str">
        <f>IF(AND(CNTR_ExistSubInstEntries,MSconst_RequireSubAttrEmissions,COUNTIFS(AC1091:AI1091,FALSE,H1091:N1091,"")&gt;0),EUconst_Error&amp;"BM"&amp;$Q919,"")</f>
        <v/>
      </c>
      <c r="AL1091" s="2"/>
    </row>
    <row r="1092" spans="1:38" ht="12.75" customHeight="1" x14ac:dyDescent="0.25">
      <c r="A1092" s="2"/>
      <c r="B1092" s="178"/>
      <c r="C1092" s="779"/>
      <c r="D1092" s="416" t="s">
        <v>1203</v>
      </c>
      <c r="E1092" s="2626" t="str">
        <f>Translations!$B$586</f>
        <v>Biomassahalt (som kolfraktion)</v>
      </c>
      <c r="F1092" s="2487"/>
      <c r="G1092" s="384" t="s">
        <v>957</v>
      </c>
      <c r="H1092" s="1306"/>
      <c r="I1092" s="1307"/>
      <c r="J1092" s="1308"/>
      <c r="K1092" s="1306"/>
      <c r="L1092" s="1306"/>
      <c r="M1092" s="1306"/>
      <c r="N1092" s="1309"/>
      <c r="O1092" s="15"/>
      <c r="P1092" s="1362"/>
      <c r="Q1092" s="343"/>
      <c r="R1092" s="2"/>
      <c r="S1092" s="772"/>
      <c r="T1092" s="609">
        <f t="shared" ref="T1092:Z1092" si="473">H1088</f>
        <v>2019</v>
      </c>
      <c r="U1092" s="609">
        <f t="shared" si="473"/>
        <v>2020</v>
      </c>
      <c r="V1092" s="609">
        <f t="shared" si="473"/>
        <v>2021</v>
      </c>
      <c r="W1092" s="609">
        <f t="shared" si="473"/>
        <v>2022</v>
      </c>
      <c r="X1092" s="609">
        <f t="shared" si="473"/>
        <v>2023</v>
      </c>
      <c r="Y1092" s="609">
        <f t="shared" si="473"/>
        <v>2024</v>
      </c>
      <c r="Z1092" s="610">
        <f t="shared" si="473"/>
        <v>2025</v>
      </c>
      <c r="AA1092" s="2"/>
      <c r="AB1092" s="2"/>
      <c r="AC1092" s="108" t="b">
        <f t="shared" ref="AC1092:AI1092" si="474">AC1080</f>
        <v>0</v>
      </c>
      <c r="AD1092" s="108" t="b">
        <f t="shared" si="474"/>
        <v>0</v>
      </c>
      <c r="AE1092" s="108" t="b">
        <f t="shared" si="474"/>
        <v>0</v>
      </c>
      <c r="AF1092" s="108" t="b">
        <f t="shared" si="474"/>
        <v>0</v>
      </c>
      <c r="AG1092" s="108" t="b">
        <f t="shared" si="474"/>
        <v>0</v>
      </c>
      <c r="AH1092" s="108" t="b">
        <f t="shared" si="474"/>
        <v>0</v>
      </c>
      <c r="AI1092" s="108" t="b">
        <f t="shared" si="474"/>
        <v>0</v>
      </c>
      <c r="AJ1092" s="553" t="s">
        <v>2248</v>
      </c>
      <c r="AK1092" s="663" t="str">
        <f>IF(AND(CNTR_ExistSubInstEntries,MSconst_RequireSubAttrEmissions,COUNTIFS(AC1092:AI1092,FALSE,H1092:N1092,"")&gt;0),EUconst_Error&amp;"BM"&amp;$Q919,"")</f>
        <v/>
      </c>
      <c r="AL1092" s="2"/>
    </row>
    <row r="1093" spans="1:38" ht="12.75" customHeight="1" thickBot="1" x14ac:dyDescent="0.3">
      <c r="A1093" s="2"/>
      <c r="B1093" s="178"/>
      <c r="C1093" s="779"/>
      <c r="D1093" s="416" t="s">
        <v>1204</v>
      </c>
      <c r="E1093" s="2627" t="str">
        <f>Translations!$B$587</f>
        <v>Utsläpp (fossila, beräknade)</v>
      </c>
      <c r="F1093" s="2484"/>
      <c r="G1093" s="426" t="str">
        <f>EUconst_tCO2pa</f>
        <v>t CO2 / år</v>
      </c>
      <c r="H1093" s="273" t="str">
        <f t="shared" ref="H1093:N1093" si="475">IF(AND(COUNT(H1089:H1092)&gt;0,H1096=""),3.664*H1089*(H1091/100)*(1-H1092/100),"")</f>
        <v/>
      </c>
      <c r="I1093" s="1109" t="str">
        <f t="shared" si="475"/>
        <v/>
      </c>
      <c r="J1093" s="1116" t="str">
        <f t="shared" si="475"/>
        <v/>
      </c>
      <c r="K1093" s="273" t="str">
        <f t="shared" si="475"/>
        <v/>
      </c>
      <c r="L1093" s="273" t="str">
        <f t="shared" si="475"/>
        <v/>
      </c>
      <c r="M1093" s="273" t="str">
        <f t="shared" si="475"/>
        <v/>
      </c>
      <c r="N1093" s="1142" t="str">
        <f t="shared" si="475"/>
        <v/>
      </c>
      <c r="O1093" s="15"/>
      <c r="P1093" s="15"/>
      <c r="Q1093" s="165" t="str">
        <f>EUconst_CNTR_EmissionsIntSource2 &amp; I919</f>
        <v>EmInternalSource2_</v>
      </c>
      <c r="R1093" s="2"/>
      <c r="S1093" s="773" t="str">
        <f>EUconst_CNTR_AttributedEmissions &amp; I919</f>
        <v>AttrEmissions_</v>
      </c>
      <c r="T1093" s="111" t="str">
        <f t="shared" ref="T1093:Z1093" si="476">IF(T927,SUM(H1093),"")</f>
        <v/>
      </c>
      <c r="U1093" s="111" t="str">
        <f t="shared" si="476"/>
        <v/>
      </c>
      <c r="V1093" s="111" t="str">
        <f t="shared" si="476"/>
        <v/>
      </c>
      <c r="W1093" s="111" t="str">
        <f t="shared" si="476"/>
        <v/>
      </c>
      <c r="X1093" s="111" t="str">
        <f t="shared" si="476"/>
        <v/>
      </c>
      <c r="Y1093" s="111" t="str">
        <f t="shared" si="476"/>
        <v/>
      </c>
      <c r="Z1093" s="112" t="str">
        <f t="shared" si="476"/>
        <v/>
      </c>
      <c r="AA1093" s="2"/>
      <c r="AB1093" s="2"/>
      <c r="AC1093" s="2"/>
      <c r="AD1093" s="2"/>
      <c r="AE1093" s="2"/>
      <c r="AF1093" s="2"/>
      <c r="AG1093" s="2"/>
      <c r="AH1093" s="2"/>
      <c r="AI1093" s="2"/>
      <c r="AJ1093" s="2"/>
      <c r="AK1093" s="2"/>
      <c r="AL1093" s="2"/>
    </row>
    <row r="1094" spans="1:38" ht="12.75" customHeight="1" x14ac:dyDescent="0.25">
      <c r="A1094" s="2"/>
      <c r="B1094" s="178"/>
      <c r="C1094" s="779"/>
      <c r="D1094" s="416" t="s">
        <v>1205</v>
      </c>
      <c r="E1094" s="2628" t="str">
        <f>Translations!$B$588</f>
        <v>Memorandumpost: Utsläpp biomassa</v>
      </c>
      <c r="F1094" s="2476"/>
      <c r="G1094" s="427" t="str">
        <f>EUconst_tCO2pa</f>
        <v>t CO2 / år</v>
      </c>
      <c r="H1094" s="272" t="str">
        <f t="shared" ref="H1094:N1094" si="477">IF(ISNUMBER(H1093),3.664*H1089*(H1091/100)*(H1092/100),"")</f>
        <v/>
      </c>
      <c r="I1094" s="1110" t="str">
        <f t="shared" si="477"/>
        <v/>
      </c>
      <c r="J1094" s="1117" t="str">
        <f t="shared" si="477"/>
        <v/>
      </c>
      <c r="K1094" s="272" t="str">
        <f t="shared" si="477"/>
        <v/>
      </c>
      <c r="L1094" s="272" t="str">
        <f t="shared" si="477"/>
        <v/>
      </c>
      <c r="M1094" s="272" t="str">
        <f t="shared" si="477"/>
        <v/>
      </c>
      <c r="N1094" s="1143" t="str">
        <f t="shared" si="477"/>
        <v/>
      </c>
      <c r="O1094" s="15"/>
      <c r="P1094" s="15"/>
      <c r="Q1094" s="343"/>
      <c r="R1094" s="2"/>
      <c r="S1094" s="343"/>
      <c r="T1094" s="2"/>
      <c r="U1094" s="2"/>
      <c r="V1094" s="2"/>
      <c r="W1094" s="2"/>
      <c r="X1094" s="2"/>
      <c r="Y1094" s="2"/>
      <c r="Z1094" s="2"/>
      <c r="AA1094" s="2"/>
      <c r="AB1094" s="2"/>
      <c r="AC1094" s="2"/>
      <c r="AD1094" s="2"/>
      <c r="AE1094" s="2"/>
      <c r="AF1094" s="2"/>
      <c r="AG1094" s="2"/>
      <c r="AH1094" s="2"/>
      <c r="AI1094" s="2"/>
      <c r="AJ1094" s="2"/>
      <c r="AK1094" s="2"/>
      <c r="AL1094" s="2"/>
    </row>
    <row r="1095" spans="1:38" ht="12.75" customHeight="1" x14ac:dyDescent="0.25">
      <c r="A1095" s="2"/>
      <c r="B1095" s="178"/>
      <c r="C1095" s="779"/>
      <c r="D1095" s="416" t="s">
        <v>1206</v>
      </c>
      <c r="E1095" s="2626" t="str">
        <f>Translations!$B$589</f>
        <v>Energiinnehåll (beräknat)</v>
      </c>
      <c r="F1095" s="2487"/>
      <c r="G1095" s="428" t="str">
        <f>EUconst_TJpa</f>
        <v>TJ / år</v>
      </c>
      <c r="H1095" s="275" t="str">
        <f t="shared" ref="H1095:N1095" si="478">IF(COUNT(H1089:H1090)=2,H1089*H1090/1000,"")</f>
        <v/>
      </c>
      <c r="I1095" s="281" t="str">
        <f t="shared" si="478"/>
        <v/>
      </c>
      <c r="J1095" s="1118" t="str">
        <f t="shared" si="478"/>
        <v/>
      </c>
      <c r="K1095" s="275" t="str">
        <f t="shared" si="478"/>
        <v/>
      </c>
      <c r="L1095" s="275" t="str">
        <f t="shared" si="478"/>
        <v/>
      </c>
      <c r="M1095" s="275" t="str">
        <f t="shared" si="478"/>
        <v/>
      </c>
      <c r="N1095" s="1144" t="str">
        <f t="shared" si="478"/>
        <v/>
      </c>
      <c r="O1095" s="15"/>
      <c r="P1095" s="15"/>
      <c r="Q1095" s="343"/>
      <c r="R1095" s="2"/>
      <c r="S1095" s="343"/>
      <c r="T1095" s="2"/>
      <c r="U1095" s="2"/>
      <c r="V1095" s="2"/>
      <c r="W1095" s="2"/>
      <c r="X1095" s="2"/>
      <c r="Y1095" s="2"/>
      <c r="Z1095" s="2"/>
      <c r="AA1095" s="2"/>
      <c r="AB1095" s="2"/>
      <c r="AC1095" s="2"/>
      <c r="AD1095" s="2"/>
      <c r="AE1095" s="2"/>
      <c r="AF1095" s="2"/>
      <c r="AG1095" s="2"/>
      <c r="AH1095" s="2"/>
      <c r="AI1095" s="2"/>
      <c r="AJ1095" s="2"/>
      <c r="AK1095" s="2"/>
      <c r="AL1095" s="2"/>
    </row>
    <row r="1096" spans="1:38" ht="12.75" customHeight="1" x14ac:dyDescent="0.25">
      <c r="A1096" s="2"/>
      <c r="B1096" s="178"/>
      <c r="C1096" s="779"/>
      <c r="D1096" s="416" t="s">
        <v>1202</v>
      </c>
      <c r="E1096" s="2629" t="str">
        <f>Translations!$B$590</f>
        <v>Felmeddelanden (utsläpp)</v>
      </c>
      <c r="F1096" s="2630"/>
      <c r="G1096" s="429"/>
      <c r="H1096" s="520" t="str">
        <f t="shared" ref="H1096:N1096" si="479">IF(COUNT(H1089,H1091:H1092)&gt;0,IF(COUNTIF(H1090:H1092,"&lt;0")&gt;0,EUconst_Negative,IF(COUNT(H1089,H1091:H1092)&lt;3,EUconst_Incomplete,"")),"")</f>
        <v/>
      </c>
      <c r="I1096" s="1111" t="str">
        <f t="shared" si="479"/>
        <v/>
      </c>
      <c r="J1096" s="1119" t="str">
        <f t="shared" si="479"/>
        <v/>
      </c>
      <c r="K1096" s="520" t="str">
        <f t="shared" si="479"/>
        <v/>
      </c>
      <c r="L1096" s="520" t="str">
        <f t="shared" si="479"/>
        <v/>
      </c>
      <c r="M1096" s="520" t="str">
        <f t="shared" si="479"/>
        <v/>
      </c>
      <c r="N1096" s="1145" t="str">
        <f t="shared" si="479"/>
        <v/>
      </c>
      <c r="O1096" s="15"/>
      <c r="P1096" s="15"/>
      <c r="Q1096" s="343"/>
      <c r="R1096" s="2"/>
      <c r="S1096" s="343"/>
      <c r="T1096" s="2"/>
      <c r="U1096" s="2"/>
      <c r="V1096" s="2"/>
      <c r="W1096" s="2"/>
      <c r="X1096" s="2"/>
      <c r="Y1096" s="2"/>
      <c r="Z1096" s="2"/>
      <c r="AA1096" s="2"/>
      <c r="AB1096" s="2"/>
      <c r="AC1096" s="2"/>
      <c r="AD1096" s="2"/>
      <c r="AE1096" s="2"/>
      <c r="AF1096" s="2"/>
      <c r="AG1096" s="2"/>
      <c r="AH1096" s="2"/>
      <c r="AI1096" s="2"/>
      <c r="AJ1096" s="2"/>
      <c r="AK1096" s="2"/>
      <c r="AL1096" s="2"/>
    </row>
    <row r="1097" spans="1:38" ht="12.75" customHeight="1" x14ac:dyDescent="0.25">
      <c r="A1097" s="2"/>
      <c r="B1097" s="178"/>
      <c r="C1097" s="779"/>
      <c r="D1097" s="780"/>
      <c r="E1097" s="780"/>
      <c r="F1097" s="780"/>
      <c r="G1097" s="780"/>
      <c r="H1097" s="780"/>
      <c r="I1097" s="780"/>
      <c r="J1097" s="780"/>
      <c r="K1097" s="780"/>
      <c r="L1097" s="780"/>
      <c r="M1097" s="623"/>
      <c r="N1097" s="519"/>
      <c r="O1097" s="15"/>
      <c r="P1097" s="15"/>
      <c r="Q1097" s="343"/>
      <c r="R1097" s="2"/>
      <c r="S1097" s="343"/>
      <c r="T1097" s="2"/>
      <c r="U1097" s="2"/>
      <c r="V1097" s="2"/>
      <c r="W1097" s="2"/>
      <c r="X1097" s="2"/>
      <c r="Y1097" s="2"/>
      <c r="Z1097" s="2"/>
      <c r="AA1097" s="2"/>
      <c r="AB1097" s="2"/>
      <c r="AC1097" s="2"/>
      <c r="AD1097" s="2"/>
      <c r="AE1097" s="2"/>
      <c r="AF1097" s="2"/>
      <c r="AG1097" s="2"/>
      <c r="AH1097" s="2"/>
      <c r="AI1097" s="2"/>
      <c r="AJ1097" s="2"/>
      <c r="AK1097" s="2"/>
      <c r="AL1097" s="2"/>
    </row>
    <row r="1098" spans="1:38" ht="12.75" customHeight="1" x14ac:dyDescent="0.25">
      <c r="A1098" s="2"/>
      <c r="B1098" s="178"/>
      <c r="C1098" s="779"/>
      <c r="D1098" s="373" t="s">
        <v>523</v>
      </c>
      <c r="E1098" s="2614" t="str">
        <f>Translations!$B$593</f>
        <v>Mängd växthusgaser som importerats eller exporterats som råvaror</v>
      </c>
      <c r="F1098" s="1960"/>
      <c r="G1098" s="1960"/>
      <c r="H1098" s="1960"/>
      <c r="I1098" s="1960"/>
      <c r="J1098" s="1960"/>
      <c r="K1098" s="1960"/>
      <c r="L1098" s="1960"/>
      <c r="M1098" s="1960"/>
      <c r="N1098" s="2597"/>
      <c r="O1098" s="15"/>
      <c r="P1098" s="15"/>
      <c r="Q1098" s="343"/>
      <c r="R1098" s="2"/>
      <c r="S1098" s="343"/>
      <c r="T1098" s="2"/>
      <c r="U1098" s="2"/>
      <c r="V1098" s="2"/>
      <c r="W1098" s="2"/>
      <c r="X1098" s="2"/>
      <c r="Y1098" s="2"/>
      <c r="Z1098" s="2"/>
      <c r="AA1098" s="2"/>
      <c r="AB1098" s="2"/>
      <c r="AC1098" s="2"/>
      <c r="AD1098" s="2"/>
      <c r="AE1098" s="2"/>
      <c r="AF1098" s="2"/>
      <c r="AG1098" s="2"/>
      <c r="AH1098" s="2"/>
      <c r="AI1098" s="2"/>
      <c r="AJ1098" s="2"/>
      <c r="AK1098" s="2"/>
      <c r="AL1098" s="2"/>
    </row>
    <row r="1099" spans="1:38" ht="12.75" customHeight="1" x14ac:dyDescent="0.25">
      <c r="A1099" s="2"/>
      <c r="B1099" s="178"/>
      <c r="C1099" s="779"/>
      <c r="D1099" s="416"/>
      <c r="E1099" s="2596" t="str">
        <f>Translations!$B$556</f>
        <v>De uppgifter som anges här påverkar de utsläpp som kan tillskrivas i enlighet med avsnitt 10.1.1 i bilaga VII till FAR.</v>
      </c>
      <c r="F1099" s="1960"/>
      <c r="G1099" s="1960"/>
      <c r="H1099" s="1960"/>
      <c r="I1099" s="1960"/>
      <c r="J1099" s="1960"/>
      <c r="K1099" s="1960"/>
      <c r="L1099" s="1960"/>
      <c r="M1099" s="1960"/>
      <c r="N1099" s="2597"/>
      <c r="O1099" s="15"/>
      <c r="P1099" s="15"/>
      <c r="Q1099" s="343"/>
      <c r="R1099" s="2"/>
      <c r="S1099" s="343"/>
      <c r="T1099" s="343"/>
      <c r="U1099" s="343"/>
      <c r="V1099" s="343"/>
      <c r="W1099" s="2"/>
      <c r="X1099" s="2"/>
      <c r="Y1099" s="2"/>
      <c r="Z1099" s="2"/>
      <c r="AA1099" s="2"/>
      <c r="AB1099" s="2"/>
      <c r="AC1099" s="2"/>
      <c r="AD1099" s="2"/>
      <c r="AE1099" s="2"/>
      <c r="AF1099" s="2"/>
      <c r="AG1099" s="2"/>
      <c r="AH1099" s="2"/>
      <c r="AI1099" s="2"/>
      <c r="AJ1099" s="2"/>
      <c r="AK1099" s="2"/>
      <c r="AL1099" s="2"/>
    </row>
    <row r="1100" spans="1:38" ht="25.5" customHeight="1" x14ac:dyDescent="0.25">
      <c r="A1100" s="2"/>
      <c r="B1100" s="178"/>
      <c r="C1100" s="779"/>
      <c r="D1100" s="780"/>
      <c r="E1100" s="2610" t="str">
        <f>Translations!$B$594</f>
        <v>I enlighet med kravet i avsnitt 3.1 k och 3.1 l i bilaga IV till FAR, var god ange mängden överförd koldioxid som importeras från eller exporteras till andra delanläggningar, anläggningar eller andra enheter, i enlighet med M&amp;R-förordningens regler.</v>
      </c>
      <c r="F1100" s="1960"/>
      <c r="G1100" s="1960"/>
      <c r="H1100" s="1960"/>
      <c r="I1100" s="1960"/>
      <c r="J1100" s="1960"/>
      <c r="K1100" s="1960"/>
      <c r="L1100" s="1960"/>
      <c r="M1100" s="1960"/>
      <c r="N1100" s="2597"/>
      <c r="O1100" s="15"/>
      <c r="P1100" s="15"/>
      <c r="Q1100" s="343"/>
      <c r="R1100" s="2"/>
      <c r="S1100" s="343"/>
      <c r="T1100" s="2"/>
      <c r="U1100" s="2"/>
      <c r="V1100" s="2"/>
      <c r="W1100" s="2"/>
      <c r="X1100" s="2"/>
      <c r="Y1100" s="2"/>
      <c r="Z1100" s="2"/>
      <c r="AA1100" s="2"/>
      <c r="AB1100" s="2"/>
      <c r="AC1100" s="2"/>
      <c r="AD1100" s="2"/>
      <c r="AE1100" s="2"/>
      <c r="AF1100" s="2"/>
      <c r="AG1100" s="2"/>
      <c r="AH1100" s="2"/>
      <c r="AI1100" s="2"/>
      <c r="AJ1100" s="2"/>
      <c r="AK1100" s="2"/>
      <c r="AL1100" s="2"/>
    </row>
    <row r="1101" spans="1:38" ht="12.75" customHeight="1" thickBot="1" x14ac:dyDescent="0.3">
      <c r="A1101" s="2"/>
      <c r="B1101" s="178"/>
      <c r="C1101" s="779"/>
      <c r="D1101" s="780"/>
      <c r="E1101" s="2610" t="str">
        <f>Translations!$B$595</f>
        <v>Exporterade mängder bör anges i negativa värden och motsvara den koldioxid som exporteras och som inte släpps ut i atmosfären av delanläggningen.</v>
      </c>
      <c r="F1101" s="1960"/>
      <c r="G1101" s="1960"/>
      <c r="H1101" s="1960"/>
      <c r="I1101" s="1960"/>
      <c r="J1101" s="1960"/>
      <c r="K1101" s="1960"/>
      <c r="L1101" s="1960"/>
      <c r="M1101" s="1960"/>
      <c r="N1101" s="2597"/>
      <c r="O1101" s="15"/>
      <c r="P1101" s="15"/>
      <c r="Q1101" s="343"/>
      <c r="R1101" s="2"/>
      <c r="S1101" s="343"/>
      <c r="T1101" s="2"/>
      <c r="U1101" s="2"/>
      <c r="V1101" s="2"/>
      <c r="W1101" s="2"/>
      <c r="X1101" s="2"/>
      <c r="Y1101" s="2"/>
      <c r="Z1101" s="2"/>
      <c r="AA1101" s="2"/>
      <c r="AB1101" s="2"/>
      <c r="AC1101" s="2"/>
      <c r="AD1101" s="2"/>
      <c r="AE1101" s="2"/>
      <c r="AF1101" s="2"/>
      <c r="AG1101" s="2"/>
      <c r="AH1101" s="2"/>
      <c r="AI1101" s="2"/>
      <c r="AJ1101" s="2"/>
      <c r="AK1101" s="2"/>
      <c r="AL1101" s="2"/>
    </row>
    <row r="1102" spans="1:38" ht="12.75" customHeight="1" thickBot="1" x14ac:dyDescent="0.3">
      <c r="A1102" s="2"/>
      <c r="B1102" s="178"/>
      <c r="C1102" s="779"/>
      <c r="D1102" s="373"/>
      <c r="E1102" s="1716"/>
      <c r="F1102" s="1717"/>
      <c r="G1102" s="361" t="str">
        <f>EUconst_Unit</f>
        <v>Enhet</v>
      </c>
      <c r="H1102" s="362">
        <f t="shared" ref="H1102:N1102" si="480">H$3042</f>
        <v>2019</v>
      </c>
      <c r="I1102" s="1103">
        <f t="shared" si="480"/>
        <v>2020</v>
      </c>
      <c r="J1102" s="1104">
        <f t="shared" si="480"/>
        <v>2021</v>
      </c>
      <c r="K1102" s="362">
        <f t="shared" si="480"/>
        <v>2022</v>
      </c>
      <c r="L1102" s="362">
        <f t="shared" si="480"/>
        <v>2023</v>
      </c>
      <c r="M1102" s="362">
        <f t="shared" si="480"/>
        <v>2024</v>
      </c>
      <c r="N1102" s="1141">
        <f t="shared" si="480"/>
        <v>2025</v>
      </c>
      <c r="O1102" s="15"/>
      <c r="P1102" s="15"/>
      <c r="Q1102" s="343"/>
      <c r="R1102" s="2"/>
      <c r="S1102" s="772"/>
      <c r="T1102" s="609">
        <f t="shared" ref="T1102:Z1102" si="481">H1102</f>
        <v>2019</v>
      </c>
      <c r="U1102" s="609">
        <f t="shared" si="481"/>
        <v>2020</v>
      </c>
      <c r="V1102" s="609">
        <f t="shared" si="481"/>
        <v>2021</v>
      </c>
      <c r="W1102" s="609">
        <f t="shared" si="481"/>
        <v>2022</v>
      </c>
      <c r="X1102" s="609">
        <f t="shared" si="481"/>
        <v>2023</v>
      </c>
      <c r="Y1102" s="609">
        <f t="shared" si="481"/>
        <v>2024</v>
      </c>
      <c r="Z1102" s="610">
        <f t="shared" si="481"/>
        <v>2025</v>
      </c>
      <c r="AA1102" s="2"/>
      <c r="AB1102" s="2"/>
      <c r="AC1102" s="1044">
        <f t="shared" ref="AC1102:AI1102" si="482">H$20</f>
        <v>2019</v>
      </c>
      <c r="AD1102" s="1044">
        <f t="shared" si="482"/>
        <v>2020</v>
      </c>
      <c r="AE1102" s="1044">
        <f t="shared" si="482"/>
        <v>2021</v>
      </c>
      <c r="AF1102" s="1044">
        <f t="shared" si="482"/>
        <v>2022</v>
      </c>
      <c r="AG1102" s="1044">
        <f t="shared" si="482"/>
        <v>2023</v>
      </c>
      <c r="AH1102" s="1044">
        <f t="shared" si="482"/>
        <v>2024</v>
      </c>
      <c r="AI1102" s="1044">
        <f t="shared" si="482"/>
        <v>2025</v>
      </c>
      <c r="AJ1102" s="2"/>
      <c r="AK1102" s="2"/>
      <c r="AL1102" s="2"/>
    </row>
    <row r="1103" spans="1:38" ht="12.75" customHeight="1" thickBot="1" x14ac:dyDescent="0.3">
      <c r="A1103" s="2"/>
      <c r="B1103" s="178"/>
      <c r="C1103" s="779"/>
      <c r="D1103" s="416"/>
      <c r="E1103" s="2613" t="str">
        <f>Translations!$B$596</f>
        <v>Importerade eller exporterade växthusgaser</v>
      </c>
      <c r="F1103" s="1997"/>
      <c r="G1103" s="364" t="str">
        <f>EUconst_tCO2epa</f>
        <v>t CO2e/år</v>
      </c>
      <c r="H1103" s="582"/>
      <c r="I1103" s="1105"/>
      <c r="J1103" s="1115"/>
      <c r="K1103" s="582"/>
      <c r="L1103" s="582"/>
      <c r="M1103" s="582"/>
      <c r="N1103" s="1146"/>
      <c r="O1103" s="15"/>
      <c r="P1103" s="1362"/>
      <c r="Q1103" s="165" t="str">
        <f>EUconst_CNTR_CO2Feedstock &amp; I919</f>
        <v>EmCO2Feedstock_</v>
      </c>
      <c r="R1103" s="2"/>
      <c r="S1103" s="773" t="str">
        <f>EUconst_CNTR_AttributedEmissions &amp; I919</f>
        <v>AttrEmissions_</v>
      </c>
      <c r="T1103" s="111" t="str">
        <f t="shared" ref="T1103:Z1103" si="483">IF(T927,SUM(H1103),"")</f>
        <v/>
      </c>
      <c r="U1103" s="111" t="str">
        <f t="shared" si="483"/>
        <v/>
      </c>
      <c r="V1103" s="111" t="str">
        <f t="shared" si="483"/>
        <v/>
      </c>
      <c r="W1103" s="111" t="str">
        <f t="shared" si="483"/>
        <v/>
      </c>
      <c r="X1103" s="111" t="str">
        <f t="shared" si="483"/>
        <v/>
      </c>
      <c r="Y1103" s="111" t="str">
        <f t="shared" si="483"/>
        <v/>
      </c>
      <c r="Z1103" s="112" t="str">
        <f t="shared" si="483"/>
        <v/>
      </c>
      <c r="AA1103" s="2"/>
      <c r="AB1103" s="672" t="s">
        <v>782</v>
      </c>
      <c r="AC1103" s="108" t="b">
        <f>AC989</f>
        <v>0</v>
      </c>
      <c r="AD1103" s="108" t="b">
        <f t="shared" ref="AD1103:AI1103" si="484">AD989</f>
        <v>0</v>
      </c>
      <c r="AE1103" s="108" t="b">
        <f t="shared" si="484"/>
        <v>0</v>
      </c>
      <c r="AF1103" s="108" t="b">
        <f t="shared" si="484"/>
        <v>0</v>
      </c>
      <c r="AG1103" s="108" t="b">
        <f t="shared" si="484"/>
        <v>0</v>
      </c>
      <c r="AH1103" s="108" t="b">
        <f t="shared" si="484"/>
        <v>0</v>
      </c>
      <c r="AI1103" s="108" t="b">
        <f t="shared" si="484"/>
        <v>0</v>
      </c>
      <c r="AJ1103" s="553" t="s">
        <v>2248</v>
      </c>
      <c r="AK1103" s="663" t="str">
        <f>IF(AND(CNTR_ExistSubInstEntries,MSconst_RequireSubAttrEmissions,COUNTIFS(AC1103:AI1103,FALSE,H1103:N1103,"")&gt;0),EUconst_Error&amp;"BM"&amp;$Q919,"")</f>
        <v/>
      </c>
      <c r="AL1103" s="2"/>
    </row>
    <row r="1104" spans="1:38" ht="12.75" customHeight="1" x14ac:dyDescent="0.25">
      <c r="A1104" s="2"/>
      <c r="B1104" s="178"/>
      <c r="C1104" s="779"/>
      <c r="D1104" s="780"/>
      <c r="E1104" s="780"/>
      <c r="F1104" s="780"/>
      <c r="G1104" s="780"/>
      <c r="H1104" s="780"/>
      <c r="I1104" s="780"/>
      <c r="J1104" s="780"/>
      <c r="K1104" s="780"/>
      <c r="L1104" s="780"/>
      <c r="M1104" s="623"/>
      <c r="N1104" s="519"/>
      <c r="O1104" s="15"/>
      <c r="P1104" s="15"/>
      <c r="Q1104" s="343"/>
      <c r="R1104" s="2"/>
      <c r="S1104" s="343"/>
      <c r="T1104" s="2"/>
      <c r="U1104" s="2"/>
      <c r="V1104" s="2"/>
      <c r="W1104" s="2"/>
      <c r="X1104" s="2"/>
      <c r="Y1104" s="2"/>
      <c r="Z1104" s="2"/>
      <c r="AA1104" s="2"/>
      <c r="AB1104" s="2"/>
      <c r="AC1104" s="2"/>
      <c r="AD1104" s="2"/>
      <c r="AE1104" s="2"/>
      <c r="AF1104" s="2"/>
      <c r="AG1104" s="2"/>
      <c r="AH1104" s="2"/>
      <c r="AI1104" s="2"/>
      <c r="AJ1104" s="2"/>
      <c r="AK1104" s="2"/>
      <c r="AL1104" s="2"/>
    </row>
    <row r="1105" spans="1:38" ht="12.75" customHeight="1" x14ac:dyDescent="0.25">
      <c r="A1105" s="2"/>
      <c r="B1105" s="178"/>
      <c r="C1105" s="779"/>
      <c r="D1105" s="373" t="s">
        <v>524</v>
      </c>
      <c r="E1105" s="2614" t="str">
        <f>Translations!$B$597</f>
        <v>Import till och export från delanläggningen av mätbar värme</v>
      </c>
      <c r="F1105" s="1960"/>
      <c r="G1105" s="1960"/>
      <c r="H1105" s="1960"/>
      <c r="I1105" s="1960"/>
      <c r="J1105" s="1960"/>
      <c r="K1105" s="1960"/>
      <c r="L1105" s="1960"/>
      <c r="M1105" s="1960"/>
      <c r="N1105" s="2597"/>
      <c r="O1105" s="15"/>
      <c r="P1105" s="15"/>
      <c r="Q1105" s="343"/>
      <c r="R1105" s="2"/>
      <c r="S1105" s="343"/>
      <c r="T1105" s="2"/>
      <c r="U1105" s="2"/>
      <c r="V1105" s="2"/>
      <c r="W1105" s="2"/>
      <c r="X1105" s="2"/>
      <c r="Y1105" s="2"/>
      <c r="Z1105" s="2"/>
      <c r="AA1105" s="2"/>
      <c r="AB1105" s="2"/>
      <c r="AC1105" s="2"/>
      <c r="AD1105" s="2"/>
      <c r="AE1105" s="2"/>
      <c r="AF1105" s="2"/>
      <c r="AG1105" s="2"/>
      <c r="AH1105" s="2"/>
      <c r="AI1105" s="2"/>
      <c r="AJ1105" s="2"/>
      <c r="AK1105" s="2"/>
      <c r="AL1105" s="2"/>
    </row>
    <row r="1106" spans="1:38" ht="12.75" customHeight="1" x14ac:dyDescent="0.25">
      <c r="A1106" s="2"/>
      <c r="B1106" s="178"/>
      <c r="C1106" s="779"/>
      <c r="D1106" s="416"/>
      <c r="E1106" s="2596" t="str">
        <f>Translations!$B$598</f>
        <v>De uppgifter som anges här påverkar de utsläpp som kan tillskrivas i enlighet med avsnitt 10.1.2 och 10.1.3 i bilaga VII till FAR.</v>
      </c>
      <c r="F1106" s="1960"/>
      <c r="G1106" s="1960"/>
      <c r="H1106" s="1960"/>
      <c r="I1106" s="1960"/>
      <c r="J1106" s="1960"/>
      <c r="K1106" s="1960"/>
      <c r="L1106" s="1960"/>
      <c r="M1106" s="1960"/>
      <c r="N1106" s="2597"/>
      <c r="O1106" s="15"/>
      <c r="P1106" s="15"/>
      <c r="Q1106" s="343"/>
      <c r="R1106" s="2"/>
      <c r="S1106" s="343"/>
      <c r="T1106" s="343"/>
      <c r="U1106" s="343"/>
      <c r="V1106" s="343"/>
      <c r="W1106" s="2"/>
      <c r="X1106" s="2"/>
      <c r="Y1106" s="2"/>
      <c r="Z1106" s="2"/>
      <c r="AA1106" s="2"/>
      <c r="AB1106" s="2"/>
      <c r="AC1106" s="2"/>
      <c r="AD1106" s="2"/>
      <c r="AE1106" s="2"/>
      <c r="AF1106" s="2"/>
      <c r="AG1106" s="2"/>
      <c r="AH1106" s="2"/>
      <c r="AI1106" s="2"/>
      <c r="AJ1106" s="2"/>
      <c r="AK1106" s="2"/>
      <c r="AL1106" s="2"/>
    </row>
    <row r="1107" spans="1:38" ht="38.9" customHeight="1" x14ac:dyDescent="0.25">
      <c r="A1107" s="2"/>
      <c r="B1107" s="178"/>
      <c r="C1107" s="779"/>
      <c r="D1107" s="780"/>
      <c r="E1107" s="2610" t="str">
        <f>Translations!$B$599</f>
        <v>Detta innefattar den totala mängd värme som produceras i, importeras från eller exporteras till (del)anläggningar inom ETS eller anläggningar eller enheter utanför ETS. De särskilda emissionsfaktorerna för värmen bör vara förenliga med bestämmelserna i avsnitten 8 och 10 i bilaga VII till FAR, särskilt avsnitt 10.1.2 och 10.1.3.</v>
      </c>
      <c r="F1107" s="1960"/>
      <c r="G1107" s="1960"/>
      <c r="H1107" s="1960"/>
      <c r="I1107" s="1960"/>
      <c r="J1107" s="1960"/>
      <c r="K1107" s="1960"/>
      <c r="L1107" s="1960"/>
      <c r="M1107" s="1960"/>
      <c r="N1107" s="2597"/>
      <c r="O1107" s="15"/>
      <c r="P1107" s="15"/>
      <c r="Q1107" s="343"/>
      <c r="R1107" s="2"/>
      <c r="S1107" s="343"/>
      <c r="T1107" s="2"/>
      <c r="U1107" s="2"/>
      <c r="V1107" s="2"/>
      <c r="W1107" s="2"/>
      <c r="X1107" s="2"/>
      <c r="Y1107" s="2"/>
      <c r="Z1107" s="2"/>
      <c r="AA1107" s="2"/>
      <c r="AB1107" s="2"/>
      <c r="AC1107" s="2"/>
      <c r="AD1107" s="2"/>
      <c r="AE1107" s="2"/>
      <c r="AF1107" s="2"/>
      <c r="AG1107" s="2"/>
      <c r="AH1107" s="2"/>
      <c r="AI1107" s="2"/>
      <c r="AJ1107" s="2"/>
      <c r="AK1107" s="2"/>
      <c r="AL1107" s="2"/>
    </row>
    <row r="1108" spans="1:38" ht="25.5" customHeight="1" x14ac:dyDescent="0.25">
      <c r="A1108" s="2"/>
      <c r="B1108" s="178"/>
      <c r="C1108" s="779"/>
      <c r="D1108" s="780"/>
      <c r="E1108" s="2610" t="str">
        <f>Translations!$B$600</f>
        <v>Utsläpp avseende mätbar värme som produceras på platsen från enheter som tjänar mer än en delanläggning bör också anges här under ”import” i stället för att utsläppen direkt tillskrivs genom bränslets emissionsfaktor i punkt g ovan. Detsamma gäller för all värme som ”importeras” från andra delanläggningar.</v>
      </c>
      <c r="F1108" s="1960"/>
      <c r="G1108" s="1960"/>
      <c r="H1108" s="1960"/>
      <c r="I1108" s="1960"/>
      <c r="J1108" s="1960"/>
      <c r="K1108" s="1960"/>
      <c r="L1108" s="1960"/>
      <c r="M1108" s="1960"/>
      <c r="N1108" s="2597"/>
      <c r="O1108" s="15"/>
      <c r="P1108" s="15"/>
      <c r="Q1108" s="343"/>
      <c r="R1108" s="2"/>
      <c r="S1108" s="343"/>
      <c r="T1108" s="2"/>
      <c r="U1108" s="2"/>
      <c r="V1108" s="2"/>
      <c r="W1108" s="2"/>
      <c r="X1108" s="2"/>
      <c r="Y1108" s="2"/>
      <c r="Z1108" s="2"/>
      <c r="AA1108" s="2"/>
      <c r="AB1108" s="2"/>
      <c r="AC1108" s="2"/>
      <c r="AD1108" s="2"/>
      <c r="AE1108" s="2"/>
      <c r="AF1108" s="2"/>
      <c r="AG1108" s="2"/>
      <c r="AH1108" s="2"/>
      <c r="AI1108" s="2"/>
      <c r="AJ1108" s="2"/>
      <c r="AK1108" s="2"/>
      <c r="AL1108" s="2"/>
    </row>
    <row r="1109" spans="1:38" ht="25.5" customHeight="1" x14ac:dyDescent="0.25">
      <c r="A1109" s="2"/>
      <c r="B1109" s="178"/>
      <c r="C1109" s="779"/>
      <c r="D1109" s="780"/>
      <c r="E1109" s="2610" t="str">
        <f>Translations!$B$601</f>
        <v xml:space="preserve">Om värmen endast produceras för en delanläggning och de motsvarande utsläppen därför anges i punkt g ovan, bör mängderna inte anges här som import för att undvika dubbelräkning. </v>
      </c>
      <c r="F1109" s="1960"/>
      <c r="G1109" s="1960"/>
      <c r="H1109" s="1960"/>
      <c r="I1109" s="1960"/>
      <c r="J1109" s="1960"/>
      <c r="K1109" s="1960"/>
      <c r="L1109" s="1960"/>
      <c r="M1109" s="1960"/>
      <c r="N1109" s="2597"/>
      <c r="O1109" s="15"/>
      <c r="P1109" s="15"/>
      <c r="Q1109" s="343"/>
      <c r="R1109" s="2"/>
      <c r="S1109" s="343"/>
      <c r="T1109" s="2"/>
      <c r="U1109" s="2"/>
      <c r="V1109" s="2"/>
      <c r="W1109" s="2"/>
      <c r="X1109" s="2"/>
      <c r="Y1109" s="2"/>
      <c r="Z1109" s="2"/>
      <c r="AA1109" s="2"/>
      <c r="AB1109" s="2"/>
      <c r="AC1109" s="2"/>
      <c r="AD1109" s="2"/>
      <c r="AE1109" s="2"/>
      <c r="AF1109" s="2"/>
      <c r="AG1109" s="2"/>
      <c r="AH1109" s="2"/>
      <c r="AI1109" s="2"/>
      <c r="AJ1109" s="2"/>
      <c r="AK1109" s="2"/>
      <c r="AL1109" s="2"/>
    </row>
    <row r="1110" spans="1:38" ht="12.75" customHeight="1" thickBot="1" x14ac:dyDescent="0.3">
      <c r="A1110" s="2"/>
      <c r="B1110" s="178"/>
      <c r="C1110" s="779"/>
      <c r="D1110" s="780"/>
      <c r="E1110" s="2622" t="str">
        <f>Translations!$B$602</f>
        <v>Kraftvärmeverktyget i avsnitt D.III i bladet "D_Emissions" måste användas för att tillskriva utsläpp från kraftvärme till produktion av mätbar värme.</v>
      </c>
      <c r="F1110" s="2623"/>
      <c r="G1110" s="2623"/>
      <c r="H1110" s="2623"/>
      <c r="I1110" s="2623"/>
      <c r="J1110" s="2623"/>
      <c r="K1110" s="2623"/>
      <c r="L1110" s="2623"/>
      <c r="M1110" s="2623"/>
      <c r="N1110" s="2624"/>
      <c r="O1110" s="15"/>
      <c r="P1110" s="15"/>
      <c r="Q1110" s="343"/>
      <c r="R1110" s="2"/>
      <c r="S1110" s="2"/>
      <c r="T1110" s="2"/>
      <c r="U1110" s="2"/>
      <c r="V1110" s="2"/>
      <c r="W1110" s="2"/>
      <c r="X1110" s="2"/>
      <c r="Y1110" s="2"/>
      <c r="Z1110" s="2"/>
      <c r="AA1110" s="2"/>
      <c r="AB1110" s="2"/>
      <c r="AC1110" s="2"/>
      <c r="AD1110" s="2"/>
      <c r="AE1110" s="2"/>
      <c r="AF1110" s="2"/>
      <c r="AG1110" s="2"/>
      <c r="AH1110" s="2"/>
      <c r="AI1110" s="2"/>
      <c r="AJ1110" s="2"/>
      <c r="AK1110" s="2"/>
      <c r="AL1110" s="2"/>
    </row>
    <row r="1111" spans="1:38" ht="12.75" customHeight="1" thickBot="1" x14ac:dyDescent="0.3">
      <c r="A1111" s="2"/>
      <c r="B1111" s="178"/>
      <c r="C1111" s="779"/>
      <c r="D1111" s="780"/>
      <c r="E1111" s="2605" t="str">
        <f>Translations!$B$603</f>
        <v>Total importerad värme</v>
      </c>
      <c r="F1111" s="2497"/>
      <c r="G1111" s="361" t="str">
        <f>EUconst_Unit</f>
        <v>Enhet</v>
      </c>
      <c r="H1111" s="362">
        <f t="shared" ref="H1111:N1111" si="485">H$3042</f>
        <v>2019</v>
      </c>
      <c r="I1111" s="1103">
        <f t="shared" si="485"/>
        <v>2020</v>
      </c>
      <c r="J1111" s="1104">
        <f t="shared" si="485"/>
        <v>2021</v>
      </c>
      <c r="K1111" s="362">
        <f t="shared" si="485"/>
        <v>2022</v>
      </c>
      <c r="L1111" s="362">
        <f t="shared" si="485"/>
        <v>2023</v>
      </c>
      <c r="M1111" s="362">
        <f t="shared" si="485"/>
        <v>2024</v>
      </c>
      <c r="N1111" s="1141">
        <f t="shared" si="485"/>
        <v>2025</v>
      </c>
      <c r="O1111" s="15"/>
      <c r="P1111" s="15"/>
      <c r="Q1111" s="343"/>
      <c r="R1111" s="2"/>
      <c r="S1111" s="772"/>
      <c r="T1111" s="609">
        <f t="shared" ref="T1111:Z1111" si="486">H1111</f>
        <v>2019</v>
      </c>
      <c r="U1111" s="609">
        <f t="shared" si="486"/>
        <v>2020</v>
      </c>
      <c r="V1111" s="609">
        <f t="shared" si="486"/>
        <v>2021</v>
      </c>
      <c r="W1111" s="609">
        <f t="shared" si="486"/>
        <v>2022</v>
      </c>
      <c r="X1111" s="609">
        <f t="shared" si="486"/>
        <v>2023</v>
      </c>
      <c r="Y1111" s="609">
        <f t="shared" si="486"/>
        <v>2024</v>
      </c>
      <c r="Z1111" s="610">
        <f t="shared" si="486"/>
        <v>2025</v>
      </c>
      <c r="AA1111" s="2"/>
      <c r="AB1111" s="2"/>
      <c r="AC1111" s="1044">
        <f t="shared" ref="AC1111:AI1111" si="487">H$20</f>
        <v>2019</v>
      </c>
      <c r="AD1111" s="1044">
        <f t="shared" si="487"/>
        <v>2020</v>
      </c>
      <c r="AE1111" s="1044">
        <f t="shared" si="487"/>
        <v>2021</v>
      </c>
      <c r="AF1111" s="1044">
        <f t="shared" si="487"/>
        <v>2022</v>
      </c>
      <c r="AG1111" s="1044">
        <f t="shared" si="487"/>
        <v>2023</v>
      </c>
      <c r="AH1111" s="1044">
        <f t="shared" si="487"/>
        <v>2024</v>
      </c>
      <c r="AI1111" s="1044">
        <f t="shared" si="487"/>
        <v>2025</v>
      </c>
      <c r="AJ1111" s="2"/>
      <c r="AK1111" s="2"/>
      <c r="AL1111" s="2"/>
    </row>
    <row r="1112" spans="1:38" ht="12.75" customHeight="1" x14ac:dyDescent="0.25">
      <c r="A1112" s="2"/>
      <c r="B1112" s="178"/>
      <c r="C1112" s="779"/>
      <c r="D1112" s="416" t="s">
        <v>8</v>
      </c>
      <c r="E1112" s="2613" t="str">
        <f>Translations!$B$604</f>
        <v>Nettomängd importerad värme</v>
      </c>
      <c r="F1112" s="1997"/>
      <c r="G1112" s="364" t="str">
        <f>EUconst_TJpa</f>
        <v>TJ / år</v>
      </c>
      <c r="H1112" s="582"/>
      <c r="I1112" s="1105"/>
      <c r="J1112" s="1115"/>
      <c r="K1112" s="582"/>
      <c r="L1112" s="582"/>
      <c r="M1112" s="582"/>
      <c r="N1112" s="1146"/>
      <c r="O1112" s="15"/>
      <c r="P1112" s="1362"/>
      <c r="Q1112" s="165" t="str">
        <f>EUconst_CNTR_HeatImport &amp; I919</f>
        <v>HeatIm_</v>
      </c>
      <c r="R1112" s="2"/>
      <c r="S1112" s="1751" t="str">
        <f>EUconst_ERR_AttrEmBMapplied &amp; I919</f>
        <v>ERR_AttrEmBM_</v>
      </c>
      <c r="T1112" s="108">
        <f t="shared" ref="T1112:Z1112" si="488">IF(AND(H1112&lt;&gt;0,H1113="",EUconst_StatusOfDataCollection=FALSE),1,0)</f>
        <v>0</v>
      </c>
      <c r="U1112" s="108">
        <f t="shared" si="488"/>
        <v>0</v>
      </c>
      <c r="V1112" s="108">
        <f t="shared" si="488"/>
        <v>0</v>
      </c>
      <c r="W1112" s="108">
        <f t="shared" si="488"/>
        <v>0</v>
      </c>
      <c r="X1112" s="108">
        <f t="shared" si="488"/>
        <v>0</v>
      </c>
      <c r="Y1112" s="108">
        <f t="shared" si="488"/>
        <v>0</v>
      </c>
      <c r="Z1112" s="109">
        <f t="shared" si="488"/>
        <v>0</v>
      </c>
      <c r="AA1112" s="40"/>
      <c r="AB1112" s="672" t="s">
        <v>782</v>
      </c>
      <c r="AC1112" s="108" t="b">
        <f t="shared" ref="AC1112:AI1112" si="489">AC989</f>
        <v>0</v>
      </c>
      <c r="AD1112" s="108" t="b">
        <f t="shared" si="489"/>
        <v>0</v>
      </c>
      <c r="AE1112" s="108" t="b">
        <f t="shared" si="489"/>
        <v>0</v>
      </c>
      <c r="AF1112" s="108" t="b">
        <f t="shared" si="489"/>
        <v>0</v>
      </c>
      <c r="AG1112" s="108" t="b">
        <f t="shared" si="489"/>
        <v>0</v>
      </c>
      <c r="AH1112" s="108" t="b">
        <f t="shared" si="489"/>
        <v>0</v>
      </c>
      <c r="AI1112" s="108" t="b">
        <f t="shared" si="489"/>
        <v>0</v>
      </c>
      <c r="AJ1112" s="553" t="s">
        <v>2248</v>
      </c>
      <c r="AK1112" s="663" t="str">
        <f>IF(AND(CNTR_ExistSubInstEntries,MSconst_RequireSubAttrEmissions,COUNTIFS(AC1112:AI1112,FALSE,H1112:N1112,"")&gt;0),EUconst_Error&amp;"BM"&amp;$Q919,"")</f>
        <v/>
      </c>
      <c r="AL1112" s="2"/>
    </row>
    <row r="1113" spans="1:38" ht="12.75" customHeight="1" thickBot="1" x14ac:dyDescent="0.3">
      <c r="A1113" s="2"/>
      <c r="B1113" s="178"/>
      <c r="C1113" s="779"/>
      <c r="D1113" s="416" t="s">
        <v>9</v>
      </c>
      <c r="E1113" s="2613" t="str">
        <f>Translations!$B$605</f>
        <v>Särskild emissionsfaktor (importerad värme)</v>
      </c>
      <c r="F1113" s="1997"/>
      <c r="G1113" s="364" t="str">
        <f>EUconst_tCO2pTJ</f>
        <v>t CO2 / TJ</v>
      </c>
      <c r="H1113" s="582"/>
      <c r="I1113" s="1105"/>
      <c r="J1113" s="1115"/>
      <c r="K1113" s="582"/>
      <c r="L1113" s="582"/>
      <c r="M1113" s="582"/>
      <c r="N1113" s="1146"/>
      <c r="O1113" s="15"/>
      <c r="P1113" s="1362"/>
      <c r="Q1113" s="165" t="str">
        <f>EUconst_CNTR_HeatImportEF &amp; I919</f>
        <v>HeatImEF_</v>
      </c>
      <c r="R1113" s="2"/>
      <c r="S1113" s="773" t="str">
        <f>EUconst_CNTR_AttributedEmissions &amp; I919</f>
        <v>AttrEmissions_</v>
      </c>
      <c r="T1113" s="111" t="str">
        <f t="shared" ref="T1113:Z1113" si="490">IF(T927,SUM(H1112)*IF(ISNUMBER(H1113),H1113,EUconst_HeatBMvalue),"")</f>
        <v/>
      </c>
      <c r="U1113" s="111" t="str">
        <f t="shared" si="490"/>
        <v/>
      </c>
      <c r="V1113" s="111" t="str">
        <f t="shared" si="490"/>
        <v/>
      </c>
      <c r="W1113" s="111" t="str">
        <f t="shared" si="490"/>
        <v/>
      </c>
      <c r="X1113" s="111" t="str">
        <f t="shared" si="490"/>
        <v/>
      </c>
      <c r="Y1113" s="111" t="str">
        <f t="shared" si="490"/>
        <v/>
      </c>
      <c r="Z1113" s="112" t="str">
        <f t="shared" si="490"/>
        <v/>
      </c>
      <c r="AA1113" s="2"/>
      <c r="AB1113" s="2"/>
      <c r="AC1113" s="108" t="b">
        <f>AC1112</f>
        <v>0</v>
      </c>
      <c r="AD1113" s="108" t="b">
        <f t="shared" ref="AD1113:AI1113" si="491">AD1112</f>
        <v>0</v>
      </c>
      <c r="AE1113" s="108" t="b">
        <f t="shared" si="491"/>
        <v>0</v>
      </c>
      <c r="AF1113" s="108" t="b">
        <f t="shared" si="491"/>
        <v>0</v>
      </c>
      <c r="AG1113" s="108" t="b">
        <f t="shared" si="491"/>
        <v>0</v>
      </c>
      <c r="AH1113" s="108" t="b">
        <f t="shared" si="491"/>
        <v>0</v>
      </c>
      <c r="AI1113" s="108" t="b">
        <f t="shared" si="491"/>
        <v>0</v>
      </c>
      <c r="AJ1113" s="2"/>
      <c r="AK1113" s="2"/>
      <c r="AL1113" s="2"/>
    </row>
    <row r="1114" spans="1:38" ht="5.15" customHeight="1" x14ac:dyDescent="0.25">
      <c r="A1114" s="2"/>
      <c r="B1114" s="178"/>
      <c r="C1114" s="779"/>
      <c r="D1114" s="780"/>
      <c r="E1114" s="780"/>
      <c r="F1114" s="780"/>
      <c r="G1114" s="780"/>
      <c r="H1114" s="780"/>
      <c r="I1114" s="780"/>
      <c r="J1114" s="780"/>
      <c r="K1114" s="780"/>
      <c r="L1114" s="780"/>
      <c r="M1114" s="780"/>
      <c r="N1114" s="519"/>
      <c r="O1114" s="15"/>
      <c r="P1114" s="15"/>
      <c r="Q1114" s="343"/>
      <c r="R1114" s="2"/>
      <c r="S1114" s="343"/>
      <c r="T1114" s="343"/>
      <c r="U1114" s="343"/>
      <c r="V1114" s="343"/>
      <c r="W1114" s="2"/>
      <c r="X1114" s="2"/>
      <c r="Y1114" s="2"/>
      <c r="Z1114" s="2"/>
      <c r="AA1114" s="2"/>
      <c r="AB1114" s="2"/>
      <c r="AC1114" s="2"/>
      <c r="AD1114" s="2"/>
      <c r="AE1114" s="2"/>
      <c r="AF1114" s="2"/>
      <c r="AG1114" s="2"/>
      <c r="AH1114" s="2"/>
      <c r="AI1114" s="2"/>
      <c r="AJ1114" s="2"/>
      <c r="AK1114" s="2"/>
      <c r="AL1114" s="2"/>
    </row>
    <row r="1115" spans="1:38" ht="12.75" customHeight="1" thickBot="1" x14ac:dyDescent="0.3">
      <c r="A1115" s="2"/>
      <c r="B1115" s="178"/>
      <c r="C1115" s="779"/>
      <c r="D1115" s="780"/>
      <c r="E1115" s="2605" t="str">
        <f>Translations!$B$606</f>
        <v>Särskild värmeimport</v>
      </c>
      <c r="F1115" s="2497"/>
      <c r="G1115" s="361" t="str">
        <f>EUconst_Unit</f>
        <v>Enhet</v>
      </c>
      <c r="H1115" s="362">
        <f t="shared" ref="H1115:N1115" si="492">H$3042</f>
        <v>2019</v>
      </c>
      <c r="I1115" s="1103">
        <f t="shared" si="492"/>
        <v>2020</v>
      </c>
      <c r="J1115" s="1104">
        <f t="shared" si="492"/>
        <v>2021</v>
      </c>
      <c r="K1115" s="362">
        <f t="shared" si="492"/>
        <v>2022</v>
      </c>
      <c r="L1115" s="362">
        <f t="shared" si="492"/>
        <v>2023</v>
      </c>
      <c r="M1115" s="362">
        <f t="shared" si="492"/>
        <v>2024</v>
      </c>
      <c r="N1115" s="1141">
        <f t="shared" si="492"/>
        <v>2025</v>
      </c>
      <c r="O1115" s="15"/>
      <c r="P1115" s="15"/>
      <c r="Q1115" s="343"/>
      <c r="R1115" s="2"/>
      <c r="S1115" s="343"/>
      <c r="T1115" s="343"/>
      <c r="U1115" s="343"/>
      <c r="V1115" s="343"/>
      <c r="W1115" s="2"/>
      <c r="X1115" s="2"/>
      <c r="Y1115" s="2"/>
      <c r="Z1115" s="2"/>
      <c r="AA1115" s="2"/>
      <c r="AB1115" s="2"/>
      <c r="AC1115" s="1044">
        <f t="shared" ref="AC1115:AI1115" si="493">H$20</f>
        <v>2019</v>
      </c>
      <c r="AD1115" s="1044">
        <f t="shared" si="493"/>
        <v>2020</v>
      </c>
      <c r="AE1115" s="1044">
        <f t="shared" si="493"/>
        <v>2021</v>
      </c>
      <c r="AF1115" s="1044">
        <f t="shared" si="493"/>
        <v>2022</v>
      </c>
      <c r="AG1115" s="1044">
        <f t="shared" si="493"/>
        <v>2023</v>
      </c>
      <c r="AH1115" s="1044">
        <f t="shared" si="493"/>
        <v>2024</v>
      </c>
      <c r="AI1115" s="1044">
        <f t="shared" si="493"/>
        <v>2025</v>
      </c>
      <c r="AJ1115" s="2"/>
      <c r="AK1115" s="2"/>
      <c r="AL1115" s="2"/>
    </row>
    <row r="1116" spans="1:38" ht="12.75" customHeight="1" x14ac:dyDescent="0.25">
      <c r="A1116" s="2"/>
      <c r="B1116" s="178"/>
      <c r="C1116" s="779"/>
      <c r="D1116" s="416" t="s">
        <v>10</v>
      </c>
      <c r="E1116" s="2613" t="str">
        <f>Translations!$B$607</f>
        <v>Nettomängd importerad värme från massadelanläggningar</v>
      </c>
      <c r="F1116" s="1997"/>
      <c r="G1116" s="364" t="str">
        <f>EUconst_TJpa</f>
        <v>TJ / år</v>
      </c>
      <c r="H1116" s="1310"/>
      <c r="I1116" s="1311"/>
      <c r="J1116" s="1312"/>
      <c r="K1116" s="1310"/>
      <c r="L1116" s="1310"/>
      <c r="M1116" s="1310"/>
      <c r="N1116" s="1313"/>
      <c r="O1116" s="15"/>
      <c r="P1116" s="1362"/>
      <c r="Q1116" s="165" t="str">
        <f>EUconst_CNTR_HeatImportPulp &amp; I919</f>
        <v>HeatImPulp_</v>
      </c>
      <c r="R1116" s="2"/>
      <c r="S1116" s="343"/>
      <c r="T1116" s="343"/>
      <c r="U1116" s="343"/>
      <c r="V1116" s="343"/>
      <c r="W1116" s="2"/>
      <c r="X1116" s="2"/>
      <c r="Y1116" s="2"/>
      <c r="Z1116" s="2"/>
      <c r="AA1116" s="2"/>
      <c r="AB1116" s="672" t="s">
        <v>782</v>
      </c>
      <c r="AC1116" s="108" t="b">
        <f>AC989</f>
        <v>0</v>
      </c>
      <c r="AD1116" s="108" t="b">
        <f t="shared" ref="AD1116:AI1116" si="494">AD989</f>
        <v>0</v>
      </c>
      <c r="AE1116" s="108" t="b">
        <f t="shared" si="494"/>
        <v>0</v>
      </c>
      <c r="AF1116" s="108" t="b">
        <f t="shared" si="494"/>
        <v>0</v>
      </c>
      <c r="AG1116" s="108" t="b">
        <f t="shared" si="494"/>
        <v>0</v>
      </c>
      <c r="AH1116" s="108" t="b">
        <f t="shared" si="494"/>
        <v>0</v>
      </c>
      <c r="AI1116" s="108" t="b">
        <f t="shared" si="494"/>
        <v>0</v>
      </c>
      <c r="AJ1116" s="553" t="s">
        <v>2248</v>
      </c>
      <c r="AK1116" s="663" t="str">
        <f>IF(AND(CNTR_ExistSubInstEntries,MSconst_RequireSubAttrEmissions,COUNTIFS(AC1116:AI1116,FALSE,H1116:N1116,"")&gt;0),EUconst_Error&amp;"BM"&amp;$Q919,"")</f>
        <v/>
      </c>
      <c r="AL1116" s="2"/>
    </row>
    <row r="1117" spans="1:38" ht="25.5" customHeight="1" x14ac:dyDescent="0.25">
      <c r="A1117" s="2"/>
      <c r="B1117" s="178"/>
      <c r="C1117" s="779"/>
      <c r="D1117" s="416" t="s">
        <v>23</v>
      </c>
      <c r="E1117" s="2613" t="str">
        <f>Translations!$B$608</f>
        <v>Nettomängd importerad värme från delanläggningar för salpetersyra</v>
      </c>
      <c r="F1117" s="1997"/>
      <c r="G1117" s="364" t="str">
        <f>EUconst_TJpa</f>
        <v>TJ / år</v>
      </c>
      <c r="H1117" s="582"/>
      <c r="I1117" s="1105"/>
      <c r="J1117" s="1115"/>
      <c r="K1117" s="582"/>
      <c r="L1117" s="582"/>
      <c r="M1117" s="582"/>
      <c r="N1117" s="1146"/>
      <c r="O1117" s="15"/>
      <c r="P1117" s="1362"/>
      <c r="Q1117" s="165" t="str">
        <f>EUconst_CNTR_HeatImportNitric &amp; I919</f>
        <v>HeatImNitric_</v>
      </c>
      <c r="R1117" s="2"/>
      <c r="S1117" s="343"/>
      <c r="T1117" s="343"/>
      <c r="U1117" s="343"/>
      <c r="V1117" s="343"/>
      <c r="W1117" s="2"/>
      <c r="X1117" s="2"/>
      <c r="Y1117" s="2"/>
      <c r="Z1117" s="2"/>
      <c r="AA1117" s="2"/>
      <c r="AB1117" s="2"/>
      <c r="AC1117" s="108" t="b">
        <f>AC1116</f>
        <v>0</v>
      </c>
      <c r="AD1117" s="108" t="b">
        <f t="shared" ref="AD1117:AI1117" si="495">AD1116</f>
        <v>0</v>
      </c>
      <c r="AE1117" s="108" t="b">
        <f t="shared" si="495"/>
        <v>0</v>
      </c>
      <c r="AF1117" s="108" t="b">
        <f t="shared" si="495"/>
        <v>0</v>
      </c>
      <c r="AG1117" s="108" t="b">
        <f t="shared" si="495"/>
        <v>0</v>
      </c>
      <c r="AH1117" s="108" t="b">
        <f t="shared" si="495"/>
        <v>0</v>
      </c>
      <c r="AI1117" s="108" t="b">
        <f t="shared" si="495"/>
        <v>0</v>
      </c>
      <c r="AJ1117" s="553" t="s">
        <v>2248</v>
      </c>
      <c r="AK1117" s="663" t="str">
        <f>IF(AND(CNTR_ExistSubInstEntries,MSconst_RequireSubAttrEmissions,COUNTIFS(AC1117:AI1117,FALSE,H1117:N1117,"")&gt;0),EUconst_Error&amp;"BM"&amp;$Q919,"")</f>
        <v/>
      </c>
      <c r="AL1117" s="2"/>
    </row>
    <row r="1118" spans="1:38" ht="5.15" customHeight="1" thickBot="1" x14ac:dyDescent="0.3">
      <c r="A1118" s="2"/>
      <c r="B1118" s="178"/>
      <c r="C1118" s="779"/>
      <c r="D1118" s="780"/>
      <c r="E1118" s="780"/>
      <c r="F1118" s="780"/>
      <c r="G1118" s="780"/>
      <c r="H1118" s="780"/>
      <c r="I1118" s="780"/>
      <c r="J1118" s="780"/>
      <c r="K1118" s="780"/>
      <c r="L1118" s="780"/>
      <c r="M1118" s="780"/>
      <c r="N1118" s="519"/>
      <c r="O1118" s="15"/>
      <c r="P1118" s="15"/>
      <c r="Q1118" s="343"/>
      <c r="R1118" s="2"/>
      <c r="S1118" s="343"/>
      <c r="T1118" s="343"/>
      <c r="U1118" s="343"/>
      <c r="V1118" s="343"/>
      <c r="W1118" s="2"/>
      <c r="X1118" s="2"/>
      <c r="Y1118" s="2"/>
      <c r="Z1118" s="2"/>
      <c r="AA1118" s="2"/>
      <c r="AB1118" s="2"/>
      <c r="AC1118" s="2"/>
      <c r="AD1118" s="2"/>
      <c r="AE1118" s="2"/>
      <c r="AF1118" s="2"/>
      <c r="AG1118" s="2"/>
      <c r="AH1118" s="2"/>
      <c r="AI1118" s="2"/>
      <c r="AJ1118" s="2"/>
      <c r="AK1118" s="2"/>
      <c r="AL1118" s="2"/>
    </row>
    <row r="1119" spans="1:38" ht="12.75" customHeight="1" thickBot="1" x14ac:dyDescent="0.3">
      <c r="A1119" s="2"/>
      <c r="B1119" s="178"/>
      <c r="C1119" s="779"/>
      <c r="D1119" s="780"/>
      <c r="E1119" s="2605" t="str">
        <f>Translations!$B$609</f>
        <v>Total exporterad värme</v>
      </c>
      <c r="F1119" s="2497"/>
      <c r="G1119" s="361" t="str">
        <f>EUconst_Unit</f>
        <v>Enhet</v>
      </c>
      <c r="H1119" s="362">
        <f t="shared" ref="H1119:N1119" si="496">H$3042</f>
        <v>2019</v>
      </c>
      <c r="I1119" s="1103">
        <f t="shared" si="496"/>
        <v>2020</v>
      </c>
      <c r="J1119" s="1104">
        <f t="shared" si="496"/>
        <v>2021</v>
      </c>
      <c r="K1119" s="362">
        <f t="shared" si="496"/>
        <v>2022</v>
      </c>
      <c r="L1119" s="362">
        <f t="shared" si="496"/>
        <v>2023</v>
      </c>
      <c r="M1119" s="362">
        <f t="shared" si="496"/>
        <v>2024</v>
      </c>
      <c r="N1119" s="1141">
        <f t="shared" si="496"/>
        <v>2025</v>
      </c>
      <c r="O1119" s="15"/>
      <c r="P1119" s="15"/>
      <c r="Q1119" s="343"/>
      <c r="R1119" s="2"/>
      <c r="S1119" s="772"/>
      <c r="T1119" s="609">
        <f t="shared" ref="T1119:Z1119" si="497">H1119</f>
        <v>2019</v>
      </c>
      <c r="U1119" s="609">
        <f t="shared" si="497"/>
        <v>2020</v>
      </c>
      <c r="V1119" s="609">
        <f t="shared" si="497"/>
        <v>2021</v>
      </c>
      <c r="W1119" s="609">
        <f t="shared" si="497"/>
        <v>2022</v>
      </c>
      <c r="X1119" s="609">
        <f t="shared" si="497"/>
        <v>2023</v>
      </c>
      <c r="Y1119" s="609">
        <f t="shared" si="497"/>
        <v>2024</v>
      </c>
      <c r="Z1119" s="610">
        <f t="shared" si="497"/>
        <v>2025</v>
      </c>
      <c r="AA1119" s="2"/>
      <c r="AB1119" s="2"/>
      <c r="AC1119" s="1044">
        <f t="shared" ref="AC1119:AI1119" si="498">H$20</f>
        <v>2019</v>
      </c>
      <c r="AD1119" s="1044">
        <f t="shared" si="498"/>
        <v>2020</v>
      </c>
      <c r="AE1119" s="1044">
        <f t="shared" si="498"/>
        <v>2021</v>
      </c>
      <c r="AF1119" s="1044">
        <f t="shared" si="498"/>
        <v>2022</v>
      </c>
      <c r="AG1119" s="1044">
        <f t="shared" si="498"/>
        <v>2023</v>
      </c>
      <c r="AH1119" s="1044">
        <f t="shared" si="498"/>
        <v>2024</v>
      </c>
      <c r="AI1119" s="1044">
        <f t="shared" si="498"/>
        <v>2025</v>
      </c>
      <c r="AJ1119" s="2"/>
      <c r="AK1119" s="2"/>
      <c r="AL1119" s="2"/>
    </row>
    <row r="1120" spans="1:38" ht="12.75" customHeight="1" x14ac:dyDescent="0.25">
      <c r="A1120" s="2"/>
      <c r="B1120" s="178"/>
      <c r="C1120" s="779"/>
      <c r="D1120" s="416" t="s">
        <v>859</v>
      </c>
      <c r="E1120" s="2613" t="str">
        <f>Translations!$B$610</f>
        <v>Nettomängd exporterad värme</v>
      </c>
      <c r="F1120" s="1997"/>
      <c r="G1120" s="364" t="str">
        <f>EUconst_TJpa</f>
        <v>TJ / år</v>
      </c>
      <c r="H1120" s="582"/>
      <c r="I1120" s="1105"/>
      <c r="J1120" s="1115"/>
      <c r="K1120" s="582"/>
      <c r="L1120" s="582"/>
      <c r="M1120" s="582"/>
      <c r="N1120" s="1146"/>
      <c r="O1120" s="15"/>
      <c r="P1120" s="1362"/>
      <c r="Q1120" s="165" t="str">
        <f>EUconst_CNTR_HeatExport &amp; I919</f>
        <v>HeatEx_</v>
      </c>
      <c r="R1120" s="2"/>
      <c r="S1120" s="1751" t="str">
        <f>EUconst_ERR_AttrEmBMapplied &amp; I919</f>
        <v>ERR_AttrEmBM_</v>
      </c>
      <c r="T1120" s="108">
        <f t="shared" ref="T1120:Z1120" si="499">IF(AND(H1120&lt;&gt;0,H1121="",EUconst_StatusOfDataCollection=FALSE),1,0)</f>
        <v>0</v>
      </c>
      <c r="U1120" s="108">
        <f t="shared" si="499"/>
        <v>0</v>
      </c>
      <c r="V1120" s="108">
        <f t="shared" si="499"/>
        <v>0</v>
      </c>
      <c r="W1120" s="108">
        <f t="shared" si="499"/>
        <v>0</v>
      </c>
      <c r="X1120" s="108">
        <f t="shared" si="499"/>
        <v>0</v>
      </c>
      <c r="Y1120" s="108">
        <f t="shared" si="499"/>
        <v>0</v>
      </c>
      <c r="Z1120" s="109">
        <f t="shared" si="499"/>
        <v>0</v>
      </c>
      <c r="AA1120" s="2"/>
      <c r="AB1120" s="672" t="s">
        <v>782</v>
      </c>
      <c r="AC1120" s="108" t="b">
        <f>AC1116</f>
        <v>0</v>
      </c>
      <c r="AD1120" s="108" t="b">
        <f t="shared" ref="AD1120:AI1120" si="500">AD1116</f>
        <v>0</v>
      </c>
      <c r="AE1120" s="108" t="b">
        <f t="shared" si="500"/>
        <v>0</v>
      </c>
      <c r="AF1120" s="108" t="b">
        <f t="shared" si="500"/>
        <v>0</v>
      </c>
      <c r="AG1120" s="108" t="b">
        <f t="shared" si="500"/>
        <v>0</v>
      </c>
      <c r="AH1120" s="108" t="b">
        <f t="shared" si="500"/>
        <v>0</v>
      </c>
      <c r="AI1120" s="108" t="b">
        <f t="shared" si="500"/>
        <v>0</v>
      </c>
      <c r="AJ1120" s="553" t="s">
        <v>2248</v>
      </c>
      <c r="AK1120" s="663" t="str">
        <f>IF(AND(CNTR_ExistSubInstEntries,MSconst_RequireSubAttrEmissions,COUNTIFS(AC1120:AI1120,FALSE,H1120:N1120,"")&gt;0),EUconst_Error&amp;"BM"&amp;$Q919,"")</f>
        <v/>
      </c>
      <c r="AL1120" s="2"/>
    </row>
    <row r="1121" spans="1:38" ht="12.75" customHeight="1" thickBot="1" x14ac:dyDescent="0.3">
      <c r="A1121" s="2"/>
      <c r="B1121" s="178"/>
      <c r="C1121" s="779"/>
      <c r="D1121" s="416" t="s">
        <v>860</v>
      </c>
      <c r="E1121" s="2613" t="str">
        <f>Translations!$B$611</f>
        <v>Särskild emissionsfaktor (exporterad värme)</v>
      </c>
      <c r="F1121" s="1997"/>
      <c r="G1121" s="364" t="str">
        <f>EUconst_tCO2pTJ</f>
        <v>t CO2 / TJ</v>
      </c>
      <c r="H1121" s="582"/>
      <c r="I1121" s="1105"/>
      <c r="J1121" s="1115"/>
      <c r="K1121" s="582"/>
      <c r="L1121" s="582"/>
      <c r="M1121" s="582"/>
      <c r="N1121" s="1146"/>
      <c r="O1121" s="15"/>
      <c r="P1121" s="1362"/>
      <c r="Q1121" s="165" t="str">
        <f>EUconst_CNTR_HeatExportEF &amp; I919</f>
        <v>HeatExEF_</v>
      </c>
      <c r="R1121" s="2"/>
      <c r="S1121" s="773" t="str">
        <f>EUconst_CNTR_AttributedEmissions &amp; I919</f>
        <v>AttrEmissions_</v>
      </c>
      <c r="T1121" s="111" t="str">
        <f t="shared" ref="T1121:Z1121" si="501">IF(T927,-SUM(H1120)*IF(INDEX(EUconst_BMlistNumberOfBM,MATCH($I919,EUconst_BMlistNames,0))=39,0,IF(ISNUMBER(H1121),H1121,EUconst_HeatBMvalue)),"")</f>
        <v/>
      </c>
      <c r="U1121" s="111" t="str">
        <f t="shared" si="501"/>
        <v/>
      </c>
      <c r="V1121" s="111" t="str">
        <f t="shared" si="501"/>
        <v/>
      </c>
      <c r="W1121" s="111" t="str">
        <f t="shared" si="501"/>
        <v/>
      </c>
      <c r="X1121" s="111" t="str">
        <f t="shared" si="501"/>
        <v/>
      </c>
      <c r="Y1121" s="111" t="str">
        <f t="shared" si="501"/>
        <v/>
      </c>
      <c r="Z1121" s="112" t="str">
        <f t="shared" si="501"/>
        <v/>
      </c>
      <c r="AA1121" s="2"/>
      <c r="AB1121" s="2"/>
      <c r="AC1121" s="108" t="b">
        <f>AC1120</f>
        <v>0</v>
      </c>
      <c r="AD1121" s="108" t="b">
        <f t="shared" ref="AD1121:AI1121" si="502">AD1120</f>
        <v>0</v>
      </c>
      <c r="AE1121" s="108" t="b">
        <f t="shared" si="502"/>
        <v>0</v>
      </c>
      <c r="AF1121" s="108" t="b">
        <f t="shared" si="502"/>
        <v>0</v>
      </c>
      <c r="AG1121" s="108" t="b">
        <f t="shared" si="502"/>
        <v>0</v>
      </c>
      <c r="AH1121" s="108" t="b">
        <f t="shared" si="502"/>
        <v>0</v>
      </c>
      <c r="AI1121" s="108" t="b">
        <f t="shared" si="502"/>
        <v>0</v>
      </c>
      <c r="AJ1121" s="2"/>
      <c r="AK1121" s="2"/>
      <c r="AL1121" s="2"/>
    </row>
    <row r="1122" spans="1:38" ht="12.75" customHeight="1" x14ac:dyDescent="0.25">
      <c r="A1122" s="2"/>
      <c r="B1122" s="178"/>
      <c r="C1122" s="779"/>
      <c r="D1122" s="780"/>
      <c r="E1122" s="780"/>
      <c r="F1122" s="780"/>
      <c r="G1122" s="780"/>
      <c r="H1122" s="780"/>
      <c r="I1122" s="780"/>
      <c r="J1122" s="780"/>
      <c r="K1122" s="780"/>
      <c r="L1122" s="780"/>
      <c r="M1122" s="623"/>
      <c r="N1122" s="519"/>
      <c r="O1122" s="15"/>
      <c r="P1122" s="15"/>
      <c r="Q1122" s="343"/>
      <c r="R1122" s="2"/>
      <c r="S1122" s="343"/>
      <c r="T1122" s="343"/>
      <c r="U1122" s="343"/>
      <c r="V1122" s="343"/>
      <c r="W1122" s="2"/>
      <c r="X1122" s="2"/>
      <c r="Y1122" s="2"/>
      <c r="Z1122" s="2"/>
      <c r="AA1122" s="2"/>
      <c r="AB1122" s="2"/>
      <c r="AC1122" s="2"/>
      <c r="AD1122" s="2"/>
      <c r="AE1122" s="2"/>
      <c r="AF1122" s="2"/>
      <c r="AG1122" s="2"/>
      <c r="AH1122" s="2"/>
      <c r="AI1122" s="2"/>
      <c r="AJ1122" s="2"/>
      <c r="AK1122" s="2"/>
      <c r="AL1122" s="2"/>
    </row>
    <row r="1123" spans="1:38" ht="12.75" customHeight="1" x14ac:dyDescent="0.25">
      <c r="A1123" s="2"/>
      <c r="B1123" s="178"/>
      <c r="C1123" s="779"/>
      <c r="D1123" s="373" t="s">
        <v>526</v>
      </c>
      <c r="E1123" s="2614" t="str">
        <f>Translations!$B$612</f>
        <v>Delanläggningens restgasbalans</v>
      </c>
      <c r="F1123" s="1960"/>
      <c r="G1123" s="1960"/>
      <c r="H1123" s="1960"/>
      <c r="I1123" s="1960"/>
      <c r="J1123" s="1960"/>
      <c r="K1123" s="1960"/>
      <c r="L1123" s="1960"/>
      <c r="M1123" s="1960"/>
      <c r="N1123" s="2597"/>
      <c r="O1123" s="15"/>
      <c r="P1123" s="15"/>
      <c r="Q1123" s="343"/>
      <c r="R1123" s="2"/>
      <c r="S1123" s="343"/>
      <c r="T1123" s="343"/>
      <c r="U1123" s="343"/>
      <c r="V1123" s="343"/>
      <c r="W1123" s="2"/>
      <c r="X1123" s="2"/>
      <c r="Y1123" s="2"/>
      <c r="Z1123" s="2"/>
      <c r="AA1123" s="2"/>
      <c r="AB1123" s="2"/>
      <c r="AC1123" s="2"/>
      <c r="AD1123" s="2"/>
      <c r="AE1123" s="2"/>
      <c r="AF1123" s="2"/>
      <c r="AG1123" s="2"/>
      <c r="AH1123" s="2"/>
      <c r="AI1123" s="2"/>
      <c r="AJ1123" s="2"/>
      <c r="AK1123" s="2"/>
      <c r="AL1123" s="2"/>
    </row>
    <row r="1124" spans="1:38" ht="5.15" customHeight="1" x14ac:dyDescent="0.25">
      <c r="A1124" s="2"/>
      <c r="B1124" s="178"/>
      <c r="C1124" s="779"/>
      <c r="D1124" s="780"/>
      <c r="E1124" s="1804"/>
      <c r="F1124" s="1804"/>
      <c r="G1124" s="1804"/>
      <c r="H1124" s="1804"/>
      <c r="I1124" s="1804"/>
      <c r="J1124" s="1804"/>
      <c r="K1124" s="1804"/>
      <c r="L1124" s="1804"/>
      <c r="M1124" s="1804"/>
      <c r="N1124" s="1810"/>
      <c r="O1124" s="15"/>
      <c r="P1124" s="15"/>
      <c r="Q1124" s="343"/>
      <c r="R1124" s="2"/>
      <c r="S1124" s="343"/>
      <c r="T1124" s="343"/>
      <c r="U1124" s="343"/>
      <c r="V1124" s="343"/>
      <c r="W1124" s="2"/>
      <c r="X1124" s="2"/>
      <c r="Y1124" s="2"/>
      <c r="Z1124" s="2"/>
      <c r="AA1124" s="2"/>
      <c r="AB1124" s="2"/>
      <c r="AC1124" s="2"/>
      <c r="AD1124" s="2"/>
      <c r="AE1124" s="2"/>
      <c r="AF1124" s="2"/>
      <c r="AG1124" s="2"/>
      <c r="AH1124" s="2"/>
      <c r="AI1124" s="2"/>
      <c r="AJ1124" s="2"/>
      <c r="AK1124" s="2"/>
      <c r="AL1124" s="2"/>
    </row>
    <row r="1125" spans="1:38" ht="12.75" customHeight="1" x14ac:dyDescent="0.25">
      <c r="A1125" s="2"/>
      <c r="B1125" s="178"/>
      <c r="C1125" s="779"/>
      <c r="D1125" s="416" t="s">
        <v>8</v>
      </c>
      <c r="E1125" s="2614" t="str">
        <f>Translations!$B$613</f>
        <v>Är restgaser relevanta för delanläggningen?</v>
      </c>
      <c r="F1125" s="1960"/>
      <c r="G1125" s="1960"/>
      <c r="H1125" s="1960"/>
      <c r="I1125" s="1960"/>
      <c r="J1125" s="1960"/>
      <c r="K1125" s="2520"/>
      <c r="L1125" s="749"/>
      <c r="M1125" s="1806"/>
      <c r="N1125" s="1807"/>
      <c r="O1125" s="15"/>
      <c r="P1125" s="1362"/>
      <c r="Q1125" s="343"/>
      <c r="R1125" s="2"/>
      <c r="S1125" s="343"/>
      <c r="T1125" s="2"/>
      <c r="U1125" s="2"/>
      <c r="V1125" s="2"/>
      <c r="W1125" s="2"/>
      <c r="X1125" s="2"/>
      <c r="Y1125" s="2"/>
      <c r="Z1125" s="2"/>
      <c r="AA1125" s="2"/>
      <c r="AB1125" s="2"/>
      <c r="AC1125" s="2"/>
      <c r="AD1125" s="2"/>
      <c r="AE1125" s="2"/>
      <c r="AF1125" s="672" t="s">
        <v>782</v>
      </c>
      <c r="AG1125" s="1196" t="b">
        <f>AND(CNTR_ExistSubInstEntries,I919="")</f>
        <v>0</v>
      </c>
      <c r="AH1125" s="2"/>
      <c r="AI1125" s="2"/>
      <c r="AJ1125" s="2"/>
      <c r="AK1125" s="2"/>
      <c r="AL1125" s="2"/>
    </row>
    <row r="1126" spans="1:38" ht="12.75" customHeight="1" x14ac:dyDescent="0.25">
      <c r="A1126" s="2"/>
      <c r="B1126" s="178"/>
      <c r="C1126" s="779"/>
      <c r="D1126" s="780"/>
      <c r="E1126" s="2610" t="str">
        <f>Translations!$B$614</f>
        <v>Om svaret ”FALSKT” anges kommer hela avsnittet att gråmarkeras och ni kan gå vidare till nästa punkt nedan.</v>
      </c>
      <c r="F1126" s="1960"/>
      <c r="G1126" s="1960"/>
      <c r="H1126" s="1960"/>
      <c r="I1126" s="1960"/>
      <c r="J1126" s="1960"/>
      <c r="K1126" s="1960"/>
      <c r="L1126" s="1960"/>
      <c r="M1126" s="1960"/>
      <c r="N1126" s="2597"/>
      <c r="O1126" s="15"/>
      <c r="P1126" s="15"/>
      <c r="Q1126" s="343"/>
      <c r="R1126" s="2"/>
      <c r="S1126" s="343"/>
      <c r="T1126" s="2"/>
      <c r="U1126" s="2"/>
      <c r="V1126" s="2"/>
      <c r="W1126" s="2"/>
      <c r="X1126" s="2"/>
      <c r="Y1126" s="2"/>
      <c r="Z1126" s="2"/>
      <c r="AA1126" s="2"/>
      <c r="AB1126" s="2"/>
      <c r="AC1126" s="2"/>
      <c r="AD1126" s="2"/>
      <c r="AE1126" s="2"/>
      <c r="AF1126" s="2"/>
      <c r="AG1126" s="2"/>
      <c r="AH1126" s="2"/>
      <c r="AI1126" s="2"/>
      <c r="AJ1126" s="2"/>
      <c r="AK1126" s="2"/>
      <c r="AL1126" s="2"/>
    </row>
    <row r="1127" spans="1:38" ht="12.75" customHeight="1" x14ac:dyDescent="0.25">
      <c r="A1127" s="2"/>
      <c r="B1127" s="178"/>
      <c r="C1127" s="779"/>
      <c r="D1127" s="416" t="s">
        <v>9</v>
      </c>
      <c r="E1127" s="2614" t="str">
        <f>Translations!$B$615</f>
        <v>Typer av producerade restgaser:</v>
      </c>
      <c r="F1127" s="1960"/>
      <c r="G1127" s="1960"/>
      <c r="H1127" s="2520"/>
      <c r="I1127" s="2621"/>
      <c r="J1127" s="2510"/>
      <c r="K1127" s="2510"/>
      <c r="L1127" s="2510"/>
      <c r="M1127" s="2511"/>
      <c r="N1127" s="1807"/>
      <c r="O1127" s="15"/>
      <c r="P1127" s="1362"/>
      <c r="Q1127" s="343"/>
      <c r="R1127" s="2"/>
      <c r="S1127" s="343"/>
      <c r="T1127" s="2"/>
      <c r="U1127" s="2"/>
      <c r="V1127" s="2"/>
      <c r="W1127" s="2"/>
      <c r="X1127" s="2"/>
      <c r="Y1127" s="2"/>
      <c r="Z1127" s="2"/>
      <c r="AA1127" s="2"/>
      <c r="AB1127" s="2"/>
      <c r="AC1127" s="672" t="s">
        <v>782</v>
      </c>
      <c r="AD1127" s="1196" t="b">
        <f>OR(AG1125,AND($L1125&lt;&gt;"",$L1125=FALSE))</f>
        <v>0</v>
      </c>
      <c r="AE1127" s="2"/>
      <c r="AF1127" s="2"/>
      <c r="AG1127" s="2"/>
      <c r="AH1127" s="2"/>
      <c r="AI1127" s="2"/>
      <c r="AJ1127" s="2"/>
      <c r="AK1127" s="2"/>
      <c r="AL1127" s="2"/>
    </row>
    <row r="1128" spans="1:38" ht="12.75" customHeight="1" x14ac:dyDescent="0.25">
      <c r="A1128" s="2"/>
      <c r="B1128" s="178"/>
      <c r="C1128" s="779"/>
      <c r="D1128" s="780"/>
      <c r="E1128" s="2610" t="str">
        <f>Translations!$B$616</f>
        <v>Ni kan välja att rapportera i ton eller i 1 000 Nm3. Enheterna måste stämma överens med de som används för effektivt värmevärde och emissionsfaktorn nedan.</v>
      </c>
      <c r="F1128" s="1960"/>
      <c r="G1128" s="1960"/>
      <c r="H1128" s="1960"/>
      <c r="I1128" s="1960"/>
      <c r="J1128" s="1960"/>
      <c r="K1128" s="1960"/>
      <c r="L1128" s="1960"/>
      <c r="M1128" s="1960"/>
      <c r="N1128" s="2597"/>
      <c r="O1128" s="15"/>
      <c r="P1128" s="15"/>
      <c r="Q1128" s="343"/>
      <c r="R1128" s="2"/>
      <c r="S1128" s="343"/>
      <c r="T1128" s="343"/>
      <c r="U1128" s="343"/>
      <c r="V1128" s="343"/>
      <c r="W1128" s="2"/>
      <c r="X1128" s="2"/>
      <c r="Y1128" s="2"/>
      <c r="Z1128" s="2"/>
      <c r="AA1128" s="2"/>
      <c r="AB1128" s="2"/>
      <c r="AC1128" s="2"/>
      <c r="AD1128" s="2"/>
      <c r="AE1128" s="2"/>
      <c r="AF1128" s="2"/>
      <c r="AG1128" s="2"/>
      <c r="AH1128" s="2"/>
      <c r="AI1128" s="2"/>
      <c r="AJ1128" s="2"/>
      <c r="AK1128" s="2"/>
      <c r="AL1128" s="2"/>
    </row>
    <row r="1129" spans="1:38" ht="12.75" customHeight="1" x14ac:dyDescent="0.25">
      <c r="A1129" s="2"/>
      <c r="B1129" s="178"/>
      <c r="C1129" s="779"/>
      <c r="D1129" s="780"/>
      <c r="E1129" s="2596" t="str">
        <f>Translations!$B$570</f>
        <v>De uppgifter som anges här används bara för konsekvenskontroll och har ingen direkt inverkan på vare sig de utsläpp som kan tillskrivas eller tilldelningen.</v>
      </c>
      <c r="F1129" s="1960"/>
      <c r="G1129" s="1960"/>
      <c r="H1129" s="1960"/>
      <c r="I1129" s="1960"/>
      <c r="J1129" s="1960"/>
      <c r="K1129" s="1960"/>
      <c r="L1129" s="1960"/>
      <c r="M1129" s="1960"/>
      <c r="N1129" s="2597"/>
      <c r="O1129" s="15"/>
      <c r="P1129" s="15"/>
      <c r="Q1129" s="343"/>
      <c r="R1129" s="2"/>
      <c r="S1129" s="343"/>
      <c r="T1129" s="343"/>
      <c r="U1129" s="343"/>
      <c r="V1129" s="343"/>
      <c r="W1129" s="2"/>
      <c r="X1129" s="2"/>
      <c r="Y1129" s="2"/>
      <c r="Z1129" s="2"/>
      <c r="AA1129" s="2"/>
      <c r="AB1129" s="2"/>
      <c r="AC1129" s="2"/>
      <c r="AD1129" s="2"/>
      <c r="AE1129" s="2"/>
      <c r="AF1129" s="2"/>
      <c r="AG1129" s="2"/>
      <c r="AH1129" s="2"/>
      <c r="AI1129" s="2"/>
      <c r="AJ1129" s="2"/>
      <c r="AK1129" s="2"/>
      <c r="AL1129" s="2"/>
    </row>
    <row r="1130" spans="1:38" ht="12.75" customHeight="1" thickBot="1" x14ac:dyDescent="0.3">
      <c r="A1130" s="2"/>
      <c r="B1130" s="178"/>
      <c r="C1130" s="779"/>
      <c r="D1130" s="780"/>
      <c r="E1130" s="1716"/>
      <c r="F1130" s="1717"/>
      <c r="G1130" s="361" t="str">
        <f>EUconst_Unit</f>
        <v>Enhet</v>
      </c>
      <c r="H1130" s="362">
        <f t="shared" ref="H1130:N1130" si="503">H$3042</f>
        <v>2019</v>
      </c>
      <c r="I1130" s="1103">
        <f t="shared" si="503"/>
        <v>2020</v>
      </c>
      <c r="J1130" s="1104">
        <f t="shared" si="503"/>
        <v>2021</v>
      </c>
      <c r="K1130" s="362">
        <f t="shared" si="503"/>
        <v>2022</v>
      </c>
      <c r="L1130" s="362">
        <f t="shared" si="503"/>
        <v>2023</v>
      </c>
      <c r="M1130" s="362">
        <f t="shared" si="503"/>
        <v>2024</v>
      </c>
      <c r="N1130" s="1141">
        <f t="shared" si="503"/>
        <v>2025</v>
      </c>
      <c r="O1130" s="15"/>
      <c r="P1130" s="15"/>
      <c r="Q1130" s="343"/>
      <c r="R1130" s="2"/>
      <c r="S1130" s="343"/>
      <c r="T1130" s="343"/>
      <c r="U1130" s="343"/>
      <c r="V1130" s="343"/>
      <c r="W1130" s="2"/>
      <c r="X1130" s="2"/>
      <c r="Y1130" s="2"/>
      <c r="Z1130" s="2"/>
      <c r="AA1130" s="2"/>
      <c r="AB1130" s="2"/>
      <c r="AC1130" s="1044">
        <f t="shared" ref="AC1130:AI1130" si="504">H$20</f>
        <v>2019</v>
      </c>
      <c r="AD1130" s="1044">
        <f t="shared" si="504"/>
        <v>2020</v>
      </c>
      <c r="AE1130" s="1044">
        <f t="shared" si="504"/>
        <v>2021</v>
      </c>
      <c r="AF1130" s="1044">
        <f t="shared" si="504"/>
        <v>2022</v>
      </c>
      <c r="AG1130" s="1044">
        <f t="shared" si="504"/>
        <v>2023</v>
      </c>
      <c r="AH1130" s="1044">
        <f t="shared" si="504"/>
        <v>2024</v>
      </c>
      <c r="AI1130" s="1044">
        <f t="shared" si="504"/>
        <v>2025</v>
      </c>
      <c r="AJ1130" s="2"/>
      <c r="AK1130" s="2"/>
      <c r="AL1130" s="2"/>
    </row>
    <row r="1131" spans="1:38" ht="12.75" customHeight="1" x14ac:dyDescent="0.25">
      <c r="A1131" s="2"/>
      <c r="B1131" s="178"/>
      <c r="C1131" s="779"/>
      <c r="D1131" s="416" t="s">
        <v>10</v>
      </c>
      <c r="E1131" s="2611" t="str">
        <f>Translations!$B$617</f>
        <v>Producerade mängder</v>
      </c>
      <c r="F1131" s="2484"/>
      <c r="G1131" s="1314"/>
      <c r="H1131" s="1298"/>
      <c r="I1131" s="1299"/>
      <c r="J1131" s="1300"/>
      <c r="K1131" s="1298"/>
      <c r="L1131" s="1298"/>
      <c r="M1131" s="1298"/>
      <c r="N1131" s="1301"/>
      <c r="O1131" s="15"/>
      <c r="P1131" s="1362"/>
      <c r="Q1131" s="343"/>
      <c r="R1131" s="2"/>
      <c r="S1131" s="343"/>
      <c r="T1131" s="343"/>
      <c r="U1131" s="343"/>
      <c r="V1131" s="343"/>
      <c r="W1131" s="2"/>
      <c r="X1131" s="2"/>
      <c r="Y1131" s="2"/>
      <c r="Z1131" s="2"/>
      <c r="AA1131" s="2"/>
      <c r="AB1131" s="672" t="s">
        <v>782</v>
      </c>
      <c r="AC1131" s="1196" t="b">
        <f>OR(AND($L1125&lt;&gt;"",$L1125=FALSE),AC989)</f>
        <v>0</v>
      </c>
      <c r="AD1131" s="108" t="b">
        <f t="shared" ref="AD1131:AI1131" si="505">OR(AND($L1125&lt;&gt;"",$L1125=FALSE),AD989)</f>
        <v>0</v>
      </c>
      <c r="AE1131" s="108" t="b">
        <f t="shared" si="505"/>
        <v>0</v>
      </c>
      <c r="AF1131" s="108" t="b">
        <f t="shared" si="505"/>
        <v>0</v>
      </c>
      <c r="AG1131" s="108" t="b">
        <f t="shared" si="505"/>
        <v>0</v>
      </c>
      <c r="AH1131" s="108" t="b">
        <f t="shared" si="505"/>
        <v>0</v>
      </c>
      <c r="AI1131" s="108" t="b">
        <f t="shared" si="505"/>
        <v>0</v>
      </c>
      <c r="AJ1131" s="553" t="s">
        <v>2248</v>
      </c>
      <c r="AK1131" s="663" t="str">
        <f>IF(AND(CNTR_ExistSubInstEntries,MSconst_RequireSubAttrEmissions,COUNTIFS(AC1131:AI1131,FALSE,H1131:N1131,"")&gt;0),EUconst_Error&amp;"BM"&amp;$Q919,"")</f>
        <v/>
      </c>
      <c r="AL1131" s="2"/>
    </row>
    <row r="1132" spans="1:38" ht="12.75" customHeight="1" x14ac:dyDescent="0.25">
      <c r="A1132" s="2"/>
      <c r="B1132" s="178"/>
      <c r="C1132" s="779"/>
      <c r="D1132" s="416" t="s">
        <v>23</v>
      </c>
      <c r="E1132" s="2612" t="str">
        <f>Translations!$B$318</f>
        <v>Effektivt värmevärde</v>
      </c>
      <c r="F1132" s="2487"/>
      <c r="G1132" s="51" t="str">
        <f>IF(ISBLANK(G1131),EUconst_GJperUnit,INDEX(EUconst_GJperTorKNm3,MATCH(G1131,EUconst_TonnesOrkNm3pa,0)))</f>
        <v>GJ / Enhet</v>
      </c>
      <c r="H1132" s="1306"/>
      <c r="I1132" s="1307"/>
      <c r="J1132" s="1308"/>
      <c r="K1132" s="1306"/>
      <c r="L1132" s="1306"/>
      <c r="M1132" s="1306"/>
      <c r="N1132" s="1309"/>
      <c r="O1132" s="15"/>
      <c r="P1132" s="1362"/>
      <c r="Q1132" s="2"/>
      <c r="R1132" s="2"/>
      <c r="S1132" s="343"/>
      <c r="T1132" s="343"/>
      <c r="U1132" s="343"/>
      <c r="V1132" s="343"/>
      <c r="W1132" s="343"/>
      <c r="X1132" s="343"/>
      <c r="Y1132" s="343"/>
      <c r="Z1132" s="343"/>
      <c r="AA1132" s="2"/>
      <c r="AB1132" s="2"/>
      <c r="AC1132" s="108" t="b">
        <f>AC1131</f>
        <v>0</v>
      </c>
      <c r="AD1132" s="108" t="b">
        <f t="shared" ref="AD1132:AI1132" si="506">AD1131</f>
        <v>0</v>
      </c>
      <c r="AE1132" s="108" t="b">
        <f t="shared" si="506"/>
        <v>0</v>
      </c>
      <c r="AF1132" s="108" t="b">
        <f t="shared" si="506"/>
        <v>0</v>
      </c>
      <c r="AG1132" s="108" t="b">
        <f t="shared" si="506"/>
        <v>0</v>
      </c>
      <c r="AH1132" s="108" t="b">
        <f t="shared" si="506"/>
        <v>0</v>
      </c>
      <c r="AI1132" s="108" t="b">
        <f t="shared" si="506"/>
        <v>0</v>
      </c>
      <c r="AJ1132" s="553" t="s">
        <v>2248</v>
      </c>
      <c r="AK1132" s="663" t="str">
        <f>IF(AND(CNTR_ExistSubInstEntries,MSconst_RequireSubAttrEmissions,COUNTIFS(AC1132:AI1132,FALSE,H1132:N1132,"")&gt;0),EUconst_Error&amp;"BM"&amp;$Q919,"")</f>
        <v/>
      </c>
      <c r="AL1132" s="2"/>
    </row>
    <row r="1133" spans="1:38" ht="12.75" customHeight="1" x14ac:dyDescent="0.25">
      <c r="A1133" s="2"/>
      <c r="B1133" s="178"/>
      <c r="C1133" s="779"/>
      <c r="D1133" s="416" t="s">
        <v>859</v>
      </c>
      <c r="E1133" s="2613" t="str">
        <f>Translations!$B$618</f>
        <v>Producerad restgas</v>
      </c>
      <c r="F1133" s="1997"/>
      <c r="G1133" s="364" t="str">
        <f>EUconst_TJpa</f>
        <v>TJ / år</v>
      </c>
      <c r="H1133" s="414" t="str">
        <f t="shared" ref="H1133:N1133" si="507">IF(COUNT(H1131:H1132)=2,H1131*H1132/1000,"")</f>
        <v/>
      </c>
      <c r="I1133" s="1108" t="str">
        <f t="shared" si="507"/>
        <v/>
      </c>
      <c r="J1133" s="1114" t="str">
        <f t="shared" si="507"/>
        <v/>
      </c>
      <c r="K1133" s="414" t="str">
        <f t="shared" si="507"/>
        <v/>
      </c>
      <c r="L1133" s="414" t="str">
        <f t="shared" si="507"/>
        <v/>
      </c>
      <c r="M1133" s="414" t="str">
        <f t="shared" si="507"/>
        <v/>
      </c>
      <c r="N1133" s="1147" t="str">
        <f t="shared" si="507"/>
        <v/>
      </c>
      <c r="O1133" s="15"/>
      <c r="P1133" s="15"/>
      <c r="Q1133" s="165" t="str">
        <f>EUconst_CNTR_WGProduced &amp; I919</f>
        <v>WasteGasProd_</v>
      </c>
      <c r="R1133" s="2"/>
      <c r="S1133" s="343"/>
      <c r="T1133" s="343"/>
      <c r="U1133" s="343"/>
      <c r="V1133" s="343"/>
      <c r="W1133" s="343"/>
      <c r="X1133" s="343"/>
      <c r="Y1133" s="343"/>
      <c r="Z1133" s="343"/>
      <c r="AA1133" s="2"/>
      <c r="AB1133" s="2"/>
      <c r="AC1133" s="2"/>
      <c r="AD1133" s="2"/>
      <c r="AE1133" s="2"/>
      <c r="AF1133" s="2"/>
      <c r="AG1133" s="2"/>
      <c r="AH1133" s="2"/>
      <c r="AI1133" s="2"/>
      <c r="AJ1133" s="2"/>
      <c r="AK1133" s="2"/>
      <c r="AL1133" s="2"/>
    </row>
    <row r="1134" spans="1:38" ht="12.75" customHeight="1" x14ac:dyDescent="0.25">
      <c r="A1134" s="2"/>
      <c r="B1134" s="178"/>
      <c r="C1134" s="779"/>
      <c r="D1134" s="416" t="s">
        <v>860</v>
      </c>
      <c r="E1134" s="2613" t="str">
        <f>Translations!$B$619</f>
        <v>Särskild emissionsfaktor (producerad restgas)</v>
      </c>
      <c r="F1134" s="1997"/>
      <c r="G1134" s="364" t="str">
        <f>EUconst_tCO2pTJ</f>
        <v>t CO2 / TJ</v>
      </c>
      <c r="H1134" s="582"/>
      <c r="I1134" s="1105"/>
      <c r="J1134" s="1115"/>
      <c r="K1134" s="582"/>
      <c r="L1134" s="582"/>
      <c r="M1134" s="582"/>
      <c r="N1134" s="1146"/>
      <c r="O1134" s="15"/>
      <c r="P1134" s="1362"/>
      <c r="Q1134" s="165" t="str">
        <f>EUconst_CNTR_WGProducedEF &amp; I919</f>
        <v>WasteGasProdEF_</v>
      </c>
      <c r="R1134" s="2"/>
      <c r="S1134" s="343"/>
      <c r="T1134" s="343"/>
      <c r="U1134" s="343"/>
      <c r="V1134" s="343"/>
      <c r="W1134" s="343"/>
      <c r="X1134" s="343"/>
      <c r="Y1134" s="343"/>
      <c r="Z1134" s="343"/>
      <c r="AA1134" s="2"/>
      <c r="AB1134" s="672" t="s">
        <v>782</v>
      </c>
      <c r="AC1134" s="108" t="b">
        <f>AC1132</f>
        <v>0</v>
      </c>
      <c r="AD1134" s="108" t="b">
        <f t="shared" ref="AD1134:AI1134" si="508">AD1132</f>
        <v>0</v>
      </c>
      <c r="AE1134" s="108" t="b">
        <f t="shared" si="508"/>
        <v>0</v>
      </c>
      <c r="AF1134" s="108" t="b">
        <f t="shared" si="508"/>
        <v>0</v>
      </c>
      <c r="AG1134" s="108" t="b">
        <f t="shared" si="508"/>
        <v>0</v>
      </c>
      <c r="AH1134" s="108" t="b">
        <f t="shared" si="508"/>
        <v>0</v>
      </c>
      <c r="AI1134" s="108" t="b">
        <f t="shared" si="508"/>
        <v>0</v>
      </c>
      <c r="AJ1134" s="553" t="s">
        <v>2248</v>
      </c>
      <c r="AK1134" s="663" t="str">
        <f>IF(AND(CNTR_ExistSubInstEntries,MSconst_RequireSubAttrEmissions,COUNTIFS(AC1134:AI1134,FALSE,H1134:N1134,"")&gt;0),EUconst_Error&amp;"BM"&amp;$Q919,"")</f>
        <v/>
      </c>
      <c r="AL1134" s="2"/>
    </row>
    <row r="1135" spans="1:38" ht="12.75" customHeight="1" x14ac:dyDescent="0.25">
      <c r="A1135" s="2"/>
      <c r="B1135" s="178"/>
      <c r="C1135" s="779"/>
      <c r="D1135" s="780"/>
      <c r="E1135" s="780"/>
      <c r="F1135" s="780"/>
      <c r="G1135" s="780"/>
      <c r="H1135" s="1805"/>
      <c r="I1135" s="780"/>
      <c r="J1135" s="780"/>
      <c r="K1135" s="780"/>
      <c r="L1135" s="780"/>
      <c r="M1135" s="623"/>
      <c r="N1135" s="519"/>
      <c r="O1135" s="15"/>
      <c r="P1135" s="15"/>
      <c r="Q1135" s="343"/>
      <c r="R1135" s="2"/>
      <c r="S1135" s="343"/>
      <c r="T1135" s="343"/>
      <c r="U1135" s="343"/>
      <c r="V1135" s="343"/>
      <c r="W1135" s="343"/>
      <c r="X1135" s="343"/>
      <c r="Y1135" s="343"/>
      <c r="Z1135" s="343"/>
      <c r="AA1135" s="2"/>
      <c r="AB1135" s="2"/>
      <c r="AC1135" s="2"/>
      <c r="AD1135" s="2"/>
      <c r="AE1135" s="2"/>
      <c r="AF1135" s="2"/>
      <c r="AG1135" s="2"/>
      <c r="AH1135" s="2"/>
      <c r="AI1135" s="2"/>
      <c r="AJ1135" s="2"/>
      <c r="AK1135" s="2"/>
      <c r="AL1135" s="2"/>
    </row>
    <row r="1136" spans="1:38" ht="12.75" customHeight="1" x14ac:dyDescent="0.25">
      <c r="A1136" s="2"/>
      <c r="B1136" s="178"/>
      <c r="C1136" s="779"/>
      <c r="D1136" s="416" t="s">
        <v>861</v>
      </c>
      <c r="E1136" s="2614" t="str">
        <f>Translations!$B$620</f>
        <v>Typer av restgaser som förbrukas:</v>
      </c>
      <c r="F1136" s="1960"/>
      <c r="G1136" s="1960"/>
      <c r="H1136" s="2520"/>
      <c r="I1136" s="2621"/>
      <c r="J1136" s="2510"/>
      <c r="K1136" s="2510"/>
      <c r="L1136" s="2510"/>
      <c r="M1136" s="2511"/>
      <c r="N1136" s="1807"/>
      <c r="O1136" s="15"/>
      <c r="P1136" s="1362"/>
      <c r="Q1136" s="343"/>
      <c r="R1136" s="2"/>
      <c r="S1136" s="343"/>
      <c r="T1136" s="343"/>
      <c r="U1136" s="343"/>
      <c r="V1136" s="343"/>
      <c r="W1136" s="343"/>
      <c r="X1136" s="343"/>
      <c r="Y1136" s="343"/>
      <c r="Z1136" s="343"/>
      <c r="AA1136" s="2"/>
      <c r="AB1136" s="2"/>
      <c r="AC1136" s="672" t="s">
        <v>782</v>
      </c>
      <c r="AD1136" s="108" t="b">
        <f>AD1127</f>
        <v>0</v>
      </c>
      <c r="AE1136" s="2"/>
      <c r="AF1136" s="2"/>
      <c r="AG1136" s="2"/>
      <c r="AH1136" s="2"/>
      <c r="AI1136" s="2"/>
      <c r="AJ1136" s="2"/>
      <c r="AK1136" s="2"/>
      <c r="AL1136" s="2"/>
    </row>
    <row r="1137" spans="1:38" ht="25.5" customHeight="1" x14ac:dyDescent="0.25">
      <c r="A1137" s="2"/>
      <c r="B1137" s="178"/>
      <c r="C1137" s="779"/>
      <c r="D1137" s="416"/>
      <c r="E1137" s="2610" t="str">
        <f>Translations!$B$621</f>
        <v>Detta innefattar alla restgastyper som förbrukas av delanläggningen för produktion av mätbar värme, icke-mätbar värme (inklusive för säkerhetsfackling) eller mekanisk energi (annan än för elproduktion). Mängden avgaser för fackling utom för säkerhetsfackling bör rapporteras i nästa punkt nedan.</v>
      </c>
      <c r="F1137" s="1960"/>
      <c r="G1137" s="1960"/>
      <c r="H1137" s="1960"/>
      <c r="I1137" s="1960"/>
      <c r="J1137" s="1960"/>
      <c r="K1137" s="1960"/>
      <c r="L1137" s="1960"/>
      <c r="M1137" s="1960"/>
      <c r="N1137" s="2597"/>
      <c r="O1137" s="15"/>
      <c r="P1137" s="15"/>
      <c r="Q1137" s="343"/>
      <c r="R1137" s="2"/>
      <c r="S1137" s="343"/>
      <c r="T1137" s="343"/>
      <c r="U1137" s="343"/>
      <c r="V1137" s="343"/>
      <c r="W1137" s="343"/>
      <c r="X1137" s="343"/>
      <c r="Y1137" s="343"/>
      <c r="Z1137" s="343"/>
      <c r="AA1137" s="2"/>
      <c r="AB1137" s="2"/>
      <c r="AC1137" s="2"/>
      <c r="AD1137" s="2"/>
      <c r="AE1137" s="2"/>
      <c r="AF1137" s="2"/>
      <c r="AG1137" s="2"/>
      <c r="AH1137" s="2"/>
      <c r="AI1137" s="2"/>
      <c r="AJ1137" s="2"/>
      <c r="AK1137" s="2"/>
      <c r="AL1137" s="2"/>
    </row>
    <row r="1138" spans="1:38" ht="12.75" customHeight="1" x14ac:dyDescent="0.25">
      <c r="A1138" s="2"/>
      <c r="B1138" s="178"/>
      <c r="C1138" s="779"/>
      <c r="D1138" s="780"/>
      <c r="E1138" s="2596" t="str">
        <f>Translations!$B$570</f>
        <v>De uppgifter som anges här används bara för konsekvenskontroll och har ingen direkt inverkan på vare sig de utsläpp som kan tillskrivas eller tilldelningen.</v>
      </c>
      <c r="F1138" s="1960"/>
      <c r="G1138" s="1960"/>
      <c r="H1138" s="1960"/>
      <c r="I1138" s="1960"/>
      <c r="J1138" s="1960"/>
      <c r="K1138" s="1960"/>
      <c r="L1138" s="1960"/>
      <c r="M1138" s="1960"/>
      <c r="N1138" s="2597"/>
      <c r="O1138" s="15"/>
      <c r="P1138" s="15"/>
      <c r="Q1138" s="343"/>
      <c r="R1138" s="2"/>
      <c r="S1138" s="343"/>
      <c r="T1138" s="343"/>
      <c r="U1138" s="343"/>
      <c r="V1138" s="343"/>
      <c r="W1138" s="343"/>
      <c r="X1138" s="343"/>
      <c r="Y1138" s="343"/>
      <c r="Z1138" s="343"/>
      <c r="AA1138" s="2"/>
      <c r="AB1138" s="2"/>
      <c r="AC1138" s="2"/>
      <c r="AD1138" s="2"/>
      <c r="AE1138" s="2"/>
      <c r="AF1138" s="2"/>
      <c r="AG1138" s="2"/>
      <c r="AH1138" s="2"/>
      <c r="AI1138" s="2"/>
      <c r="AJ1138" s="2"/>
      <c r="AK1138" s="2"/>
      <c r="AL1138" s="2"/>
    </row>
    <row r="1139" spans="1:38" ht="12.75" customHeight="1" thickBot="1" x14ac:dyDescent="0.3">
      <c r="A1139" s="2"/>
      <c r="B1139" s="178"/>
      <c r="C1139" s="779"/>
      <c r="D1139" s="780"/>
      <c r="E1139" s="1716"/>
      <c r="F1139" s="1717"/>
      <c r="G1139" s="361" t="str">
        <f>EUconst_Unit</f>
        <v>Enhet</v>
      </c>
      <c r="H1139" s="362">
        <f t="shared" ref="H1139:N1139" si="509">H$3042</f>
        <v>2019</v>
      </c>
      <c r="I1139" s="1103">
        <f t="shared" si="509"/>
        <v>2020</v>
      </c>
      <c r="J1139" s="1104">
        <f t="shared" si="509"/>
        <v>2021</v>
      </c>
      <c r="K1139" s="362">
        <f t="shared" si="509"/>
        <v>2022</v>
      </c>
      <c r="L1139" s="362">
        <f t="shared" si="509"/>
        <v>2023</v>
      </c>
      <c r="M1139" s="362">
        <f t="shared" si="509"/>
        <v>2024</v>
      </c>
      <c r="N1139" s="1141">
        <f t="shared" si="509"/>
        <v>2025</v>
      </c>
      <c r="O1139" s="15"/>
      <c r="P1139" s="15"/>
      <c r="Q1139" s="343"/>
      <c r="R1139" s="2"/>
      <c r="S1139" s="343"/>
      <c r="T1139" s="343"/>
      <c r="U1139" s="343"/>
      <c r="V1139" s="343"/>
      <c r="W1139" s="343"/>
      <c r="X1139" s="343"/>
      <c r="Y1139" s="343"/>
      <c r="Z1139" s="343"/>
      <c r="AA1139" s="2"/>
      <c r="AB1139" s="2"/>
      <c r="AC1139" s="1044">
        <f t="shared" ref="AC1139:AI1139" si="510">H$20</f>
        <v>2019</v>
      </c>
      <c r="AD1139" s="1044">
        <f t="shared" si="510"/>
        <v>2020</v>
      </c>
      <c r="AE1139" s="1044">
        <f t="shared" si="510"/>
        <v>2021</v>
      </c>
      <c r="AF1139" s="1044">
        <f t="shared" si="510"/>
        <v>2022</v>
      </c>
      <c r="AG1139" s="1044">
        <f t="shared" si="510"/>
        <v>2023</v>
      </c>
      <c r="AH1139" s="1044">
        <f t="shared" si="510"/>
        <v>2024</v>
      </c>
      <c r="AI1139" s="1044">
        <f t="shared" si="510"/>
        <v>2025</v>
      </c>
      <c r="AJ1139" s="2"/>
      <c r="AK1139" s="2"/>
      <c r="AL1139" s="2"/>
    </row>
    <row r="1140" spans="1:38" ht="12.75" customHeight="1" x14ac:dyDescent="0.25">
      <c r="A1140" s="2"/>
      <c r="B1140" s="178"/>
      <c r="C1140" s="779"/>
      <c r="D1140" s="416" t="s">
        <v>862</v>
      </c>
      <c r="E1140" s="2611" t="str">
        <f>Translations!$B$622</f>
        <v>Förbrukade mängder</v>
      </c>
      <c r="F1140" s="2484"/>
      <c r="G1140" s="1314"/>
      <c r="H1140" s="1298"/>
      <c r="I1140" s="1299"/>
      <c r="J1140" s="1300"/>
      <c r="K1140" s="1298"/>
      <c r="L1140" s="1298"/>
      <c r="M1140" s="1298"/>
      <c r="N1140" s="1301"/>
      <c r="O1140" s="15"/>
      <c r="P1140" s="1362"/>
      <c r="Q1140" s="343"/>
      <c r="R1140" s="2"/>
      <c r="S1140" s="343"/>
      <c r="T1140" s="343"/>
      <c r="U1140" s="343"/>
      <c r="V1140" s="343"/>
      <c r="W1140" s="343"/>
      <c r="X1140" s="343"/>
      <c r="Y1140" s="343"/>
      <c r="Z1140" s="343"/>
      <c r="AA1140" s="2"/>
      <c r="AB1140" s="672" t="s">
        <v>782</v>
      </c>
      <c r="AC1140" s="108" t="b">
        <f>AC1131</f>
        <v>0</v>
      </c>
      <c r="AD1140" s="108" t="b">
        <f t="shared" ref="AD1140:AI1140" si="511">AD1131</f>
        <v>0</v>
      </c>
      <c r="AE1140" s="108" t="b">
        <f t="shared" si="511"/>
        <v>0</v>
      </c>
      <c r="AF1140" s="108" t="b">
        <f t="shared" si="511"/>
        <v>0</v>
      </c>
      <c r="AG1140" s="108" t="b">
        <f t="shared" si="511"/>
        <v>0</v>
      </c>
      <c r="AH1140" s="108" t="b">
        <f t="shared" si="511"/>
        <v>0</v>
      </c>
      <c r="AI1140" s="108" t="b">
        <f t="shared" si="511"/>
        <v>0</v>
      </c>
      <c r="AJ1140" s="553" t="s">
        <v>2248</v>
      </c>
      <c r="AK1140" s="663" t="str">
        <f>IF(AND(CNTR_ExistSubInstEntries,MSconst_RequireSubAttrEmissions,COUNTIFS(AC1140:AI1140,FALSE,H1140:N1140,"")&gt;0),EUconst_Error&amp;"BM"&amp;$Q919,"")</f>
        <v/>
      </c>
      <c r="AL1140" s="2"/>
    </row>
    <row r="1141" spans="1:38" ht="12.75" customHeight="1" x14ac:dyDescent="0.25">
      <c r="A1141" s="2"/>
      <c r="B1141" s="178"/>
      <c r="C1141" s="779"/>
      <c r="D1141" s="416" t="s">
        <v>863</v>
      </c>
      <c r="E1141" s="2612" t="str">
        <f>Translations!$B$318</f>
        <v>Effektivt värmevärde</v>
      </c>
      <c r="F1141" s="2487"/>
      <c r="G1141" s="51" t="str">
        <f>IF(ISBLANK(G1140),EUconst_GJperUnit,INDEX(EUconst_GJperTorKNm3,MATCH(G1140,EUconst_TonnesOrkNm3pa,0)))</f>
        <v>GJ / Enhet</v>
      </c>
      <c r="H1141" s="1306"/>
      <c r="I1141" s="1307"/>
      <c r="J1141" s="1308"/>
      <c r="K1141" s="1306"/>
      <c r="L1141" s="1306"/>
      <c r="M1141" s="1306"/>
      <c r="N1141" s="1309"/>
      <c r="O1141" s="15"/>
      <c r="P1141" s="1362"/>
      <c r="Q1141" s="2"/>
      <c r="R1141" s="2"/>
      <c r="S1141" s="343"/>
      <c r="T1141" s="343"/>
      <c r="U1141" s="343"/>
      <c r="V1141" s="343"/>
      <c r="W1141" s="343"/>
      <c r="X1141" s="343"/>
      <c r="Y1141" s="343"/>
      <c r="Z1141" s="343"/>
      <c r="AA1141" s="2"/>
      <c r="AB1141" s="2"/>
      <c r="AC1141" s="108" t="b">
        <f>AC1140</f>
        <v>0</v>
      </c>
      <c r="AD1141" s="108" t="b">
        <f t="shared" ref="AD1141:AI1141" si="512">AD1140</f>
        <v>0</v>
      </c>
      <c r="AE1141" s="108" t="b">
        <f t="shared" si="512"/>
        <v>0</v>
      </c>
      <c r="AF1141" s="108" t="b">
        <f t="shared" si="512"/>
        <v>0</v>
      </c>
      <c r="AG1141" s="108" t="b">
        <f t="shared" si="512"/>
        <v>0</v>
      </c>
      <c r="AH1141" s="108" t="b">
        <f t="shared" si="512"/>
        <v>0</v>
      </c>
      <c r="AI1141" s="108" t="b">
        <f t="shared" si="512"/>
        <v>0</v>
      </c>
      <c r="AJ1141" s="553" t="s">
        <v>2248</v>
      </c>
      <c r="AK1141" s="663" t="str">
        <f>IF(AND(CNTR_ExistSubInstEntries,MSconst_RequireSubAttrEmissions,COUNTIFS(AC1141:AI1141,FALSE,H1141:N1141,"")&gt;0),EUconst_Error&amp;"BM"&amp;$Q919,"")</f>
        <v/>
      </c>
      <c r="AL1141" s="2"/>
    </row>
    <row r="1142" spans="1:38" ht="12.75" customHeight="1" x14ac:dyDescent="0.25">
      <c r="A1142" s="2"/>
      <c r="B1142" s="178"/>
      <c r="C1142" s="779"/>
      <c r="D1142" s="416" t="s">
        <v>72</v>
      </c>
      <c r="E1142" s="2613" t="str">
        <f>Translations!$B$623</f>
        <v>Förbrukad restgas</v>
      </c>
      <c r="F1142" s="1997"/>
      <c r="G1142" s="364" t="str">
        <f>EUconst_TJpa</f>
        <v>TJ / år</v>
      </c>
      <c r="H1142" s="414" t="str">
        <f t="shared" ref="H1142:N1142" si="513">IF(COUNT(H1140:H1141)=2,H1140*H1141/1000,"")</f>
        <v/>
      </c>
      <c r="I1142" s="1108" t="str">
        <f t="shared" si="513"/>
        <v/>
      </c>
      <c r="J1142" s="1114" t="str">
        <f t="shared" si="513"/>
        <v/>
      </c>
      <c r="K1142" s="414" t="str">
        <f t="shared" si="513"/>
        <v/>
      </c>
      <c r="L1142" s="414" t="str">
        <f t="shared" si="513"/>
        <v/>
      </c>
      <c r="M1142" s="414" t="str">
        <f t="shared" si="513"/>
        <v/>
      </c>
      <c r="N1142" s="1147" t="str">
        <f t="shared" si="513"/>
        <v/>
      </c>
      <c r="O1142" s="15"/>
      <c r="P1142" s="15"/>
      <c r="Q1142" s="165" t="str">
        <f>EUconst_CNTR_WGConsumed &amp; I919</f>
        <v>WasteGasCons_</v>
      </c>
      <c r="R1142" s="2"/>
      <c r="S1142" s="343"/>
      <c r="T1142" s="343"/>
      <c r="U1142" s="343"/>
      <c r="V1142" s="343"/>
      <c r="W1142" s="343"/>
      <c r="X1142" s="343"/>
      <c r="Y1142" s="343"/>
      <c r="Z1142" s="343"/>
      <c r="AA1142" s="2"/>
      <c r="AB1142" s="2"/>
      <c r="AC1142" s="2"/>
      <c r="AD1142" s="2"/>
      <c r="AE1142" s="2"/>
      <c r="AF1142" s="2"/>
      <c r="AG1142" s="2"/>
      <c r="AH1142" s="2"/>
      <c r="AI1142" s="2"/>
      <c r="AJ1142" s="2"/>
      <c r="AK1142" s="2"/>
      <c r="AL1142" s="2"/>
    </row>
    <row r="1143" spans="1:38" ht="12.75" customHeight="1" x14ac:dyDescent="0.25">
      <c r="A1143" s="2"/>
      <c r="B1143" s="178"/>
      <c r="C1143" s="779"/>
      <c r="D1143" s="416" t="s">
        <v>73</v>
      </c>
      <c r="E1143" s="2613" t="str">
        <f>Translations!$B$624</f>
        <v>Särskild emissionsfaktor (förbrukad restgas)</v>
      </c>
      <c r="F1143" s="1997"/>
      <c r="G1143" s="364" t="str">
        <f>EUconst_tCO2pTJ</f>
        <v>t CO2 / TJ</v>
      </c>
      <c r="H1143" s="582"/>
      <c r="I1143" s="1105"/>
      <c r="J1143" s="1115"/>
      <c r="K1143" s="582"/>
      <c r="L1143" s="582"/>
      <c r="M1143" s="582"/>
      <c r="N1143" s="1146"/>
      <c r="O1143" s="15"/>
      <c r="P1143" s="1362"/>
      <c r="Q1143" s="165" t="str">
        <f>EUconst_CNTR_WGConsumedEF &amp; I919</f>
        <v>WasteGasConsEF_</v>
      </c>
      <c r="R1143" s="2"/>
      <c r="S1143" s="343"/>
      <c r="T1143" s="343"/>
      <c r="U1143" s="343"/>
      <c r="V1143" s="343"/>
      <c r="W1143" s="343"/>
      <c r="X1143" s="343"/>
      <c r="Y1143" s="343"/>
      <c r="Z1143" s="343"/>
      <c r="AA1143" s="2"/>
      <c r="AB1143" s="672" t="s">
        <v>782</v>
      </c>
      <c r="AC1143" s="108" t="b">
        <f>AC1141</f>
        <v>0</v>
      </c>
      <c r="AD1143" s="108" t="b">
        <f t="shared" ref="AD1143:AI1143" si="514">AD1141</f>
        <v>0</v>
      </c>
      <c r="AE1143" s="108" t="b">
        <f t="shared" si="514"/>
        <v>0</v>
      </c>
      <c r="AF1143" s="108" t="b">
        <f t="shared" si="514"/>
        <v>0</v>
      </c>
      <c r="AG1143" s="108" t="b">
        <f t="shared" si="514"/>
        <v>0</v>
      </c>
      <c r="AH1143" s="108" t="b">
        <f t="shared" si="514"/>
        <v>0</v>
      </c>
      <c r="AI1143" s="108" t="b">
        <f t="shared" si="514"/>
        <v>0</v>
      </c>
      <c r="AJ1143" s="553" t="s">
        <v>2248</v>
      </c>
      <c r="AK1143" s="663" t="str">
        <f>IF(AND(CNTR_ExistSubInstEntries,MSconst_RequireSubAttrEmissions,COUNTIFS(AC1143:AI1143,FALSE,H1143:N1143,"")&gt;0),EUconst_Error&amp;"BM"&amp;$Q919,"")</f>
        <v/>
      </c>
      <c r="AL1143" s="2"/>
    </row>
    <row r="1144" spans="1:38" ht="12.75" customHeight="1" x14ac:dyDescent="0.25">
      <c r="A1144" s="2"/>
      <c r="B1144" s="178"/>
      <c r="C1144" s="779"/>
      <c r="D1144" s="780"/>
      <c r="E1144" s="780"/>
      <c r="F1144" s="780"/>
      <c r="G1144" s="780"/>
      <c r="H1144" s="1805"/>
      <c r="I1144" s="780"/>
      <c r="J1144" s="780"/>
      <c r="K1144" s="780"/>
      <c r="L1144" s="780"/>
      <c r="M1144" s="623"/>
      <c r="N1144" s="519"/>
      <c r="O1144" s="15"/>
      <c r="P1144" s="15"/>
      <c r="Q1144" s="343"/>
      <c r="R1144" s="2"/>
      <c r="S1144" s="343"/>
      <c r="T1144" s="343"/>
      <c r="U1144" s="343"/>
      <c r="V1144" s="343"/>
      <c r="W1144" s="2"/>
      <c r="X1144" s="2"/>
      <c r="Y1144" s="2"/>
      <c r="Z1144" s="2"/>
      <c r="AA1144" s="2"/>
      <c r="AB1144" s="2"/>
      <c r="AC1144" s="2"/>
      <c r="AD1144" s="2"/>
      <c r="AE1144" s="2"/>
      <c r="AF1144" s="2"/>
      <c r="AG1144" s="2"/>
      <c r="AH1144" s="2"/>
      <c r="AI1144" s="2"/>
      <c r="AJ1144" s="2"/>
      <c r="AK1144" s="2"/>
      <c r="AL1144" s="2"/>
    </row>
    <row r="1145" spans="1:38" ht="12.75" customHeight="1" x14ac:dyDescent="0.25">
      <c r="A1145" s="2"/>
      <c r="B1145" s="178"/>
      <c r="C1145" s="779"/>
      <c r="D1145" s="416" t="s">
        <v>74</v>
      </c>
      <c r="E1145" s="2614" t="str">
        <f>Translations!$B$625</f>
        <v>Facklade restgastyper:</v>
      </c>
      <c r="F1145" s="1960"/>
      <c r="G1145" s="1960"/>
      <c r="H1145" s="2520"/>
      <c r="I1145" s="2621"/>
      <c r="J1145" s="2510"/>
      <c r="K1145" s="2510"/>
      <c r="L1145" s="2510"/>
      <c r="M1145" s="2511"/>
      <c r="N1145" s="1807"/>
      <c r="O1145" s="15"/>
      <c r="P1145" s="1362"/>
      <c r="Q1145" s="343"/>
      <c r="R1145" s="2"/>
      <c r="S1145" s="343"/>
      <c r="T1145" s="2"/>
      <c r="U1145" s="2"/>
      <c r="V1145" s="2"/>
      <c r="W1145" s="2"/>
      <c r="X1145" s="2"/>
      <c r="Y1145" s="2"/>
      <c r="Z1145" s="2"/>
      <c r="AA1145" s="2"/>
      <c r="AB1145" s="2"/>
      <c r="AC1145" s="672" t="s">
        <v>782</v>
      </c>
      <c r="AD1145" s="108" t="b">
        <f>AD1136</f>
        <v>0</v>
      </c>
      <c r="AE1145" s="2"/>
      <c r="AF1145" s="2"/>
      <c r="AG1145" s="2"/>
      <c r="AH1145" s="2"/>
      <c r="AI1145" s="2"/>
      <c r="AJ1145" s="2"/>
      <c r="AK1145" s="2"/>
      <c r="AL1145" s="2"/>
    </row>
    <row r="1146" spans="1:38" ht="12.75" customHeight="1" x14ac:dyDescent="0.25">
      <c r="A1146" s="2"/>
      <c r="B1146" s="178"/>
      <c r="C1146" s="779"/>
      <c r="D1146" s="416"/>
      <c r="E1146" s="2610" t="str">
        <f>Translations!$B$626</f>
        <v>Detta innefattar alla restgastyper som i slutändan blir föremål för annan fackling än säkerhetsfackling, antingen inom eller utanför delanläggningen.</v>
      </c>
      <c r="F1146" s="1960"/>
      <c r="G1146" s="1960"/>
      <c r="H1146" s="1960"/>
      <c r="I1146" s="1960"/>
      <c r="J1146" s="1960"/>
      <c r="K1146" s="1960"/>
      <c r="L1146" s="1960"/>
      <c r="M1146" s="1960"/>
      <c r="N1146" s="2597"/>
      <c r="O1146" s="15"/>
      <c r="P1146" s="15"/>
      <c r="Q1146" s="343"/>
      <c r="R1146" s="2"/>
      <c r="S1146" s="2"/>
      <c r="T1146" s="343"/>
      <c r="U1146" s="343"/>
      <c r="V1146" s="343"/>
      <c r="W1146" s="2"/>
      <c r="X1146" s="2"/>
      <c r="Y1146" s="2"/>
      <c r="Z1146" s="2"/>
      <c r="AA1146" s="2"/>
      <c r="AB1146" s="2"/>
      <c r="AC1146" s="2"/>
      <c r="AD1146" s="2"/>
      <c r="AE1146" s="2"/>
      <c r="AF1146" s="2"/>
      <c r="AG1146" s="2"/>
      <c r="AH1146" s="2"/>
      <c r="AI1146" s="2"/>
      <c r="AJ1146" s="2"/>
      <c r="AK1146" s="2"/>
      <c r="AL1146" s="2"/>
    </row>
    <row r="1147" spans="1:38" ht="12.75" customHeight="1" x14ac:dyDescent="0.25">
      <c r="A1147" s="2"/>
      <c r="B1147" s="178"/>
      <c r="C1147" s="779"/>
      <c r="D1147" s="780"/>
      <c r="E1147" s="2610" t="str">
        <f>Translations!$B$627</f>
        <v>De uppgifter som anges här används bara i konsekvenskontrollsyfte och får ingen direkt påverkan på de utsläpp som kan tillskrivas.</v>
      </c>
      <c r="F1147" s="1960"/>
      <c r="G1147" s="1960"/>
      <c r="H1147" s="1960"/>
      <c r="I1147" s="1960"/>
      <c r="J1147" s="1960"/>
      <c r="K1147" s="1960"/>
      <c r="L1147" s="1960"/>
      <c r="M1147" s="1960"/>
      <c r="N1147" s="2597"/>
      <c r="O1147" s="15"/>
      <c r="P1147" s="15"/>
      <c r="Q1147" s="343"/>
      <c r="R1147" s="2"/>
      <c r="S1147" s="343"/>
      <c r="T1147" s="343"/>
      <c r="U1147" s="343"/>
      <c r="V1147" s="343"/>
      <c r="W1147" s="2"/>
      <c r="X1147" s="2"/>
      <c r="Y1147" s="2"/>
      <c r="Z1147" s="2"/>
      <c r="AA1147" s="2"/>
      <c r="AB1147" s="2"/>
      <c r="AC1147" s="2"/>
      <c r="AD1147" s="2"/>
      <c r="AE1147" s="2"/>
      <c r="AF1147" s="2"/>
      <c r="AG1147" s="2"/>
      <c r="AH1147" s="2"/>
      <c r="AI1147" s="2"/>
      <c r="AJ1147" s="2"/>
      <c r="AK1147" s="2"/>
      <c r="AL1147" s="2"/>
    </row>
    <row r="1148" spans="1:38" ht="12.75" customHeight="1" x14ac:dyDescent="0.25">
      <c r="A1148" s="2"/>
      <c r="B1148" s="178"/>
      <c r="C1148" s="779"/>
      <c r="D1148" s="780"/>
      <c r="E1148" s="2596" t="str">
        <f>Translations!$B$628</f>
        <v>Från och med 2026 kommer dock tilldelningen att minskas med avseende på annan fackling av restgaser än säkerhetsfackling.</v>
      </c>
      <c r="F1148" s="1960"/>
      <c r="G1148" s="1960"/>
      <c r="H1148" s="1960"/>
      <c r="I1148" s="1960"/>
      <c r="J1148" s="1960"/>
      <c r="K1148" s="1960"/>
      <c r="L1148" s="1960"/>
      <c r="M1148" s="1960"/>
      <c r="N1148" s="2597"/>
      <c r="O1148" s="15"/>
      <c r="P1148" s="15"/>
      <c r="Q1148" s="343"/>
      <c r="R1148" s="2"/>
      <c r="S1148" s="343"/>
      <c r="T1148" s="343"/>
      <c r="U1148" s="343"/>
      <c r="V1148" s="343"/>
      <c r="W1148" s="343"/>
      <c r="X1148" s="343"/>
      <c r="Y1148" s="343"/>
      <c r="Z1148" s="343"/>
      <c r="AA1148" s="2"/>
      <c r="AB1148" s="2"/>
      <c r="AC1148" s="2"/>
      <c r="AD1148" s="2"/>
      <c r="AE1148" s="2"/>
      <c r="AF1148" s="2"/>
      <c r="AG1148" s="2"/>
      <c r="AH1148" s="2"/>
      <c r="AI1148" s="2"/>
      <c r="AJ1148" s="2"/>
      <c r="AK1148" s="2"/>
      <c r="AL1148" s="2"/>
    </row>
    <row r="1149" spans="1:38" ht="12.75" customHeight="1" thickBot="1" x14ac:dyDescent="0.3">
      <c r="A1149" s="2"/>
      <c r="B1149" s="178"/>
      <c r="C1149" s="779"/>
      <c r="D1149" s="780"/>
      <c r="E1149" s="1716"/>
      <c r="F1149" s="1717"/>
      <c r="G1149" s="361" t="str">
        <f>EUconst_Unit</f>
        <v>Enhet</v>
      </c>
      <c r="H1149" s="362">
        <f t="shared" ref="H1149:N1149" si="515">H$3042</f>
        <v>2019</v>
      </c>
      <c r="I1149" s="1103">
        <f t="shared" si="515"/>
        <v>2020</v>
      </c>
      <c r="J1149" s="1104">
        <f t="shared" si="515"/>
        <v>2021</v>
      </c>
      <c r="K1149" s="362">
        <f t="shared" si="515"/>
        <v>2022</v>
      </c>
      <c r="L1149" s="362">
        <f t="shared" si="515"/>
        <v>2023</v>
      </c>
      <c r="M1149" s="362">
        <f t="shared" si="515"/>
        <v>2024</v>
      </c>
      <c r="N1149" s="1141">
        <f t="shared" si="515"/>
        <v>2025</v>
      </c>
      <c r="O1149" s="15"/>
      <c r="P1149" s="15"/>
      <c r="Q1149" s="343"/>
      <c r="R1149" s="2"/>
      <c r="S1149" s="343"/>
      <c r="T1149" s="343"/>
      <c r="U1149" s="343"/>
      <c r="V1149" s="343"/>
      <c r="W1149" s="343"/>
      <c r="X1149" s="343"/>
      <c r="Y1149" s="343"/>
      <c r="Z1149" s="343"/>
      <c r="AA1149" s="2"/>
      <c r="AB1149" s="2"/>
      <c r="AC1149" s="1044">
        <f t="shared" ref="AC1149:AI1149" si="516">H$20</f>
        <v>2019</v>
      </c>
      <c r="AD1149" s="1044">
        <f t="shared" si="516"/>
        <v>2020</v>
      </c>
      <c r="AE1149" s="1044">
        <f t="shared" si="516"/>
        <v>2021</v>
      </c>
      <c r="AF1149" s="1044">
        <f t="shared" si="516"/>
        <v>2022</v>
      </c>
      <c r="AG1149" s="1044">
        <f t="shared" si="516"/>
        <v>2023</v>
      </c>
      <c r="AH1149" s="1044">
        <f t="shared" si="516"/>
        <v>2024</v>
      </c>
      <c r="AI1149" s="1044">
        <f t="shared" si="516"/>
        <v>2025</v>
      </c>
      <c r="AJ1149" s="2"/>
      <c r="AK1149" s="2"/>
      <c r="AL1149" s="2"/>
    </row>
    <row r="1150" spans="1:38" ht="12.75" customHeight="1" x14ac:dyDescent="0.25">
      <c r="A1150" s="2"/>
      <c r="B1150" s="178"/>
      <c r="C1150" s="779"/>
      <c r="D1150" s="416" t="s">
        <v>1201</v>
      </c>
      <c r="E1150" s="2611" t="str">
        <f>Translations!$B$629</f>
        <v>Facklade mängder</v>
      </c>
      <c r="F1150" s="2484"/>
      <c r="G1150" s="1314" t="s">
        <v>2202</v>
      </c>
      <c r="H1150" s="1298"/>
      <c r="I1150" s="1299"/>
      <c r="J1150" s="1300"/>
      <c r="K1150" s="1298"/>
      <c r="L1150" s="1298"/>
      <c r="M1150" s="1298"/>
      <c r="N1150" s="1301"/>
      <c r="O1150" s="15"/>
      <c r="P1150" s="1362"/>
      <c r="Q1150" s="343"/>
      <c r="R1150" s="2"/>
      <c r="S1150" s="343"/>
      <c r="T1150" s="343"/>
      <c r="U1150" s="343"/>
      <c r="V1150" s="343"/>
      <c r="W1150" s="343"/>
      <c r="X1150" s="343"/>
      <c r="Y1150" s="343"/>
      <c r="Z1150" s="343"/>
      <c r="AA1150" s="2"/>
      <c r="AB1150" s="672" t="s">
        <v>782</v>
      </c>
      <c r="AC1150" s="108" t="b">
        <f>AC1140</f>
        <v>0</v>
      </c>
      <c r="AD1150" s="108" t="b">
        <f t="shared" ref="AD1150:AI1150" si="517">AD1140</f>
        <v>0</v>
      </c>
      <c r="AE1150" s="108" t="b">
        <f t="shared" si="517"/>
        <v>0</v>
      </c>
      <c r="AF1150" s="108" t="b">
        <f t="shared" si="517"/>
        <v>0</v>
      </c>
      <c r="AG1150" s="108" t="b">
        <f t="shared" si="517"/>
        <v>0</v>
      </c>
      <c r="AH1150" s="108" t="b">
        <f t="shared" si="517"/>
        <v>0</v>
      </c>
      <c r="AI1150" s="108" t="b">
        <f t="shared" si="517"/>
        <v>0</v>
      </c>
      <c r="AJ1150" s="553" t="s">
        <v>2248</v>
      </c>
      <c r="AK1150" s="663" t="str">
        <f>IF(AND(CNTR_ExistSubInstEntries,MSconst_RequireSubAttrEmissions,COUNTIFS(AC1150:AI1150,FALSE,H1150:N1150,"")&gt;0),EUconst_Error&amp;"BM"&amp;$Q919,"")</f>
        <v/>
      </c>
      <c r="AL1150" s="2"/>
    </row>
    <row r="1151" spans="1:38" ht="12.75" customHeight="1" x14ac:dyDescent="0.25">
      <c r="A1151" s="2"/>
      <c r="B1151" s="178"/>
      <c r="C1151" s="779"/>
      <c r="D1151" s="416" t="s">
        <v>1202</v>
      </c>
      <c r="E1151" s="2612" t="str">
        <f>Translations!$B$318</f>
        <v>Effektivt värmevärde</v>
      </c>
      <c r="F1151" s="2487"/>
      <c r="G1151" s="51" t="e">
        <f>IF(ISBLANK(G1150),EUconst_GJperUnit,INDEX(EUconst_GJperTorKNm3,MATCH(G1150,EUconst_TonnesOrkNm3pa,0)))</f>
        <v>#N/A</v>
      </c>
      <c r="H1151" s="1306"/>
      <c r="I1151" s="1307"/>
      <c r="J1151" s="1308"/>
      <c r="K1151" s="1306"/>
      <c r="L1151" s="1306"/>
      <c r="M1151" s="1306"/>
      <c r="N1151" s="1309"/>
      <c r="O1151" s="15"/>
      <c r="P1151" s="1362"/>
      <c r="Q1151" s="2"/>
      <c r="R1151" s="2"/>
      <c r="S1151" s="343"/>
      <c r="T1151" s="343"/>
      <c r="U1151" s="343"/>
      <c r="V1151" s="343"/>
      <c r="W1151" s="343"/>
      <c r="X1151" s="343"/>
      <c r="Y1151" s="343"/>
      <c r="Z1151" s="343"/>
      <c r="AA1151" s="2"/>
      <c r="AB1151" s="2"/>
      <c r="AC1151" s="108" t="b">
        <f>AC1150</f>
        <v>0</v>
      </c>
      <c r="AD1151" s="108" t="b">
        <f t="shared" ref="AD1151:AI1151" si="518">AD1150</f>
        <v>0</v>
      </c>
      <c r="AE1151" s="108" t="b">
        <f t="shared" si="518"/>
        <v>0</v>
      </c>
      <c r="AF1151" s="108" t="b">
        <f t="shared" si="518"/>
        <v>0</v>
      </c>
      <c r="AG1151" s="108" t="b">
        <f t="shared" si="518"/>
        <v>0</v>
      </c>
      <c r="AH1151" s="108" t="b">
        <f t="shared" si="518"/>
        <v>0</v>
      </c>
      <c r="AI1151" s="108" t="b">
        <f t="shared" si="518"/>
        <v>0</v>
      </c>
      <c r="AJ1151" s="553" t="s">
        <v>2248</v>
      </c>
      <c r="AK1151" s="663" t="str">
        <f>IF(AND(CNTR_ExistSubInstEntries,MSconst_RequireSubAttrEmissions,COUNTIFS(AC1151:AI1151,FALSE,H1151:N1151,"")&gt;0),EUconst_Error&amp;"BM"&amp;$Q919,"")</f>
        <v/>
      </c>
      <c r="AL1151" s="2"/>
    </row>
    <row r="1152" spans="1:38" ht="12.75" customHeight="1" x14ac:dyDescent="0.25">
      <c r="A1152" s="2"/>
      <c r="B1152" s="178"/>
      <c r="C1152" s="779"/>
      <c r="D1152" s="416" t="s">
        <v>1203</v>
      </c>
      <c r="E1152" s="2613" t="str">
        <f>Translations!$B$630</f>
        <v>Facklad restgas</v>
      </c>
      <c r="F1152" s="1997"/>
      <c r="G1152" s="364" t="str">
        <f>EUconst_TJpa</f>
        <v>TJ / år</v>
      </c>
      <c r="H1152" s="414" t="str">
        <f t="shared" ref="H1152:N1152" si="519">IF(COUNT(H1150:H1151)=2,H1150*H1151/1000,"")</f>
        <v/>
      </c>
      <c r="I1152" s="1108" t="str">
        <f t="shared" si="519"/>
        <v/>
      </c>
      <c r="J1152" s="1114" t="str">
        <f t="shared" si="519"/>
        <v/>
      </c>
      <c r="K1152" s="414" t="str">
        <f t="shared" si="519"/>
        <v/>
      </c>
      <c r="L1152" s="414" t="str">
        <f t="shared" si="519"/>
        <v/>
      </c>
      <c r="M1152" s="414" t="str">
        <f t="shared" si="519"/>
        <v/>
      </c>
      <c r="N1152" s="1147" t="str">
        <f t="shared" si="519"/>
        <v/>
      </c>
      <c r="O1152" s="15"/>
      <c r="P1152" s="15"/>
      <c r="Q1152" s="165" t="str">
        <f>EUconst_CNTR_WGFlared &amp; I919</f>
        <v>WasteGasFlare_</v>
      </c>
      <c r="R1152" s="2"/>
      <c r="S1152" s="343"/>
      <c r="T1152" s="343"/>
      <c r="U1152" s="343"/>
      <c r="V1152" s="343"/>
      <c r="W1152" s="343"/>
      <c r="X1152" s="343"/>
      <c r="Y1152" s="343"/>
      <c r="Z1152" s="343"/>
      <c r="AA1152" s="2"/>
      <c r="AB1152" s="2"/>
      <c r="AC1152" s="2"/>
      <c r="AD1152" s="2"/>
      <c r="AE1152" s="2"/>
      <c r="AF1152" s="2"/>
      <c r="AG1152" s="2"/>
      <c r="AH1152" s="2"/>
      <c r="AI1152" s="2"/>
      <c r="AJ1152" s="2"/>
      <c r="AK1152" s="2"/>
      <c r="AL1152" s="2"/>
    </row>
    <row r="1153" spans="1:38" ht="12.75" customHeight="1" x14ac:dyDescent="0.25">
      <c r="A1153" s="2"/>
      <c r="B1153" s="178"/>
      <c r="C1153" s="779"/>
      <c r="D1153" s="416" t="s">
        <v>1204</v>
      </c>
      <c r="E1153" s="2613" t="str">
        <f>Translations!$B$631</f>
        <v>Särskild emissionsfaktor (facklad restgas)</v>
      </c>
      <c r="F1153" s="1997"/>
      <c r="G1153" s="364" t="str">
        <f>EUconst_tCO2pTJ</f>
        <v>t CO2 / TJ</v>
      </c>
      <c r="H1153" s="582"/>
      <c r="I1153" s="1105"/>
      <c r="J1153" s="1115"/>
      <c r="K1153" s="582"/>
      <c r="L1153" s="582"/>
      <c r="M1153" s="582"/>
      <c r="N1153" s="1146"/>
      <c r="O1153" s="15"/>
      <c r="P1153" s="1362"/>
      <c r="Q1153" s="165" t="str">
        <f>EUconst_CNTR_WGFlaredEF &amp; I919</f>
        <v>WasteGasFlareEF_</v>
      </c>
      <c r="R1153" s="2"/>
      <c r="S1153" s="343"/>
      <c r="T1153" s="343"/>
      <c r="U1153" s="343"/>
      <c r="V1153" s="343"/>
      <c r="W1153" s="343"/>
      <c r="X1153" s="343"/>
      <c r="Y1153" s="343"/>
      <c r="Z1153" s="343"/>
      <c r="AA1153" s="2"/>
      <c r="AB1153" s="672" t="s">
        <v>782</v>
      </c>
      <c r="AC1153" s="108" t="b">
        <f>AC1151</f>
        <v>0</v>
      </c>
      <c r="AD1153" s="108" t="b">
        <f t="shared" ref="AD1153:AI1153" si="520">AD1151</f>
        <v>0</v>
      </c>
      <c r="AE1153" s="108" t="b">
        <f t="shared" si="520"/>
        <v>0</v>
      </c>
      <c r="AF1153" s="108" t="b">
        <f t="shared" si="520"/>
        <v>0</v>
      </c>
      <c r="AG1153" s="108" t="b">
        <f t="shared" si="520"/>
        <v>0</v>
      </c>
      <c r="AH1153" s="108" t="b">
        <f t="shared" si="520"/>
        <v>0</v>
      </c>
      <c r="AI1153" s="108" t="b">
        <f t="shared" si="520"/>
        <v>0</v>
      </c>
      <c r="AJ1153" s="553" t="s">
        <v>2248</v>
      </c>
      <c r="AK1153" s="663" t="str">
        <f>IF(AND(CNTR_ExistSubInstEntries,MSconst_RequireSubAttrEmissions,COUNTIFS(AC1153:AI1153,FALSE,H1153:N1153,"")&gt;0),EUconst_Error&amp;"BM"&amp;$Q919,"")</f>
        <v/>
      </c>
      <c r="AL1153" s="2"/>
    </row>
    <row r="1154" spans="1:38" ht="5.15" customHeight="1" thickBot="1" x14ac:dyDescent="0.3">
      <c r="A1154" s="2"/>
      <c r="B1154" s="178"/>
      <c r="C1154" s="779"/>
      <c r="D1154" s="780"/>
      <c r="E1154" s="780"/>
      <c r="F1154" s="780"/>
      <c r="G1154" s="780"/>
      <c r="H1154" s="1805"/>
      <c r="I1154" s="780"/>
      <c r="J1154" s="780"/>
      <c r="K1154" s="780"/>
      <c r="L1154" s="780"/>
      <c r="M1154" s="623"/>
      <c r="N1154" s="519"/>
      <c r="O1154" s="15"/>
      <c r="P1154" s="15"/>
      <c r="Q1154" s="343"/>
      <c r="R1154" s="2"/>
      <c r="S1154" s="343"/>
      <c r="T1154" s="343"/>
      <c r="U1154" s="343"/>
      <c r="V1154" s="343"/>
      <c r="W1154" s="2"/>
      <c r="X1154" s="2"/>
      <c r="Y1154" s="2"/>
      <c r="Z1154" s="2"/>
      <c r="AA1154" s="2"/>
      <c r="AB1154" s="2"/>
      <c r="AC1154" s="2"/>
      <c r="AD1154" s="2"/>
      <c r="AE1154" s="2"/>
      <c r="AF1154" s="2"/>
      <c r="AG1154" s="2"/>
      <c r="AH1154" s="2"/>
      <c r="AI1154" s="2"/>
      <c r="AJ1154" s="2"/>
      <c r="AK1154" s="2"/>
      <c r="AL1154" s="2"/>
    </row>
    <row r="1155" spans="1:38" ht="12.75" customHeight="1" thickBot="1" x14ac:dyDescent="0.3">
      <c r="A1155" s="2"/>
      <c r="B1155" s="178"/>
      <c r="C1155" s="779"/>
      <c r="D1155" s="780"/>
      <c r="E1155" s="2613" t="str">
        <f>Translations!$B$1484</f>
        <v>Mängd facklad restgas</v>
      </c>
      <c r="F1155" s="2613"/>
      <c r="G1155" s="1206" t="str">
        <f>EUconst_tCO2</f>
        <v>t CO2</v>
      </c>
      <c r="H1155" s="626" t="str">
        <f t="shared" ref="H1155:N1155" si="521">IF(T927,SUM(H1152)*SUM(H1153),"")</f>
        <v/>
      </c>
      <c r="I1155" s="1364" t="str">
        <f t="shared" si="521"/>
        <v/>
      </c>
      <c r="J1155" s="1365" t="str">
        <f t="shared" si="521"/>
        <v/>
      </c>
      <c r="K1155" s="626" t="str">
        <f t="shared" si="521"/>
        <v/>
      </c>
      <c r="L1155" s="626" t="str">
        <f t="shared" si="521"/>
        <v/>
      </c>
      <c r="M1155" s="626" t="str">
        <f t="shared" si="521"/>
        <v/>
      </c>
      <c r="N1155" s="626" t="str">
        <f t="shared" si="521"/>
        <v/>
      </c>
      <c r="O1155" s="15"/>
      <c r="P1155" s="15"/>
      <c r="Q1155" s="165" t="str">
        <f>EUconst_CNTR_HAL &amp; EUconst_CNTR_WGFlared &amp; I919</f>
        <v>HAL_WasteGasFlare_</v>
      </c>
      <c r="R1155" s="2"/>
      <c r="S1155" s="553" t="s">
        <v>1962</v>
      </c>
      <c r="T1155" s="445" t="b">
        <f>CNTR_SubPeriod=2</f>
        <v>1</v>
      </c>
      <c r="U1155" s="343"/>
      <c r="V1155" s="343"/>
      <c r="W1155" s="2"/>
      <c r="X1155" s="2"/>
      <c r="Y1155" s="2"/>
      <c r="Z1155" s="2"/>
      <c r="AA1155" s="2"/>
      <c r="AB1155" s="2"/>
      <c r="AC1155" s="2"/>
      <c r="AD1155" s="2"/>
      <c r="AE1155" s="2"/>
      <c r="AF1155" s="2"/>
      <c r="AG1155" s="2"/>
      <c r="AH1155" s="2"/>
      <c r="AI1155" s="2"/>
      <c r="AJ1155" s="2"/>
      <c r="AK1155" s="2"/>
      <c r="AL1155" s="2"/>
    </row>
    <row r="1156" spans="1:38" ht="5.15" customHeight="1" thickBot="1" x14ac:dyDescent="0.3">
      <c r="A1156" s="2"/>
      <c r="B1156" s="178"/>
      <c r="C1156" s="779"/>
      <c r="D1156" s="780"/>
      <c r="E1156" s="780"/>
      <c r="F1156" s="780"/>
      <c r="G1156" s="780"/>
      <c r="H1156" s="1805"/>
      <c r="I1156" s="780"/>
      <c r="J1156" s="780"/>
      <c r="K1156" s="780"/>
      <c r="L1156" s="780"/>
      <c r="M1156" s="623"/>
      <c r="N1156" s="519"/>
      <c r="O1156" s="15"/>
      <c r="P1156" s="15"/>
      <c r="Q1156" s="343"/>
      <c r="R1156" s="2"/>
      <c r="S1156" s="343"/>
      <c r="T1156" s="343"/>
      <c r="U1156" s="343"/>
      <c r="V1156" s="343"/>
      <c r="W1156" s="2"/>
      <c r="X1156" s="2"/>
      <c r="Y1156" s="2"/>
      <c r="Z1156" s="2"/>
      <c r="AA1156" s="2"/>
      <c r="AB1156" s="2"/>
      <c r="AC1156" s="2"/>
      <c r="AD1156" s="2"/>
      <c r="AE1156" s="2"/>
      <c r="AF1156" s="2"/>
      <c r="AG1156" s="2"/>
      <c r="AH1156" s="2"/>
      <c r="AI1156" s="2"/>
      <c r="AJ1156" s="2"/>
      <c r="AK1156" s="2"/>
      <c r="AL1156" s="2"/>
    </row>
    <row r="1157" spans="1:38" ht="5.15" customHeight="1" thickBot="1" x14ac:dyDescent="0.3">
      <c r="A1157" s="2"/>
      <c r="B1157" s="178"/>
      <c r="C1157" s="779"/>
      <c r="D1157" s="1263"/>
      <c r="E1157" s="1264"/>
      <c r="F1157" s="1264"/>
      <c r="G1157" s="1264"/>
      <c r="H1157" s="1265"/>
      <c r="I1157" s="1264"/>
      <c r="J1157" s="1264"/>
      <c r="K1157" s="1264"/>
      <c r="L1157" s="1264"/>
      <c r="M1157" s="1266"/>
      <c r="N1157" s="1267"/>
      <c r="O1157" s="15"/>
      <c r="P1157" s="15"/>
      <c r="Q1157" s="343"/>
      <c r="R1157" s="2"/>
      <c r="S1157" s="343"/>
      <c r="T1157" s="343"/>
      <c r="U1157" s="343"/>
      <c r="V1157" s="343"/>
      <c r="W1157" s="2"/>
      <c r="X1157" s="2"/>
      <c r="Y1157" s="2"/>
      <c r="Z1157" s="2"/>
      <c r="AA1157" s="2"/>
      <c r="AB1157" s="2"/>
      <c r="AC1157" s="2"/>
      <c r="AD1157" s="2"/>
      <c r="AE1157" s="2"/>
      <c r="AF1157" s="2"/>
      <c r="AG1157" s="2"/>
      <c r="AH1157" s="2"/>
      <c r="AI1157" s="2"/>
      <c r="AJ1157" s="2"/>
      <c r="AK1157" s="2"/>
      <c r="AL1157" s="2"/>
    </row>
    <row r="1158" spans="1:38" ht="12.75" customHeight="1" x14ac:dyDescent="0.25">
      <c r="A1158" s="2"/>
      <c r="B1158" s="178"/>
      <c r="C1158" s="779"/>
      <c r="D1158" s="1290" t="s">
        <v>2193</v>
      </c>
      <c r="E1158" s="2619" t="str">
        <f>Translations!$B$1485</f>
        <v>Justeringar: facklad restgas</v>
      </c>
      <c r="F1158" s="2497"/>
      <c r="G1158" s="2497"/>
      <c r="H1158" s="1228" t="str">
        <f>EUconst_Unit</f>
        <v>Enhet</v>
      </c>
      <c r="I1158" s="1229" t="str">
        <f>Translations!$B$1481</f>
        <v>Värde (NIMs)</v>
      </c>
      <c r="J1158" s="1268">
        <f>J$3042</f>
        <v>2021</v>
      </c>
      <c r="K1158" s="1230">
        <f>K$3042</f>
        <v>2022</v>
      </c>
      <c r="L1158" s="1230">
        <f>L$3042</f>
        <v>2023</v>
      </c>
      <c r="M1158" s="1230">
        <f>M$3042</f>
        <v>2024</v>
      </c>
      <c r="N1158" s="1258">
        <f>N$3042</f>
        <v>2025</v>
      </c>
      <c r="O1158" s="15"/>
      <c r="P1158" s="15"/>
      <c r="Q1158" s="343"/>
      <c r="R1158" s="2"/>
      <c r="S1158" s="2"/>
      <c r="T1158" s="2"/>
      <c r="U1158" s="772"/>
      <c r="V1158" s="1077">
        <f>J1158</f>
        <v>2021</v>
      </c>
      <c r="W1158" s="1077">
        <f>K1158</f>
        <v>2022</v>
      </c>
      <c r="X1158" s="1077">
        <f>L1158</f>
        <v>2023</v>
      </c>
      <c r="Y1158" s="1077">
        <f>M1158</f>
        <v>2024</v>
      </c>
      <c r="Z1158" s="1078">
        <f>N1158</f>
        <v>2025</v>
      </c>
      <c r="AA1158" s="2"/>
      <c r="AB1158" s="2"/>
      <c r="AC1158" s="2"/>
      <c r="AD1158" s="2"/>
      <c r="AE1158" s="2"/>
      <c r="AF1158" s="2"/>
      <c r="AG1158" s="2"/>
      <c r="AH1158" s="2"/>
      <c r="AI1158" s="2"/>
      <c r="AJ1158" s="2"/>
      <c r="AK1158" s="2"/>
      <c r="AL1158" s="2"/>
    </row>
    <row r="1159" spans="1:38" ht="12.75" customHeight="1" x14ac:dyDescent="0.25">
      <c r="A1159" s="2"/>
      <c r="B1159" s="178"/>
      <c r="C1159" s="779"/>
      <c r="D1159" s="1246" t="s">
        <v>8</v>
      </c>
      <c r="E1159" s="2618" t="str">
        <f>Translations!$B$1482</f>
        <v>Genomsnittligt årligt värde</v>
      </c>
      <c r="F1159" s="1997"/>
      <c r="G1159" s="1997"/>
      <c r="H1159" s="1232" t="str">
        <f>G1155</f>
        <v>t CO2</v>
      </c>
      <c r="I1159" s="990" t="str">
        <f>INDEX('B+C_SubInstallations'!$K:$K,MATCH(Q1159,'B+C_SubInstallations'!$V:$V,0))</f>
        <v/>
      </c>
      <c r="J1159" s="1215" t="str">
        <f>IF($T1155&lt;&gt;TRUE,"",IF(AND(V1159&gt;=3,CNTR_ReportingYear&gt;J1158-1),AVERAGE(SUM(H1155),SUM(I1155)),""))</f>
        <v/>
      </c>
      <c r="K1159" s="1216" t="str">
        <f>IF($T1155&lt;&gt;TRUE,"",IF(AND(W1159&gt;=3,CNTR_ReportingYear&gt;K1158-1),AVERAGE(SUM(I1155),SUM(J1155)),""))</f>
        <v/>
      </c>
      <c r="L1159" s="1216" t="str">
        <f>IF($T1155&lt;&gt;TRUE,"",IF(AND(X1159&gt;=3,CNTR_ReportingYear&gt;L1158-1),AVERAGE(SUM(J1155),SUM(K1155)),""))</f>
        <v/>
      </c>
      <c r="M1159" s="1216" t="str">
        <f>IF($T1155&lt;&gt;TRUE,"",IF(AND(Y1159&gt;=3,CNTR_ReportingYear&gt;M1158-1),AVERAGE(SUM(K1155),SUM(L1155)),""))</f>
        <v/>
      </c>
      <c r="N1159" s="1227" t="str">
        <f>IF($T1155&lt;&gt;TRUE,"",IF(AND(Z1159&gt;=3,CNTR_ReportingYear&gt;N1158-1),AVERAGE(SUM(L1155),SUM(M1155)),""))</f>
        <v/>
      </c>
      <c r="O1159" s="15"/>
      <c r="P1159" s="15"/>
      <c r="Q1159" s="165" t="str">
        <f>EUconst_CNTR_HALinitial &amp; EUconst_CNTR_WGFlared &amp; I919</f>
        <v>HALini_WasteGasFlare_</v>
      </c>
      <c r="R1159" s="2"/>
      <c r="S1159" s="2"/>
      <c r="T1159" s="2"/>
      <c r="U1159" s="1079" t="s">
        <v>1850</v>
      </c>
      <c r="V1159" s="663">
        <f>V941</f>
        <v>0</v>
      </c>
      <c r="W1159" s="663">
        <f>W941</f>
        <v>0</v>
      </c>
      <c r="X1159" s="663">
        <f>X941</f>
        <v>0</v>
      </c>
      <c r="Y1159" s="663">
        <f>Y941</f>
        <v>0</v>
      </c>
      <c r="Z1159" s="1080">
        <f>Z941</f>
        <v>0</v>
      </c>
      <c r="AA1159" s="2"/>
      <c r="AB1159" s="2"/>
      <c r="AC1159" s="2"/>
      <c r="AD1159" s="2"/>
      <c r="AE1159" s="2"/>
      <c r="AF1159" s="2"/>
      <c r="AG1159" s="2"/>
      <c r="AH1159" s="2"/>
      <c r="AI1159" s="2"/>
      <c r="AJ1159" s="2"/>
      <c r="AK1159" s="2"/>
      <c r="AL1159" s="2"/>
    </row>
    <row r="1160" spans="1:38" ht="12.75" hidden="1" customHeight="1" x14ac:dyDescent="0.25">
      <c r="A1160" s="343" t="s">
        <v>346</v>
      </c>
      <c r="B1160" s="178"/>
      <c r="C1160" s="779"/>
      <c r="D1160" s="1246"/>
      <c r="E1160" s="2618" t="s">
        <v>1980</v>
      </c>
      <c r="F1160" s="1997"/>
      <c r="G1160" s="1997"/>
      <c r="H1160" s="1233"/>
      <c r="I1160" s="1235"/>
      <c r="J1160" s="1013" t="str">
        <f>IF(J1159="","",IF($I1162=0,IF(J1159=0,0%,100%),J1159/$I1162-1))</f>
        <v/>
      </c>
      <c r="K1160" s="938" t="str">
        <f>IF(K1159="","",IF($I1162=0,IF(K1159=0,0%,100%),K1159/$I1162-1))</f>
        <v/>
      </c>
      <c r="L1160" s="938" t="str">
        <f>IF(L1159="","",IF($I1162=0,IF(L1159=0,0%,100%),L1159/$I1162-1))</f>
        <v/>
      </c>
      <c r="M1160" s="938" t="str">
        <f>IF(M1159="","",IF($I1162=0,IF(M1159=0,0%,100%),M1159/$I1162-1))</f>
        <v/>
      </c>
      <c r="N1160" s="1223" t="str">
        <f>IF(N1159="","",IF($I1162=0,IF(N1159=0,0%,100%),N1159/$I1162-1))</f>
        <v/>
      </c>
      <c r="O1160" s="15"/>
      <c r="P1160" s="15"/>
      <c r="Q1160" s="165" t="str">
        <f>EUconst_CNTR_RelThreshold &amp; Q1162</f>
        <v>RelThresh_HALprelim_WasteGasFlare_</v>
      </c>
      <c r="R1160" s="2"/>
      <c r="S1160" s="2"/>
      <c r="T1160" s="2"/>
      <c r="U1160" s="1079" t="s">
        <v>1855</v>
      </c>
      <c r="V1160" s="603" t="str">
        <f>IF(J1159="","",ABS(J1160)&gt;15%)</f>
        <v/>
      </c>
      <c r="W1160" s="603" t="str">
        <f>IF(K1159="","",ABS(K1160)&gt;15%)</f>
        <v/>
      </c>
      <c r="X1160" s="603" t="str">
        <f>IF(L1159="","",ABS(L1160)&gt;15%)</f>
        <v/>
      </c>
      <c r="Y1160" s="603" t="str">
        <f>IF(M1159="","",ABS(M1160)&gt;15%)</f>
        <v/>
      </c>
      <c r="Z1160" s="1756" t="str">
        <f>IF(N1159="","",ABS(N1160)&gt;15%)</f>
        <v/>
      </c>
      <c r="AA1160" s="2"/>
      <c r="AB1160" s="2"/>
      <c r="AC1160" s="2"/>
      <c r="AD1160" s="2"/>
      <c r="AE1160" s="2"/>
      <c r="AF1160" s="2"/>
      <c r="AG1160" s="2"/>
      <c r="AH1160" s="2"/>
      <c r="AI1160" s="2"/>
      <c r="AJ1160" s="2"/>
      <c r="AK1160" s="2"/>
      <c r="AL1160" s="2"/>
    </row>
    <row r="1161" spans="1:38" ht="12.75" customHeight="1" x14ac:dyDescent="0.25">
      <c r="A1161" s="343"/>
      <c r="B1161" s="178"/>
      <c r="C1161" s="779"/>
      <c r="D1161" s="1246" t="s">
        <v>9</v>
      </c>
      <c r="E1161" s="2618" t="str">
        <f>Translations!$B$1474</f>
        <v>Preliminär justering (om relativa tröskelvärden överskrids)</v>
      </c>
      <c r="F1161" s="1997"/>
      <c r="G1161" s="1997"/>
      <c r="H1161" s="1233"/>
      <c r="I1161" s="1235"/>
      <c r="J1161" s="992" t="str">
        <f>IF(J1159="","",IF(V1160=FALSE,0%,J1160))</f>
        <v/>
      </c>
      <c r="K1161" s="937" t="str">
        <f>IF(K1159="","",IF(W1160=FALSE,0%,K1160))</f>
        <v/>
      </c>
      <c r="L1161" s="937" t="str">
        <f>IF(L1159="","",IF(X1160=FALSE,0%,L1160))</f>
        <v/>
      </c>
      <c r="M1161" s="937" t="str">
        <f>IF(M1159="","",IF(Y1160=FALSE,0%,M1160))</f>
        <v/>
      </c>
      <c r="N1161" s="1220" t="str">
        <f>IF(N1159="","",IF(Z1160=FALSE,0%,N1160))</f>
        <v/>
      </c>
      <c r="O1161" s="15"/>
      <c r="P1161" s="15"/>
      <c r="Q1161" s="343"/>
      <c r="R1161" s="2"/>
      <c r="S1161" s="2"/>
      <c r="T1161" s="2"/>
      <c r="U1161" s="1081"/>
      <c r="V1161" s="2"/>
      <c r="W1161" s="2"/>
      <c r="X1161" s="2"/>
      <c r="Y1161" s="2"/>
      <c r="Z1161" s="228"/>
      <c r="AA1161" s="2"/>
      <c r="AB1161" s="2"/>
      <c r="AC1161" s="2"/>
      <c r="AD1161" s="2"/>
      <c r="AE1161" s="2"/>
      <c r="AF1161" s="2"/>
      <c r="AG1161" s="2"/>
      <c r="AH1161" s="2"/>
      <c r="AI1161" s="2"/>
      <c r="AJ1161" s="2"/>
      <c r="AK1161" s="2"/>
      <c r="AL1161" s="2"/>
    </row>
    <row r="1162" spans="1:38" ht="12.75" hidden="1" customHeight="1" x14ac:dyDescent="0.25">
      <c r="A1162" s="343" t="s">
        <v>346</v>
      </c>
      <c r="B1162" s="178"/>
      <c r="C1162" s="779"/>
      <c r="D1162" s="1246"/>
      <c r="E1162" s="2618" t="s">
        <v>1889</v>
      </c>
      <c r="F1162" s="1997"/>
      <c r="G1162" s="1997"/>
      <c r="H1162" s="1232" t="str">
        <f>H1159</f>
        <v>t CO2</v>
      </c>
      <c r="I1162" s="990" t="str">
        <f>IF($I919="","",IF(AB919=FALSE,EUconst_NA,IF(V919&gt;($J$3042-3),INDEX(H1155:N1155,MATCH(V919,H1149:N1149,0)),SUM(I1159))))</f>
        <v/>
      </c>
      <c r="J1162" s="993" t="str">
        <f>IF($I919="","",IF(V1159&lt;2,SUM(J1155),IF(V1159&lt;3,SUM(I1155),IF(V1162="",I1162,V1162))))</f>
        <v/>
      </c>
      <c r="K1162" s="920" t="str">
        <f>IF($I919="","",IF(W1159&lt;2,SUM(K1155),IF(W1159&lt;3,SUM(J1155),IF(W1162="",J1162,W1162))))</f>
        <v/>
      </c>
      <c r="L1162" s="920" t="str">
        <f>IF($I919="","",IF(X1159&lt;2,SUM(L1155),IF(X1159&lt;3,SUM(K1155),IF(X1162="",K1162,X1162))))</f>
        <v/>
      </c>
      <c r="M1162" s="920" t="str">
        <f>IF($I919="","",IF(Y1159&lt;2,SUM(M1155),IF(Y1159&lt;3,SUM(L1155),IF(Y1162="",L1162,Y1162))))</f>
        <v/>
      </c>
      <c r="N1162" s="1218" t="str">
        <f>IF($I919="","",IF(Z1159&lt;2,SUM(N1155),IF(Z1159&lt;3,SUM(M1155),IF(Z1162="",M1162,Z1162))))</f>
        <v/>
      </c>
      <c r="O1162" s="15"/>
      <c r="P1162" s="15"/>
      <c r="Q1162" s="165" t="str">
        <f>EUconst_CNTR_HALprelim&amp;EUconst_CNTR_WGFlared &amp; I919</f>
        <v>HALprelim_WasteGasFlare_</v>
      </c>
      <c r="R1162" s="2"/>
      <c r="S1162" s="2"/>
      <c r="T1162" s="2"/>
      <c r="U1162" s="1079" t="s">
        <v>1898</v>
      </c>
      <c r="V1162" s="1752" t="str">
        <f>IF(J1159="","",IF(CNTR_ReportingYear&lt;J1158,I1161,IF($I1162=0,J1159,$I1162*(1+J1161))))</f>
        <v/>
      </c>
      <c r="W1162" s="1752" t="str">
        <f>IF(K1159="","",IF(CNTR_ReportingYear&lt;K1158,J1161,IF($I1162=0,K1159,$I1162*(1+K1161))))</f>
        <v/>
      </c>
      <c r="X1162" s="1752" t="str">
        <f>IF(L1159="","",IF(CNTR_ReportingYear&lt;L1158,K1161,IF($I1162=0,L1159,$I1162*(1+L1161))))</f>
        <v/>
      </c>
      <c r="Y1162" s="1752" t="str">
        <f>IF(M1159="","",IF(CNTR_ReportingYear&lt;M1158,L1161,IF($I1162=0,M1159,$I1162*(1+M1161))))</f>
        <v/>
      </c>
      <c r="Z1162" s="1761" t="str">
        <f>IF(N1159="","",IF(CNTR_ReportingYear&lt;N1158,M1161,IF($I1162=0,N1159,$I1162*(1+N1161))))</f>
        <v/>
      </c>
      <c r="AA1162" s="2"/>
      <c r="AB1162" s="2"/>
      <c r="AC1162" s="2"/>
      <c r="AD1162" s="2"/>
      <c r="AE1162" s="2"/>
      <c r="AF1162" s="2"/>
      <c r="AG1162" s="2"/>
      <c r="AH1162" s="2"/>
      <c r="AI1162" s="2"/>
      <c r="AJ1162" s="2"/>
      <c r="AK1162" s="2"/>
      <c r="AL1162" s="2"/>
    </row>
    <row r="1163" spans="1:38" ht="5.15" customHeight="1" x14ac:dyDescent="0.25">
      <c r="A1163" s="343"/>
      <c r="B1163" s="178"/>
      <c r="C1163" s="779"/>
      <c r="D1163" s="1246"/>
      <c r="E1163" s="1244"/>
      <c r="F1163" s="1244"/>
      <c r="G1163" s="1244"/>
      <c r="H1163" s="1244"/>
      <c r="I1163" s="1244"/>
      <c r="J1163" s="1236"/>
      <c r="K1163" s="1236"/>
      <c r="L1163" s="1236"/>
      <c r="M1163" s="1236"/>
      <c r="N1163" s="1247"/>
      <c r="O1163" s="15"/>
      <c r="P1163" s="15"/>
      <c r="Q1163" s="343"/>
      <c r="R1163" s="2"/>
      <c r="S1163" s="2"/>
      <c r="T1163" s="2"/>
      <c r="U1163" s="1086"/>
      <c r="V1163" s="343"/>
      <c r="W1163" s="2"/>
      <c r="X1163" s="2"/>
      <c r="Y1163" s="2"/>
      <c r="Z1163" s="228"/>
      <c r="AA1163" s="2"/>
      <c r="AB1163" s="2"/>
      <c r="AC1163" s="2"/>
      <c r="AD1163" s="2"/>
      <c r="AE1163" s="2"/>
      <c r="AF1163" s="2"/>
      <c r="AG1163" s="2"/>
      <c r="AH1163" s="2"/>
      <c r="AI1163" s="2"/>
      <c r="AJ1163" s="2"/>
      <c r="AK1163" s="2"/>
      <c r="AL1163" s="2"/>
    </row>
    <row r="1164" spans="1:38" ht="12.75" customHeight="1" x14ac:dyDescent="0.25">
      <c r="A1164" s="343"/>
      <c r="B1164" s="178"/>
      <c r="C1164" s="779"/>
      <c r="D1164" s="1246"/>
      <c r="E1164" s="2619" t="str">
        <f>Translations!$B$1475</f>
        <v>Faktisk justering (grund för följande år)</v>
      </c>
      <c r="F1164" s="2497"/>
      <c r="G1164" s="2497"/>
      <c r="H1164" s="2497"/>
      <c r="I1164" s="2616"/>
      <c r="J1164" s="1268">
        <f>J$3042</f>
        <v>2021</v>
      </c>
      <c r="K1164" s="1230">
        <f>K$3042</f>
        <v>2022</v>
      </c>
      <c r="L1164" s="1230">
        <f>L$3042</f>
        <v>2023</v>
      </c>
      <c r="M1164" s="1230">
        <f>M$3042</f>
        <v>2024</v>
      </c>
      <c r="N1164" s="1258">
        <f>N$3042</f>
        <v>2025</v>
      </c>
      <c r="O1164" s="15"/>
      <c r="P1164" s="15"/>
      <c r="Q1164" s="343"/>
      <c r="R1164" s="2"/>
      <c r="S1164" s="2"/>
      <c r="T1164" s="2"/>
      <c r="U1164" s="584"/>
      <c r="V1164" s="2"/>
      <c r="W1164" s="2"/>
      <c r="X1164" s="2"/>
      <c r="Y1164" s="2"/>
      <c r="Z1164" s="228"/>
      <c r="AA1164" s="2"/>
      <c r="AB1164" s="2"/>
      <c r="AC1164" s="2"/>
      <c r="AD1164" s="2"/>
      <c r="AE1164" s="2"/>
      <c r="AF1164" s="2"/>
      <c r="AG1164" s="2"/>
      <c r="AH1164" s="2"/>
      <c r="AI1164" s="2"/>
      <c r="AJ1164" s="2"/>
      <c r="AK1164" s="2"/>
      <c r="AL1164" s="2"/>
    </row>
    <row r="1165" spans="1:38" ht="12.75" customHeight="1" x14ac:dyDescent="0.25">
      <c r="A1165" s="343"/>
      <c r="B1165" s="178"/>
      <c r="C1165" s="779"/>
      <c r="D1165" s="1246" t="s">
        <v>10</v>
      </c>
      <c r="E1165" s="2618" t="str">
        <f>Translations!$B$1476</f>
        <v>&gt;= 100 utsläppsrätter kriterium uppnått?</v>
      </c>
      <c r="F1165" s="1997"/>
      <c r="G1165" s="1997"/>
      <c r="H1165" s="1997"/>
      <c r="I1165" s="2620"/>
      <c r="J1165" s="994" t="str">
        <f>IF($I919="","",INDEX(K_Summary!J:J,MATCH($Q1165,K_Summary!$P:$P,0)))</f>
        <v/>
      </c>
      <c r="K1165" s="912" t="str">
        <f>IF($I919="","",INDEX(K_Summary!K:K,MATCH($Q1165,K_Summary!$P:$P,0)))</f>
        <v/>
      </c>
      <c r="L1165" s="912" t="str">
        <f>IF($I919="","",INDEX(K_Summary!L:L,MATCH($Q1165,K_Summary!$P:$P,0)))</f>
        <v/>
      </c>
      <c r="M1165" s="912" t="str">
        <f>IF($I919="","",INDEX(K_Summary!M:M,MATCH($Q1165,K_Summary!$P:$P,0)))</f>
        <v/>
      </c>
      <c r="N1165" s="1221" t="str">
        <f>IF($I919="","",INDEX(K_Summary!N:N,MATCH($Q1165,K_Summary!$P:$P,0)))</f>
        <v/>
      </c>
      <c r="O1165" s="15"/>
      <c r="P1165" s="15"/>
      <c r="Q1165" s="165" t="str">
        <f>EUconst_CNTR_100EUA_WGFlare&amp;I919</f>
        <v>EUA100WGFlare_</v>
      </c>
      <c r="R1165" s="2"/>
      <c r="S1165" s="2"/>
      <c r="T1165" s="2"/>
      <c r="U1165" s="584"/>
      <c r="V1165" s="2"/>
      <c r="W1165" s="2"/>
      <c r="X1165" s="2"/>
      <c r="Y1165" s="2"/>
      <c r="Z1165" s="228"/>
      <c r="AA1165" s="2"/>
      <c r="AB1165" s="2"/>
      <c r="AC1165" s="2"/>
      <c r="AD1165" s="2"/>
      <c r="AE1165" s="2"/>
      <c r="AF1165" s="2"/>
      <c r="AG1165" s="2"/>
      <c r="AH1165" s="2"/>
      <c r="AI1165" s="2"/>
      <c r="AJ1165" s="2"/>
      <c r="AK1165" s="2"/>
      <c r="AL1165" s="2"/>
    </row>
    <row r="1166" spans="1:38" ht="5.15" customHeight="1" thickBot="1" x14ac:dyDescent="0.3">
      <c r="A1166" s="343"/>
      <c r="B1166" s="178"/>
      <c r="C1166" s="779"/>
      <c r="D1166" s="1246"/>
      <c r="E1166" s="1244"/>
      <c r="F1166" s="1244"/>
      <c r="G1166" s="1244"/>
      <c r="H1166" s="1244"/>
      <c r="I1166" s="1244"/>
      <c r="J1166" s="1244"/>
      <c r="K1166" s="1244"/>
      <c r="L1166" s="1244"/>
      <c r="M1166" s="1244"/>
      <c r="N1166" s="1248"/>
      <c r="O1166" s="15"/>
      <c r="P1166" s="15"/>
      <c r="Q1166" s="343"/>
      <c r="R1166" s="2"/>
      <c r="S1166" s="2"/>
      <c r="T1166" s="2"/>
      <c r="U1166" s="1086"/>
      <c r="V1166" s="343"/>
      <c r="W1166" s="2"/>
      <c r="X1166" s="2"/>
      <c r="Y1166" s="2"/>
      <c r="Z1166" s="228"/>
      <c r="AA1166" s="2"/>
      <c r="AB1166" s="2"/>
      <c r="AC1166" s="2"/>
      <c r="AD1166" s="2"/>
      <c r="AE1166" s="2"/>
      <c r="AF1166" s="2"/>
      <c r="AG1166" s="2"/>
      <c r="AH1166" s="2"/>
      <c r="AI1166" s="2"/>
      <c r="AJ1166" s="2"/>
      <c r="AK1166" s="2"/>
      <c r="AL1166" s="2"/>
    </row>
    <row r="1167" spans="1:38" ht="12.75" customHeight="1" thickBot="1" x14ac:dyDescent="0.3">
      <c r="A1167" s="2"/>
      <c r="B1167" s="178"/>
      <c r="C1167" s="779"/>
      <c r="D1167" s="1246" t="s">
        <v>23</v>
      </c>
      <c r="E1167" s="2618" t="str">
        <f>Translations!$B$1477</f>
        <v>Faktisk justering (om alla tröskelvärden överskrids)</v>
      </c>
      <c r="F1167" s="1997"/>
      <c r="G1167" s="1997"/>
      <c r="H1167" s="1997"/>
      <c r="I1167" s="2620"/>
      <c r="J1167" s="1099" t="str">
        <f>IF(J1165="","",IF(OR(J1165,V1159&lt;1),J1161,I1167))</f>
        <v/>
      </c>
      <c r="K1167" s="1100" t="str">
        <f>IF(K1165="","",IF(OR(K1165,W1159&lt;1),K1161,J1167))</f>
        <v/>
      </c>
      <c r="L1167" s="1100" t="str">
        <f>IF(L1165="","",IF(OR(L1165,X1159&lt;1),L1161,K1167))</f>
        <v/>
      </c>
      <c r="M1167" s="1100" t="str">
        <f>IF(M1165="","",IF(OR(M1165,Y1159&lt;1),M1161,L1167))</f>
        <v/>
      </c>
      <c r="N1167" s="1101" t="str">
        <f>IF(N1165="","",IF(OR(N1165,Z1159&lt;1),N1161,M1167))</f>
        <v/>
      </c>
      <c r="O1167" s="15"/>
      <c r="P1167" s="15"/>
      <c r="Q1167" s="343"/>
      <c r="R1167" s="2"/>
      <c r="S1167" s="2"/>
      <c r="T1167" s="2"/>
      <c r="U1167" s="1086" t="s">
        <v>1858</v>
      </c>
      <c r="V1167" s="1068">
        <f>J1164</f>
        <v>2021</v>
      </c>
      <c r="W1167" s="1068">
        <f>K1164</f>
        <v>2022</v>
      </c>
      <c r="X1167" s="1068">
        <f>L1164</f>
        <v>2023</v>
      </c>
      <c r="Y1167" s="1068">
        <f>M1164</f>
        <v>2024</v>
      </c>
      <c r="Z1167" s="1087">
        <f>N1164</f>
        <v>2025</v>
      </c>
      <c r="AA1167" s="2"/>
      <c r="AB1167" s="2"/>
      <c r="AC1167" s="2"/>
      <c r="AD1167" s="2"/>
      <c r="AE1167" s="2"/>
      <c r="AF1167" s="2"/>
      <c r="AG1167" s="2"/>
      <c r="AH1167" s="2"/>
      <c r="AI1167" s="2"/>
      <c r="AJ1167" s="2"/>
      <c r="AK1167" s="2"/>
      <c r="AL1167" s="2"/>
    </row>
    <row r="1168" spans="1:38" ht="12.75" customHeight="1" thickBot="1" x14ac:dyDescent="0.3">
      <c r="A1168" s="343"/>
      <c r="B1168" s="178"/>
      <c r="C1168" s="779"/>
      <c r="D1168" s="1246" t="s">
        <v>859</v>
      </c>
      <c r="E1168" s="2618" t="str">
        <f>Translations!$B$1478</f>
        <v>Faktiskt värde</v>
      </c>
      <c r="F1168" s="1997"/>
      <c r="G1168" s="1997"/>
      <c r="H1168" s="1232" t="str">
        <f>H1159</f>
        <v>t CO2</v>
      </c>
      <c r="I1168" s="990" t="str">
        <f>I1162</f>
        <v/>
      </c>
      <c r="J1168" s="1072" t="str">
        <f>IF($I919="","",IF(OR($I1168=0,$I1168=EUconst_NA),IF(OR(J1165=TRUE,J1164=$V919),J1162,SUM(I1168)),IF(J1167="",J1162,$I1168*(1+SUM(J1167)))))</f>
        <v/>
      </c>
      <c r="K1168" s="1073" t="str">
        <f>IF($I919="","",IF(OR($I1168=0,$I1168=EUconst_NA),IF(OR(K1165=TRUE,K1164=$V919),K1162,SUM(J1168)),IF(K1167="",K1162,$I1168*(1+SUM(K1167)))))</f>
        <v/>
      </c>
      <c r="L1168" s="1073" t="str">
        <f>IF($I919="","",IF(OR($I1168=0,$I1168=EUconst_NA),IF(OR(L1165=TRUE,L1164=$V919),L1162,SUM(K1168)),IF(L1167="",L1162,$I1168*(1+SUM(L1167)))))</f>
        <v/>
      </c>
      <c r="M1168" s="1073" t="str">
        <f>IF($I919="","",IF(OR($I1168=0,$I1168=EUconst_NA),IF(OR(M1165=TRUE,M1164=$V919),M1162,SUM(L1168)),IF(M1167="",M1162,$I1168*(1+SUM(M1167)))))</f>
        <v/>
      </c>
      <c r="N1168" s="1074" t="str">
        <f>IF($I919="","",IF(OR($I1168=0,$I1168=EUconst_NA),IF(OR(N1165=TRUE,N1164=$V919),N1162,SUM(M1168)),IF(N1167="",N1162,$I1168*(1+SUM(N1167)))))</f>
        <v/>
      </c>
      <c r="O1168" s="15"/>
      <c r="P1168" s="15"/>
      <c r="Q1168" s="165" t="str">
        <f>EUconst_CNTR_HALfinal&amp;EUconst_CNTR_WGFlared &amp; I919</f>
        <v>HALfinal_WasteGasFlare_</v>
      </c>
      <c r="R1168" s="2"/>
      <c r="S1168" s="2"/>
      <c r="T1168" s="2"/>
      <c r="U1168" s="1765" t="b">
        <v>0</v>
      </c>
      <c r="V1168" s="1757" t="str">
        <f>IF(V1118,IF(J1165=TRUE,V927,U1168),"")</f>
        <v/>
      </c>
      <c r="W1168" s="1757" t="str">
        <f>IF(W1118,IF(K1165=TRUE,W927,V1168),"")</f>
        <v/>
      </c>
      <c r="X1168" s="1757" t="str">
        <f>IF(X1118,IF(L1165=TRUE,X927,W1168),"")</f>
        <v/>
      </c>
      <c r="Y1168" s="1757" t="str">
        <f>IF(Y1118,IF(M1165=TRUE,Y927,X1168),"")</f>
        <v/>
      </c>
      <c r="Z1168" s="1758" t="str">
        <f>IF(Z1118,IF(N1165=TRUE,Z927,Y1168),"")</f>
        <v/>
      </c>
      <c r="AA1168" s="2"/>
      <c r="AB1168" s="2"/>
      <c r="AC1168" s="2"/>
      <c r="AD1168" s="2"/>
      <c r="AE1168" s="2"/>
      <c r="AF1168" s="2"/>
      <c r="AG1168" s="2"/>
      <c r="AH1168" s="2"/>
      <c r="AI1168" s="2"/>
      <c r="AJ1168" s="553" t="s">
        <v>2242</v>
      </c>
      <c r="AK1168" s="108" t="str">
        <f>IF(OR(ISERROR(J1168),ISERROR(K1168),ISERROR(L1168),ISERROR(M1168),ISERROR(N1168)),EUconst_Error &amp; "BM" &amp; Q919,"")</f>
        <v/>
      </c>
      <c r="AL1168" s="2"/>
    </row>
    <row r="1169" spans="1:38" ht="5.15" customHeight="1" thickBot="1" x14ac:dyDescent="0.3">
      <c r="A1169" s="2"/>
      <c r="B1169" s="178"/>
      <c r="C1169" s="779"/>
      <c r="D1169" s="1269"/>
      <c r="E1169" s="1270"/>
      <c r="F1169" s="1270"/>
      <c r="G1169" s="1270"/>
      <c r="H1169" s="1271"/>
      <c r="I1169" s="1270"/>
      <c r="J1169" s="1270"/>
      <c r="K1169" s="1270"/>
      <c r="L1169" s="1270"/>
      <c r="M1169" s="1272"/>
      <c r="N1169" s="1273"/>
      <c r="O1169" s="15"/>
      <c r="P1169" s="15"/>
      <c r="Q1169" s="343"/>
      <c r="R1169" s="2"/>
      <c r="S1169" s="343"/>
      <c r="T1169" s="343"/>
      <c r="U1169" s="343"/>
      <c r="V1169" s="343"/>
      <c r="W1169" s="2"/>
      <c r="X1169" s="2"/>
      <c r="Y1169" s="2"/>
      <c r="Z1169" s="2"/>
      <c r="AA1169" s="2"/>
      <c r="AB1169" s="2"/>
      <c r="AC1169" s="2"/>
      <c r="AD1169" s="2"/>
      <c r="AE1169" s="2"/>
      <c r="AF1169" s="2"/>
      <c r="AG1169" s="2"/>
      <c r="AH1169" s="2"/>
      <c r="AI1169" s="2"/>
      <c r="AJ1169" s="2"/>
      <c r="AK1169" s="2"/>
      <c r="AL1169" s="2"/>
    </row>
    <row r="1170" spans="1:38" ht="5.15" customHeight="1" x14ac:dyDescent="0.25">
      <c r="A1170" s="2"/>
      <c r="B1170" s="178"/>
      <c r="C1170" s="779"/>
      <c r="D1170" s="780"/>
      <c r="E1170" s="780"/>
      <c r="F1170" s="780"/>
      <c r="G1170" s="780"/>
      <c r="H1170" s="1805"/>
      <c r="I1170" s="780"/>
      <c r="J1170" s="780"/>
      <c r="K1170" s="780"/>
      <c r="L1170" s="780"/>
      <c r="M1170" s="623"/>
      <c r="N1170" s="519"/>
      <c r="O1170" s="15"/>
      <c r="P1170" s="15"/>
      <c r="Q1170" s="343"/>
      <c r="R1170" s="2"/>
      <c r="S1170" s="343"/>
      <c r="T1170" s="343"/>
      <c r="U1170" s="343"/>
      <c r="V1170" s="343"/>
      <c r="W1170" s="2"/>
      <c r="X1170" s="2"/>
      <c r="Y1170" s="2"/>
      <c r="Z1170" s="2"/>
      <c r="AA1170" s="2"/>
      <c r="AB1170" s="2"/>
      <c r="AC1170" s="2"/>
      <c r="AD1170" s="2"/>
      <c r="AE1170" s="2"/>
      <c r="AF1170" s="2"/>
      <c r="AG1170" s="2"/>
      <c r="AH1170" s="2"/>
      <c r="AI1170" s="2"/>
      <c r="AJ1170" s="2"/>
      <c r="AK1170" s="2"/>
      <c r="AL1170" s="2"/>
    </row>
    <row r="1171" spans="1:38" ht="12.75" customHeight="1" x14ac:dyDescent="0.25">
      <c r="A1171" s="2"/>
      <c r="B1171" s="178"/>
      <c r="C1171" s="779"/>
      <c r="D1171" s="416" t="s">
        <v>1205</v>
      </c>
      <c r="E1171" s="2614" t="str">
        <f>Translations!$B$632</f>
        <v>Importerade restgastyper:</v>
      </c>
      <c r="F1171" s="1960"/>
      <c r="G1171" s="1960"/>
      <c r="H1171" s="2520"/>
      <c r="I1171" s="2621"/>
      <c r="J1171" s="2510"/>
      <c r="K1171" s="2510"/>
      <c r="L1171" s="2510"/>
      <c r="M1171" s="2511"/>
      <c r="N1171" s="519"/>
      <c r="O1171" s="15"/>
      <c r="P1171" s="1362"/>
      <c r="Q1171" s="343"/>
      <c r="R1171" s="2"/>
      <c r="S1171" s="343"/>
      <c r="T1171" s="2"/>
      <c r="U1171" s="2"/>
      <c r="V1171" s="2"/>
      <c r="W1171" s="2"/>
      <c r="X1171" s="2"/>
      <c r="Y1171" s="2"/>
      <c r="Z1171" s="2"/>
      <c r="AA1171" s="2"/>
      <c r="AB1171" s="2"/>
      <c r="AC1171" s="672" t="s">
        <v>782</v>
      </c>
      <c r="AD1171" s="108" t="b">
        <f>AD1145</f>
        <v>0</v>
      </c>
      <c r="AE1171" s="2"/>
      <c r="AF1171" s="2"/>
      <c r="AG1171" s="2"/>
      <c r="AH1171" s="2"/>
      <c r="AI1171" s="2"/>
      <c r="AJ1171" s="2"/>
      <c r="AK1171" s="2"/>
      <c r="AL1171" s="2"/>
    </row>
    <row r="1172" spans="1:38" ht="12.75" customHeight="1" x14ac:dyDescent="0.25">
      <c r="A1172" s="2"/>
      <c r="B1172" s="178"/>
      <c r="C1172" s="779"/>
      <c r="D1172" s="416"/>
      <c r="E1172" s="2596" t="str">
        <f>Translations!$B$633</f>
        <v>De uppgifter som anges här påverkar de utsläpp som kan tillskrivas i enlighet med avsnitt 10.1.5 i bilaga VII till FAR.</v>
      </c>
      <c r="F1172" s="1960"/>
      <c r="G1172" s="1960"/>
      <c r="H1172" s="1960"/>
      <c r="I1172" s="1960"/>
      <c r="J1172" s="1960"/>
      <c r="K1172" s="1960"/>
      <c r="L1172" s="1960"/>
      <c r="M1172" s="1960"/>
      <c r="N1172" s="2597"/>
      <c r="O1172" s="15"/>
      <c r="P1172" s="15"/>
      <c r="Q1172" s="343"/>
      <c r="R1172" s="2"/>
      <c r="S1172" s="343"/>
      <c r="T1172" s="343"/>
      <c r="U1172" s="343"/>
      <c r="V1172" s="343"/>
      <c r="W1172" s="2"/>
      <c r="X1172" s="2"/>
      <c r="Y1172" s="2"/>
      <c r="Z1172" s="2"/>
      <c r="AA1172" s="2"/>
      <c r="AB1172" s="2"/>
      <c r="AC1172" s="2"/>
      <c r="AD1172" s="2"/>
      <c r="AE1172" s="2"/>
      <c r="AF1172" s="2"/>
      <c r="AG1172" s="2"/>
      <c r="AH1172" s="2"/>
      <c r="AI1172" s="2"/>
      <c r="AJ1172" s="2"/>
      <c r="AK1172" s="2"/>
      <c r="AL1172" s="2"/>
    </row>
    <row r="1173" spans="1:38" ht="25.5" customHeight="1" x14ac:dyDescent="0.25">
      <c r="A1173" s="2"/>
      <c r="B1173" s="178"/>
      <c r="C1173" s="779"/>
      <c r="D1173" s="416"/>
      <c r="E1173" s="2610" t="str">
        <f>Translations!$B$634</f>
        <v>Detta innefattar alla restgastyper som produceras utanför delanläggningens systemgränser men som importeras till delanläggningen och används för produktion av mätbar värme, icke-mätbar värme (inklusive för säkerhetsfackling) eller mekanisk energi (annat än för elproduktion).</v>
      </c>
      <c r="F1173" s="1960"/>
      <c r="G1173" s="1960"/>
      <c r="H1173" s="1960"/>
      <c r="I1173" s="1960"/>
      <c r="J1173" s="1960"/>
      <c r="K1173" s="1960"/>
      <c r="L1173" s="1960"/>
      <c r="M1173" s="1960"/>
      <c r="N1173" s="2597"/>
      <c r="O1173" s="15"/>
      <c r="P1173" s="15"/>
      <c r="Q1173" s="343"/>
      <c r="R1173" s="2"/>
      <c r="S1173" s="343"/>
      <c r="T1173" s="343"/>
      <c r="U1173" s="343"/>
      <c r="V1173" s="343"/>
      <c r="W1173" s="2"/>
      <c r="X1173" s="2"/>
      <c r="Y1173" s="2"/>
      <c r="Z1173" s="2"/>
      <c r="AA1173" s="2"/>
      <c r="AB1173" s="2"/>
      <c r="AC1173" s="2"/>
      <c r="AD1173" s="2"/>
      <c r="AE1173" s="2"/>
      <c r="AF1173" s="2"/>
      <c r="AG1173" s="2"/>
      <c r="AH1173" s="2"/>
      <c r="AI1173" s="2"/>
      <c r="AJ1173" s="2"/>
      <c r="AK1173" s="2"/>
      <c r="AL1173" s="2"/>
    </row>
    <row r="1174" spans="1:38" ht="12.75" customHeight="1" thickBot="1" x14ac:dyDescent="0.3">
      <c r="A1174" s="2"/>
      <c r="B1174" s="178"/>
      <c r="C1174" s="779"/>
      <c r="D1174" s="780"/>
      <c r="E1174" s="1716"/>
      <c r="F1174" s="1717"/>
      <c r="G1174" s="361" t="str">
        <f>EUconst_Unit</f>
        <v>Enhet</v>
      </c>
      <c r="H1174" s="362">
        <f t="shared" ref="H1174:N1174" si="522">H$3042</f>
        <v>2019</v>
      </c>
      <c r="I1174" s="1103">
        <f t="shared" si="522"/>
        <v>2020</v>
      </c>
      <c r="J1174" s="1104">
        <f t="shared" si="522"/>
        <v>2021</v>
      </c>
      <c r="K1174" s="362">
        <f t="shared" si="522"/>
        <v>2022</v>
      </c>
      <c r="L1174" s="362">
        <f t="shared" si="522"/>
        <v>2023</v>
      </c>
      <c r="M1174" s="362">
        <f t="shared" si="522"/>
        <v>2024</v>
      </c>
      <c r="N1174" s="1141">
        <f t="shared" si="522"/>
        <v>2025</v>
      </c>
      <c r="O1174" s="15"/>
      <c r="P1174" s="15"/>
      <c r="Q1174" s="343"/>
      <c r="R1174" s="2"/>
      <c r="S1174" s="343"/>
      <c r="T1174" s="343"/>
      <c r="U1174" s="343"/>
      <c r="V1174" s="343"/>
      <c r="W1174" s="2"/>
      <c r="X1174" s="2"/>
      <c r="Y1174" s="2"/>
      <c r="Z1174" s="2"/>
      <c r="AA1174" s="2"/>
      <c r="AB1174" s="2"/>
      <c r="AC1174" s="1044">
        <f t="shared" ref="AC1174:AI1174" si="523">H$20</f>
        <v>2019</v>
      </c>
      <c r="AD1174" s="1044">
        <f t="shared" si="523"/>
        <v>2020</v>
      </c>
      <c r="AE1174" s="1044">
        <f t="shared" si="523"/>
        <v>2021</v>
      </c>
      <c r="AF1174" s="1044">
        <f t="shared" si="523"/>
        <v>2022</v>
      </c>
      <c r="AG1174" s="1044">
        <f t="shared" si="523"/>
        <v>2023</v>
      </c>
      <c r="AH1174" s="1044">
        <f t="shared" si="523"/>
        <v>2024</v>
      </c>
      <c r="AI1174" s="1044">
        <f t="shared" si="523"/>
        <v>2025</v>
      </c>
      <c r="AJ1174" s="2"/>
      <c r="AK1174" s="2"/>
      <c r="AL1174" s="2"/>
    </row>
    <row r="1175" spans="1:38" ht="12.75" customHeight="1" thickBot="1" x14ac:dyDescent="0.3">
      <c r="A1175" s="2"/>
      <c r="B1175" s="178"/>
      <c r="C1175" s="779"/>
      <c r="D1175" s="416" t="s">
        <v>1206</v>
      </c>
      <c r="E1175" s="2611" t="str">
        <f>Translations!$B$635</f>
        <v>Importerade mängder</v>
      </c>
      <c r="F1175" s="2484"/>
      <c r="G1175" s="1314"/>
      <c r="H1175" s="1298"/>
      <c r="I1175" s="1299"/>
      <c r="J1175" s="1300"/>
      <c r="K1175" s="1298"/>
      <c r="L1175" s="1298"/>
      <c r="M1175" s="1298"/>
      <c r="N1175" s="1301"/>
      <c r="O1175" s="15"/>
      <c r="P1175" s="1362"/>
      <c r="Q1175" s="343"/>
      <c r="R1175" s="2"/>
      <c r="S1175" s="343"/>
      <c r="T1175" s="343"/>
      <c r="U1175" s="343"/>
      <c r="V1175" s="343"/>
      <c r="W1175" s="2"/>
      <c r="X1175" s="2"/>
      <c r="Y1175" s="2"/>
      <c r="Z1175" s="2"/>
      <c r="AA1175" s="2"/>
      <c r="AB1175" s="672" t="s">
        <v>782</v>
      </c>
      <c r="AC1175" s="108" t="b">
        <f t="shared" ref="AC1175:AI1175" si="524">AC1131</f>
        <v>0</v>
      </c>
      <c r="AD1175" s="108" t="b">
        <f t="shared" si="524"/>
        <v>0</v>
      </c>
      <c r="AE1175" s="108" t="b">
        <f t="shared" si="524"/>
        <v>0</v>
      </c>
      <c r="AF1175" s="108" t="b">
        <f t="shared" si="524"/>
        <v>0</v>
      </c>
      <c r="AG1175" s="108" t="b">
        <f t="shared" si="524"/>
        <v>0</v>
      </c>
      <c r="AH1175" s="108" t="b">
        <f t="shared" si="524"/>
        <v>0</v>
      </c>
      <c r="AI1175" s="108" t="b">
        <f t="shared" si="524"/>
        <v>0</v>
      </c>
      <c r="AJ1175" s="553" t="s">
        <v>2248</v>
      </c>
      <c r="AK1175" s="663" t="str">
        <f>IF(AND(CNTR_ExistSubInstEntries,MSconst_RequireSubAttrEmissions,COUNTIFS(AC1175:AI1175,FALSE,H1175:N1175,"")&gt;0),EUconst_Error&amp;"BM"&amp;$Q919,"")</f>
        <v/>
      </c>
      <c r="AL1175" s="2"/>
    </row>
    <row r="1176" spans="1:38" ht="12.75" customHeight="1" x14ac:dyDescent="0.25">
      <c r="A1176" s="2"/>
      <c r="B1176" s="178"/>
      <c r="C1176" s="779"/>
      <c r="D1176" s="416" t="s">
        <v>1207</v>
      </c>
      <c r="E1176" s="2612" t="str">
        <f>Translations!$B$318</f>
        <v>Effektivt värmevärde</v>
      </c>
      <c r="F1176" s="2487"/>
      <c r="G1176" s="51" t="str">
        <f>IF(ISBLANK(G1175),EUconst_GJperUnit,INDEX(EUconst_GJperTorKNm3,MATCH(G1175,EUconst_TonnesOrkNm3pa,0)))</f>
        <v>GJ / Enhet</v>
      </c>
      <c r="H1176" s="1306"/>
      <c r="I1176" s="1307"/>
      <c r="J1176" s="1308"/>
      <c r="K1176" s="1306"/>
      <c r="L1176" s="1306"/>
      <c r="M1176" s="1306"/>
      <c r="N1176" s="1309"/>
      <c r="O1176" s="15"/>
      <c r="P1176" s="1362"/>
      <c r="Q1176" s="343"/>
      <c r="R1176" s="2"/>
      <c r="S1176" s="772"/>
      <c r="T1176" s="609">
        <f t="shared" ref="T1176:Z1176" si="525">H1174</f>
        <v>2019</v>
      </c>
      <c r="U1176" s="609">
        <f t="shared" si="525"/>
        <v>2020</v>
      </c>
      <c r="V1176" s="609">
        <f t="shared" si="525"/>
        <v>2021</v>
      </c>
      <c r="W1176" s="609">
        <f t="shared" si="525"/>
        <v>2022</v>
      </c>
      <c r="X1176" s="609">
        <f t="shared" si="525"/>
        <v>2023</v>
      </c>
      <c r="Y1176" s="609">
        <f t="shared" si="525"/>
        <v>2024</v>
      </c>
      <c r="Z1176" s="610">
        <f t="shared" si="525"/>
        <v>2025</v>
      </c>
      <c r="AA1176" s="2"/>
      <c r="AB1176" s="2"/>
      <c r="AC1176" s="108" t="b">
        <f>AC1175</f>
        <v>0</v>
      </c>
      <c r="AD1176" s="108" t="b">
        <f t="shared" ref="AD1176:AI1176" si="526">AD1175</f>
        <v>0</v>
      </c>
      <c r="AE1176" s="108" t="b">
        <f t="shared" si="526"/>
        <v>0</v>
      </c>
      <c r="AF1176" s="108" t="b">
        <f t="shared" si="526"/>
        <v>0</v>
      </c>
      <c r="AG1176" s="108" t="b">
        <f t="shared" si="526"/>
        <v>0</v>
      </c>
      <c r="AH1176" s="108" t="b">
        <f t="shared" si="526"/>
        <v>0</v>
      </c>
      <c r="AI1176" s="108" t="b">
        <f t="shared" si="526"/>
        <v>0</v>
      </c>
      <c r="AJ1176" s="553" t="s">
        <v>2248</v>
      </c>
      <c r="AK1176" s="663" t="str">
        <f>IF(AND(CNTR_ExistSubInstEntries,MSconst_RequireSubAttrEmissions,COUNTIFS(AC1176:AI1176,FALSE,H1176:N1176,"")&gt;0),EUconst_Error&amp;"BM"&amp;$Q919,"")</f>
        <v/>
      </c>
      <c r="AL1176" s="2"/>
    </row>
    <row r="1177" spans="1:38" ht="12.75" customHeight="1" x14ac:dyDescent="0.25">
      <c r="A1177" s="2"/>
      <c r="B1177" s="178"/>
      <c r="C1177" s="779"/>
      <c r="D1177" s="416" t="s">
        <v>1208</v>
      </c>
      <c r="E1177" s="2613" t="str">
        <f>Translations!$B$636</f>
        <v>Importerad restgas</v>
      </c>
      <c r="F1177" s="1997"/>
      <c r="G1177" s="364" t="str">
        <f>EUconst_TJpa</f>
        <v>TJ / år</v>
      </c>
      <c r="H1177" s="351" t="str">
        <f t="shared" ref="H1177:N1177" si="527">IF(COUNT(H1175:H1176)=2,H1175*H1176/1000,"")</f>
        <v/>
      </c>
      <c r="I1177" s="1107" t="str">
        <f t="shared" si="527"/>
        <v/>
      </c>
      <c r="J1177" s="1113" t="str">
        <f t="shared" si="527"/>
        <v/>
      </c>
      <c r="K1177" s="351" t="str">
        <f t="shared" si="527"/>
        <v/>
      </c>
      <c r="L1177" s="351" t="str">
        <f t="shared" si="527"/>
        <v/>
      </c>
      <c r="M1177" s="351" t="str">
        <f t="shared" si="527"/>
        <v/>
      </c>
      <c r="N1177" s="1148" t="str">
        <f t="shared" si="527"/>
        <v/>
      </c>
      <c r="O1177" s="15"/>
      <c r="P1177" s="15"/>
      <c r="Q1177" s="165" t="str">
        <f>EUconst_CNTR_WGImport &amp; I919</f>
        <v>WasteGasIm_</v>
      </c>
      <c r="R1177" s="2"/>
      <c r="S1177" s="1751" t="str">
        <f>EUconst_ERR_AttrEmBMapplied &amp; I919</f>
        <v>ERR_AttrEmBM_</v>
      </c>
      <c r="T1177" s="108">
        <f t="shared" ref="T1177:Z1177" si="528">IF(AND(H1177&lt;&gt;"",EUconst_StatusOfDataCollection=FALSE),1,0)</f>
        <v>0</v>
      </c>
      <c r="U1177" s="108">
        <f t="shared" si="528"/>
        <v>0</v>
      </c>
      <c r="V1177" s="108">
        <f t="shared" si="528"/>
        <v>0</v>
      </c>
      <c r="W1177" s="108">
        <f t="shared" si="528"/>
        <v>0</v>
      </c>
      <c r="X1177" s="108">
        <f t="shared" si="528"/>
        <v>0</v>
      </c>
      <c r="Y1177" s="108">
        <f t="shared" si="528"/>
        <v>0</v>
      </c>
      <c r="Z1177" s="109">
        <f t="shared" si="528"/>
        <v>0</v>
      </c>
      <c r="AA1177" s="2"/>
      <c r="AB1177" s="2"/>
      <c r="AC1177" s="2"/>
      <c r="AD1177" s="2"/>
      <c r="AE1177" s="2"/>
      <c r="AF1177" s="2"/>
      <c r="AG1177" s="2"/>
      <c r="AH1177" s="2"/>
      <c r="AI1177" s="2"/>
      <c r="AJ1177" s="2"/>
      <c r="AK1177" s="2"/>
      <c r="AL1177" s="2"/>
    </row>
    <row r="1178" spans="1:38" s="534" customFormat="1" ht="12.75" customHeight="1" thickBot="1" x14ac:dyDescent="0.3">
      <c r="A1178" s="343"/>
      <c r="B1178" s="178"/>
      <c r="C1178" s="779"/>
      <c r="D1178" s="416" t="s">
        <v>1209</v>
      </c>
      <c r="E1178" s="2613" t="str">
        <f>Translations!$B$637</f>
        <v>Särskild emissionsfaktor (importerad restgas)</v>
      </c>
      <c r="F1178" s="1997"/>
      <c r="G1178" s="363" t="str">
        <f>EUconst_tCO2pTJ</f>
        <v>t CO2 / TJ</v>
      </c>
      <c r="H1178" s="1315"/>
      <c r="I1178" s="1316"/>
      <c r="J1178" s="1317"/>
      <c r="K1178" s="1315"/>
      <c r="L1178" s="1315"/>
      <c r="M1178" s="1315"/>
      <c r="N1178" s="1318"/>
      <c r="O1178" s="15"/>
      <c r="P1178" s="1362"/>
      <c r="Q1178" s="165" t="str">
        <f>EUconst_CNTR_WGImportEF &amp; I919</f>
        <v>WasteGasImEF_</v>
      </c>
      <c r="R1178" s="343"/>
      <c r="S1178" s="773" t="str">
        <f>EUconst_CNTR_AttributedEmissions &amp; I919</f>
        <v>AttrEmissions_</v>
      </c>
      <c r="T1178" s="111" t="str">
        <f t="shared" ref="T1178:Z1178" si="529">IF(T927,SUM(H1177)*EUconst_FuelBMvalue,"")</f>
        <v/>
      </c>
      <c r="U1178" s="111" t="str">
        <f t="shared" si="529"/>
        <v/>
      </c>
      <c r="V1178" s="111" t="str">
        <f t="shared" si="529"/>
        <v/>
      </c>
      <c r="W1178" s="111" t="str">
        <f t="shared" si="529"/>
        <v/>
      </c>
      <c r="X1178" s="111" t="str">
        <f t="shared" si="529"/>
        <v/>
      </c>
      <c r="Y1178" s="111" t="str">
        <f t="shared" si="529"/>
        <v/>
      </c>
      <c r="Z1178" s="112" t="str">
        <f t="shared" si="529"/>
        <v/>
      </c>
      <c r="AA1178" s="343"/>
      <c r="AB1178" s="672" t="s">
        <v>782</v>
      </c>
      <c r="AC1178" s="108" t="b">
        <f>AC1176</f>
        <v>0</v>
      </c>
      <c r="AD1178" s="108" t="b">
        <f t="shared" ref="AD1178:AI1178" si="530">AD1176</f>
        <v>0</v>
      </c>
      <c r="AE1178" s="108" t="b">
        <f t="shared" si="530"/>
        <v>0</v>
      </c>
      <c r="AF1178" s="108" t="b">
        <f t="shared" si="530"/>
        <v>0</v>
      </c>
      <c r="AG1178" s="108" t="b">
        <f t="shared" si="530"/>
        <v>0</v>
      </c>
      <c r="AH1178" s="108" t="b">
        <f t="shared" si="530"/>
        <v>0</v>
      </c>
      <c r="AI1178" s="108" t="b">
        <f t="shared" si="530"/>
        <v>0</v>
      </c>
      <c r="AJ1178" s="553" t="s">
        <v>2248</v>
      </c>
      <c r="AK1178" s="663" t="str">
        <f>IF(AND(CNTR_ExistSubInstEntries,MSconst_RequireSubAttrEmissions,COUNTIFS(AC1178:AI1178,FALSE,H1178:N1178,"")&gt;0),EUconst_Error&amp;"BM"&amp;$Q919,"")</f>
        <v/>
      </c>
      <c r="AL1178" s="2"/>
    </row>
    <row r="1179" spans="1:38" ht="12.75" customHeight="1" x14ac:dyDescent="0.25">
      <c r="A1179" s="2"/>
      <c r="B1179" s="178"/>
      <c r="C1179" s="779"/>
      <c r="D1179" s="780"/>
      <c r="E1179" s="780"/>
      <c r="F1179" s="780"/>
      <c r="G1179" s="780"/>
      <c r="H1179" s="1805"/>
      <c r="I1179" s="780"/>
      <c r="J1179" s="780"/>
      <c r="K1179" s="780"/>
      <c r="L1179" s="780"/>
      <c r="M1179" s="623"/>
      <c r="N1179" s="519"/>
      <c r="O1179" s="15"/>
      <c r="P1179" s="15"/>
      <c r="Q1179" s="343"/>
      <c r="R1179" s="2"/>
      <c r="S1179" s="343"/>
      <c r="T1179" s="343"/>
      <c r="U1179" s="343"/>
      <c r="V1179" s="343"/>
      <c r="W1179" s="2"/>
      <c r="X1179" s="2"/>
      <c r="Y1179" s="2"/>
      <c r="Z1179" s="2"/>
      <c r="AA1179" s="2"/>
      <c r="AB1179" s="2"/>
      <c r="AC1179" s="2"/>
      <c r="AD1179" s="2"/>
      <c r="AE1179" s="2"/>
      <c r="AF1179" s="2"/>
      <c r="AG1179" s="2"/>
      <c r="AH1179" s="2"/>
      <c r="AI1179" s="2"/>
      <c r="AJ1179" s="2"/>
      <c r="AK1179" s="2"/>
      <c r="AL1179" s="2"/>
    </row>
    <row r="1180" spans="1:38" ht="12.75" customHeight="1" x14ac:dyDescent="0.25">
      <c r="A1180" s="2"/>
      <c r="B1180" s="178"/>
      <c r="C1180" s="779"/>
      <c r="D1180" s="416" t="s">
        <v>1210</v>
      </c>
      <c r="E1180" s="2614" t="str">
        <f>Translations!$B$638</f>
        <v>Exporterade restgastyper:</v>
      </c>
      <c r="F1180" s="1960"/>
      <c r="G1180" s="1960"/>
      <c r="H1180" s="2520"/>
      <c r="I1180" s="2621"/>
      <c r="J1180" s="2510"/>
      <c r="K1180" s="2510"/>
      <c r="L1180" s="2510"/>
      <c r="M1180" s="2511"/>
      <c r="N1180" s="1807"/>
      <c r="O1180" s="15"/>
      <c r="P1180" s="1362"/>
      <c r="Q1180" s="343"/>
      <c r="R1180" s="2"/>
      <c r="S1180" s="343"/>
      <c r="T1180" s="2"/>
      <c r="U1180" s="2"/>
      <c r="V1180" s="2"/>
      <c r="W1180" s="2"/>
      <c r="X1180" s="2"/>
      <c r="Y1180" s="2"/>
      <c r="Z1180" s="2"/>
      <c r="AA1180" s="2"/>
      <c r="AB1180" s="2"/>
      <c r="AC1180" s="672" t="s">
        <v>782</v>
      </c>
      <c r="AD1180" s="108" t="b">
        <f>AD1171</f>
        <v>0</v>
      </c>
      <c r="AE1180" s="2"/>
      <c r="AF1180" s="2"/>
      <c r="AG1180" s="2"/>
      <c r="AH1180" s="2"/>
      <c r="AI1180" s="2"/>
      <c r="AJ1180" s="2"/>
      <c r="AK1180" s="2"/>
      <c r="AL1180" s="2"/>
    </row>
    <row r="1181" spans="1:38" ht="12.75" customHeight="1" x14ac:dyDescent="0.25">
      <c r="A1181" s="2"/>
      <c r="B1181" s="178"/>
      <c r="C1181" s="779"/>
      <c r="D1181" s="416"/>
      <c r="E1181" s="2596" t="str">
        <f>Translations!$B$633</f>
        <v>De uppgifter som anges här påverkar de utsläpp som kan tillskrivas i enlighet med avsnitt 10.1.5 i bilaga VII till FAR.</v>
      </c>
      <c r="F1181" s="1960"/>
      <c r="G1181" s="1960"/>
      <c r="H1181" s="1960"/>
      <c r="I1181" s="1960"/>
      <c r="J1181" s="1960"/>
      <c r="K1181" s="1960"/>
      <c r="L1181" s="1960"/>
      <c r="M1181" s="1960"/>
      <c r="N1181" s="2597"/>
      <c r="O1181" s="15"/>
      <c r="P1181" s="15"/>
      <c r="Q1181" s="343"/>
      <c r="R1181" s="2"/>
      <c r="S1181" s="343"/>
      <c r="T1181" s="343"/>
      <c r="U1181" s="343"/>
      <c r="V1181" s="343"/>
      <c r="W1181" s="2"/>
      <c r="X1181" s="2"/>
      <c r="Y1181" s="2"/>
      <c r="Z1181" s="2"/>
      <c r="AA1181" s="2"/>
      <c r="AB1181" s="2"/>
      <c r="AC1181" s="2"/>
      <c r="AD1181" s="2"/>
      <c r="AE1181" s="2"/>
      <c r="AF1181" s="2"/>
      <c r="AG1181" s="2"/>
      <c r="AH1181" s="2"/>
      <c r="AI1181" s="2"/>
      <c r="AJ1181" s="2"/>
      <c r="AK1181" s="2"/>
      <c r="AL1181" s="2"/>
    </row>
    <row r="1182" spans="1:38" ht="25.5" customHeight="1" x14ac:dyDescent="0.25">
      <c r="A1182" s="2"/>
      <c r="B1182" s="178"/>
      <c r="C1182" s="779"/>
      <c r="D1182" s="416"/>
      <c r="E1182" s="2610" t="str">
        <f>Translations!$B$639</f>
        <v>Detta innefattar alla restgastyper som produceras inom delanläggningens systemgränser och som exporteras från delanläggningen till en annan delanläggning samt till eventuella andra anläggningar eller enheter.</v>
      </c>
      <c r="F1182" s="1960"/>
      <c r="G1182" s="1960"/>
      <c r="H1182" s="1960"/>
      <c r="I1182" s="1960"/>
      <c r="J1182" s="1960"/>
      <c r="K1182" s="1960"/>
      <c r="L1182" s="1960"/>
      <c r="M1182" s="1960"/>
      <c r="N1182" s="2597"/>
      <c r="O1182" s="15"/>
      <c r="P1182" s="15"/>
      <c r="Q1182" s="343"/>
      <c r="R1182" s="2"/>
      <c r="S1182" s="343"/>
      <c r="T1182" s="343"/>
      <c r="U1182" s="343"/>
      <c r="V1182" s="343"/>
      <c r="W1182" s="2"/>
      <c r="X1182" s="2"/>
      <c r="Y1182" s="2"/>
      <c r="Z1182" s="2"/>
      <c r="AA1182" s="2"/>
      <c r="AB1182" s="2"/>
      <c r="AC1182" s="2"/>
      <c r="AD1182" s="2"/>
      <c r="AE1182" s="2"/>
      <c r="AF1182" s="2"/>
      <c r="AG1182" s="2"/>
      <c r="AH1182" s="2"/>
      <c r="AI1182" s="2"/>
      <c r="AJ1182" s="2"/>
      <c r="AK1182" s="2"/>
      <c r="AL1182" s="2"/>
    </row>
    <row r="1183" spans="1:38" ht="12.75" customHeight="1" thickBot="1" x14ac:dyDescent="0.3">
      <c r="A1183" s="2"/>
      <c r="B1183" s="178"/>
      <c r="C1183" s="779"/>
      <c r="D1183" s="780"/>
      <c r="E1183" s="1716"/>
      <c r="F1183" s="1717"/>
      <c r="G1183" s="361" t="str">
        <f>EUconst_Unit</f>
        <v>Enhet</v>
      </c>
      <c r="H1183" s="362">
        <f t="shared" ref="H1183:N1183" si="531">H$3042</f>
        <v>2019</v>
      </c>
      <c r="I1183" s="1103">
        <f t="shared" si="531"/>
        <v>2020</v>
      </c>
      <c r="J1183" s="1104">
        <f t="shared" si="531"/>
        <v>2021</v>
      </c>
      <c r="K1183" s="362">
        <f t="shared" si="531"/>
        <v>2022</v>
      </c>
      <c r="L1183" s="362">
        <f t="shared" si="531"/>
        <v>2023</v>
      </c>
      <c r="M1183" s="362">
        <f t="shared" si="531"/>
        <v>2024</v>
      </c>
      <c r="N1183" s="1141">
        <f t="shared" si="531"/>
        <v>2025</v>
      </c>
      <c r="O1183" s="15"/>
      <c r="P1183" s="15"/>
      <c r="Q1183" s="343"/>
      <c r="R1183" s="2"/>
      <c r="S1183" s="343"/>
      <c r="T1183" s="343"/>
      <c r="U1183" s="343"/>
      <c r="V1183" s="343"/>
      <c r="W1183" s="2"/>
      <c r="X1183" s="2"/>
      <c r="Y1183" s="2"/>
      <c r="Z1183" s="2"/>
      <c r="AA1183" s="2"/>
      <c r="AB1183" s="2"/>
      <c r="AC1183" s="1044">
        <f t="shared" ref="AC1183:AI1183" si="532">H$20</f>
        <v>2019</v>
      </c>
      <c r="AD1183" s="1044">
        <f t="shared" si="532"/>
        <v>2020</v>
      </c>
      <c r="AE1183" s="1044">
        <f t="shared" si="532"/>
        <v>2021</v>
      </c>
      <c r="AF1183" s="1044">
        <f t="shared" si="532"/>
        <v>2022</v>
      </c>
      <c r="AG1183" s="1044">
        <f t="shared" si="532"/>
        <v>2023</v>
      </c>
      <c r="AH1183" s="1044">
        <f t="shared" si="532"/>
        <v>2024</v>
      </c>
      <c r="AI1183" s="1044">
        <f t="shared" si="532"/>
        <v>2025</v>
      </c>
      <c r="AJ1183" s="2"/>
      <c r="AK1183" s="2"/>
      <c r="AL1183" s="2"/>
    </row>
    <row r="1184" spans="1:38" ht="12.75" customHeight="1" x14ac:dyDescent="0.25">
      <c r="A1184" s="2"/>
      <c r="B1184" s="178"/>
      <c r="C1184" s="779"/>
      <c r="D1184" s="416" t="s">
        <v>1211</v>
      </c>
      <c r="E1184" s="2611" t="str">
        <f>Translations!$B$640</f>
        <v>Exporterade mängder</v>
      </c>
      <c r="F1184" s="2484"/>
      <c r="G1184" s="1314"/>
      <c r="H1184" s="1298"/>
      <c r="I1184" s="1299"/>
      <c r="J1184" s="1300"/>
      <c r="K1184" s="1298"/>
      <c r="L1184" s="1298"/>
      <c r="M1184" s="1298"/>
      <c r="N1184" s="1301"/>
      <c r="O1184" s="15"/>
      <c r="P1184" s="1362"/>
      <c r="Q1184" s="343"/>
      <c r="R1184" s="2"/>
      <c r="S1184" s="343"/>
      <c r="T1184" s="343"/>
      <c r="U1184" s="343"/>
      <c r="V1184" s="343"/>
      <c r="W1184" s="2"/>
      <c r="X1184" s="2"/>
      <c r="Y1184" s="2"/>
      <c r="Z1184" s="2"/>
      <c r="AA1184" s="2"/>
      <c r="AB1184" s="672" t="s">
        <v>782</v>
      </c>
      <c r="AC1184" s="108" t="b">
        <f>AC1131</f>
        <v>0</v>
      </c>
      <c r="AD1184" s="108" t="b">
        <f t="shared" ref="AD1184:AI1184" si="533">AD1131</f>
        <v>0</v>
      </c>
      <c r="AE1184" s="108" t="b">
        <f t="shared" si="533"/>
        <v>0</v>
      </c>
      <c r="AF1184" s="108" t="b">
        <f t="shared" si="533"/>
        <v>0</v>
      </c>
      <c r="AG1184" s="108" t="b">
        <f t="shared" si="533"/>
        <v>0</v>
      </c>
      <c r="AH1184" s="108" t="b">
        <f t="shared" si="533"/>
        <v>0</v>
      </c>
      <c r="AI1184" s="108" t="b">
        <f t="shared" si="533"/>
        <v>0</v>
      </c>
      <c r="AJ1184" s="553" t="s">
        <v>2248</v>
      </c>
      <c r="AK1184" s="663" t="str">
        <f>IF(AND(CNTR_ExistSubInstEntries,MSconst_RequireSubAttrEmissions,COUNTIFS(AC1184:AI1184,FALSE,H1184:N1184,"")&gt;0),EUconst_Error&amp;"BM"&amp;$Q919,"")</f>
        <v/>
      </c>
      <c r="AL1184" s="2"/>
    </row>
    <row r="1185" spans="1:38" ht="12.75" customHeight="1" thickBot="1" x14ac:dyDescent="0.3">
      <c r="A1185" s="2"/>
      <c r="B1185" s="178"/>
      <c r="C1185" s="779"/>
      <c r="D1185" s="416" t="s">
        <v>1733</v>
      </c>
      <c r="E1185" s="2612" t="str">
        <f>Translations!$B$318</f>
        <v>Effektivt värmevärde</v>
      </c>
      <c r="F1185" s="2487"/>
      <c r="G1185" s="51" t="str">
        <f>IF(ISBLANK(G1184),EUconst_GJperUnit,INDEX(EUconst_GJperTorKNm3,MATCH(G1184,EUconst_TonnesOrkNm3pa,0)))</f>
        <v>GJ / Enhet</v>
      </c>
      <c r="H1185" s="1306"/>
      <c r="I1185" s="1307"/>
      <c r="J1185" s="1308"/>
      <c r="K1185" s="1306"/>
      <c r="L1185" s="1306"/>
      <c r="M1185" s="1306"/>
      <c r="N1185" s="1309"/>
      <c r="O1185" s="15"/>
      <c r="P1185" s="1362"/>
      <c r="Q1185" s="343"/>
      <c r="R1185" s="2"/>
      <c r="S1185" s="343"/>
      <c r="T1185" s="343"/>
      <c r="U1185" s="343"/>
      <c r="V1185" s="343"/>
      <c r="W1185" s="2"/>
      <c r="X1185" s="2"/>
      <c r="Y1185" s="2"/>
      <c r="Z1185" s="2"/>
      <c r="AA1185" s="2"/>
      <c r="AB1185" s="2"/>
      <c r="AC1185" s="108" t="b">
        <f>AC1184</f>
        <v>0</v>
      </c>
      <c r="AD1185" s="108" t="b">
        <f t="shared" ref="AD1185:AI1185" si="534">AD1184</f>
        <v>0</v>
      </c>
      <c r="AE1185" s="108" t="b">
        <f t="shared" si="534"/>
        <v>0</v>
      </c>
      <c r="AF1185" s="108" t="b">
        <f t="shared" si="534"/>
        <v>0</v>
      </c>
      <c r="AG1185" s="108" t="b">
        <f t="shared" si="534"/>
        <v>0</v>
      </c>
      <c r="AH1185" s="108" t="b">
        <f t="shared" si="534"/>
        <v>0</v>
      </c>
      <c r="AI1185" s="108" t="b">
        <f t="shared" si="534"/>
        <v>0</v>
      </c>
      <c r="AJ1185" s="553" t="s">
        <v>2248</v>
      </c>
      <c r="AK1185" s="663" t="str">
        <f>IF(AND(CNTR_ExistSubInstEntries,MSconst_RequireSubAttrEmissions,COUNTIFS(AC1185:AI1185,FALSE,H1185:N1185,"")&gt;0),EUconst_Error&amp;"BM"&amp;$Q919,"")</f>
        <v/>
      </c>
      <c r="AL1185" s="2"/>
    </row>
    <row r="1186" spans="1:38" ht="12.75" customHeight="1" x14ac:dyDescent="0.25">
      <c r="A1186" s="2"/>
      <c r="B1186" s="178"/>
      <c r="C1186" s="779"/>
      <c r="D1186" s="416" t="s">
        <v>1787</v>
      </c>
      <c r="E1186" s="2613" t="str">
        <f>Translations!$B$641</f>
        <v>Exporterad restgas</v>
      </c>
      <c r="F1186" s="1997"/>
      <c r="G1186" s="364" t="str">
        <f>EUconst_TJpa</f>
        <v>TJ / år</v>
      </c>
      <c r="H1186" s="351" t="str">
        <f t="shared" ref="H1186:N1186" si="535">IF(COUNT(H1184:H1185)=2,H1184*H1185/1000,"")</f>
        <v/>
      </c>
      <c r="I1186" s="1107" t="str">
        <f t="shared" si="535"/>
        <v/>
      </c>
      <c r="J1186" s="1113" t="str">
        <f t="shared" si="535"/>
        <v/>
      </c>
      <c r="K1186" s="351" t="str">
        <f t="shared" si="535"/>
        <v/>
      </c>
      <c r="L1186" s="351" t="str">
        <f t="shared" si="535"/>
        <v/>
      </c>
      <c r="M1186" s="351" t="str">
        <f t="shared" si="535"/>
        <v/>
      </c>
      <c r="N1186" s="1148" t="str">
        <f t="shared" si="535"/>
        <v/>
      </c>
      <c r="O1186" s="15"/>
      <c r="P1186" s="15"/>
      <c r="Q1186" s="165" t="str">
        <f>EUconst_CNTR_WGExport &amp; I919</f>
        <v>WasteGasEx_</v>
      </c>
      <c r="R1186" s="2"/>
      <c r="S1186" s="772"/>
      <c r="T1186" s="609">
        <f t="shared" ref="T1186:Z1186" si="536">H1183</f>
        <v>2019</v>
      </c>
      <c r="U1186" s="609">
        <f t="shared" si="536"/>
        <v>2020</v>
      </c>
      <c r="V1186" s="609">
        <f t="shared" si="536"/>
        <v>2021</v>
      </c>
      <c r="W1186" s="609">
        <f t="shared" si="536"/>
        <v>2022</v>
      </c>
      <c r="X1186" s="609">
        <f t="shared" si="536"/>
        <v>2023</v>
      </c>
      <c r="Y1186" s="609">
        <f t="shared" si="536"/>
        <v>2024</v>
      </c>
      <c r="Z1186" s="610">
        <f t="shared" si="536"/>
        <v>2025</v>
      </c>
      <c r="AA1186" s="2"/>
      <c r="AB1186" s="2"/>
      <c r="AC1186" s="2"/>
      <c r="AD1186" s="2"/>
      <c r="AE1186" s="2"/>
      <c r="AF1186" s="2"/>
      <c r="AG1186" s="2"/>
      <c r="AH1186" s="2"/>
      <c r="AI1186" s="2"/>
      <c r="AJ1186" s="2"/>
      <c r="AK1186" s="2"/>
      <c r="AL1186" s="2"/>
    </row>
    <row r="1187" spans="1:38" s="534" customFormat="1" ht="12.75" customHeight="1" thickBot="1" x14ac:dyDescent="0.3">
      <c r="A1187" s="2"/>
      <c r="B1187" s="178"/>
      <c r="C1187" s="779"/>
      <c r="D1187" s="416" t="s">
        <v>1788</v>
      </c>
      <c r="E1187" s="2613" t="str">
        <f>Translations!$B$642</f>
        <v>Särskild emissionsfaktor (exporterad restgas)</v>
      </c>
      <c r="F1187" s="1997"/>
      <c r="G1187" s="363" t="str">
        <f>EUconst_tCO2pTJ</f>
        <v>t CO2 / TJ</v>
      </c>
      <c r="H1187" s="1315"/>
      <c r="I1187" s="1316"/>
      <c r="J1187" s="1317"/>
      <c r="K1187" s="1315"/>
      <c r="L1187" s="1315"/>
      <c r="M1187" s="1315"/>
      <c r="N1187" s="1318"/>
      <c r="O1187" s="15"/>
      <c r="P1187" s="1362"/>
      <c r="Q1187" s="165" t="str">
        <f>EUconst_CNTR_WGExportEF &amp; I919</f>
        <v>WasteGasExEF_</v>
      </c>
      <c r="R1187" s="343"/>
      <c r="S1187" s="773" t="str">
        <f>EUconst_CNTR_AttributedEmissions &amp; I919</f>
        <v>AttrEmissions_</v>
      </c>
      <c r="T1187" s="111" t="str">
        <f t="shared" ref="T1187:Z1187" si="537">IF(T927,-SUM(H1186)*EUconst_NGEFvalue*EUconst_WasteGasCorrFactor,"")</f>
        <v/>
      </c>
      <c r="U1187" s="111" t="str">
        <f t="shared" si="537"/>
        <v/>
      </c>
      <c r="V1187" s="111" t="str">
        <f t="shared" si="537"/>
        <v/>
      </c>
      <c r="W1187" s="111" t="str">
        <f t="shared" si="537"/>
        <v/>
      </c>
      <c r="X1187" s="111" t="str">
        <f t="shared" si="537"/>
        <v/>
      </c>
      <c r="Y1187" s="111" t="str">
        <f t="shared" si="537"/>
        <v/>
      </c>
      <c r="Z1187" s="112" t="str">
        <f t="shared" si="537"/>
        <v/>
      </c>
      <c r="AA1187" s="343"/>
      <c r="AB1187" s="672" t="s">
        <v>782</v>
      </c>
      <c r="AC1187" s="108" t="b">
        <f t="shared" ref="AC1187:AI1187" si="538">AC1134</f>
        <v>0</v>
      </c>
      <c r="AD1187" s="108" t="b">
        <f t="shared" si="538"/>
        <v>0</v>
      </c>
      <c r="AE1187" s="108" t="b">
        <f t="shared" si="538"/>
        <v>0</v>
      </c>
      <c r="AF1187" s="108" t="b">
        <f t="shared" si="538"/>
        <v>0</v>
      </c>
      <c r="AG1187" s="108" t="b">
        <f t="shared" si="538"/>
        <v>0</v>
      </c>
      <c r="AH1187" s="108" t="b">
        <f t="shared" si="538"/>
        <v>0</v>
      </c>
      <c r="AI1187" s="108" t="b">
        <f t="shared" si="538"/>
        <v>0</v>
      </c>
      <c r="AJ1187" s="553" t="s">
        <v>2248</v>
      </c>
      <c r="AK1187" s="663" t="str">
        <f>IF(AND(CNTR_ExistSubInstEntries,MSconst_RequireSubAttrEmissions,COUNTIFS(AC1187:AI1187,FALSE,H1187:N1187,"")&gt;0),EUconst_Error&amp;"BM"&amp;$Q919,"")</f>
        <v/>
      </c>
      <c r="AL1187" s="2"/>
    </row>
    <row r="1188" spans="1:38" ht="12.75" customHeight="1" x14ac:dyDescent="0.25">
      <c r="A1188" s="2"/>
      <c r="B1188" s="178"/>
      <c r="C1188" s="779"/>
      <c r="D1188" s="780"/>
      <c r="E1188" s="780"/>
      <c r="F1188" s="780"/>
      <c r="G1188" s="780"/>
      <c r="H1188" s="780"/>
      <c r="I1188" s="1805"/>
      <c r="J1188" s="780"/>
      <c r="K1188" s="780"/>
      <c r="L1188" s="780"/>
      <c r="M1188" s="780"/>
      <c r="N1188" s="519"/>
      <c r="O1188" s="15"/>
      <c r="P1188" s="15"/>
      <c r="Q1188" s="343"/>
      <c r="R1188" s="2"/>
      <c r="S1188" s="343"/>
      <c r="T1188" s="2"/>
      <c r="U1188" s="2"/>
      <c r="V1188" s="2"/>
      <c r="W1188" s="2"/>
      <c r="X1188" s="2"/>
      <c r="Y1188" s="2"/>
      <c r="Z1188" s="2"/>
      <c r="AA1188" s="2"/>
      <c r="AB1188" s="2"/>
      <c r="AC1188" s="2"/>
      <c r="AD1188" s="2"/>
      <c r="AE1188" s="2"/>
      <c r="AF1188" s="2"/>
      <c r="AG1188" s="2"/>
      <c r="AH1188" s="2"/>
      <c r="AI1188" s="2"/>
      <c r="AJ1188" s="2"/>
      <c r="AK1188" s="2"/>
      <c r="AL1188" s="2"/>
    </row>
    <row r="1189" spans="1:38" ht="12.75" customHeight="1" x14ac:dyDescent="0.25">
      <c r="A1189" s="2"/>
      <c r="B1189" s="178"/>
      <c r="C1189" s="779"/>
      <c r="D1189" s="373" t="s">
        <v>527</v>
      </c>
      <c r="E1189" s="2614" t="str">
        <f>Translations!$B$268</f>
        <v>Elproduktion</v>
      </c>
      <c r="F1189" s="1960"/>
      <c r="G1189" s="1960"/>
      <c r="H1189" s="1960"/>
      <c r="I1189" s="1960"/>
      <c r="J1189" s="1960"/>
      <c r="K1189" s="1960"/>
      <c r="L1189" s="1960"/>
      <c r="M1189" s="1960"/>
      <c r="N1189" s="2597"/>
      <c r="O1189" s="15"/>
      <c r="P1189" s="15"/>
      <c r="Q1189" s="343"/>
      <c r="R1189" s="2"/>
      <c r="S1189" s="343"/>
      <c r="T1189" s="2"/>
      <c r="U1189" s="2"/>
      <c r="V1189" s="2"/>
      <c r="W1189" s="2"/>
      <c r="X1189" s="2"/>
      <c r="Y1189" s="2"/>
      <c r="Z1189" s="2"/>
      <c r="AA1189" s="2"/>
      <c r="AB1189" s="2"/>
      <c r="AC1189" s="2"/>
      <c r="AD1189" s="2"/>
      <c r="AE1189" s="2"/>
      <c r="AF1189" s="2"/>
      <c r="AG1189" s="2"/>
      <c r="AH1189" s="2"/>
      <c r="AI1189" s="2"/>
      <c r="AJ1189" s="2"/>
      <c r="AK1189" s="2"/>
      <c r="AL1189" s="2"/>
    </row>
    <row r="1190" spans="1:38" ht="12.75" customHeight="1" x14ac:dyDescent="0.25">
      <c r="A1190" s="2"/>
      <c r="B1190" s="178"/>
      <c r="C1190" s="779"/>
      <c r="D1190" s="416"/>
      <c r="E1190" s="2596" t="str">
        <f>Translations!$B$643</f>
        <v>De uppgifter som anges här påverkar de utsläpp som kan tillskrivas i enlighet med kapitel 10 i bilaga VII till FAR.</v>
      </c>
      <c r="F1190" s="1960"/>
      <c r="G1190" s="1960"/>
      <c r="H1190" s="1960"/>
      <c r="I1190" s="1960"/>
      <c r="J1190" s="1960"/>
      <c r="K1190" s="1960"/>
      <c r="L1190" s="1960"/>
      <c r="M1190" s="1960"/>
      <c r="N1190" s="2597"/>
      <c r="O1190" s="15"/>
      <c r="P1190" s="15"/>
      <c r="Q1190" s="343"/>
      <c r="R1190" s="2"/>
      <c r="S1190" s="343"/>
      <c r="T1190" s="343"/>
      <c r="U1190" s="343"/>
      <c r="V1190" s="343"/>
      <c r="W1190" s="2"/>
      <c r="X1190" s="2"/>
      <c r="Y1190" s="2"/>
      <c r="Z1190" s="2"/>
      <c r="AA1190" s="2"/>
      <c r="AB1190" s="2"/>
      <c r="AC1190" s="2"/>
      <c r="AD1190" s="2"/>
      <c r="AE1190" s="2"/>
      <c r="AF1190" s="2"/>
      <c r="AG1190" s="2"/>
      <c r="AH1190" s="2"/>
      <c r="AI1190" s="2"/>
      <c r="AJ1190" s="2"/>
      <c r="AK1190" s="2"/>
      <c r="AL1190" s="2"/>
    </row>
    <row r="1191" spans="1:38" ht="25.5" customHeight="1" thickBot="1" x14ac:dyDescent="0.3">
      <c r="A1191" s="2"/>
      <c r="B1191" s="178"/>
      <c r="C1191" s="779"/>
      <c r="D1191" s="780"/>
      <c r="E1191" s="2610" t="str">
        <f>Translations!$B$644</f>
        <v>Detta innefattar el som produceras direkt från delanläggningen i enlighet med avsnitt 3.1 (i) i bilaga IV till FAR. El som produceras via intermediär mätbar värme bör inte anges här utan som export av mätbar värme i punkt k.v ovan.</v>
      </c>
      <c r="F1191" s="1960"/>
      <c r="G1191" s="1960"/>
      <c r="H1191" s="1960"/>
      <c r="I1191" s="1960"/>
      <c r="J1191" s="1960"/>
      <c r="K1191" s="1960"/>
      <c r="L1191" s="1960"/>
      <c r="M1191" s="1960"/>
      <c r="N1191" s="2597"/>
      <c r="O1191" s="15"/>
      <c r="P1191" s="15"/>
      <c r="Q1191" s="343"/>
      <c r="R1191" s="2"/>
      <c r="S1191" s="343"/>
      <c r="T1191" s="2"/>
      <c r="U1191" s="2"/>
      <c r="V1191" s="2"/>
      <c r="W1191" s="2"/>
      <c r="X1191" s="2"/>
      <c r="Y1191" s="2"/>
      <c r="Z1191" s="2"/>
      <c r="AA1191" s="2"/>
      <c r="AB1191" s="2"/>
      <c r="AC1191" s="2"/>
      <c r="AD1191" s="2"/>
      <c r="AE1191" s="2"/>
      <c r="AF1191" s="2"/>
      <c r="AG1191" s="2"/>
      <c r="AH1191" s="2"/>
      <c r="AI1191" s="2"/>
      <c r="AJ1191" s="2"/>
      <c r="AK1191" s="2"/>
      <c r="AL1191" s="2"/>
    </row>
    <row r="1192" spans="1:38" ht="12.75" customHeight="1" thickBot="1" x14ac:dyDescent="0.3">
      <c r="A1192" s="2"/>
      <c r="B1192" s="178"/>
      <c r="C1192" s="779"/>
      <c r="D1192" s="373"/>
      <c r="E1192" s="1716"/>
      <c r="F1192" s="1717"/>
      <c r="G1192" s="361" t="str">
        <f>EUconst_Unit</f>
        <v>Enhet</v>
      </c>
      <c r="H1192" s="362">
        <f t="shared" ref="H1192:N1192" si="539">H$3042</f>
        <v>2019</v>
      </c>
      <c r="I1192" s="1103">
        <f t="shared" si="539"/>
        <v>2020</v>
      </c>
      <c r="J1192" s="1104">
        <f t="shared" si="539"/>
        <v>2021</v>
      </c>
      <c r="K1192" s="362">
        <f t="shared" si="539"/>
        <v>2022</v>
      </c>
      <c r="L1192" s="362">
        <f t="shared" si="539"/>
        <v>2023</v>
      </c>
      <c r="M1192" s="362">
        <f t="shared" si="539"/>
        <v>2024</v>
      </c>
      <c r="N1192" s="1141">
        <f t="shared" si="539"/>
        <v>2025</v>
      </c>
      <c r="O1192" s="15"/>
      <c r="P1192" s="15"/>
      <c r="Q1192" s="343"/>
      <c r="R1192" s="2"/>
      <c r="S1192" s="772"/>
      <c r="T1192" s="609">
        <f t="shared" ref="T1192:Z1192" si="540">H1192</f>
        <v>2019</v>
      </c>
      <c r="U1192" s="609">
        <f t="shared" si="540"/>
        <v>2020</v>
      </c>
      <c r="V1192" s="609">
        <f t="shared" si="540"/>
        <v>2021</v>
      </c>
      <c r="W1192" s="609">
        <f t="shared" si="540"/>
        <v>2022</v>
      </c>
      <c r="X1192" s="609">
        <f t="shared" si="540"/>
        <v>2023</v>
      </c>
      <c r="Y1192" s="609">
        <f t="shared" si="540"/>
        <v>2024</v>
      </c>
      <c r="Z1192" s="610">
        <f t="shared" si="540"/>
        <v>2025</v>
      </c>
      <c r="AA1192" s="2"/>
      <c r="AB1192" s="2"/>
      <c r="AC1192" s="1044">
        <f t="shared" ref="AC1192:AI1192" si="541">H$20</f>
        <v>2019</v>
      </c>
      <c r="AD1192" s="1044">
        <f t="shared" si="541"/>
        <v>2020</v>
      </c>
      <c r="AE1192" s="1044">
        <f t="shared" si="541"/>
        <v>2021</v>
      </c>
      <c r="AF1192" s="1044">
        <f t="shared" si="541"/>
        <v>2022</v>
      </c>
      <c r="AG1192" s="1044">
        <f t="shared" si="541"/>
        <v>2023</v>
      </c>
      <c r="AH1192" s="1044">
        <f t="shared" si="541"/>
        <v>2024</v>
      </c>
      <c r="AI1192" s="1044">
        <f t="shared" si="541"/>
        <v>2025</v>
      </c>
      <c r="AJ1192" s="2"/>
      <c r="AK1192" s="2"/>
      <c r="AL1192" s="2"/>
    </row>
    <row r="1193" spans="1:38" ht="12.75" customHeight="1" thickBot="1" x14ac:dyDescent="0.3">
      <c r="A1193" s="2"/>
      <c r="B1193" s="178"/>
      <c r="C1193" s="779"/>
      <c r="D1193" s="416"/>
      <c r="E1193" s="2613" t="str">
        <f>Translations!$B$645</f>
        <v>Producerad el</v>
      </c>
      <c r="F1193" s="1997"/>
      <c r="G1193" s="364" t="str">
        <f>EUconst_MWhpa</f>
        <v>MWh / år</v>
      </c>
      <c r="H1193" s="582"/>
      <c r="I1193" s="1105"/>
      <c r="J1193" s="1115"/>
      <c r="K1193" s="582"/>
      <c r="L1193" s="582"/>
      <c r="M1193" s="582"/>
      <c r="N1193" s="1146"/>
      <c r="O1193" s="15"/>
      <c r="P1193" s="1362"/>
      <c r="Q1193" s="165" t="str">
        <f>EUconst_CNTR_ElectricityExported &amp; I919</f>
        <v>ElecEx_</v>
      </c>
      <c r="R1193" s="2"/>
      <c r="S1193" s="773" t="str">
        <f>EUconst_CNTR_AttributedEmissions &amp; I919</f>
        <v>AttrEmissions_</v>
      </c>
      <c r="T1193" s="111" t="str">
        <f t="shared" ref="T1193:Z1193" si="542">IF(T927,-SUM(H1193)*EUconst_ElBM,"")</f>
        <v/>
      </c>
      <c r="U1193" s="111" t="str">
        <f t="shared" si="542"/>
        <v/>
      </c>
      <c r="V1193" s="111" t="str">
        <f t="shared" si="542"/>
        <v/>
      </c>
      <c r="W1193" s="111" t="str">
        <f t="shared" si="542"/>
        <v/>
      </c>
      <c r="X1193" s="111" t="str">
        <f t="shared" si="542"/>
        <v/>
      </c>
      <c r="Y1193" s="111" t="str">
        <f t="shared" si="542"/>
        <v/>
      </c>
      <c r="Z1193" s="112" t="str">
        <f t="shared" si="542"/>
        <v/>
      </c>
      <c r="AA1193" s="2"/>
      <c r="AB1193" s="672" t="s">
        <v>782</v>
      </c>
      <c r="AC1193" s="108" t="b">
        <f>AC989</f>
        <v>0</v>
      </c>
      <c r="AD1193" s="108" t="b">
        <f t="shared" ref="AD1193:AI1193" si="543">AD989</f>
        <v>0</v>
      </c>
      <c r="AE1193" s="108" t="b">
        <f t="shared" si="543"/>
        <v>0</v>
      </c>
      <c r="AF1193" s="108" t="b">
        <f t="shared" si="543"/>
        <v>0</v>
      </c>
      <c r="AG1193" s="108" t="b">
        <f t="shared" si="543"/>
        <v>0</v>
      </c>
      <c r="AH1193" s="108" t="b">
        <f t="shared" si="543"/>
        <v>0</v>
      </c>
      <c r="AI1193" s="108" t="b">
        <f t="shared" si="543"/>
        <v>0</v>
      </c>
      <c r="AJ1193" s="553" t="s">
        <v>2248</v>
      </c>
      <c r="AK1193" s="663" t="str">
        <f>IF(AND(CNTR_ExistSubInstEntries,MSconst_RequireSubAttrEmissions,COUNTIFS(AC1193:AI1193,FALSE,H1193:N1193,"")&gt;0),EUconst_Error&amp;"BM"&amp;$Q919,"")</f>
        <v/>
      </c>
      <c r="AL1193" s="2"/>
    </row>
    <row r="1194" spans="1:38" ht="12.75" customHeight="1" x14ac:dyDescent="0.25">
      <c r="A1194" s="2"/>
      <c r="B1194" s="178"/>
      <c r="C1194" s="779"/>
      <c r="D1194" s="780"/>
      <c r="E1194" s="780"/>
      <c r="F1194" s="780"/>
      <c r="G1194" s="780"/>
      <c r="H1194" s="780"/>
      <c r="I1194" s="1805"/>
      <c r="J1194" s="780"/>
      <c r="K1194" s="780"/>
      <c r="L1194" s="780"/>
      <c r="M1194" s="780"/>
      <c r="N1194" s="519"/>
      <c r="O1194" s="15"/>
      <c r="P1194" s="15"/>
      <c r="Q1194" s="343"/>
      <c r="R1194" s="2"/>
      <c r="S1194" s="343"/>
      <c r="T1194" s="2"/>
      <c r="U1194" s="2"/>
      <c r="V1194" s="343"/>
      <c r="W1194" s="2"/>
      <c r="X1194" s="2"/>
      <c r="Y1194" s="2"/>
      <c r="Z1194" s="2"/>
      <c r="AA1194" s="2"/>
      <c r="AB1194" s="2"/>
      <c r="AC1194" s="2"/>
      <c r="AD1194" s="2"/>
      <c r="AE1194" s="2"/>
      <c r="AF1194" s="2"/>
      <c r="AG1194" s="2"/>
      <c r="AH1194" s="2"/>
      <c r="AI1194" s="2"/>
      <c r="AJ1194" s="2"/>
      <c r="AK1194" s="2"/>
      <c r="AL1194" s="2"/>
    </row>
    <row r="1195" spans="1:38" ht="12.75" customHeight="1" x14ac:dyDescent="0.25">
      <c r="A1195" s="2"/>
      <c r="B1195" s="178"/>
      <c r="C1195" s="779"/>
      <c r="D1195" s="373" t="s">
        <v>271</v>
      </c>
      <c r="E1195" s="2614" t="str">
        <f>Translations!$B$646</f>
        <v>Total producerad massamängd</v>
      </c>
      <c r="F1195" s="1960"/>
      <c r="G1195" s="1960"/>
      <c r="H1195" s="1960"/>
      <c r="I1195" s="1960"/>
      <c r="J1195" s="1960"/>
      <c r="K1195" s="1960"/>
      <c r="L1195" s="1960"/>
      <c r="M1195" s="1960"/>
      <c r="N1195" s="2597"/>
      <c r="O1195" s="15"/>
      <c r="P1195" s="15"/>
      <c r="Q1195" s="2"/>
      <c r="R1195" s="2"/>
      <c r="S1195" s="2"/>
      <c r="T1195" s="2"/>
      <c r="U1195" s="2"/>
      <c r="V1195" s="343"/>
      <c r="W1195" s="2"/>
      <c r="X1195" s="2"/>
      <c r="Y1195" s="2"/>
      <c r="Z1195" s="2"/>
      <c r="AA1195" s="2"/>
      <c r="AB1195" s="2"/>
      <c r="AC1195" s="2"/>
      <c r="AD1195" s="2"/>
      <c r="AE1195" s="2"/>
      <c r="AF1195" s="2"/>
      <c r="AG1195" s="2"/>
      <c r="AH1195" s="2"/>
      <c r="AI1195" s="2"/>
      <c r="AJ1195" s="2"/>
      <c r="AK1195" s="2"/>
      <c r="AL1195" s="2"/>
    </row>
    <row r="1196" spans="1:38" ht="25.5" customHeight="1" x14ac:dyDescent="0.25">
      <c r="A1196" s="2"/>
      <c r="B1196" s="178"/>
      <c r="C1196" s="779"/>
      <c r="D1196" s="780"/>
      <c r="E1196" s="2610" t="str">
        <f>Translations!$B$647</f>
        <v>Enligt avsnitt 2.7 k i bilaga IV till FAR ska det lämnas uppgift om den totala mängden massa som produceras för delanläggningar med produktriktmärke för kortfibrig sulfatmassa, långfibrig sulfatmassa, termomekanisk massa och mekanisk massa samt sulfitmassa.</v>
      </c>
      <c r="F1196" s="1960"/>
      <c r="G1196" s="1960"/>
      <c r="H1196" s="1960"/>
      <c r="I1196" s="1960"/>
      <c r="J1196" s="1960"/>
      <c r="K1196" s="1960"/>
      <c r="L1196" s="1960"/>
      <c r="M1196" s="1960"/>
      <c r="N1196" s="2597"/>
      <c r="O1196" s="15"/>
      <c r="P1196" s="15"/>
      <c r="Q1196" s="343"/>
      <c r="R1196" s="2"/>
      <c r="S1196" s="343"/>
      <c r="T1196" s="2"/>
      <c r="U1196" s="2"/>
      <c r="V1196" s="343"/>
      <c r="W1196" s="2"/>
      <c r="X1196" s="2"/>
      <c r="Y1196" s="2"/>
      <c r="Z1196" s="2"/>
      <c r="AA1196" s="2"/>
      <c r="AB1196" s="2"/>
      <c r="AC1196" s="2"/>
      <c r="AD1196" s="2"/>
      <c r="AE1196" s="2"/>
      <c r="AF1196" s="2"/>
      <c r="AG1196" s="2"/>
      <c r="AH1196" s="2"/>
      <c r="AI1196" s="2"/>
      <c r="AJ1196" s="2"/>
      <c r="AK1196" s="2"/>
      <c r="AL1196" s="2"/>
    </row>
    <row r="1197" spans="1:38" ht="12.75" customHeight="1" x14ac:dyDescent="0.25">
      <c r="A1197" s="2"/>
      <c r="B1197" s="178"/>
      <c r="C1197" s="779"/>
      <c r="D1197" s="780"/>
      <c r="E1197" s="2610" t="str">
        <f>Translations!$B$648</f>
        <v>Avsnittet kommer att gråmarkeras om det inte rör sig om någon massaproducerande delanläggning av dessa slag. Var god gå vidare till nedanstående punkter, i sådana fall.</v>
      </c>
      <c r="F1197" s="1960"/>
      <c r="G1197" s="1960"/>
      <c r="H1197" s="1960"/>
      <c r="I1197" s="1960"/>
      <c r="J1197" s="1960"/>
      <c r="K1197" s="1960"/>
      <c r="L1197" s="1960"/>
      <c r="M1197" s="1960"/>
      <c r="N1197" s="2597"/>
      <c r="O1197" s="15"/>
      <c r="P1197" s="15"/>
      <c r="Q1197" s="343"/>
      <c r="R1197" s="2"/>
      <c r="S1197" s="343"/>
      <c r="T1197" s="2"/>
      <c r="U1197" s="2"/>
      <c r="V1197" s="343"/>
      <c r="W1197" s="2"/>
      <c r="X1197" s="2"/>
      <c r="Y1197" s="2"/>
      <c r="Z1197" s="2"/>
      <c r="AA1197" s="2"/>
      <c r="AB1197" s="2"/>
      <c r="AC1197" s="2"/>
      <c r="AD1197" s="2"/>
      <c r="AE1197" s="2"/>
      <c r="AF1197" s="2"/>
      <c r="AG1197" s="2"/>
      <c r="AH1197" s="2"/>
      <c r="AI1197" s="2"/>
      <c r="AJ1197" s="2"/>
      <c r="AK1197" s="2"/>
      <c r="AL1197" s="2"/>
    </row>
    <row r="1198" spans="1:38" ht="12.75" customHeight="1" thickBot="1" x14ac:dyDescent="0.3">
      <c r="A1198" s="2"/>
      <c r="B1198" s="178"/>
      <c r="C1198" s="779"/>
      <c r="D1198" s="416"/>
      <c r="E1198" s="2615" t="str">
        <f>Translations!$B$649</f>
        <v>De uppgifter som anges här är relevanta för uppdateringen av det särskilda riktmärket för massa.</v>
      </c>
      <c r="F1198" s="2497"/>
      <c r="G1198" s="2497"/>
      <c r="H1198" s="2497"/>
      <c r="I1198" s="2497"/>
      <c r="J1198" s="2497"/>
      <c r="K1198" s="2497"/>
      <c r="L1198" s="2497"/>
      <c r="M1198" s="2497"/>
      <c r="N1198" s="2616"/>
      <c r="O1198" s="15"/>
      <c r="P1198" s="15"/>
      <c r="Q1198" s="343"/>
      <c r="R1198" s="2"/>
      <c r="S1198" s="343"/>
      <c r="T1198" s="2"/>
      <c r="U1198" s="2"/>
      <c r="V1198" s="343"/>
      <c r="W1198" s="2"/>
      <c r="X1198" s="2"/>
      <c r="Y1198" s="2"/>
      <c r="Z1198" s="2"/>
      <c r="AA1198" s="2"/>
      <c r="AB1198" s="2"/>
      <c r="AC1198" s="1044">
        <f t="shared" ref="AC1198:AI1198" si="544">H$20</f>
        <v>2019</v>
      </c>
      <c r="AD1198" s="1044">
        <f t="shared" si="544"/>
        <v>2020</v>
      </c>
      <c r="AE1198" s="1044">
        <f t="shared" si="544"/>
        <v>2021</v>
      </c>
      <c r="AF1198" s="1044">
        <f t="shared" si="544"/>
        <v>2022</v>
      </c>
      <c r="AG1198" s="1044">
        <f t="shared" si="544"/>
        <v>2023</v>
      </c>
      <c r="AH1198" s="1044">
        <f t="shared" si="544"/>
        <v>2024</v>
      </c>
      <c r="AI1198" s="1044">
        <f t="shared" si="544"/>
        <v>2025</v>
      </c>
      <c r="AJ1198" s="2"/>
      <c r="AK1198" s="2"/>
      <c r="AL1198" s="2"/>
    </row>
    <row r="1199" spans="1:38" ht="12.75" customHeight="1" x14ac:dyDescent="0.25">
      <c r="A1199" s="2"/>
      <c r="B1199" s="178"/>
      <c r="C1199" s="779"/>
      <c r="D1199" s="416"/>
      <c r="E1199" s="2617" t="str">
        <f>IF(I919="","",IF(INDEX(EUconst_BMlistPulp,MATCH(I919,EUconst_BMlistNames,0)),I919,""))</f>
        <v/>
      </c>
      <c r="F1199" s="1997"/>
      <c r="G1199" s="364" t="str">
        <f>EUconst_Tons</f>
        <v>ton</v>
      </c>
      <c r="H1199" s="582"/>
      <c r="I1199" s="1105"/>
      <c r="J1199" s="1115"/>
      <c r="K1199" s="582"/>
      <c r="L1199" s="582"/>
      <c r="M1199" s="582"/>
      <c r="N1199" s="1146"/>
      <c r="O1199" s="15"/>
      <c r="P1199" s="1362"/>
      <c r="Q1199" s="165" t="str">
        <f>EUconst_CNTR_HALPulpTotal &amp; I919</f>
        <v>HALPulpTotal_</v>
      </c>
      <c r="R1199" s="2"/>
      <c r="S1199" s="343"/>
      <c r="T1199" s="2"/>
      <c r="U1199" s="2"/>
      <c r="V1199" s="2"/>
      <c r="W1199" s="2"/>
      <c r="X1199" s="2"/>
      <c r="Y1199" s="2"/>
      <c r="Z1199" s="2"/>
      <c r="AA1199" s="2"/>
      <c r="AB1199" s="672" t="s">
        <v>782</v>
      </c>
      <c r="AC1199" s="1196" t="b">
        <f t="shared" ref="AC1199:AI1199" si="545">IF($I919&lt;&gt;"",IF(INDEX(EUconst_BMlistPulp,MATCH($I919,EUconst_BMlistNames,0))=TRUE,FALSE,TRUE),AC989)</f>
        <v>0</v>
      </c>
      <c r="AD1199" s="108" t="b">
        <f t="shared" si="545"/>
        <v>0</v>
      </c>
      <c r="AE1199" s="108" t="b">
        <f t="shared" si="545"/>
        <v>0</v>
      </c>
      <c r="AF1199" s="108" t="b">
        <f t="shared" si="545"/>
        <v>0</v>
      </c>
      <c r="AG1199" s="108" t="b">
        <f t="shared" si="545"/>
        <v>0</v>
      </c>
      <c r="AH1199" s="108" t="b">
        <f t="shared" si="545"/>
        <v>0</v>
      </c>
      <c r="AI1199" s="108" t="b">
        <f t="shared" si="545"/>
        <v>0</v>
      </c>
      <c r="AJ1199" s="553" t="s">
        <v>2248</v>
      </c>
      <c r="AK1199" s="663" t="str">
        <f>IF(AND(CNTR_ExistSubInstEntries,MSconst_RequireSubAttrEmissions,COUNTIFS(AC1199:AI1199,FALSE,H1199:N1199,"")&gt;0),EUconst_Error&amp;"BM"&amp;$Q919,"")</f>
        <v/>
      </c>
      <c r="AL1199" s="2"/>
    </row>
    <row r="1200" spans="1:38" ht="12.75" customHeight="1" x14ac:dyDescent="0.25">
      <c r="A1200" s="2"/>
      <c r="B1200" s="178"/>
      <c r="C1200" s="779"/>
      <c r="D1200" s="416"/>
      <c r="E1200" s="416"/>
      <c r="F1200" s="416"/>
      <c r="G1200" s="416"/>
      <c r="H1200" s="1805"/>
      <c r="I1200" s="416"/>
      <c r="J1200" s="416"/>
      <c r="K1200" s="416"/>
      <c r="L1200" s="416"/>
      <c r="M1200" s="416"/>
      <c r="N1200" s="1810"/>
      <c r="O1200" s="15"/>
      <c r="P1200" s="15"/>
      <c r="Q1200" s="343"/>
      <c r="R1200" s="2"/>
      <c r="S1200" s="343"/>
      <c r="T1200" s="2"/>
      <c r="U1200" s="2"/>
      <c r="V1200" s="343"/>
      <c r="W1200" s="2"/>
      <c r="X1200" s="2"/>
      <c r="Y1200" s="2"/>
      <c r="Z1200" s="2"/>
      <c r="AA1200" s="2"/>
      <c r="AB1200" s="2"/>
      <c r="AC1200" s="2"/>
      <c r="AD1200" s="2"/>
      <c r="AE1200" s="2"/>
      <c r="AF1200" s="2"/>
      <c r="AG1200" s="2"/>
      <c r="AH1200" s="2"/>
      <c r="AI1200" s="2"/>
      <c r="AJ1200" s="2"/>
      <c r="AK1200" s="2"/>
      <c r="AL1200" s="2"/>
    </row>
    <row r="1201" spans="1:38" ht="12.75" customHeight="1" x14ac:dyDescent="0.25">
      <c r="A1201" s="2"/>
      <c r="B1201" s="178"/>
      <c r="C1201" s="779"/>
      <c r="D1201" s="373" t="s">
        <v>906</v>
      </c>
      <c r="E1201" s="2614" t="str">
        <f>Translations!$B$650</f>
        <v>Import eller export av mellanprodukter som omfattas av produktriktmärken</v>
      </c>
      <c r="F1201" s="1960"/>
      <c r="G1201" s="1960"/>
      <c r="H1201" s="1960"/>
      <c r="I1201" s="1960"/>
      <c r="J1201" s="1960"/>
      <c r="K1201" s="1960"/>
      <c r="L1201" s="1960"/>
      <c r="M1201" s="1960"/>
      <c r="N1201" s="2597"/>
      <c r="O1201" s="15"/>
      <c r="P1201" s="15"/>
      <c r="Q1201" s="343"/>
      <c r="R1201" s="2"/>
      <c r="S1201" s="343"/>
      <c r="T1201" s="2"/>
      <c r="U1201" s="2"/>
      <c r="V1201" s="343"/>
      <c r="W1201" s="2"/>
      <c r="X1201" s="2"/>
      <c r="Y1201" s="2"/>
      <c r="Z1201" s="2"/>
      <c r="AA1201" s="2"/>
      <c r="AB1201" s="2"/>
      <c r="AC1201" s="2"/>
      <c r="AD1201" s="2"/>
      <c r="AE1201" s="2"/>
      <c r="AF1201" s="2"/>
      <c r="AG1201" s="2"/>
      <c r="AH1201" s="2"/>
      <c r="AI1201" s="2"/>
      <c r="AJ1201" s="2"/>
      <c r="AK1201" s="2"/>
      <c r="AL1201" s="2"/>
    </row>
    <row r="1202" spans="1:38" ht="25.5" customHeight="1" x14ac:dyDescent="0.25">
      <c r="A1202" s="2"/>
      <c r="B1202" s="178"/>
      <c r="C1202" s="779"/>
      <c r="D1202" s="780"/>
      <c r="E1202" s="2610" t="str">
        <f>Translations!$B$651</f>
        <v>För att undvika eventuell dubbelräkning eller luckor i tilldelade utsläpp vid fastställandet av de uppdaterade riktmärkena ska man enligt avsnitt 2.7 d i bilaga IV till FAR ange eventuell import eller export av mellanprodukter som omfattas av något av produktriktmärkena i bilaga I till FAR.</v>
      </c>
      <c r="F1202" s="1960"/>
      <c r="G1202" s="1960"/>
      <c r="H1202" s="1960"/>
      <c r="I1202" s="1960"/>
      <c r="J1202" s="1960"/>
      <c r="K1202" s="1960"/>
      <c r="L1202" s="1960"/>
      <c r="M1202" s="1960"/>
      <c r="N1202" s="2597"/>
      <c r="O1202" s="15"/>
      <c r="P1202" s="15"/>
      <c r="Q1202" s="343"/>
      <c r="R1202" s="2"/>
      <c r="S1202" s="343"/>
      <c r="T1202" s="2"/>
      <c r="U1202" s="2"/>
      <c r="V1202" s="343"/>
      <c r="W1202" s="2"/>
      <c r="X1202" s="2"/>
      <c r="Y1202" s="2"/>
      <c r="Z1202" s="2"/>
      <c r="AA1202" s="2"/>
      <c r="AB1202" s="2"/>
      <c r="AC1202" s="2"/>
      <c r="AD1202" s="2"/>
      <c r="AE1202" s="2"/>
      <c r="AF1202" s="2"/>
      <c r="AG1202" s="2"/>
      <c r="AH1202" s="2"/>
      <c r="AI1202" s="2"/>
      <c r="AJ1202" s="2"/>
      <c r="AK1202" s="2"/>
      <c r="AL1202" s="2"/>
    </row>
    <row r="1203" spans="1:38" ht="12.75" customHeight="1" x14ac:dyDescent="0.25">
      <c r="A1203" s="2"/>
      <c r="B1203" s="178"/>
      <c r="C1203" s="779"/>
      <c r="D1203" s="780"/>
      <c r="E1203" s="2596" t="str">
        <f>Translations!$B$652</f>
        <v>De uppgifter som anges här kan påverka uppdateringen av det särskilda riktmärket.</v>
      </c>
      <c r="F1203" s="1960"/>
      <c r="G1203" s="1960"/>
      <c r="H1203" s="1960"/>
      <c r="I1203" s="1960"/>
      <c r="J1203" s="1960"/>
      <c r="K1203" s="1960"/>
      <c r="L1203" s="1960"/>
      <c r="M1203" s="1960"/>
      <c r="N1203" s="2597"/>
      <c r="O1203" s="15"/>
      <c r="P1203" s="15"/>
      <c r="Q1203" s="343"/>
      <c r="R1203" s="2"/>
      <c r="S1203" s="343"/>
      <c r="T1203" s="2"/>
      <c r="U1203" s="2"/>
      <c r="V1203" s="343"/>
      <c r="W1203" s="2"/>
      <c r="X1203" s="2"/>
      <c r="Y1203" s="2"/>
      <c r="Z1203" s="2"/>
      <c r="AA1203" s="2"/>
      <c r="AB1203" s="2"/>
      <c r="AC1203" s="2"/>
      <c r="AD1203" s="2"/>
      <c r="AE1203" s="2"/>
      <c r="AF1203" s="2"/>
      <c r="AG1203" s="2"/>
      <c r="AH1203" s="2"/>
      <c r="AI1203" s="2"/>
      <c r="AJ1203" s="2"/>
      <c r="AK1203" s="2"/>
      <c r="AL1203" s="2"/>
    </row>
    <row r="1204" spans="1:38" ht="12.75" customHeight="1" x14ac:dyDescent="0.25">
      <c r="A1204" s="2"/>
      <c r="B1204" s="19"/>
      <c r="C1204" s="779"/>
      <c r="D1204" s="416" t="s">
        <v>8</v>
      </c>
      <c r="E1204" s="2598" t="str">
        <f>Translations!$B$653</f>
        <v>Förekommer import eller export av mellanprodukter som omfattas av produktriktmärken?</v>
      </c>
      <c r="F1204" s="1960"/>
      <c r="G1204" s="1960"/>
      <c r="H1204" s="1960"/>
      <c r="I1204" s="1960"/>
      <c r="J1204" s="1960"/>
      <c r="K1204" s="2520"/>
      <c r="L1204" s="749"/>
      <c r="M1204" s="360"/>
      <c r="N1204" s="535"/>
      <c r="O1204" s="15"/>
      <c r="P1204" s="1362"/>
      <c r="Q1204" s="2"/>
      <c r="R1204" s="2"/>
      <c r="S1204" s="2"/>
      <c r="T1204" s="2"/>
      <c r="U1204" s="2"/>
      <c r="V1204" s="2"/>
      <c r="W1204" s="2"/>
      <c r="X1204" s="2"/>
      <c r="Y1204" s="2"/>
      <c r="Z1204" s="2"/>
      <c r="AA1204" s="2"/>
      <c r="AB1204" s="2"/>
      <c r="AC1204" s="2"/>
      <c r="AD1204" s="2"/>
      <c r="AE1204" s="2"/>
      <c r="AF1204" s="672" t="s">
        <v>782</v>
      </c>
      <c r="AG1204" s="1196" t="b">
        <f>AND(CNTR_ExistSubInstEntries,I919="")</f>
        <v>0</v>
      </c>
      <c r="AH1204" s="2"/>
      <c r="AI1204" s="2"/>
      <c r="AJ1204" s="2"/>
      <c r="AK1204" s="2"/>
      <c r="AL1204" s="2"/>
    </row>
    <row r="1205" spans="1:38" ht="5.15" customHeight="1" x14ac:dyDescent="0.25">
      <c r="A1205" s="2"/>
      <c r="B1205" s="178"/>
      <c r="C1205" s="779"/>
      <c r="D1205" s="416"/>
      <c r="E1205" s="416"/>
      <c r="F1205" s="416"/>
      <c r="G1205" s="416"/>
      <c r="H1205" s="1805"/>
      <c r="I1205" s="416"/>
      <c r="J1205" s="416"/>
      <c r="K1205" s="416"/>
      <c r="L1205" s="416"/>
      <c r="M1205" s="416"/>
      <c r="N1205" s="1810"/>
      <c r="O1205" s="15"/>
      <c r="P1205" s="15"/>
      <c r="Q1205" s="343"/>
      <c r="R1205" s="2"/>
      <c r="S1205" s="343"/>
      <c r="T1205" s="2"/>
      <c r="U1205" s="2"/>
      <c r="V1205" s="343"/>
      <c r="W1205" s="2"/>
      <c r="X1205" s="2"/>
      <c r="Y1205" s="2"/>
      <c r="Z1205" s="2"/>
      <c r="AA1205" s="2"/>
      <c r="AB1205" s="2"/>
      <c r="AC1205" s="2"/>
      <c r="AD1205" s="2"/>
      <c r="AE1205" s="2"/>
      <c r="AF1205" s="2"/>
      <c r="AG1205" s="2"/>
      <c r="AH1205" s="2"/>
      <c r="AI1205" s="2"/>
      <c r="AJ1205" s="2"/>
      <c r="AK1205" s="2"/>
      <c r="AL1205" s="2"/>
    </row>
    <row r="1206" spans="1:38" ht="12.75" customHeight="1" thickBot="1" x14ac:dyDescent="0.3">
      <c r="A1206" s="2"/>
      <c r="B1206" s="178"/>
      <c r="C1206" s="779"/>
      <c r="D1206" s="373"/>
      <c r="E1206" s="2605" t="str">
        <f>Translations!$B$654</f>
        <v>Importerade mängder:</v>
      </c>
      <c r="F1206" s="2497"/>
      <c r="G1206" s="415" t="str">
        <f>EUconst_Unit</f>
        <v>Enhet</v>
      </c>
      <c r="H1206" s="362">
        <f t="shared" ref="H1206:N1206" si="546">H$3042</f>
        <v>2019</v>
      </c>
      <c r="I1206" s="1103">
        <f t="shared" si="546"/>
        <v>2020</v>
      </c>
      <c r="J1206" s="1104">
        <f t="shared" si="546"/>
        <v>2021</v>
      </c>
      <c r="K1206" s="362">
        <f t="shared" si="546"/>
        <v>2022</v>
      </c>
      <c r="L1206" s="362">
        <f t="shared" si="546"/>
        <v>2023</v>
      </c>
      <c r="M1206" s="362">
        <f t="shared" si="546"/>
        <v>2024</v>
      </c>
      <c r="N1206" s="1141">
        <f t="shared" si="546"/>
        <v>2025</v>
      </c>
      <c r="O1206" s="15"/>
      <c r="P1206" s="15"/>
      <c r="Q1206" s="343"/>
      <c r="R1206" s="2"/>
      <c r="S1206" s="343"/>
      <c r="T1206" s="2"/>
      <c r="U1206" s="2"/>
      <c r="V1206" s="343"/>
      <c r="W1206" s="2"/>
      <c r="X1206" s="2"/>
      <c r="Y1206" s="2"/>
      <c r="Z1206" s="2"/>
      <c r="AA1206" s="2"/>
      <c r="AB1206" s="2"/>
      <c r="AC1206" s="1044">
        <f t="shared" ref="AC1206:AI1206" si="547">H$20</f>
        <v>2019</v>
      </c>
      <c r="AD1206" s="1044">
        <f t="shared" si="547"/>
        <v>2020</v>
      </c>
      <c r="AE1206" s="1044">
        <f t="shared" si="547"/>
        <v>2021</v>
      </c>
      <c r="AF1206" s="1044">
        <f t="shared" si="547"/>
        <v>2022</v>
      </c>
      <c r="AG1206" s="1044">
        <f t="shared" si="547"/>
        <v>2023</v>
      </c>
      <c r="AH1206" s="1044">
        <f t="shared" si="547"/>
        <v>2024</v>
      </c>
      <c r="AI1206" s="1044">
        <f t="shared" si="547"/>
        <v>2025</v>
      </c>
      <c r="AJ1206" s="2"/>
      <c r="AK1206" s="2"/>
      <c r="AL1206" s="2"/>
    </row>
    <row r="1207" spans="1:38" ht="12.75" customHeight="1" x14ac:dyDescent="0.25">
      <c r="A1207" s="2"/>
      <c r="B1207" s="178"/>
      <c r="C1207" s="779"/>
      <c r="D1207" s="416" t="s">
        <v>9</v>
      </c>
      <c r="E1207" s="2606"/>
      <c r="F1207" s="2607"/>
      <c r="G1207" s="59" t="str">
        <f>IF(E1207&lt;&gt;"",INDEX(EUconst_BMlistUnits,MATCH(E1207,EUconst_BMlistNames,0)),EUconst_Tons)</f>
        <v>ton</v>
      </c>
      <c r="H1207" s="1319"/>
      <c r="I1207" s="1320"/>
      <c r="J1207" s="1321"/>
      <c r="K1207" s="1319"/>
      <c r="L1207" s="1319"/>
      <c r="M1207" s="1319"/>
      <c r="N1207" s="1322"/>
      <c r="O1207" s="15"/>
      <c r="P1207" s="1362"/>
      <c r="Q1207" s="165" t="str">
        <f>EUconst_CNTR_IntermediateImport &amp; S1207 &amp; "_" &amp; I919</f>
        <v>IntImp_1_</v>
      </c>
      <c r="R1207" s="2"/>
      <c r="S1207" s="165">
        <v>1</v>
      </c>
      <c r="T1207" s="2"/>
      <c r="U1207" s="2"/>
      <c r="V1207" s="343"/>
      <c r="W1207" s="2"/>
      <c r="X1207" s="2"/>
      <c r="Y1207" s="2"/>
      <c r="Z1207" s="2"/>
      <c r="AA1207" s="2"/>
      <c r="AB1207" s="672" t="s">
        <v>782</v>
      </c>
      <c r="AC1207" s="1196" t="b">
        <f>OR(AND($L1204&lt;&gt;"",$L1204=FALSE),AC989)</f>
        <v>0</v>
      </c>
      <c r="AD1207" s="108" t="b">
        <f t="shared" ref="AD1207:AI1207" si="548">OR(AND($L1204&lt;&gt;"",$L1204=FALSE),AD989)</f>
        <v>0</v>
      </c>
      <c r="AE1207" s="108" t="b">
        <f t="shared" si="548"/>
        <v>0</v>
      </c>
      <c r="AF1207" s="108" t="b">
        <f t="shared" si="548"/>
        <v>0</v>
      </c>
      <c r="AG1207" s="108" t="b">
        <f t="shared" si="548"/>
        <v>0</v>
      </c>
      <c r="AH1207" s="108" t="b">
        <f t="shared" si="548"/>
        <v>0</v>
      </c>
      <c r="AI1207" s="108" t="b">
        <f t="shared" si="548"/>
        <v>0</v>
      </c>
      <c r="AJ1207" s="553" t="s">
        <v>2248</v>
      </c>
      <c r="AK1207" s="663" t="str">
        <f>IF(AND(CNTR_ExistSubInstEntries,MSconst_RequireSubAttrEmissions,COUNTIFS(AC1207:AI1207,FALSE,H1207:N1207,"")&gt;0),EUconst_Error&amp;"BM"&amp;$Q919,"")</f>
        <v/>
      </c>
      <c r="AL1207" s="2"/>
    </row>
    <row r="1208" spans="1:38" ht="12.75" customHeight="1" x14ac:dyDescent="0.25">
      <c r="A1208" s="2"/>
      <c r="B1208" s="178"/>
      <c r="C1208" s="779"/>
      <c r="D1208" s="416" t="s">
        <v>10</v>
      </c>
      <c r="E1208" s="2608"/>
      <c r="F1208" s="2609"/>
      <c r="G1208" s="51" t="str">
        <f>IF(E1208&lt;&gt;"",INDEX(EUconst_BMlistUnits,MATCH(E1208,EUconst_BMlistNames,0)),EUconst_Tons)</f>
        <v>ton</v>
      </c>
      <c r="H1208" s="1323"/>
      <c r="I1208" s="1324"/>
      <c r="J1208" s="1325"/>
      <c r="K1208" s="1323"/>
      <c r="L1208" s="1323"/>
      <c r="M1208" s="1323"/>
      <c r="N1208" s="1326"/>
      <c r="O1208" s="15"/>
      <c r="P1208" s="1362"/>
      <c r="Q1208" s="165" t="str">
        <f>EUconst_CNTR_IntermediateImport &amp; S1208 &amp; "_" &amp; I919</f>
        <v>IntImp_2_</v>
      </c>
      <c r="R1208" s="2"/>
      <c r="S1208" s="165">
        <v>2</v>
      </c>
      <c r="T1208" s="2"/>
      <c r="U1208" s="2"/>
      <c r="V1208" s="343"/>
      <c r="W1208" s="2"/>
      <c r="X1208" s="2"/>
      <c r="Y1208" s="2"/>
      <c r="Z1208" s="2"/>
      <c r="AA1208" s="2"/>
      <c r="AB1208" s="2"/>
      <c r="AC1208" s="108" t="b">
        <f>AC1207</f>
        <v>0</v>
      </c>
      <c r="AD1208" s="108" t="b">
        <f t="shared" ref="AD1208:AI1208" si="549">AD1207</f>
        <v>0</v>
      </c>
      <c r="AE1208" s="108" t="b">
        <f t="shared" si="549"/>
        <v>0</v>
      </c>
      <c r="AF1208" s="108" t="b">
        <f t="shared" si="549"/>
        <v>0</v>
      </c>
      <c r="AG1208" s="108" t="b">
        <f t="shared" si="549"/>
        <v>0</v>
      </c>
      <c r="AH1208" s="108" t="b">
        <f t="shared" si="549"/>
        <v>0</v>
      </c>
      <c r="AI1208" s="108" t="b">
        <f t="shared" si="549"/>
        <v>0</v>
      </c>
      <c r="AJ1208" s="2"/>
      <c r="AK1208" s="2"/>
      <c r="AL1208" s="2"/>
    </row>
    <row r="1209" spans="1:38" ht="5.15" customHeight="1" x14ac:dyDescent="0.25">
      <c r="A1209" s="2"/>
      <c r="B1209" s="178"/>
      <c r="C1209" s="779"/>
      <c r="D1209" s="416"/>
      <c r="E1209" s="416"/>
      <c r="F1209" s="416"/>
      <c r="G1209" s="416"/>
      <c r="H1209" s="416"/>
      <c r="I1209" s="416"/>
      <c r="J1209" s="416"/>
      <c r="K1209" s="416"/>
      <c r="L1209" s="416"/>
      <c r="M1209" s="416"/>
      <c r="N1209" s="1149"/>
      <c r="O1209" s="15"/>
      <c r="P1209" s="15"/>
      <c r="Q1209" s="343"/>
      <c r="R1209" s="2"/>
      <c r="S1209" s="343"/>
      <c r="T1209" s="2"/>
      <c r="U1209" s="2"/>
      <c r="V1209" s="343"/>
      <c r="W1209" s="2"/>
      <c r="X1209" s="2"/>
      <c r="Y1209" s="2"/>
      <c r="Z1209" s="2"/>
      <c r="AA1209" s="2"/>
      <c r="AB1209" s="2"/>
      <c r="AC1209" s="2"/>
      <c r="AD1209" s="2"/>
      <c r="AE1209" s="2"/>
      <c r="AF1209" s="2"/>
      <c r="AG1209" s="2"/>
      <c r="AH1209" s="2"/>
      <c r="AI1209" s="2"/>
      <c r="AJ1209" s="2"/>
      <c r="AK1209" s="2"/>
      <c r="AL1209" s="2"/>
    </row>
    <row r="1210" spans="1:38" ht="12.75" customHeight="1" thickBot="1" x14ac:dyDescent="0.3">
      <c r="A1210" s="2"/>
      <c r="B1210" s="178"/>
      <c r="C1210" s="779"/>
      <c r="D1210" s="373"/>
      <c r="E1210" s="2605" t="str">
        <f>Translations!$B$655</f>
        <v>Exporterade mängder:</v>
      </c>
      <c r="F1210" s="2497"/>
      <c r="G1210" s="415" t="str">
        <f>EUconst_Unit</f>
        <v>Enhet</v>
      </c>
      <c r="H1210" s="362">
        <f t="shared" ref="H1210:N1210" si="550">H$3042</f>
        <v>2019</v>
      </c>
      <c r="I1210" s="1103">
        <f t="shared" si="550"/>
        <v>2020</v>
      </c>
      <c r="J1210" s="1104">
        <f t="shared" si="550"/>
        <v>2021</v>
      </c>
      <c r="K1210" s="362">
        <f t="shared" si="550"/>
        <v>2022</v>
      </c>
      <c r="L1210" s="362">
        <f t="shared" si="550"/>
        <v>2023</v>
      </c>
      <c r="M1210" s="362">
        <f t="shared" si="550"/>
        <v>2024</v>
      </c>
      <c r="N1210" s="1141">
        <f t="shared" si="550"/>
        <v>2025</v>
      </c>
      <c r="O1210" s="15"/>
      <c r="P1210" s="15"/>
      <c r="Q1210" s="343"/>
      <c r="R1210" s="2"/>
      <c r="S1210" s="343"/>
      <c r="T1210" s="2"/>
      <c r="U1210" s="2"/>
      <c r="V1210" s="343"/>
      <c r="W1210" s="2"/>
      <c r="X1210" s="2"/>
      <c r="Y1210" s="2"/>
      <c r="Z1210" s="2"/>
      <c r="AA1210" s="2"/>
      <c r="AB1210" s="2"/>
      <c r="AC1210" s="1044">
        <f t="shared" ref="AC1210:AI1210" si="551">H$20</f>
        <v>2019</v>
      </c>
      <c r="AD1210" s="1044">
        <f t="shared" si="551"/>
        <v>2020</v>
      </c>
      <c r="AE1210" s="1044">
        <f t="shared" si="551"/>
        <v>2021</v>
      </c>
      <c r="AF1210" s="1044">
        <f t="shared" si="551"/>
        <v>2022</v>
      </c>
      <c r="AG1210" s="1044">
        <f t="shared" si="551"/>
        <v>2023</v>
      </c>
      <c r="AH1210" s="1044">
        <f t="shared" si="551"/>
        <v>2024</v>
      </c>
      <c r="AI1210" s="1044">
        <f t="shared" si="551"/>
        <v>2025</v>
      </c>
      <c r="AJ1210" s="2"/>
      <c r="AK1210" s="2"/>
      <c r="AL1210" s="2"/>
    </row>
    <row r="1211" spans="1:38" ht="12.75" customHeight="1" x14ac:dyDescent="0.25">
      <c r="A1211" s="2"/>
      <c r="B1211" s="178"/>
      <c r="C1211" s="779"/>
      <c r="D1211" s="416" t="s">
        <v>23</v>
      </c>
      <c r="E1211" s="2606"/>
      <c r="F1211" s="2607"/>
      <c r="G1211" s="59" t="str">
        <f>IF(E1211&lt;&gt;"",INDEX(EUconst_BMlistUnits,MATCH(E1211,EUconst_BMlistNames,0)),EUconst_Tons)</f>
        <v>ton</v>
      </c>
      <c r="H1211" s="1319"/>
      <c r="I1211" s="1320"/>
      <c r="J1211" s="1321"/>
      <c r="K1211" s="1319"/>
      <c r="L1211" s="1319"/>
      <c r="M1211" s="1319"/>
      <c r="N1211" s="1322"/>
      <c r="O1211" s="15"/>
      <c r="P1211" s="1362"/>
      <c r="Q1211" s="165" t="str">
        <f>EUconst_CNTR_IntermediateExport &amp; S1207 &amp; "_" &amp; I919</f>
        <v>IntExp_1_</v>
      </c>
      <c r="R1211" s="2"/>
      <c r="S1211" s="165">
        <v>1</v>
      </c>
      <c r="T1211" s="2"/>
      <c r="U1211" s="2"/>
      <c r="V1211" s="343"/>
      <c r="W1211" s="2"/>
      <c r="X1211" s="413"/>
      <c r="Y1211" s="413"/>
      <c r="Z1211" s="2"/>
      <c r="AA1211" s="2"/>
      <c r="AB1211" s="672" t="s">
        <v>782</v>
      </c>
      <c r="AC1211" s="108" t="b">
        <f>AC1207</f>
        <v>0</v>
      </c>
      <c r="AD1211" s="108" t="b">
        <f t="shared" ref="AD1211:AI1211" si="552">AD1207</f>
        <v>0</v>
      </c>
      <c r="AE1211" s="108" t="b">
        <f t="shared" si="552"/>
        <v>0</v>
      </c>
      <c r="AF1211" s="108" t="b">
        <f t="shared" si="552"/>
        <v>0</v>
      </c>
      <c r="AG1211" s="108" t="b">
        <f t="shared" si="552"/>
        <v>0</v>
      </c>
      <c r="AH1211" s="108" t="b">
        <f t="shared" si="552"/>
        <v>0</v>
      </c>
      <c r="AI1211" s="108" t="b">
        <f t="shared" si="552"/>
        <v>0</v>
      </c>
      <c r="AJ1211" s="553" t="s">
        <v>2248</v>
      </c>
      <c r="AK1211" s="663" t="str">
        <f>IF(AND(CNTR_ExistSubInstEntries,MSconst_RequireSubAttrEmissions,COUNTIFS(AC1211:AI1211,FALSE,H1211:N1211,"")&gt;0),EUconst_Error&amp;"BM"&amp;$Q919,"")</f>
        <v/>
      </c>
      <c r="AL1211" s="2"/>
    </row>
    <row r="1212" spans="1:38" ht="12.75" customHeight="1" x14ac:dyDescent="0.25">
      <c r="A1212" s="2"/>
      <c r="B1212" s="178"/>
      <c r="C1212" s="779"/>
      <c r="D1212" s="416" t="s">
        <v>859</v>
      </c>
      <c r="E1212" s="2608"/>
      <c r="F1212" s="2609"/>
      <c r="G1212" s="51" t="str">
        <f>IF(E1212&lt;&gt;"",INDEX(EUconst_BMlistUnits,MATCH(E1212,EUconst_BMlistNames,0)),EUconst_Tons)</f>
        <v>ton</v>
      </c>
      <c r="H1212" s="1323"/>
      <c r="I1212" s="1324"/>
      <c r="J1212" s="1325"/>
      <c r="K1212" s="1323"/>
      <c r="L1212" s="1323"/>
      <c r="M1212" s="1323"/>
      <c r="N1212" s="1326"/>
      <c r="O1212" s="15"/>
      <c r="P1212" s="1362"/>
      <c r="Q1212" s="165" t="str">
        <f>EUconst_CNTR_IntermediateExport &amp; S1212 &amp; "_" &amp; I919</f>
        <v>IntExp_2_</v>
      </c>
      <c r="R1212" s="2"/>
      <c r="S1212" s="165">
        <v>2</v>
      </c>
      <c r="T1212" s="2"/>
      <c r="U1212" s="2"/>
      <c r="V1212" s="343"/>
      <c r="W1212" s="2"/>
      <c r="X1212" s="413"/>
      <c r="Y1212" s="413"/>
      <c r="Z1212" s="2"/>
      <c r="AA1212" s="2"/>
      <c r="AB1212" s="2"/>
      <c r="AC1212" s="108" t="b">
        <f t="shared" ref="AC1212:AI1212" si="553">AC1208</f>
        <v>0</v>
      </c>
      <c r="AD1212" s="108" t="b">
        <f t="shared" si="553"/>
        <v>0</v>
      </c>
      <c r="AE1212" s="108" t="b">
        <f t="shared" si="553"/>
        <v>0</v>
      </c>
      <c r="AF1212" s="108" t="b">
        <f t="shared" si="553"/>
        <v>0</v>
      </c>
      <c r="AG1212" s="108" t="b">
        <f t="shared" si="553"/>
        <v>0</v>
      </c>
      <c r="AH1212" s="108" t="b">
        <f t="shared" si="553"/>
        <v>0</v>
      </c>
      <c r="AI1212" s="108" t="b">
        <f t="shared" si="553"/>
        <v>0</v>
      </c>
      <c r="AJ1212" s="2"/>
      <c r="AK1212" s="2"/>
      <c r="AL1212" s="2"/>
    </row>
    <row r="1213" spans="1:38" ht="5.15" customHeight="1" x14ac:dyDescent="0.25">
      <c r="A1213" s="2"/>
      <c r="B1213" s="178"/>
      <c r="C1213" s="779"/>
      <c r="D1213" s="416"/>
      <c r="E1213" s="416"/>
      <c r="F1213" s="416"/>
      <c r="G1213" s="416"/>
      <c r="H1213" s="416"/>
      <c r="I1213" s="416"/>
      <c r="J1213" s="416"/>
      <c r="K1213" s="416"/>
      <c r="L1213" s="416"/>
      <c r="M1213" s="416"/>
      <c r="N1213" s="1810"/>
      <c r="O1213" s="15"/>
      <c r="P1213" s="15"/>
      <c r="Q1213" s="343"/>
      <c r="R1213" s="2"/>
      <c r="S1213" s="343"/>
      <c r="T1213" s="2"/>
      <c r="U1213" s="2"/>
      <c r="V1213" s="343"/>
      <c r="W1213" s="2"/>
      <c r="X1213" s="413"/>
      <c r="Y1213" s="413"/>
      <c r="Z1213" s="2"/>
      <c r="AA1213" s="2"/>
      <c r="AB1213" s="2"/>
      <c r="AC1213" s="2"/>
      <c r="AD1213" s="2"/>
      <c r="AE1213" s="2"/>
      <c r="AF1213" s="2"/>
      <c r="AG1213" s="2"/>
      <c r="AH1213" s="2"/>
      <c r="AI1213" s="2"/>
      <c r="AJ1213" s="2"/>
      <c r="AK1213" s="2"/>
      <c r="AL1213" s="2"/>
    </row>
    <row r="1214" spans="1:38" ht="12.75" customHeight="1" x14ac:dyDescent="0.25">
      <c r="A1214" s="2"/>
      <c r="B1214" s="178"/>
      <c r="C1214" s="779"/>
      <c r="D1214" s="416" t="s">
        <v>860</v>
      </c>
      <c r="E1214" s="623" t="str">
        <f>Translations!$B$656</f>
        <v>Beskrivning av importerade eller exporterade mellanprodukter</v>
      </c>
      <c r="F1214" s="623"/>
      <c r="G1214" s="623"/>
      <c r="H1214" s="623"/>
      <c r="I1214" s="623"/>
      <c r="J1214" s="623"/>
      <c r="K1214" s="623"/>
      <c r="L1214" s="623"/>
      <c r="M1214" s="623"/>
      <c r="N1214" s="1810"/>
      <c r="O1214" s="15"/>
      <c r="P1214" s="15"/>
      <c r="Q1214" s="343"/>
      <c r="R1214" s="2"/>
      <c r="S1214" s="343"/>
      <c r="T1214" s="2"/>
      <c r="U1214" s="2"/>
      <c r="V1214" s="343"/>
      <c r="W1214" s="2"/>
      <c r="X1214" s="413"/>
      <c r="Y1214" s="413"/>
      <c r="Z1214" s="2"/>
      <c r="AA1214" s="2"/>
      <c r="AB1214" s="2"/>
      <c r="AC1214" s="2"/>
      <c r="AD1214" s="2"/>
      <c r="AE1214" s="2"/>
      <c r="AF1214" s="2"/>
      <c r="AG1214" s="2"/>
      <c r="AH1214" s="2"/>
      <c r="AI1214" s="2"/>
      <c r="AJ1214" s="2"/>
      <c r="AK1214" s="2"/>
      <c r="AL1214" s="2"/>
    </row>
    <row r="1215" spans="1:38" ht="12.75" customHeight="1" x14ac:dyDescent="0.25">
      <c r="A1215" s="2"/>
      <c r="B1215" s="178"/>
      <c r="C1215" s="779"/>
      <c r="D1215" s="416"/>
      <c r="E1215" s="1139" t="str">
        <f>Translations!$B$657</f>
        <v>Var god ge en kort beskrivning av produktionsprocessen för importerade eller exporterade mellanprodukter</v>
      </c>
      <c r="F1215" s="1806"/>
      <c r="G1215" s="1806"/>
      <c r="H1215" s="1806"/>
      <c r="I1215" s="1806"/>
      <c r="J1215" s="1806"/>
      <c r="K1215" s="1806"/>
      <c r="L1215" s="1806"/>
      <c r="M1215" s="1806"/>
      <c r="N1215" s="1807"/>
      <c r="O1215" s="15"/>
      <c r="P1215" s="15"/>
      <c r="Q1215" s="343"/>
      <c r="R1215" s="2"/>
      <c r="S1215" s="343"/>
      <c r="T1215" s="2"/>
      <c r="U1215" s="2"/>
      <c r="V1215" s="343"/>
      <c r="W1215" s="2"/>
      <c r="X1215" s="413"/>
      <c r="Y1215" s="413"/>
      <c r="Z1215" s="2"/>
      <c r="AA1215" s="2"/>
      <c r="AB1215" s="2"/>
      <c r="AC1215" s="2"/>
      <c r="AD1215" s="2"/>
      <c r="AE1215" s="2"/>
      <c r="AF1215" s="2"/>
      <c r="AG1215" s="2"/>
      <c r="AH1215" s="2"/>
      <c r="AI1215" s="2"/>
      <c r="AJ1215" s="2"/>
      <c r="AK1215" s="2"/>
      <c r="AL1215" s="2"/>
    </row>
    <row r="1216" spans="1:38" ht="12.75" customHeight="1" x14ac:dyDescent="0.25">
      <c r="A1216" s="2"/>
      <c r="B1216" s="178"/>
      <c r="C1216" s="779"/>
      <c r="D1216" s="416"/>
      <c r="E1216" s="2599"/>
      <c r="F1216" s="2600"/>
      <c r="G1216" s="2600"/>
      <c r="H1216" s="2600"/>
      <c r="I1216" s="2600"/>
      <c r="J1216" s="2600"/>
      <c r="K1216" s="2600"/>
      <c r="L1216" s="2600"/>
      <c r="M1216" s="2601"/>
      <c r="N1216" s="1810"/>
      <c r="O1216" s="15"/>
      <c r="P1216" s="1362"/>
      <c r="Q1216" s="343"/>
      <c r="R1216" s="2"/>
      <c r="S1216" s="343"/>
      <c r="T1216" s="2"/>
      <c r="U1216" s="2"/>
      <c r="V1216" s="343"/>
      <c r="W1216" s="2"/>
      <c r="X1216" s="413"/>
      <c r="Y1216" s="413"/>
      <c r="Z1216" s="2"/>
      <c r="AA1216" s="2"/>
      <c r="AB1216" s="672" t="s">
        <v>782</v>
      </c>
      <c r="AC1216" s="108" t="b">
        <f>AND(AC1211:AI1211)</f>
        <v>0</v>
      </c>
      <c r="AD1216" s="2"/>
      <c r="AE1216" s="2"/>
      <c r="AF1216" s="2"/>
      <c r="AG1216" s="2"/>
      <c r="AH1216" s="2"/>
      <c r="AI1216" s="2"/>
      <c r="AJ1216" s="2"/>
      <c r="AK1216" s="2"/>
      <c r="AL1216" s="2"/>
    </row>
    <row r="1217" spans="1:38" ht="12.75" customHeight="1" x14ac:dyDescent="0.25">
      <c r="A1217" s="2"/>
      <c r="B1217" s="178"/>
      <c r="C1217" s="779"/>
      <c r="D1217" s="416"/>
      <c r="E1217" s="2602"/>
      <c r="F1217" s="2603"/>
      <c r="G1217" s="2603"/>
      <c r="H1217" s="2603"/>
      <c r="I1217" s="2603"/>
      <c r="J1217" s="2603"/>
      <c r="K1217" s="2603"/>
      <c r="L1217" s="2603"/>
      <c r="M1217" s="2604"/>
      <c r="N1217" s="1810"/>
      <c r="O1217" s="15"/>
      <c r="P1217" s="15"/>
      <c r="Q1217" s="343"/>
      <c r="R1217" s="2"/>
      <c r="S1217" s="343"/>
      <c r="T1217" s="2"/>
      <c r="U1217" s="2"/>
      <c r="V1217" s="343"/>
      <c r="W1217" s="2"/>
      <c r="X1217" s="413"/>
      <c r="Y1217" s="413"/>
      <c r="Z1217" s="2"/>
      <c r="AA1217" s="2"/>
      <c r="AB1217" s="2"/>
      <c r="AC1217" s="108" t="b">
        <f>AC1216</f>
        <v>0</v>
      </c>
      <c r="AD1217" s="2"/>
      <c r="AE1217" s="2"/>
      <c r="AF1217" s="2"/>
      <c r="AG1217" s="2"/>
      <c r="AH1217" s="2"/>
      <c r="AI1217" s="2"/>
      <c r="AJ1217" s="2"/>
      <c r="AK1217" s="2"/>
      <c r="AL1217" s="2"/>
    </row>
    <row r="1218" spans="1:38" ht="12.75" customHeight="1" thickBot="1" x14ac:dyDescent="0.3">
      <c r="A1218" s="2"/>
      <c r="B1218" s="178"/>
      <c r="C1218" s="781"/>
      <c r="D1218" s="782"/>
      <c r="E1218" s="782"/>
      <c r="F1218" s="782"/>
      <c r="G1218" s="782"/>
      <c r="H1218" s="782"/>
      <c r="I1218" s="782"/>
      <c r="J1218" s="782"/>
      <c r="K1218" s="782"/>
      <c r="L1218" s="782"/>
      <c r="M1218" s="783"/>
      <c r="N1218" s="784"/>
      <c r="O1218" s="15"/>
      <c r="P1218" s="15"/>
      <c r="Q1218" s="343"/>
      <c r="R1218" s="2"/>
      <c r="S1218" s="343"/>
      <c r="T1218" s="2"/>
      <c r="U1218" s="2"/>
      <c r="V1218" s="343"/>
      <c r="W1218" s="2"/>
      <c r="X1218" s="2"/>
      <c r="Y1218" s="2"/>
      <c r="Z1218" s="2"/>
      <c r="AA1218" s="2"/>
      <c r="AB1218" s="2"/>
      <c r="AC1218" s="2"/>
      <c r="AD1218" s="2"/>
      <c r="AE1218" s="2"/>
      <c r="AF1218" s="2"/>
      <c r="AG1218" s="2"/>
      <c r="AH1218" s="2"/>
      <c r="AI1218" s="2"/>
      <c r="AJ1218" s="2"/>
      <c r="AK1218" s="2"/>
      <c r="AL1218" s="2"/>
    </row>
    <row r="1219" spans="1:38" ht="12.75" customHeight="1" thickBot="1" x14ac:dyDescent="0.3">
      <c r="A1219" s="343"/>
      <c r="B1219" s="3"/>
      <c r="C1219" s="3"/>
      <c r="D1219" s="3"/>
      <c r="E1219" s="3"/>
      <c r="F1219" s="3"/>
      <c r="G1219" s="3"/>
      <c r="H1219" s="3"/>
      <c r="I1219" s="3"/>
      <c r="J1219" s="3"/>
      <c r="K1219" s="3"/>
      <c r="L1219" s="3"/>
      <c r="M1219" s="6"/>
      <c r="N1219" s="6"/>
      <c r="O1219" s="6"/>
      <c r="P1219" s="6"/>
      <c r="Q1219" s="294" t="str">
        <f>IF(OR(AND(CNTR_ExistProductSubEntries=FALSE,Q919=1),AND(I919&lt;&gt;"",COUNTIF(Q1220:$Q3071,"PRINT")=0)),"PRINT","")</f>
        <v/>
      </c>
      <c r="R1219" s="7"/>
      <c r="S1219" s="7"/>
      <c r="T1219" s="7"/>
      <c r="U1219" s="7"/>
      <c r="V1219" s="7"/>
      <c r="W1219" s="7"/>
      <c r="X1219" s="7"/>
      <c r="Y1219" s="7"/>
      <c r="Z1219" s="2"/>
      <c r="AA1219" s="2"/>
      <c r="AB1219" s="2"/>
      <c r="AC1219" s="2"/>
      <c r="AD1219" s="2"/>
      <c r="AE1219" s="349"/>
      <c r="AF1219" s="349"/>
      <c r="AG1219" s="349"/>
      <c r="AH1219" s="349"/>
      <c r="AI1219" s="349"/>
      <c r="AJ1219" s="349"/>
      <c r="AK1219" s="349"/>
      <c r="AL1219" s="349"/>
    </row>
    <row r="1220" spans="1:38" ht="5.15" customHeight="1" thickBot="1" x14ac:dyDescent="0.3">
      <c r="A1220" s="2"/>
      <c r="B1220" s="178"/>
      <c r="C1220" s="785"/>
      <c r="D1220" s="785"/>
      <c r="E1220" s="785"/>
      <c r="F1220" s="785"/>
      <c r="G1220" s="785"/>
      <c r="H1220" s="785"/>
      <c r="I1220" s="785"/>
      <c r="J1220" s="785"/>
      <c r="K1220" s="785"/>
      <c r="L1220" s="785"/>
      <c r="M1220" s="785"/>
      <c r="N1220" s="785"/>
      <c r="O1220" s="15"/>
      <c r="P1220" s="15"/>
      <c r="Q1220" s="1723"/>
      <c r="R1220" s="1723"/>
      <c r="S1220" s="1723"/>
      <c r="T1220" s="1723"/>
      <c r="U1220" s="1723"/>
      <c r="V1220" s="1723"/>
      <c r="W1220" s="1723"/>
      <c r="X1220" s="1723"/>
      <c r="Y1220" s="1723"/>
      <c r="Z1220" s="1723"/>
      <c r="AA1220" s="1723"/>
      <c r="AB1220" s="1723"/>
      <c r="AC1220" s="1723"/>
      <c r="AD1220" s="1723"/>
      <c r="AE1220" s="1723"/>
      <c r="AF1220" s="1723"/>
      <c r="AG1220" s="1723"/>
      <c r="AH1220" s="1723"/>
      <c r="AI1220" s="1723"/>
      <c r="AJ1220" s="1723"/>
      <c r="AK1220" s="1723"/>
      <c r="AL1220" s="1723"/>
    </row>
    <row r="1221" spans="1:38" ht="14.5" thickBot="1" x14ac:dyDescent="0.3">
      <c r="A1221" s="2"/>
      <c r="B1221" s="178"/>
      <c r="C1221" s="771">
        <f>C919+1</f>
        <v>5</v>
      </c>
      <c r="D1221" s="2053" t="str">
        <f>EUconst_BMSubinst &amp; ":"</f>
        <v>Delanläggning med produktriktmärke:</v>
      </c>
      <c r="E1221" s="1963"/>
      <c r="F1221" s="1963"/>
      <c r="G1221" s="1963"/>
      <c r="H1221" s="2060"/>
      <c r="I1221" s="2090" t="str">
        <f>IF(INDEX(CNTR_SubInstListIsProdBM,$C1221),INDEX(CNTR_SubInstListNames,$C1221),"")</f>
        <v/>
      </c>
      <c r="J1221" s="2120"/>
      <c r="K1221" s="2120"/>
      <c r="L1221" s="2120"/>
      <c r="M1221" s="2120"/>
      <c r="N1221" s="2154"/>
      <c r="O1221" s="15"/>
      <c r="P1221" s="15"/>
      <c r="Q1221" s="294">
        <f>C1221</f>
        <v>5</v>
      </c>
      <c r="R1221" s="2"/>
      <c r="S1221" s="553" t="s">
        <v>608</v>
      </c>
      <c r="T1221" s="979" t="str">
        <f>IF(I1221="","",MAX(INDEX(CNTR_SubInstStartDate,MATCH($I1221,CNTR_SubInstListNames,0)),DATE(2005,1,1)))</f>
        <v/>
      </c>
      <c r="U1221" s="343" t="s">
        <v>1873</v>
      </c>
      <c r="V1221" s="663">
        <f>IF(ISNUMBER(T1221),YEAR($T1221-IF(YEAR(T1221)&gt;=2022,0,1))+1,2005)</f>
        <v>2005</v>
      </c>
      <c r="W1221" s="553" t="s">
        <v>1876</v>
      </c>
      <c r="X1221" s="979" t="str">
        <f>IF(I1221="","",INDEX(CNTR_SubInstCessationDate,MATCH($I1221,CNTR_SubInstListNames,0)))</f>
        <v/>
      </c>
      <c r="Y1221" s="553" t="s">
        <v>1877</v>
      </c>
      <c r="Z1221" s="663">
        <f>IF(SUM(X1221)=0,2050,YEAR($X1221))</f>
        <v>2050</v>
      </c>
      <c r="AA1221" s="553" t="s">
        <v>2201</v>
      </c>
      <c r="AB1221" s="663" t="b">
        <f>CNTR_ReportingYear&gt;V1221</f>
        <v>1</v>
      </c>
      <c r="AC1221" s="2"/>
      <c r="AD1221" s="2"/>
      <c r="AE1221" s="2"/>
      <c r="AF1221" s="2"/>
      <c r="AG1221" s="2"/>
      <c r="AH1221" s="2"/>
      <c r="AI1221" s="2"/>
      <c r="AJ1221" s="2"/>
      <c r="AK1221" s="2"/>
      <c r="AL1221" s="555" t="b">
        <f>AND(CNTR_ExistSubInstEntries,I1221="")</f>
        <v>0</v>
      </c>
    </row>
    <row r="1222" spans="1:38" ht="12.75" customHeight="1" x14ac:dyDescent="0.25">
      <c r="A1222" s="2"/>
      <c r="B1222" s="178"/>
      <c r="C1222" s="178"/>
      <c r="D1222" s="15"/>
      <c r="E1222" s="2061" t="str">
        <f>Translations!$B$360</f>
        <v>Namnet på delanläggningen med produktriktmärke visas automatiskt i inmatningsfälten i blad ”A_InstallationData”.</v>
      </c>
      <c r="F1222" s="1963"/>
      <c r="G1222" s="1963"/>
      <c r="H1222" s="1963"/>
      <c r="I1222" s="1963"/>
      <c r="J1222" s="1963"/>
      <c r="K1222" s="1963"/>
      <c r="L1222" s="1963"/>
      <c r="M1222" s="1963"/>
      <c r="N1222" s="1963"/>
      <c r="O1222" s="15"/>
      <c r="P1222" s="15"/>
      <c r="Q1222" s="343"/>
      <c r="R1222" s="2"/>
      <c r="S1222" s="343"/>
      <c r="T1222" s="343"/>
      <c r="U1222" s="2"/>
      <c r="V1222" s="2"/>
      <c r="W1222" s="2"/>
      <c r="X1222" s="2"/>
      <c r="Y1222" s="2"/>
      <c r="Z1222" s="2"/>
      <c r="AA1222" s="2"/>
      <c r="AB1222" s="2"/>
      <c r="AC1222" s="2"/>
      <c r="AD1222" s="2"/>
      <c r="AE1222" s="2"/>
      <c r="AF1222" s="2"/>
      <c r="AG1222" s="2"/>
      <c r="AH1222" s="2"/>
      <c r="AI1222" s="2"/>
      <c r="AJ1222" s="2"/>
      <c r="AK1222" s="2"/>
      <c r="AL1222" s="2"/>
    </row>
    <row r="1223" spans="1:38" ht="5.15" customHeight="1" x14ac:dyDescent="0.25">
      <c r="A1223" s="2"/>
      <c r="B1223" s="178"/>
      <c r="C1223" s="178"/>
      <c r="D1223" s="178"/>
      <c r="E1223" s="178"/>
      <c r="F1223" s="178"/>
      <c r="G1223" s="178"/>
      <c r="H1223" s="178"/>
      <c r="I1223" s="178"/>
      <c r="J1223" s="178"/>
      <c r="K1223" s="178"/>
      <c r="L1223" s="178"/>
      <c r="M1223" s="15"/>
      <c r="N1223" s="15"/>
      <c r="O1223" s="15"/>
      <c r="P1223" s="15"/>
      <c r="Q1223" s="343"/>
      <c r="R1223" s="2"/>
      <c r="S1223" s="343"/>
      <c r="T1223" s="343"/>
      <c r="U1223" s="2"/>
      <c r="V1223" s="2"/>
      <c r="W1223" s="2"/>
      <c r="X1223" s="2"/>
      <c r="Y1223" s="2"/>
      <c r="Z1223" s="2"/>
      <c r="AA1223" s="2"/>
      <c r="AB1223" s="2"/>
      <c r="AC1223" s="2"/>
      <c r="AD1223" s="2"/>
      <c r="AE1223" s="2"/>
      <c r="AF1223" s="2"/>
      <c r="AG1223" s="2"/>
      <c r="AH1223" s="2"/>
      <c r="AI1223" s="2"/>
      <c r="AJ1223" s="2"/>
      <c r="AK1223" s="2"/>
      <c r="AL1223" s="2"/>
    </row>
    <row r="1224" spans="1:38" ht="13" x14ac:dyDescent="0.25">
      <c r="A1224" s="2"/>
      <c r="B1224" s="178"/>
      <c r="C1224" s="178"/>
      <c r="D1224" s="13" t="s">
        <v>442</v>
      </c>
      <c r="E1224" s="1943" t="str">
        <f>Translations!$B$1466</f>
        <v>Verksamhetsnivåer</v>
      </c>
      <c r="F1224" s="1963"/>
      <c r="G1224" s="1963"/>
      <c r="H1224" s="1963"/>
      <c r="I1224" s="1963"/>
      <c r="J1224" s="1963"/>
      <c r="K1224" s="1963"/>
      <c r="L1224" s="1963"/>
      <c r="M1224" s="1963"/>
      <c r="N1224" s="1963"/>
      <c r="O1224" s="15"/>
      <c r="P1224" s="15"/>
      <c r="Q1224" s="343"/>
      <c r="R1224" s="2"/>
      <c r="S1224" s="2"/>
      <c r="T1224" s="2"/>
      <c r="U1224" s="2"/>
      <c r="V1224" s="2"/>
      <c r="W1224" s="2"/>
      <c r="X1224" s="2"/>
      <c r="Y1224" s="2"/>
      <c r="Z1224" s="2"/>
      <c r="AA1224" s="2"/>
      <c r="AB1224" s="2"/>
      <c r="AC1224" s="2"/>
      <c r="AD1224" s="2"/>
      <c r="AE1224" s="2"/>
      <c r="AF1224" s="2"/>
      <c r="AG1224" s="2"/>
      <c r="AH1224" s="2"/>
      <c r="AI1224" s="2"/>
      <c r="AJ1224" s="2"/>
      <c r="AK1224" s="2"/>
      <c r="AL1224" s="2"/>
    </row>
    <row r="1225" spans="1:38" ht="12.75" customHeight="1" x14ac:dyDescent="0.25">
      <c r="A1225" s="2"/>
      <c r="B1225" s="178"/>
      <c r="C1225" s="178"/>
      <c r="D1225" s="15"/>
      <c r="E1225" s="2061" t="str">
        <f>Translations!$B$514</f>
        <v>I denna punkt ska de ”huvudsakliga verksamhetsnivåerna” anges, dvs. de uppgifter som är direkt tillämpliga för att beräkna tilldelningen.</v>
      </c>
      <c r="F1225" s="1963"/>
      <c r="G1225" s="1963"/>
      <c r="H1225" s="1963"/>
      <c r="I1225" s="1963"/>
      <c r="J1225" s="1963"/>
      <c r="K1225" s="1963"/>
      <c r="L1225" s="1963"/>
      <c r="M1225" s="1963"/>
      <c r="N1225" s="1963"/>
      <c r="O1225" s="15"/>
      <c r="P1225" s="15"/>
      <c r="Q1225" s="343"/>
      <c r="R1225" s="2"/>
      <c r="S1225" s="343"/>
      <c r="T1225" s="343"/>
      <c r="U1225" s="343"/>
      <c r="V1225" s="2"/>
      <c r="W1225" s="2"/>
      <c r="X1225" s="2"/>
      <c r="Y1225" s="2"/>
      <c r="Z1225" s="2"/>
      <c r="AA1225" s="2"/>
      <c r="AB1225" s="2"/>
      <c r="AC1225" s="2"/>
      <c r="AD1225" s="2"/>
      <c r="AE1225" s="2"/>
      <c r="AF1225" s="2"/>
      <c r="AG1225" s="2"/>
      <c r="AH1225" s="2"/>
      <c r="AI1225" s="2"/>
      <c r="AJ1225" s="2"/>
      <c r="AK1225" s="2"/>
      <c r="AL1225" s="2"/>
    </row>
    <row r="1226" spans="1:38" ht="12.75" customHeight="1" x14ac:dyDescent="0.25">
      <c r="A1226" s="2"/>
      <c r="B1226" s="178"/>
      <c r="C1226" s="178"/>
      <c r="D1226" s="15"/>
      <c r="E1226" s="2061" t="str">
        <f>Translations!$B$515</f>
        <v xml:space="preserve">Detta är i regel produktionsuppgifter för produkten, t.ex. grå cementklinker i ton eller glasflaskor i ton, i enlighet med bilaga I till FAR. </v>
      </c>
      <c r="F1226" s="1963"/>
      <c r="G1226" s="1963"/>
      <c r="H1226" s="1963"/>
      <c r="I1226" s="1963"/>
      <c r="J1226" s="1963"/>
      <c r="K1226" s="1963"/>
      <c r="L1226" s="1963"/>
      <c r="M1226" s="1963"/>
      <c r="N1226" s="1963"/>
      <c r="O1226" s="15"/>
      <c r="P1226" s="15"/>
      <c r="Q1226" s="343"/>
      <c r="R1226" s="2"/>
      <c r="S1226" s="343"/>
      <c r="T1226" s="343"/>
      <c r="U1226" s="343"/>
      <c r="V1226" s="2"/>
      <c r="W1226" s="2"/>
      <c r="X1226" s="2"/>
      <c r="Y1226" s="2"/>
      <c r="Z1226" s="2"/>
      <c r="AA1226" s="2"/>
      <c r="AB1226" s="2"/>
      <c r="AC1226" s="2"/>
      <c r="AD1226" s="2"/>
      <c r="AE1226" s="2"/>
      <c r="AF1226" s="2"/>
      <c r="AG1226" s="2"/>
      <c r="AH1226" s="2"/>
      <c r="AI1226" s="2"/>
      <c r="AJ1226" s="2"/>
      <c r="AK1226" s="2"/>
      <c r="AL1226" s="2"/>
    </row>
    <row r="1227" spans="1:38" ht="12.75" customHeight="1" x14ac:dyDescent="0.25">
      <c r="A1227" s="2"/>
      <c r="B1227" s="178"/>
      <c r="C1227" s="178"/>
      <c r="D1227" s="15"/>
      <c r="E1227" s="2061" t="str">
        <f>Translations!$B$516</f>
        <v>Om ett meddelande visas i punkt iv måste dock lämpligt beräkningsverktyg användas, och resultaten kopieras automatiskt in i tabellen i punkt ii.</v>
      </c>
      <c r="F1227" s="1963"/>
      <c r="G1227" s="1963"/>
      <c r="H1227" s="1963"/>
      <c r="I1227" s="1963"/>
      <c r="J1227" s="1963"/>
      <c r="K1227" s="1963"/>
      <c r="L1227" s="1963"/>
      <c r="M1227" s="1963"/>
      <c r="N1227" s="1963"/>
      <c r="O1227" s="15"/>
      <c r="P1227" s="15"/>
      <c r="Q1227" s="343"/>
      <c r="R1227" s="2"/>
      <c r="S1227" s="343"/>
      <c r="T1227" s="2"/>
      <c r="U1227" s="2"/>
      <c r="V1227" s="2"/>
      <c r="W1227" s="2"/>
      <c r="X1227" s="2"/>
      <c r="Y1227" s="2"/>
      <c r="Z1227" s="343"/>
      <c r="AA1227" s="2"/>
      <c r="AB1227" s="2"/>
      <c r="AC1227" s="2"/>
      <c r="AD1227" s="2"/>
      <c r="AE1227" s="2"/>
      <c r="AF1227" s="2"/>
      <c r="AG1227" s="2"/>
      <c r="AH1227" s="2"/>
      <c r="AI1227" s="2"/>
      <c r="AJ1227" s="2"/>
      <c r="AK1227" s="2"/>
      <c r="AL1227" s="2"/>
    </row>
    <row r="1228" spans="1:38" ht="13.5" customHeight="1" thickBot="1" x14ac:dyDescent="0.3">
      <c r="A1228" s="2"/>
      <c r="B1228" s="19"/>
      <c r="C1228" s="19"/>
      <c r="D1228" s="13"/>
      <c r="E1228" s="2062" t="str">
        <f>Translations!$B$517</f>
        <v>Årliga verksamhetsnivåer:</v>
      </c>
      <c r="F1228" s="2062"/>
      <c r="G1228" s="30" t="str">
        <f>EUconst_Unit</f>
        <v>Enhet</v>
      </c>
      <c r="H1228" s="320">
        <f t="shared" ref="H1228:N1228" si="554">H$3042</f>
        <v>2019</v>
      </c>
      <c r="I1228" s="342">
        <f t="shared" si="554"/>
        <v>2020</v>
      </c>
      <c r="J1228" s="987">
        <f t="shared" si="554"/>
        <v>2021</v>
      </c>
      <c r="K1228" s="320">
        <f t="shared" si="554"/>
        <v>2022</v>
      </c>
      <c r="L1228" s="320">
        <f t="shared" si="554"/>
        <v>2023</v>
      </c>
      <c r="M1228" s="320">
        <f t="shared" si="554"/>
        <v>2024</v>
      </c>
      <c r="N1228" s="350">
        <f t="shared" si="554"/>
        <v>2025</v>
      </c>
      <c r="O1228" s="15"/>
      <c r="P1228" s="15"/>
      <c r="Q1228" s="343"/>
      <c r="R1228" s="2"/>
      <c r="S1228" s="2"/>
      <c r="T1228" s="1044">
        <f t="shared" ref="T1228:Z1228" si="555">H1228</f>
        <v>2019</v>
      </c>
      <c r="U1228" s="1044">
        <f t="shared" si="555"/>
        <v>2020</v>
      </c>
      <c r="V1228" s="1044">
        <f t="shared" si="555"/>
        <v>2021</v>
      </c>
      <c r="W1228" s="1044">
        <f t="shared" si="555"/>
        <v>2022</v>
      </c>
      <c r="X1228" s="1044">
        <f t="shared" si="555"/>
        <v>2023</v>
      </c>
      <c r="Y1228" s="1044">
        <f t="shared" si="555"/>
        <v>2024</v>
      </c>
      <c r="Z1228" s="1044">
        <f t="shared" si="555"/>
        <v>2025</v>
      </c>
      <c r="AA1228" s="2"/>
      <c r="AB1228" s="2"/>
      <c r="AC1228" s="1044">
        <f t="shared" ref="AC1228:AI1228" si="556">H$20</f>
        <v>2019</v>
      </c>
      <c r="AD1228" s="1044">
        <f t="shared" si="556"/>
        <v>2020</v>
      </c>
      <c r="AE1228" s="1044">
        <f t="shared" si="556"/>
        <v>2021</v>
      </c>
      <c r="AF1228" s="1044">
        <f t="shared" si="556"/>
        <v>2022</v>
      </c>
      <c r="AG1228" s="1044">
        <f t="shared" si="556"/>
        <v>2023</v>
      </c>
      <c r="AH1228" s="1044">
        <f t="shared" si="556"/>
        <v>2024</v>
      </c>
      <c r="AI1228" s="1044">
        <f t="shared" si="556"/>
        <v>2025</v>
      </c>
      <c r="AJ1228" s="2"/>
      <c r="AK1228" s="2"/>
      <c r="AL1228" s="343"/>
    </row>
    <row r="1229" spans="1:38" ht="13" thickBot="1" x14ac:dyDescent="0.3">
      <c r="A1229" s="2"/>
      <c r="B1229" s="19"/>
      <c r="C1229" s="19"/>
      <c r="D1229" s="175" t="s">
        <v>8</v>
      </c>
      <c r="E1229" s="2655" t="str">
        <f>I1221</f>
        <v/>
      </c>
      <c r="F1229" s="2655"/>
      <c r="G1229" s="91" t="str">
        <f>IF(INDEX(CNTR_SubInstListIsProdBM,$C1221),INDEX(CNTR_SubInstListHALUnit,$C1221),EUconst_Tons)</f>
        <v>ton</v>
      </c>
      <c r="H1229" s="921"/>
      <c r="I1229" s="985"/>
      <c r="J1229" s="988"/>
      <c r="K1229" s="921"/>
      <c r="L1229" s="921"/>
      <c r="M1229" s="921"/>
      <c r="N1229" s="1124"/>
      <c r="O1229" s="15"/>
      <c r="P1229" s="1362"/>
      <c r="Q1229" s="2"/>
      <c r="R1229" s="2"/>
      <c r="S1229" s="343" t="s">
        <v>1874</v>
      </c>
      <c r="T1229" s="1762" t="b">
        <f t="shared" ref="T1229:Z1229" si="557">AND($I1221&lt;&gt;"",H1228&lt;CNTR_ReportingYear,H1228&gt;=$V1221-1)</f>
        <v>0</v>
      </c>
      <c r="U1229" s="1763" t="b">
        <f t="shared" si="557"/>
        <v>0</v>
      </c>
      <c r="V1229" s="1763" t="b">
        <f t="shared" si="557"/>
        <v>0</v>
      </c>
      <c r="W1229" s="1763" t="b">
        <f t="shared" si="557"/>
        <v>0</v>
      </c>
      <c r="X1229" s="1763" t="b">
        <f t="shared" si="557"/>
        <v>0</v>
      </c>
      <c r="Y1229" s="1763" t="b">
        <f t="shared" si="557"/>
        <v>0</v>
      </c>
      <c r="Z1229" s="1764" t="b">
        <f t="shared" si="557"/>
        <v>0</v>
      </c>
      <c r="AA1229" s="343"/>
      <c r="AB1229" s="672" t="s">
        <v>782</v>
      </c>
      <c r="AC1229" s="1755" t="b">
        <f t="shared" ref="AC1229:AI1229" si="558">IF(CNTR_ExistSubInstEntries,OR($I1221="",$R1233,H1228&gt;=CNTR_ReportingYear,AC1228&lt;$V1221-1),FALSE)</f>
        <v>0</v>
      </c>
      <c r="AD1229" s="1042" t="b">
        <f t="shared" si="558"/>
        <v>0</v>
      </c>
      <c r="AE1229" s="1042" t="b">
        <f t="shared" si="558"/>
        <v>0</v>
      </c>
      <c r="AF1229" s="1042" t="b">
        <f t="shared" si="558"/>
        <v>0</v>
      </c>
      <c r="AG1229" s="1042" t="b">
        <f t="shared" si="558"/>
        <v>0</v>
      </c>
      <c r="AH1229" s="1042" t="b">
        <f t="shared" si="558"/>
        <v>0</v>
      </c>
      <c r="AI1229" s="1043" t="b">
        <f t="shared" si="558"/>
        <v>0</v>
      </c>
      <c r="AJ1229" s="553" t="s">
        <v>2248</v>
      </c>
      <c r="AK1229" s="663" t="str">
        <f>IF(AND(CNTR_ExistSubInstEntries,COUNTIFS(AC1229:AI1229,FALSE,H1229:N1229,"")&gt;0),EUconst_Error&amp;"BM"&amp;$Q1221,"")</f>
        <v/>
      </c>
      <c r="AL1229" s="2"/>
    </row>
    <row r="1230" spans="1:38" ht="13" customHeight="1" thickBot="1" x14ac:dyDescent="0.3">
      <c r="A1230" s="2"/>
      <c r="B1230" s="19"/>
      <c r="C1230" s="19"/>
      <c r="D1230" s="175" t="s">
        <v>9</v>
      </c>
      <c r="E1230" s="2655" t="str">
        <f>Translations!$B$518</f>
        <v>Från blad ”H_SpecialBM”:</v>
      </c>
      <c r="F1230" s="2655"/>
      <c r="G1230" s="91" t="str">
        <f>G1229</f>
        <v>ton</v>
      </c>
      <c r="H1230" s="922" t="str">
        <f>IF(OR($I1221="",H1228&gt;=CNTR_ReportingYear),"",IF($R1233,SUMIF(H_SpecialBM!$Q$9:$Q$414,$Q1230,H_SpecialBM!H$9:H$414),""))</f>
        <v/>
      </c>
      <c r="I1230" s="986" t="str">
        <f>IF(OR($I1221="",I1228&gt;=CNTR_ReportingYear),"",IF($R1233,SUMIF(H_SpecialBM!$Q$9:$Q$414,$Q1230,H_SpecialBM!I$9:I$414),""))</f>
        <v/>
      </c>
      <c r="J1230" s="989" t="str">
        <f>IF(OR($I1221="",J1228&gt;=CNTR_ReportingYear),"",IF($R1233,SUMIF(H_SpecialBM!$Q$9:$Q$414,$Q1230,H_SpecialBM!J$9:J$414),""))</f>
        <v/>
      </c>
      <c r="K1230" s="922" t="str">
        <f>IF(OR($I1221="",K1228&gt;=CNTR_ReportingYear),"",IF($R1233,SUMIF(H_SpecialBM!$Q$9:$Q$414,$Q1230,H_SpecialBM!K$9:K$414),""))</f>
        <v/>
      </c>
      <c r="L1230" s="922" t="str">
        <f>IF(OR($I1221="",L1228&gt;=CNTR_ReportingYear),"",IF($R1233,SUMIF(H_SpecialBM!$Q$9:$Q$414,$Q1230,H_SpecialBM!L$9:L$414),""))</f>
        <v/>
      </c>
      <c r="M1230" s="922" t="str">
        <f>IF(OR($I1221="",M1228&gt;=CNTR_ReportingYear),"",IF($R1233,SUMIF(H_SpecialBM!$Q$9:$Q$414,$Q1230,H_SpecialBM!M$9:M$414),""))</f>
        <v/>
      </c>
      <c r="N1230" s="1125" t="str">
        <f>IF(OR($I1221="",N1228&gt;=CNTR_ReportingYear),"",IF($R1233,SUMIF(H_SpecialBM!$Q$9:$Q$414,$Q1230,H_SpecialBM!N$9:N$414),""))</f>
        <v/>
      </c>
      <c r="O1230" s="15"/>
      <c r="P1230" s="15"/>
      <c r="Q1230" s="165" t="str">
        <f>EUconst_CNTR_HALspecial&amp;I1221</f>
        <v>HALspecial_</v>
      </c>
      <c r="R1230" s="2"/>
      <c r="S1230" s="2"/>
      <c r="T1230" s="2"/>
      <c r="U1230" s="2"/>
      <c r="V1230" s="2"/>
      <c r="W1230" s="2"/>
      <c r="X1230" s="2"/>
      <c r="Y1230" s="2"/>
      <c r="Z1230" s="2"/>
      <c r="AA1230" s="2"/>
      <c r="AB1230" s="672" t="s">
        <v>782</v>
      </c>
      <c r="AC1230" s="1755" t="b">
        <f t="shared" ref="AC1230:AI1230" si="559">AND(CNTR_HasEntries_A_I,OR($R1233=FALSE,H1228&gt;=CNTR_ReportingYear))</f>
        <v>0</v>
      </c>
      <c r="AD1230" s="1042" t="b">
        <f t="shared" si="559"/>
        <v>0</v>
      </c>
      <c r="AE1230" s="1042" t="b">
        <f t="shared" si="559"/>
        <v>0</v>
      </c>
      <c r="AF1230" s="1042" t="b">
        <f t="shared" si="559"/>
        <v>0</v>
      </c>
      <c r="AG1230" s="1042" t="b">
        <f t="shared" si="559"/>
        <v>0</v>
      </c>
      <c r="AH1230" s="1042" t="b">
        <f t="shared" si="559"/>
        <v>0</v>
      </c>
      <c r="AI1230" s="1043" t="b">
        <f t="shared" si="559"/>
        <v>0</v>
      </c>
      <c r="AJ1230" s="766"/>
      <c r="AK1230" s="766"/>
      <c r="AL1230" s="343"/>
    </row>
    <row r="1231" spans="1:38" ht="13" customHeight="1" x14ac:dyDescent="0.25">
      <c r="A1231" s="2"/>
      <c r="B1231" s="19"/>
      <c r="C1231" s="19"/>
      <c r="D1231" s="175" t="s">
        <v>10</v>
      </c>
      <c r="E1231" s="2655" t="str">
        <f>Translations!$B$519</f>
        <v>Värden som används för beräkning:</v>
      </c>
      <c r="F1231" s="2655"/>
      <c r="G1231" s="91" t="str">
        <f>G1230</f>
        <v>ton</v>
      </c>
      <c r="H1231" s="922" t="str">
        <f t="shared" ref="H1231:N1231" si="560">IF(OR($I1221="",H1228&gt;=CNTR_ReportingYear),"",IF($R1233=TRUE,IF(ISNUMBER(H1230),H1230,0),IF(AND(H1228&gt;=$V1221-1,ISNUMBER(H1229)),H1229,0)))</f>
        <v/>
      </c>
      <c r="I1231" s="986" t="str">
        <f t="shared" si="560"/>
        <v/>
      </c>
      <c r="J1231" s="989" t="str">
        <f t="shared" si="560"/>
        <v/>
      </c>
      <c r="K1231" s="922" t="str">
        <f t="shared" si="560"/>
        <v/>
      </c>
      <c r="L1231" s="922" t="str">
        <f t="shared" si="560"/>
        <v/>
      </c>
      <c r="M1231" s="922" t="str">
        <f t="shared" si="560"/>
        <v/>
      </c>
      <c r="N1231" s="1125" t="str">
        <f t="shared" si="560"/>
        <v/>
      </c>
      <c r="O1231" s="15"/>
      <c r="P1231" s="918"/>
      <c r="Q1231" s="165" t="str">
        <f>EUconst_CNTR_HAL&amp;I1221</f>
        <v>HAL_</v>
      </c>
      <c r="R1231" s="2"/>
      <c r="S1231" s="2"/>
      <c r="T1231" s="2"/>
      <c r="U1231" s="2"/>
      <c r="V1231" s="2"/>
      <c r="W1231" s="2"/>
      <c r="X1231" s="2"/>
      <c r="Y1231" s="2"/>
      <c r="Z1231" s="2"/>
      <c r="AA1231" s="2"/>
      <c r="AB1231" s="2"/>
      <c r="AC1231" s="2"/>
      <c r="AD1231" s="2"/>
      <c r="AE1231" s="2"/>
      <c r="AF1231" s="2"/>
      <c r="AG1231" s="2"/>
      <c r="AH1231" s="2"/>
      <c r="AI1231" s="2"/>
      <c r="AJ1231" s="553" t="s">
        <v>2242</v>
      </c>
      <c r="AK1231" s="108" t="str">
        <f>IF(COUNTIFS(H1228:N1228,"&lt;"&amp;YEAR(SUM(T1221)),H1231:N1231,"&gt;"&amp;0)&gt;0,EUconst_Error&amp;"BM"&amp;Q1221,"")</f>
        <v/>
      </c>
      <c r="AL1231" s="343"/>
    </row>
    <row r="1232" spans="1:38" ht="5.15" customHeight="1" x14ac:dyDescent="0.25">
      <c r="A1232" s="2"/>
      <c r="B1232" s="178"/>
      <c r="C1232" s="178"/>
      <c r="D1232" s="178"/>
      <c r="E1232" s="178"/>
      <c r="F1232" s="178"/>
      <c r="G1232" s="178"/>
      <c r="H1232" s="178"/>
      <c r="I1232" s="178"/>
      <c r="J1232" s="178"/>
      <c r="K1232" s="178"/>
      <c r="L1232" s="178"/>
      <c r="M1232" s="15"/>
      <c r="N1232" s="15"/>
      <c r="O1232" s="15"/>
      <c r="P1232" s="15"/>
      <c r="Q1232" s="343"/>
      <c r="R1232" s="2"/>
      <c r="S1232" s="343"/>
      <c r="T1232" s="343"/>
      <c r="U1232" s="2"/>
      <c r="V1232" s="2"/>
      <c r="W1232" s="2"/>
      <c r="X1232" s="2"/>
      <c r="Y1232" s="2"/>
      <c r="Z1232" s="2"/>
      <c r="AA1232" s="2"/>
      <c r="AB1232" s="2"/>
      <c r="AC1232" s="2"/>
      <c r="AD1232" s="2"/>
      <c r="AE1232" s="2"/>
      <c r="AF1232" s="2"/>
      <c r="AG1232" s="2"/>
      <c r="AH1232" s="2"/>
      <c r="AI1232" s="2"/>
      <c r="AJ1232" s="2"/>
      <c r="AK1232" s="2"/>
      <c r="AL1232" s="2"/>
    </row>
    <row r="1233" spans="1:38" ht="12.75" customHeight="1" x14ac:dyDescent="0.25">
      <c r="A1233" s="2"/>
      <c r="B1233" s="178"/>
      <c r="C1233" s="178"/>
      <c r="D1233" s="289" t="s">
        <v>23</v>
      </c>
      <c r="E1233" s="1943" t="str">
        <f>Translations!$B$520</f>
        <v>Särskilda rapporteringskrav:</v>
      </c>
      <c r="F1233" s="1943"/>
      <c r="G1233" s="2067"/>
      <c r="H1233" s="2652" t="str">
        <f>IF(I1221="","",HYPERLINK(INDEX(EUconst_BMlistSpecialJumpTable,MATCH(I1221,EUconst_BMlistNames,0)),INDEX(EUconst_BMlistSpecialReporting,MATCH(I1221,EUconst_BMlistNames,0))))</f>
        <v/>
      </c>
      <c r="I1233" s="2656"/>
      <c r="J1233" s="2656"/>
      <c r="K1233" s="2656"/>
      <c r="L1233" s="2656"/>
      <c r="M1233" s="2656"/>
      <c r="N1233" s="2657"/>
      <c r="O1233" s="15"/>
      <c r="P1233" s="15"/>
      <c r="Q1233" s="553" t="s">
        <v>133</v>
      </c>
      <c r="R1233" s="108" t="str">
        <f>IF(I1221="","",IF(AND(INDEX(EUconst_BMlistSpecialJumpTable,MATCH(I1221,EUconst_BMlistNames,0))&lt;&gt;"",MATCH(I1221,EUconst_BMlistNames,0)&lt;&gt;47),TRUE,FALSE))</f>
        <v/>
      </c>
      <c r="S1233" s="343"/>
      <c r="T1233" s="343"/>
      <c r="U1233" s="2"/>
      <c r="V1233" s="2"/>
      <c r="W1233" s="2"/>
      <c r="X1233" s="2"/>
      <c r="Y1233" s="2"/>
      <c r="Z1233" s="2"/>
      <c r="AA1233" s="2"/>
      <c r="AB1233" s="2"/>
      <c r="AC1233" s="2"/>
      <c r="AD1233" s="2"/>
      <c r="AE1233" s="2"/>
      <c r="AF1233" s="2"/>
      <c r="AG1233" s="2"/>
      <c r="AH1233" s="2"/>
      <c r="AI1233" s="2"/>
      <c r="AJ1233" s="2"/>
      <c r="AK1233" s="2"/>
      <c r="AL1233" s="2"/>
    </row>
    <row r="1234" spans="1:38" ht="12.75" customHeight="1" x14ac:dyDescent="0.25">
      <c r="A1234" s="2"/>
      <c r="B1234" s="178"/>
      <c r="C1234" s="178"/>
      <c r="D1234" s="15"/>
      <c r="E1234" s="2061" t="str">
        <f>Translations!$B$521</f>
        <v>Särskild information måste ges när det gäller vissa produktriktmärken (t.ex. CWT-värden). Ett automatiskt meddelande kommer att visas här, i relevanta fall.</v>
      </c>
      <c r="F1234" s="1963"/>
      <c r="G1234" s="1963"/>
      <c r="H1234" s="1963"/>
      <c r="I1234" s="1963"/>
      <c r="J1234" s="1963"/>
      <c r="K1234" s="1963"/>
      <c r="L1234" s="1963"/>
      <c r="M1234" s="1963"/>
      <c r="N1234" s="1963"/>
      <c r="O1234" s="15"/>
      <c r="P1234" s="15"/>
      <c r="Q1234" s="343"/>
      <c r="R1234" s="2"/>
      <c r="S1234" s="343"/>
      <c r="T1234" s="343"/>
      <c r="U1234" s="2"/>
      <c r="V1234" s="2"/>
      <c r="W1234" s="2"/>
      <c r="X1234" s="2"/>
      <c r="Y1234" s="2"/>
      <c r="Z1234" s="2"/>
      <c r="AA1234" s="2"/>
      <c r="AB1234" s="2"/>
      <c r="AC1234" s="2"/>
      <c r="AD1234" s="2"/>
      <c r="AE1234" s="2"/>
      <c r="AF1234" s="2"/>
      <c r="AG1234" s="2"/>
      <c r="AH1234" s="2"/>
      <c r="AI1234" s="2"/>
      <c r="AJ1234" s="2"/>
      <c r="AK1234" s="2"/>
      <c r="AL1234" s="2"/>
    </row>
    <row r="1235" spans="1:38" ht="5.15" customHeight="1" x14ac:dyDescent="0.25">
      <c r="A1235" s="2"/>
      <c r="B1235" s="178"/>
      <c r="C1235" s="178"/>
      <c r="D1235" s="15"/>
      <c r="E1235" s="15"/>
      <c r="F1235" s="15"/>
      <c r="G1235" s="15"/>
      <c r="H1235" s="15"/>
      <c r="I1235" s="15"/>
      <c r="J1235" s="15"/>
      <c r="K1235" s="15"/>
      <c r="L1235" s="15"/>
      <c r="M1235" s="15"/>
      <c r="N1235" s="15"/>
      <c r="O1235" s="15"/>
      <c r="P1235" s="15"/>
      <c r="Q1235" s="343"/>
      <c r="R1235" s="2"/>
      <c r="S1235" s="343"/>
      <c r="T1235" s="343"/>
      <c r="U1235" s="2"/>
      <c r="V1235" s="2"/>
      <c r="W1235" s="2"/>
      <c r="X1235" s="2"/>
      <c r="Y1235" s="2"/>
      <c r="Z1235" s="343"/>
      <c r="AA1235" s="2"/>
      <c r="AB1235" s="2"/>
      <c r="AC1235" s="2"/>
      <c r="AD1235" s="2"/>
      <c r="AE1235" s="2"/>
      <c r="AF1235" s="2"/>
      <c r="AG1235" s="2"/>
      <c r="AH1235" s="2"/>
      <c r="AI1235" s="2"/>
      <c r="AJ1235" s="2"/>
      <c r="AK1235" s="2"/>
      <c r="AL1235" s="343"/>
    </row>
    <row r="1236" spans="1:38" ht="12.75" customHeight="1" x14ac:dyDescent="0.25">
      <c r="A1236" s="2"/>
      <c r="B1236" s="178"/>
      <c r="C1236" s="178"/>
      <c r="D1236" s="13" t="s">
        <v>955</v>
      </c>
      <c r="E1236" s="1943" t="str">
        <f>Translations!$B$1467</f>
        <v>Eventuella justeringar av verksamhetsnivå</v>
      </c>
      <c r="F1236" s="1963"/>
      <c r="G1236" s="1963"/>
      <c r="H1236" s="1963"/>
      <c r="I1236" s="1963"/>
      <c r="J1236" s="1963"/>
      <c r="K1236" s="1963"/>
      <c r="L1236" s="1963"/>
      <c r="M1236" s="1963"/>
      <c r="N1236" s="1963"/>
      <c r="O1236" s="15"/>
      <c r="P1236" s="15"/>
      <c r="Q1236" s="343"/>
      <c r="R1236" s="2"/>
      <c r="S1236" s="343"/>
      <c r="T1236" s="343"/>
      <c r="U1236" s="2"/>
      <c r="V1236" s="2"/>
      <c r="W1236" s="2"/>
      <c r="X1236" s="2"/>
      <c r="Y1236" s="2"/>
      <c r="Z1236" s="343"/>
      <c r="AA1236" s="2"/>
      <c r="AB1236" s="2"/>
      <c r="AC1236" s="2"/>
      <c r="AD1236" s="2"/>
      <c r="AE1236" s="2"/>
      <c r="AF1236" s="2"/>
      <c r="AG1236" s="2"/>
      <c r="AH1236" s="2"/>
      <c r="AI1236" s="2"/>
      <c r="AJ1236" s="2"/>
      <c r="AK1236" s="2"/>
      <c r="AL1236" s="343"/>
    </row>
    <row r="1237" spans="1:38" ht="12.75" customHeight="1" x14ac:dyDescent="0.25">
      <c r="A1237" s="2"/>
      <c r="B1237" s="178"/>
      <c r="C1237" s="178"/>
      <c r="D1237" s="15"/>
      <c r="E1237" s="2061" t="str">
        <f>Translations!$B$1468</f>
        <v>Den historiska verksamhetsnivån (HAL) kommer att bestämmas automatiskt baserat på uppgifter under punkt a) ovan och uppgifter i blad B+C_SubInstallations. För nya delanläggningar kommer HAL att visas under v) baserat på det första fullständiga verksamhetsåret.</v>
      </c>
      <c r="F1237" s="1963"/>
      <c r="G1237" s="1963"/>
      <c r="H1237" s="1963"/>
      <c r="I1237" s="1963"/>
      <c r="J1237" s="1963"/>
      <c r="K1237" s="1963"/>
      <c r="L1237" s="1963"/>
      <c r="M1237" s="1963"/>
      <c r="N1237" s="1963"/>
      <c r="O1237" s="15"/>
      <c r="P1237" s="15"/>
      <c r="Q1237" s="343"/>
      <c r="R1237" s="2"/>
      <c r="S1237" s="343"/>
      <c r="T1237" s="343"/>
      <c r="U1237" s="343"/>
      <c r="V1237" s="2"/>
      <c r="W1237" s="2"/>
      <c r="X1237" s="2"/>
      <c r="Y1237" s="2"/>
      <c r="Z1237" s="2"/>
      <c r="AA1237" s="2"/>
      <c r="AB1237" s="2"/>
      <c r="AC1237" s="2"/>
      <c r="AD1237" s="2"/>
      <c r="AE1237" s="2"/>
      <c r="AF1237" s="2"/>
      <c r="AG1237" s="2"/>
      <c r="AH1237" s="2"/>
      <c r="AI1237" s="2"/>
      <c r="AJ1237" s="2"/>
      <c r="AK1237" s="2"/>
      <c r="AL1237" s="2"/>
    </row>
    <row r="1238" spans="1:38" ht="25.5" customHeight="1" x14ac:dyDescent="0.25">
      <c r="A1238" s="2"/>
      <c r="B1238" s="178"/>
      <c r="C1238" s="178"/>
      <c r="D1238" s="15"/>
      <c r="E1238" s="2061" t="str">
        <f>Translations!$B$1469</f>
        <v>Baserat på värdena för HAL och värdena under punkt a) ovan bestäms de genomsnittliga verksamhetsnivåerna här. Tilldelningen kommer endast att ändras om alla följande tröskelvärden i artikel 5 i verksamhetsändringsförordningen överskrids:</v>
      </c>
      <c r="F1238" s="1963"/>
      <c r="G1238" s="1963"/>
      <c r="H1238" s="1963"/>
      <c r="I1238" s="1963"/>
      <c r="J1238" s="1963"/>
      <c r="K1238" s="1963"/>
      <c r="L1238" s="1963"/>
      <c r="M1238" s="1963"/>
      <c r="N1238" s="1963"/>
      <c r="O1238" s="15"/>
      <c r="P1238" s="15"/>
      <c r="Q1238" s="343"/>
      <c r="R1238" s="2"/>
      <c r="S1238" s="343"/>
      <c r="T1238" s="343"/>
      <c r="U1238" s="343"/>
      <c r="V1238" s="2"/>
      <c r="W1238" s="2"/>
      <c r="X1238" s="2"/>
      <c r="Y1238" s="2"/>
      <c r="Z1238" s="2"/>
      <c r="AA1238" s="2"/>
      <c r="AB1238" s="2"/>
      <c r="AC1238" s="2"/>
      <c r="AD1238" s="2"/>
      <c r="AE1238" s="2"/>
      <c r="AF1238" s="2"/>
      <c r="AG1238" s="2"/>
      <c r="AH1238" s="2"/>
      <c r="AI1238" s="2"/>
      <c r="AJ1238" s="2"/>
      <c r="AK1238" s="2"/>
      <c r="AL1238" s="2"/>
    </row>
    <row r="1239" spans="1:38" ht="12.75" customHeight="1" x14ac:dyDescent="0.25">
      <c r="A1239" s="2"/>
      <c r="B1239" s="178"/>
      <c r="C1239" s="178"/>
      <c r="D1239" s="15"/>
      <c r="E1239" s="1102" t="s">
        <v>1112</v>
      </c>
      <c r="F1239" s="2095" t="str">
        <f>Translations!$B$1470</f>
        <v>De relativa tröskelvärdena (15 % och 5 % för efterföljande ändringar) för de genomsnittliga verksamhetsnivåerna jämfört med HAL</v>
      </c>
      <c r="G1239" s="2159"/>
      <c r="H1239" s="2159"/>
      <c r="I1239" s="2159"/>
      <c r="J1239" s="2159"/>
      <c r="K1239" s="2159"/>
      <c r="L1239" s="2159"/>
      <c r="M1239" s="2159"/>
      <c r="N1239" s="2159"/>
      <c r="O1239" s="15"/>
      <c r="P1239" s="15"/>
      <c r="Q1239" s="343"/>
      <c r="R1239" s="2"/>
      <c r="S1239" s="343"/>
      <c r="T1239" s="343"/>
      <c r="U1239" s="343"/>
      <c r="V1239" s="2"/>
      <c r="W1239" s="2"/>
      <c r="X1239" s="2"/>
      <c r="Y1239" s="2"/>
      <c r="Z1239" s="2"/>
      <c r="AA1239" s="2"/>
      <c r="AB1239" s="2"/>
      <c r="AC1239" s="2"/>
      <c r="AD1239" s="2"/>
      <c r="AE1239" s="2"/>
      <c r="AF1239" s="2"/>
      <c r="AG1239" s="2"/>
      <c r="AH1239" s="2"/>
      <c r="AI1239" s="2"/>
      <c r="AJ1239" s="2"/>
      <c r="AK1239" s="2"/>
      <c r="AL1239" s="2"/>
    </row>
    <row r="1240" spans="1:38" ht="12.75" customHeight="1" thickBot="1" x14ac:dyDescent="0.3">
      <c r="A1240" s="2"/>
      <c r="B1240" s="178"/>
      <c r="C1240" s="178"/>
      <c r="D1240" s="15"/>
      <c r="E1240" s="1102" t="s">
        <v>1112</v>
      </c>
      <c r="F1240" s="2095" t="str">
        <f>Translations!$B$1471</f>
        <v>Det absoluta tröskelvärdet, dvs. en ändring skulle leda till en ändring av den preliminära tilldelningen på minst 100 utsläppsrätter</v>
      </c>
      <c r="G1240" s="2159"/>
      <c r="H1240" s="2159"/>
      <c r="I1240" s="2159"/>
      <c r="J1240" s="2159"/>
      <c r="K1240" s="2159"/>
      <c r="L1240" s="2159"/>
      <c r="M1240" s="2159"/>
      <c r="N1240" s="2159"/>
      <c r="O1240" s="15"/>
      <c r="P1240" s="15"/>
      <c r="Q1240" s="343"/>
      <c r="R1240" s="2"/>
      <c r="S1240" s="343"/>
      <c r="T1240" s="343"/>
      <c r="U1240" s="343"/>
      <c r="V1240" s="2"/>
      <c r="W1240" s="2"/>
      <c r="X1240" s="2"/>
      <c r="Y1240" s="2"/>
      <c r="Z1240" s="2"/>
      <c r="AA1240" s="2"/>
      <c r="AB1240" s="2"/>
      <c r="AC1240" s="2"/>
      <c r="AD1240" s="2"/>
      <c r="AE1240" s="2"/>
      <c r="AF1240" s="2"/>
      <c r="AG1240" s="2"/>
      <c r="AH1240" s="2"/>
      <c r="AI1240" s="2"/>
      <c r="AJ1240" s="2"/>
      <c r="AK1240" s="2"/>
      <c r="AL1240" s="2"/>
    </row>
    <row r="1241" spans="1:38" ht="5.15" customHeight="1" thickBot="1" x14ac:dyDescent="0.3">
      <c r="A1241" s="2"/>
      <c r="B1241" s="178"/>
      <c r="C1241" s="178"/>
      <c r="D1241" s="1238"/>
      <c r="E1241" s="1278"/>
      <c r="F1241" s="1239"/>
      <c r="G1241" s="1279"/>
      <c r="H1241" s="1279"/>
      <c r="I1241" s="1279"/>
      <c r="J1241" s="1279"/>
      <c r="K1241" s="1279"/>
      <c r="L1241" s="1279"/>
      <c r="M1241" s="1279"/>
      <c r="N1241" s="1280"/>
      <c r="O1241" s="15"/>
      <c r="P1241" s="15"/>
      <c r="Q1241" s="343"/>
      <c r="R1241" s="2"/>
      <c r="S1241" s="343"/>
      <c r="T1241" s="343"/>
      <c r="U1241" s="343"/>
      <c r="V1241" s="2"/>
      <c r="W1241" s="2"/>
      <c r="X1241" s="2"/>
      <c r="Y1241" s="2"/>
      <c r="Z1241" s="2"/>
      <c r="AA1241" s="2"/>
      <c r="AB1241" s="2"/>
      <c r="AC1241" s="2"/>
      <c r="AD1241" s="2"/>
      <c r="AE1241" s="2"/>
      <c r="AF1241" s="2"/>
      <c r="AG1241" s="2"/>
      <c r="AH1241" s="2"/>
      <c r="AI1241" s="2"/>
      <c r="AJ1241" s="2"/>
      <c r="AK1241" s="2"/>
      <c r="AL1241" s="2"/>
    </row>
    <row r="1242" spans="1:38" ht="12.75" customHeight="1" x14ac:dyDescent="0.25">
      <c r="A1242" s="2"/>
      <c r="B1242" s="178"/>
      <c r="C1242" s="178"/>
      <c r="D1242" s="1290"/>
      <c r="E1242" s="1243" t="str">
        <f>Translations!$B$1340</f>
        <v>Justeringar</v>
      </c>
      <c r="F1242" s="1244"/>
      <c r="G1242" s="1244"/>
      <c r="H1242" s="1228" t="str">
        <f>EUconst_Unit</f>
        <v>Enhet</v>
      </c>
      <c r="I1242" s="1229" t="str">
        <f>Translations!$B$1472</f>
        <v>HAL</v>
      </c>
      <c r="J1242" s="1268">
        <f>J$3042</f>
        <v>2021</v>
      </c>
      <c r="K1242" s="1230">
        <f>K$3042</f>
        <v>2022</v>
      </c>
      <c r="L1242" s="1230">
        <f>L$3042</f>
        <v>2023</v>
      </c>
      <c r="M1242" s="1230">
        <f>M$3042</f>
        <v>2024</v>
      </c>
      <c r="N1242" s="1258">
        <f>N$3042</f>
        <v>2025</v>
      </c>
      <c r="O1242" s="15"/>
      <c r="P1242" s="15"/>
      <c r="Q1242" s="343"/>
      <c r="R1242" s="2"/>
      <c r="S1242" s="2"/>
      <c r="T1242" s="2"/>
      <c r="U1242" s="772"/>
      <c r="V1242" s="1077">
        <f>J1242</f>
        <v>2021</v>
      </c>
      <c r="W1242" s="1077">
        <f>K1242</f>
        <v>2022</v>
      </c>
      <c r="X1242" s="1077">
        <f>L1242</f>
        <v>2023</v>
      </c>
      <c r="Y1242" s="1077">
        <f>M1242</f>
        <v>2024</v>
      </c>
      <c r="Z1242" s="1078">
        <f>N1242</f>
        <v>2025</v>
      </c>
      <c r="AA1242" s="2"/>
      <c r="AB1242" s="2"/>
      <c r="AC1242" s="2"/>
      <c r="AD1242" s="2"/>
      <c r="AE1242" s="2"/>
      <c r="AF1242" s="2"/>
      <c r="AG1242" s="2"/>
      <c r="AH1242" s="2"/>
      <c r="AI1242" s="2"/>
      <c r="AJ1242" s="2"/>
      <c r="AK1242" s="2"/>
      <c r="AL1242" s="2"/>
    </row>
    <row r="1243" spans="1:38" ht="12.75" customHeight="1" x14ac:dyDescent="0.25">
      <c r="A1243" s="2"/>
      <c r="B1243" s="178"/>
      <c r="C1243" s="178"/>
      <c r="D1243" s="1246" t="s">
        <v>8</v>
      </c>
      <c r="E1243" s="1231" t="str">
        <f>Translations!$B$1473</f>
        <v>Genomsnittlig årlig verksamhetsnivå</v>
      </c>
      <c r="F1243" s="1231"/>
      <c r="G1243" s="1231"/>
      <c r="H1243" s="917" t="str">
        <f>IF(INDEX(CNTR_SubInstListIsProdBM,$C1221),INDEX(CNTR_SubInstListHALUnit,$C1221),EUconst_Tons)</f>
        <v>ton</v>
      </c>
      <c r="I1243" s="990" t="str">
        <f>IF(V1221&gt;($J$3042-3),EUconst_NA,INDEX('B+C_SubInstallations'!$I:$I,MATCH(Q1243,'B+C_SubInstallations'!$T:$T,0)))</f>
        <v/>
      </c>
      <c r="J1243" s="993" t="str">
        <f>IF(AND(V1243&gt;=3,CNTR_ReportingYear&gt;J1242-1),AVERAGE(H1231:I1231),"")</f>
        <v/>
      </c>
      <c r="K1243" s="920" t="str">
        <f>IF(AND(W1243&gt;=3,CNTR_ReportingYear&gt;K1242-1),AVERAGE(I1231:J1231),"")</f>
        <v/>
      </c>
      <c r="L1243" s="920" t="str">
        <f>IF(AND(X1243&gt;=3,CNTR_ReportingYear&gt;L1242-1),AVERAGE(J1231:K1231),"")</f>
        <v/>
      </c>
      <c r="M1243" s="920" t="str">
        <f>IF(AND(Y1243&gt;=3,CNTR_ReportingYear&gt;M1242-1),AVERAGE(K1231:L1231),"")</f>
        <v/>
      </c>
      <c r="N1243" s="1218" t="str">
        <f>IF(AND(Z1243&gt;=3,CNTR_ReportingYear&gt;N1242-1),AVERAGE(L1231:M1231),"")</f>
        <v/>
      </c>
      <c r="O1243" s="15"/>
      <c r="P1243" s="15"/>
      <c r="Q1243" s="672" t="str">
        <f>EUconst_CNTR_HALinitial&amp;I1221</f>
        <v>HALini_</v>
      </c>
      <c r="R1243" s="2"/>
      <c r="S1243" s="2"/>
      <c r="T1243" s="2"/>
      <c r="U1243" s="1088" t="s">
        <v>1850</v>
      </c>
      <c r="V1243" s="663">
        <f>IF($I1221="",0,V1242-$V1221+1)</f>
        <v>0</v>
      </c>
      <c r="W1243" s="663">
        <f>IF($I1221="",0,W1242-$V1221+1)</f>
        <v>0</v>
      </c>
      <c r="X1243" s="663">
        <f>IF($I1221="",0,X1242-$V1221+1)</f>
        <v>0</v>
      </c>
      <c r="Y1243" s="663">
        <f>IF($I1221="",0,Y1242-$V1221+1)</f>
        <v>0</v>
      </c>
      <c r="Z1243" s="1080">
        <f>IF($I1221="",0,Z1242-$V1221+1)</f>
        <v>0</v>
      </c>
      <c r="AA1243" s="2"/>
      <c r="AB1243" s="2"/>
      <c r="AC1243" s="2"/>
      <c r="AD1243" s="2"/>
      <c r="AE1243" s="2"/>
      <c r="AF1243" s="2"/>
      <c r="AG1243" s="2"/>
      <c r="AH1243" s="2"/>
      <c r="AI1243" s="2"/>
      <c r="AJ1243" s="2"/>
      <c r="AK1243" s="2"/>
      <c r="AL1243" s="2"/>
    </row>
    <row r="1244" spans="1:38" ht="12.75" hidden="1" customHeight="1" x14ac:dyDescent="0.25">
      <c r="A1244" s="343" t="s">
        <v>346</v>
      </c>
      <c r="B1244" s="178"/>
      <c r="C1244" s="178"/>
      <c r="D1244" s="1242"/>
      <c r="E1244" s="1281" t="s">
        <v>1848</v>
      </c>
      <c r="F1244" s="1281"/>
      <c r="G1244" s="1281"/>
      <c r="H1244" s="1283"/>
      <c r="I1244" s="1284"/>
      <c r="J1244" s="991" t="str">
        <f>IF(J1243="","",IF($I1246=0,IF(J1243=0,0%,100%),J1243/$I1246-1))</f>
        <v/>
      </c>
      <c r="K1244" s="960" t="str">
        <f>IF(K1243="","",IF($I1246=0,IF(K1243=0,0%,100%),K1243/$I1246-1))</f>
        <v/>
      </c>
      <c r="L1244" s="960" t="str">
        <f>IF(L1243="","",IF($I1246=0,IF(L1243=0,0%,100%),L1243/$I1246-1))</f>
        <v/>
      </c>
      <c r="M1244" s="960" t="str">
        <f>IF(M1243="","",IF($I1246=0,IF(M1243=0,0%,100%),M1243/$I1246-1))</f>
        <v/>
      </c>
      <c r="N1244" s="1219" t="str">
        <f>IF(N1243="","",IF($I1246=0,IF(N1243=0,0%,100%),N1243/$I1246-1))</f>
        <v/>
      </c>
      <c r="O1244" s="15"/>
      <c r="P1244" s="15"/>
      <c r="Q1244" s="165" t="str">
        <f>EUconst_CNTR_RelThreshold &amp; Q1246</f>
        <v>RelThresh_HALprelim_</v>
      </c>
      <c r="R1244" s="2"/>
      <c r="S1244" s="2"/>
      <c r="T1244" s="2"/>
      <c r="U1244" s="1088" t="s">
        <v>1855</v>
      </c>
      <c r="V1244" s="603" t="str">
        <f>IF(J1243="","",ABS(J1244)&gt;15%)</f>
        <v/>
      </c>
      <c r="W1244" s="603" t="str">
        <f>IF(K1243="","",ABS(K1244)&gt;15%)</f>
        <v/>
      </c>
      <c r="X1244" s="603" t="str">
        <f>IF(L1243="","",ABS(L1244)&gt;15%)</f>
        <v/>
      </c>
      <c r="Y1244" s="603" t="str">
        <f>IF(M1243="","",ABS(M1244)&gt;15%)</f>
        <v/>
      </c>
      <c r="Z1244" s="1756" t="str">
        <f>IF(N1243="","",ABS(N1244)&gt;15%)</f>
        <v/>
      </c>
      <c r="AA1244" s="2"/>
      <c r="AB1244" s="2"/>
      <c r="AC1244" s="2"/>
      <c r="AD1244" s="2"/>
      <c r="AE1244" s="2"/>
      <c r="AF1244" s="2"/>
      <c r="AG1244" s="2"/>
      <c r="AH1244" s="2"/>
      <c r="AI1244" s="2"/>
      <c r="AJ1244" s="2"/>
      <c r="AK1244" s="2"/>
      <c r="AL1244" s="343"/>
    </row>
    <row r="1245" spans="1:38" ht="12.75" customHeight="1" x14ac:dyDescent="0.25">
      <c r="A1245" s="343"/>
      <c r="B1245" s="178"/>
      <c r="C1245" s="178"/>
      <c r="D1245" s="1246" t="s">
        <v>9</v>
      </c>
      <c r="E1245" s="1231" t="str">
        <f>Translations!$B$1474</f>
        <v>Preliminär justering (om relativa tröskelvärden överskrids)</v>
      </c>
      <c r="F1245" s="1231"/>
      <c r="G1245" s="1231"/>
      <c r="H1245" s="1233"/>
      <c r="I1245" s="1235"/>
      <c r="J1245" s="992" t="str">
        <f>IF(J1243="","",IF(V1244=FALSE,0%,IF(V1245,J1244,I1251)))</f>
        <v/>
      </c>
      <c r="K1245" s="937" t="str">
        <f>IF(K1243="","",IF(W1244=FALSE,0%,IF(W1245,K1244,J1251)))</f>
        <v/>
      </c>
      <c r="L1245" s="937" t="str">
        <f>IF(L1243="","",IF(X1244=FALSE,0%,IF(X1245,L1244,K1251)))</f>
        <v/>
      </c>
      <c r="M1245" s="937" t="str">
        <f>IF(M1243="","",IF(Y1244=FALSE,0%,IF(Y1245,M1244,L1251)))</f>
        <v/>
      </c>
      <c r="N1245" s="1220" t="str">
        <f>IF(N1243="","",IF(Z1244=FALSE,0%,IF(Z1245,N1244,M1251)))</f>
        <v/>
      </c>
      <c r="O1245" s="15"/>
      <c r="P1245" s="15"/>
      <c r="Q1245" s="2"/>
      <c r="R1245" s="2"/>
      <c r="S1245" s="2"/>
      <c r="T1245" s="2"/>
      <c r="U1245" s="1088" t="s">
        <v>1856</v>
      </c>
      <c r="V1245" s="603" t="str">
        <f>IF(J1243="","",AND(V1244,IF(SUM(I1251)&lt;0,OR(SUM(J1244)&lt;SUM(I1251)-MOD(SUM(I1251),5%),J1244&gt;=SUM(I1251)+5%-MOD(SUM(I1251),5%)),OR(SUM(J1244)&lt;=SUM(I1251)-MOD(SUM(I1251),5%),SUM(J1244)&gt;SUM(I1251)+5%-MOD(SUM(I1251),5%)))))</f>
        <v/>
      </c>
      <c r="W1245" s="603" t="str">
        <f>IF(K1243="","",AND(W1244,IF(SUM(J1251)&lt;0,OR(SUM(K1244)&lt;SUM(J1251)-MOD(SUM(J1251),5%),K1244&gt;=SUM(J1251)+5%-MOD(SUM(J1251),5%)),OR(SUM(K1244)&lt;=SUM(J1251)-MOD(SUM(J1251),5%),SUM(K1244)&gt;SUM(J1251)+5%-MOD(SUM(J1251),5%)))))</f>
        <v/>
      </c>
      <c r="X1245" s="603" t="str">
        <f>IF(L1243="","",AND(X1244,IF(SUM(K1251)&lt;0,OR(SUM(L1244)&lt;SUM(K1251)-MOD(SUM(K1251),5%),L1244&gt;=SUM(K1251)+5%-MOD(SUM(K1251),5%)),OR(SUM(L1244)&lt;=SUM(K1251)-MOD(SUM(K1251),5%),SUM(L1244)&gt;SUM(K1251)+5%-MOD(SUM(K1251),5%)))))</f>
        <v/>
      </c>
      <c r="Y1245" s="603" t="str">
        <f>IF(M1243="","",AND(Y1244,IF(SUM(L1251)&lt;0,OR(SUM(M1244)&lt;SUM(L1251)-MOD(SUM(L1251),5%),M1244&gt;=SUM(L1251)+5%-MOD(SUM(L1251),5%)),OR(SUM(M1244)&lt;=SUM(L1251)-MOD(SUM(L1251),5%),SUM(M1244)&gt;SUM(L1251)+5%-MOD(SUM(L1251),5%)))))</f>
        <v/>
      </c>
      <c r="Z1245" s="1756" t="str">
        <f>IF(N1243="","",AND(Z1244,IF(SUM(M1251)&lt;0,OR(SUM(N1244)&lt;SUM(M1251)-MOD(SUM(M1251),5%),N1244&gt;=SUM(M1251)+5%-MOD(SUM(M1251),5%)),OR(SUM(N1244)&lt;=SUM(M1251)-MOD(SUM(M1251),5%),SUM(N1244)&gt;SUM(M1251)+5%-MOD(SUM(M1251),5%)))))</f>
        <v/>
      </c>
      <c r="AA1245" s="2"/>
      <c r="AB1245" s="2"/>
      <c r="AC1245" s="2"/>
      <c r="AD1245" s="2"/>
      <c r="AE1245" s="2"/>
      <c r="AF1245" s="2"/>
      <c r="AG1245" s="2"/>
      <c r="AH1245" s="2"/>
      <c r="AI1245" s="2"/>
      <c r="AJ1245" s="2"/>
      <c r="AK1245" s="2"/>
      <c r="AL1245" s="343"/>
    </row>
    <row r="1246" spans="1:38" ht="12.75" hidden="1" customHeight="1" x14ac:dyDescent="0.25">
      <c r="A1246" s="343" t="s">
        <v>346</v>
      </c>
      <c r="B1246" s="178"/>
      <c r="C1246" s="178"/>
      <c r="D1246" s="1242"/>
      <c r="E1246" s="1231" t="s">
        <v>1889</v>
      </c>
      <c r="F1246" s="1231"/>
      <c r="G1246" s="1231"/>
      <c r="H1246" s="917" t="str">
        <f>H1243</f>
        <v>ton</v>
      </c>
      <c r="I1246" s="990" t="str">
        <f>IF(I1221="","",IF(AB1221=FALSE,EUconst_NA,IF(V1221&gt;($J$3042-3),INDEX(H1231:N1231,MATCH(V1221,H1228:N1228,0)),SUM(I1243))))</f>
        <v/>
      </c>
      <c r="J1246" s="993" t="str">
        <f>IF($I1221="","",IF(V1243&lt;2,SUM(J1231),IF(V1243&lt;3,SUM(I1231),IF(V1246="",I1246,V1246))))</f>
        <v/>
      </c>
      <c r="K1246" s="920" t="str">
        <f>IF($I1221="","",IF(W1243&lt;2,SUM(K1231),IF(W1243&lt;3,SUM(J1231),IF(W1246="",J1246,W1246))))</f>
        <v/>
      </c>
      <c r="L1246" s="920" t="str">
        <f>IF($I1221="","",IF(X1243&lt;2,SUM(L1231),IF(X1243&lt;3,SUM(K1231),IF(X1246="",K1246,X1246))))</f>
        <v/>
      </c>
      <c r="M1246" s="920" t="str">
        <f>IF($I1221="","",IF(Y1243&lt;2,SUM(M1231),IF(Y1243&lt;3,SUM(L1231),IF(Y1246="",L1246,Y1246))))</f>
        <v/>
      </c>
      <c r="N1246" s="1218" t="str">
        <f>IF($I1221="","",IF(Z1243&lt;2,SUM(N1231),IF(Z1243&lt;3,SUM(M1231),IF(Z1246="",M1246,Z1246))))</f>
        <v/>
      </c>
      <c r="O1246" s="15"/>
      <c r="P1246" s="15"/>
      <c r="Q1246" s="672" t="str">
        <f>EUconst_CNTR_HALprelim&amp;I1221</f>
        <v>HALprelim_</v>
      </c>
      <c r="R1246" s="2"/>
      <c r="S1246" s="2"/>
      <c r="T1246" s="2"/>
      <c r="U1246" s="1088" t="s">
        <v>1898</v>
      </c>
      <c r="V1246" s="1752" t="str">
        <f>IF(J1243="","",IF(CNTR_ReportingYear&lt;J1242,I1245,IF($I1246=0,J1243,$I1246*(1+J1245))))</f>
        <v/>
      </c>
      <c r="W1246" s="1752" t="str">
        <f>IF(K1243="","",IF(CNTR_ReportingYear&lt;K1242,J1245,IF($I1246=0,K1243,$I1246*(1+K1245))))</f>
        <v/>
      </c>
      <c r="X1246" s="1752" t="str">
        <f>IF(L1243="","",IF(CNTR_ReportingYear&lt;L1242,K1245,IF($I1246=0,L1243,$I1246*(1+L1245))))</f>
        <v/>
      </c>
      <c r="Y1246" s="1752" t="str">
        <f>IF(M1243="","",IF(CNTR_ReportingYear&lt;M1242,L1245,IF($I1246=0,M1243,$I1246*(1+M1245))))</f>
        <v/>
      </c>
      <c r="Z1246" s="1761" t="str">
        <f>IF(N1243="","",IF(CNTR_ReportingYear&lt;N1242,M1245,IF($I1246=0,N1243,$I1246*(1+N1245))))</f>
        <v/>
      </c>
      <c r="AA1246" s="2"/>
      <c r="AB1246" s="2"/>
      <c r="AC1246" s="2"/>
      <c r="AD1246" s="2"/>
      <c r="AE1246" s="2"/>
      <c r="AF1246" s="2"/>
      <c r="AG1246" s="2"/>
      <c r="AH1246" s="2"/>
      <c r="AI1246" s="2"/>
      <c r="AJ1246" s="2"/>
      <c r="AK1246" s="2"/>
      <c r="AL1246" s="343"/>
    </row>
    <row r="1247" spans="1:38" ht="5.15" customHeight="1" x14ac:dyDescent="0.25">
      <c r="A1247" s="343"/>
      <c r="B1247" s="178"/>
      <c r="C1247" s="178"/>
      <c r="D1247" s="1242"/>
      <c r="E1247" s="1244"/>
      <c r="F1247" s="1244"/>
      <c r="G1247" s="1244"/>
      <c r="H1247" s="1244"/>
      <c r="I1247" s="1244"/>
      <c r="J1247" s="1236"/>
      <c r="K1247" s="1236"/>
      <c r="L1247" s="1236"/>
      <c r="M1247" s="1236"/>
      <c r="N1247" s="1247"/>
      <c r="O1247" s="15"/>
      <c r="P1247" s="15"/>
      <c r="Q1247" s="343"/>
      <c r="R1247" s="2"/>
      <c r="S1247" s="2"/>
      <c r="T1247" s="2"/>
      <c r="U1247" s="1086"/>
      <c r="V1247" s="343"/>
      <c r="W1247" s="2"/>
      <c r="X1247" s="2"/>
      <c r="Y1247" s="2"/>
      <c r="Z1247" s="228"/>
      <c r="AA1247" s="2"/>
      <c r="AB1247" s="2"/>
      <c r="AC1247" s="2"/>
      <c r="AD1247" s="2"/>
      <c r="AE1247" s="2"/>
      <c r="AF1247" s="2"/>
      <c r="AG1247" s="2"/>
      <c r="AH1247" s="2"/>
      <c r="AI1247" s="2"/>
      <c r="AJ1247" s="2"/>
      <c r="AK1247" s="2"/>
      <c r="AL1247" s="343"/>
    </row>
    <row r="1248" spans="1:38" ht="12.75" customHeight="1" x14ac:dyDescent="0.25">
      <c r="A1248" s="343"/>
      <c r="B1248" s="178"/>
      <c r="C1248" s="178"/>
      <c r="D1248" s="1242"/>
      <c r="E1248" s="1234" t="str">
        <f>Translations!$B$1475</f>
        <v>Faktisk justering (grund för följande år)</v>
      </c>
      <c r="F1248" s="1234"/>
      <c r="G1248" s="1234"/>
      <c r="H1248" s="1234"/>
      <c r="I1248" s="1234"/>
      <c r="J1248" s="1268">
        <f>J$3042</f>
        <v>2021</v>
      </c>
      <c r="K1248" s="1230">
        <f>K$3042</f>
        <v>2022</v>
      </c>
      <c r="L1248" s="1230">
        <f>L$3042</f>
        <v>2023</v>
      </c>
      <c r="M1248" s="1230">
        <f>M$3042</f>
        <v>2024</v>
      </c>
      <c r="N1248" s="1258">
        <f>N$3042</f>
        <v>2025</v>
      </c>
      <c r="O1248" s="15"/>
      <c r="P1248" s="15"/>
      <c r="Q1248" s="343"/>
      <c r="R1248" s="2"/>
      <c r="S1248" s="2"/>
      <c r="T1248" s="2"/>
      <c r="U1248" s="584"/>
      <c r="V1248" s="2"/>
      <c r="W1248" s="2"/>
      <c r="X1248" s="2"/>
      <c r="Y1248" s="2"/>
      <c r="Z1248" s="228"/>
      <c r="AA1248" s="2"/>
      <c r="AB1248" s="2"/>
      <c r="AC1248" s="2"/>
      <c r="AD1248" s="2"/>
      <c r="AE1248" s="2"/>
      <c r="AF1248" s="2"/>
      <c r="AG1248" s="2"/>
      <c r="AH1248" s="2"/>
      <c r="AI1248" s="2"/>
      <c r="AJ1248" s="2"/>
      <c r="AK1248" s="2"/>
      <c r="AL1248" s="343"/>
    </row>
    <row r="1249" spans="1:38" ht="12.75" customHeight="1" x14ac:dyDescent="0.25">
      <c r="A1249" s="343"/>
      <c r="B1249" s="178"/>
      <c r="C1249" s="178"/>
      <c r="D1249" s="1246" t="s">
        <v>10</v>
      </c>
      <c r="E1249" s="1231" t="str">
        <f>Translations!$B$1476</f>
        <v>&gt;= 100 utsläppsrätter kriterium uppnått?</v>
      </c>
      <c r="F1249" s="1231"/>
      <c r="G1249" s="1231"/>
      <c r="H1249" s="1231"/>
      <c r="I1249" s="1231"/>
      <c r="J1249" s="994" t="str">
        <f>IF($I1221="","",INDEX(K_Summary!J:J,MATCH($Q1249,K_Summary!$P:$P,0)))</f>
        <v/>
      </c>
      <c r="K1249" s="912" t="str">
        <f>IF($I1221="","",INDEX(K_Summary!K:K,MATCH($Q1249,K_Summary!$P:$P,0)))</f>
        <v/>
      </c>
      <c r="L1249" s="912" t="str">
        <f>IF($I1221="","",INDEX(K_Summary!L:L,MATCH($Q1249,K_Summary!$P:$P,0)))</f>
        <v/>
      </c>
      <c r="M1249" s="912" t="str">
        <f>IF($I1221="","",INDEX(K_Summary!M:M,MATCH($Q1249,K_Summary!$P:$P,0)))</f>
        <v/>
      </c>
      <c r="N1249" s="1221" t="str">
        <f>IF($I1221="","",INDEX(K_Summary!N:N,MATCH($Q1249,K_Summary!$P:$P,0)))</f>
        <v/>
      </c>
      <c r="O1249" s="15"/>
      <c r="P1249" s="15"/>
      <c r="Q1249" s="672" t="str">
        <f>EUconst_CNTR_100EUA_ActivityLevel&amp;I1221</f>
        <v>EUA100AL_</v>
      </c>
      <c r="R1249" s="2"/>
      <c r="S1249" s="2"/>
      <c r="T1249" s="2"/>
      <c r="U1249" s="584"/>
      <c r="V1249" s="1123"/>
      <c r="W1249" s="1123"/>
      <c r="X1249" s="1123"/>
      <c r="Y1249" s="1123"/>
      <c r="Z1249" s="228"/>
      <c r="AA1249" s="2"/>
      <c r="AB1249" s="2"/>
      <c r="AC1249" s="2"/>
      <c r="AD1249" s="2"/>
      <c r="AE1249" s="2"/>
      <c r="AF1249" s="2"/>
      <c r="AG1249" s="2"/>
      <c r="AH1249" s="2"/>
      <c r="AI1249" s="2"/>
      <c r="AJ1249" s="2"/>
      <c r="AK1249" s="2"/>
      <c r="AL1249" s="343"/>
    </row>
    <row r="1250" spans="1:38" ht="5.15" customHeight="1" thickBot="1" x14ac:dyDescent="0.3">
      <c r="A1250" s="343"/>
      <c r="B1250" s="178"/>
      <c r="C1250" s="178"/>
      <c r="D1250" s="1242"/>
      <c r="E1250" s="1244"/>
      <c r="F1250" s="1244"/>
      <c r="G1250" s="1244"/>
      <c r="H1250" s="1244"/>
      <c r="I1250" s="1244"/>
      <c r="J1250" s="1244"/>
      <c r="K1250" s="1244"/>
      <c r="L1250" s="1244"/>
      <c r="M1250" s="1244"/>
      <c r="N1250" s="1248"/>
      <c r="O1250" s="15"/>
      <c r="P1250" s="15"/>
      <c r="Q1250" s="343"/>
      <c r="R1250" s="2"/>
      <c r="S1250" s="2"/>
      <c r="T1250" s="2"/>
      <c r="U1250" s="1086"/>
      <c r="V1250" s="343"/>
      <c r="W1250" s="2"/>
      <c r="X1250" s="2"/>
      <c r="Y1250" s="2"/>
      <c r="Z1250" s="228"/>
      <c r="AA1250" s="2"/>
      <c r="AB1250" s="2"/>
      <c r="AC1250" s="2"/>
      <c r="AD1250" s="2"/>
      <c r="AE1250" s="2"/>
      <c r="AF1250" s="2"/>
      <c r="AG1250" s="2"/>
      <c r="AH1250" s="2"/>
      <c r="AI1250" s="2"/>
      <c r="AJ1250" s="2"/>
      <c r="AK1250" s="2"/>
      <c r="AL1250" s="343"/>
    </row>
    <row r="1251" spans="1:38" ht="12.75" customHeight="1" thickBot="1" x14ac:dyDescent="0.3">
      <c r="A1251" s="2"/>
      <c r="B1251" s="178"/>
      <c r="C1251" s="178"/>
      <c r="D1251" s="1246" t="s">
        <v>23</v>
      </c>
      <c r="E1251" s="1231" t="str">
        <f>Translations!$B$1477</f>
        <v>Faktisk justering (om alla tröskelvärden överskrids)</v>
      </c>
      <c r="F1251" s="1231"/>
      <c r="G1251" s="1231"/>
      <c r="H1251" s="1233"/>
      <c r="I1251" s="1237"/>
      <c r="J1251" s="1099" t="str">
        <f>IF(J1249="","",IF(J1242&gt;$Z1221,-100%,IF(OR(J1249,V1243&lt;1),J1245,I1251)))</f>
        <v/>
      </c>
      <c r="K1251" s="1100" t="str">
        <f>IF(K1249="","",IF(K1242&gt;$Z1221,-100%,IF(OR(K1249,W1243&lt;1),K1245,J1251)))</f>
        <v/>
      </c>
      <c r="L1251" s="1100" t="str">
        <f>IF(L1249="","",IF(L1242&gt;$Z1221,-100%,IF(OR(L1249,X1243&lt;1),L1245,K1251)))</f>
        <v/>
      </c>
      <c r="M1251" s="1100" t="str">
        <f>IF(M1249="","",IF(M1242&gt;$Z1221,-100%,IF(OR(M1249,Y1243&lt;1),M1245,L1251)))</f>
        <v/>
      </c>
      <c r="N1251" s="1101" t="str">
        <f>IF(N1249="","",IF(N1242&gt;$Z1221,-100%,IF(OR(N1249,Z1243&lt;1),N1245,M1251)))</f>
        <v/>
      </c>
      <c r="O1251" s="15"/>
      <c r="P1251" s="918"/>
      <c r="Q1251" s="165" t="str">
        <f>EUconst_CNTR_HALAdjPct &amp; I1221</f>
        <v>HALAdjPct_</v>
      </c>
      <c r="R1251" s="2"/>
      <c r="S1251" s="2"/>
      <c r="T1251" s="2"/>
      <c r="U1251" s="1086" t="s">
        <v>1858</v>
      </c>
      <c r="V1251" s="1068">
        <f>J1248</f>
        <v>2021</v>
      </c>
      <c r="W1251" s="1068">
        <f>K1248</f>
        <v>2022</v>
      </c>
      <c r="X1251" s="1068">
        <f>L1248</f>
        <v>2023</v>
      </c>
      <c r="Y1251" s="1068">
        <f>M1248</f>
        <v>2024</v>
      </c>
      <c r="Z1251" s="1087">
        <f>N1248</f>
        <v>2025</v>
      </c>
      <c r="AA1251" s="2"/>
      <c r="AB1251" s="2"/>
      <c r="AC1251" s="2"/>
      <c r="AD1251" s="2"/>
      <c r="AE1251" s="2"/>
      <c r="AF1251" s="2"/>
      <c r="AG1251" s="2"/>
      <c r="AH1251" s="2"/>
      <c r="AI1251" s="2"/>
      <c r="AJ1251" s="2"/>
      <c r="AK1251" s="2"/>
      <c r="AL1251" s="343"/>
    </row>
    <row r="1252" spans="1:38" ht="12.75" customHeight="1" thickBot="1" x14ac:dyDescent="0.3">
      <c r="A1252" s="343"/>
      <c r="B1252" s="178"/>
      <c r="C1252" s="178"/>
      <c r="D1252" s="1246" t="s">
        <v>859</v>
      </c>
      <c r="E1252" s="1231" t="str">
        <f>Translations!$B$1478</f>
        <v>Faktiskt värde</v>
      </c>
      <c r="F1252" s="1231"/>
      <c r="G1252" s="1231"/>
      <c r="H1252" s="917" t="str">
        <f>H1243</f>
        <v>ton</v>
      </c>
      <c r="I1252" s="990" t="str">
        <f>I1246</f>
        <v/>
      </c>
      <c r="J1252" s="1072" t="str">
        <f>IF($I1221="","",IF(OR($I1252=0,J1251="",$I1252=EUconst_NA),IF(OR(J1249=TRUE,J1248&lt;=$V1221),J1246,SUM(I1252)),$I1252*(1+SUM(J1251))))</f>
        <v/>
      </c>
      <c r="K1252" s="1073" t="str">
        <f>IF($I1221="","",IF(OR($I1252=0,K1251="",$I1252=EUconst_NA),IF(OR(K1249=TRUE,K1248&lt;=$V1221),K1246,SUM(J1252)),$I1252*(1+SUM(K1251))))</f>
        <v/>
      </c>
      <c r="L1252" s="1073" t="str">
        <f>IF($I1221="","",IF(OR($I1252=0,L1251="",$I1252=EUconst_NA),IF(OR(L1249=TRUE,L1248&lt;=$V1221),L1246,SUM(K1252)),$I1252*(1+SUM(L1251))))</f>
        <v/>
      </c>
      <c r="M1252" s="1073" t="str">
        <f>IF($I1221="","",IF(OR($I1252=0,M1251="",$I1252=EUconst_NA),IF(OR(M1249=TRUE,M1248&lt;=$V1221),M1246,SUM(L1252)),$I1252*(1+SUM(M1251))))</f>
        <v/>
      </c>
      <c r="N1252" s="1074" t="str">
        <f>IF($I1221="","",IF(OR($I1252=0,N1251="",$I1252=EUconst_NA),IF(OR(N1249=TRUE,N1248&lt;=$V1221),N1246,SUM(M1252)),$I1252*(1+SUM(N1251))))</f>
        <v/>
      </c>
      <c r="O1252" s="15"/>
      <c r="P1252" s="15"/>
      <c r="Q1252" s="672" t="str">
        <f>EUconst_CNTR_HALfinal&amp;I1221</f>
        <v>HALfinal_</v>
      </c>
      <c r="R1252" s="2"/>
      <c r="S1252" s="2"/>
      <c r="T1252" s="2"/>
      <c r="U1252" s="1765" t="b">
        <v>0</v>
      </c>
      <c r="V1252" s="1757" t="str">
        <f>IF(V1229,IF(J1249=TRUE,V1244,U1252),"")</f>
        <v/>
      </c>
      <c r="W1252" s="1757" t="str">
        <f>IF(W1229,IF(K1249=TRUE,W1244,V1252),"")</f>
        <v/>
      </c>
      <c r="X1252" s="1757" t="str">
        <f>IF(X1229,IF(L1249=TRUE,X1244,W1252),"")</f>
        <v/>
      </c>
      <c r="Y1252" s="1757" t="str">
        <f>IF(Y1229,IF(M1249=TRUE,Y1244,X1252),"")</f>
        <v/>
      </c>
      <c r="Z1252" s="1758" t="str">
        <f>IF(Z1229,IF(N1249=TRUE,Z1244,Y1252),"")</f>
        <v/>
      </c>
      <c r="AA1252" s="2"/>
      <c r="AB1252" s="2"/>
      <c r="AC1252" s="2"/>
      <c r="AD1252" s="2"/>
      <c r="AE1252" s="2"/>
      <c r="AF1252" s="2"/>
      <c r="AG1252" s="2"/>
      <c r="AH1252" s="2"/>
      <c r="AI1252" s="2"/>
      <c r="AJ1252" s="553" t="s">
        <v>2242</v>
      </c>
      <c r="AK1252" s="108" t="str">
        <f>IF(OR(ISERROR(J1252),ISERROR(K1252),ISERROR(L1252),ISERROR(M1252),ISERROR(N1252)),EUconst_Error &amp; "BM" &amp; Q1221,"")</f>
        <v/>
      </c>
      <c r="AL1252" s="343"/>
    </row>
    <row r="1253" spans="1:38" ht="5.15" customHeight="1" thickBot="1" x14ac:dyDescent="0.3">
      <c r="A1253" s="2"/>
      <c r="B1253" s="178"/>
      <c r="C1253" s="178"/>
      <c r="D1253" s="1282"/>
      <c r="E1253" s="1272"/>
      <c r="F1253" s="1272"/>
      <c r="G1253" s="1272"/>
      <c r="H1253" s="1272"/>
      <c r="I1253" s="1272"/>
      <c r="J1253" s="1272"/>
      <c r="K1253" s="1272"/>
      <c r="L1253" s="1272"/>
      <c r="M1253" s="1272"/>
      <c r="N1253" s="1273"/>
      <c r="O1253" s="15"/>
      <c r="P1253" s="15"/>
      <c r="Q1253" s="343"/>
      <c r="R1253" s="2"/>
      <c r="S1253" s="2"/>
      <c r="T1253" s="2"/>
      <c r="U1253" s="343"/>
      <c r="V1253" s="343"/>
      <c r="W1253" s="2"/>
      <c r="X1253" s="2"/>
      <c r="Y1253" s="2"/>
      <c r="Z1253" s="2"/>
      <c r="AA1253" s="2"/>
      <c r="AB1253" s="2"/>
      <c r="AC1253" s="2"/>
      <c r="AD1253" s="2"/>
      <c r="AE1253" s="2"/>
      <c r="AF1253" s="2"/>
      <c r="AG1253" s="2"/>
      <c r="AH1253" s="2"/>
      <c r="AI1253" s="2"/>
      <c r="AJ1253" s="2"/>
      <c r="AK1253" s="2"/>
      <c r="AL1253" s="343"/>
    </row>
    <row r="1254" spans="1:38" ht="5.15" customHeight="1" x14ac:dyDescent="0.25">
      <c r="A1254" s="2"/>
      <c r="B1254" s="178"/>
      <c r="C1254" s="178"/>
      <c r="D1254" s="15"/>
      <c r="E1254" s="15"/>
      <c r="F1254" s="15"/>
      <c r="G1254" s="15"/>
      <c r="H1254" s="15"/>
      <c r="I1254" s="15"/>
      <c r="J1254" s="15"/>
      <c r="K1254" s="15"/>
      <c r="L1254" s="15"/>
      <c r="M1254" s="15"/>
      <c r="N1254" s="15"/>
      <c r="O1254" s="15"/>
      <c r="P1254" s="15"/>
      <c r="Q1254" s="343"/>
      <c r="R1254" s="2"/>
      <c r="S1254" s="2"/>
      <c r="T1254" s="2"/>
      <c r="U1254" s="343"/>
      <c r="V1254" s="343"/>
      <c r="W1254" s="2"/>
      <c r="X1254" s="2"/>
      <c r="Y1254" s="2"/>
      <c r="Z1254" s="2"/>
      <c r="AA1254" s="2"/>
      <c r="AB1254" s="2"/>
      <c r="AC1254" s="2"/>
      <c r="AD1254" s="2"/>
      <c r="AE1254" s="2"/>
      <c r="AF1254" s="2"/>
      <c r="AG1254" s="2"/>
      <c r="AH1254" s="2"/>
      <c r="AI1254" s="2"/>
      <c r="AJ1254" s="2"/>
      <c r="AK1254" s="2"/>
      <c r="AL1254" s="343"/>
    </row>
    <row r="1255" spans="1:38" ht="15" customHeight="1" x14ac:dyDescent="0.25">
      <c r="A1255" s="2"/>
      <c r="B1255" s="19"/>
      <c r="C1255" s="178"/>
      <c r="D1255" s="2053" t="str">
        <f>Translations!$B$522</f>
        <v>Andra korrigeringsfaktorer</v>
      </c>
      <c r="E1255" s="1963"/>
      <c r="F1255" s="1963"/>
      <c r="G1255" s="1963"/>
      <c r="H1255" s="1963"/>
      <c r="I1255" s="1963"/>
      <c r="J1255" s="1963"/>
      <c r="K1255" s="1963"/>
      <c r="L1255" s="1963"/>
      <c r="M1255" s="1963"/>
      <c r="N1255" s="1963"/>
      <c r="O1255" s="15"/>
      <c r="P1255" s="15"/>
      <c r="Q1255" s="2"/>
      <c r="R1255" s="2"/>
      <c r="S1255" s="2"/>
      <c r="T1255" s="2"/>
      <c r="U1255" s="343"/>
      <c r="V1255" s="343"/>
      <c r="W1255" s="2"/>
      <c r="X1255" s="2"/>
      <c r="Y1255" s="2"/>
      <c r="Z1255" s="2"/>
      <c r="AA1255" s="2"/>
      <c r="AB1255" s="2"/>
      <c r="AC1255" s="2"/>
      <c r="AD1255" s="2"/>
      <c r="AE1255" s="2"/>
      <c r="AF1255" s="2"/>
      <c r="AG1255" s="2"/>
      <c r="AH1255" s="2"/>
      <c r="AI1255" s="2"/>
      <c r="AJ1255" s="2"/>
      <c r="AK1255" s="2"/>
      <c r="AL1255" s="2"/>
    </row>
    <row r="1256" spans="1:38" ht="5.15" customHeight="1" x14ac:dyDescent="0.25">
      <c r="A1256" s="2"/>
      <c r="B1256" s="178"/>
      <c r="C1256" s="178"/>
      <c r="D1256" s="178"/>
      <c r="E1256" s="178"/>
      <c r="F1256" s="178"/>
      <c r="G1256" s="178"/>
      <c r="H1256" s="178"/>
      <c r="I1256" s="178"/>
      <c r="J1256" s="178"/>
      <c r="K1256" s="178"/>
      <c r="L1256" s="178"/>
      <c r="M1256" s="178"/>
      <c r="N1256" s="178"/>
      <c r="O1256" s="15"/>
      <c r="P1256" s="15"/>
      <c r="Q1256" s="343"/>
      <c r="R1256" s="2"/>
      <c r="S1256" s="2"/>
      <c r="T1256" s="2"/>
      <c r="U1256" s="343"/>
      <c r="V1256" s="343"/>
      <c r="W1256" s="2"/>
      <c r="X1256" s="2"/>
      <c r="Y1256" s="2"/>
      <c r="Z1256" s="2"/>
      <c r="AA1256" s="2"/>
      <c r="AB1256" s="2"/>
      <c r="AC1256" s="2"/>
      <c r="AD1256" s="2"/>
      <c r="AE1256" s="2"/>
      <c r="AF1256" s="2"/>
      <c r="AG1256" s="2"/>
      <c r="AH1256" s="2"/>
      <c r="AI1256" s="2"/>
      <c r="AJ1256" s="2"/>
      <c r="AK1256" s="2"/>
      <c r="AL1256" s="2"/>
    </row>
    <row r="1257" spans="1:38" ht="12.75" customHeight="1" x14ac:dyDescent="0.25">
      <c r="A1257" s="2"/>
      <c r="B1257" s="19"/>
      <c r="C1257" s="19"/>
      <c r="D1257" s="13" t="s">
        <v>55</v>
      </c>
      <c r="E1257" s="1943" t="str">
        <f>Translations!$B$523</f>
        <v>Utbytbarhet mellan bränsle och el:</v>
      </c>
      <c r="F1257" s="1963"/>
      <c r="G1257" s="1963"/>
      <c r="H1257" s="1963"/>
      <c r="I1257" s="2060"/>
      <c r="J1257" s="2652" t="str">
        <f>IF(I1221="","",IF(T1257,EUconst_MsgEnterThisSection,HYPERLINK(R1257,EUconst_MsgGoOn)))</f>
        <v/>
      </c>
      <c r="K1257" s="2653"/>
      <c r="L1257" s="2653"/>
      <c r="M1257" s="2653"/>
      <c r="N1257" s="2654"/>
      <c r="O1257" s="15"/>
      <c r="P1257" s="15"/>
      <c r="Q1257" s="2" t="s">
        <v>484</v>
      </c>
      <c r="R1257" s="294" t="str">
        <f>"#"&amp;ADDRESS(ROW(D1285),COLUMN(D1285))</f>
        <v>#$D$1285</v>
      </c>
      <c r="S1257" s="553" t="s">
        <v>1874</v>
      </c>
      <c r="T1257" s="165" t="str">
        <f>IF(I1221="","",INDEX(EUconst_BMlistElExchangability,MATCH(I1221,EUconst_BMlistNames,0)))</f>
        <v/>
      </c>
      <c r="U1257" s="343"/>
      <c r="V1257" s="343"/>
      <c r="W1257" s="2"/>
      <c r="X1257" s="2"/>
      <c r="Y1257" s="2"/>
      <c r="Z1257" s="2"/>
      <c r="AA1257" s="2"/>
      <c r="AB1257" s="2"/>
      <c r="AC1257" s="2"/>
      <c r="AD1257" s="2"/>
      <c r="AE1257" s="2"/>
      <c r="AF1257" s="2"/>
      <c r="AG1257" s="2"/>
      <c r="AH1257" s="2"/>
      <c r="AI1257" s="2"/>
      <c r="AJ1257" s="2"/>
      <c r="AK1257" s="2"/>
      <c r="AL1257" s="2"/>
    </row>
    <row r="1258" spans="1:38" ht="12.75" customHeight="1" x14ac:dyDescent="0.25">
      <c r="A1258" s="2"/>
      <c r="B1258" s="178"/>
      <c r="C1258" s="178"/>
      <c r="D1258" s="15"/>
      <c r="E1258" s="2061" t="str">
        <f>Translations!$B$524</f>
        <v>Ett automatiskt meddelande kommer att visas här, i relevanta fall, där ni ombeds göra den inmatning som krävs för att utbytbarheten mellan bränsle och el (ElExch-F) ska kunna beaktas.</v>
      </c>
      <c r="F1258" s="1963"/>
      <c r="G1258" s="1963"/>
      <c r="H1258" s="1963"/>
      <c r="I1258" s="1963"/>
      <c r="J1258" s="1963"/>
      <c r="K1258" s="1963"/>
      <c r="L1258" s="1963"/>
      <c r="M1258" s="1963"/>
      <c r="N1258" s="1963"/>
      <c r="O1258" s="15"/>
      <c r="P1258" s="15"/>
      <c r="Q1258" s="2"/>
      <c r="R1258" s="2"/>
      <c r="S1258" s="2"/>
      <c r="T1258" s="2"/>
      <c r="U1258" s="343"/>
      <c r="V1258" s="343"/>
      <c r="W1258" s="2"/>
      <c r="X1258" s="2"/>
      <c r="Y1258" s="2"/>
      <c r="Z1258" s="2"/>
      <c r="AA1258" s="2"/>
      <c r="AB1258" s="2"/>
      <c r="AC1258" s="2"/>
      <c r="AD1258" s="2"/>
      <c r="AE1258" s="2"/>
      <c r="AF1258" s="2"/>
      <c r="AG1258" s="2"/>
      <c r="AH1258" s="2"/>
      <c r="AI1258" s="2"/>
      <c r="AJ1258" s="2"/>
      <c r="AK1258" s="2"/>
      <c r="AL1258" s="2"/>
    </row>
    <row r="1259" spans="1:38" ht="12.75" customHeight="1" x14ac:dyDescent="0.25">
      <c r="A1259" s="2"/>
      <c r="B1259" s="178"/>
      <c r="C1259" s="178"/>
      <c r="D1259" s="15"/>
      <c r="E1259" s="2061" t="str">
        <f>Translations!$B$525</f>
        <v>Enligt artikel 22 i FAR krävs ”direkta utsläpp”, nettomängd ”importerad värme” och ”relevant elförbrukning”.</v>
      </c>
      <c r="F1259" s="1963"/>
      <c r="G1259" s="1963"/>
      <c r="H1259" s="1963"/>
      <c r="I1259" s="1963"/>
      <c r="J1259" s="1963"/>
      <c r="K1259" s="1963"/>
      <c r="L1259" s="1963"/>
      <c r="M1259" s="1963"/>
      <c r="N1259" s="1963"/>
      <c r="O1259" s="15"/>
      <c r="P1259" s="15"/>
      <c r="Q1259" s="343"/>
      <c r="R1259" s="2"/>
      <c r="S1259" s="2"/>
      <c r="T1259" s="2"/>
      <c r="U1259" s="343"/>
      <c r="V1259" s="343"/>
      <c r="W1259" s="343"/>
      <c r="X1259" s="343"/>
      <c r="Y1259" s="343"/>
      <c r="Z1259" s="343"/>
      <c r="AA1259" s="2"/>
      <c r="AB1259" s="2"/>
      <c r="AC1259" s="2"/>
      <c r="AD1259" s="2"/>
      <c r="AE1259" s="2"/>
      <c r="AF1259" s="2"/>
      <c r="AG1259" s="2"/>
      <c r="AH1259" s="2"/>
      <c r="AI1259" s="2"/>
      <c r="AJ1259" s="2"/>
      <c r="AK1259" s="2"/>
      <c r="AL1259" s="2"/>
    </row>
    <row r="1260" spans="1:38" ht="25.5" customHeight="1" x14ac:dyDescent="0.25">
      <c r="A1260" s="2"/>
      <c r="B1260" s="178"/>
      <c r="C1260" s="178"/>
      <c r="D1260" s="15"/>
      <c r="E1260" s="2061" t="str">
        <f>Translations!$B$526</f>
        <v>De totala direkta utsläppen är i regel identiska med de värden som anges i punkt g nedan. Ytterligare korrigeringar kan dock behöva göras, framför allt vid användning av restgaser. Var god se vägledningen i punkt g nedan. Uppgifter om nettomängd importerad värme hämtas automatiskt från punkt k.i nedan.</v>
      </c>
      <c r="F1260" s="1963"/>
      <c r="G1260" s="1963"/>
      <c r="H1260" s="1963"/>
      <c r="I1260" s="1963"/>
      <c r="J1260" s="1963"/>
      <c r="K1260" s="1963"/>
      <c r="L1260" s="1963"/>
      <c r="M1260" s="1963"/>
      <c r="N1260" s="1963"/>
      <c r="O1260" s="15"/>
      <c r="P1260" s="15"/>
      <c r="Q1260" s="343"/>
      <c r="R1260" s="2"/>
      <c r="S1260" s="2"/>
      <c r="T1260" s="2"/>
      <c r="U1260" s="343"/>
      <c r="V1260" s="343"/>
      <c r="W1260" s="343"/>
      <c r="X1260" s="343"/>
      <c r="Y1260" s="343"/>
      <c r="Z1260" s="343"/>
      <c r="AA1260" s="2"/>
      <c r="AB1260" s="2"/>
      <c r="AC1260" s="2"/>
      <c r="AD1260" s="2"/>
      <c r="AE1260" s="2"/>
      <c r="AF1260" s="2"/>
      <c r="AG1260" s="2"/>
      <c r="AH1260" s="2"/>
      <c r="AI1260" s="2"/>
      <c r="AJ1260" s="2"/>
      <c r="AK1260" s="2"/>
      <c r="AL1260" s="2"/>
    </row>
    <row r="1261" spans="1:38" s="534" customFormat="1" ht="13.5" thickBot="1" x14ac:dyDescent="0.3">
      <c r="A1261" s="343"/>
      <c r="B1261" s="15"/>
      <c r="C1261" s="15"/>
      <c r="D1261" s="13"/>
      <c r="E1261" s="914" t="str">
        <f>Translations!$B$527</f>
        <v>Parameter</v>
      </c>
      <c r="F1261" s="913"/>
      <c r="G1261" s="30" t="str">
        <f>EUconst_Unit</f>
        <v>Enhet</v>
      </c>
      <c r="H1261" s="320">
        <f>H$3042</f>
        <v>2019</v>
      </c>
      <c r="I1261" s="342">
        <f>I$3042</f>
        <v>2020</v>
      </c>
      <c r="J1261" s="987">
        <f>J$112</f>
        <v>2021</v>
      </c>
      <c r="K1261" s="1001">
        <f>K$112</f>
        <v>2022</v>
      </c>
      <c r="L1261" s="320">
        <f>L$112</f>
        <v>2023</v>
      </c>
      <c r="M1261" s="320">
        <f>M$112</f>
        <v>2024</v>
      </c>
      <c r="N1261" s="320">
        <f>N$112</f>
        <v>2025</v>
      </c>
      <c r="O1261" s="15"/>
      <c r="P1261" s="15"/>
      <c r="Q1261" s="343"/>
      <c r="R1261" s="343"/>
      <c r="S1261" s="2"/>
      <c r="T1261" s="2"/>
      <c r="U1261" s="343"/>
      <c r="V1261" s="343"/>
      <c r="W1261" s="343"/>
      <c r="X1261" s="343"/>
      <c r="Y1261" s="343"/>
      <c r="Z1261" s="343"/>
      <c r="AA1261" s="343"/>
      <c r="AB1261" s="2"/>
      <c r="AC1261" s="1044">
        <f t="shared" ref="AC1261:AI1261" si="561">H$20</f>
        <v>2019</v>
      </c>
      <c r="AD1261" s="1044">
        <f t="shared" si="561"/>
        <v>2020</v>
      </c>
      <c r="AE1261" s="1044">
        <f t="shared" si="561"/>
        <v>2021</v>
      </c>
      <c r="AF1261" s="1044">
        <f t="shared" si="561"/>
        <v>2022</v>
      </c>
      <c r="AG1261" s="1044">
        <f t="shared" si="561"/>
        <v>2023</v>
      </c>
      <c r="AH1261" s="1044">
        <f t="shared" si="561"/>
        <v>2024</v>
      </c>
      <c r="AI1261" s="1044">
        <f t="shared" si="561"/>
        <v>2025</v>
      </c>
      <c r="AJ1261" s="2"/>
      <c r="AK1261" s="2"/>
      <c r="AL1261" s="2"/>
    </row>
    <row r="1262" spans="1:38" s="534" customFormat="1" ht="13.5" customHeight="1" thickBot="1" x14ac:dyDescent="0.3">
      <c r="A1262" s="343"/>
      <c r="B1262" s="15"/>
      <c r="C1262" s="15"/>
      <c r="D1262" s="289" t="s">
        <v>8</v>
      </c>
      <c r="E1262" s="925" t="str">
        <f>Translations!$B$528</f>
        <v>Direkta utsläpp</v>
      </c>
      <c r="F1262" s="925"/>
      <c r="G1262" s="456" t="str">
        <f>EUconst_tCO2pa</f>
        <v>t CO2 / år</v>
      </c>
      <c r="H1262" s="614"/>
      <c r="I1262" s="995"/>
      <c r="J1262" s="1005"/>
      <c r="K1262" s="615"/>
      <c r="L1262" s="615"/>
      <c r="M1262" s="614"/>
      <c r="N1262" s="614"/>
      <c r="O1262" s="15"/>
      <c r="P1262" s="1362"/>
      <c r="Q1262" s="343"/>
      <c r="R1262" s="343"/>
      <c r="S1262" s="2"/>
      <c r="T1262" s="2"/>
      <c r="U1262" s="343"/>
      <c r="V1262" s="343"/>
      <c r="W1262" s="343"/>
      <c r="X1262" s="343"/>
      <c r="Y1262" s="343"/>
      <c r="Z1262" s="343"/>
      <c r="AA1262" s="343"/>
      <c r="AB1262" s="672" t="s">
        <v>782</v>
      </c>
      <c r="AC1262" s="1766" t="b">
        <f t="shared" ref="AC1262:AI1262" si="562">IF(CNTR_ExistSubInstEntries,IF($I1221="",TRUE,OR(H1261&gt;=CNTR_ReportingYear,AC1261&lt;$V1221-1,INDEX(EUconst_BMlistElExchangability,MATCH($I1221,EUconst_BMlistNames,0))=FALSE)),FALSE)</f>
        <v>0</v>
      </c>
      <c r="AD1262" s="1052" t="b">
        <f t="shared" si="562"/>
        <v>0</v>
      </c>
      <c r="AE1262" s="1052" t="b">
        <f t="shared" si="562"/>
        <v>0</v>
      </c>
      <c r="AF1262" s="1052" t="b">
        <f t="shared" si="562"/>
        <v>0</v>
      </c>
      <c r="AG1262" s="1052" t="b">
        <f t="shared" si="562"/>
        <v>0</v>
      </c>
      <c r="AH1262" s="1052" t="b">
        <f t="shared" si="562"/>
        <v>0</v>
      </c>
      <c r="AI1262" s="1053" t="b">
        <f t="shared" si="562"/>
        <v>0</v>
      </c>
      <c r="AJ1262" s="553" t="s">
        <v>2248</v>
      </c>
      <c r="AK1262" s="663" t="str">
        <f>IF(AND(CNTR_ExistSubInstEntries,COUNTIFS(AC1262:AI1262,FALSE,H1262:N1262,"")&gt;0),EUconst_Error&amp;"BM"&amp;$Q1221,"")</f>
        <v/>
      </c>
      <c r="AL1262" s="2"/>
    </row>
    <row r="1263" spans="1:38" s="534" customFormat="1" ht="12.75" customHeight="1" x14ac:dyDescent="0.25">
      <c r="A1263" s="343"/>
      <c r="B1263" s="15"/>
      <c r="C1263" s="15"/>
      <c r="D1263" s="289" t="s">
        <v>9</v>
      </c>
      <c r="E1263" s="923" t="str">
        <f>Translations!$B$529</f>
        <v>Nettomängd importerad värme</v>
      </c>
      <c r="F1263" s="923"/>
      <c r="G1263" s="459" t="str">
        <f>EUconst_TJpa</f>
        <v>TJ / år</v>
      </c>
      <c r="H1263" s="460" t="str">
        <f t="shared" ref="H1263:N1263" si="563">IF(AND($I1221&lt;&gt;"",H1261&lt;CNTR_ReportingYear),IF(INDEX(EUconst_BMlistElExchangability,MATCH($I1221,EUconst_BMlistNames,0)),SUM(H1414),""),"")</f>
        <v/>
      </c>
      <c r="I1263" s="996" t="str">
        <f t="shared" si="563"/>
        <v/>
      </c>
      <c r="J1263" s="1006" t="str">
        <f t="shared" si="563"/>
        <v/>
      </c>
      <c r="K1263" s="1002" t="str">
        <f t="shared" si="563"/>
        <v/>
      </c>
      <c r="L1263" s="460" t="str">
        <f t="shared" si="563"/>
        <v/>
      </c>
      <c r="M1263" s="460" t="str">
        <f t="shared" si="563"/>
        <v/>
      </c>
      <c r="N1263" s="460" t="str">
        <f t="shared" si="563"/>
        <v/>
      </c>
      <c r="O1263" s="15"/>
      <c r="P1263" s="15"/>
      <c r="Q1263" s="343"/>
      <c r="R1263" s="343"/>
      <c r="S1263" s="772"/>
      <c r="T1263" s="609">
        <f t="shared" ref="T1263:Z1263" si="564">H1261</f>
        <v>2019</v>
      </c>
      <c r="U1263" s="609">
        <f t="shared" si="564"/>
        <v>2020</v>
      </c>
      <c r="V1263" s="609">
        <f t="shared" si="564"/>
        <v>2021</v>
      </c>
      <c r="W1263" s="609">
        <f t="shared" si="564"/>
        <v>2022</v>
      </c>
      <c r="X1263" s="609">
        <f t="shared" si="564"/>
        <v>2023</v>
      </c>
      <c r="Y1263" s="609">
        <f t="shared" si="564"/>
        <v>2024</v>
      </c>
      <c r="Z1263" s="610">
        <f t="shared" si="564"/>
        <v>2025</v>
      </c>
      <c r="AA1263" s="343"/>
      <c r="AB1263" s="343"/>
      <c r="AC1263" s="584"/>
      <c r="AD1263" s="343"/>
      <c r="AE1263" s="343"/>
      <c r="AF1263" s="343"/>
      <c r="AG1263" s="343"/>
      <c r="AH1263" s="343"/>
      <c r="AI1263" s="1328"/>
      <c r="AJ1263" s="343"/>
      <c r="AK1263" s="343"/>
      <c r="AL1263" s="2"/>
    </row>
    <row r="1264" spans="1:38" s="534" customFormat="1" ht="12.75" customHeight="1" thickBot="1" x14ac:dyDescent="0.3">
      <c r="A1264" s="343"/>
      <c r="B1264" s="15"/>
      <c r="C1264" s="15"/>
      <c r="D1264" s="289" t="s">
        <v>10</v>
      </c>
      <c r="E1264" s="1778" t="str">
        <f>Translations!$B$530</f>
        <v>Relevant elförbrukning</v>
      </c>
      <c r="F1264" s="1520"/>
      <c r="G1264" s="473" t="str">
        <f>EUconst_MWhpa</f>
        <v>MWh / år</v>
      </c>
      <c r="H1264" s="474"/>
      <c r="I1264" s="997"/>
      <c r="J1264" s="669"/>
      <c r="K1264" s="1003"/>
      <c r="L1264" s="474"/>
      <c r="M1264" s="474"/>
      <c r="N1264" s="474"/>
      <c r="O1264" s="15"/>
      <c r="P1264" s="1362"/>
      <c r="Q1264" s="165" t="str">
        <f>EUconst_CNTR_HAL&amp;EUconst_CNTR_ELEXCH</f>
        <v>HAL_ELEXCH_</v>
      </c>
      <c r="R1264" s="165" t="str">
        <f>EUconst_CNTR_HAL&amp;EUconst_CNTR_ELEXCH &amp; I1221</f>
        <v>HAL_ELEXCH_</v>
      </c>
      <c r="S1264" s="1888" t="str">
        <f>EUconst_CNTR_AttributedEmissions &amp; I1221</f>
        <v>AttrEmissions_</v>
      </c>
      <c r="T1264" s="1330" t="str">
        <f t="shared" ref="T1264:Z1264" si="565">IF(T1229,SUM(H1264)*EUconst_ElBM,"")</f>
        <v/>
      </c>
      <c r="U1264" s="1330" t="str">
        <f t="shared" si="565"/>
        <v/>
      </c>
      <c r="V1264" s="1330" t="str">
        <f t="shared" si="565"/>
        <v/>
      </c>
      <c r="W1264" s="1330" t="str">
        <f t="shared" si="565"/>
        <v/>
      </c>
      <c r="X1264" s="1330" t="str">
        <f t="shared" si="565"/>
        <v/>
      </c>
      <c r="Y1264" s="1330" t="str">
        <f t="shared" si="565"/>
        <v/>
      </c>
      <c r="Z1264" s="1331" t="str">
        <f t="shared" si="565"/>
        <v/>
      </c>
      <c r="AA1264" s="343"/>
      <c r="AB1264" s="343"/>
      <c r="AC1264" s="1329" t="b">
        <f>AC1262</f>
        <v>0</v>
      </c>
      <c r="AD1264" s="1330" t="b">
        <f t="shared" ref="AD1264:AI1264" si="566">AD1262</f>
        <v>0</v>
      </c>
      <c r="AE1264" s="1330" t="b">
        <f t="shared" si="566"/>
        <v>0</v>
      </c>
      <c r="AF1264" s="1330" t="b">
        <f t="shared" si="566"/>
        <v>0</v>
      </c>
      <c r="AG1264" s="1330" t="b">
        <f t="shared" si="566"/>
        <v>0</v>
      </c>
      <c r="AH1264" s="1330" t="b">
        <f t="shared" si="566"/>
        <v>0</v>
      </c>
      <c r="AI1264" s="1331" t="b">
        <f t="shared" si="566"/>
        <v>0</v>
      </c>
      <c r="AJ1264" s="553" t="s">
        <v>2248</v>
      </c>
      <c r="AK1264" s="663" t="str">
        <f>IF(AND(CNTR_ExistSubInstEntries,COUNTIFS(AC1264:AI1264,FALSE,H1264:N1264,"")&gt;0),EUconst_Error&amp;"BM"&amp;$Q1221,"")</f>
        <v/>
      </c>
      <c r="AL1264" s="2"/>
    </row>
    <row r="1265" spans="1:38" s="534" customFormat="1" ht="13.5" customHeight="1" x14ac:dyDescent="0.25">
      <c r="A1265" s="343"/>
      <c r="B1265" s="15"/>
      <c r="C1265" s="15"/>
      <c r="D1265" s="289" t="s">
        <v>23</v>
      </c>
      <c r="E1265" s="925" t="str">
        <f>Translations!$B$531</f>
        <v>Totala direkta utsläpp</v>
      </c>
      <c r="F1265" s="925"/>
      <c r="G1265" s="456" t="str">
        <f>EUconst_tCO2pa</f>
        <v>t CO2 / år</v>
      </c>
      <c r="H1265" s="457" t="str">
        <f t="shared" ref="H1265:N1265" si="567">IF(ISNUMBER(H1262),H1262+SUM(H1263)*EUconst_HeatBMvalue,"")</f>
        <v/>
      </c>
      <c r="I1265" s="998" t="str">
        <f t="shared" si="567"/>
        <v/>
      </c>
      <c r="J1265" s="1007" t="str">
        <f t="shared" si="567"/>
        <v/>
      </c>
      <c r="K1265" s="458" t="str">
        <f t="shared" si="567"/>
        <v/>
      </c>
      <c r="L1265" s="458" t="str">
        <f t="shared" si="567"/>
        <v/>
      </c>
      <c r="M1265" s="457" t="str">
        <f t="shared" si="567"/>
        <v/>
      </c>
      <c r="N1265" s="457" t="str">
        <f t="shared" si="567"/>
        <v/>
      </c>
      <c r="O1265" s="15"/>
      <c r="P1265" s="15"/>
      <c r="Q1265" s="343"/>
      <c r="R1265" s="343"/>
      <c r="S1265" s="2"/>
      <c r="T1265" s="2"/>
      <c r="U1265" s="343"/>
      <c r="V1265" s="343"/>
      <c r="W1265" s="343"/>
      <c r="X1265" s="343"/>
      <c r="Y1265" s="343"/>
      <c r="Z1265" s="343"/>
      <c r="AA1265" s="343"/>
      <c r="AB1265" s="343"/>
      <c r="AC1265" s="343"/>
      <c r="AD1265" s="343"/>
      <c r="AE1265" s="343"/>
      <c r="AF1265" s="343"/>
      <c r="AG1265" s="343"/>
      <c r="AH1265" s="343"/>
      <c r="AI1265" s="343"/>
      <c r="AJ1265" s="343"/>
      <c r="AK1265" s="343"/>
      <c r="AL1265" s="2"/>
    </row>
    <row r="1266" spans="1:38" s="534" customFormat="1" ht="13.5" customHeight="1" x14ac:dyDescent="0.25">
      <c r="A1266" s="343"/>
      <c r="B1266" s="15"/>
      <c r="C1266" s="15"/>
      <c r="D1266" s="289" t="s">
        <v>859</v>
      </c>
      <c r="E1266" s="924" t="str">
        <f>Translations!$B$532</f>
        <v>Indirekta utsläpp</v>
      </c>
      <c r="F1266" s="924"/>
      <c r="G1266" s="461" t="str">
        <f>EUconst_tCO2pa</f>
        <v>t CO2 / år</v>
      </c>
      <c r="H1266" s="462" t="str">
        <f t="shared" ref="H1266:N1266" si="568">IF(ISNUMBER(H1264),H1264*EUconst_ElBM,"")</f>
        <v/>
      </c>
      <c r="I1266" s="999" t="str">
        <f t="shared" si="568"/>
        <v/>
      </c>
      <c r="J1266" s="1008" t="str">
        <f t="shared" si="568"/>
        <v/>
      </c>
      <c r="K1266" s="463" t="str">
        <f t="shared" si="568"/>
        <v/>
      </c>
      <c r="L1266" s="463" t="str">
        <f t="shared" si="568"/>
        <v/>
      </c>
      <c r="M1266" s="462" t="str">
        <f t="shared" si="568"/>
        <v/>
      </c>
      <c r="N1266" s="462" t="str">
        <f t="shared" si="568"/>
        <v/>
      </c>
      <c r="O1266" s="15"/>
      <c r="P1266" s="15"/>
      <c r="Q1266" s="343"/>
      <c r="R1266" s="343"/>
      <c r="S1266" s="2"/>
      <c r="T1266" s="2"/>
      <c r="U1266" s="343"/>
      <c r="V1266" s="343"/>
      <c r="W1266" s="343"/>
      <c r="X1266" s="343"/>
      <c r="Y1266" s="343"/>
      <c r="Z1266" s="343"/>
      <c r="AA1266" s="343"/>
      <c r="AB1266" s="343"/>
      <c r="AC1266" s="343"/>
      <c r="AD1266" s="343"/>
      <c r="AE1266" s="343"/>
      <c r="AF1266" s="343"/>
      <c r="AG1266" s="343"/>
      <c r="AH1266" s="343"/>
      <c r="AI1266" s="343"/>
      <c r="AJ1266" s="343"/>
      <c r="AK1266" s="343"/>
      <c r="AL1266" s="2"/>
    </row>
    <row r="1267" spans="1:38" ht="5.15" customHeight="1" x14ac:dyDescent="0.25">
      <c r="A1267" s="2"/>
      <c r="B1267" s="178"/>
      <c r="C1267" s="178"/>
      <c r="D1267" s="178"/>
      <c r="E1267" s="178"/>
      <c r="F1267" s="178"/>
      <c r="G1267" s="178"/>
      <c r="H1267" s="178"/>
      <c r="I1267" s="178"/>
      <c r="J1267" s="1009"/>
      <c r="K1267" s="178"/>
      <c r="L1267" s="178"/>
      <c r="M1267" s="15"/>
      <c r="N1267" s="15"/>
      <c r="O1267" s="15"/>
      <c r="P1267" s="15"/>
      <c r="Q1267" s="343"/>
      <c r="R1267" s="2"/>
      <c r="S1267" s="2"/>
      <c r="T1267" s="2"/>
      <c r="U1267" s="343"/>
      <c r="V1267" s="343"/>
      <c r="W1267" s="343"/>
      <c r="X1267" s="343"/>
      <c r="Y1267" s="343"/>
      <c r="Z1267" s="343"/>
      <c r="AA1267" s="2"/>
      <c r="AB1267" s="2"/>
      <c r="AC1267" s="2"/>
      <c r="AD1267" s="2"/>
      <c r="AE1267" s="2"/>
      <c r="AF1267" s="2"/>
      <c r="AG1267" s="2"/>
      <c r="AH1267" s="2"/>
      <c r="AI1267" s="2"/>
      <c r="AJ1267" s="2"/>
      <c r="AK1267" s="2"/>
      <c r="AL1267" s="2"/>
    </row>
    <row r="1268" spans="1:38" ht="12.75" customHeight="1" x14ac:dyDescent="0.25">
      <c r="A1268" s="2"/>
      <c r="B1268" s="178"/>
      <c r="C1268" s="178"/>
      <c r="D1268" s="289" t="s">
        <v>860</v>
      </c>
      <c r="E1268" s="514" t="s">
        <v>1526</v>
      </c>
      <c r="F1268" s="929"/>
      <c r="G1268" s="930" t="s">
        <v>1112</v>
      </c>
      <c r="H1268" s="926" t="str">
        <f t="shared" ref="H1268:N1268" si="569">IF(COUNT(H1265:H1266)&gt;0,SUM(H1265)/SUM(H1265:H1266),IF($T1257=TRUE,IF(H1261&gt;CNTR_ReportingYear,"",1),""))</f>
        <v/>
      </c>
      <c r="I1268" s="1000" t="str">
        <f t="shared" si="569"/>
        <v/>
      </c>
      <c r="J1268" s="1010" t="str">
        <f t="shared" si="569"/>
        <v/>
      </c>
      <c r="K1268" s="1004" t="str">
        <f t="shared" si="569"/>
        <v/>
      </c>
      <c r="L1268" s="926" t="str">
        <f t="shared" si="569"/>
        <v/>
      </c>
      <c r="M1268" s="926" t="str">
        <f t="shared" si="569"/>
        <v/>
      </c>
      <c r="N1268" s="926" t="str">
        <f t="shared" si="569"/>
        <v/>
      </c>
      <c r="O1268" s="15"/>
      <c r="P1268" s="15"/>
      <c r="Q1268" s="165" t="str">
        <f>EUconst_CNTR_ELEXCH &amp; I1221</f>
        <v>ELEXCH_</v>
      </c>
      <c r="R1268" s="2"/>
      <c r="S1268" s="2"/>
      <c r="T1268" s="2"/>
      <c r="U1268" s="2"/>
      <c r="V1268" s="2"/>
      <c r="W1268" s="2"/>
      <c r="X1268" s="2"/>
      <c r="Y1268" s="2"/>
      <c r="Z1268" s="2"/>
      <c r="AA1268" s="2"/>
      <c r="AB1268" s="2"/>
      <c r="AC1268" s="2"/>
      <c r="AD1268" s="2"/>
      <c r="AE1268" s="2"/>
      <c r="AF1268" s="2"/>
      <c r="AG1268" s="2"/>
      <c r="AH1268" s="2"/>
      <c r="AI1268" s="2"/>
      <c r="AJ1268" s="2"/>
      <c r="AK1268" s="2"/>
      <c r="AL1268" s="2"/>
    </row>
    <row r="1269" spans="1:38" ht="5.15" customHeight="1" x14ac:dyDescent="0.25">
      <c r="A1269" s="2"/>
      <c r="B1269" s="178"/>
      <c r="C1269" s="178"/>
      <c r="D1269" s="178"/>
      <c r="E1269" s="178"/>
      <c r="F1269" s="178"/>
      <c r="G1269" s="178"/>
      <c r="H1269" s="178"/>
      <c r="I1269" s="178"/>
      <c r="J1269" s="178"/>
      <c r="K1269" s="178"/>
      <c r="L1269" s="178"/>
      <c r="M1269" s="15"/>
      <c r="N1269" s="15"/>
      <c r="O1269" s="15"/>
      <c r="P1269" s="15"/>
      <c r="Q1269" s="343"/>
      <c r="R1269" s="2"/>
      <c r="S1269" s="2"/>
      <c r="T1269" s="2"/>
      <c r="U1269" s="2"/>
      <c r="V1269" s="2"/>
      <c r="W1269" s="2"/>
      <c r="X1269" s="2"/>
      <c r="Y1269" s="2"/>
      <c r="Z1269" s="2"/>
      <c r="AA1269" s="2"/>
      <c r="AB1269" s="2"/>
      <c r="AC1269" s="2"/>
      <c r="AD1269" s="2"/>
      <c r="AE1269" s="2"/>
      <c r="AF1269" s="2"/>
      <c r="AG1269" s="2"/>
      <c r="AH1269" s="2"/>
      <c r="AI1269" s="2"/>
      <c r="AJ1269" s="2"/>
      <c r="AK1269" s="2"/>
      <c r="AL1269" s="2"/>
    </row>
    <row r="1270" spans="1:38" ht="25.5" customHeight="1" thickBot="1" x14ac:dyDescent="0.3">
      <c r="A1270" s="2"/>
      <c r="B1270" s="178"/>
      <c r="C1270" s="178"/>
      <c r="D1270" s="15"/>
      <c r="E1270" s="2061" t="str">
        <f>Translations!$B$1479</f>
        <v>Baserat på uppgifterna ovan bestäms ett genomsnittligt årligt värde. Tilldelningen kommer endast att ändras om det relativa tröskelvärdet (15 % jämfört med värdet från de nationella genomförandeåtgärderna) och det absoluta tröskelvärdet (ändring leder till mer än 100 utsläppsrätter) överskrids, enligt artikel 6.4 i verksamhetsändringsförordningen.</v>
      </c>
      <c r="F1270" s="1963"/>
      <c r="G1270" s="1963"/>
      <c r="H1270" s="1963"/>
      <c r="I1270" s="1963"/>
      <c r="J1270" s="1963"/>
      <c r="K1270" s="1963"/>
      <c r="L1270" s="1963"/>
      <c r="M1270" s="1963"/>
      <c r="N1270" s="1963"/>
      <c r="O1270" s="15"/>
      <c r="P1270" s="15"/>
      <c r="Q1270" s="343"/>
      <c r="R1270" s="2"/>
      <c r="S1270" s="343"/>
      <c r="T1270" s="343"/>
      <c r="U1270" s="343"/>
      <c r="V1270" s="2"/>
      <c r="W1270" s="2"/>
      <c r="X1270" s="2"/>
      <c r="Y1270" s="2"/>
      <c r="Z1270" s="2"/>
      <c r="AA1270" s="2"/>
      <c r="AB1270" s="2"/>
      <c r="AC1270" s="2"/>
      <c r="AD1270" s="2"/>
      <c r="AE1270" s="2"/>
      <c r="AF1270" s="2"/>
      <c r="AG1270" s="2"/>
      <c r="AH1270" s="2"/>
      <c r="AI1270" s="2"/>
      <c r="AJ1270" s="2"/>
      <c r="AK1270" s="2"/>
      <c r="AL1270" s="2"/>
    </row>
    <row r="1271" spans="1:38" ht="5.15" customHeight="1" thickBot="1" x14ac:dyDescent="0.3">
      <c r="A1271" s="2"/>
      <c r="B1271" s="178"/>
      <c r="C1271" s="178"/>
      <c r="D1271" s="1238"/>
      <c r="E1271" s="1266"/>
      <c r="F1271" s="1266"/>
      <c r="G1271" s="1266"/>
      <c r="H1271" s="1266"/>
      <c r="I1271" s="1266"/>
      <c r="J1271" s="1266"/>
      <c r="K1271" s="1266"/>
      <c r="L1271" s="1266"/>
      <c r="M1271" s="1266"/>
      <c r="N1271" s="1267"/>
      <c r="O1271" s="15"/>
      <c r="P1271" s="15"/>
      <c r="Q1271" s="343"/>
      <c r="R1271" s="2"/>
      <c r="S1271" s="343"/>
      <c r="T1271" s="343"/>
      <c r="U1271" s="343"/>
      <c r="V1271" s="2"/>
      <c r="W1271" s="2"/>
      <c r="X1271" s="2"/>
      <c r="Y1271" s="2"/>
      <c r="Z1271" s="2"/>
      <c r="AA1271" s="2"/>
      <c r="AB1271" s="2"/>
      <c r="AC1271" s="2"/>
      <c r="AD1271" s="2"/>
      <c r="AE1271" s="2"/>
      <c r="AF1271" s="2"/>
      <c r="AG1271" s="2"/>
      <c r="AH1271" s="2"/>
      <c r="AI1271" s="2"/>
      <c r="AJ1271" s="2"/>
      <c r="AK1271" s="2"/>
      <c r="AL1271" s="2"/>
    </row>
    <row r="1272" spans="1:38" ht="12.75" customHeight="1" x14ac:dyDescent="0.25">
      <c r="A1272" s="2"/>
      <c r="B1272" s="178"/>
      <c r="C1272" s="178"/>
      <c r="D1272" s="1290" t="s">
        <v>2191</v>
      </c>
      <c r="E1272" s="1243" t="str">
        <f>Translations!$B$1480</f>
        <v>Justeringar: Elutbyte</v>
      </c>
      <c r="F1272" s="1244"/>
      <c r="G1272" s="1244"/>
      <c r="H1272" s="1228" t="str">
        <f>EUconst_Unit</f>
        <v>Enhet</v>
      </c>
      <c r="I1272" s="1229" t="str">
        <f>Translations!$B$1481</f>
        <v>Värde (NIMs)</v>
      </c>
      <c r="J1272" s="1268">
        <f>J$3042</f>
        <v>2021</v>
      </c>
      <c r="K1272" s="1230">
        <f>K$3042</f>
        <v>2022</v>
      </c>
      <c r="L1272" s="1230">
        <f>L$3042</f>
        <v>2023</v>
      </c>
      <c r="M1272" s="1230">
        <f>M$3042</f>
        <v>2024</v>
      </c>
      <c r="N1272" s="1258">
        <f>N$3042</f>
        <v>2025</v>
      </c>
      <c r="O1272" s="15"/>
      <c r="P1272" s="15"/>
      <c r="Q1272" s="343"/>
      <c r="R1272" s="2"/>
      <c r="S1272" s="2"/>
      <c r="T1272" s="2"/>
      <c r="U1272" s="772"/>
      <c r="V1272" s="1077">
        <f>J1272</f>
        <v>2021</v>
      </c>
      <c r="W1272" s="1077">
        <f>K1272</f>
        <v>2022</v>
      </c>
      <c r="X1272" s="1077">
        <f>L1272</f>
        <v>2023</v>
      </c>
      <c r="Y1272" s="1077">
        <f>M1272</f>
        <v>2024</v>
      </c>
      <c r="Z1272" s="1078">
        <f>N1272</f>
        <v>2025</v>
      </c>
      <c r="AA1272" s="2"/>
      <c r="AB1272" s="2"/>
      <c r="AC1272" s="2"/>
      <c r="AD1272" s="2"/>
      <c r="AE1272" s="2"/>
      <c r="AF1272" s="2"/>
      <c r="AG1272" s="2"/>
      <c r="AH1272" s="2"/>
      <c r="AI1272" s="2"/>
      <c r="AJ1272" s="2"/>
      <c r="AK1272" s="2"/>
      <c r="AL1272" s="343"/>
    </row>
    <row r="1273" spans="1:38" ht="12.75" customHeight="1" x14ac:dyDescent="0.25">
      <c r="A1273" s="2"/>
      <c r="B1273" s="178"/>
      <c r="C1273" s="178"/>
      <c r="D1273" s="1246" t="s">
        <v>8</v>
      </c>
      <c r="E1273" s="1231" t="str">
        <f>Translations!$B$1482</f>
        <v>Genomsnittligt årligt värde</v>
      </c>
      <c r="F1273" s="1231"/>
      <c r="G1273" s="1231"/>
      <c r="H1273" s="1232" t="str">
        <f>G1268</f>
        <v>-</v>
      </c>
      <c r="I1273" s="1011" t="str">
        <f>IF($T1257&lt;&gt;TRUE,"",INDEX('B+C_SubInstallations'!$L:$L,MATCH(Q1273,'B+C_SubInstallations'!$W:$W,0)))</f>
        <v/>
      </c>
      <c r="J1273" s="1012" t="str">
        <f>IF($T1257&lt;&gt;TRUE,"",IF(AND(V1273&gt;=3,CNTR_ReportingYear&gt;J1272-1),AVERAGE(SUM(H1268),SUM(I1268)),""))</f>
        <v/>
      </c>
      <c r="K1273" s="927" t="str">
        <f>IF($T1257&lt;&gt;TRUE,"",IF(AND(W1273&gt;=3,CNTR_ReportingYear&gt;K1272-1),AVERAGE(SUM(I1268),SUM(J1268)),""))</f>
        <v/>
      </c>
      <c r="L1273" s="927" t="str">
        <f>IF($T1257&lt;&gt;TRUE,"",IF(AND(X1273&gt;=3,CNTR_ReportingYear&gt;L1272-1),AVERAGE(SUM(J1268),SUM(K1268)),""))</f>
        <v/>
      </c>
      <c r="M1273" s="927" t="str">
        <f>IF($T1257&lt;&gt;TRUE,"",IF(AND(Y1273&gt;=3,CNTR_ReportingYear&gt;M1272-1),AVERAGE(SUM(K1268),SUM(L1268)),""))</f>
        <v/>
      </c>
      <c r="N1273" s="1222" t="str">
        <f>IF($T1257&lt;&gt;TRUE,"",IF(AND(Z1273&gt;=3,CNTR_ReportingYear&gt;N1272-1),AVERAGE(SUM(L1268),SUM(M1268)),""))</f>
        <v/>
      </c>
      <c r="O1273" s="15"/>
      <c r="P1273" s="15"/>
      <c r="Q1273" s="165" t="str">
        <f>EUconst_CNTR_HAL &amp; EUconst_CNTR_ELEXCHInitial &amp; I1221</f>
        <v>HAL_ELEXCHIni_</v>
      </c>
      <c r="R1273" s="2"/>
      <c r="S1273" s="2"/>
      <c r="T1273" s="2"/>
      <c r="U1273" s="1079" t="s">
        <v>1850</v>
      </c>
      <c r="V1273" s="663">
        <f>V1243</f>
        <v>0</v>
      </c>
      <c r="W1273" s="663">
        <f>W1243</f>
        <v>0</v>
      </c>
      <c r="X1273" s="663">
        <f>X1243</f>
        <v>0</v>
      </c>
      <c r="Y1273" s="663">
        <f>Y1243</f>
        <v>0</v>
      </c>
      <c r="Z1273" s="1080">
        <f>Z1243</f>
        <v>0</v>
      </c>
      <c r="AA1273" s="2"/>
      <c r="AB1273" s="2"/>
      <c r="AC1273" s="2"/>
      <c r="AD1273" s="2"/>
      <c r="AE1273" s="2"/>
      <c r="AF1273" s="2"/>
      <c r="AG1273" s="2"/>
      <c r="AH1273" s="2"/>
      <c r="AI1273" s="2"/>
      <c r="AJ1273" s="2"/>
      <c r="AK1273" s="2"/>
      <c r="AL1273" s="343"/>
    </row>
    <row r="1274" spans="1:38" ht="12.75" hidden="1" customHeight="1" x14ac:dyDescent="0.25">
      <c r="A1274" s="343" t="s">
        <v>346</v>
      </c>
      <c r="B1274" s="178"/>
      <c r="C1274" s="178"/>
      <c r="D1274" s="1246"/>
      <c r="E1274" s="1231" t="s">
        <v>1980</v>
      </c>
      <c r="F1274" s="1231"/>
      <c r="G1274" s="1231"/>
      <c r="H1274" s="1233"/>
      <c r="I1274" s="1235"/>
      <c r="J1274" s="1013" t="str">
        <f>IF(J1273="","",IF($I1276=0,IF(J1273=0,0%,100%),J1273/$I1276-1))</f>
        <v/>
      </c>
      <c r="K1274" s="938" t="str">
        <f>IF(K1273="","",IF($I1276=0,IF(K1273=0,0%,100%),K1273/$I1276-1))</f>
        <v/>
      </c>
      <c r="L1274" s="938" t="str">
        <f>IF(L1273="","",IF($I1276=0,IF(L1273=0,0%,100%),L1273/$I1276-1))</f>
        <v/>
      </c>
      <c r="M1274" s="938" t="str">
        <f>IF(M1273="","",IF($I1276=0,IF(M1273=0,0%,100%),M1273/$I1276-1))</f>
        <v/>
      </c>
      <c r="N1274" s="1223" t="str">
        <f>IF(N1273="","",IF($I1276=0,IF(N1273=0,0%,100%),N1273/$I1276-1))</f>
        <v/>
      </c>
      <c r="O1274" s="15"/>
      <c r="P1274" s="15"/>
      <c r="Q1274" s="165" t="str">
        <f>EUconst_CNTR_RelThreshold &amp; Q1276</f>
        <v>RelThresh_HALprelim_ELEXCH_</v>
      </c>
      <c r="R1274" s="2"/>
      <c r="S1274" s="2"/>
      <c r="T1274" s="2"/>
      <c r="U1274" s="1079" t="s">
        <v>1855</v>
      </c>
      <c r="V1274" s="603" t="str">
        <f>IF(J1273="","",ABS(J1274)&gt;15%)</f>
        <v/>
      </c>
      <c r="W1274" s="603" t="str">
        <f>IF(K1273="","",ABS(K1274)&gt;15%)</f>
        <v/>
      </c>
      <c r="X1274" s="603" t="str">
        <f>IF(L1273="","",ABS(L1274)&gt;15%)</f>
        <v/>
      </c>
      <c r="Y1274" s="603" t="str">
        <f>IF(M1273="","",ABS(M1274)&gt;15%)</f>
        <v/>
      </c>
      <c r="Z1274" s="1756" t="str">
        <f>IF(N1273="","",ABS(N1274)&gt;15%)</f>
        <v/>
      </c>
      <c r="AA1274" s="2"/>
      <c r="AB1274" s="2"/>
      <c r="AC1274" s="2"/>
      <c r="AD1274" s="2"/>
      <c r="AE1274" s="2"/>
      <c r="AF1274" s="2"/>
      <c r="AG1274" s="2"/>
      <c r="AH1274" s="2"/>
      <c r="AI1274" s="2"/>
      <c r="AJ1274" s="2"/>
      <c r="AK1274" s="2"/>
      <c r="AL1274" s="343"/>
    </row>
    <row r="1275" spans="1:38" ht="12.75" customHeight="1" x14ac:dyDescent="0.25">
      <c r="A1275" s="343"/>
      <c r="B1275" s="178"/>
      <c r="C1275" s="178"/>
      <c r="D1275" s="1246" t="s">
        <v>9</v>
      </c>
      <c r="E1275" s="1231" t="str">
        <f>Translations!$B$1474</f>
        <v>Preliminär justering (om relativa tröskelvärden överskrids)</v>
      </c>
      <c r="F1275" s="1231"/>
      <c r="G1275" s="1231"/>
      <c r="H1275" s="1233"/>
      <c r="I1275" s="1235"/>
      <c r="J1275" s="992" t="str">
        <f>IF(J1273="","",IF(V1274=FALSE,0%,J1274))</f>
        <v/>
      </c>
      <c r="K1275" s="937" t="str">
        <f>IF(K1273="","",IF(W1274=FALSE,0%,K1274))</f>
        <v/>
      </c>
      <c r="L1275" s="937" t="str">
        <f>IF(L1273="","",IF(X1274=FALSE,0%,L1274))</f>
        <v/>
      </c>
      <c r="M1275" s="937" t="str">
        <f>IF(M1273="","",IF(Y1274=FALSE,0%,M1274))</f>
        <v/>
      </c>
      <c r="N1275" s="1220" t="str">
        <f>IF(N1273="","",IF(Z1274=FALSE,0%,N1274))</f>
        <v/>
      </c>
      <c r="O1275" s="15"/>
      <c r="P1275" s="15"/>
      <c r="Q1275" s="343"/>
      <c r="R1275" s="2"/>
      <c r="S1275" s="2"/>
      <c r="T1275" s="2"/>
      <c r="U1275" s="1081"/>
      <c r="V1275" s="2"/>
      <c r="W1275" s="2"/>
      <c r="X1275" s="2"/>
      <c r="Y1275" s="2"/>
      <c r="Z1275" s="228"/>
      <c r="AA1275" s="2"/>
      <c r="AB1275" s="2"/>
      <c r="AC1275" s="2"/>
      <c r="AD1275" s="2"/>
      <c r="AE1275" s="2"/>
      <c r="AF1275" s="2"/>
      <c r="AG1275" s="2"/>
      <c r="AH1275" s="2"/>
      <c r="AI1275" s="2"/>
      <c r="AJ1275" s="2"/>
      <c r="AK1275" s="2"/>
      <c r="AL1275" s="343"/>
    </row>
    <row r="1276" spans="1:38" ht="12.75" hidden="1" customHeight="1" x14ac:dyDescent="0.25">
      <c r="A1276" s="343" t="s">
        <v>346</v>
      </c>
      <c r="B1276" s="178"/>
      <c r="C1276" s="178"/>
      <c r="D1276" s="1246"/>
      <c r="E1276" s="1231" t="s">
        <v>1889</v>
      </c>
      <c r="F1276" s="1231"/>
      <c r="G1276" s="1231"/>
      <c r="H1276" s="1232" t="str">
        <f>H1273</f>
        <v>-</v>
      </c>
      <c r="I1276" s="1011" t="str">
        <f>IF($T1257&lt;&gt;TRUE,"",IF(AB1221=FALSE,EUconst_NA,IF(V1221&gt;($J$3042-3),INDEX(H1268:N1268,MATCH(V1221,H1261:N1261,0)),SUM(I1273))))</f>
        <v/>
      </c>
      <c r="J1276" s="1014" t="str">
        <f>IF(OR($I1221="",$T1257=FALSE),"",IF(V1273&lt;2,SUM(J1268),IF(V1273&lt;3,SUM(I1268),IF(V1276="",I1276,V1276))))</f>
        <v/>
      </c>
      <c r="K1276" s="928" t="str">
        <f>IF(OR($I1221="",$T1257=FALSE),"",IF(W1273&lt;2,SUM(K1268),IF(W1273&lt;3,SUM(J1268),IF(W1276="",J1276,W1276))))</f>
        <v/>
      </c>
      <c r="L1276" s="928" t="str">
        <f>IF(OR($I1221="",$T1257=FALSE),"",IF(X1273&lt;2,SUM(L1268),IF(X1273&lt;3,SUM(K1268),IF(X1276="",K1276,X1276))))</f>
        <v/>
      </c>
      <c r="M1276" s="928" t="str">
        <f>IF(OR($I1221="",$T1257=FALSE),"",IF(Y1273&lt;2,SUM(M1268),IF(Y1273&lt;3,SUM(L1268),IF(Y1276="",L1276,Y1276))))</f>
        <v/>
      </c>
      <c r="N1276" s="1224" t="str">
        <f>IF(OR($I1221="",$T1257=FALSE),"",IF(Z1273&lt;2,SUM(N1268),IF(Z1273&lt;3,SUM(M1268),IF(Z1276="",M1276,Z1276))))</f>
        <v/>
      </c>
      <c r="O1276" s="15"/>
      <c r="P1276" s="15"/>
      <c r="Q1276" s="165" t="str">
        <f>EUconst_CNTR_HALprelim&amp;EUconst_CNTR_ELEXCH &amp; I1221</f>
        <v>HALprelim_ELEXCH_</v>
      </c>
      <c r="R1276" s="2"/>
      <c r="S1276" s="2"/>
      <c r="T1276" s="2"/>
      <c r="U1276" s="1079" t="s">
        <v>1898</v>
      </c>
      <c r="V1276" s="1753" t="str">
        <f>IF(J1273="","",IF(CNTR_ReportingYear&lt;J1272,I1275,IF($I1276=0,J1273,$I1276*(1+J1275))))</f>
        <v/>
      </c>
      <c r="W1276" s="1753" t="str">
        <f>IF(K1273="","",IF(CNTR_ReportingYear&lt;K1272,J1275,IF($I1276=0,K1273,$I1276*(1+K1275))))</f>
        <v/>
      </c>
      <c r="X1276" s="1753" t="str">
        <f>IF(L1273="","",IF(CNTR_ReportingYear&lt;L1272,K1275,IF($I1276=0,L1273,$I1276*(1+L1275))))</f>
        <v/>
      </c>
      <c r="Y1276" s="1753" t="str">
        <f>IF(M1273="","",IF(CNTR_ReportingYear&lt;M1272,L1275,IF($I1276=0,M1273,$I1276*(1+M1275))))</f>
        <v/>
      </c>
      <c r="Z1276" s="1760" t="str">
        <f>IF(N1273="","",IF(CNTR_ReportingYear&lt;N1272,M1275,IF($I1276=0,N1273,$I1276*(1+N1275))))</f>
        <v/>
      </c>
      <c r="AA1276" s="2"/>
      <c r="AB1276" s="2"/>
      <c r="AC1276" s="2"/>
      <c r="AD1276" s="2"/>
      <c r="AE1276" s="2"/>
      <c r="AF1276" s="2"/>
      <c r="AG1276" s="2"/>
      <c r="AH1276" s="2"/>
      <c r="AI1276" s="2"/>
      <c r="AJ1276" s="2"/>
      <c r="AK1276" s="2"/>
      <c r="AL1276" s="343"/>
    </row>
    <row r="1277" spans="1:38" ht="5.15" customHeight="1" x14ac:dyDescent="0.25">
      <c r="A1277" s="343"/>
      <c r="B1277" s="178"/>
      <c r="C1277" s="178"/>
      <c r="D1277" s="1246"/>
      <c r="E1277" s="1244"/>
      <c r="F1277" s="1244"/>
      <c r="G1277" s="1244"/>
      <c r="H1277" s="1244"/>
      <c r="I1277" s="1244"/>
      <c r="J1277" s="1236"/>
      <c r="K1277" s="1236"/>
      <c r="L1277" s="1236"/>
      <c r="M1277" s="1236"/>
      <c r="N1277" s="1247"/>
      <c r="O1277" s="15"/>
      <c r="P1277" s="15"/>
      <c r="Q1277" s="343"/>
      <c r="R1277" s="2"/>
      <c r="S1277" s="2"/>
      <c r="T1277" s="2"/>
      <c r="U1277" s="1086"/>
      <c r="V1277" s="343"/>
      <c r="W1277" s="2"/>
      <c r="X1277" s="2"/>
      <c r="Y1277" s="2"/>
      <c r="Z1277" s="228"/>
      <c r="AA1277" s="2"/>
      <c r="AB1277" s="2"/>
      <c r="AC1277" s="2"/>
      <c r="AD1277" s="2"/>
      <c r="AE1277" s="2"/>
      <c r="AF1277" s="2"/>
      <c r="AG1277" s="2"/>
      <c r="AH1277" s="2"/>
      <c r="AI1277" s="2"/>
      <c r="AJ1277" s="2"/>
      <c r="AK1277" s="2"/>
      <c r="AL1277" s="343"/>
    </row>
    <row r="1278" spans="1:38" ht="12.75" customHeight="1" x14ac:dyDescent="0.25">
      <c r="A1278" s="343"/>
      <c r="B1278" s="178"/>
      <c r="C1278" s="178"/>
      <c r="D1278" s="1246"/>
      <c r="E1278" s="1234" t="str">
        <f>Translations!$B$1475</f>
        <v>Faktisk justering (grund för följande år)</v>
      </c>
      <c r="F1278" s="1234"/>
      <c r="G1278" s="1234"/>
      <c r="H1278" s="1234"/>
      <c r="I1278" s="1234"/>
      <c r="J1278" s="1268">
        <f>J$3042</f>
        <v>2021</v>
      </c>
      <c r="K1278" s="1230">
        <f>K$3042</f>
        <v>2022</v>
      </c>
      <c r="L1278" s="1230">
        <f>L$3042</f>
        <v>2023</v>
      </c>
      <c r="M1278" s="1230">
        <f>M$3042</f>
        <v>2024</v>
      </c>
      <c r="N1278" s="1258">
        <f>N$3042</f>
        <v>2025</v>
      </c>
      <c r="O1278" s="15"/>
      <c r="P1278" s="15"/>
      <c r="Q1278" s="343"/>
      <c r="R1278" s="2"/>
      <c r="S1278" s="2"/>
      <c r="T1278" s="2"/>
      <c r="U1278" s="584"/>
      <c r="V1278" s="2"/>
      <c r="W1278" s="2"/>
      <c r="X1278" s="2"/>
      <c r="Y1278" s="2"/>
      <c r="Z1278" s="228"/>
      <c r="AA1278" s="2"/>
      <c r="AB1278" s="2"/>
      <c r="AC1278" s="2"/>
      <c r="AD1278" s="2"/>
      <c r="AE1278" s="2"/>
      <c r="AF1278" s="2"/>
      <c r="AG1278" s="2"/>
      <c r="AH1278" s="2"/>
      <c r="AI1278" s="2"/>
      <c r="AJ1278" s="2"/>
      <c r="AK1278" s="2"/>
      <c r="AL1278" s="343"/>
    </row>
    <row r="1279" spans="1:38" ht="12.75" customHeight="1" x14ac:dyDescent="0.25">
      <c r="A1279" s="343"/>
      <c r="B1279" s="178"/>
      <c r="C1279" s="178"/>
      <c r="D1279" s="1246" t="s">
        <v>10</v>
      </c>
      <c r="E1279" s="1231" t="str">
        <f>Translations!$B$1476</f>
        <v>&gt;= 100 utsläppsrätter kriterium uppnått?</v>
      </c>
      <c r="F1279" s="1231"/>
      <c r="G1279" s="1231"/>
      <c r="H1279" s="1231"/>
      <c r="I1279" s="1231"/>
      <c r="J1279" s="994" t="str">
        <f>IF(OR($I1221="",$T1257=FALSE),"",INDEX(K_Summary!J:J,MATCH($Q1279,K_Summary!$P:$P,0)))</f>
        <v/>
      </c>
      <c r="K1279" s="912" t="str">
        <f>IF(OR($I1221="",$T1257=FALSE),"",INDEX(K_Summary!K:K,MATCH($Q1279,K_Summary!$P:$P,0)))</f>
        <v/>
      </c>
      <c r="L1279" s="912" t="str">
        <f>IF(OR($I1221="",$T1257=FALSE),"",INDEX(K_Summary!L:L,MATCH($Q1279,K_Summary!$P:$P,0)))</f>
        <v/>
      </c>
      <c r="M1279" s="912" t="str">
        <f>IF(OR($I1221="",$T1257=FALSE),"",INDEX(K_Summary!M:M,MATCH($Q1279,K_Summary!$P:$P,0)))</f>
        <v/>
      </c>
      <c r="N1279" s="1221" t="str">
        <f>IF(OR($I1221="",$T1257=FALSE),"",INDEX(K_Summary!N:N,MATCH($Q1279,K_Summary!$P:$P,0)))</f>
        <v/>
      </c>
      <c r="O1279" s="15"/>
      <c r="P1279" s="15"/>
      <c r="Q1279" s="165" t="str">
        <f>EUconst_CNTR_100EUA_ElExch&amp;I1221</f>
        <v>EUA100ElExch_</v>
      </c>
      <c r="R1279" s="2"/>
      <c r="S1279" s="2"/>
      <c r="T1279" s="2"/>
      <c r="U1279" s="584"/>
      <c r="V1279" s="2"/>
      <c r="W1279" s="2"/>
      <c r="X1279" s="2"/>
      <c r="Y1279" s="2"/>
      <c r="Z1279" s="228"/>
      <c r="AA1279" s="2"/>
      <c r="AB1279" s="2"/>
      <c r="AC1279" s="2"/>
      <c r="AD1279" s="2"/>
      <c r="AE1279" s="2"/>
      <c r="AF1279" s="2"/>
      <c r="AG1279" s="2"/>
      <c r="AH1279" s="2"/>
      <c r="AI1279" s="2"/>
      <c r="AJ1279" s="2"/>
      <c r="AK1279" s="2"/>
      <c r="AL1279" s="343"/>
    </row>
    <row r="1280" spans="1:38" ht="5.15" customHeight="1" thickBot="1" x14ac:dyDescent="0.3">
      <c r="A1280" s="343"/>
      <c r="B1280" s="178"/>
      <c r="C1280" s="178"/>
      <c r="D1280" s="1246"/>
      <c r="E1280" s="1244"/>
      <c r="F1280" s="1244"/>
      <c r="G1280" s="1244"/>
      <c r="H1280" s="1244"/>
      <c r="I1280" s="1244"/>
      <c r="J1280" s="1244"/>
      <c r="K1280" s="1244"/>
      <c r="L1280" s="1244"/>
      <c r="M1280" s="1244"/>
      <c r="N1280" s="1248"/>
      <c r="O1280" s="15"/>
      <c r="P1280" s="15"/>
      <c r="Q1280" s="343"/>
      <c r="R1280" s="2"/>
      <c r="S1280" s="2"/>
      <c r="T1280" s="2"/>
      <c r="U1280" s="1086"/>
      <c r="V1280" s="343"/>
      <c r="W1280" s="2"/>
      <c r="X1280" s="2"/>
      <c r="Y1280" s="2"/>
      <c r="Z1280" s="228"/>
      <c r="AA1280" s="2"/>
      <c r="AB1280" s="2"/>
      <c r="AC1280" s="2"/>
      <c r="AD1280" s="2"/>
      <c r="AE1280" s="2"/>
      <c r="AF1280" s="2"/>
      <c r="AG1280" s="2"/>
      <c r="AH1280" s="2"/>
      <c r="AI1280" s="2"/>
      <c r="AJ1280" s="2"/>
      <c r="AK1280" s="2"/>
      <c r="AL1280" s="343"/>
    </row>
    <row r="1281" spans="1:38" ht="12.75" customHeight="1" thickBot="1" x14ac:dyDescent="0.3">
      <c r="A1281" s="2"/>
      <c r="B1281" s="178"/>
      <c r="C1281" s="178"/>
      <c r="D1281" s="1246" t="s">
        <v>23</v>
      </c>
      <c r="E1281" s="1231" t="str">
        <f>Translations!$B$1477</f>
        <v>Faktisk justering (om alla tröskelvärden överskrids)</v>
      </c>
      <c r="F1281" s="1231"/>
      <c r="G1281" s="1231"/>
      <c r="H1281" s="1233"/>
      <c r="I1281" s="1237"/>
      <c r="J1281" s="1099" t="str">
        <f>IF(J1279="","",IF(OR(J1279,V1273&lt;1),J1275,I1281))</f>
        <v/>
      </c>
      <c r="K1281" s="1100" t="str">
        <f>IF(K1279="","",IF(OR(K1279,W1273&lt;1),K1275,J1281))</f>
        <v/>
      </c>
      <c r="L1281" s="1100" t="str">
        <f>IF(L1279="","",IF(OR(L1279,X1273&lt;1),L1275,K1281))</f>
        <v/>
      </c>
      <c r="M1281" s="1100" t="str">
        <f>IF(M1279="","",IF(OR(M1279,Y1273&lt;1),M1275,L1281))</f>
        <v/>
      </c>
      <c r="N1281" s="1101" t="str">
        <f>IF(N1279="","",IF(OR(N1279,Z1273&lt;1),N1275,M1281))</f>
        <v/>
      </c>
      <c r="O1281" s="15"/>
      <c r="P1281" s="15"/>
      <c r="Q1281" s="343"/>
      <c r="R1281" s="2"/>
      <c r="S1281" s="2"/>
      <c r="T1281" s="2"/>
      <c r="U1281" s="1086" t="s">
        <v>1858</v>
      </c>
      <c r="V1281" s="1068">
        <f>J1278</f>
        <v>2021</v>
      </c>
      <c r="W1281" s="1068">
        <f>K1278</f>
        <v>2022</v>
      </c>
      <c r="X1281" s="1068">
        <f>L1278</f>
        <v>2023</v>
      </c>
      <c r="Y1281" s="1068">
        <f>M1278</f>
        <v>2024</v>
      </c>
      <c r="Z1281" s="1087">
        <f>N1278</f>
        <v>2025</v>
      </c>
      <c r="AA1281" s="2"/>
      <c r="AB1281" s="2"/>
      <c r="AC1281" s="2"/>
      <c r="AD1281" s="2"/>
      <c r="AE1281" s="2"/>
      <c r="AF1281" s="2"/>
      <c r="AG1281" s="2"/>
      <c r="AH1281" s="2"/>
      <c r="AI1281" s="2"/>
      <c r="AJ1281" s="2"/>
      <c r="AK1281" s="2"/>
      <c r="AL1281" s="343"/>
    </row>
    <row r="1282" spans="1:38" ht="12.75" customHeight="1" thickBot="1" x14ac:dyDescent="0.3">
      <c r="A1282" s="343"/>
      <c r="B1282" s="178"/>
      <c r="C1282" s="178"/>
      <c r="D1282" s="1246" t="s">
        <v>859</v>
      </c>
      <c r="E1282" s="1231" t="str">
        <f>Translations!$B$1478</f>
        <v>Faktiskt värde</v>
      </c>
      <c r="F1282" s="1231"/>
      <c r="G1282" s="1231"/>
      <c r="H1282" s="1232" t="str">
        <f>H1273</f>
        <v>-</v>
      </c>
      <c r="I1282" s="1011" t="str">
        <f>I1276</f>
        <v/>
      </c>
      <c r="J1282" s="1069" t="str">
        <f>IF(OR($I1221="",$T1257=FALSE),"",IF(OR($I1282=0,$I1282=EUconst_NA,J1281="",J1278&lt;=$V1221),J1276,$I1282*(1+SUM(J1281))))</f>
        <v/>
      </c>
      <c r="K1282" s="1070" t="str">
        <f>IF(OR($I1221="",$T1257=FALSE),"",IF(OR($I1282=0,$I1282=EUconst_NA,K1281="",K1278&lt;=$V1221),K1276,$I1282*(1+SUM(K1281))))</f>
        <v/>
      </c>
      <c r="L1282" s="1070" t="str">
        <f>IF(OR($I1221="",$T1257=FALSE),"",IF(OR($I1282=0,$I1282=EUconst_NA,L1281="",L1278&lt;=$V1221),L1276,$I1282*(1+SUM(L1281))))</f>
        <v/>
      </c>
      <c r="M1282" s="1070" t="str">
        <f>IF(OR($I1221="",$T1257=FALSE),"",IF(OR($I1282=0,$I1282=EUconst_NA,M1281="",M1278&lt;=$V1221),M1276,$I1282*(1+SUM(M1281))))</f>
        <v/>
      </c>
      <c r="N1282" s="1071" t="str">
        <f>IF(OR($I1221="",$T1257=FALSE),"",IF(OR($I1282=0,$I1282=EUconst_NA,N1281="",N1278&lt;=$V1221),N1276,$I1282*(1+SUM(N1281))))</f>
        <v/>
      </c>
      <c r="O1282" s="15"/>
      <c r="P1282" s="15"/>
      <c r="Q1282" s="165" t="str">
        <f>EUconst_CNTR_HALfinal&amp;EUconst_CNTR_ELEXCH &amp; I1221</f>
        <v>HALfinal_ELEXCH_</v>
      </c>
      <c r="R1282" s="2"/>
      <c r="S1282" s="2"/>
      <c r="T1282" s="2"/>
      <c r="U1282" s="1765" t="b">
        <v>0</v>
      </c>
      <c r="V1282" s="1757" t="str">
        <f>IF(V1229,IF(J1279=TRUE,V1274,U1282),"")</f>
        <v/>
      </c>
      <c r="W1282" s="1757" t="str">
        <f>IF(W1229,IF(K1279=TRUE,W1274,V1282),"")</f>
        <v/>
      </c>
      <c r="X1282" s="1757" t="str">
        <f>IF(X1229,IF(L1279=TRUE,X1274,W1282),"")</f>
        <v/>
      </c>
      <c r="Y1282" s="1757" t="str">
        <f>IF(Y1229,IF(M1279=TRUE,Y1274,X1282),"")</f>
        <v/>
      </c>
      <c r="Z1282" s="1758" t="str">
        <f>IF(Z1229,IF(N1279=TRUE,Z1274,Y1282),"")</f>
        <v/>
      </c>
      <c r="AA1282" s="2"/>
      <c r="AB1282" s="2"/>
      <c r="AC1282" s="2"/>
      <c r="AD1282" s="2"/>
      <c r="AE1282" s="2"/>
      <c r="AF1282" s="2"/>
      <c r="AG1282" s="2"/>
      <c r="AH1282" s="2"/>
      <c r="AI1282" s="2"/>
      <c r="AJ1282" s="553" t="s">
        <v>2242</v>
      </c>
      <c r="AK1282" s="108" t="str">
        <f>IF(OR(ISERROR(J1282),ISERROR(K1282),ISERROR(L1282),ISERROR(M1282),ISERROR(N1282)),EUconst_Error &amp; "BM" &amp; Q1221,"")</f>
        <v/>
      </c>
      <c r="AL1282" s="343"/>
    </row>
    <row r="1283" spans="1:38" ht="5.15" customHeight="1" thickBot="1" x14ac:dyDescent="0.3">
      <c r="A1283" s="2"/>
      <c r="B1283" s="178"/>
      <c r="C1283" s="178"/>
      <c r="D1283" s="1269"/>
      <c r="E1283" s="1270"/>
      <c r="F1283" s="1270"/>
      <c r="G1283" s="1270"/>
      <c r="H1283" s="1270"/>
      <c r="I1283" s="1270"/>
      <c r="J1283" s="1270"/>
      <c r="K1283" s="1270"/>
      <c r="L1283" s="1270"/>
      <c r="M1283" s="1272"/>
      <c r="N1283" s="1273"/>
      <c r="O1283" s="15"/>
      <c r="P1283" s="15"/>
      <c r="Q1283" s="343"/>
      <c r="R1283" s="2"/>
      <c r="S1283" s="2"/>
      <c r="T1283" s="2"/>
      <c r="U1283" s="2"/>
      <c r="V1283" s="2"/>
      <c r="W1283" s="2"/>
      <c r="X1283" s="2"/>
      <c r="Y1283" s="2"/>
      <c r="Z1283" s="2"/>
      <c r="AA1283" s="2"/>
      <c r="AB1283" s="2"/>
      <c r="AC1283" s="2"/>
      <c r="AD1283" s="2"/>
      <c r="AE1283" s="2"/>
      <c r="AF1283" s="2"/>
      <c r="AG1283" s="2"/>
      <c r="AH1283" s="2"/>
      <c r="AI1283" s="2"/>
      <c r="AJ1283" s="2"/>
      <c r="AK1283" s="2"/>
      <c r="AL1283" s="2"/>
    </row>
    <row r="1284" spans="1:38" ht="5.15" customHeight="1" x14ac:dyDescent="0.25">
      <c r="A1284" s="2"/>
      <c r="B1284" s="178"/>
      <c r="C1284" s="178"/>
      <c r="D1284" s="178"/>
      <c r="E1284" s="178"/>
      <c r="F1284" s="178"/>
      <c r="G1284" s="178"/>
      <c r="H1284" s="178"/>
      <c r="I1284" s="178"/>
      <c r="J1284" s="178"/>
      <c r="K1284" s="178"/>
      <c r="L1284" s="178"/>
      <c r="M1284" s="15"/>
      <c r="N1284" s="15"/>
      <c r="O1284" s="15"/>
      <c r="P1284" s="15"/>
      <c r="Q1284" s="343"/>
      <c r="R1284" s="2"/>
      <c r="S1284" s="2"/>
      <c r="T1284" s="2"/>
      <c r="U1284" s="2"/>
      <c r="V1284" s="2"/>
      <c r="W1284" s="2"/>
      <c r="X1284" s="2"/>
      <c r="Y1284" s="2"/>
      <c r="Z1284" s="2"/>
      <c r="AA1284" s="2"/>
      <c r="AB1284" s="2"/>
      <c r="AC1284" s="2"/>
      <c r="AD1284" s="2"/>
      <c r="AE1284" s="2"/>
      <c r="AF1284" s="2"/>
      <c r="AG1284" s="2"/>
      <c r="AH1284" s="2"/>
      <c r="AI1284" s="2"/>
      <c r="AJ1284" s="2"/>
      <c r="AK1284" s="2"/>
      <c r="AL1284" s="2"/>
    </row>
    <row r="1285" spans="1:38" ht="12.75" customHeight="1" x14ac:dyDescent="0.25">
      <c r="A1285" s="2"/>
      <c r="B1285" s="178"/>
      <c r="C1285" s="178"/>
      <c r="D1285" s="13" t="s">
        <v>960</v>
      </c>
      <c r="E1285" s="1943" t="str">
        <f>Translations!$B$533</f>
        <v>Värme som importeras från anläggningar eller enheter utanför ETS:</v>
      </c>
      <c r="F1285" s="1943"/>
      <c r="G1285" s="1943"/>
      <c r="H1285" s="1943"/>
      <c r="I1285" s="2067"/>
      <c r="J1285" s="2652" t="str">
        <f>IF(I1221="","",HYPERLINK(R1285,EUconst_MsgGoOnIfNotRelevant))</f>
        <v/>
      </c>
      <c r="K1285" s="2653"/>
      <c r="L1285" s="2653"/>
      <c r="M1285" s="2653"/>
      <c r="N1285" s="2654"/>
      <c r="O1285" s="15"/>
      <c r="P1285" s="15"/>
      <c r="Q1285" s="2" t="s">
        <v>484</v>
      </c>
      <c r="R1285" s="294" t="str">
        <f>"#"&amp;ADDRESS(ROW(D1310),COLUMN(D1310))</f>
        <v>#$D$1310</v>
      </c>
      <c r="S1285" s="2"/>
      <c r="T1285" s="2"/>
      <c r="U1285" s="2"/>
      <c r="V1285" s="2"/>
      <c r="W1285" s="2"/>
      <c r="X1285" s="2"/>
      <c r="Y1285" s="2"/>
      <c r="Z1285" s="2"/>
      <c r="AA1285" s="2"/>
      <c r="AB1285" s="2"/>
      <c r="AC1285" s="2"/>
      <c r="AD1285" s="2"/>
      <c r="AE1285" s="2"/>
      <c r="AF1285" s="2"/>
      <c r="AG1285" s="2"/>
      <c r="AH1285" s="2"/>
      <c r="AI1285" s="2"/>
      <c r="AJ1285" s="2"/>
      <c r="AK1285" s="2"/>
      <c r="AL1285" s="2"/>
    </row>
    <row r="1286" spans="1:38" ht="12.75" customHeight="1" x14ac:dyDescent="0.25">
      <c r="A1286" s="2"/>
      <c r="B1286" s="178"/>
      <c r="C1286" s="178"/>
      <c r="D1286" s="15"/>
      <c r="E1286" s="2061" t="str">
        <f>Translations!$B$534</f>
        <v>Enligt artikel 21 i FAR måste en utsläppsmängd dras av från det preliminära årsantalet utsläppsrätter från delanläggningar med produktriktmärke.</v>
      </c>
      <c r="F1286" s="1963"/>
      <c r="G1286" s="1963"/>
      <c r="H1286" s="1963"/>
      <c r="I1286" s="1963"/>
      <c r="J1286" s="1963"/>
      <c r="K1286" s="1963"/>
      <c r="L1286" s="1963"/>
      <c r="M1286" s="1963"/>
      <c r="N1286" s="1963"/>
      <c r="O1286" s="15"/>
      <c r="P1286" s="15"/>
      <c r="Q1286" s="343"/>
      <c r="R1286" s="2"/>
      <c r="S1286" s="2"/>
      <c r="T1286" s="2"/>
      <c r="U1286" s="343"/>
      <c r="V1286" s="343"/>
      <c r="W1286" s="2"/>
      <c r="X1286" s="2"/>
      <c r="Y1286" s="2"/>
      <c r="Z1286" s="2"/>
      <c r="AA1286" s="2"/>
      <c r="AB1286" s="2"/>
      <c r="AC1286" s="2"/>
      <c r="AD1286" s="2"/>
      <c r="AE1286" s="2"/>
      <c r="AF1286" s="2"/>
      <c r="AG1286" s="2"/>
      <c r="AH1286" s="2"/>
      <c r="AI1286" s="2"/>
      <c r="AJ1286" s="2"/>
      <c r="AK1286" s="2"/>
      <c r="AL1286" s="2"/>
    </row>
    <row r="1287" spans="1:38" ht="12.75" customHeight="1" x14ac:dyDescent="0.25">
      <c r="A1287" s="2"/>
      <c r="B1287" s="178"/>
      <c r="C1287" s="178"/>
      <c r="D1287" s="15"/>
      <c r="E1287" s="2061" t="str">
        <f>Translations!$B$535</f>
        <v>Detta är mängden mätbar värme som importeras från anläggningar utanför ETS (inklusive eventuell värme från delanläggningar för salpetersyra) eller enheter multiplicerat med värmeriktmärket.</v>
      </c>
      <c r="F1287" s="1963"/>
      <c r="G1287" s="1963"/>
      <c r="H1287" s="1963"/>
      <c r="I1287" s="1963"/>
      <c r="J1287" s="1963"/>
      <c r="K1287" s="1963"/>
      <c r="L1287" s="1963"/>
      <c r="M1287" s="1963"/>
      <c r="N1287" s="1963"/>
      <c r="O1287" s="15"/>
      <c r="P1287" s="15"/>
      <c r="Q1287" s="343"/>
      <c r="R1287" s="2"/>
      <c r="S1287" s="2"/>
      <c r="T1287" s="2"/>
      <c r="U1287" s="343"/>
      <c r="V1287" s="343"/>
      <c r="W1287" s="2"/>
      <c r="X1287" s="2"/>
      <c r="Y1287" s="2"/>
      <c r="Z1287" s="2"/>
      <c r="AA1287" s="2"/>
      <c r="AB1287" s="2"/>
      <c r="AC1287" s="2"/>
      <c r="AD1287" s="2"/>
      <c r="AE1287" s="2"/>
      <c r="AF1287" s="2"/>
      <c r="AG1287" s="2"/>
      <c r="AH1287" s="2"/>
      <c r="AI1287" s="2"/>
      <c r="AJ1287" s="2"/>
      <c r="AK1287" s="2"/>
      <c r="AL1287" s="2"/>
    </row>
    <row r="1288" spans="1:38" ht="12.75" customHeight="1" x14ac:dyDescent="0.25">
      <c r="A1288" s="2"/>
      <c r="B1288" s="178"/>
      <c r="C1288" s="178"/>
      <c r="D1288" s="15"/>
      <c r="E1288" s="2061" t="str">
        <f>Translations!$B$536</f>
        <v>Var god ange relevanta värden här. Notera att värdena måste överensstämma med delsummorna för import från anläggningar och enheter utanför ETS enligt punkt E.II.c i bladet ”E_Energy flows”.</v>
      </c>
      <c r="F1288" s="1963"/>
      <c r="G1288" s="1963"/>
      <c r="H1288" s="1963"/>
      <c r="I1288" s="1963"/>
      <c r="J1288" s="1963"/>
      <c r="K1288" s="1963"/>
      <c r="L1288" s="1963"/>
      <c r="M1288" s="1963"/>
      <c r="N1288" s="1963"/>
      <c r="O1288" s="15"/>
      <c r="P1288" s="15"/>
      <c r="Q1288" s="343"/>
      <c r="R1288" s="2"/>
      <c r="S1288" s="2"/>
      <c r="T1288" s="2"/>
      <c r="U1288" s="343"/>
      <c r="V1288" s="343"/>
      <c r="W1288" s="2"/>
      <c r="X1288" s="2"/>
      <c r="Y1288" s="2"/>
      <c r="Z1288" s="2"/>
      <c r="AA1288" s="2"/>
      <c r="AB1288" s="2"/>
      <c r="AC1288" s="2"/>
      <c r="AD1288" s="2"/>
      <c r="AE1288" s="2"/>
      <c r="AF1288" s="2"/>
      <c r="AG1288" s="2"/>
      <c r="AH1288" s="2"/>
      <c r="AI1288" s="2"/>
      <c r="AJ1288" s="2"/>
      <c r="AK1288" s="2"/>
      <c r="AL1288" s="2"/>
    </row>
    <row r="1289" spans="1:38" ht="12.75" customHeight="1" x14ac:dyDescent="0.25">
      <c r="A1289" s="2"/>
      <c r="B1289" s="178"/>
      <c r="C1289" s="178"/>
      <c r="D1289" s="15"/>
      <c r="E1289" s="2061" t="str">
        <f>Translations!$B$537</f>
        <v>Uppgifterna måste också överensstämma med den totala mätbara nettovärme som importeras, vilken anges i punkt k.i nedan.</v>
      </c>
      <c r="F1289" s="1963"/>
      <c r="G1289" s="1963"/>
      <c r="H1289" s="1963"/>
      <c r="I1289" s="1963"/>
      <c r="J1289" s="1963"/>
      <c r="K1289" s="1963"/>
      <c r="L1289" s="1963"/>
      <c r="M1289" s="1963"/>
      <c r="N1289" s="1963"/>
      <c r="O1289" s="15"/>
      <c r="P1289" s="15"/>
      <c r="Q1289" s="343"/>
      <c r="R1289" s="2"/>
      <c r="S1289" s="2"/>
      <c r="T1289" s="2"/>
      <c r="U1289" s="343"/>
      <c r="V1289" s="343"/>
      <c r="W1289" s="343"/>
      <c r="X1289" s="343"/>
      <c r="Y1289" s="343"/>
      <c r="Z1289" s="343"/>
      <c r="AA1289" s="2"/>
      <c r="AB1289" s="2"/>
      <c r="AC1289" s="2"/>
      <c r="AD1289" s="2"/>
      <c r="AE1289" s="2"/>
      <c r="AF1289" s="2"/>
      <c r="AG1289" s="2"/>
      <c r="AH1289" s="2"/>
      <c r="AI1289" s="2"/>
      <c r="AJ1289" s="2"/>
      <c r="AK1289" s="2"/>
      <c r="AL1289" s="2"/>
    </row>
    <row r="1290" spans="1:38" ht="13.5" thickBot="1" x14ac:dyDescent="0.3">
      <c r="A1290" s="2"/>
      <c r="B1290" s="19"/>
      <c r="C1290" s="19"/>
      <c r="D1290" s="13"/>
      <c r="E1290" s="914" t="str">
        <f>Translations!$B$527</f>
        <v>Parameter</v>
      </c>
      <c r="F1290" s="913"/>
      <c r="G1290" s="30" t="str">
        <f>EUconst_Unit</f>
        <v>Enhet</v>
      </c>
      <c r="H1290" s="320">
        <f>H$3042</f>
        <v>2019</v>
      </c>
      <c r="I1290" s="342">
        <f>I$3042</f>
        <v>2020</v>
      </c>
      <c r="J1290" s="987">
        <f>J$112</f>
        <v>2021</v>
      </c>
      <c r="K1290" s="320">
        <f>K$112</f>
        <v>2022</v>
      </c>
      <c r="L1290" s="320">
        <f>L$112</f>
        <v>2023</v>
      </c>
      <c r="M1290" s="320">
        <f>M$112</f>
        <v>2024</v>
      </c>
      <c r="N1290" s="320">
        <f>N$112</f>
        <v>2025</v>
      </c>
      <c r="O1290" s="15"/>
      <c r="P1290" s="15"/>
      <c r="Q1290" s="2"/>
      <c r="R1290" s="40"/>
      <c r="S1290" s="553" t="s">
        <v>2072</v>
      </c>
      <c r="T1290" s="1044">
        <f t="shared" ref="T1290:Z1290" si="570">H1290</f>
        <v>2019</v>
      </c>
      <c r="U1290" s="1044">
        <f t="shared" si="570"/>
        <v>2020</v>
      </c>
      <c r="V1290" s="1044">
        <f t="shared" si="570"/>
        <v>2021</v>
      </c>
      <c r="W1290" s="1044">
        <f t="shared" si="570"/>
        <v>2022</v>
      </c>
      <c r="X1290" s="1044">
        <f t="shared" si="570"/>
        <v>2023</v>
      </c>
      <c r="Y1290" s="1044">
        <f t="shared" si="570"/>
        <v>2024</v>
      </c>
      <c r="Z1290" s="1044">
        <f t="shared" si="570"/>
        <v>2025</v>
      </c>
      <c r="AA1290" s="40"/>
      <c r="AB1290" s="2"/>
      <c r="AC1290" s="1044">
        <f t="shared" ref="AC1290:AI1290" si="571">H$20</f>
        <v>2019</v>
      </c>
      <c r="AD1290" s="1044">
        <f t="shared" si="571"/>
        <v>2020</v>
      </c>
      <c r="AE1290" s="1044">
        <f t="shared" si="571"/>
        <v>2021</v>
      </c>
      <c r="AF1290" s="1044">
        <f t="shared" si="571"/>
        <v>2022</v>
      </c>
      <c r="AG1290" s="1044">
        <f t="shared" si="571"/>
        <v>2023</v>
      </c>
      <c r="AH1290" s="1044">
        <f t="shared" si="571"/>
        <v>2024</v>
      </c>
      <c r="AI1290" s="1044">
        <f t="shared" si="571"/>
        <v>2025</v>
      </c>
      <c r="AJ1290" s="2"/>
      <c r="AK1290" s="2"/>
      <c r="AL1290" s="2"/>
    </row>
    <row r="1291" spans="1:38" ht="13" customHeight="1" thickBot="1" x14ac:dyDescent="0.3">
      <c r="A1291" s="2"/>
      <c r="B1291" s="19"/>
      <c r="C1291" s="19"/>
      <c r="D1291" s="175" t="s">
        <v>8</v>
      </c>
      <c r="E1291" s="915" t="str">
        <f>Translations!$B$538</f>
        <v>Mätbar värme som importeras från anläggningar utanför ETS:</v>
      </c>
      <c r="F1291" s="915"/>
      <c r="G1291" s="43" t="str">
        <f>EUconst_TJpa</f>
        <v>TJ / år</v>
      </c>
      <c r="H1291" s="260"/>
      <c r="I1291" s="670"/>
      <c r="J1291" s="671"/>
      <c r="K1291" s="260"/>
      <c r="L1291" s="260"/>
      <c r="M1291" s="260"/>
      <c r="N1291" s="260"/>
      <c r="O1291" s="15"/>
      <c r="P1291" s="1362"/>
      <c r="Q1291" s="108" t="str">
        <f>EUconst_CNTR_HAL&amp;EUconst_CNTR_nonETSMeasHeat</f>
        <v>HAL_mätbar värme utanför ETS</v>
      </c>
      <c r="R1291" s="2"/>
      <c r="S1291" s="553"/>
      <c r="T1291" s="1551" t="str">
        <f t="shared" ref="T1291:Z1291" si="572">IF(H1291="","",SUM(H1291)*EUconst_HeatBMvalue)</f>
        <v/>
      </c>
      <c r="U1291" s="1551" t="str">
        <f t="shared" si="572"/>
        <v/>
      </c>
      <c r="V1291" s="1551" t="str">
        <f t="shared" si="572"/>
        <v/>
      </c>
      <c r="W1291" s="1551" t="str">
        <f t="shared" si="572"/>
        <v/>
      </c>
      <c r="X1291" s="1551" t="str">
        <f t="shared" si="572"/>
        <v/>
      </c>
      <c r="Y1291" s="1551" t="str">
        <f t="shared" si="572"/>
        <v/>
      </c>
      <c r="Z1291" s="1551" t="str">
        <f t="shared" si="572"/>
        <v/>
      </c>
      <c r="AA1291" s="2"/>
      <c r="AB1291" s="672" t="s">
        <v>782</v>
      </c>
      <c r="AC1291" s="1755" t="b">
        <f t="shared" ref="AC1291:AI1291" si="573">IF(CNTR_ExistSubInstEntries,OR($I1221="",H1228&gt;=CNTR_ReportingYear,AC1290&lt;$V1221-1),FALSE)</f>
        <v>0</v>
      </c>
      <c r="AD1291" s="1042" t="b">
        <f t="shared" si="573"/>
        <v>0</v>
      </c>
      <c r="AE1291" s="1042" t="b">
        <f t="shared" si="573"/>
        <v>0</v>
      </c>
      <c r="AF1291" s="1042" t="b">
        <f t="shared" si="573"/>
        <v>0</v>
      </c>
      <c r="AG1291" s="1042" t="b">
        <f t="shared" si="573"/>
        <v>0</v>
      </c>
      <c r="AH1291" s="1042" t="b">
        <f t="shared" si="573"/>
        <v>0</v>
      </c>
      <c r="AI1291" s="1043" t="b">
        <f t="shared" si="573"/>
        <v>0</v>
      </c>
      <c r="AJ1291" s="553" t="s">
        <v>2248</v>
      </c>
      <c r="AK1291" s="663" t="str">
        <f>IF(AND(CNTR_ExistSubInstEntries,COUNTIFS(AC1291:AI1291,FALSE,H1291:N1291,"")&gt;0),EUconst_Error&amp;"BM"&amp;$Q1221,"")</f>
        <v/>
      </c>
      <c r="AL1291" s="2"/>
    </row>
    <row r="1292" spans="1:38" ht="25.5" customHeight="1" x14ac:dyDescent="0.25">
      <c r="A1292" s="2"/>
      <c r="B1292" s="19"/>
      <c r="C1292" s="19"/>
      <c r="D1292" s="175" t="s">
        <v>9</v>
      </c>
      <c r="E1292" s="916" t="str">
        <f>Translations!$B$539</f>
        <v>Konsekvenskontroll mot blad ”E_Energy flows”:</v>
      </c>
      <c r="F1292" s="916"/>
      <c r="G1292" s="549" t="s">
        <v>1113</v>
      </c>
      <c r="H1292" s="247" t="str">
        <f>IF(AND(ISNUMBER(H1291),ISNUMBER(E_EnergyFlows!H$114)), H1291/E_EnergyFlows!H$114*100,"")</f>
        <v/>
      </c>
      <c r="I1292" s="1015" t="str">
        <f>IF(AND(ISNUMBER(I1291),ISNUMBER(E_EnergyFlows!I$114)), I1291/E_EnergyFlows!I$114*100,"")</f>
        <v/>
      </c>
      <c r="J1292" s="1017" t="str">
        <f>IF(AND(ISNUMBER(J1291),ISNUMBER(E_EnergyFlows!J$114)), J1291/E_EnergyFlows!J$114*100,"")</f>
        <v/>
      </c>
      <c r="K1292" s="247" t="str">
        <f>IF(AND(ISNUMBER(K1291),ISNUMBER(E_EnergyFlows!K$114)), K1291/E_EnergyFlows!K$114*100,"")</f>
        <v/>
      </c>
      <c r="L1292" s="247" t="str">
        <f>IF(AND(ISNUMBER(L1291),ISNUMBER(E_EnergyFlows!L$114)), L1291/E_EnergyFlows!L$114*100,"")</f>
        <v/>
      </c>
      <c r="M1292" s="247" t="str">
        <f>IF(AND(ISNUMBER(M1291),ISNUMBER(E_EnergyFlows!M$114)), M1291/E_EnergyFlows!M$114*100,"")</f>
        <v/>
      </c>
      <c r="N1292" s="247" t="str">
        <f>IF(AND(ISNUMBER(N1291),ISNUMBER(E_EnergyFlows!N$114)), N1291/E_EnergyFlows!N$114*100,"")</f>
        <v/>
      </c>
      <c r="O1292" s="15"/>
      <c r="P1292" s="15"/>
      <c r="Q1292" s="152" t="str">
        <f>EUconst_CNTR_HEAT &amp; I1221</f>
        <v>HEAT_</v>
      </c>
      <c r="R1292" s="343"/>
      <c r="S1292" s="2"/>
      <c r="T1292" s="2"/>
      <c r="U1292" s="343"/>
      <c r="V1292" s="343"/>
      <c r="W1292" s="2"/>
      <c r="X1292" s="2"/>
      <c r="Y1292" s="2"/>
      <c r="Z1292" s="2"/>
      <c r="AA1292" s="2"/>
      <c r="AB1292" s="2"/>
      <c r="AC1292" s="2"/>
      <c r="AD1292" s="2"/>
      <c r="AE1292" s="2"/>
      <c r="AF1292" s="2"/>
      <c r="AG1292" s="2"/>
      <c r="AH1292" s="2"/>
      <c r="AI1292" s="2"/>
      <c r="AJ1292" s="2"/>
      <c r="AK1292" s="2"/>
      <c r="AL1292" s="2"/>
    </row>
    <row r="1293" spans="1:38" ht="12.65" customHeight="1" x14ac:dyDescent="0.25">
      <c r="A1293" s="2"/>
      <c r="B1293" s="19"/>
      <c r="C1293" s="19"/>
      <c r="D1293" s="175" t="s">
        <v>10</v>
      </c>
      <c r="E1293" s="1783" t="str">
        <f>Translations!$B$540</f>
        <v>Konsekvenskontroll mot punkt k.i:</v>
      </c>
      <c r="F1293" s="1035"/>
      <c r="G1293" s="919" t="s">
        <v>1113</v>
      </c>
      <c r="H1293" s="246" t="str">
        <f t="shared" ref="H1293:N1293" si="574">IF(AND(H1414&gt;0,ISNUMBER(H1291)), H1291/H1414*100,"")</f>
        <v/>
      </c>
      <c r="I1293" s="1016" t="str">
        <f t="shared" si="574"/>
        <v/>
      </c>
      <c r="J1293" s="1018" t="str">
        <f t="shared" si="574"/>
        <v/>
      </c>
      <c r="K1293" s="246" t="str">
        <f t="shared" si="574"/>
        <v/>
      </c>
      <c r="L1293" s="246" t="str">
        <f t="shared" si="574"/>
        <v/>
      </c>
      <c r="M1293" s="246" t="str">
        <f t="shared" si="574"/>
        <v/>
      </c>
      <c r="N1293" s="246" t="str">
        <f t="shared" si="574"/>
        <v/>
      </c>
      <c r="O1293" s="15"/>
      <c r="P1293" s="15"/>
      <c r="Q1293" s="2"/>
      <c r="R1293" s="2"/>
      <c r="S1293" s="2"/>
      <c r="T1293" s="2"/>
      <c r="U1293" s="343"/>
      <c r="V1293" s="343"/>
      <c r="W1293" s="2"/>
      <c r="X1293" s="2"/>
      <c r="Y1293" s="2"/>
      <c r="Z1293" s="2"/>
      <c r="AA1293" s="2"/>
      <c r="AB1293" s="2"/>
      <c r="AC1293" s="2"/>
      <c r="AD1293" s="2"/>
      <c r="AE1293" s="2"/>
      <c r="AF1293" s="2"/>
      <c r="AG1293" s="2"/>
      <c r="AH1293" s="2"/>
      <c r="AI1293" s="2"/>
      <c r="AJ1293" s="2"/>
      <c r="AK1293" s="2"/>
      <c r="AL1293" s="2"/>
    </row>
    <row r="1294" spans="1:38" ht="5.15" customHeight="1" x14ac:dyDescent="0.25">
      <c r="A1294" s="2"/>
      <c r="B1294" s="19"/>
      <c r="C1294" s="19"/>
      <c r="D1294" s="19"/>
      <c r="E1294" s="19"/>
      <c r="F1294" s="19"/>
      <c r="G1294" s="19"/>
      <c r="H1294" s="19"/>
      <c r="I1294" s="99"/>
      <c r="J1294" s="19"/>
      <c r="K1294" s="19"/>
      <c r="L1294" s="19"/>
      <c r="M1294" s="19"/>
      <c r="N1294" s="19"/>
      <c r="O1294" s="15"/>
      <c r="P1294" s="15"/>
      <c r="Q1294" s="130"/>
      <c r="R1294" s="2"/>
      <c r="S1294" s="2"/>
      <c r="T1294" s="2"/>
      <c r="U1294" s="343"/>
      <c r="V1294" s="343"/>
      <c r="W1294" s="2"/>
      <c r="X1294" s="2"/>
      <c r="Y1294" s="2"/>
      <c r="Z1294" s="2"/>
      <c r="AA1294" s="2"/>
      <c r="AB1294" s="2"/>
      <c r="AC1294" s="2"/>
      <c r="AD1294" s="2"/>
      <c r="AE1294" s="2"/>
      <c r="AF1294" s="2"/>
      <c r="AG1294" s="2"/>
      <c r="AH1294" s="2"/>
      <c r="AI1294" s="2"/>
      <c r="AJ1294" s="2"/>
      <c r="AK1294" s="2"/>
      <c r="AL1294" s="2"/>
    </row>
    <row r="1295" spans="1:38" ht="25.5" customHeight="1" thickBot="1" x14ac:dyDescent="0.3">
      <c r="A1295" s="2"/>
      <c r="B1295" s="178"/>
      <c r="C1295" s="178"/>
      <c r="D1295" s="15"/>
      <c r="E1295" s="2061" t="str">
        <f>Translations!$B$1479</f>
        <v>Baserat på uppgifterna ovan bestäms ett genomsnittligt årligt värde. Tilldelningen kommer endast att ändras om det relativa tröskelvärdet (15 % jämfört med värdet från de nationella genomförandeåtgärderna) och det absoluta tröskelvärdet (ändring leder till mer än 100 utsläppsrätter) överskrids, enligt artikel 6.4 i verksamhetsändringsförordningen.</v>
      </c>
      <c r="F1295" s="1963"/>
      <c r="G1295" s="1963"/>
      <c r="H1295" s="1963"/>
      <c r="I1295" s="1963"/>
      <c r="J1295" s="1963"/>
      <c r="K1295" s="1963"/>
      <c r="L1295" s="1963"/>
      <c r="M1295" s="1963"/>
      <c r="N1295" s="1963"/>
      <c r="O1295" s="15"/>
      <c r="P1295" s="15"/>
      <c r="Q1295" s="343"/>
      <c r="R1295" s="2"/>
      <c r="S1295" s="343"/>
      <c r="T1295" s="343"/>
      <c r="U1295" s="343"/>
      <c r="V1295" s="2"/>
      <c r="W1295" s="2"/>
      <c r="X1295" s="2"/>
      <c r="Y1295" s="2"/>
      <c r="Z1295" s="2"/>
      <c r="AA1295" s="2"/>
      <c r="AB1295" s="2"/>
      <c r="AC1295" s="2"/>
      <c r="AD1295" s="2"/>
      <c r="AE1295" s="2"/>
      <c r="AF1295" s="2"/>
      <c r="AG1295" s="2"/>
      <c r="AH1295" s="2"/>
      <c r="AI1295" s="2"/>
      <c r="AJ1295" s="2"/>
      <c r="AK1295" s="2"/>
      <c r="AL1295" s="2"/>
    </row>
    <row r="1296" spans="1:38" ht="5.15" customHeight="1" thickBot="1" x14ac:dyDescent="0.3">
      <c r="A1296" s="2"/>
      <c r="B1296" s="178"/>
      <c r="C1296" s="178"/>
      <c r="D1296" s="1238"/>
      <c r="E1296" s="1239"/>
      <c r="F1296" s="1240"/>
      <c r="G1296" s="1240"/>
      <c r="H1296" s="1240"/>
      <c r="I1296" s="1240"/>
      <c r="J1296" s="1240"/>
      <c r="K1296" s="1240"/>
      <c r="L1296" s="1240"/>
      <c r="M1296" s="1240"/>
      <c r="N1296" s="1241"/>
      <c r="O1296" s="15"/>
      <c r="P1296" s="15"/>
      <c r="Q1296" s="343"/>
      <c r="R1296" s="2"/>
      <c r="S1296" s="343"/>
      <c r="T1296" s="343"/>
      <c r="U1296" s="343"/>
      <c r="V1296" s="2"/>
      <c r="W1296" s="2"/>
      <c r="X1296" s="2"/>
      <c r="Y1296" s="2"/>
      <c r="Z1296" s="2"/>
      <c r="AA1296" s="2"/>
      <c r="AB1296" s="2"/>
      <c r="AC1296" s="2"/>
      <c r="AD1296" s="2"/>
      <c r="AE1296" s="2"/>
      <c r="AF1296" s="2"/>
      <c r="AG1296" s="2"/>
      <c r="AH1296" s="2"/>
      <c r="AI1296" s="2"/>
      <c r="AJ1296" s="2"/>
      <c r="AK1296" s="2"/>
      <c r="AL1296" s="2"/>
    </row>
    <row r="1297" spans="1:38" ht="12.75" customHeight="1" x14ac:dyDescent="0.25">
      <c r="A1297" s="2"/>
      <c r="B1297" s="178"/>
      <c r="C1297" s="178"/>
      <c r="D1297" s="1290" t="s">
        <v>2192</v>
      </c>
      <c r="E1297" s="1243" t="str">
        <f>Translations!$B$1483</f>
        <v>Justeringar: Värme från icke-ETS</v>
      </c>
      <c r="F1297" s="1244"/>
      <c r="G1297" s="1244"/>
      <c r="H1297" s="1228" t="str">
        <f>EUconst_Unit</f>
        <v>Enhet</v>
      </c>
      <c r="I1297" s="1229" t="str">
        <f>Translations!$B$1481</f>
        <v>Värde (NIMs)</v>
      </c>
      <c r="J1297" s="1268">
        <f>J$3042</f>
        <v>2021</v>
      </c>
      <c r="K1297" s="1230">
        <f>K$3042</f>
        <v>2022</v>
      </c>
      <c r="L1297" s="1230">
        <f>L$3042</f>
        <v>2023</v>
      </c>
      <c r="M1297" s="1230">
        <f>M$3042</f>
        <v>2024</v>
      </c>
      <c r="N1297" s="1258">
        <f>N$3042</f>
        <v>2025</v>
      </c>
      <c r="O1297" s="15"/>
      <c r="P1297" s="15"/>
      <c r="Q1297" s="343"/>
      <c r="R1297" s="2"/>
      <c r="S1297" s="2"/>
      <c r="T1297" s="2"/>
      <c r="U1297" s="772"/>
      <c r="V1297" s="1077">
        <f>J1297</f>
        <v>2021</v>
      </c>
      <c r="W1297" s="1077">
        <f>K1297</f>
        <v>2022</v>
      </c>
      <c r="X1297" s="1077">
        <f>L1297</f>
        <v>2023</v>
      </c>
      <c r="Y1297" s="1077">
        <f>M1297</f>
        <v>2024</v>
      </c>
      <c r="Z1297" s="1078">
        <f>N1297</f>
        <v>2025</v>
      </c>
      <c r="AA1297" s="2"/>
      <c r="AB1297" s="2"/>
      <c r="AC1297" s="2"/>
      <c r="AD1297" s="2"/>
      <c r="AE1297" s="2"/>
      <c r="AF1297" s="2"/>
      <c r="AG1297" s="2"/>
      <c r="AH1297" s="2"/>
      <c r="AI1297" s="2"/>
      <c r="AJ1297" s="2"/>
      <c r="AK1297" s="2"/>
      <c r="AL1297" s="2"/>
    </row>
    <row r="1298" spans="1:38" ht="12.75" customHeight="1" x14ac:dyDescent="0.25">
      <c r="A1298" s="2"/>
      <c r="B1298" s="178"/>
      <c r="C1298" s="178"/>
      <c r="D1298" s="1246" t="s">
        <v>8</v>
      </c>
      <c r="E1298" s="1231" t="str">
        <f>Translations!$B$1482</f>
        <v>Genomsnittligt årligt värde</v>
      </c>
      <c r="F1298" s="1231"/>
      <c r="G1298" s="1231"/>
      <c r="H1298" s="1232" t="str">
        <f>EUconst_tCO2</f>
        <v>t CO2</v>
      </c>
      <c r="I1298" s="990" t="str">
        <f>INDEX('B+C_SubInstallations'!$J:$J,MATCH(Q1298,'B+C_SubInstallations'!$U:$U,0))</f>
        <v/>
      </c>
      <c r="J1298" s="1215" t="str">
        <f>IF(AND(V1298&gt;=3,CNTR_ReportingYear&gt;J1297-1),AVERAGE(SUM(T1291),SUM(U1291)),"")</f>
        <v/>
      </c>
      <c r="K1298" s="1216" t="str">
        <f>IF(AND(W1298&gt;=3,CNTR_ReportingYear&gt;K1297-1),AVERAGE(SUM(U1291),SUM(V1291)),"")</f>
        <v/>
      </c>
      <c r="L1298" s="1216" t="str">
        <f>IF(AND(X1298&gt;=3,CNTR_ReportingYear&gt;L1297-1),AVERAGE(SUM(V1291),SUM(W1291)),"")</f>
        <v/>
      </c>
      <c r="M1298" s="1216" t="str">
        <f>IF(AND(Y1298&gt;=3,CNTR_ReportingYear&gt;M1297-1),AVERAGE(SUM(W1291),SUM(X1291)),"")</f>
        <v/>
      </c>
      <c r="N1298" s="1227" t="str">
        <f>IF(AND(Z1298&gt;=3,CNTR_ReportingYear&gt;N1297-1),AVERAGE(SUM(X1291),SUM(Y1291)),"")</f>
        <v/>
      </c>
      <c r="O1298" s="15"/>
      <c r="P1298" s="15"/>
      <c r="Q1298" s="1217" t="str">
        <f>EUconst_CNTR_HEATInitial &amp; I1221</f>
        <v>HEATIni_</v>
      </c>
      <c r="R1298" s="2"/>
      <c r="S1298" s="2"/>
      <c r="T1298" s="2"/>
      <c r="U1298" s="1086" t="s">
        <v>1850</v>
      </c>
      <c r="V1298" s="663">
        <f>V1243</f>
        <v>0</v>
      </c>
      <c r="W1298" s="663">
        <f>W1243</f>
        <v>0</v>
      </c>
      <c r="X1298" s="663">
        <f>X1243</f>
        <v>0</v>
      </c>
      <c r="Y1298" s="663">
        <f>Y1243</f>
        <v>0</v>
      </c>
      <c r="Z1298" s="1080">
        <f>Z1243</f>
        <v>0</v>
      </c>
      <c r="AA1298" s="2"/>
      <c r="AB1298" s="2"/>
      <c r="AC1298" s="2"/>
      <c r="AD1298" s="2"/>
      <c r="AE1298" s="2"/>
      <c r="AF1298" s="2"/>
      <c r="AG1298" s="2"/>
      <c r="AH1298" s="2"/>
      <c r="AI1298" s="2"/>
      <c r="AJ1298" s="2"/>
      <c r="AK1298" s="2"/>
      <c r="AL1298" s="2"/>
    </row>
    <row r="1299" spans="1:38" ht="12.75" hidden="1" customHeight="1" x14ac:dyDescent="0.25">
      <c r="A1299" s="343" t="s">
        <v>346</v>
      </c>
      <c r="B1299" s="178"/>
      <c r="C1299" s="178"/>
      <c r="D1299" s="1246"/>
      <c r="E1299" s="1231" t="s">
        <v>1980</v>
      </c>
      <c r="F1299" s="1231"/>
      <c r="G1299" s="1231"/>
      <c r="H1299" s="1233"/>
      <c r="I1299" s="1235"/>
      <c r="J1299" s="1013" t="str">
        <f>IF(J1298="","",IF($I1301=0,IF(J1298=0,0%,100%),J1298/$I1301-1))</f>
        <v/>
      </c>
      <c r="K1299" s="938" t="str">
        <f>IF(K1298="","",IF($I1301=0,IF(K1298=0,0%,100%),K1298/$I1301-1))</f>
        <v/>
      </c>
      <c r="L1299" s="938" t="str">
        <f>IF(L1298="","",IF($I1301=0,IF(L1298=0,0%,100%),L1298/$I1301-1))</f>
        <v/>
      </c>
      <c r="M1299" s="938" t="str">
        <f>IF(M1298="","",IF($I1301=0,IF(M1298=0,0%,100%),M1298/$I1301-1))</f>
        <v/>
      </c>
      <c r="N1299" s="1223" t="str">
        <f>IF(N1298="","",IF($I1301=0,IF(N1298=0,0%,100%),N1298/$I1301-1))</f>
        <v/>
      </c>
      <c r="O1299" s="15"/>
      <c r="P1299" s="15"/>
      <c r="Q1299" s="165" t="str">
        <f>EUconst_CNTR_RelThreshold &amp; Q1301</f>
        <v>RelThresh_HEATprelim_</v>
      </c>
      <c r="R1299" s="2"/>
      <c r="S1299" s="2"/>
      <c r="T1299" s="2"/>
      <c r="U1299" s="1086" t="s">
        <v>1855</v>
      </c>
      <c r="V1299" s="603" t="str">
        <f>IF(J1298="","",ABS(J1299)&gt;15%)</f>
        <v/>
      </c>
      <c r="W1299" s="603" t="str">
        <f>IF(K1298="","",ABS(K1299)&gt;15%)</f>
        <v/>
      </c>
      <c r="X1299" s="603" t="str">
        <f>IF(L1298="","",ABS(L1299)&gt;15%)</f>
        <v/>
      </c>
      <c r="Y1299" s="603" t="str">
        <f>IF(M1298="","",ABS(M1299)&gt;15%)</f>
        <v/>
      </c>
      <c r="Z1299" s="1756" t="str">
        <f>IF(N1298="","",ABS(N1299)&gt;15%)</f>
        <v/>
      </c>
      <c r="AA1299" s="2"/>
      <c r="AB1299" s="2"/>
      <c r="AC1299" s="2"/>
      <c r="AD1299" s="2"/>
      <c r="AE1299" s="2"/>
      <c r="AF1299" s="2"/>
      <c r="AG1299" s="2"/>
      <c r="AH1299" s="2"/>
      <c r="AI1299" s="2"/>
      <c r="AJ1299" s="2"/>
      <c r="AK1299" s="2"/>
      <c r="AL1299" s="2"/>
    </row>
    <row r="1300" spans="1:38" ht="12.75" customHeight="1" x14ac:dyDescent="0.25">
      <c r="A1300" s="343"/>
      <c r="B1300" s="178"/>
      <c r="C1300" s="178"/>
      <c r="D1300" s="1246" t="s">
        <v>9</v>
      </c>
      <c r="E1300" s="1231" t="str">
        <f>Translations!$B$1474</f>
        <v>Preliminär justering (om relativa tröskelvärden överskrids)</v>
      </c>
      <c r="F1300" s="1231"/>
      <c r="G1300" s="1231"/>
      <c r="H1300" s="1233"/>
      <c r="I1300" s="1235"/>
      <c r="J1300" s="992" t="str">
        <f>IF(J1298="","",IF(V1299=FALSE,0%,J1299))</f>
        <v/>
      </c>
      <c r="K1300" s="937" t="str">
        <f>IF(K1298="","",IF(W1299=FALSE,0%,K1299))</f>
        <v/>
      </c>
      <c r="L1300" s="937" t="str">
        <f>IF(L1298="","",IF(X1299=FALSE,0%,L1299))</f>
        <v/>
      </c>
      <c r="M1300" s="937" t="str">
        <f>IF(M1298="","",IF(Y1299=FALSE,0%,M1299))</f>
        <v/>
      </c>
      <c r="N1300" s="1220" t="str">
        <f>IF(N1298="","",IF(Z1299=FALSE,0%,N1299))</f>
        <v/>
      </c>
      <c r="O1300" s="15"/>
      <c r="P1300" s="15"/>
      <c r="Q1300" s="343"/>
      <c r="R1300" s="2"/>
      <c r="S1300" s="2"/>
      <c r="T1300" s="2"/>
      <c r="U1300" s="584"/>
      <c r="V1300" s="2"/>
      <c r="W1300" s="2"/>
      <c r="X1300" s="2"/>
      <c r="Y1300" s="2"/>
      <c r="Z1300" s="228"/>
      <c r="AA1300" s="2"/>
      <c r="AB1300" s="2"/>
      <c r="AC1300" s="2"/>
      <c r="AD1300" s="2"/>
      <c r="AE1300" s="2"/>
      <c r="AF1300" s="2"/>
      <c r="AG1300" s="2"/>
      <c r="AH1300" s="2"/>
      <c r="AI1300" s="2"/>
      <c r="AJ1300" s="2"/>
      <c r="AK1300" s="2"/>
      <c r="AL1300" s="343"/>
    </row>
    <row r="1301" spans="1:38" ht="12.75" hidden="1" customHeight="1" x14ac:dyDescent="0.25">
      <c r="A1301" s="343" t="s">
        <v>346</v>
      </c>
      <c r="B1301" s="178"/>
      <c r="C1301" s="178"/>
      <c r="D1301" s="1246"/>
      <c r="E1301" s="1231" t="s">
        <v>1889</v>
      </c>
      <c r="F1301" s="1231"/>
      <c r="G1301" s="1231"/>
      <c r="H1301" s="1232" t="str">
        <f>H1298</f>
        <v>t CO2</v>
      </c>
      <c r="I1301" s="990" t="str">
        <f>IF($I1221="","",IF(AB1221=FALSE,EUconst_NA,IF(V1221&gt;($J$3042-3),SUM(INDEX(H1291:N1291,MATCH(V1221,H1290:N1290,0))*EUconst_HeatBMvalue),SUM(I1298))))</f>
        <v/>
      </c>
      <c r="J1301" s="993" t="str">
        <f>IF($I1221="","",IF(V1298&lt;2,SUM(V1291),IF(V1298&lt;3,SUM(U1291),IF(V1301="",I1301,V1301))))</f>
        <v/>
      </c>
      <c r="K1301" s="920" t="str">
        <f>IF($I1221="","",IF(W1298&lt;2,SUM(W1291),IF(W1298&lt;3,SUM(V1291),IF(W1301="",J1301,W1301))))</f>
        <v/>
      </c>
      <c r="L1301" s="920" t="str">
        <f>IF($I1221="","",IF(X1298&lt;2,SUM(X1291),IF(X1298&lt;3,SUM(W1291),IF(X1301="",K1301,X1301))))</f>
        <v/>
      </c>
      <c r="M1301" s="920" t="str">
        <f>IF($I1221="","",IF(Y1298&lt;2,SUM(Y1291),IF(Y1298&lt;3,SUM(X1291),IF(Y1301="",L1301,Y1301))))</f>
        <v/>
      </c>
      <c r="N1301" s="1218" t="str">
        <f>IF($I1221="","",IF(Z1298&lt;2,SUM(Z1291),IF(Z1298&lt;3,SUM(Y1291),IF(Z1301="",M1301,Z1301))))</f>
        <v/>
      </c>
      <c r="O1301" s="15"/>
      <c r="P1301" s="15"/>
      <c r="Q1301" s="165" t="str">
        <f>EUconst_CNTR_HEATprelim &amp; I1221</f>
        <v>HEATprelim_</v>
      </c>
      <c r="R1301" s="2"/>
      <c r="S1301" s="2"/>
      <c r="T1301" s="2"/>
      <c r="U1301" s="1086" t="s">
        <v>1898</v>
      </c>
      <c r="V1301" s="1754" t="str">
        <f>IF(J1298="","",IF(CNTR_ReportingYear&lt;J1297,I1300,IF($I1301=0,J1298,$I1301*(1+J1300))))</f>
        <v/>
      </c>
      <c r="W1301" s="1754" t="str">
        <f>IF(K1298="","",IF(CNTR_ReportingYear&lt;K1297,J1300,IF($I1301=0,K1298,$I1301*(1+K1300))))</f>
        <v/>
      </c>
      <c r="X1301" s="1754" t="str">
        <f>IF(L1298="","",IF(CNTR_ReportingYear&lt;L1297,K1300,IF($I1301=0,L1298,$I1301*(1+L1300))))</f>
        <v/>
      </c>
      <c r="Y1301" s="1754" t="str">
        <f>IF(M1298="","",IF(CNTR_ReportingYear&lt;M1297,L1300,IF($I1301=0,M1298,$I1301*(1+M1300))))</f>
        <v/>
      </c>
      <c r="Z1301" s="1759" t="str">
        <f>IF(N1298="","",IF(CNTR_ReportingYear&lt;N1297,M1300,IF($I1301=0,N1298,$I1301*(1+N1300))))</f>
        <v/>
      </c>
      <c r="AA1301" s="2"/>
      <c r="AB1301" s="2"/>
      <c r="AC1301" s="2"/>
      <c r="AD1301" s="2"/>
      <c r="AE1301" s="2"/>
      <c r="AF1301" s="2"/>
      <c r="AG1301" s="2"/>
      <c r="AH1301" s="2"/>
      <c r="AI1301" s="2"/>
      <c r="AJ1301" s="2"/>
      <c r="AK1301" s="2"/>
      <c r="AL1301" s="343"/>
    </row>
    <row r="1302" spans="1:38" ht="5.15" customHeight="1" x14ac:dyDescent="0.25">
      <c r="A1302" s="343"/>
      <c r="B1302" s="178"/>
      <c r="C1302" s="178"/>
      <c r="D1302" s="1246"/>
      <c r="E1302" s="1244"/>
      <c r="F1302" s="1244"/>
      <c r="G1302" s="1244"/>
      <c r="H1302" s="1244"/>
      <c r="I1302" s="1244"/>
      <c r="J1302" s="1236"/>
      <c r="K1302" s="1236"/>
      <c r="L1302" s="1236"/>
      <c r="M1302" s="1236"/>
      <c r="N1302" s="1247"/>
      <c r="O1302" s="15"/>
      <c r="P1302" s="15"/>
      <c r="Q1302" s="343"/>
      <c r="R1302" s="2"/>
      <c r="S1302" s="2"/>
      <c r="T1302" s="2"/>
      <c r="U1302" s="1086"/>
      <c r="V1302" s="343"/>
      <c r="W1302" s="2"/>
      <c r="X1302" s="2"/>
      <c r="Y1302" s="2"/>
      <c r="Z1302" s="228"/>
      <c r="AA1302" s="2"/>
      <c r="AB1302" s="2"/>
      <c r="AC1302" s="2"/>
      <c r="AD1302" s="2"/>
      <c r="AE1302" s="2"/>
      <c r="AF1302" s="2"/>
      <c r="AG1302" s="2"/>
      <c r="AH1302" s="2"/>
      <c r="AI1302" s="2"/>
      <c r="AJ1302" s="2"/>
      <c r="AK1302" s="2"/>
      <c r="AL1302" s="343"/>
    </row>
    <row r="1303" spans="1:38" ht="12.75" customHeight="1" x14ac:dyDescent="0.25">
      <c r="A1303" s="343"/>
      <c r="B1303" s="178"/>
      <c r="C1303" s="178"/>
      <c r="D1303" s="1246"/>
      <c r="E1303" s="1234" t="str">
        <f>Translations!$B$1475</f>
        <v>Faktisk justering (grund för följande år)</v>
      </c>
      <c r="F1303" s="1234"/>
      <c r="G1303" s="1234"/>
      <c r="H1303" s="1234"/>
      <c r="I1303" s="1234"/>
      <c r="J1303" s="1268">
        <f>J$3042</f>
        <v>2021</v>
      </c>
      <c r="K1303" s="1230">
        <f>K$3042</f>
        <v>2022</v>
      </c>
      <c r="L1303" s="1230">
        <f>L$3042</f>
        <v>2023</v>
      </c>
      <c r="M1303" s="1230">
        <f>M$3042</f>
        <v>2024</v>
      </c>
      <c r="N1303" s="1258">
        <f>N$3042</f>
        <v>2025</v>
      </c>
      <c r="O1303" s="15"/>
      <c r="P1303" s="15"/>
      <c r="Q1303" s="343"/>
      <c r="R1303" s="2"/>
      <c r="S1303" s="2"/>
      <c r="T1303" s="2"/>
      <c r="U1303" s="584"/>
      <c r="V1303" s="2"/>
      <c r="W1303" s="2"/>
      <c r="X1303" s="2"/>
      <c r="Y1303" s="2"/>
      <c r="Z1303" s="228"/>
      <c r="AA1303" s="2"/>
      <c r="AB1303" s="2"/>
      <c r="AC1303" s="2"/>
      <c r="AD1303" s="2"/>
      <c r="AE1303" s="2"/>
      <c r="AF1303" s="2"/>
      <c r="AG1303" s="2"/>
      <c r="AH1303" s="2"/>
      <c r="AI1303" s="2"/>
      <c r="AJ1303" s="2"/>
      <c r="AK1303" s="2"/>
      <c r="AL1303" s="343"/>
    </row>
    <row r="1304" spans="1:38" ht="12.75" customHeight="1" x14ac:dyDescent="0.25">
      <c r="A1304" s="343"/>
      <c r="B1304" s="178"/>
      <c r="C1304" s="178"/>
      <c r="D1304" s="1246" t="s">
        <v>10</v>
      </c>
      <c r="E1304" s="1231" t="str">
        <f>Translations!$B$1476</f>
        <v>&gt;= 100 utsläppsrätter kriterium uppnått?</v>
      </c>
      <c r="F1304" s="1231"/>
      <c r="G1304" s="1231"/>
      <c r="H1304" s="1231"/>
      <c r="I1304" s="1231"/>
      <c r="J1304" s="994" t="str">
        <f>IF($I1221="","",INDEX(K_Summary!J:J,MATCH($Q1304,K_Summary!$P:$P,0)))</f>
        <v/>
      </c>
      <c r="K1304" s="912" t="str">
        <f>IF($I1221="","",INDEX(K_Summary!K:K,MATCH($Q1304,K_Summary!$P:$P,0)))</f>
        <v/>
      </c>
      <c r="L1304" s="912" t="str">
        <f>IF($I1221="","",INDEX(K_Summary!L:L,MATCH($Q1304,K_Summary!$P:$P,0)))</f>
        <v/>
      </c>
      <c r="M1304" s="912" t="str">
        <f>IF($I1221="","",INDEX(K_Summary!M:M,MATCH($Q1304,K_Summary!$P:$P,0)))</f>
        <v/>
      </c>
      <c r="N1304" s="1221" t="str">
        <f>IF($I1221="","",INDEX(K_Summary!N:N,MATCH($Q1304,K_Summary!$P:$P,0)))</f>
        <v/>
      </c>
      <c r="O1304" s="15"/>
      <c r="P1304" s="15"/>
      <c r="Q1304" s="165" t="str">
        <f>EUconst_CNTR_100EUA_HEAT&amp;I1221</f>
        <v>EUA100HEAT_</v>
      </c>
      <c r="R1304" s="2"/>
      <c r="S1304" s="2"/>
      <c r="T1304" s="2"/>
      <c r="U1304" s="584"/>
      <c r="V1304" s="2"/>
      <c r="W1304" s="2"/>
      <c r="X1304" s="2"/>
      <c r="Y1304" s="2"/>
      <c r="Z1304" s="228"/>
      <c r="AA1304" s="2"/>
      <c r="AB1304" s="2"/>
      <c r="AC1304" s="2"/>
      <c r="AD1304" s="2"/>
      <c r="AE1304" s="2"/>
      <c r="AF1304" s="2"/>
      <c r="AG1304" s="2"/>
      <c r="AH1304" s="2"/>
      <c r="AI1304" s="2"/>
      <c r="AJ1304" s="2"/>
      <c r="AK1304" s="2"/>
      <c r="AL1304" s="343"/>
    </row>
    <row r="1305" spans="1:38" ht="5.15" customHeight="1" thickBot="1" x14ac:dyDescent="0.3">
      <c r="A1305" s="343"/>
      <c r="B1305" s="178"/>
      <c r="C1305" s="178"/>
      <c r="D1305" s="1246"/>
      <c r="E1305" s="1244"/>
      <c r="F1305" s="1244"/>
      <c r="G1305" s="1244"/>
      <c r="H1305" s="1244"/>
      <c r="I1305" s="1244"/>
      <c r="J1305" s="1244"/>
      <c r="K1305" s="1244"/>
      <c r="L1305" s="1244"/>
      <c r="M1305" s="1244"/>
      <c r="N1305" s="1248"/>
      <c r="O1305" s="15"/>
      <c r="P1305" s="15"/>
      <c r="Q1305" s="343"/>
      <c r="R1305" s="2"/>
      <c r="S1305" s="2"/>
      <c r="T1305" s="2"/>
      <c r="U1305" s="1086"/>
      <c r="V1305" s="343"/>
      <c r="W1305" s="2"/>
      <c r="X1305" s="2"/>
      <c r="Y1305" s="2"/>
      <c r="Z1305" s="228"/>
      <c r="AA1305" s="2"/>
      <c r="AB1305" s="2"/>
      <c r="AC1305" s="2"/>
      <c r="AD1305" s="2"/>
      <c r="AE1305" s="2"/>
      <c r="AF1305" s="2"/>
      <c r="AG1305" s="2"/>
      <c r="AH1305" s="2"/>
      <c r="AI1305" s="2"/>
      <c r="AJ1305" s="2"/>
      <c r="AK1305" s="2"/>
      <c r="AL1305" s="343"/>
    </row>
    <row r="1306" spans="1:38" ht="12.75" customHeight="1" thickBot="1" x14ac:dyDescent="0.3">
      <c r="A1306" s="2"/>
      <c r="B1306" s="178"/>
      <c r="C1306" s="178"/>
      <c r="D1306" s="1246" t="s">
        <v>23</v>
      </c>
      <c r="E1306" s="1231" t="str">
        <f>Translations!$B$1477</f>
        <v>Faktisk justering (om alla tröskelvärden överskrids)</v>
      </c>
      <c r="F1306" s="1231"/>
      <c r="G1306" s="1231"/>
      <c r="H1306" s="1233"/>
      <c r="I1306" s="1237"/>
      <c r="J1306" s="1099" t="str">
        <f>IF(J1304="","",IF(OR(J1304,V1298&lt;1),J1300,I1306))</f>
        <v/>
      </c>
      <c r="K1306" s="1100" t="str">
        <f>IF(K1304="","",IF(OR(K1304,W1298&lt;1),K1300,J1306))</f>
        <v/>
      </c>
      <c r="L1306" s="1100" t="str">
        <f>IF(L1304="","",IF(OR(L1304,X1298&lt;1),L1300,K1306))</f>
        <v/>
      </c>
      <c r="M1306" s="1100" t="str">
        <f>IF(M1304="","",IF(OR(M1304,Y1298&lt;1),M1300,L1306))</f>
        <v/>
      </c>
      <c r="N1306" s="1101" t="str">
        <f>IF(N1304="","",IF(OR(N1304,Z1298&lt;1),N1300,M1306))</f>
        <v/>
      </c>
      <c r="O1306" s="15"/>
      <c r="P1306" s="15"/>
      <c r="Q1306" s="343"/>
      <c r="R1306" s="2"/>
      <c r="S1306" s="2"/>
      <c r="T1306" s="2"/>
      <c r="U1306" s="1086" t="s">
        <v>1858</v>
      </c>
      <c r="V1306" s="1068">
        <f>J1303</f>
        <v>2021</v>
      </c>
      <c r="W1306" s="1068">
        <f>K1303</f>
        <v>2022</v>
      </c>
      <c r="X1306" s="1068">
        <f>L1303</f>
        <v>2023</v>
      </c>
      <c r="Y1306" s="1068">
        <f>M1303</f>
        <v>2024</v>
      </c>
      <c r="Z1306" s="1087">
        <f>N1303</f>
        <v>2025</v>
      </c>
      <c r="AA1306" s="2"/>
      <c r="AB1306" s="2"/>
      <c r="AC1306" s="2"/>
      <c r="AD1306" s="2"/>
      <c r="AE1306" s="2"/>
      <c r="AF1306" s="2"/>
      <c r="AG1306" s="2"/>
      <c r="AH1306" s="2"/>
      <c r="AI1306" s="2"/>
      <c r="AJ1306" s="2"/>
      <c r="AK1306" s="2"/>
      <c r="AL1306" s="343"/>
    </row>
    <row r="1307" spans="1:38" ht="12.75" customHeight="1" thickBot="1" x14ac:dyDescent="0.3">
      <c r="A1307" s="343"/>
      <c r="B1307" s="178"/>
      <c r="C1307" s="178"/>
      <c r="D1307" s="1246" t="s">
        <v>859</v>
      </c>
      <c r="E1307" s="1231" t="str">
        <f>Translations!$B$1478</f>
        <v>Faktiskt värde</v>
      </c>
      <c r="F1307" s="1231"/>
      <c r="G1307" s="1231"/>
      <c r="H1307" s="1232" t="str">
        <f>H1298</f>
        <v>t CO2</v>
      </c>
      <c r="I1307" s="990" t="str">
        <f>I1301</f>
        <v/>
      </c>
      <c r="J1307" s="1072" t="str">
        <f>IF($I1221="","",IF(OR($I1307=0,$I1307=EUconst_NA,J1306=""),IF(OR(J1304=TRUE,J1303&lt;=$V1221),J1301,SUM(I1307)),$I1307*(1+SUM(J1306))))</f>
        <v/>
      </c>
      <c r="K1307" s="1073" t="str">
        <f>IF($I1221="","",IF(OR($I1307=0,$I1307=EUconst_NA,K1306=""),IF(OR(K1304=TRUE,K1303&lt;=$V1221),K1301,SUM(J1307)),$I1307*(1+SUM(K1306))))</f>
        <v/>
      </c>
      <c r="L1307" s="1073" t="str">
        <f>IF($I1221="","",IF(OR($I1307=0,$I1307=EUconst_NA,L1306=""),IF(OR(L1304=TRUE,L1303&lt;=$V1221),L1301,SUM(K1307)),$I1307*(1+SUM(L1306))))</f>
        <v/>
      </c>
      <c r="M1307" s="1073" t="str">
        <f>IF($I1221="","",IF(OR($I1307=0,$I1307=EUconst_NA,M1306=""),IF(OR(M1304=TRUE,M1303&lt;=$V1221),M1301,SUM(L1307)),$I1307*(1+SUM(M1306))))</f>
        <v/>
      </c>
      <c r="N1307" s="1074" t="str">
        <f>IF($I1221="","",IF(OR($I1307=0,$I1307=EUconst_NA,N1306=""),IF(OR(N1304=TRUE,N1303&lt;=$V1221),N1301,SUM(M1307)),$I1307*(1+SUM(N1306))))</f>
        <v/>
      </c>
      <c r="O1307" s="15"/>
      <c r="P1307" s="15"/>
      <c r="Q1307" s="165" t="str">
        <f>EUconst_CNTR_HEATfinal &amp; I1221</f>
        <v>HEATfinal_</v>
      </c>
      <c r="R1307" s="2"/>
      <c r="S1307" s="2"/>
      <c r="T1307" s="2"/>
      <c r="U1307" s="1765" t="b">
        <v>0</v>
      </c>
      <c r="V1307" s="1757" t="str">
        <f>IF(V1229,IF(J1304=TRUE,V1299,U1307),"")</f>
        <v/>
      </c>
      <c r="W1307" s="1757" t="str">
        <f>IF(W1229,IF(K1304=TRUE,W1299,V1307),"")</f>
        <v/>
      </c>
      <c r="X1307" s="1757" t="str">
        <f>IF(X1229,IF(L1304=TRUE,X1299,W1307),"")</f>
        <v/>
      </c>
      <c r="Y1307" s="1757" t="str">
        <f>IF(Y1229,IF(M1304=TRUE,Y1299,X1307),"")</f>
        <v/>
      </c>
      <c r="Z1307" s="1758" t="str">
        <f>IF(Z1229,IF(N1304=TRUE,Z1299,Y1307),"")</f>
        <v/>
      </c>
      <c r="AA1307" s="2"/>
      <c r="AB1307" s="2"/>
      <c r="AC1307" s="2"/>
      <c r="AD1307" s="2"/>
      <c r="AE1307" s="2"/>
      <c r="AF1307" s="2"/>
      <c r="AG1307" s="2"/>
      <c r="AH1307" s="2"/>
      <c r="AI1307" s="2"/>
      <c r="AJ1307" s="553" t="s">
        <v>2242</v>
      </c>
      <c r="AK1307" s="108" t="str">
        <f>IF(OR(ISERROR(J1307),ISERROR(K1307),ISERROR(L1307),ISERROR(M1307),ISERROR(N1307)),EUconst_Error &amp; "BM" &amp; Q1221,"")</f>
        <v/>
      </c>
      <c r="AL1307" s="2"/>
    </row>
    <row r="1308" spans="1:38" ht="5.15" customHeight="1" thickBot="1" x14ac:dyDescent="0.3">
      <c r="A1308" s="2"/>
      <c r="B1308" s="19"/>
      <c r="C1308" s="19"/>
      <c r="D1308" s="1274"/>
      <c r="E1308" s="1275"/>
      <c r="F1308" s="1275"/>
      <c r="G1308" s="1275"/>
      <c r="H1308" s="1275"/>
      <c r="I1308" s="1276"/>
      <c r="J1308" s="1275"/>
      <c r="K1308" s="1275"/>
      <c r="L1308" s="1275"/>
      <c r="M1308" s="1275"/>
      <c r="N1308" s="1277"/>
      <c r="O1308" s="15"/>
      <c r="P1308" s="15"/>
      <c r="Q1308" s="130"/>
      <c r="R1308" s="2"/>
      <c r="S1308" s="343"/>
      <c r="T1308" s="343"/>
      <c r="U1308" s="2"/>
      <c r="V1308" s="2"/>
      <c r="W1308" s="2"/>
      <c r="X1308" s="2"/>
      <c r="Y1308" s="2"/>
      <c r="Z1308" s="2"/>
      <c r="AA1308" s="2"/>
      <c r="AB1308" s="2"/>
      <c r="AC1308" s="2"/>
      <c r="AD1308" s="2"/>
      <c r="AE1308" s="2"/>
      <c r="AF1308" s="2"/>
      <c r="AG1308" s="2"/>
      <c r="AH1308" s="2"/>
      <c r="AI1308" s="2"/>
      <c r="AJ1308" s="2"/>
      <c r="AK1308" s="2"/>
      <c r="AL1308" s="2"/>
    </row>
    <row r="1309" spans="1:38" ht="5.15" customHeight="1" x14ac:dyDescent="0.25">
      <c r="A1309" s="2"/>
      <c r="B1309" s="19"/>
      <c r="C1309" s="19"/>
      <c r="D1309" s="19"/>
      <c r="E1309" s="19"/>
      <c r="F1309" s="19"/>
      <c r="G1309" s="19"/>
      <c r="H1309" s="19"/>
      <c r="I1309" s="99"/>
      <c r="J1309" s="19"/>
      <c r="K1309" s="19"/>
      <c r="L1309" s="19"/>
      <c r="M1309" s="19"/>
      <c r="N1309" s="19"/>
      <c r="O1309" s="15"/>
      <c r="P1309" s="15"/>
      <c r="Q1309" s="130"/>
      <c r="R1309" s="2"/>
      <c r="S1309" s="343"/>
      <c r="T1309" s="343"/>
      <c r="U1309" s="2"/>
      <c r="V1309" s="2"/>
      <c r="W1309" s="2"/>
      <c r="X1309" s="2"/>
      <c r="Y1309" s="2"/>
      <c r="Z1309" s="2"/>
      <c r="AA1309" s="2"/>
      <c r="AB1309" s="2"/>
      <c r="AC1309" s="2"/>
      <c r="AD1309" s="2"/>
      <c r="AE1309" s="2"/>
      <c r="AF1309" s="2"/>
      <c r="AG1309" s="2"/>
      <c r="AH1309" s="2"/>
      <c r="AI1309" s="2"/>
      <c r="AJ1309" s="2"/>
      <c r="AK1309" s="2"/>
      <c r="AL1309" s="2"/>
    </row>
    <row r="1310" spans="1:38" ht="15" customHeight="1" x14ac:dyDescent="0.25">
      <c r="A1310" s="2"/>
      <c r="B1310" s="19"/>
      <c r="C1310" s="619"/>
      <c r="D1310" s="2053" t="str">
        <f>Translations!$B$541</f>
        <v>Produktionsuppgifter</v>
      </c>
      <c r="E1310" s="1963"/>
      <c r="F1310" s="1963"/>
      <c r="G1310" s="1963"/>
      <c r="H1310" s="1963"/>
      <c r="I1310" s="1963"/>
      <c r="J1310" s="1963"/>
      <c r="K1310" s="1963"/>
      <c r="L1310" s="1963"/>
      <c r="M1310" s="1963"/>
      <c r="N1310" s="1963"/>
      <c r="O1310" s="15"/>
      <c r="P1310" s="15"/>
      <c r="Q1310" s="2"/>
      <c r="R1310" s="2"/>
      <c r="S1310" s="343"/>
      <c r="T1310" s="343"/>
      <c r="U1310" s="2"/>
      <c r="V1310" s="2"/>
      <c r="W1310" s="2"/>
      <c r="X1310" s="2"/>
      <c r="Y1310" s="2"/>
      <c r="Z1310" s="2"/>
      <c r="AA1310" s="2"/>
      <c r="AB1310" s="2"/>
      <c r="AC1310" s="2"/>
      <c r="AD1310" s="2"/>
      <c r="AE1310" s="2"/>
      <c r="AF1310" s="2"/>
      <c r="AG1310" s="2"/>
      <c r="AH1310" s="2"/>
      <c r="AI1310" s="2"/>
      <c r="AJ1310" s="2"/>
      <c r="AK1310" s="2"/>
      <c r="AL1310" s="2"/>
    </row>
    <row r="1311" spans="1:38" ht="5.15" customHeight="1" x14ac:dyDescent="0.25">
      <c r="A1311" s="2"/>
      <c r="B1311" s="178"/>
      <c r="C1311" s="178"/>
      <c r="D1311" s="178"/>
      <c r="E1311" s="178"/>
      <c r="F1311" s="178"/>
      <c r="G1311" s="178"/>
      <c r="H1311" s="178"/>
      <c r="I1311" s="178"/>
      <c r="J1311" s="178"/>
      <c r="K1311" s="178"/>
      <c r="L1311" s="178"/>
      <c r="M1311" s="178"/>
      <c r="N1311" s="178"/>
      <c r="O1311" s="15"/>
      <c r="P1311" s="15"/>
      <c r="Q1311" s="343"/>
      <c r="R1311" s="343"/>
      <c r="S1311" s="343"/>
      <c r="T1311" s="343"/>
      <c r="U1311" s="2"/>
      <c r="V1311" s="2"/>
      <c r="W1311" s="2"/>
      <c r="X1311" s="2"/>
      <c r="Y1311" s="2"/>
      <c r="Z1311" s="2"/>
      <c r="AA1311" s="2"/>
      <c r="AB1311" s="2"/>
      <c r="AC1311" s="2"/>
      <c r="AD1311" s="2"/>
      <c r="AE1311" s="2"/>
      <c r="AF1311" s="2"/>
      <c r="AG1311" s="2"/>
      <c r="AH1311" s="2"/>
      <c r="AI1311" s="2"/>
      <c r="AJ1311" s="2"/>
      <c r="AK1311" s="2"/>
      <c r="AL1311" s="2"/>
    </row>
    <row r="1312" spans="1:38" ht="12.75" customHeight="1" x14ac:dyDescent="0.25">
      <c r="A1312" s="2"/>
      <c r="B1312" s="178"/>
      <c r="C1312" s="13"/>
      <c r="D1312" s="13" t="s">
        <v>65</v>
      </c>
      <c r="E1312" s="1943" t="str">
        <f>Translations!$B$542</f>
        <v>Identifiering av produkter som ingår i delanläggningen med produktriktmärke</v>
      </c>
      <c r="F1312" s="1963"/>
      <c r="G1312" s="1963"/>
      <c r="H1312" s="1963"/>
      <c r="I1312" s="1963"/>
      <c r="J1312" s="1963"/>
      <c r="K1312" s="1963"/>
      <c r="L1312" s="1963"/>
      <c r="M1312" s="1963"/>
      <c r="N1312" s="1963"/>
      <c r="O1312" s="15"/>
      <c r="P1312" s="15"/>
      <c r="Q1312" s="343"/>
      <c r="R1312" s="2"/>
      <c r="S1312" s="343"/>
      <c r="T1312" s="343"/>
      <c r="U1312" s="2"/>
      <c r="V1312" s="2"/>
      <c r="W1312" s="2"/>
      <c r="X1312" s="2"/>
      <c r="Y1312" s="2"/>
      <c r="Z1312" s="2"/>
      <c r="AA1312" s="2"/>
      <c r="AB1312" s="2"/>
      <c r="AC1312" s="2"/>
      <c r="AD1312" s="2"/>
      <c r="AE1312" s="2"/>
      <c r="AF1312" s="2"/>
      <c r="AG1312" s="2"/>
      <c r="AH1312" s="2"/>
      <c r="AI1312" s="2"/>
      <c r="AJ1312" s="2"/>
      <c r="AK1312" s="2"/>
      <c r="AL1312" s="2"/>
    </row>
    <row r="1313" spans="1:38" ht="25.5" customHeight="1" x14ac:dyDescent="0.25">
      <c r="A1313" s="2"/>
      <c r="B1313" s="178"/>
      <c r="C1313" s="15"/>
      <c r="D1313" s="15"/>
      <c r="E1313" s="2061" t="s">
        <v>2215</v>
      </c>
      <c r="F1313" s="1963"/>
      <c r="G1313" s="1963"/>
      <c r="H1313" s="1963"/>
      <c r="I1313" s="1963"/>
      <c r="J1313" s="1963"/>
      <c r="K1313" s="1963"/>
      <c r="L1313" s="1963"/>
      <c r="M1313" s="1963"/>
      <c r="N1313" s="1963"/>
      <c r="O1313" s="15"/>
      <c r="P1313" s="15"/>
      <c r="Q1313" s="343"/>
      <c r="R1313" s="2"/>
      <c r="S1313" s="343"/>
      <c r="T1313" s="343"/>
      <c r="U1313" s="2"/>
      <c r="V1313" s="2"/>
      <c r="W1313" s="2"/>
      <c r="X1313" s="2"/>
      <c r="Y1313" s="2"/>
      <c r="Z1313" s="2"/>
      <c r="AA1313" s="2"/>
      <c r="AB1313" s="2"/>
      <c r="AC1313" s="2"/>
      <c r="AD1313" s="2"/>
      <c r="AE1313" s="2"/>
      <c r="AF1313" s="2"/>
      <c r="AG1313" s="2"/>
      <c r="AH1313" s="2"/>
      <c r="AI1313" s="2"/>
      <c r="AJ1313" s="2"/>
      <c r="AK1313" s="2"/>
      <c r="AL1313" s="2"/>
    </row>
    <row r="1314" spans="1:38" ht="25.5" customHeight="1" x14ac:dyDescent="0.25">
      <c r="A1314" s="2"/>
      <c r="B1314" s="178"/>
      <c r="C1314" s="15"/>
      <c r="D1314" s="15"/>
      <c r="E1314" s="2061" t="str">
        <f>Translations!$B$543</f>
        <v>Prodcom-koder ska anges i formatet ”nnnnnnnn”, dvs. utan punkter eller andra avgränsare. Endast om Prodcom-koder inte finns ska en Nace-kod på fyra siffror anges i formatet ”nnnn”.</v>
      </c>
      <c r="F1314" s="1963"/>
      <c r="G1314" s="1963"/>
      <c r="H1314" s="1963"/>
      <c r="I1314" s="1963"/>
      <c r="J1314" s="1963"/>
      <c r="K1314" s="1963"/>
      <c r="L1314" s="1963"/>
      <c r="M1314" s="1963"/>
      <c r="N1314" s="1963"/>
      <c r="O1314" s="15"/>
      <c r="P1314" s="15"/>
      <c r="Q1314" s="343"/>
      <c r="R1314" s="2"/>
      <c r="S1314" s="343"/>
      <c r="T1314" s="343"/>
      <c r="U1314" s="2"/>
      <c r="V1314" s="2"/>
      <c r="W1314" s="2"/>
      <c r="X1314" s="2"/>
      <c r="Y1314" s="2"/>
      <c r="Z1314" s="2"/>
      <c r="AA1314" s="2"/>
      <c r="AB1314" s="2"/>
      <c r="AC1314" s="2"/>
      <c r="AD1314" s="2"/>
      <c r="AE1314" s="2"/>
      <c r="AF1314" s="2"/>
      <c r="AG1314" s="2"/>
      <c r="AH1314" s="2"/>
      <c r="AI1314" s="2"/>
      <c r="AJ1314" s="2"/>
      <c r="AK1314" s="2"/>
      <c r="AL1314" s="2"/>
    </row>
    <row r="1315" spans="1:38" ht="12.75" customHeight="1" x14ac:dyDescent="0.25">
      <c r="A1315" s="2"/>
      <c r="B1315" s="178"/>
      <c r="C1315" s="15"/>
      <c r="D1315" s="15"/>
      <c r="E1315" s="2061" t="str">
        <f>Translations!$B$544</f>
        <v>En förteckning över 2010 års Prodcom-koder finns här:</v>
      </c>
      <c r="F1315" s="1963"/>
      <c r="G1315" s="1963"/>
      <c r="H1315" s="1963"/>
      <c r="I1315" s="1963"/>
      <c r="J1315" s="1963"/>
      <c r="K1315" s="1963"/>
      <c r="L1315" s="1963"/>
      <c r="M1315" s="1963"/>
      <c r="N1315" s="1963"/>
      <c r="O1315" s="15"/>
      <c r="P1315" s="15"/>
      <c r="Q1315" s="343"/>
      <c r="R1315" s="2"/>
      <c r="S1315" s="343"/>
      <c r="T1315" s="343"/>
      <c r="U1315" s="2"/>
      <c r="V1315" s="2"/>
      <c r="W1315" s="2"/>
      <c r="X1315" s="2"/>
      <c r="Y1315" s="2"/>
      <c r="Z1315" s="2"/>
      <c r="AA1315" s="2"/>
      <c r="AB1315" s="2"/>
      <c r="AC1315" s="2"/>
      <c r="AD1315" s="2"/>
      <c r="AE1315" s="2"/>
      <c r="AF1315" s="2"/>
      <c r="AG1315" s="2"/>
      <c r="AH1315" s="2"/>
      <c r="AI1315" s="2"/>
      <c r="AJ1315" s="2"/>
      <c r="AK1315" s="2"/>
      <c r="AL1315" s="2"/>
    </row>
    <row r="1316" spans="1:38" x14ac:dyDescent="0.25">
      <c r="A1316" s="2"/>
      <c r="B1316" s="178"/>
      <c r="C1316" s="15"/>
      <c r="D1316" s="15"/>
      <c r="E1316" s="2644" t="str">
        <f>Translations!$B$545</f>
        <v>http://ec.europa.eu/eurostat/ramon/nomenclatures/index.cfm?TargetUrl=LST_CLS_DLD&amp;StrNom=PRD_2010&amp;StrLanguageCode=EN&amp;StrLayoutCode=HIERARCHIC</v>
      </c>
      <c r="F1316" s="1940"/>
      <c r="G1316" s="1940"/>
      <c r="H1316" s="1940"/>
      <c r="I1316" s="1940"/>
      <c r="J1316" s="1940"/>
      <c r="K1316" s="1940"/>
      <c r="L1316" s="1940"/>
      <c r="M1316" s="1940"/>
      <c r="N1316" s="1940"/>
      <c r="O1316" s="15"/>
      <c r="P1316" s="15"/>
      <c r="Q1316" s="343"/>
      <c r="R1316" s="2"/>
      <c r="S1316" s="343"/>
      <c r="T1316" s="343"/>
      <c r="U1316" s="2"/>
      <c r="V1316" s="2"/>
      <c r="W1316" s="2"/>
      <c r="X1316" s="2"/>
      <c r="Y1316" s="2"/>
      <c r="Z1316" s="2"/>
      <c r="AA1316" s="2"/>
      <c r="AB1316" s="2"/>
      <c r="AC1316" s="2"/>
      <c r="AD1316" s="2"/>
      <c r="AE1316" s="2"/>
      <c r="AF1316" s="2"/>
      <c r="AG1316" s="2"/>
      <c r="AH1316" s="2"/>
      <c r="AI1316" s="2"/>
      <c r="AJ1316" s="2"/>
      <c r="AK1316" s="2"/>
      <c r="AL1316" s="2"/>
    </row>
    <row r="1317" spans="1:38" ht="5.15" customHeight="1" x14ac:dyDescent="0.25">
      <c r="A1317" s="2"/>
      <c r="B1317" s="178"/>
      <c r="C1317" s="178"/>
      <c r="D1317" s="178"/>
      <c r="E1317" s="178"/>
      <c r="F1317" s="178"/>
      <c r="G1317" s="178"/>
      <c r="H1317" s="178"/>
      <c r="I1317" s="178"/>
      <c r="J1317" s="178"/>
      <c r="K1317" s="178"/>
      <c r="L1317" s="178"/>
      <c r="M1317" s="178"/>
      <c r="N1317" s="178"/>
      <c r="O1317" s="15"/>
      <c r="P1317" s="15"/>
      <c r="Q1317" s="343"/>
      <c r="R1317" s="343"/>
      <c r="S1317" s="343"/>
      <c r="T1317" s="343"/>
      <c r="U1317" s="2"/>
      <c r="V1317" s="2"/>
      <c r="W1317" s="2"/>
      <c r="X1317" s="2"/>
      <c r="Y1317" s="2"/>
      <c r="Z1317" s="2"/>
      <c r="AA1317" s="2"/>
      <c r="AB1317" s="2"/>
      <c r="AC1317" s="2"/>
      <c r="AD1317" s="2"/>
      <c r="AE1317" s="2"/>
      <c r="AF1317" s="2"/>
      <c r="AG1317" s="2"/>
      <c r="AH1317" s="2"/>
      <c r="AI1317" s="2"/>
      <c r="AJ1317" s="2"/>
      <c r="AK1317" s="2"/>
      <c r="AL1317" s="2"/>
    </row>
    <row r="1318" spans="1:38" ht="12.75" customHeight="1" x14ac:dyDescent="0.25">
      <c r="A1318" s="2"/>
      <c r="B1318" s="178"/>
      <c r="C1318" s="13"/>
      <c r="D1318" s="13" t="s">
        <v>66</v>
      </c>
      <c r="E1318" s="1943" t="str">
        <f>Translations!$B$546</f>
        <v>Individuella produktionsnivåer för produkter som ingår i delanläggningen med produktriktmärke</v>
      </c>
      <c r="F1318" s="1963"/>
      <c r="G1318" s="1963"/>
      <c r="H1318" s="1963"/>
      <c r="I1318" s="1963"/>
      <c r="J1318" s="1963"/>
      <c r="K1318" s="1963"/>
      <c r="L1318" s="1963"/>
      <c r="M1318" s="1963"/>
      <c r="N1318" s="1963"/>
      <c r="O1318" s="15"/>
      <c r="P1318" s="15"/>
      <c r="Q1318" s="343"/>
      <c r="R1318" s="2"/>
      <c r="S1318" s="343"/>
      <c r="T1318" s="343"/>
      <c r="U1318" s="2"/>
      <c r="V1318" s="2"/>
      <c r="W1318" s="2"/>
      <c r="X1318" s="2"/>
      <c r="Y1318" s="2"/>
      <c r="Z1318" s="2"/>
      <c r="AA1318" s="2"/>
      <c r="AB1318" s="2"/>
      <c r="AC1318" s="2"/>
      <c r="AD1318" s="2"/>
      <c r="AE1318" s="2"/>
      <c r="AF1318" s="2"/>
      <c r="AG1318" s="2"/>
      <c r="AH1318" s="2"/>
      <c r="AI1318" s="2"/>
      <c r="AJ1318" s="2"/>
      <c r="AK1318" s="2"/>
      <c r="AL1318" s="2"/>
    </row>
    <row r="1319" spans="1:38" ht="5.15" customHeight="1" x14ac:dyDescent="0.25">
      <c r="A1319" s="2"/>
      <c r="B1319" s="178"/>
      <c r="C1319" s="178"/>
      <c r="D1319" s="15"/>
      <c r="E1319" s="16"/>
      <c r="F1319" s="16"/>
      <c r="G1319" s="16"/>
      <c r="H1319" s="16"/>
      <c r="I1319" s="16"/>
      <c r="J1319" s="20"/>
      <c r="K1319" s="20"/>
      <c r="L1319" s="20"/>
      <c r="M1319" s="15"/>
      <c r="N1319" s="15"/>
      <c r="O1319" s="15"/>
      <c r="P1319" s="15"/>
      <c r="Q1319" s="343"/>
      <c r="R1319" s="2"/>
      <c r="S1319" s="343"/>
      <c r="T1319" s="343"/>
      <c r="U1319" s="2"/>
      <c r="V1319" s="2"/>
      <c r="W1319" s="2"/>
      <c r="X1319" s="2"/>
      <c r="Y1319" s="2"/>
      <c r="Z1319" s="2"/>
      <c r="AA1319" s="2"/>
      <c r="AB1319" s="2"/>
      <c r="AC1319" s="2"/>
      <c r="AD1319" s="2"/>
      <c r="AE1319" s="2"/>
      <c r="AF1319" s="2"/>
      <c r="AG1319" s="2"/>
      <c r="AH1319" s="2"/>
      <c r="AI1319" s="2"/>
      <c r="AJ1319" s="2"/>
      <c r="AK1319" s="2"/>
      <c r="AL1319" s="2"/>
    </row>
    <row r="1320" spans="1:38" ht="25.5" customHeight="1" thickBot="1" x14ac:dyDescent="0.3">
      <c r="A1320" s="2"/>
      <c r="B1320" s="19"/>
      <c r="C1320" s="19"/>
      <c r="D1320" s="38"/>
      <c r="E1320" s="321" t="s">
        <v>1030</v>
      </c>
      <c r="F1320" s="1027" t="str">
        <f>Translations!$B$547</f>
        <v>Namn på produkt eller produktgrupp</v>
      </c>
      <c r="G1320" s="774" t="str">
        <f>EUconst_Unit</f>
        <v>Enhet</v>
      </c>
      <c r="H1320" s="320">
        <f t="shared" ref="H1320:N1320" si="575">H$3042</f>
        <v>2019</v>
      </c>
      <c r="I1320" s="342">
        <f t="shared" si="575"/>
        <v>2020</v>
      </c>
      <c r="J1320" s="987">
        <f t="shared" si="575"/>
        <v>2021</v>
      </c>
      <c r="K1320" s="320">
        <f t="shared" si="575"/>
        <v>2022</v>
      </c>
      <c r="L1320" s="320">
        <f t="shared" si="575"/>
        <v>2023</v>
      </c>
      <c r="M1320" s="320">
        <f t="shared" si="575"/>
        <v>2024</v>
      </c>
      <c r="N1320" s="320">
        <f t="shared" si="575"/>
        <v>2025</v>
      </c>
      <c r="O1320" s="15"/>
      <c r="P1320" s="15"/>
      <c r="Q1320" s="2"/>
      <c r="R1320" s="2"/>
      <c r="S1320" s="343"/>
      <c r="T1320" s="343"/>
      <c r="U1320" s="2"/>
      <c r="V1320" s="2"/>
      <c r="W1320" s="2"/>
      <c r="X1320" s="2"/>
      <c r="Y1320" s="2"/>
      <c r="Z1320" s="1055" t="s">
        <v>782</v>
      </c>
      <c r="AA1320" s="2"/>
      <c r="AB1320" s="2"/>
      <c r="AC1320" s="1044">
        <f t="shared" ref="AC1320:AI1320" si="576">H$20</f>
        <v>2019</v>
      </c>
      <c r="AD1320" s="1044">
        <f t="shared" si="576"/>
        <v>2020</v>
      </c>
      <c r="AE1320" s="1044">
        <f t="shared" si="576"/>
        <v>2021</v>
      </c>
      <c r="AF1320" s="1044">
        <f t="shared" si="576"/>
        <v>2022</v>
      </c>
      <c r="AG1320" s="1044">
        <f t="shared" si="576"/>
        <v>2023</v>
      </c>
      <c r="AH1320" s="1044">
        <f t="shared" si="576"/>
        <v>2024</v>
      </c>
      <c r="AI1320" s="1044">
        <f t="shared" si="576"/>
        <v>2025</v>
      </c>
      <c r="AJ1320" s="2"/>
      <c r="AK1320" s="2"/>
      <c r="AL1320" s="2"/>
    </row>
    <row r="1321" spans="1:38" x14ac:dyDescent="0.25">
      <c r="A1321" s="2"/>
      <c r="B1321" s="19"/>
      <c r="C1321" s="19"/>
      <c r="D1321" s="32">
        <v>1</v>
      </c>
      <c r="E1321" s="1787"/>
      <c r="F1321" s="1047"/>
      <c r="G1321" s="602"/>
      <c r="H1321" s="383"/>
      <c r="I1321" s="467"/>
      <c r="J1321" s="1106"/>
      <c r="K1321" s="383"/>
      <c r="L1321" s="383"/>
      <c r="M1321" s="383"/>
      <c r="N1321" s="383"/>
      <c r="O1321" s="15"/>
      <c r="P1321" s="1362"/>
      <c r="Q1321" s="2"/>
      <c r="R1321" s="2"/>
      <c r="S1321" s="343"/>
      <c r="T1321" s="343"/>
      <c r="U1321" s="2"/>
      <c r="V1321" s="2"/>
      <c r="W1321" s="2"/>
      <c r="X1321" s="2"/>
      <c r="Y1321" s="2"/>
      <c r="Z1321" s="1056" t="b">
        <f t="shared" ref="Z1321:Z1330" si="577">AA1321</f>
        <v>0</v>
      </c>
      <c r="AA1321" s="1057" t="b">
        <f t="shared" ref="AA1321:AA1330" si="578">AB1321</f>
        <v>0</v>
      </c>
      <c r="AB1321" s="1363" t="b">
        <f>AND(AC1321:AI1321)</f>
        <v>0</v>
      </c>
      <c r="AC1321" s="1054" t="b">
        <f t="shared" ref="AC1321:AI1321" si="579">AC1291</f>
        <v>0</v>
      </c>
      <c r="AD1321" s="1052" t="b">
        <f t="shared" si="579"/>
        <v>0</v>
      </c>
      <c r="AE1321" s="1052" t="b">
        <f t="shared" si="579"/>
        <v>0</v>
      </c>
      <c r="AF1321" s="1052" t="b">
        <f t="shared" si="579"/>
        <v>0</v>
      </c>
      <c r="AG1321" s="1052" t="b">
        <f t="shared" si="579"/>
        <v>0</v>
      </c>
      <c r="AH1321" s="1052" t="b">
        <f t="shared" si="579"/>
        <v>0</v>
      </c>
      <c r="AI1321" s="1053" t="b">
        <f t="shared" si="579"/>
        <v>0</v>
      </c>
      <c r="AJ1321" s="553" t="s">
        <v>2248</v>
      </c>
      <c r="AK1321" s="663" t="str">
        <f>IF(AND(CNTR_ExistSubInstEntries,COUNTIFS(AC1321:AI1321,FALSE,H1321:N1321,"")&gt;0),EUconst_Error&amp;"BM"&amp;$Q1221,"")</f>
        <v/>
      </c>
      <c r="AL1321" s="2"/>
    </row>
    <row r="1322" spans="1:38" x14ac:dyDescent="0.25">
      <c r="A1322" s="2"/>
      <c r="B1322" s="19"/>
      <c r="C1322" s="19"/>
      <c r="D1322" s="33">
        <f>D1321+1</f>
        <v>2</v>
      </c>
      <c r="E1322" s="1788"/>
      <c r="F1322" s="1048"/>
      <c r="G1322" s="446"/>
      <c r="H1322" s="431"/>
      <c r="I1322" s="468"/>
      <c r="J1322" s="1120"/>
      <c r="K1322" s="431"/>
      <c r="L1322" s="431"/>
      <c r="M1322" s="431"/>
      <c r="N1322" s="431"/>
      <c r="O1322" s="15"/>
      <c r="P1322" s="1362"/>
      <c r="Q1322" s="2"/>
      <c r="R1322" s="2"/>
      <c r="S1322" s="343"/>
      <c r="T1322" s="343"/>
      <c r="U1322" s="2"/>
      <c r="V1322" s="2"/>
      <c r="W1322" s="2"/>
      <c r="X1322" s="2"/>
      <c r="Y1322" s="2"/>
      <c r="Z1322" s="583" t="b">
        <f t="shared" si="577"/>
        <v>0</v>
      </c>
      <c r="AA1322" s="108" t="b">
        <f t="shared" si="578"/>
        <v>0</v>
      </c>
      <c r="AB1322" s="109" t="b">
        <f t="shared" ref="AB1322:AB1330" si="580">AND(AC1322:AI1322)</f>
        <v>0</v>
      </c>
      <c r="AC1322" s="153" t="b">
        <f>AC1321</f>
        <v>0</v>
      </c>
      <c r="AD1322" s="108" t="b">
        <f t="shared" ref="AD1322:AI1322" si="581">AD1321</f>
        <v>0</v>
      </c>
      <c r="AE1322" s="108" t="b">
        <f t="shared" si="581"/>
        <v>0</v>
      </c>
      <c r="AF1322" s="108" t="b">
        <f t="shared" si="581"/>
        <v>0</v>
      </c>
      <c r="AG1322" s="108" t="b">
        <f t="shared" si="581"/>
        <v>0</v>
      </c>
      <c r="AH1322" s="108" t="b">
        <f t="shared" si="581"/>
        <v>0</v>
      </c>
      <c r="AI1322" s="109" t="b">
        <f t="shared" si="581"/>
        <v>0</v>
      </c>
      <c r="AJ1322" s="2"/>
      <c r="AK1322" s="2"/>
      <c r="AL1322" s="2"/>
    </row>
    <row r="1323" spans="1:38" x14ac:dyDescent="0.25">
      <c r="A1323" s="2"/>
      <c r="B1323" s="19"/>
      <c r="C1323" s="19"/>
      <c r="D1323" s="33">
        <f t="shared" ref="D1323:D1330" si="582">D1322+1</f>
        <v>3</v>
      </c>
      <c r="E1323" s="1788"/>
      <c r="F1323" s="1049"/>
      <c r="G1323" s="446"/>
      <c r="H1323" s="431"/>
      <c r="I1323" s="468"/>
      <c r="J1323" s="1120"/>
      <c r="K1323" s="431"/>
      <c r="L1323" s="431"/>
      <c r="M1323" s="431"/>
      <c r="N1323" s="431"/>
      <c r="O1323" s="15"/>
      <c r="P1323" s="1362"/>
      <c r="Q1323" s="2"/>
      <c r="R1323" s="2"/>
      <c r="S1323" s="343"/>
      <c r="T1323" s="343"/>
      <c r="U1323" s="2"/>
      <c r="V1323" s="2"/>
      <c r="W1323" s="2"/>
      <c r="X1323" s="2"/>
      <c r="Y1323" s="2"/>
      <c r="Z1323" s="583" t="b">
        <f t="shared" si="577"/>
        <v>0</v>
      </c>
      <c r="AA1323" s="108" t="b">
        <f t="shared" si="578"/>
        <v>0</v>
      </c>
      <c r="AB1323" s="109" t="b">
        <f t="shared" si="580"/>
        <v>0</v>
      </c>
      <c r="AC1323" s="153" t="b">
        <f t="shared" ref="AC1323:AI1330" si="583">AC1322</f>
        <v>0</v>
      </c>
      <c r="AD1323" s="108" t="b">
        <f t="shared" si="583"/>
        <v>0</v>
      </c>
      <c r="AE1323" s="108" t="b">
        <f t="shared" si="583"/>
        <v>0</v>
      </c>
      <c r="AF1323" s="108" t="b">
        <f t="shared" si="583"/>
        <v>0</v>
      </c>
      <c r="AG1323" s="108" t="b">
        <f t="shared" si="583"/>
        <v>0</v>
      </c>
      <c r="AH1323" s="108" t="b">
        <f t="shared" si="583"/>
        <v>0</v>
      </c>
      <c r="AI1323" s="109" t="b">
        <f t="shared" si="583"/>
        <v>0</v>
      </c>
      <c r="AJ1323" s="2"/>
      <c r="AK1323" s="2"/>
      <c r="AL1323" s="2"/>
    </row>
    <row r="1324" spans="1:38" x14ac:dyDescent="0.25">
      <c r="A1324" s="2"/>
      <c r="B1324" s="19"/>
      <c r="C1324" s="19"/>
      <c r="D1324" s="33">
        <f t="shared" si="582"/>
        <v>4</v>
      </c>
      <c r="E1324" s="1788"/>
      <c r="F1324" s="1049"/>
      <c r="G1324" s="446"/>
      <c r="H1324" s="431"/>
      <c r="I1324" s="468"/>
      <c r="J1324" s="1120"/>
      <c r="K1324" s="431"/>
      <c r="L1324" s="431"/>
      <c r="M1324" s="431"/>
      <c r="N1324" s="431"/>
      <c r="O1324" s="15"/>
      <c r="P1324" s="1362"/>
      <c r="Q1324" s="2"/>
      <c r="R1324" s="2"/>
      <c r="S1324" s="343"/>
      <c r="T1324" s="343"/>
      <c r="U1324" s="2"/>
      <c r="V1324" s="2"/>
      <c r="W1324" s="2"/>
      <c r="X1324" s="2"/>
      <c r="Y1324" s="2"/>
      <c r="Z1324" s="583" t="b">
        <f t="shared" si="577"/>
        <v>0</v>
      </c>
      <c r="AA1324" s="108" t="b">
        <f t="shared" si="578"/>
        <v>0</v>
      </c>
      <c r="AB1324" s="109" t="b">
        <f t="shared" si="580"/>
        <v>0</v>
      </c>
      <c r="AC1324" s="153" t="b">
        <f t="shared" si="583"/>
        <v>0</v>
      </c>
      <c r="AD1324" s="108" t="b">
        <f t="shared" si="583"/>
        <v>0</v>
      </c>
      <c r="AE1324" s="108" t="b">
        <f t="shared" si="583"/>
        <v>0</v>
      </c>
      <c r="AF1324" s="108" t="b">
        <f t="shared" si="583"/>
        <v>0</v>
      </c>
      <c r="AG1324" s="108" t="b">
        <f t="shared" si="583"/>
        <v>0</v>
      </c>
      <c r="AH1324" s="108" t="b">
        <f t="shared" si="583"/>
        <v>0</v>
      </c>
      <c r="AI1324" s="109" t="b">
        <f t="shared" si="583"/>
        <v>0</v>
      </c>
      <c r="AJ1324" s="2"/>
      <c r="AK1324" s="2"/>
      <c r="AL1324" s="2"/>
    </row>
    <row r="1325" spans="1:38" x14ac:dyDescent="0.25">
      <c r="A1325" s="2"/>
      <c r="B1325" s="19"/>
      <c r="C1325" s="19"/>
      <c r="D1325" s="33">
        <f t="shared" si="582"/>
        <v>5</v>
      </c>
      <c r="E1325" s="1788"/>
      <c r="F1325" s="1049"/>
      <c r="G1325" s="446"/>
      <c r="H1325" s="431"/>
      <c r="I1325" s="468"/>
      <c r="J1325" s="1120"/>
      <c r="K1325" s="431"/>
      <c r="L1325" s="431"/>
      <c r="M1325" s="431"/>
      <c r="N1325" s="431"/>
      <c r="O1325" s="15"/>
      <c r="P1325" s="1362"/>
      <c r="Q1325" s="2"/>
      <c r="R1325" s="2"/>
      <c r="S1325" s="343"/>
      <c r="T1325" s="343"/>
      <c r="U1325" s="2"/>
      <c r="V1325" s="2"/>
      <c r="W1325" s="2"/>
      <c r="X1325" s="2"/>
      <c r="Y1325" s="2"/>
      <c r="Z1325" s="583" t="b">
        <f t="shared" si="577"/>
        <v>0</v>
      </c>
      <c r="AA1325" s="108" t="b">
        <f t="shared" si="578"/>
        <v>0</v>
      </c>
      <c r="AB1325" s="109" t="b">
        <f t="shared" si="580"/>
        <v>0</v>
      </c>
      <c r="AC1325" s="153" t="b">
        <f t="shared" si="583"/>
        <v>0</v>
      </c>
      <c r="AD1325" s="108" t="b">
        <f t="shared" si="583"/>
        <v>0</v>
      </c>
      <c r="AE1325" s="108" t="b">
        <f t="shared" si="583"/>
        <v>0</v>
      </c>
      <c r="AF1325" s="108" t="b">
        <f t="shared" si="583"/>
        <v>0</v>
      </c>
      <c r="AG1325" s="108" t="b">
        <f t="shared" si="583"/>
        <v>0</v>
      </c>
      <c r="AH1325" s="108" t="b">
        <f t="shared" si="583"/>
        <v>0</v>
      </c>
      <c r="AI1325" s="109" t="b">
        <f t="shared" si="583"/>
        <v>0</v>
      </c>
      <c r="AJ1325" s="2"/>
      <c r="AK1325" s="2"/>
      <c r="AL1325" s="2"/>
    </row>
    <row r="1326" spans="1:38" x14ac:dyDescent="0.25">
      <c r="A1326" s="2"/>
      <c r="B1326" s="19"/>
      <c r="C1326" s="19"/>
      <c r="D1326" s="33">
        <f t="shared" si="582"/>
        <v>6</v>
      </c>
      <c r="E1326" s="1788"/>
      <c r="F1326" s="1049"/>
      <c r="G1326" s="446"/>
      <c r="H1326" s="431"/>
      <c r="I1326" s="468"/>
      <c r="J1326" s="1120"/>
      <c r="K1326" s="431"/>
      <c r="L1326" s="431"/>
      <c r="M1326" s="431"/>
      <c r="N1326" s="431"/>
      <c r="O1326" s="15"/>
      <c r="P1326" s="1362"/>
      <c r="Q1326" s="2"/>
      <c r="R1326" s="2"/>
      <c r="S1326" s="343"/>
      <c r="T1326" s="343"/>
      <c r="U1326" s="2"/>
      <c r="V1326" s="2"/>
      <c r="W1326" s="2"/>
      <c r="X1326" s="2"/>
      <c r="Y1326" s="2"/>
      <c r="Z1326" s="583" t="b">
        <f t="shared" si="577"/>
        <v>0</v>
      </c>
      <c r="AA1326" s="108" t="b">
        <f t="shared" si="578"/>
        <v>0</v>
      </c>
      <c r="AB1326" s="109" t="b">
        <f t="shared" si="580"/>
        <v>0</v>
      </c>
      <c r="AC1326" s="153" t="b">
        <f t="shared" si="583"/>
        <v>0</v>
      </c>
      <c r="AD1326" s="108" t="b">
        <f t="shared" si="583"/>
        <v>0</v>
      </c>
      <c r="AE1326" s="108" t="b">
        <f t="shared" si="583"/>
        <v>0</v>
      </c>
      <c r="AF1326" s="108" t="b">
        <f t="shared" si="583"/>
        <v>0</v>
      </c>
      <c r="AG1326" s="108" t="b">
        <f t="shared" si="583"/>
        <v>0</v>
      </c>
      <c r="AH1326" s="108" t="b">
        <f t="shared" si="583"/>
        <v>0</v>
      </c>
      <c r="AI1326" s="109" t="b">
        <f t="shared" si="583"/>
        <v>0</v>
      </c>
      <c r="AJ1326" s="2"/>
      <c r="AK1326" s="2"/>
      <c r="AL1326" s="2"/>
    </row>
    <row r="1327" spans="1:38" x14ac:dyDescent="0.25">
      <c r="A1327" s="2"/>
      <c r="B1327" s="19"/>
      <c r="C1327" s="19"/>
      <c r="D1327" s="33">
        <f t="shared" si="582"/>
        <v>7</v>
      </c>
      <c r="E1327" s="1788"/>
      <c r="F1327" s="1049"/>
      <c r="G1327" s="446"/>
      <c r="H1327" s="431"/>
      <c r="I1327" s="468"/>
      <c r="J1327" s="1120"/>
      <c r="K1327" s="431"/>
      <c r="L1327" s="431"/>
      <c r="M1327" s="431"/>
      <c r="N1327" s="431"/>
      <c r="O1327" s="15"/>
      <c r="P1327" s="1362"/>
      <c r="Q1327" s="2"/>
      <c r="R1327" s="2"/>
      <c r="S1327" s="343"/>
      <c r="T1327" s="343"/>
      <c r="U1327" s="2"/>
      <c r="V1327" s="2"/>
      <c r="W1327" s="2"/>
      <c r="X1327" s="2"/>
      <c r="Y1327" s="2"/>
      <c r="Z1327" s="583" t="b">
        <f t="shared" si="577"/>
        <v>0</v>
      </c>
      <c r="AA1327" s="108" t="b">
        <f t="shared" si="578"/>
        <v>0</v>
      </c>
      <c r="AB1327" s="109" t="b">
        <f t="shared" si="580"/>
        <v>0</v>
      </c>
      <c r="AC1327" s="153" t="b">
        <f t="shared" si="583"/>
        <v>0</v>
      </c>
      <c r="AD1327" s="108" t="b">
        <f t="shared" si="583"/>
        <v>0</v>
      </c>
      <c r="AE1327" s="108" t="b">
        <f t="shared" si="583"/>
        <v>0</v>
      </c>
      <c r="AF1327" s="108" t="b">
        <f t="shared" si="583"/>
        <v>0</v>
      </c>
      <c r="AG1327" s="108" t="b">
        <f t="shared" si="583"/>
        <v>0</v>
      </c>
      <c r="AH1327" s="108" t="b">
        <f t="shared" si="583"/>
        <v>0</v>
      </c>
      <c r="AI1327" s="109" t="b">
        <f t="shared" si="583"/>
        <v>0</v>
      </c>
      <c r="AJ1327" s="2"/>
      <c r="AK1327" s="2"/>
      <c r="AL1327" s="2"/>
    </row>
    <row r="1328" spans="1:38" x14ac:dyDescent="0.25">
      <c r="A1328" s="2"/>
      <c r="B1328" s="19"/>
      <c r="C1328" s="19"/>
      <c r="D1328" s="33">
        <f t="shared" si="582"/>
        <v>8</v>
      </c>
      <c r="E1328" s="1788"/>
      <c r="F1328" s="1049"/>
      <c r="G1328" s="446"/>
      <c r="H1328" s="431"/>
      <c r="I1328" s="468"/>
      <c r="J1328" s="1120"/>
      <c r="K1328" s="431"/>
      <c r="L1328" s="431"/>
      <c r="M1328" s="431"/>
      <c r="N1328" s="431"/>
      <c r="O1328" s="15"/>
      <c r="P1328" s="1362"/>
      <c r="Q1328" s="2"/>
      <c r="R1328" s="2"/>
      <c r="S1328" s="343"/>
      <c r="T1328" s="343"/>
      <c r="U1328" s="2"/>
      <c r="V1328" s="2"/>
      <c r="W1328" s="2"/>
      <c r="X1328" s="2"/>
      <c r="Y1328" s="2"/>
      <c r="Z1328" s="583" t="b">
        <f t="shared" si="577"/>
        <v>0</v>
      </c>
      <c r="AA1328" s="108" t="b">
        <f t="shared" si="578"/>
        <v>0</v>
      </c>
      <c r="AB1328" s="109" t="b">
        <f t="shared" si="580"/>
        <v>0</v>
      </c>
      <c r="AC1328" s="153" t="b">
        <f t="shared" si="583"/>
        <v>0</v>
      </c>
      <c r="AD1328" s="108" t="b">
        <f t="shared" si="583"/>
        <v>0</v>
      </c>
      <c r="AE1328" s="108" t="b">
        <f t="shared" si="583"/>
        <v>0</v>
      </c>
      <c r="AF1328" s="108" t="b">
        <f t="shared" si="583"/>
        <v>0</v>
      </c>
      <c r="AG1328" s="108" t="b">
        <f t="shared" si="583"/>
        <v>0</v>
      </c>
      <c r="AH1328" s="108" t="b">
        <f t="shared" si="583"/>
        <v>0</v>
      </c>
      <c r="AI1328" s="109" t="b">
        <f t="shared" si="583"/>
        <v>0</v>
      </c>
      <c r="AJ1328" s="2"/>
      <c r="AK1328" s="2"/>
      <c r="AL1328" s="2"/>
    </row>
    <row r="1329" spans="1:38" x14ac:dyDescent="0.25">
      <c r="A1329" s="2"/>
      <c r="B1329" s="19"/>
      <c r="C1329" s="19"/>
      <c r="D1329" s="33">
        <f t="shared" si="582"/>
        <v>9</v>
      </c>
      <c r="E1329" s="1788"/>
      <c r="F1329" s="1049"/>
      <c r="G1329" s="446"/>
      <c r="H1329" s="431"/>
      <c r="I1329" s="468"/>
      <c r="J1329" s="1120"/>
      <c r="K1329" s="431"/>
      <c r="L1329" s="431"/>
      <c r="M1329" s="431"/>
      <c r="N1329" s="431"/>
      <c r="O1329" s="15"/>
      <c r="P1329" s="1362"/>
      <c r="Q1329" s="2"/>
      <c r="R1329" s="2"/>
      <c r="S1329" s="343"/>
      <c r="T1329" s="343"/>
      <c r="U1329" s="2"/>
      <c r="V1329" s="2"/>
      <c r="W1329" s="2"/>
      <c r="X1329" s="2"/>
      <c r="Y1329" s="2"/>
      <c r="Z1329" s="583" t="b">
        <f t="shared" si="577"/>
        <v>0</v>
      </c>
      <c r="AA1329" s="108" t="b">
        <f t="shared" si="578"/>
        <v>0</v>
      </c>
      <c r="AB1329" s="109" t="b">
        <f t="shared" si="580"/>
        <v>0</v>
      </c>
      <c r="AC1329" s="153" t="b">
        <f t="shared" si="583"/>
        <v>0</v>
      </c>
      <c r="AD1329" s="108" t="b">
        <f t="shared" si="583"/>
        <v>0</v>
      </c>
      <c r="AE1329" s="108" t="b">
        <f t="shared" si="583"/>
        <v>0</v>
      </c>
      <c r="AF1329" s="108" t="b">
        <f t="shared" si="583"/>
        <v>0</v>
      </c>
      <c r="AG1329" s="108" t="b">
        <f t="shared" si="583"/>
        <v>0</v>
      </c>
      <c r="AH1329" s="108" t="b">
        <f t="shared" si="583"/>
        <v>0</v>
      </c>
      <c r="AI1329" s="109" t="b">
        <f t="shared" si="583"/>
        <v>0</v>
      </c>
      <c r="AJ1329" s="2"/>
      <c r="AK1329" s="2"/>
      <c r="AL1329" s="2"/>
    </row>
    <row r="1330" spans="1:38" ht="13" thickBot="1" x14ac:dyDescent="0.3">
      <c r="A1330" s="2"/>
      <c r="B1330" s="19"/>
      <c r="C1330" s="19"/>
      <c r="D1330" s="36">
        <f t="shared" si="582"/>
        <v>10</v>
      </c>
      <c r="E1330" s="1790"/>
      <c r="F1330" s="1050"/>
      <c r="G1330" s="447"/>
      <c r="H1330" s="357"/>
      <c r="I1330" s="469"/>
      <c r="J1330" s="1112"/>
      <c r="K1330" s="357"/>
      <c r="L1330" s="357"/>
      <c r="M1330" s="357"/>
      <c r="N1330" s="357"/>
      <c r="O1330" s="15"/>
      <c r="P1330" s="1362"/>
      <c r="Q1330" s="2"/>
      <c r="R1330" s="2"/>
      <c r="S1330" s="343"/>
      <c r="T1330" s="343"/>
      <c r="U1330" s="2"/>
      <c r="V1330" s="2"/>
      <c r="W1330" s="2"/>
      <c r="X1330" s="2"/>
      <c r="Y1330" s="2"/>
      <c r="Z1330" s="110" t="b">
        <f t="shared" si="577"/>
        <v>0</v>
      </c>
      <c r="AA1330" s="111" t="b">
        <f t="shared" si="578"/>
        <v>0</v>
      </c>
      <c r="AB1330" s="112" t="b">
        <f t="shared" si="580"/>
        <v>0</v>
      </c>
      <c r="AC1330" s="156" t="b">
        <f t="shared" si="583"/>
        <v>0</v>
      </c>
      <c r="AD1330" s="111" t="b">
        <f t="shared" si="583"/>
        <v>0</v>
      </c>
      <c r="AE1330" s="111" t="b">
        <f t="shared" si="583"/>
        <v>0</v>
      </c>
      <c r="AF1330" s="111" t="b">
        <f t="shared" si="583"/>
        <v>0</v>
      </c>
      <c r="AG1330" s="111" t="b">
        <f t="shared" si="583"/>
        <v>0</v>
      </c>
      <c r="AH1330" s="111" t="b">
        <f t="shared" si="583"/>
        <v>0</v>
      </c>
      <c r="AI1330" s="112" t="b">
        <f t="shared" si="583"/>
        <v>0</v>
      </c>
      <c r="AJ1330" s="2"/>
      <c r="AK1330" s="2"/>
      <c r="AL1330" s="2"/>
    </row>
    <row r="1331" spans="1:38" ht="12.75" customHeight="1" thickBot="1" x14ac:dyDescent="0.3">
      <c r="A1331" s="2"/>
      <c r="B1331" s="19"/>
      <c r="C1331" s="19"/>
      <c r="D1331" s="90"/>
      <c r="E1331" s="1026" t="str">
        <f>Translations!$B$548</f>
        <v>Summa av produktionsnivåer</v>
      </c>
      <c r="F1331" s="915"/>
      <c r="G1331" s="554"/>
      <c r="H1331" s="275" t="str">
        <f t="shared" ref="H1331:N1331" si="584">IF(COUNT(H1321:H1330)&gt;0,SUM(H1321:H1330),"")</f>
        <v/>
      </c>
      <c r="I1331" s="281" t="str">
        <f t="shared" si="584"/>
        <v/>
      </c>
      <c r="J1331" s="1118" t="str">
        <f t="shared" si="584"/>
        <v/>
      </c>
      <c r="K1331" s="275" t="str">
        <f t="shared" si="584"/>
        <v/>
      </c>
      <c r="L1331" s="275" t="str">
        <f t="shared" si="584"/>
        <v/>
      </c>
      <c r="M1331" s="275" t="str">
        <f t="shared" si="584"/>
        <v/>
      </c>
      <c r="N1331" s="275" t="str">
        <f t="shared" si="584"/>
        <v/>
      </c>
      <c r="O1331" s="15"/>
      <c r="P1331" s="15"/>
      <c r="Q1331" s="2"/>
      <c r="R1331" s="2"/>
      <c r="S1331" s="343"/>
      <c r="T1331" s="343"/>
      <c r="U1331" s="2"/>
      <c r="V1331" s="2"/>
      <c r="W1331" s="2"/>
      <c r="X1331" s="2"/>
      <c r="Y1331" s="2"/>
      <c r="Z1331" s="2"/>
      <c r="AA1331" s="2"/>
      <c r="AB1331" s="555" t="b">
        <f>AND(AB1321:AB1330)</f>
        <v>0</v>
      </c>
      <c r="AC1331" s="2"/>
      <c r="AD1331" s="2"/>
      <c r="AE1331" s="2"/>
      <c r="AF1331" s="2"/>
      <c r="AG1331" s="2"/>
      <c r="AH1331" s="2"/>
      <c r="AI1331" s="2"/>
      <c r="AJ1331" s="2"/>
      <c r="AK1331" s="2"/>
      <c r="AL1331" s="2"/>
    </row>
    <row r="1332" spans="1:38" ht="12.75" customHeight="1" thickBot="1" x14ac:dyDescent="0.3">
      <c r="A1332" s="2"/>
      <c r="B1332" s="178"/>
      <c r="C1332" s="178"/>
      <c r="D1332" s="178"/>
      <c r="E1332" s="178"/>
      <c r="F1332" s="178"/>
      <c r="G1332" s="178"/>
      <c r="H1332" s="178"/>
      <c r="I1332" s="178"/>
      <c r="J1332" s="178"/>
      <c r="K1332" s="178"/>
      <c r="L1332" s="178"/>
      <c r="M1332" s="15"/>
      <c r="N1332" s="15"/>
      <c r="O1332" s="15"/>
      <c r="P1332" s="15"/>
      <c r="Q1332" s="343"/>
      <c r="R1332" s="2"/>
      <c r="S1332" s="343"/>
      <c r="T1332" s="343"/>
      <c r="U1332" s="2"/>
      <c r="V1332" s="2"/>
      <c r="W1332" s="2"/>
      <c r="X1332" s="2"/>
      <c r="Y1332" s="2"/>
      <c r="Z1332" s="2"/>
      <c r="AA1332" s="2"/>
      <c r="AB1332" s="2"/>
      <c r="AC1332" s="2"/>
      <c r="AD1332" s="2"/>
      <c r="AE1332" s="2"/>
      <c r="AF1332" s="2"/>
      <c r="AG1332" s="2"/>
      <c r="AH1332" s="2"/>
      <c r="AI1332" s="2"/>
      <c r="AJ1332" s="2"/>
      <c r="AK1332" s="2"/>
      <c r="AL1332" s="2"/>
    </row>
    <row r="1333" spans="1:38" ht="5.15" customHeight="1" x14ac:dyDescent="0.25">
      <c r="A1333" s="2"/>
      <c r="B1333" s="178"/>
      <c r="C1333" s="775"/>
      <c r="D1333" s="776"/>
      <c r="E1333" s="776"/>
      <c r="F1333" s="776"/>
      <c r="G1333" s="776"/>
      <c r="H1333" s="776"/>
      <c r="I1333" s="776"/>
      <c r="J1333" s="776"/>
      <c r="K1333" s="776"/>
      <c r="L1333" s="776"/>
      <c r="M1333" s="777"/>
      <c r="N1333" s="778"/>
      <c r="O1333" s="15"/>
      <c r="P1333" s="15"/>
      <c r="Q1333" s="343"/>
      <c r="R1333" s="2"/>
      <c r="S1333" s="343"/>
      <c r="T1333" s="343"/>
      <c r="U1333" s="2"/>
      <c r="V1333" s="2"/>
      <c r="W1333" s="2"/>
      <c r="X1333" s="2"/>
      <c r="Y1333" s="2"/>
      <c r="Z1333" s="2"/>
      <c r="AA1333" s="2"/>
      <c r="AB1333" s="2"/>
      <c r="AC1333" s="2"/>
      <c r="AD1333" s="2"/>
      <c r="AE1333" s="2"/>
      <c r="AF1333" s="2"/>
      <c r="AG1333" s="2"/>
      <c r="AH1333" s="2"/>
      <c r="AI1333" s="2"/>
      <c r="AJ1333" s="2"/>
      <c r="AK1333" s="2"/>
      <c r="AL1333" s="2"/>
    </row>
    <row r="1334" spans="1:38" ht="15" customHeight="1" x14ac:dyDescent="0.25">
      <c r="A1334" s="2"/>
      <c r="B1334" s="19"/>
      <c r="C1334" s="779"/>
      <c r="D1334" s="2645" t="str">
        <f>Translations!$B$549</f>
        <v>Uppgifter som krävs för att fastställa den riktmärkesrelaterade förbättringsfaktorn enligt artikel 10a.2 i ETS-direktivet</v>
      </c>
      <c r="E1334" s="2635"/>
      <c r="F1334" s="2635"/>
      <c r="G1334" s="2635"/>
      <c r="H1334" s="2635"/>
      <c r="I1334" s="2635"/>
      <c r="J1334" s="2635"/>
      <c r="K1334" s="2635"/>
      <c r="L1334" s="2635"/>
      <c r="M1334" s="2635"/>
      <c r="N1334" s="2636"/>
      <c r="O1334" s="15"/>
      <c r="P1334" s="15"/>
      <c r="Q1334" s="2"/>
      <c r="R1334" s="2"/>
      <c r="S1334" s="343"/>
      <c r="T1334" s="343"/>
      <c r="U1334" s="2"/>
      <c r="V1334" s="2"/>
      <c r="W1334" s="2"/>
      <c r="X1334" s="2"/>
      <c r="Y1334" s="2"/>
      <c r="Z1334" s="2"/>
      <c r="AA1334" s="2"/>
      <c r="AB1334" s="2"/>
      <c r="AC1334" s="2"/>
      <c r="AD1334" s="2"/>
      <c r="AE1334" s="2"/>
      <c r="AF1334" s="2"/>
      <c r="AG1334" s="2"/>
      <c r="AH1334" s="2"/>
      <c r="AI1334" s="2"/>
      <c r="AJ1334" s="2"/>
      <c r="AK1334" s="2"/>
      <c r="AL1334" s="2"/>
    </row>
    <row r="1335" spans="1:38" ht="5.15" customHeight="1" x14ac:dyDescent="0.25">
      <c r="A1335" s="2"/>
      <c r="B1335" s="19"/>
      <c r="C1335" s="371"/>
      <c r="D1335" s="360"/>
      <c r="E1335" s="360"/>
      <c r="F1335" s="360"/>
      <c r="G1335" s="360"/>
      <c r="H1335" s="360"/>
      <c r="I1335" s="360"/>
      <c r="J1335" s="360"/>
      <c r="K1335" s="360"/>
      <c r="L1335" s="360"/>
      <c r="M1335" s="360"/>
      <c r="N1335" s="372"/>
      <c r="O1335" s="15"/>
      <c r="P1335" s="15"/>
      <c r="Q1335" s="2"/>
      <c r="R1335" s="2"/>
      <c r="S1335" s="343"/>
      <c r="T1335" s="343"/>
      <c r="U1335" s="2"/>
      <c r="V1335" s="2"/>
      <c r="W1335" s="2"/>
      <c r="X1335" s="2"/>
      <c r="Y1335" s="2"/>
      <c r="Z1335" s="2"/>
      <c r="AA1335" s="2"/>
      <c r="AB1335" s="2"/>
      <c r="AC1335" s="2"/>
      <c r="AD1335" s="2"/>
      <c r="AE1335" s="2"/>
      <c r="AF1335" s="2"/>
      <c r="AG1335" s="2"/>
      <c r="AH1335" s="2"/>
      <c r="AI1335" s="2"/>
      <c r="AJ1335" s="2"/>
      <c r="AK1335" s="2"/>
      <c r="AL1335" s="2"/>
    </row>
    <row r="1336" spans="1:38" ht="15" customHeight="1" x14ac:dyDescent="0.25">
      <c r="A1336" s="2"/>
      <c r="B1336" s="19"/>
      <c r="C1336" s="371"/>
      <c r="D1336" s="2646" t="str">
        <f>EUconst_BMSubinst &amp; ":"</f>
        <v>Delanläggning med produktriktmärke:</v>
      </c>
      <c r="E1336" s="2642"/>
      <c r="F1336" s="2642"/>
      <c r="G1336" s="2642"/>
      <c r="H1336" s="2647"/>
      <c r="I1336" s="2090" t="str">
        <f>I1221</f>
        <v/>
      </c>
      <c r="J1336" s="2120"/>
      <c r="K1336" s="2120"/>
      <c r="L1336" s="2120"/>
      <c r="M1336" s="2120"/>
      <c r="N1336" s="2648"/>
      <c r="O1336" s="15"/>
      <c r="P1336" s="15"/>
      <c r="Q1336" s="2"/>
      <c r="R1336" s="2"/>
      <c r="S1336" s="343"/>
      <c r="T1336" s="343"/>
      <c r="U1336" s="2"/>
      <c r="V1336" s="2"/>
      <c r="W1336" s="2"/>
      <c r="X1336" s="2"/>
      <c r="Y1336" s="2"/>
      <c r="Z1336" s="2"/>
      <c r="AA1336" s="2"/>
      <c r="AB1336" s="2"/>
      <c r="AC1336" s="2"/>
      <c r="AD1336" s="2"/>
      <c r="AE1336" s="2"/>
      <c r="AF1336" s="2"/>
      <c r="AG1336" s="2"/>
      <c r="AH1336" s="2"/>
      <c r="AI1336" s="2"/>
      <c r="AJ1336" s="2"/>
      <c r="AK1336" s="2"/>
      <c r="AL1336" s="2"/>
    </row>
    <row r="1337" spans="1:38" ht="5.15" customHeight="1" x14ac:dyDescent="0.25">
      <c r="A1337" s="2"/>
      <c r="B1337" s="19"/>
      <c r="C1337" s="371"/>
      <c r="D1337" s="360"/>
      <c r="E1337" s="360"/>
      <c r="F1337" s="360"/>
      <c r="G1337" s="360"/>
      <c r="H1337" s="360"/>
      <c r="I1337" s="360"/>
      <c r="J1337" s="360"/>
      <c r="K1337" s="360"/>
      <c r="L1337" s="360"/>
      <c r="M1337" s="360"/>
      <c r="N1337" s="372"/>
      <c r="O1337" s="15"/>
      <c r="P1337" s="15"/>
      <c r="Q1337" s="2"/>
      <c r="R1337" s="2"/>
      <c r="S1337" s="343"/>
      <c r="T1337" s="343"/>
      <c r="U1337" s="2"/>
      <c r="V1337" s="2"/>
      <c r="W1337" s="2"/>
      <c r="X1337" s="2"/>
      <c r="Y1337" s="2"/>
      <c r="Z1337" s="2"/>
      <c r="AA1337" s="2"/>
      <c r="AB1337" s="2"/>
      <c r="AC1337" s="2"/>
      <c r="AD1337" s="2"/>
      <c r="AE1337" s="2"/>
      <c r="AF1337" s="2"/>
      <c r="AG1337" s="2"/>
      <c r="AH1337" s="2"/>
      <c r="AI1337" s="2"/>
      <c r="AJ1337" s="2"/>
      <c r="AK1337" s="2"/>
      <c r="AL1337" s="2"/>
    </row>
    <row r="1338" spans="1:38" ht="30" customHeight="1" x14ac:dyDescent="0.25">
      <c r="A1338" s="2"/>
      <c r="B1338" s="178"/>
      <c r="C1338" s="779"/>
      <c r="D1338" s="780"/>
      <c r="E1338" s="2649" t="str">
        <f>Translations!$B$550</f>
        <v>Detta underavsnitt avser tillskrivning av utsläpp från bränsle-/materialmängder, utsläppskällor, import och export av mätbar värme och restgaser inklusive värmeförluster i enlighet med avsnitt 10 i bilaga VII till FAR.</v>
      </c>
      <c r="F1338" s="2649"/>
      <c r="G1338" s="2649"/>
      <c r="H1338" s="2649"/>
      <c r="I1338" s="2649"/>
      <c r="J1338" s="2649"/>
      <c r="K1338" s="2649"/>
      <c r="L1338" s="2649"/>
      <c r="M1338" s="2649"/>
      <c r="N1338" s="2650"/>
      <c r="O1338" s="15"/>
      <c r="P1338" s="15"/>
      <c r="Q1338" s="343"/>
      <c r="R1338" s="2"/>
      <c r="S1338" s="2"/>
      <c r="T1338" s="2"/>
      <c r="U1338" s="2"/>
      <c r="V1338" s="2"/>
      <c r="W1338" s="2"/>
      <c r="X1338" s="2"/>
      <c r="Y1338" s="2"/>
      <c r="Z1338" s="2"/>
      <c r="AA1338" s="2"/>
      <c r="AB1338" s="2"/>
      <c r="AC1338" s="2"/>
      <c r="AD1338" s="2"/>
      <c r="AE1338" s="2"/>
      <c r="AF1338" s="2"/>
      <c r="AG1338" s="2"/>
      <c r="AH1338" s="2"/>
      <c r="AI1338" s="2"/>
      <c r="AJ1338" s="2"/>
      <c r="AK1338" s="2"/>
      <c r="AL1338" s="2"/>
    </row>
    <row r="1339" spans="1:38" ht="30" customHeight="1" x14ac:dyDescent="0.25">
      <c r="A1339" s="2"/>
      <c r="B1339" s="178"/>
      <c r="C1339" s="779"/>
      <c r="D1339" s="780"/>
      <c r="E1339" s="2649" t="str">
        <f>Translations!$B$551</f>
        <v xml:space="preserve">Var god notera att även om viss vägledning ges för varje punkt nedan bör ytterligare information inhämtas från vägledning 5 (”Monitoring and Reporting in relation to the FAR”), som också innehåller exempel. </v>
      </c>
      <c r="F1339" s="2649"/>
      <c r="G1339" s="2649"/>
      <c r="H1339" s="2649"/>
      <c r="I1339" s="2649"/>
      <c r="J1339" s="2649"/>
      <c r="K1339" s="2649"/>
      <c r="L1339" s="2649"/>
      <c r="M1339" s="2649"/>
      <c r="N1339" s="2597"/>
      <c r="O1339" s="15"/>
      <c r="P1339" s="15"/>
      <c r="Q1339" s="343"/>
      <c r="R1339" s="2"/>
      <c r="S1339" s="2"/>
      <c r="T1339" s="2"/>
      <c r="U1339" s="2"/>
      <c r="V1339" s="2"/>
      <c r="W1339" s="2"/>
      <c r="X1339" s="2"/>
      <c r="Y1339" s="2"/>
      <c r="Z1339" s="2"/>
      <c r="AA1339" s="2"/>
      <c r="AB1339" s="2"/>
      <c r="AC1339" s="2"/>
      <c r="AD1339" s="2"/>
      <c r="AE1339" s="2"/>
      <c r="AF1339" s="2"/>
      <c r="AG1339" s="2"/>
      <c r="AH1339" s="2"/>
      <c r="AI1339" s="2"/>
      <c r="AJ1339" s="2"/>
      <c r="AK1339" s="2"/>
      <c r="AL1339" s="2"/>
    </row>
    <row r="1340" spans="1:38" ht="12.75" customHeight="1" x14ac:dyDescent="0.25">
      <c r="A1340" s="2"/>
      <c r="B1340" s="178"/>
      <c r="C1340" s="779"/>
      <c r="D1340" s="780"/>
      <c r="E1340" s="2649" t="str">
        <f>Translations!$B$552</f>
        <v xml:space="preserve">Vägledningen kan laddas ner via följande länk: </v>
      </c>
      <c r="F1340" s="1960"/>
      <c r="G1340" s="1960"/>
      <c r="H1340" s="1960"/>
      <c r="I1340" s="1960"/>
      <c r="J1340" s="1960"/>
      <c r="K1340" s="1960"/>
      <c r="L1340" s="1960"/>
      <c r="M1340" s="1960"/>
      <c r="N1340" s="2597"/>
      <c r="O1340" s="15"/>
      <c r="P1340" s="15"/>
      <c r="Q1340" s="343"/>
      <c r="R1340" s="2"/>
      <c r="S1340" s="2"/>
      <c r="T1340" s="2"/>
      <c r="U1340" s="2"/>
      <c r="V1340" s="2"/>
      <c r="W1340" s="2"/>
      <c r="X1340" s="2"/>
      <c r="Y1340" s="2"/>
      <c r="Z1340" s="2"/>
      <c r="AA1340" s="2"/>
      <c r="AB1340" s="2"/>
      <c r="AC1340" s="2"/>
      <c r="AD1340" s="2"/>
      <c r="AE1340" s="2"/>
      <c r="AF1340" s="2"/>
      <c r="AG1340" s="2"/>
      <c r="AH1340" s="2"/>
      <c r="AI1340" s="2"/>
      <c r="AJ1340" s="2"/>
      <c r="AK1340" s="2"/>
      <c r="AL1340" s="2"/>
    </row>
    <row r="1341" spans="1:38" ht="15" customHeight="1" x14ac:dyDescent="0.25">
      <c r="A1341" s="2"/>
      <c r="B1341" s="178"/>
      <c r="C1341" s="779"/>
      <c r="D1341" s="780"/>
      <c r="E1341" s="2651" t="str">
        <f>Translations!$B$553</f>
        <v>https://ec.europa.eu/clima/policies/ets/allowances_en#tab-0-1</v>
      </c>
      <c r="F1341" s="2651"/>
      <c r="G1341" s="2651"/>
      <c r="H1341" s="2651"/>
      <c r="I1341" s="2651"/>
      <c r="J1341" s="2651"/>
      <c r="K1341" s="2651"/>
      <c r="L1341" s="2651"/>
      <c r="M1341" s="2651"/>
      <c r="N1341" s="2624"/>
      <c r="O1341" s="15"/>
      <c r="P1341" s="15"/>
      <c r="Q1341" s="343"/>
      <c r="R1341" s="2"/>
      <c r="S1341" s="2"/>
      <c r="T1341" s="2"/>
      <c r="U1341" s="2"/>
      <c r="V1341" s="2"/>
      <c r="W1341" s="2"/>
      <c r="X1341" s="2"/>
      <c r="Y1341" s="2"/>
      <c r="Z1341" s="2"/>
      <c r="AA1341" s="2"/>
      <c r="AB1341" s="2"/>
      <c r="AC1341" s="2"/>
      <c r="AD1341" s="2"/>
      <c r="AE1341" s="2"/>
      <c r="AF1341" s="2"/>
      <c r="AG1341" s="2"/>
      <c r="AH1341" s="2"/>
      <c r="AI1341" s="2"/>
      <c r="AJ1341" s="2"/>
      <c r="AK1341" s="2"/>
      <c r="AL1341" s="2"/>
    </row>
    <row r="1342" spans="1:38" ht="5.15" customHeight="1" x14ac:dyDescent="0.25">
      <c r="A1342" s="2"/>
      <c r="B1342" s="19"/>
      <c r="C1342" s="371"/>
      <c r="D1342" s="360"/>
      <c r="E1342" s="360"/>
      <c r="F1342" s="360"/>
      <c r="G1342" s="360"/>
      <c r="H1342" s="360"/>
      <c r="I1342" s="360"/>
      <c r="J1342" s="360"/>
      <c r="K1342" s="360"/>
      <c r="L1342" s="360"/>
      <c r="M1342" s="360"/>
      <c r="N1342" s="372"/>
      <c r="O1342" s="15"/>
      <c r="P1342" s="15"/>
      <c r="Q1342" s="2"/>
      <c r="R1342" s="2"/>
      <c r="S1342" s="343"/>
      <c r="T1342" s="343"/>
      <c r="U1342" s="2"/>
      <c r="V1342" s="2"/>
      <c r="W1342" s="2"/>
      <c r="X1342" s="2"/>
      <c r="Y1342" s="2"/>
      <c r="Z1342" s="2"/>
      <c r="AA1342" s="2"/>
      <c r="AB1342" s="2"/>
      <c r="AC1342" s="2"/>
      <c r="AD1342" s="2"/>
      <c r="AE1342" s="2"/>
      <c r="AF1342" s="2"/>
      <c r="AG1342" s="2"/>
      <c r="AH1342" s="2"/>
      <c r="AI1342" s="2"/>
      <c r="AJ1342" s="2"/>
      <c r="AK1342" s="2"/>
      <c r="AL1342" s="2"/>
    </row>
    <row r="1343" spans="1:38" ht="15" customHeight="1" x14ac:dyDescent="0.25">
      <c r="A1343" s="2"/>
      <c r="B1343" s="178"/>
      <c r="C1343" s="779"/>
      <c r="D1343" s="780"/>
      <c r="E1343" s="2633" t="str">
        <f>Translations!$B$554</f>
        <v>Utifrån de uppgifter som anges nedan beräknas de tillskrivna utsläppen i avsnitt K.III.2 i det sammanfattande bladet "K_Summary".</v>
      </c>
      <c r="F1343" s="2633"/>
      <c r="G1343" s="2633"/>
      <c r="H1343" s="2633"/>
      <c r="I1343" s="2633"/>
      <c r="J1343" s="2633"/>
      <c r="K1343" s="2633"/>
      <c r="L1343" s="2633"/>
      <c r="M1343" s="2633"/>
      <c r="N1343" s="2624"/>
      <c r="O1343" s="15"/>
      <c r="P1343" s="15"/>
      <c r="Q1343" s="343"/>
      <c r="R1343" s="2"/>
      <c r="S1343" s="2"/>
      <c r="T1343" s="2"/>
      <c r="U1343" s="2"/>
      <c r="V1343" s="2"/>
      <c r="W1343" s="2"/>
      <c r="X1343" s="2"/>
      <c r="Y1343" s="2"/>
      <c r="Z1343" s="2"/>
      <c r="AA1343" s="2"/>
      <c r="AB1343" s="2"/>
      <c r="AC1343" s="2"/>
      <c r="AD1343" s="2"/>
      <c r="AE1343" s="2"/>
      <c r="AF1343" s="2"/>
      <c r="AG1343" s="2"/>
      <c r="AH1343" s="2"/>
      <c r="AI1343" s="2"/>
      <c r="AJ1343" s="2"/>
      <c r="AK1343" s="2"/>
      <c r="AL1343" s="2"/>
    </row>
    <row r="1344" spans="1:38" ht="5.15" customHeight="1" x14ac:dyDescent="0.25">
      <c r="A1344" s="2"/>
      <c r="B1344" s="19"/>
      <c r="C1344" s="371"/>
      <c r="D1344" s="360"/>
      <c r="E1344" s="360"/>
      <c r="F1344" s="360"/>
      <c r="G1344" s="360"/>
      <c r="H1344" s="360"/>
      <c r="I1344" s="360"/>
      <c r="J1344" s="360"/>
      <c r="K1344" s="360"/>
      <c r="L1344" s="360"/>
      <c r="M1344" s="360"/>
      <c r="N1344" s="372"/>
      <c r="O1344" s="15"/>
      <c r="P1344" s="15"/>
      <c r="Q1344" s="2"/>
      <c r="R1344" s="2"/>
      <c r="S1344" s="343"/>
      <c r="T1344" s="343"/>
      <c r="U1344" s="2"/>
      <c r="V1344" s="2"/>
      <c r="W1344" s="2"/>
      <c r="X1344" s="2"/>
      <c r="Y1344" s="2"/>
      <c r="Z1344" s="2"/>
      <c r="AA1344" s="2"/>
      <c r="AB1344" s="2"/>
      <c r="AC1344" s="2"/>
      <c r="AD1344" s="2"/>
      <c r="AE1344" s="2"/>
      <c r="AF1344" s="2"/>
      <c r="AG1344" s="2"/>
      <c r="AH1344" s="2"/>
      <c r="AI1344" s="2"/>
      <c r="AJ1344" s="2"/>
      <c r="AK1344" s="2"/>
      <c r="AL1344" s="2"/>
    </row>
    <row r="1345" spans="1:38" ht="12.75" customHeight="1" x14ac:dyDescent="0.25">
      <c r="A1345" s="2"/>
      <c r="B1345" s="178"/>
      <c r="C1345" s="779"/>
      <c r="D1345" s="373" t="s">
        <v>299</v>
      </c>
      <c r="E1345" s="2634" t="str">
        <f>Translations!$B$555</f>
        <v>Utsläpp som direkt kan tillskrivas (DirEm* (bränsle-/materialmängder enligt övervakningsplan)) delanläggningen</v>
      </c>
      <c r="F1345" s="2635"/>
      <c r="G1345" s="2635"/>
      <c r="H1345" s="2635"/>
      <c r="I1345" s="2635"/>
      <c r="J1345" s="2635"/>
      <c r="K1345" s="2635"/>
      <c r="L1345" s="2635"/>
      <c r="M1345" s="2635"/>
      <c r="N1345" s="2636"/>
      <c r="O1345" s="15"/>
      <c r="P1345" s="15"/>
      <c r="Q1345" s="343"/>
      <c r="R1345" s="2"/>
      <c r="S1345" s="343"/>
      <c r="T1345" s="343"/>
      <c r="U1345" s="2"/>
      <c r="V1345" s="2"/>
      <c r="W1345" s="2"/>
      <c r="X1345" s="2"/>
      <c r="Y1345" s="2"/>
      <c r="Z1345" s="2"/>
      <c r="AA1345" s="2"/>
      <c r="AB1345" s="2"/>
      <c r="AC1345" s="2"/>
      <c r="AD1345" s="2"/>
      <c r="AE1345" s="2"/>
      <c r="AF1345" s="2"/>
      <c r="AG1345" s="2"/>
      <c r="AH1345" s="2"/>
      <c r="AI1345" s="2"/>
      <c r="AJ1345" s="2"/>
      <c r="AK1345" s="2"/>
      <c r="AL1345" s="2"/>
    </row>
    <row r="1346" spans="1:38" ht="12.75" customHeight="1" x14ac:dyDescent="0.25">
      <c r="A1346" s="2"/>
      <c r="B1346" s="178"/>
      <c r="C1346" s="779"/>
      <c r="D1346" s="416"/>
      <c r="E1346" s="2637" t="str">
        <f>Translations!$B$556</f>
        <v>De uppgifter som anges här påverkar de utsläpp som kan tillskrivas i enlighet med avsnitt 10.1.1 i bilaga VII till FAR.</v>
      </c>
      <c r="F1346" s="2634"/>
      <c r="G1346" s="2634"/>
      <c r="H1346" s="2634"/>
      <c r="I1346" s="2634"/>
      <c r="J1346" s="2634"/>
      <c r="K1346" s="2634"/>
      <c r="L1346" s="2634"/>
      <c r="M1346" s="2634"/>
      <c r="N1346" s="2638"/>
      <c r="O1346" s="15"/>
      <c r="P1346" s="15"/>
      <c r="Q1346" s="343"/>
      <c r="R1346" s="2"/>
      <c r="S1346" s="343"/>
      <c r="T1346" s="343"/>
      <c r="U1346" s="2"/>
      <c r="V1346" s="2"/>
      <c r="W1346" s="2"/>
      <c r="X1346" s="2"/>
      <c r="Y1346" s="2"/>
      <c r="Z1346" s="2"/>
      <c r="AA1346" s="2"/>
      <c r="AB1346" s="2"/>
      <c r="AC1346" s="2"/>
      <c r="AD1346" s="2"/>
      <c r="AE1346" s="2"/>
      <c r="AF1346" s="2"/>
      <c r="AG1346" s="2"/>
      <c r="AH1346" s="2"/>
      <c r="AI1346" s="2"/>
      <c r="AJ1346" s="2"/>
      <c r="AK1346" s="2"/>
      <c r="AL1346" s="2"/>
    </row>
    <row r="1347" spans="1:38" ht="12.75" customHeight="1" x14ac:dyDescent="0.25">
      <c r="A1347" s="2"/>
      <c r="B1347" s="178"/>
      <c r="C1347" s="779"/>
      <c r="D1347" s="780"/>
      <c r="E1347" s="2639" t="str">
        <f>Translations!$B$557</f>
        <v>Var god ange utsläpp som direkt kan tillskrivas (DirEm* (bränsle-/materialmängder enligt övervakningsplan)) delanläggningen med beaktande av följande bestämmelser:</v>
      </c>
      <c r="F1347" s="2639"/>
      <c r="G1347" s="2639"/>
      <c r="H1347" s="2639"/>
      <c r="I1347" s="2639"/>
      <c r="J1347" s="2639"/>
      <c r="K1347" s="2639"/>
      <c r="L1347" s="2639"/>
      <c r="M1347" s="2639"/>
      <c r="N1347" s="2640"/>
      <c r="O1347" s="15"/>
      <c r="P1347" s="15"/>
      <c r="Q1347" s="343"/>
      <c r="R1347" s="2"/>
      <c r="S1347" s="343"/>
      <c r="T1347" s="2"/>
      <c r="U1347" s="2"/>
      <c r="V1347" s="2"/>
      <c r="W1347" s="2"/>
      <c r="X1347" s="2"/>
      <c r="Y1347" s="2"/>
      <c r="Z1347" s="2"/>
      <c r="AA1347" s="2"/>
      <c r="AB1347" s="2"/>
      <c r="AC1347" s="2"/>
      <c r="AD1347" s="2"/>
      <c r="AE1347" s="2"/>
      <c r="AF1347" s="2"/>
      <c r="AG1347" s="2"/>
      <c r="AH1347" s="2"/>
      <c r="AI1347" s="2"/>
      <c r="AJ1347" s="2"/>
      <c r="AK1347" s="2"/>
      <c r="AL1347" s="2"/>
    </row>
    <row r="1348" spans="1:38" ht="25.5" customHeight="1" x14ac:dyDescent="0.25">
      <c r="A1348" s="2"/>
      <c r="B1348" s="178"/>
      <c r="C1348" s="779"/>
      <c r="D1348" s="780"/>
      <c r="E1348" s="1140" t="s">
        <v>1112</v>
      </c>
      <c r="F1348" s="2641" t="str">
        <f>Translations!$B$558</f>
        <v>”Utsläpp som direkt kan tillskrivas” övervakas enligt den övervakningsplan som ska godkännas enligt M&amp;R-förordningen, dvs. med hänsyn tagen till de utsläpp som fastställts utifrån beräkningsbaserade metoder (med hjälp av bränsle-/materialmängder), mätbaserade metoder (Cems) och nivålösa metoder (”alternativa övervakningsmetoder”/”fall-back”).</v>
      </c>
      <c r="G1348" s="2642"/>
      <c r="H1348" s="2642"/>
      <c r="I1348" s="2642"/>
      <c r="J1348" s="2642"/>
      <c r="K1348" s="2642"/>
      <c r="L1348" s="2642"/>
      <c r="M1348" s="2642"/>
      <c r="N1348" s="2643"/>
      <c r="O1348" s="15"/>
      <c r="P1348" s="15"/>
      <c r="Q1348" s="343"/>
      <c r="R1348" s="2"/>
      <c r="S1348" s="343"/>
      <c r="T1348" s="2"/>
      <c r="U1348" s="2"/>
      <c r="V1348" s="2"/>
      <c r="W1348" s="2"/>
      <c r="X1348" s="2"/>
      <c r="Y1348" s="2"/>
      <c r="Z1348" s="2"/>
      <c r="AA1348" s="2"/>
      <c r="AB1348" s="2"/>
      <c r="AC1348" s="2"/>
      <c r="AD1348" s="2"/>
      <c r="AE1348" s="2"/>
      <c r="AF1348" s="2"/>
      <c r="AG1348" s="2"/>
      <c r="AH1348" s="2"/>
      <c r="AI1348" s="2"/>
      <c r="AJ1348" s="2"/>
      <c r="AK1348" s="2"/>
      <c r="AL1348" s="2"/>
    </row>
    <row r="1349" spans="1:38" ht="38.25" customHeight="1" x14ac:dyDescent="0.25">
      <c r="A1349" s="2"/>
      <c r="B1349" s="178"/>
      <c r="C1349" s="779"/>
      <c r="D1349" s="780"/>
      <c r="E1349" s="1140"/>
      <c r="F1349" s="2610" t="str">
        <f>Translations!$B$559</f>
        <v>I flera situationer är ”utsläppen som direkt kan tillskrivas” i detta avsnitt dock inte identiska med de som ska rapporteras enligt M&amp;R-förordningen. Sådana situationer är bland annat när bränsle-/materialmängder används för produktion av mätbar värme, restgaser osv. Med andra ord måste man därför vara uppmärksam när man fyller i avsnitten nedan, så att man följer instruktionerna noggrant för att undvika dubbelräkning eller utelämnanden.</v>
      </c>
      <c r="G1349" s="1960"/>
      <c r="H1349" s="1960"/>
      <c r="I1349" s="1960"/>
      <c r="J1349" s="1960"/>
      <c r="K1349" s="1960"/>
      <c r="L1349" s="1960"/>
      <c r="M1349" s="1960"/>
      <c r="N1349" s="2597"/>
      <c r="O1349" s="15"/>
      <c r="P1349" s="15"/>
      <c r="Q1349" s="343"/>
      <c r="R1349" s="2"/>
      <c r="S1349" s="343"/>
      <c r="T1349" s="2"/>
      <c r="U1349" s="2"/>
      <c r="V1349" s="2"/>
      <c r="W1349" s="2"/>
      <c r="X1349" s="2"/>
      <c r="Y1349" s="2"/>
      <c r="Z1349" s="2"/>
      <c r="AA1349" s="2"/>
      <c r="AB1349" s="2"/>
      <c r="AC1349" s="2"/>
      <c r="AD1349" s="2"/>
      <c r="AE1349" s="2"/>
      <c r="AF1349" s="2"/>
      <c r="AG1349" s="2"/>
      <c r="AH1349" s="2"/>
      <c r="AI1349" s="2"/>
      <c r="AJ1349" s="2"/>
      <c r="AK1349" s="2"/>
      <c r="AL1349" s="2"/>
    </row>
    <row r="1350" spans="1:38" ht="12.75" customHeight="1" x14ac:dyDescent="0.25">
      <c r="A1350" s="2"/>
      <c r="B1350" s="178"/>
      <c r="C1350" s="779"/>
      <c r="D1350" s="780"/>
      <c r="E1350" s="1140" t="s">
        <v>1112</v>
      </c>
      <c r="F1350" s="2641" t="str">
        <f>Translations!$B$560</f>
        <v xml:space="preserve">Mätbar värme: om värmen enbart produceras för en delanläggning kan utsläppen tillskrivas direkt här via bränslets utsläpp. </v>
      </c>
      <c r="G1350" s="2642"/>
      <c r="H1350" s="2642"/>
      <c r="I1350" s="2642"/>
      <c r="J1350" s="2642"/>
      <c r="K1350" s="2642"/>
      <c r="L1350" s="2642"/>
      <c r="M1350" s="2642"/>
      <c r="N1350" s="2643"/>
      <c r="O1350" s="15"/>
      <c r="P1350" s="15"/>
      <c r="Q1350" s="343"/>
      <c r="R1350" s="2"/>
      <c r="S1350" s="343"/>
      <c r="T1350" s="2"/>
      <c r="U1350" s="2"/>
      <c r="V1350" s="2"/>
      <c r="W1350" s="2"/>
      <c r="X1350" s="2"/>
      <c r="Y1350" s="2"/>
      <c r="Z1350" s="2"/>
      <c r="AA1350" s="2"/>
      <c r="AB1350" s="2"/>
      <c r="AC1350" s="2"/>
      <c r="AD1350" s="2"/>
      <c r="AE1350" s="2"/>
      <c r="AF1350" s="2"/>
      <c r="AG1350" s="2"/>
      <c r="AH1350" s="2"/>
      <c r="AI1350" s="2"/>
      <c r="AJ1350" s="2"/>
      <c r="AK1350" s="2"/>
      <c r="AL1350" s="2"/>
    </row>
    <row r="1351" spans="1:38" ht="38.9" customHeight="1" x14ac:dyDescent="0.25">
      <c r="A1351" s="2"/>
      <c r="B1351" s="178"/>
      <c r="C1351" s="779"/>
      <c r="D1351" s="780"/>
      <c r="E1351" s="1140"/>
      <c r="F1351" s="2641" t="str">
        <f>Translations!$B$561</f>
        <v>I samtliga fall där bränslen används för att producera mätbar värme som används i mer än en delanläggning där värmen förbrukas (vilket innefattar situationer med import från och export till andra anläggningar), bör bränslena inte räknas med i de ”utsläpp som direkt kan tillskrivas” delanläggningen utan tas med i punkt k nedan.</v>
      </c>
      <c r="G1351" s="2642"/>
      <c r="H1351" s="2642"/>
      <c r="I1351" s="2642"/>
      <c r="J1351" s="2642"/>
      <c r="K1351" s="2642"/>
      <c r="L1351" s="2642"/>
      <c r="M1351" s="2642"/>
      <c r="N1351" s="2643"/>
      <c r="O1351" s="15"/>
      <c r="P1351" s="15"/>
      <c r="Q1351" s="343"/>
      <c r="R1351" s="2"/>
      <c r="S1351" s="343"/>
      <c r="T1351" s="2"/>
      <c r="U1351" s="2"/>
      <c r="V1351" s="2"/>
      <c r="W1351" s="2"/>
      <c r="X1351" s="2"/>
      <c r="Y1351" s="2"/>
      <c r="Z1351" s="2"/>
      <c r="AA1351" s="2"/>
      <c r="AB1351" s="2"/>
      <c r="AC1351" s="2"/>
      <c r="AD1351" s="2"/>
      <c r="AE1351" s="2"/>
      <c r="AF1351" s="2"/>
      <c r="AG1351" s="2"/>
      <c r="AH1351" s="2"/>
      <c r="AI1351" s="2"/>
      <c r="AJ1351" s="2"/>
      <c r="AK1351" s="2"/>
      <c r="AL1351" s="2"/>
    </row>
    <row r="1352" spans="1:38" ht="25.5" customHeight="1" x14ac:dyDescent="0.25">
      <c r="A1352" s="2"/>
      <c r="B1352" s="178"/>
      <c r="C1352" s="779"/>
      <c r="D1352" s="780"/>
      <c r="E1352" s="1140"/>
      <c r="F1352" s="2641" t="str">
        <f>Translations!$B$562</f>
        <v>Detta innefattar mätbar värme från en enhet på platsen (t.ex. en energicentral vid anläggningen eller ett mer komplext ångnätverk med flera värmeproducerande enheter) som ger värme till mer än en delanläggning. I ett sådant fall bör utsläppen inte heller tillskrivas här utan i punkt k.i nedan.</v>
      </c>
      <c r="G1352" s="2642"/>
      <c r="H1352" s="2642"/>
      <c r="I1352" s="2642"/>
      <c r="J1352" s="2642"/>
      <c r="K1352" s="2642"/>
      <c r="L1352" s="2642"/>
      <c r="M1352" s="2642"/>
      <c r="N1352" s="2643"/>
      <c r="O1352" s="15"/>
      <c r="P1352" s="15"/>
      <c r="Q1352" s="343"/>
      <c r="R1352" s="2"/>
      <c r="S1352" s="343"/>
      <c r="T1352" s="2"/>
      <c r="U1352" s="2"/>
      <c r="V1352" s="2"/>
      <c r="W1352" s="2"/>
      <c r="X1352" s="2"/>
      <c r="Y1352" s="2"/>
      <c r="Z1352" s="2"/>
      <c r="AA1352" s="2"/>
      <c r="AB1352" s="2"/>
      <c r="AC1352" s="2"/>
      <c r="AD1352" s="2"/>
      <c r="AE1352" s="2"/>
      <c r="AF1352" s="2"/>
      <c r="AG1352" s="2"/>
      <c r="AH1352" s="2"/>
      <c r="AI1352" s="2"/>
      <c r="AJ1352" s="2"/>
      <c r="AK1352" s="2"/>
      <c r="AL1352" s="2"/>
    </row>
    <row r="1353" spans="1:38" ht="25.5" customHeight="1" x14ac:dyDescent="0.25">
      <c r="A1353" s="2"/>
      <c r="B1353" s="178"/>
      <c r="C1353" s="779"/>
      <c r="D1353" s="780"/>
      <c r="E1353" s="1140" t="s">
        <v>1112</v>
      </c>
      <c r="F1353" s="2641" t="str">
        <f>Translations!$B$563</f>
        <v>Exporterad mätbar värme: inga korrigeringar bör göras här om sådan värme återvinns från processen och exporteras. Avdrag för tillhörande utsläpp görs utifrån de uppgifter som ges i punkt k.v nedan.</v>
      </c>
      <c r="G1353" s="2642"/>
      <c r="H1353" s="2642"/>
      <c r="I1353" s="2642"/>
      <c r="J1353" s="2642"/>
      <c r="K1353" s="2642"/>
      <c r="L1353" s="2642"/>
      <c r="M1353" s="2642"/>
      <c r="N1353" s="2643"/>
      <c r="O1353" s="15"/>
      <c r="P1353" s="15"/>
      <c r="Q1353" s="343"/>
      <c r="R1353" s="2"/>
      <c r="S1353" s="343"/>
      <c r="T1353" s="2"/>
      <c r="U1353" s="2"/>
      <c r="V1353" s="2"/>
      <c r="W1353" s="2"/>
      <c r="X1353" s="2"/>
      <c r="Y1353" s="2"/>
      <c r="Z1353" s="2"/>
      <c r="AA1353" s="2"/>
      <c r="AB1353" s="2"/>
      <c r="AC1353" s="2"/>
      <c r="AD1353" s="2"/>
      <c r="AE1353" s="2"/>
      <c r="AF1353" s="2"/>
      <c r="AG1353" s="2"/>
      <c r="AH1353" s="2"/>
      <c r="AI1353" s="2"/>
      <c r="AJ1353" s="2"/>
      <c r="AK1353" s="2"/>
      <c r="AL1353" s="2"/>
    </row>
    <row r="1354" spans="1:38" ht="25.5" customHeight="1" thickBot="1" x14ac:dyDescent="0.3">
      <c r="A1354" s="2"/>
      <c r="B1354" s="178"/>
      <c r="C1354" s="779"/>
      <c r="D1354" s="780"/>
      <c r="E1354" s="1140" t="s">
        <v>1112</v>
      </c>
      <c r="F1354" s="2641" t="str">
        <f>Translations!$B$564</f>
        <v>Restgaser: utsläpp från restgaser som IMPORTERAS från andra anläggningar eller delanläggningar och förbrukas i denna delanläggning bör inte tas med här utan i punkt l nedan.</v>
      </c>
      <c r="G1354" s="2642"/>
      <c r="H1354" s="2642"/>
      <c r="I1354" s="2642"/>
      <c r="J1354" s="2642"/>
      <c r="K1354" s="2642"/>
      <c r="L1354" s="2642"/>
      <c r="M1354" s="2642"/>
      <c r="N1354" s="2643"/>
      <c r="O1354" s="15"/>
      <c r="P1354" s="15"/>
      <c r="Q1354" s="343"/>
      <c r="R1354" s="2"/>
      <c r="S1354" s="343"/>
      <c r="T1354" s="2"/>
      <c r="U1354" s="2"/>
      <c r="V1354" s="2"/>
      <c r="W1354" s="2"/>
      <c r="X1354" s="2"/>
      <c r="Y1354" s="2"/>
      <c r="Z1354" s="2"/>
      <c r="AA1354" s="2"/>
      <c r="AB1354" s="2"/>
      <c r="AC1354" s="2"/>
      <c r="AD1354" s="2"/>
      <c r="AE1354" s="2"/>
      <c r="AF1354" s="2"/>
      <c r="AG1354" s="2"/>
      <c r="AH1354" s="2"/>
      <c r="AI1354" s="2"/>
      <c r="AJ1354" s="2"/>
      <c r="AK1354" s="2"/>
      <c r="AL1354" s="2"/>
    </row>
    <row r="1355" spans="1:38" ht="12.75" customHeight="1" thickBot="1" x14ac:dyDescent="0.3">
      <c r="A1355" s="2"/>
      <c r="B1355" s="178"/>
      <c r="C1355" s="779"/>
      <c r="D1355" s="373"/>
      <c r="E1355" s="2605" t="str">
        <f>Translations!$B$565</f>
        <v>Utsläpp som direkt kan tillskrivas (DirEm*)</v>
      </c>
      <c r="F1355" s="2605"/>
      <c r="G1355" s="361" t="str">
        <f>EUconst_Unit</f>
        <v>Enhet</v>
      </c>
      <c r="H1355" s="362">
        <f t="shared" ref="H1355:N1355" si="585">H$3042</f>
        <v>2019</v>
      </c>
      <c r="I1355" s="1103">
        <f t="shared" si="585"/>
        <v>2020</v>
      </c>
      <c r="J1355" s="1104">
        <f t="shared" si="585"/>
        <v>2021</v>
      </c>
      <c r="K1355" s="362">
        <f t="shared" si="585"/>
        <v>2022</v>
      </c>
      <c r="L1355" s="362">
        <f t="shared" si="585"/>
        <v>2023</v>
      </c>
      <c r="M1355" s="362">
        <f t="shared" si="585"/>
        <v>2024</v>
      </c>
      <c r="N1355" s="1141">
        <f t="shared" si="585"/>
        <v>2025</v>
      </c>
      <c r="O1355" s="15"/>
      <c r="P1355" s="15"/>
      <c r="Q1355" s="343"/>
      <c r="R1355" s="2"/>
      <c r="S1355" s="772"/>
      <c r="T1355" s="609">
        <f t="shared" ref="T1355:Z1355" si="586">H1355</f>
        <v>2019</v>
      </c>
      <c r="U1355" s="609">
        <f t="shared" si="586"/>
        <v>2020</v>
      </c>
      <c r="V1355" s="609">
        <f t="shared" si="586"/>
        <v>2021</v>
      </c>
      <c r="W1355" s="609">
        <f t="shared" si="586"/>
        <v>2022</v>
      </c>
      <c r="X1355" s="609">
        <f t="shared" si="586"/>
        <v>2023</v>
      </c>
      <c r="Y1355" s="609">
        <f t="shared" si="586"/>
        <v>2024</v>
      </c>
      <c r="Z1355" s="610">
        <f t="shared" si="586"/>
        <v>2025</v>
      </c>
      <c r="AA1355" s="2"/>
      <c r="AB1355" s="2"/>
      <c r="AC1355" s="1044">
        <f t="shared" ref="AC1355:AI1355" si="587">H$20</f>
        <v>2019</v>
      </c>
      <c r="AD1355" s="1044">
        <f t="shared" si="587"/>
        <v>2020</v>
      </c>
      <c r="AE1355" s="1044">
        <f t="shared" si="587"/>
        <v>2021</v>
      </c>
      <c r="AF1355" s="1044">
        <f t="shared" si="587"/>
        <v>2022</v>
      </c>
      <c r="AG1355" s="1044">
        <f t="shared" si="587"/>
        <v>2023</v>
      </c>
      <c r="AH1355" s="1044">
        <f t="shared" si="587"/>
        <v>2024</v>
      </c>
      <c r="AI1355" s="1044">
        <f t="shared" si="587"/>
        <v>2025</v>
      </c>
      <c r="AJ1355" s="2"/>
      <c r="AK1355" s="2"/>
      <c r="AL1355" s="2"/>
    </row>
    <row r="1356" spans="1:38" ht="12.75" customHeight="1" thickBot="1" x14ac:dyDescent="0.3">
      <c r="A1356" s="2"/>
      <c r="B1356" s="178"/>
      <c r="C1356" s="779"/>
      <c r="D1356" s="780"/>
      <c r="E1356" s="2617" t="str">
        <f>I1221</f>
        <v/>
      </c>
      <c r="F1356" s="1997"/>
      <c r="G1356" s="363" t="str">
        <f>EUconst_tCO2epa</f>
        <v>t CO2e/år</v>
      </c>
      <c r="H1356" s="582"/>
      <c r="I1356" s="1105"/>
      <c r="J1356" s="1115"/>
      <c r="K1356" s="582"/>
      <c r="L1356" s="582"/>
      <c r="M1356" s="582"/>
      <c r="N1356" s="1146"/>
      <c r="O1356" s="15"/>
      <c r="P1356" s="1362"/>
      <c r="Q1356" s="165" t="str">
        <f>EUconst_CNTR_Emissions &amp; I1221</f>
        <v>DirEmissions_</v>
      </c>
      <c r="R1356" s="2"/>
      <c r="S1356" s="773" t="str">
        <f>EUconst_CNTR_AttributedEmissions &amp; I1221</f>
        <v>AttrEmissions_</v>
      </c>
      <c r="T1356" s="111" t="str">
        <f t="shared" ref="T1356:Z1356" si="588">IF(T1229,SUM(H1356),"")</f>
        <v/>
      </c>
      <c r="U1356" s="111" t="str">
        <f t="shared" si="588"/>
        <v/>
      </c>
      <c r="V1356" s="111" t="str">
        <f t="shared" si="588"/>
        <v/>
      </c>
      <c r="W1356" s="111" t="str">
        <f t="shared" si="588"/>
        <v/>
      </c>
      <c r="X1356" s="111" t="str">
        <f t="shared" si="588"/>
        <v/>
      </c>
      <c r="Y1356" s="111" t="str">
        <f t="shared" si="588"/>
        <v/>
      </c>
      <c r="Z1356" s="112" t="str">
        <f t="shared" si="588"/>
        <v/>
      </c>
      <c r="AA1356" s="2"/>
      <c r="AB1356" s="672" t="s">
        <v>782</v>
      </c>
      <c r="AC1356" s="108" t="b">
        <f>AC1291</f>
        <v>0</v>
      </c>
      <c r="AD1356" s="108" t="b">
        <f t="shared" ref="AD1356:AI1356" si="589">AD1291</f>
        <v>0</v>
      </c>
      <c r="AE1356" s="108" t="b">
        <f t="shared" si="589"/>
        <v>0</v>
      </c>
      <c r="AF1356" s="108" t="b">
        <f t="shared" si="589"/>
        <v>0</v>
      </c>
      <c r="AG1356" s="108" t="b">
        <f t="shared" si="589"/>
        <v>0</v>
      </c>
      <c r="AH1356" s="108" t="b">
        <f t="shared" si="589"/>
        <v>0</v>
      </c>
      <c r="AI1356" s="108" t="b">
        <f t="shared" si="589"/>
        <v>0</v>
      </c>
      <c r="AJ1356" s="553" t="s">
        <v>2248</v>
      </c>
      <c r="AK1356" s="663" t="str">
        <f>IF(AND(CNTR_ExistSubInstEntries,MSconst_RequireSubAttrEmissions,COUNTIFS(AC1356:AI1356,FALSE,H1356:N1356,"")&gt;0),EUconst_Error&amp;"BM"&amp;$Q1221,"")</f>
        <v/>
      </c>
      <c r="AL1356" s="2"/>
    </row>
    <row r="1357" spans="1:38" ht="12.75" customHeight="1" x14ac:dyDescent="0.25">
      <c r="A1357" s="2"/>
      <c r="B1357" s="178"/>
      <c r="C1357" s="779"/>
      <c r="D1357" s="780"/>
      <c r="E1357" s="780"/>
      <c r="F1357" s="780"/>
      <c r="G1357" s="780"/>
      <c r="H1357" s="780"/>
      <c r="I1357" s="780"/>
      <c r="J1357" s="780"/>
      <c r="K1357" s="780"/>
      <c r="L1357" s="780"/>
      <c r="M1357" s="623"/>
      <c r="N1357" s="519"/>
      <c r="O1357" s="15"/>
      <c r="P1357" s="15"/>
      <c r="Q1357" s="343"/>
      <c r="R1357" s="2"/>
      <c r="S1357" s="343"/>
      <c r="T1357" s="2"/>
      <c r="U1357" s="2"/>
      <c r="V1357" s="2"/>
      <c r="W1357" s="2"/>
      <c r="X1357" s="2"/>
      <c r="Y1357" s="2"/>
      <c r="Z1357" s="2"/>
      <c r="AA1357" s="2"/>
      <c r="AB1357" s="2"/>
      <c r="AC1357" s="2"/>
      <c r="AD1357" s="2"/>
      <c r="AE1357" s="2"/>
      <c r="AF1357" s="2"/>
      <c r="AG1357" s="2"/>
      <c r="AH1357" s="2"/>
      <c r="AI1357" s="2"/>
      <c r="AJ1357" s="2"/>
      <c r="AK1357" s="2"/>
      <c r="AL1357" s="2"/>
    </row>
    <row r="1358" spans="1:38" ht="12.75" customHeight="1" x14ac:dyDescent="0.25">
      <c r="A1358" s="2"/>
      <c r="B1358" s="178"/>
      <c r="C1358" s="779"/>
      <c r="D1358" s="373" t="s">
        <v>303</v>
      </c>
      <c r="E1358" s="2614" t="str">
        <f>Translations!$B$566</f>
        <v>Insatsbränsle till delanläggningen och relevant emissionsfaktor</v>
      </c>
      <c r="F1358" s="1960"/>
      <c r="G1358" s="1960"/>
      <c r="H1358" s="1960"/>
      <c r="I1358" s="1960"/>
      <c r="J1358" s="1960"/>
      <c r="K1358" s="1960"/>
      <c r="L1358" s="1960"/>
      <c r="M1358" s="1960"/>
      <c r="N1358" s="2597"/>
      <c r="O1358" s="15"/>
      <c r="P1358" s="15"/>
      <c r="Q1358" s="343"/>
      <c r="R1358" s="343"/>
      <c r="S1358" s="343"/>
      <c r="T1358" s="2"/>
      <c r="U1358" s="2"/>
      <c r="V1358" s="2"/>
      <c r="W1358" s="2"/>
      <c r="X1358" s="2"/>
      <c r="Y1358" s="2"/>
      <c r="Z1358" s="2"/>
      <c r="AA1358" s="2"/>
      <c r="AB1358" s="2"/>
      <c r="AC1358" s="2"/>
      <c r="AD1358" s="2"/>
      <c r="AE1358" s="2"/>
      <c r="AF1358" s="2"/>
      <c r="AG1358" s="2"/>
      <c r="AH1358" s="2"/>
      <c r="AI1358" s="2"/>
      <c r="AJ1358" s="2"/>
      <c r="AK1358" s="2"/>
      <c r="AL1358" s="2"/>
    </row>
    <row r="1359" spans="1:38" ht="25.5" customHeight="1" x14ac:dyDescent="0.25">
      <c r="A1359" s="2"/>
      <c r="B1359" s="178"/>
      <c r="C1359" s="779"/>
      <c r="D1359" s="780"/>
      <c r="E1359" s="2639" t="str">
        <f>Translations!$B$567</f>
        <v>I enlighet med kravet i avsnitt 2.4 a i bilaga IV till FAR, var god ange den totala bränsletillförseln till delanläggningen och motsvarande viktad emissionsfaktor, med beaktande av energiinnehållet hos varje bränsle som finns med under punkt g och med tillämpning av samma systemgränser som för punkt g.</v>
      </c>
      <c r="F1359" s="2639"/>
      <c r="G1359" s="2639"/>
      <c r="H1359" s="2639"/>
      <c r="I1359" s="2639"/>
      <c r="J1359" s="2639"/>
      <c r="K1359" s="2639"/>
      <c r="L1359" s="2639"/>
      <c r="M1359" s="2639"/>
      <c r="N1359" s="2640"/>
      <c r="O1359" s="15"/>
      <c r="P1359" s="15"/>
      <c r="Q1359" s="343"/>
      <c r="R1359" s="343"/>
      <c r="S1359" s="343"/>
      <c r="T1359" s="2"/>
      <c r="U1359" s="2"/>
      <c r="V1359" s="2"/>
      <c r="W1359" s="2"/>
      <c r="X1359" s="2"/>
      <c r="Y1359" s="2"/>
      <c r="Z1359" s="2"/>
      <c r="AA1359" s="2"/>
      <c r="AB1359" s="2"/>
      <c r="AC1359" s="2"/>
      <c r="AD1359" s="2"/>
      <c r="AE1359" s="2"/>
      <c r="AF1359" s="2"/>
      <c r="AG1359" s="2"/>
      <c r="AH1359" s="2"/>
      <c r="AI1359" s="2"/>
      <c r="AJ1359" s="2"/>
      <c r="AK1359" s="2"/>
      <c r="AL1359" s="2"/>
    </row>
    <row r="1360" spans="1:38" ht="25.5" customHeight="1" x14ac:dyDescent="0.25">
      <c r="A1360" s="2"/>
      <c r="B1360" s="178"/>
      <c r="C1360" s="779"/>
      <c r="D1360" s="780"/>
      <c r="E1360" s="2639" t="str">
        <f>Translations!$B$568</f>
        <v>Med ”bränsle” avses varje bränsle-/materialmängd enligt M&amp;R-förordningen som är brännbar och för vilken ett effektivt värmevärde kan fastställas. Den viktade emissionsfaktorn motsvarar de ackumulerade bränsleutsläppen delat med det totala energiinnehållet.</v>
      </c>
      <c r="F1360" s="2639"/>
      <c r="G1360" s="2639"/>
      <c r="H1360" s="2639"/>
      <c r="I1360" s="2639"/>
      <c r="J1360" s="2639"/>
      <c r="K1360" s="2639"/>
      <c r="L1360" s="2639"/>
      <c r="M1360" s="2639"/>
      <c r="N1360" s="2640"/>
      <c r="O1360" s="15"/>
      <c r="P1360" s="15"/>
      <c r="Q1360" s="343"/>
      <c r="R1360" s="2"/>
      <c r="S1360" s="343"/>
      <c r="T1360" s="2"/>
      <c r="U1360" s="2"/>
      <c r="V1360" s="2"/>
      <c r="W1360" s="2"/>
      <c r="X1360" s="2"/>
      <c r="Y1360" s="2"/>
      <c r="Z1360" s="2"/>
      <c r="AA1360" s="2"/>
      <c r="AB1360" s="2"/>
      <c r="AC1360" s="2"/>
      <c r="AD1360" s="2"/>
      <c r="AE1360" s="2"/>
      <c r="AF1360" s="2"/>
      <c r="AG1360" s="2"/>
      <c r="AH1360" s="2"/>
      <c r="AI1360" s="2"/>
      <c r="AJ1360" s="2"/>
      <c r="AK1360" s="2"/>
      <c r="AL1360" s="2"/>
    </row>
    <row r="1361" spans="1:38" ht="12.75" customHeight="1" x14ac:dyDescent="0.25">
      <c r="A1361" s="2"/>
      <c r="B1361" s="178"/>
      <c r="C1361" s="779"/>
      <c r="D1361" s="780"/>
      <c r="E1361" s="2639" t="str">
        <f>Translations!$B$569</f>
        <v>Den viktade emissionsfaktorn bör dessutom innefatta utsläpp från motsvarande rökgasrening, i tillämpliga fall.</v>
      </c>
      <c r="F1361" s="2639"/>
      <c r="G1361" s="2639"/>
      <c r="H1361" s="2639"/>
      <c r="I1361" s="2639"/>
      <c r="J1361" s="2639"/>
      <c r="K1361" s="2639"/>
      <c r="L1361" s="2639"/>
      <c r="M1361" s="2639"/>
      <c r="N1361" s="2640"/>
      <c r="O1361" s="15"/>
      <c r="P1361" s="15"/>
      <c r="Q1361" s="343"/>
      <c r="R1361" s="2"/>
      <c r="S1361" s="343"/>
      <c r="T1361" s="2"/>
      <c r="U1361" s="2"/>
      <c r="V1361" s="2"/>
      <c r="W1361" s="2"/>
      <c r="X1361" s="2"/>
      <c r="Y1361" s="2"/>
      <c r="Z1361" s="2"/>
      <c r="AA1361" s="2"/>
      <c r="AB1361" s="2"/>
      <c r="AC1361" s="2"/>
      <c r="AD1361" s="2"/>
      <c r="AE1361" s="2"/>
      <c r="AF1361" s="2"/>
      <c r="AG1361" s="2"/>
      <c r="AH1361" s="2"/>
      <c r="AI1361" s="2"/>
      <c r="AJ1361" s="2"/>
      <c r="AK1361" s="2"/>
      <c r="AL1361" s="2"/>
    </row>
    <row r="1362" spans="1:38" ht="12.75" customHeight="1" x14ac:dyDescent="0.25">
      <c r="A1362" s="2"/>
      <c r="B1362" s="178"/>
      <c r="C1362" s="779"/>
      <c r="D1362" s="780"/>
      <c r="E1362" s="2596" t="str">
        <f>Translations!$B$570</f>
        <v>De uppgifter som anges här används bara för konsekvenskontroll och har ingen direkt inverkan på vare sig de utsläpp som kan tillskrivas eller tilldelningen.</v>
      </c>
      <c r="F1362" s="1960"/>
      <c r="G1362" s="1960"/>
      <c r="H1362" s="1960"/>
      <c r="I1362" s="1960"/>
      <c r="J1362" s="1960"/>
      <c r="K1362" s="1960"/>
      <c r="L1362" s="1960"/>
      <c r="M1362" s="1960"/>
      <c r="N1362" s="2597"/>
      <c r="O1362" s="15"/>
      <c r="P1362" s="15"/>
      <c r="Q1362" s="343"/>
      <c r="R1362" s="2"/>
      <c r="S1362" s="343"/>
      <c r="T1362" s="2"/>
      <c r="U1362" s="2"/>
      <c r="V1362" s="2"/>
      <c r="W1362" s="2"/>
      <c r="X1362" s="2"/>
      <c r="Y1362" s="2"/>
      <c r="Z1362" s="2"/>
      <c r="AA1362" s="2"/>
      <c r="AB1362" s="2"/>
      <c r="AC1362" s="2"/>
      <c r="AD1362" s="2"/>
      <c r="AE1362" s="2"/>
      <c r="AF1362" s="2"/>
      <c r="AG1362" s="2"/>
      <c r="AH1362" s="2"/>
      <c r="AI1362" s="2"/>
      <c r="AJ1362" s="2"/>
      <c r="AK1362" s="2"/>
      <c r="AL1362" s="2"/>
    </row>
    <row r="1363" spans="1:38" ht="12.75" customHeight="1" thickBot="1" x14ac:dyDescent="0.3">
      <c r="A1363" s="2"/>
      <c r="B1363" s="178"/>
      <c r="C1363" s="779"/>
      <c r="D1363" s="373"/>
      <c r="E1363" s="1716"/>
      <c r="F1363" s="1717"/>
      <c r="G1363" s="361" t="str">
        <f>EUconst_Unit</f>
        <v>Enhet</v>
      </c>
      <c r="H1363" s="362">
        <f t="shared" ref="H1363:N1363" si="590">H$3042</f>
        <v>2019</v>
      </c>
      <c r="I1363" s="1103">
        <f t="shared" si="590"/>
        <v>2020</v>
      </c>
      <c r="J1363" s="1104">
        <f t="shared" si="590"/>
        <v>2021</v>
      </c>
      <c r="K1363" s="362">
        <f t="shared" si="590"/>
        <v>2022</v>
      </c>
      <c r="L1363" s="362">
        <f t="shared" si="590"/>
        <v>2023</v>
      </c>
      <c r="M1363" s="362">
        <f t="shared" si="590"/>
        <v>2024</v>
      </c>
      <c r="N1363" s="1141">
        <f t="shared" si="590"/>
        <v>2025</v>
      </c>
      <c r="O1363" s="15"/>
      <c r="P1363" s="15"/>
      <c r="Q1363" s="343"/>
      <c r="R1363" s="2"/>
      <c r="S1363" s="343"/>
      <c r="T1363" s="2"/>
      <c r="U1363" s="2"/>
      <c r="V1363" s="2"/>
      <c r="W1363" s="2"/>
      <c r="X1363" s="2"/>
      <c r="Y1363" s="2"/>
      <c r="Z1363" s="2"/>
      <c r="AA1363" s="2"/>
      <c r="AB1363" s="2"/>
      <c r="AC1363" s="1044">
        <f t="shared" ref="AC1363:AI1363" si="591">H$20</f>
        <v>2019</v>
      </c>
      <c r="AD1363" s="1044">
        <f t="shared" si="591"/>
        <v>2020</v>
      </c>
      <c r="AE1363" s="1044">
        <f t="shared" si="591"/>
        <v>2021</v>
      </c>
      <c r="AF1363" s="1044">
        <f t="shared" si="591"/>
        <v>2022</v>
      </c>
      <c r="AG1363" s="1044">
        <f t="shared" si="591"/>
        <v>2023</v>
      </c>
      <c r="AH1363" s="1044">
        <f t="shared" si="591"/>
        <v>2024</v>
      </c>
      <c r="AI1363" s="1044">
        <f t="shared" si="591"/>
        <v>2025</v>
      </c>
      <c r="AJ1363" s="2"/>
      <c r="AK1363" s="2"/>
      <c r="AL1363" s="2"/>
    </row>
    <row r="1364" spans="1:38" ht="12.75" customHeight="1" x14ac:dyDescent="0.25">
      <c r="A1364" s="2"/>
      <c r="B1364" s="178"/>
      <c r="C1364" s="779"/>
      <c r="D1364" s="416" t="s">
        <v>8</v>
      </c>
      <c r="E1364" s="2613" t="str">
        <f>Translations!$B$571</f>
        <v>Insatsbränsle</v>
      </c>
      <c r="F1364" s="1997"/>
      <c r="G1364" s="364" t="str">
        <f>EUconst_TJpa</f>
        <v>TJ / år</v>
      </c>
      <c r="H1364" s="582"/>
      <c r="I1364" s="1105"/>
      <c r="J1364" s="1115"/>
      <c r="K1364" s="582"/>
      <c r="L1364" s="582"/>
      <c r="M1364" s="582"/>
      <c r="N1364" s="1146"/>
      <c r="O1364" s="15"/>
      <c r="P1364" s="1362"/>
      <c r="Q1364" s="165" t="str">
        <f>EUconst_CNTR_FuelInput &amp; I1221</f>
        <v>FuelInput_</v>
      </c>
      <c r="R1364" s="2"/>
      <c r="S1364" s="343"/>
      <c r="T1364" s="2"/>
      <c r="U1364" s="2"/>
      <c r="V1364" s="2"/>
      <c r="W1364" s="2"/>
      <c r="X1364" s="2"/>
      <c r="Y1364" s="2"/>
      <c r="Z1364" s="2"/>
      <c r="AA1364" s="2"/>
      <c r="AB1364" s="672" t="s">
        <v>782</v>
      </c>
      <c r="AC1364" s="108" t="b">
        <f>AC1291</f>
        <v>0</v>
      </c>
      <c r="AD1364" s="108" t="b">
        <f t="shared" ref="AD1364:AI1364" si="592">AD1291</f>
        <v>0</v>
      </c>
      <c r="AE1364" s="108" t="b">
        <f t="shared" si="592"/>
        <v>0</v>
      </c>
      <c r="AF1364" s="108" t="b">
        <f t="shared" si="592"/>
        <v>0</v>
      </c>
      <c r="AG1364" s="108" t="b">
        <f t="shared" si="592"/>
        <v>0</v>
      </c>
      <c r="AH1364" s="108" t="b">
        <f t="shared" si="592"/>
        <v>0</v>
      </c>
      <c r="AI1364" s="108" t="b">
        <f t="shared" si="592"/>
        <v>0</v>
      </c>
      <c r="AJ1364" s="553" t="s">
        <v>2248</v>
      </c>
      <c r="AK1364" s="663" t="str">
        <f>IF(AND(CNTR_ExistSubInstEntries,MSconst_RequireSubAttrEmissions,COUNTIFS(AC1364:AI1364,FALSE,H1364:N1364,"")&gt;0),EUconst_Error&amp;"BM"&amp;$Q1221,"")</f>
        <v/>
      </c>
      <c r="AL1364" s="2"/>
    </row>
    <row r="1365" spans="1:38" ht="12.75" customHeight="1" x14ac:dyDescent="0.25">
      <c r="A1365" s="2"/>
      <c r="B1365" s="178"/>
      <c r="C1365" s="779"/>
      <c r="D1365" s="416" t="s">
        <v>9</v>
      </c>
      <c r="E1365" s="2613" t="str">
        <f>Translations!$B$572</f>
        <v>Viktad emissionsfaktor</v>
      </c>
      <c r="F1365" s="1997"/>
      <c r="G1365" s="449" t="str">
        <f>EUconst_tCO2pTJ</f>
        <v>t CO2 / TJ</v>
      </c>
      <c r="H1365" s="747"/>
      <c r="I1365" s="1295"/>
      <c r="J1365" s="1296"/>
      <c r="K1365" s="747"/>
      <c r="L1365" s="747"/>
      <c r="M1365" s="747"/>
      <c r="N1365" s="1297"/>
      <c r="O1365" s="15"/>
      <c r="P1365" s="1362"/>
      <c r="Q1365" s="165" t="str">
        <f>EUconst_CNTR_FuelEF &amp; I1221</f>
        <v>FuelEF_</v>
      </c>
      <c r="R1365" s="2"/>
      <c r="S1365" s="343"/>
      <c r="T1365" s="2"/>
      <c r="U1365" s="2"/>
      <c r="V1365" s="2"/>
      <c r="W1365" s="2"/>
      <c r="X1365" s="2"/>
      <c r="Y1365" s="2"/>
      <c r="Z1365" s="2"/>
      <c r="AA1365" s="2"/>
      <c r="AB1365" s="2"/>
      <c r="AC1365" s="108" t="b">
        <f>AC1364</f>
        <v>0</v>
      </c>
      <c r="AD1365" s="108" t="b">
        <f t="shared" ref="AD1365:AI1365" si="593">AD1364</f>
        <v>0</v>
      </c>
      <c r="AE1365" s="108" t="b">
        <f t="shared" si="593"/>
        <v>0</v>
      </c>
      <c r="AF1365" s="108" t="b">
        <f t="shared" si="593"/>
        <v>0</v>
      </c>
      <c r="AG1365" s="108" t="b">
        <f t="shared" si="593"/>
        <v>0</v>
      </c>
      <c r="AH1365" s="108" t="b">
        <f t="shared" si="593"/>
        <v>0</v>
      </c>
      <c r="AI1365" s="108" t="b">
        <f t="shared" si="593"/>
        <v>0</v>
      </c>
      <c r="AJ1365" s="553" t="s">
        <v>2248</v>
      </c>
      <c r="AK1365" s="663" t="str">
        <f>IF(AND(CNTR_ExistSubInstEntries,MSconst_RequireSubAttrEmissions,COUNTIFS(AC1365:AI1365,FALSE,H1365:N1365,"")&gt;0),EUconst_Error&amp;"BM"&amp;$Q1221,"")</f>
        <v/>
      </c>
      <c r="AL1365" s="2"/>
    </row>
    <row r="1366" spans="1:38" ht="12.75" customHeight="1" x14ac:dyDescent="0.25">
      <c r="A1366" s="2"/>
      <c r="B1366" s="178"/>
      <c r="C1366" s="779"/>
      <c r="D1366" s="780"/>
      <c r="E1366" s="780"/>
      <c r="F1366" s="780"/>
      <c r="G1366" s="780"/>
      <c r="H1366" s="780"/>
      <c r="I1366" s="780"/>
      <c r="J1366" s="780"/>
      <c r="K1366" s="780"/>
      <c r="L1366" s="780"/>
      <c r="M1366" s="623"/>
      <c r="N1366" s="519"/>
      <c r="O1366" s="15"/>
      <c r="P1366" s="15"/>
      <c r="Q1366" s="343"/>
      <c r="R1366" s="2"/>
      <c r="S1366" s="343"/>
      <c r="T1366" s="2"/>
      <c r="U1366" s="2"/>
      <c r="V1366" s="2"/>
      <c r="W1366" s="2"/>
      <c r="X1366" s="2"/>
      <c r="Y1366" s="2"/>
      <c r="Z1366" s="2"/>
      <c r="AA1366" s="2"/>
      <c r="AB1366" s="2"/>
      <c r="AC1366" s="2"/>
      <c r="AD1366" s="2"/>
      <c r="AE1366" s="2"/>
      <c r="AF1366" s="2"/>
      <c r="AG1366" s="2"/>
      <c r="AH1366" s="2"/>
      <c r="AI1366" s="2"/>
      <c r="AJ1366" s="2"/>
      <c r="AK1366" s="2"/>
      <c r="AL1366" s="2"/>
    </row>
    <row r="1367" spans="1:38" ht="12.75" customHeight="1" x14ac:dyDescent="0.25">
      <c r="A1367" s="2"/>
      <c r="B1367" s="178"/>
      <c r="C1367" s="779"/>
      <c r="D1367" s="373" t="s">
        <v>305</v>
      </c>
      <c r="E1367" s="2614" t="str">
        <f>Translations!$B$573</f>
        <v>Andra interna bränsle-/materialmängder som importeras till eller exporteras från delanläggningen</v>
      </c>
      <c r="F1367" s="1960"/>
      <c r="G1367" s="1960"/>
      <c r="H1367" s="1960"/>
      <c r="I1367" s="1960"/>
      <c r="J1367" s="1960"/>
      <c r="K1367" s="1960"/>
      <c r="L1367" s="1960"/>
      <c r="M1367" s="1960"/>
      <c r="N1367" s="2597"/>
      <c r="O1367" s="15"/>
      <c r="P1367" s="15"/>
      <c r="Q1367" s="343"/>
      <c r="R1367" s="343"/>
      <c r="S1367" s="343"/>
      <c r="T1367" s="2"/>
      <c r="U1367" s="2"/>
      <c r="V1367" s="2"/>
      <c r="W1367" s="2"/>
      <c r="X1367" s="2"/>
      <c r="Y1367" s="2"/>
      <c r="Z1367" s="2"/>
      <c r="AA1367" s="2"/>
      <c r="AB1367" s="2"/>
      <c r="AC1367" s="2"/>
      <c r="AD1367" s="2"/>
      <c r="AE1367" s="2"/>
      <c r="AF1367" s="2"/>
      <c r="AG1367" s="2"/>
      <c r="AH1367" s="2"/>
      <c r="AI1367" s="2"/>
      <c r="AJ1367" s="2"/>
      <c r="AK1367" s="2"/>
      <c r="AL1367" s="2"/>
    </row>
    <row r="1368" spans="1:38" ht="12.75" customHeight="1" x14ac:dyDescent="0.25">
      <c r="A1368" s="2"/>
      <c r="B1368" s="178"/>
      <c r="C1368" s="779"/>
      <c r="D1368" s="416"/>
      <c r="E1368" s="2596" t="str">
        <f>Translations!$B$556</f>
        <v>De uppgifter som anges här påverkar de utsläpp som kan tillskrivas i enlighet med avsnitt 10.1.1 i bilaga VII till FAR.</v>
      </c>
      <c r="F1368" s="1960"/>
      <c r="G1368" s="1960"/>
      <c r="H1368" s="1960"/>
      <c r="I1368" s="1960"/>
      <c r="J1368" s="1960"/>
      <c r="K1368" s="1960"/>
      <c r="L1368" s="1960"/>
      <c r="M1368" s="1960"/>
      <c r="N1368" s="2597"/>
      <c r="O1368" s="15"/>
      <c r="P1368" s="15"/>
      <c r="Q1368" s="343"/>
      <c r="R1368" s="2"/>
      <c r="S1368" s="343"/>
      <c r="T1368" s="343"/>
      <c r="U1368" s="343"/>
      <c r="V1368" s="343"/>
      <c r="W1368" s="2"/>
      <c r="X1368" s="2"/>
      <c r="Y1368" s="2"/>
      <c r="Z1368" s="2"/>
      <c r="AA1368" s="2"/>
      <c r="AB1368" s="2"/>
      <c r="AC1368" s="2"/>
      <c r="AD1368" s="2"/>
      <c r="AE1368" s="2"/>
      <c r="AF1368" s="2"/>
      <c r="AG1368" s="2"/>
      <c r="AH1368" s="2"/>
      <c r="AI1368" s="2"/>
      <c r="AJ1368" s="2"/>
      <c r="AK1368" s="2"/>
      <c r="AL1368" s="2"/>
    </row>
    <row r="1369" spans="1:38" ht="25.5" customHeight="1" x14ac:dyDescent="0.25">
      <c r="A1369" s="2"/>
      <c r="B1369" s="178"/>
      <c r="C1369" s="779"/>
      <c r="D1369" s="780"/>
      <c r="E1369" s="2596" t="str">
        <f>Translations!$B$574</f>
        <v>Det bör noteras att alla bränsle-/materialmängder endast bör anges här om de inte redan omfattas av de direkta utsläppen i punkt g ovan, i syfte att undvika eventuella dataluckor eller eventuell dubbelräkning. Utsläpp i samband med restgaser bör INTE anges här utan i punkt l nedan.</v>
      </c>
      <c r="F1369" s="1960"/>
      <c r="G1369" s="1960"/>
      <c r="H1369" s="1960"/>
      <c r="I1369" s="1960"/>
      <c r="J1369" s="1960"/>
      <c r="K1369" s="1960"/>
      <c r="L1369" s="1960"/>
      <c r="M1369" s="1960"/>
      <c r="N1369" s="2597"/>
      <c r="O1369" s="15"/>
      <c r="P1369" s="15"/>
      <c r="Q1369" s="343"/>
      <c r="R1369" s="343"/>
      <c r="S1369" s="343"/>
      <c r="T1369" s="2"/>
      <c r="U1369" s="2"/>
      <c r="V1369" s="2"/>
      <c r="W1369" s="2"/>
      <c r="X1369" s="2"/>
      <c r="Y1369" s="2"/>
      <c r="Z1369" s="2"/>
      <c r="AA1369" s="2"/>
      <c r="AB1369" s="2"/>
      <c r="AC1369" s="2"/>
      <c r="AD1369" s="2"/>
      <c r="AE1369" s="2"/>
      <c r="AF1369" s="2"/>
      <c r="AG1369" s="2"/>
      <c r="AH1369" s="2"/>
      <c r="AI1369" s="2"/>
      <c r="AJ1369" s="2"/>
      <c r="AK1369" s="2"/>
      <c r="AL1369" s="2"/>
    </row>
    <row r="1370" spans="1:38" ht="12.75" customHeight="1" x14ac:dyDescent="0.25">
      <c r="A1370" s="2"/>
      <c r="B1370" s="178"/>
      <c r="C1370" s="779"/>
      <c r="D1370" s="780"/>
      <c r="E1370" s="2610" t="str">
        <f>Translations!$B$575</f>
        <v>Var god ange information om de så kallade interna bränsle-/materialmängderna som överförs mellan delanläggningar, dvs. importeras till eller exporteras från delanläggningen.</v>
      </c>
      <c r="F1370" s="1960"/>
      <c r="G1370" s="1960"/>
      <c r="H1370" s="1960"/>
      <c r="I1370" s="1960"/>
      <c r="J1370" s="1960"/>
      <c r="K1370" s="1960"/>
      <c r="L1370" s="1960"/>
      <c r="M1370" s="1960"/>
      <c r="N1370" s="2597"/>
      <c r="O1370" s="15"/>
      <c r="P1370" s="15"/>
      <c r="Q1370" s="343"/>
      <c r="R1370" s="343"/>
      <c r="S1370" s="343"/>
      <c r="T1370" s="2"/>
      <c r="U1370" s="2"/>
      <c r="V1370" s="2"/>
      <c r="W1370" s="2"/>
      <c r="X1370" s="2"/>
      <c r="Y1370" s="2"/>
      <c r="Z1370" s="2"/>
      <c r="AA1370" s="2"/>
      <c r="AB1370" s="2"/>
      <c r="AC1370" s="2"/>
      <c r="AD1370" s="2"/>
      <c r="AE1370" s="2"/>
      <c r="AF1370" s="2"/>
      <c r="AG1370" s="2"/>
      <c r="AH1370" s="2"/>
      <c r="AI1370" s="2"/>
      <c r="AJ1370" s="2"/>
      <c r="AK1370" s="2"/>
      <c r="AL1370" s="2"/>
    </row>
    <row r="1371" spans="1:38" ht="38.9" customHeight="1" x14ac:dyDescent="0.25">
      <c r="A1371" s="2"/>
      <c r="B1371" s="178"/>
      <c r="C1371" s="779"/>
      <c r="D1371" s="780"/>
      <c r="E1371" s="2610" t="str">
        <f>Translations!$B$576</f>
        <v>Om det rör sig om en koksdelanläggning vid en integrerad järn- och stålanläggning förekommer utsläppen i samband med förbrukningen av koks i masugnen och bör därför inte tillskrivas delanläggningen (dvs. koksdelanläggningen). En del av utsläppen ska dock tas med i punkt g ovan, eftersom det kol som förs in i koksugnen kommer att vara en av de bränsle-/materialmängder som tillskrivs i ett första steg.</v>
      </c>
      <c r="F1371" s="1960"/>
      <c r="G1371" s="1960"/>
      <c r="H1371" s="1960"/>
      <c r="I1371" s="1960"/>
      <c r="J1371" s="1960"/>
      <c r="K1371" s="1960"/>
      <c r="L1371" s="1960"/>
      <c r="M1371" s="1960"/>
      <c r="N1371" s="2597"/>
      <c r="O1371" s="15"/>
      <c r="P1371" s="15"/>
      <c r="Q1371" s="343"/>
      <c r="R1371" s="2"/>
      <c r="S1371" s="343"/>
      <c r="T1371" s="2"/>
      <c r="U1371" s="2"/>
      <c r="V1371" s="2"/>
      <c r="W1371" s="2"/>
      <c r="X1371" s="2"/>
      <c r="Y1371" s="2"/>
      <c r="Z1371" s="2"/>
      <c r="AA1371" s="2"/>
      <c r="AB1371" s="2"/>
      <c r="AC1371" s="2"/>
      <c r="AD1371" s="2"/>
      <c r="AE1371" s="2"/>
      <c r="AF1371" s="2"/>
      <c r="AG1371" s="2"/>
      <c r="AH1371" s="2"/>
      <c r="AI1371" s="2"/>
      <c r="AJ1371" s="2"/>
      <c r="AK1371" s="2"/>
      <c r="AL1371" s="2"/>
    </row>
    <row r="1372" spans="1:38" ht="51" customHeight="1" x14ac:dyDescent="0.25">
      <c r="A1372" s="2"/>
      <c r="B1372" s="178"/>
      <c r="C1372" s="779"/>
      <c r="D1372" s="780"/>
      <c r="E1372" s="2610" t="str">
        <f>Translations!$B$577</f>
        <v>För att undvika dubbelräkning måste korrigering göras för den koks som lämnar koksdelanläggningen som utgående ”intern bränsle-/materialmängd”. Detta görs genom ett negativt värde på mängden koks i händelse av ”export”. För att få en komplett balans i utsläppen från den kol som kommer in till koksdelanläggningen omfattas utsläppen i samband med användningen av koksugnsgas (= en restgas) redan av punkt g ovan (eftersom de ingår i kolutsläppen) i den mån som gasen används inom delanläggningen. Korrigeringar för att beakta exporterade mängder av restgasen bör inte göras här utan i punkt l.xx nedan.</v>
      </c>
      <c r="F1372" s="1960"/>
      <c r="G1372" s="1960"/>
      <c r="H1372" s="1960"/>
      <c r="I1372" s="1960"/>
      <c r="J1372" s="1960"/>
      <c r="K1372" s="1960"/>
      <c r="L1372" s="1960"/>
      <c r="M1372" s="1960"/>
      <c r="N1372" s="2597"/>
      <c r="O1372" s="15"/>
      <c r="P1372" s="15"/>
      <c r="Q1372" s="343"/>
      <c r="R1372" s="2"/>
      <c r="S1372" s="343"/>
      <c r="T1372" s="2"/>
      <c r="U1372" s="2"/>
      <c r="V1372" s="2"/>
      <c r="W1372" s="2"/>
      <c r="X1372" s="2"/>
      <c r="Y1372" s="2"/>
      <c r="Z1372" s="2"/>
      <c r="AA1372" s="2"/>
      <c r="AB1372" s="2"/>
      <c r="AC1372" s="2"/>
      <c r="AD1372" s="2"/>
      <c r="AE1372" s="2"/>
      <c r="AF1372" s="2"/>
      <c r="AG1372" s="2"/>
      <c r="AH1372" s="2"/>
      <c r="AI1372" s="2"/>
      <c r="AJ1372" s="2"/>
      <c r="AK1372" s="2"/>
      <c r="AL1372" s="2"/>
    </row>
    <row r="1373" spans="1:38" ht="25.5" customHeight="1" x14ac:dyDescent="0.25">
      <c r="A1373" s="2"/>
      <c r="B1373" s="178"/>
      <c r="C1373" s="779"/>
      <c r="D1373" s="780"/>
      <c r="E1373" s="2610" t="str">
        <f>Translations!$B$578</f>
        <v>Omvänt innebär detta att om det rör sig om en delanläggning med råjärnsriktmärke vid en integrerad järn- och stålanläggning måste koksen anges här som en ingående/importerad ”intern” bränsle/materialmängd med positiva siffror.</v>
      </c>
      <c r="F1373" s="1960"/>
      <c r="G1373" s="1960"/>
      <c r="H1373" s="1960"/>
      <c r="I1373" s="1960"/>
      <c r="J1373" s="1960"/>
      <c r="K1373" s="1960"/>
      <c r="L1373" s="1960"/>
      <c r="M1373" s="1960"/>
      <c r="N1373" s="2597"/>
      <c r="O1373" s="15"/>
      <c r="P1373" s="15"/>
      <c r="Q1373" s="343"/>
      <c r="R1373" s="2"/>
      <c r="S1373" s="343"/>
      <c r="T1373" s="2"/>
      <c r="U1373" s="2"/>
      <c r="V1373" s="2"/>
      <c r="W1373" s="2"/>
      <c r="X1373" s="2"/>
      <c r="Y1373" s="2"/>
      <c r="Z1373" s="2"/>
      <c r="AA1373" s="2"/>
      <c r="AB1373" s="2"/>
      <c r="AC1373" s="2"/>
      <c r="AD1373" s="2"/>
      <c r="AE1373" s="2"/>
      <c r="AF1373" s="2"/>
      <c r="AG1373" s="2"/>
      <c r="AH1373" s="2"/>
      <c r="AI1373" s="2"/>
      <c r="AJ1373" s="2"/>
      <c r="AK1373" s="2"/>
      <c r="AL1373" s="2"/>
    </row>
    <row r="1374" spans="1:38" ht="12.75" customHeight="1" x14ac:dyDescent="0.25">
      <c r="A1374" s="2"/>
      <c r="B1374" s="178"/>
      <c r="C1374" s="779"/>
      <c r="D1374" s="416" t="s">
        <v>8</v>
      </c>
      <c r="E1374" s="2598" t="str">
        <f>Translations!$B$579</f>
        <v>Är andra importerade eller exporterade interna bränsle-/materialmängder relevanta för delanläggningen?</v>
      </c>
      <c r="F1374" s="1960"/>
      <c r="G1374" s="1960"/>
      <c r="H1374" s="1960"/>
      <c r="I1374" s="1960"/>
      <c r="J1374" s="1960"/>
      <c r="K1374" s="2520"/>
      <c r="L1374" s="749"/>
      <c r="M1374" s="1806"/>
      <c r="N1374" s="1807"/>
      <c r="O1374" s="15"/>
      <c r="P1374" s="1362"/>
      <c r="Q1374" s="343"/>
      <c r="R1374" s="2"/>
      <c r="S1374" s="343"/>
      <c r="T1374" s="2"/>
      <c r="U1374" s="2"/>
      <c r="V1374" s="2"/>
      <c r="W1374" s="2"/>
      <c r="X1374" s="2"/>
      <c r="Y1374" s="2"/>
      <c r="Z1374" s="2"/>
      <c r="AA1374" s="2"/>
      <c r="AB1374" s="2"/>
      <c r="AC1374" s="2"/>
      <c r="AD1374" s="2"/>
      <c r="AE1374" s="2"/>
      <c r="AF1374" s="672" t="s">
        <v>782</v>
      </c>
      <c r="AG1374" s="1196" t="b">
        <f>AND(CNTR_ExistSubInstEntries,I1221="")</f>
        <v>0</v>
      </c>
      <c r="AH1374" s="2"/>
      <c r="AI1374" s="2"/>
      <c r="AJ1374" s="2"/>
      <c r="AK1374" s="2"/>
      <c r="AL1374" s="2"/>
    </row>
    <row r="1375" spans="1:38" ht="12.75" customHeight="1" x14ac:dyDescent="0.25">
      <c r="A1375" s="2"/>
      <c r="B1375" s="178"/>
      <c r="C1375" s="779"/>
      <c r="D1375" s="780"/>
      <c r="E1375" s="2610" t="str">
        <f>Translations!$B$580</f>
        <v>Om det finns mer än två importerade eller exporterade bränsle-/materialmängder bör de olika bränsle-/materialmängderna slås samman och namnen på var och en av dessa anges.</v>
      </c>
      <c r="F1375" s="1960"/>
      <c r="G1375" s="1960"/>
      <c r="H1375" s="1960"/>
      <c r="I1375" s="1960"/>
      <c r="J1375" s="1960"/>
      <c r="K1375" s="1960"/>
      <c r="L1375" s="1960"/>
      <c r="M1375" s="1960"/>
      <c r="N1375" s="2597"/>
      <c r="O1375" s="15"/>
      <c r="P1375" s="15"/>
      <c r="Q1375" s="343"/>
      <c r="R1375" s="2"/>
      <c r="S1375" s="343"/>
      <c r="T1375" s="2"/>
      <c r="U1375" s="2"/>
      <c r="V1375" s="2"/>
      <c r="W1375" s="2"/>
      <c r="X1375" s="2"/>
      <c r="Y1375" s="2"/>
      <c r="Z1375" s="2"/>
      <c r="AA1375" s="2"/>
      <c r="AB1375" s="2"/>
      <c r="AC1375" s="2"/>
      <c r="AD1375" s="2"/>
      <c r="AE1375" s="2"/>
      <c r="AF1375" s="2"/>
      <c r="AG1375" s="2"/>
      <c r="AH1375" s="2"/>
      <c r="AI1375" s="2"/>
      <c r="AJ1375" s="2"/>
      <c r="AK1375" s="2"/>
      <c r="AL1375" s="2"/>
    </row>
    <row r="1376" spans="1:38" ht="12.75" customHeight="1" x14ac:dyDescent="0.25">
      <c r="A1376" s="2"/>
      <c r="B1376" s="178"/>
      <c r="C1376" s="779"/>
      <c r="D1376" s="416" t="s">
        <v>9</v>
      </c>
      <c r="E1376" s="2614" t="str">
        <f>Translations!$B$581</f>
        <v>Namn på andra bränsle-/materialmängder – 1:</v>
      </c>
      <c r="F1376" s="1960"/>
      <c r="G1376" s="1960"/>
      <c r="H1376" s="2520"/>
      <c r="I1376" s="2621"/>
      <c r="J1376" s="2631"/>
      <c r="K1376" s="2631"/>
      <c r="L1376" s="2631"/>
      <c r="M1376" s="2632"/>
      <c r="N1376" s="518"/>
      <c r="O1376" s="15"/>
      <c r="P1376" s="1362"/>
      <c r="Q1376" s="343"/>
      <c r="R1376" s="2"/>
      <c r="S1376" s="343"/>
      <c r="T1376" s="2"/>
      <c r="U1376" s="2"/>
      <c r="V1376" s="2"/>
      <c r="W1376" s="2"/>
      <c r="X1376" s="2"/>
      <c r="Y1376" s="2"/>
      <c r="Z1376" s="2"/>
      <c r="AA1376" s="2"/>
      <c r="AB1376" s="2"/>
      <c r="AC1376" s="672" t="s">
        <v>782</v>
      </c>
      <c r="AD1376" s="1196" t="b">
        <f>OR(AG1374,AND($L1374&lt;&gt;"",$L1374=FALSE))</f>
        <v>0</v>
      </c>
      <c r="AE1376" s="2"/>
      <c r="AF1376" s="2"/>
      <c r="AG1376" s="2"/>
      <c r="AH1376" s="2"/>
      <c r="AI1376" s="2"/>
      <c r="AJ1376" s="2"/>
      <c r="AK1376" s="2"/>
      <c r="AL1376" s="2"/>
    </row>
    <row r="1377" spans="1:38" ht="5.15" customHeight="1" x14ac:dyDescent="0.25">
      <c r="A1377" s="2"/>
      <c r="B1377" s="178"/>
      <c r="C1377" s="779"/>
      <c r="D1377" s="780"/>
      <c r="E1377" s="1804"/>
      <c r="F1377" s="1806"/>
      <c r="G1377" s="1806"/>
      <c r="H1377" s="1806"/>
      <c r="I1377" s="1806"/>
      <c r="J1377" s="1806"/>
      <c r="K1377" s="1806"/>
      <c r="L1377" s="1806"/>
      <c r="M1377" s="1806"/>
      <c r="N1377" s="1807"/>
      <c r="O1377" s="15"/>
      <c r="P1377" s="15"/>
      <c r="Q1377" s="343"/>
      <c r="R1377" s="2"/>
      <c r="S1377" s="343"/>
      <c r="T1377" s="2"/>
      <c r="U1377" s="2"/>
      <c r="V1377" s="2"/>
      <c r="W1377" s="2"/>
      <c r="X1377" s="2"/>
      <c r="Y1377" s="2"/>
      <c r="Z1377" s="2"/>
      <c r="AA1377" s="2"/>
      <c r="AB1377" s="2"/>
      <c r="AC1377" s="2"/>
      <c r="AD1377" s="2"/>
      <c r="AE1377" s="2"/>
      <c r="AF1377" s="2"/>
      <c r="AG1377" s="2"/>
      <c r="AH1377" s="2"/>
      <c r="AI1377" s="2"/>
      <c r="AJ1377" s="2"/>
      <c r="AK1377" s="2"/>
      <c r="AL1377" s="2"/>
    </row>
    <row r="1378" spans="1:38" ht="12.75" customHeight="1" thickBot="1" x14ac:dyDescent="0.3">
      <c r="A1378" s="2"/>
      <c r="B1378" s="178"/>
      <c r="C1378" s="779"/>
      <c r="D1378" s="780"/>
      <c r="E1378" s="2605" t="str">
        <f>Translations!$B$582</f>
        <v>Andra bränsle-/materialmängder – 1</v>
      </c>
      <c r="F1378" s="2497"/>
      <c r="G1378" s="361" t="str">
        <f>EUconst_Unit</f>
        <v>Enhet</v>
      </c>
      <c r="H1378" s="362">
        <f t="shared" ref="H1378:N1378" si="594">H$3042</f>
        <v>2019</v>
      </c>
      <c r="I1378" s="1103">
        <f t="shared" si="594"/>
        <v>2020</v>
      </c>
      <c r="J1378" s="1104">
        <f t="shared" si="594"/>
        <v>2021</v>
      </c>
      <c r="K1378" s="362">
        <f t="shared" si="594"/>
        <v>2022</v>
      </c>
      <c r="L1378" s="362">
        <f t="shared" si="594"/>
        <v>2023</v>
      </c>
      <c r="M1378" s="362">
        <f t="shared" si="594"/>
        <v>2024</v>
      </c>
      <c r="N1378" s="1141">
        <f t="shared" si="594"/>
        <v>2025</v>
      </c>
      <c r="O1378" s="15"/>
      <c r="P1378" s="15"/>
      <c r="Q1378" s="343"/>
      <c r="R1378" s="2"/>
      <c r="S1378" s="343"/>
      <c r="T1378" s="2"/>
      <c r="U1378" s="2"/>
      <c r="V1378" s="2"/>
      <c r="W1378" s="2"/>
      <c r="X1378" s="2"/>
      <c r="Y1378" s="2"/>
      <c r="Z1378" s="2"/>
      <c r="AA1378" s="2"/>
      <c r="AB1378" s="2"/>
      <c r="AC1378" s="1044">
        <f t="shared" ref="AC1378:AI1378" si="595">H$20</f>
        <v>2019</v>
      </c>
      <c r="AD1378" s="1044">
        <f t="shared" si="595"/>
        <v>2020</v>
      </c>
      <c r="AE1378" s="1044">
        <f t="shared" si="595"/>
        <v>2021</v>
      </c>
      <c r="AF1378" s="1044">
        <f t="shared" si="595"/>
        <v>2022</v>
      </c>
      <c r="AG1378" s="1044">
        <f t="shared" si="595"/>
        <v>2023</v>
      </c>
      <c r="AH1378" s="1044">
        <f t="shared" si="595"/>
        <v>2024</v>
      </c>
      <c r="AI1378" s="1044">
        <f t="shared" si="595"/>
        <v>2025</v>
      </c>
      <c r="AJ1378" s="2"/>
      <c r="AK1378" s="2"/>
      <c r="AL1378" s="2"/>
    </row>
    <row r="1379" spans="1:38" ht="12.75" customHeight="1" x14ac:dyDescent="0.25">
      <c r="A1379" s="2"/>
      <c r="B1379" s="178"/>
      <c r="C1379" s="779"/>
      <c r="D1379" s="416" t="s">
        <v>10</v>
      </c>
      <c r="E1379" s="2611" t="str">
        <f>Translations!$B$583</f>
        <v>Importerad eller exporterad mängd</v>
      </c>
      <c r="F1379" s="2484"/>
      <c r="G1379" s="365" t="str">
        <f>EUconst_tpa</f>
        <v>t / år</v>
      </c>
      <c r="H1379" s="1298"/>
      <c r="I1379" s="1299"/>
      <c r="J1379" s="1300"/>
      <c r="K1379" s="1298"/>
      <c r="L1379" s="1298"/>
      <c r="M1379" s="1298"/>
      <c r="N1379" s="1301"/>
      <c r="O1379" s="15"/>
      <c r="P1379" s="1362"/>
      <c r="Q1379" s="343"/>
      <c r="R1379" s="2"/>
      <c r="S1379" s="343"/>
      <c r="T1379" s="2"/>
      <c r="U1379" s="2"/>
      <c r="V1379" s="2"/>
      <c r="W1379" s="2"/>
      <c r="X1379" s="2"/>
      <c r="Y1379" s="2"/>
      <c r="Z1379" s="2"/>
      <c r="AA1379" s="2"/>
      <c r="AB1379" s="672" t="s">
        <v>782</v>
      </c>
      <c r="AC1379" s="1196" t="b">
        <f>OR(AND($L1374&lt;&gt;"",$L1374=FALSE),AC1291)</f>
        <v>0</v>
      </c>
      <c r="AD1379" s="108" t="b">
        <f t="shared" ref="AD1379:AI1379" si="596">OR(AND($L1374&lt;&gt;"",$L1374=FALSE),AD1291)</f>
        <v>0</v>
      </c>
      <c r="AE1379" s="108" t="b">
        <f t="shared" si="596"/>
        <v>0</v>
      </c>
      <c r="AF1379" s="108" t="b">
        <f t="shared" si="596"/>
        <v>0</v>
      </c>
      <c r="AG1379" s="108" t="b">
        <f t="shared" si="596"/>
        <v>0</v>
      </c>
      <c r="AH1379" s="108" t="b">
        <f t="shared" si="596"/>
        <v>0</v>
      </c>
      <c r="AI1379" s="108" t="b">
        <f t="shared" si="596"/>
        <v>0</v>
      </c>
      <c r="AJ1379" s="553" t="s">
        <v>2248</v>
      </c>
      <c r="AK1379" s="663" t="str">
        <f>IF(AND(CNTR_ExistSubInstEntries,MSconst_RequireSubAttrEmissions,COUNTIFS(AC1379:AI1379,FALSE,H1379:N1379,"")&gt;0),EUconst_Error&amp;"BM"&amp;$Q1221,"")</f>
        <v/>
      </c>
      <c r="AL1379" s="2"/>
    </row>
    <row r="1380" spans="1:38" ht="12.75" customHeight="1" x14ac:dyDescent="0.25">
      <c r="A1380" s="2"/>
      <c r="B1380" s="178"/>
      <c r="C1380" s="779"/>
      <c r="D1380" s="416" t="s">
        <v>23</v>
      </c>
      <c r="E1380" s="2625" t="str">
        <f>Translations!$B$584</f>
        <v>Effektivt värmevärde, i tillämpliga fall</v>
      </c>
      <c r="F1380" s="2476"/>
      <c r="G1380" s="424" t="str">
        <f>EUconst_GJpt</f>
        <v>GJ / t</v>
      </c>
      <c r="H1380" s="1302"/>
      <c r="I1380" s="1303"/>
      <c r="J1380" s="1304"/>
      <c r="K1380" s="1302"/>
      <c r="L1380" s="1302"/>
      <c r="M1380" s="1302"/>
      <c r="N1380" s="1305"/>
      <c r="O1380" s="15"/>
      <c r="P1380" s="1362"/>
      <c r="Q1380" s="343"/>
      <c r="R1380" s="2"/>
      <c r="S1380" s="343"/>
      <c r="T1380" s="2"/>
      <c r="U1380" s="2"/>
      <c r="V1380" s="2"/>
      <c r="W1380" s="2"/>
      <c r="X1380" s="2"/>
      <c r="Y1380" s="2"/>
      <c r="Z1380" s="2"/>
      <c r="AA1380" s="2"/>
      <c r="AB1380" s="2"/>
      <c r="AC1380" s="108" t="b">
        <f t="shared" ref="AC1380:AI1380" si="597">AC1379</f>
        <v>0</v>
      </c>
      <c r="AD1380" s="108" t="b">
        <f t="shared" si="597"/>
        <v>0</v>
      </c>
      <c r="AE1380" s="108" t="b">
        <f t="shared" si="597"/>
        <v>0</v>
      </c>
      <c r="AF1380" s="108" t="b">
        <f t="shared" si="597"/>
        <v>0</v>
      </c>
      <c r="AG1380" s="108" t="b">
        <f t="shared" si="597"/>
        <v>0</v>
      </c>
      <c r="AH1380" s="108" t="b">
        <f t="shared" si="597"/>
        <v>0</v>
      </c>
      <c r="AI1380" s="108" t="b">
        <f t="shared" si="597"/>
        <v>0</v>
      </c>
      <c r="AJ1380" s="553" t="s">
        <v>2248</v>
      </c>
      <c r="AK1380" s="663" t="str">
        <f>IF(AND(CNTR_ExistSubInstEntries,MSconst_RequireSubAttrEmissions,COUNTIFS(AC1380:AI1380,FALSE,H1380:N1380,"")&gt;0),EUconst_Error&amp;"BM"&amp;$Q1221,"")</f>
        <v/>
      </c>
      <c r="AL1380" s="2"/>
    </row>
    <row r="1381" spans="1:38" ht="12.75" customHeight="1" thickBot="1" x14ac:dyDescent="0.3">
      <c r="A1381" s="2"/>
      <c r="B1381" s="178"/>
      <c r="C1381" s="779"/>
      <c r="D1381" s="416" t="s">
        <v>859</v>
      </c>
      <c r="E1381" s="2625" t="str">
        <f>Translations!$B$585</f>
        <v>Kolinnehåll (viktprocent)</v>
      </c>
      <c r="F1381" s="2476"/>
      <c r="G1381" s="425" t="s">
        <v>957</v>
      </c>
      <c r="H1381" s="1302"/>
      <c r="I1381" s="1303"/>
      <c r="J1381" s="1304"/>
      <c r="K1381" s="1302"/>
      <c r="L1381" s="1302"/>
      <c r="M1381" s="1302"/>
      <c r="N1381" s="1305"/>
      <c r="O1381" s="15"/>
      <c r="P1381" s="1362"/>
      <c r="Q1381" s="343"/>
      <c r="R1381" s="2"/>
      <c r="S1381" s="343"/>
      <c r="T1381" s="2"/>
      <c r="U1381" s="2"/>
      <c r="V1381" s="2"/>
      <c r="W1381" s="2"/>
      <c r="X1381" s="2"/>
      <c r="Y1381" s="2"/>
      <c r="Z1381" s="2"/>
      <c r="AA1381" s="2"/>
      <c r="AB1381" s="2"/>
      <c r="AC1381" s="108" t="b">
        <f t="shared" ref="AC1381:AI1381" si="598">AC1380</f>
        <v>0</v>
      </c>
      <c r="AD1381" s="108" t="b">
        <f t="shared" si="598"/>
        <v>0</v>
      </c>
      <c r="AE1381" s="108" t="b">
        <f t="shared" si="598"/>
        <v>0</v>
      </c>
      <c r="AF1381" s="108" t="b">
        <f t="shared" si="598"/>
        <v>0</v>
      </c>
      <c r="AG1381" s="108" t="b">
        <f t="shared" si="598"/>
        <v>0</v>
      </c>
      <c r="AH1381" s="108" t="b">
        <f t="shared" si="598"/>
        <v>0</v>
      </c>
      <c r="AI1381" s="108" t="b">
        <f t="shared" si="598"/>
        <v>0</v>
      </c>
      <c r="AJ1381" s="553" t="s">
        <v>2248</v>
      </c>
      <c r="AK1381" s="663" t="str">
        <f>IF(AND(CNTR_ExistSubInstEntries,MSconst_RequireSubAttrEmissions,COUNTIFS(AC1381:AI1381,FALSE,H1381:N1381,"")&gt;0),EUconst_Error&amp;"BM"&amp;$Q1221,"")</f>
        <v/>
      </c>
      <c r="AL1381" s="2"/>
    </row>
    <row r="1382" spans="1:38" ht="12.75" customHeight="1" x14ac:dyDescent="0.25">
      <c r="A1382" s="2"/>
      <c r="B1382" s="178"/>
      <c r="C1382" s="779"/>
      <c r="D1382" s="416" t="s">
        <v>860</v>
      </c>
      <c r="E1382" s="2626" t="str">
        <f>Translations!$B$586</f>
        <v>Biomassahalt (som kolfraktion)</v>
      </c>
      <c r="F1382" s="2487"/>
      <c r="G1382" s="384" t="s">
        <v>957</v>
      </c>
      <c r="H1382" s="1306"/>
      <c r="I1382" s="1307"/>
      <c r="J1382" s="1308"/>
      <c r="K1382" s="1306"/>
      <c r="L1382" s="1306"/>
      <c r="M1382" s="1306"/>
      <c r="N1382" s="1309"/>
      <c r="O1382" s="15"/>
      <c r="P1382" s="1362"/>
      <c r="Q1382" s="343"/>
      <c r="R1382" s="2"/>
      <c r="S1382" s="772"/>
      <c r="T1382" s="609">
        <f t="shared" ref="T1382:Z1382" si="599">H1378</f>
        <v>2019</v>
      </c>
      <c r="U1382" s="609">
        <f t="shared" si="599"/>
        <v>2020</v>
      </c>
      <c r="V1382" s="609">
        <f t="shared" si="599"/>
        <v>2021</v>
      </c>
      <c r="W1382" s="609">
        <f t="shared" si="599"/>
        <v>2022</v>
      </c>
      <c r="X1382" s="609">
        <f t="shared" si="599"/>
        <v>2023</v>
      </c>
      <c r="Y1382" s="609">
        <f t="shared" si="599"/>
        <v>2024</v>
      </c>
      <c r="Z1382" s="610">
        <f t="shared" si="599"/>
        <v>2025</v>
      </c>
      <c r="AA1382" s="2"/>
      <c r="AB1382" s="2"/>
      <c r="AC1382" s="108" t="b">
        <f t="shared" ref="AC1382:AI1382" si="600">AC1381</f>
        <v>0</v>
      </c>
      <c r="AD1382" s="108" t="b">
        <f t="shared" si="600"/>
        <v>0</v>
      </c>
      <c r="AE1382" s="108" t="b">
        <f t="shared" si="600"/>
        <v>0</v>
      </c>
      <c r="AF1382" s="108" t="b">
        <f t="shared" si="600"/>
        <v>0</v>
      </c>
      <c r="AG1382" s="108" t="b">
        <f t="shared" si="600"/>
        <v>0</v>
      </c>
      <c r="AH1382" s="108" t="b">
        <f t="shared" si="600"/>
        <v>0</v>
      </c>
      <c r="AI1382" s="108" t="b">
        <f t="shared" si="600"/>
        <v>0</v>
      </c>
      <c r="AJ1382" s="553" t="s">
        <v>2248</v>
      </c>
      <c r="AK1382" s="663" t="str">
        <f>IF(AND(CNTR_ExistSubInstEntries,MSconst_RequireSubAttrEmissions,COUNTIFS(AC1382:AI1382,FALSE,H1382:N1382,"")&gt;0),EUconst_Error&amp;"BM"&amp;$Q1221,"")</f>
        <v/>
      </c>
      <c r="AL1382" s="2"/>
    </row>
    <row r="1383" spans="1:38" ht="12.75" customHeight="1" thickBot="1" x14ac:dyDescent="0.3">
      <c r="A1383" s="2"/>
      <c r="B1383" s="178"/>
      <c r="C1383" s="779"/>
      <c r="D1383" s="416" t="s">
        <v>861</v>
      </c>
      <c r="E1383" s="2627" t="str">
        <f>Translations!$B$587</f>
        <v>Utsläpp (fossila, beräknade)</v>
      </c>
      <c r="F1383" s="2484"/>
      <c r="G1383" s="426" t="str">
        <f>EUconst_tCO2pa</f>
        <v>t CO2 / år</v>
      </c>
      <c r="H1383" s="273" t="str">
        <f t="shared" ref="H1383:N1383" si="601">IF(AND(COUNT(H1379:H1382)&gt;0,H1386=""),3.664*H1379*(H1381/100)*(1-H1382/100),"")</f>
        <v/>
      </c>
      <c r="I1383" s="1109" t="str">
        <f t="shared" si="601"/>
        <v/>
      </c>
      <c r="J1383" s="1116" t="str">
        <f t="shared" si="601"/>
        <v/>
      </c>
      <c r="K1383" s="273" t="str">
        <f t="shared" si="601"/>
        <v/>
      </c>
      <c r="L1383" s="273" t="str">
        <f t="shared" si="601"/>
        <v/>
      </c>
      <c r="M1383" s="273" t="str">
        <f t="shared" si="601"/>
        <v/>
      </c>
      <c r="N1383" s="1142" t="str">
        <f t="shared" si="601"/>
        <v/>
      </c>
      <c r="O1383" s="15"/>
      <c r="P1383" s="15"/>
      <c r="Q1383" s="165" t="str">
        <f>EUconst_CNTR_EmissionsIntSource1 &amp; I1221</f>
        <v>EmInternalSource1_</v>
      </c>
      <c r="R1383" s="2"/>
      <c r="S1383" s="773" t="str">
        <f>EUconst_CNTR_AttributedEmissions &amp; I1221</f>
        <v>AttrEmissions_</v>
      </c>
      <c r="T1383" s="111" t="str">
        <f t="shared" ref="T1383:Z1383" si="602">IF(T1229,SUM(H1383),"")</f>
        <v/>
      </c>
      <c r="U1383" s="111" t="str">
        <f t="shared" si="602"/>
        <v/>
      </c>
      <c r="V1383" s="111" t="str">
        <f t="shared" si="602"/>
        <v/>
      </c>
      <c r="W1383" s="111" t="str">
        <f t="shared" si="602"/>
        <v/>
      </c>
      <c r="X1383" s="111" t="str">
        <f t="shared" si="602"/>
        <v/>
      </c>
      <c r="Y1383" s="111" t="str">
        <f t="shared" si="602"/>
        <v/>
      </c>
      <c r="Z1383" s="112" t="str">
        <f t="shared" si="602"/>
        <v/>
      </c>
      <c r="AA1383" s="2"/>
      <c r="AB1383" s="2"/>
      <c r="AC1383" s="2"/>
      <c r="AD1383" s="2"/>
      <c r="AE1383" s="2"/>
      <c r="AF1383" s="2"/>
      <c r="AG1383" s="2"/>
      <c r="AH1383" s="2"/>
      <c r="AI1383" s="2"/>
      <c r="AJ1383" s="2"/>
      <c r="AK1383" s="2"/>
      <c r="AL1383" s="2"/>
    </row>
    <row r="1384" spans="1:38" ht="12.75" customHeight="1" x14ac:dyDescent="0.25">
      <c r="A1384" s="2"/>
      <c r="B1384" s="178"/>
      <c r="C1384" s="779"/>
      <c r="D1384" s="416" t="s">
        <v>862</v>
      </c>
      <c r="E1384" s="2628" t="str">
        <f>Translations!$B$588</f>
        <v>Memorandumpost: Utsläpp biomassa</v>
      </c>
      <c r="F1384" s="2476"/>
      <c r="G1384" s="427" t="str">
        <f>EUconst_tCO2pa</f>
        <v>t CO2 / år</v>
      </c>
      <c r="H1384" s="272" t="str">
        <f t="shared" ref="H1384:N1384" si="603">IF(ISNUMBER(H1383),3.664*H1379*(H1381/100)*(H1382/100),"")</f>
        <v/>
      </c>
      <c r="I1384" s="1110" t="str">
        <f t="shared" si="603"/>
        <v/>
      </c>
      <c r="J1384" s="1117" t="str">
        <f t="shared" si="603"/>
        <v/>
      </c>
      <c r="K1384" s="272" t="str">
        <f t="shared" si="603"/>
        <v/>
      </c>
      <c r="L1384" s="272" t="str">
        <f t="shared" si="603"/>
        <v/>
      </c>
      <c r="M1384" s="272" t="str">
        <f t="shared" si="603"/>
        <v/>
      </c>
      <c r="N1384" s="1143" t="str">
        <f t="shared" si="603"/>
        <v/>
      </c>
      <c r="O1384" s="15"/>
      <c r="P1384" s="15"/>
      <c r="Q1384" s="343"/>
      <c r="R1384" s="2"/>
      <c r="S1384" s="343"/>
      <c r="T1384" s="2"/>
      <c r="U1384" s="2"/>
      <c r="V1384" s="2"/>
      <c r="W1384" s="2"/>
      <c r="X1384" s="2"/>
      <c r="Y1384" s="2"/>
      <c r="Z1384" s="2"/>
      <c r="AA1384" s="2"/>
      <c r="AB1384" s="2"/>
      <c r="AC1384" s="2"/>
      <c r="AD1384" s="2"/>
      <c r="AE1384" s="2"/>
      <c r="AF1384" s="2"/>
      <c r="AG1384" s="2"/>
      <c r="AH1384" s="2"/>
      <c r="AI1384" s="2"/>
      <c r="AJ1384" s="2"/>
      <c r="AK1384" s="2"/>
      <c r="AL1384" s="2"/>
    </row>
    <row r="1385" spans="1:38" ht="12.75" customHeight="1" x14ac:dyDescent="0.25">
      <c r="A1385" s="2"/>
      <c r="B1385" s="178"/>
      <c r="C1385" s="779"/>
      <c r="D1385" s="416" t="s">
        <v>863</v>
      </c>
      <c r="E1385" s="2626" t="str">
        <f>Translations!$B$589</f>
        <v>Energiinnehåll (beräknat)</v>
      </c>
      <c r="F1385" s="2487"/>
      <c r="G1385" s="428" t="str">
        <f>EUconst_TJpa</f>
        <v>TJ / år</v>
      </c>
      <c r="H1385" s="275" t="str">
        <f t="shared" ref="H1385:N1385" si="604">IF(COUNT(H1379:H1380)=2,H1379*H1380/1000,"")</f>
        <v/>
      </c>
      <c r="I1385" s="281" t="str">
        <f t="shared" si="604"/>
        <v/>
      </c>
      <c r="J1385" s="1118" t="str">
        <f t="shared" si="604"/>
        <v/>
      </c>
      <c r="K1385" s="275" t="str">
        <f t="shared" si="604"/>
        <v/>
      </c>
      <c r="L1385" s="275" t="str">
        <f t="shared" si="604"/>
        <v/>
      </c>
      <c r="M1385" s="275" t="str">
        <f t="shared" si="604"/>
        <v/>
      </c>
      <c r="N1385" s="1144" t="str">
        <f t="shared" si="604"/>
        <v/>
      </c>
      <c r="O1385" s="15"/>
      <c r="P1385" s="15"/>
      <c r="Q1385" s="343"/>
      <c r="R1385" s="2"/>
      <c r="S1385" s="343"/>
      <c r="T1385" s="2"/>
      <c r="U1385" s="2"/>
      <c r="V1385" s="2"/>
      <c r="W1385" s="2"/>
      <c r="X1385" s="2"/>
      <c r="Y1385" s="2"/>
      <c r="Z1385" s="2"/>
      <c r="AA1385" s="2"/>
      <c r="AB1385" s="2"/>
      <c r="AC1385" s="2"/>
      <c r="AD1385" s="2"/>
      <c r="AE1385" s="2"/>
      <c r="AF1385" s="2"/>
      <c r="AG1385" s="2"/>
      <c r="AH1385" s="2"/>
      <c r="AI1385" s="2"/>
      <c r="AJ1385" s="2"/>
      <c r="AK1385" s="2"/>
      <c r="AL1385" s="2"/>
    </row>
    <row r="1386" spans="1:38" ht="12.75" customHeight="1" x14ac:dyDescent="0.25">
      <c r="A1386" s="2"/>
      <c r="B1386" s="178"/>
      <c r="C1386" s="779"/>
      <c r="D1386" s="416" t="s">
        <v>72</v>
      </c>
      <c r="E1386" s="2629" t="str">
        <f>Translations!$B$590</f>
        <v>Felmeddelanden (utsläpp)</v>
      </c>
      <c r="F1386" s="2630"/>
      <c r="G1386" s="429"/>
      <c r="H1386" s="520" t="str">
        <f t="shared" ref="H1386:N1386" si="605">IF(COUNT(H1379,H1381:H1382)&gt;0,IF(COUNTIF(H1380:H1382,"&lt;0")&gt;0,EUconst_Negative,IF(COUNT(H1379,H1381:H1382)&lt;3,EUconst_Incomplete,"")),"")</f>
        <v/>
      </c>
      <c r="I1386" s="1111" t="str">
        <f t="shared" si="605"/>
        <v/>
      </c>
      <c r="J1386" s="1119" t="str">
        <f t="shared" si="605"/>
        <v/>
      </c>
      <c r="K1386" s="520" t="str">
        <f t="shared" si="605"/>
        <v/>
      </c>
      <c r="L1386" s="520" t="str">
        <f t="shared" si="605"/>
        <v/>
      </c>
      <c r="M1386" s="520" t="str">
        <f t="shared" si="605"/>
        <v/>
      </c>
      <c r="N1386" s="1145" t="str">
        <f t="shared" si="605"/>
        <v/>
      </c>
      <c r="O1386" s="15"/>
      <c r="P1386" s="15"/>
      <c r="Q1386" s="343"/>
      <c r="R1386" s="2"/>
      <c r="S1386" s="343"/>
      <c r="T1386" s="2"/>
      <c r="U1386" s="2"/>
      <c r="V1386" s="2"/>
      <c r="W1386" s="2"/>
      <c r="X1386" s="2"/>
      <c r="Y1386" s="2"/>
      <c r="Z1386" s="2"/>
      <c r="AA1386" s="2"/>
      <c r="AB1386" s="2"/>
      <c r="AC1386" s="2"/>
      <c r="AD1386" s="2"/>
      <c r="AE1386" s="2"/>
      <c r="AF1386" s="2"/>
      <c r="AG1386" s="2"/>
      <c r="AH1386" s="2"/>
      <c r="AI1386" s="2"/>
      <c r="AJ1386" s="2"/>
      <c r="AK1386" s="2"/>
      <c r="AL1386" s="2"/>
    </row>
    <row r="1387" spans="1:38" ht="12.75" customHeight="1" x14ac:dyDescent="0.25">
      <c r="A1387" s="2"/>
      <c r="B1387" s="178"/>
      <c r="C1387" s="779"/>
      <c r="D1387" s="416"/>
      <c r="E1387" s="780"/>
      <c r="F1387" s="780"/>
      <c r="G1387" s="780"/>
      <c r="H1387" s="780"/>
      <c r="I1387" s="780"/>
      <c r="J1387" s="780"/>
      <c r="K1387" s="780"/>
      <c r="L1387" s="780"/>
      <c r="M1387" s="623"/>
      <c r="N1387" s="519"/>
      <c r="O1387" s="15"/>
      <c r="P1387" s="15"/>
      <c r="Q1387" s="343"/>
      <c r="R1387" s="2"/>
      <c r="S1387" s="343"/>
      <c r="T1387" s="2"/>
      <c r="U1387" s="2"/>
      <c r="V1387" s="2"/>
      <c r="W1387" s="2"/>
      <c r="X1387" s="2"/>
      <c r="Y1387" s="2"/>
      <c r="Z1387" s="2"/>
      <c r="AA1387" s="2"/>
      <c r="AB1387" s="2"/>
      <c r="AC1387" s="2"/>
      <c r="AD1387" s="2"/>
      <c r="AE1387" s="2"/>
      <c r="AF1387" s="2"/>
      <c r="AG1387" s="2"/>
      <c r="AH1387" s="2"/>
      <c r="AI1387" s="2"/>
      <c r="AJ1387" s="2"/>
      <c r="AK1387" s="2"/>
      <c r="AL1387" s="2"/>
    </row>
    <row r="1388" spans="1:38" ht="12.75" customHeight="1" x14ac:dyDescent="0.25">
      <c r="A1388" s="2"/>
      <c r="B1388" s="178"/>
      <c r="C1388" s="779"/>
      <c r="D1388" s="416" t="s">
        <v>73</v>
      </c>
      <c r="E1388" s="2614" t="str">
        <f>Translations!$B$591</f>
        <v>Namn på andra bränsle-/materialmängder – 2:</v>
      </c>
      <c r="F1388" s="1960"/>
      <c r="G1388" s="1960"/>
      <c r="H1388" s="2520"/>
      <c r="I1388" s="2621"/>
      <c r="J1388" s="2510"/>
      <c r="K1388" s="2510"/>
      <c r="L1388" s="2510"/>
      <c r="M1388" s="2511"/>
      <c r="N1388" s="1807"/>
      <c r="O1388" s="15"/>
      <c r="P1388" s="1362"/>
      <c r="Q1388" s="343"/>
      <c r="R1388" s="2"/>
      <c r="S1388" s="343"/>
      <c r="T1388" s="2"/>
      <c r="U1388" s="2"/>
      <c r="V1388" s="2"/>
      <c r="W1388" s="2"/>
      <c r="X1388" s="2"/>
      <c r="Y1388" s="2"/>
      <c r="Z1388" s="2"/>
      <c r="AA1388" s="2"/>
      <c r="AB1388" s="2"/>
      <c r="AC1388" s="672" t="s">
        <v>782</v>
      </c>
      <c r="AD1388" s="108" t="b">
        <f>AD1376</f>
        <v>0</v>
      </c>
      <c r="AE1388" s="2"/>
      <c r="AF1388" s="2"/>
      <c r="AG1388" s="2"/>
      <c r="AH1388" s="2"/>
      <c r="AI1388" s="2"/>
      <c r="AJ1388" s="2"/>
      <c r="AK1388" s="2"/>
      <c r="AL1388" s="2"/>
    </row>
    <row r="1389" spans="1:38" ht="5.15" customHeight="1" x14ac:dyDescent="0.25">
      <c r="A1389" s="2"/>
      <c r="B1389" s="178"/>
      <c r="C1389" s="779"/>
      <c r="D1389" s="780"/>
      <c r="E1389" s="1804"/>
      <c r="F1389" s="1806"/>
      <c r="G1389" s="780"/>
      <c r="H1389" s="780"/>
      <c r="I1389" s="1806"/>
      <c r="J1389" s="1806"/>
      <c r="K1389" s="1806"/>
      <c r="L1389" s="1806"/>
      <c r="M1389" s="1806"/>
      <c r="N1389" s="1807"/>
      <c r="O1389" s="15"/>
      <c r="P1389" s="15"/>
      <c r="Q1389" s="343"/>
      <c r="R1389" s="2"/>
      <c r="S1389" s="343"/>
      <c r="T1389" s="2"/>
      <c r="U1389" s="2"/>
      <c r="V1389" s="2"/>
      <c r="W1389" s="2"/>
      <c r="X1389" s="2"/>
      <c r="Y1389" s="2"/>
      <c r="Z1389" s="2"/>
      <c r="AA1389" s="2"/>
      <c r="AB1389" s="2"/>
      <c r="AC1389" s="2"/>
      <c r="AD1389" s="2"/>
      <c r="AE1389" s="2"/>
      <c r="AF1389" s="2"/>
      <c r="AG1389" s="2"/>
      <c r="AH1389" s="2"/>
      <c r="AI1389" s="2"/>
      <c r="AJ1389" s="2"/>
      <c r="AK1389" s="2"/>
      <c r="AL1389" s="2"/>
    </row>
    <row r="1390" spans="1:38" ht="12.75" customHeight="1" thickBot="1" x14ac:dyDescent="0.3">
      <c r="A1390" s="2"/>
      <c r="B1390" s="178"/>
      <c r="C1390" s="779"/>
      <c r="D1390" s="416"/>
      <c r="E1390" s="2605" t="str">
        <f>Translations!$B$592</f>
        <v>Andra bränsle-/materialmängder – 2</v>
      </c>
      <c r="F1390" s="2497"/>
      <c r="G1390" s="361" t="str">
        <f>EUconst_Unit</f>
        <v>Enhet</v>
      </c>
      <c r="H1390" s="362">
        <f t="shared" ref="H1390:N1390" si="606">H$3042</f>
        <v>2019</v>
      </c>
      <c r="I1390" s="1103">
        <f t="shared" si="606"/>
        <v>2020</v>
      </c>
      <c r="J1390" s="1104">
        <f t="shared" si="606"/>
        <v>2021</v>
      </c>
      <c r="K1390" s="362">
        <f t="shared" si="606"/>
        <v>2022</v>
      </c>
      <c r="L1390" s="362">
        <f t="shared" si="606"/>
        <v>2023</v>
      </c>
      <c r="M1390" s="362">
        <f t="shared" si="606"/>
        <v>2024</v>
      </c>
      <c r="N1390" s="1141">
        <f t="shared" si="606"/>
        <v>2025</v>
      </c>
      <c r="O1390" s="15"/>
      <c r="P1390" s="15"/>
      <c r="Q1390" s="343"/>
      <c r="R1390" s="2"/>
      <c r="S1390" s="343"/>
      <c r="T1390" s="2"/>
      <c r="U1390" s="2"/>
      <c r="V1390" s="2"/>
      <c r="W1390" s="2"/>
      <c r="X1390" s="2"/>
      <c r="Y1390" s="2"/>
      <c r="Z1390" s="2"/>
      <c r="AA1390" s="2"/>
      <c r="AB1390" s="2"/>
      <c r="AC1390" s="1044">
        <f t="shared" ref="AC1390:AI1390" si="607">H$20</f>
        <v>2019</v>
      </c>
      <c r="AD1390" s="1044">
        <f t="shared" si="607"/>
        <v>2020</v>
      </c>
      <c r="AE1390" s="1044">
        <f t="shared" si="607"/>
        <v>2021</v>
      </c>
      <c r="AF1390" s="1044">
        <f t="shared" si="607"/>
        <v>2022</v>
      </c>
      <c r="AG1390" s="1044">
        <f t="shared" si="607"/>
        <v>2023</v>
      </c>
      <c r="AH1390" s="1044">
        <f t="shared" si="607"/>
        <v>2024</v>
      </c>
      <c r="AI1390" s="1044">
        <f t="shared" si="607"/>
        <v>2025</v>
      </c>
      <c r="AJ1390" s="2"/>
      <c r="AK1390" s="2"/>
      <c r="AL1390" s="2"/>
    </row>
    <row r="1391" spans="1:38" ht="12.75" customHeight="1" x14ac:dyDescent="0.25">
      <c r="A1391" s="2"/>
      <c r="B1391" s="178"/>
      <c r="C1391" s="779"/>
      <c r="D1391" s="416" t="s">
        <v>74</v>
      </c>
      <c r="E1391" s="2611" t="str">
        <f>Translations!$B$583</f>
        <v>Importerad eller exporterad mängd</v>
      </c>
      <c r="F1391" s="2484"/>
      <c r="G1391" s="365" t="str">
        <f>EUconst_tpa</f>
        <v>t / år</v>
      </c>
      <c r="H1391" s="1298"/>
      <c r="I1391" s="1299"/>
      <c r="J1391" s="1300"/>
      <c r="K1391" s="1298"/>
      <c r="L1391" s="1298"/>
      <c r="M1391" s="1298"/>
      <c r="N1391" s="1301"/>
      <c r="O1391" s="15"/>
      <c r="P1391" s="1362"/>
      <c r="Q1391" s="343"/>
      <c r="R1391" s="2"/>
      <c r="S1391" s="343"/>
      <c r="T1391" s="2"/>
      <c r="U1391" s="2"/>
      <c r="V1391" s="2"/>
      <c r="W1391" s="2"/>
      <c r="X1391" s="2"/>
      <c r="Y1391" s="2"/>
      <c r="Z1391" s="2"/>
      <c r="AA1391" s="2"/>
      <c r="AB1391" s="672" t="s">
        <v>782</v>
      </c>
      <c r="AC1391" s="108" t="b">
        <f>AC1379</f>
        <v>0</v>
      </c>
      <c r="AD1391" s="108" t="b">
        <f t="shared" ref="AD1391:AI1391" si="608">AD1379</f>
        <v>0</v>
      </c>
      <c r="AE1391" s="108" t="b">
        <f t="shared" si="608"/>
        <v>0</v>
      </c>
      <c r="AF1391" s="108" t="b">
        <f t="shared" si="608"/>
        <v>0</v>
      </c>
      <c r="AG1391" s="108" t="b">
        <f t="shared" si="608"/>
        <v>0</v>
      </c>
      <c r="AH1391" s="108" t="b">
        <f t="shared" si="608"/>
        <v>0</v>
      </c>
      <c r="AI1391" s="108" t="b">
        <f t="shared" si="608"/>
        <v>0</v>
      </c>
      <c r="AJ1391" s="553" t="s">
        <v>2248</v>
      </c>
      <c r="AK1391" s="663" t="str">
        <f>IF(AND(CNTR_ExistSubInstEntries,MSconst_RequireSubAttrEmissions,COUNTIFS(AC1391:AI1391,FALSE,H1391:N1391,"")&gt;0),EUconst_Error&amp;"BM"&amp;$Q1221,"")</f>
        <v/>
      </c>
      <c r="AL1391" s="2"/>
    </row>
    <row r="1392" spans="1:38" ht="12.75" customHeight="1" x14ac:dyDescent="0.25">
      <c r="A1392" s="2"/>
      <c r="B1392" s="178"/>
      <c r="C1392" s="779"/>
      <c r="D1392" s="416" t="s">
        <v>1201</v>
      </c>
      <c r="E1392" s="2625" t="str">
        <f>Translations!$B$584</f>
        <v>Effektivt värmevärde, i tillämpliga fall</v>
      </c>
      <c r="F1392" s="2476"/>
      <c r="G1392" s="424" t="str">
        <f>EUconst_GJpt</f>
        <v>GJ / t</v>
      </c>
      <c r="H1392" s="1302"/>
      <c r="I1392" s="1303"/>
      <c r="J1392" s="1304"/>
      <c r="K1392" s="1302"/>
      <c r="L1392" s="1302"/>
      <c r="M1392" s="1302"/>
      <c r="N1392" s="1305"/>
      <c r="O1392" s="15"/>
      <c r="P1392" s="1362"/>
      <c r="Q1392" s="343"/>
      <c r="R1392" s="2"/>
      <c r="S1392" s="343"/>
      <c r="T1392" s="2"/>
      <c r="U1392" s="2"/>
      <c r="V1392" s="2"/>
      <c r="W1392" s="2"/>
      <c r="X1392" s="2"/>
      <c r="Y1392" s="2"/>
      <c r="Z1392" s="2"/>
      <c r="AA1392" s="2"/>
      <c r="AB1392" s="2"/>
      <c r="AC1392" s="108" t="b">
        <f t="shared" ref="AC1392:AI1392" si="609">AC1380</f>
        <v>0</v>
      </c>
      <c r="AD1392" s="108" t="b">
        <f t="shared" si="609"/>
        <v>0</v>
      </c>
      <c r="AE1392" s="108" t="b">
        <f t="shared" si="609"/>
        <v>0</v>
      </c>
      <c r="AF1392" s="108" t="b">
        <f t="shared" si="609"/>
        <v>0</v>
      </c>
      <c r="AG1392" s="108" t="b">
        <f t="shared" si="609"/>
        <v>0</v>
      </c>
      <c r="AH1392" s="108" t="b">
        <f t="shared" si="609"/>
        <v>0</v>
      </c>
      <c r="AI1392" s="108" t="b">
        <f t="shared" si="609"/>
        <v>0</v>
      </c>
      <c r="AJ1392" s="553" t="s">
        <v>2248</v>
      </c>
      <c r="AK1392" s="663" t="str">
        <f>IF(AND(CNTR_ExistSubInstEntries,MSconst_RequireSubAttrEmissions,COUNTIFS(AC1392:AI1392,FALSE,H1392:N1392,"")&gt;0),EUconst_Error&amp;"BM"&amp;$Q1221,"")</f>
        <v/>
      </c>
      <c r="AL1392" s="2"/>
    </row>
    <row r="1393" spans="1:38" ht="12.75" customHeight="1" thickBot="1" x14ac:dyDescent="0.3">
      <c r="A1393" s="2"/>
      <c r="B1393" s="178"/>
      <c r="C1393" s="779"/>
      <c r="D1393" s="416" t="s">
        <v>1202</v>
      </c>
      <c r="E1393" s="2625" t="str">
        <f>Translations!$B$585</f>
        <v>Kolinnehåll (viktprocent)</v>
      </c>
      <c r="F1393" s="2476"/>
      <c r="G1393" s="425" t="s">
        <v>957</v>
      </c>
      <c r="H1393" s="1302"/>
      <c r="I1393" s="1303"/>
      <c r="J1393" s="1304"/>
      <c r="K1393" s="1302"/>
      <c r="L1393" s="1302"/>
      <c r="M1393" s="1302"/>
      <c r="N1393" s="1305"/>
      <c r="O1393" s="15"/>
      <c r="P1393" s="1362"/>
      <c r="Q1393" s="343"/>
      <c r="R1393" s="2"/>
      <c r="S1393" s="343"/>
      <c r="T1393" s="2"/>
      <c r="U1393" s="2"/>
      <c r="V1393" s="2"/>
      <c r="W1393" s="2"/>
      <c r="X1393" s="2"/>
      <c r="Y1393" s="2"/>
      <c r="Z1393" s="2"/>
      <c r="AA1393" s="2"/>
      <c r="AB1393" s="2"/>
      <c r="AC1393" s="108" t="b">
        <f t="shared" ref="AC1393:AI1393" si="610">AC1381</f>
        <v>0</v>
      </c>
      <c r="AD1393" s="108" t="b">
        <f t="shared" si="610"/>
        <v>0</v>
      </c>
      <c r="AE1393" s="108" t="b">
        <f t="shared" si="610"/>
        <v>0</v>
      </c>
      <c r="AF1393" s="108" t="b">
        <f t="shared" si="610"/>
        <v>0</v>
      </c>
      <c r="AG1393" s="108" t="b">
        <f t="shared" si="610"/>
        <v>0</v>
      </c>
      <c r="AH1393" s="108" t="b">
        <f t="shared" si="610"/>
        <v>0</v>
      </c>
      <c r="AI1393" s="108" t="b">
        <f t="shared" si="610"/>
        <v>0</v>
      </c>
      <c r="AJ1393" s="553" t="s">
        <v>2248</v>
      </c>
      <c r="AK1393" s="663" t="str">
        <f>IF(AND(CNTR_ExistSubInstEntries,MSconst_RequireSubAttrEmissions,COUNTIFS(AC1393:AI1393,FALSE,H1393:N1393,"")&gt;0),EUconst_Error&amp;"BM"&amp;$Q1221,"")</f>
        <v/>
      </c>
      <c r="AL1393" s="2"/>
    </row>
    <row r="1394" spans="1:38" ht="12.75" customHeight="1" x14ac:dyDescent="0.25">
      <c r="A1394" s="2"/>
      <c r="B1394" s="178"/>
      <c r="C1394" s="779"/>
      <c r="D1394" s="416" t="s">
        <v>1203</v>
      </c>
      <c r="E1394" s="2626" t="str">
        <f>Translations!$B$586</f>
        <v>Biomassahalt (som kolfraktion)</v>
      </c>
      <c r="F1394" s="2487"/>
      <c r="G1394" s="384" t="s">
        <v>957</v>
      </c>
      <c r="H1394" s="1306"/>
      <c r="I1394" s="1307"/>
      <c r="J1394" s="1308"/>
      <c r="K1394" s="1306"/>
      <c r="L1394" s="1306"/>
      <c r="M1394" s="1306"/>
      <c r="N1394" s="1309"/>
      <c r="O1394" s="15"/>
      <c r="P1394" s="1362"/>
      <c r="Q1394" s="343"/>
      <c r="R1394" s="2"/>
      <c r="S1394" s="772"/>
      <c r="T1394" s="609">
        <f t="shared" ref="T1394:Z1394" si="611">H1390</f>
        <v>2019</v>
      </c>
      <c r="U1394" s="609">
        <f t="shared" si="611"/>
        <v>2020</v>
      </c>
      <c r="V1394" s="609">
        <f t="shared" si="611"/>
        <v>2021</v>
      </c>
      <c r="W1394" s="609">
        <f t="shared" si="611"/>
        <v>2022</v>
      </c>
      <c r="X1394" s="609">
        <f t="shared" si="611"/>
        <v>2023</v>
      </c>
      <c r="Y1394" s="609">
        <f t="shared" si="611"/>
        <v>2024</v>
      </c>
      <c r="Z1394" s="610">
        <f t="shared" si="611"/>
        <v>2025</v>
      </c>
      <c r="AA1394" s="2"/>
      <c r="AB1394" s="2"/>
      <c r="AC1394" s="108" t="b">
        <f t="shared" ref="AC1394:AI1394" si="612">AC1382</f>
        <v>0</v>
      </c>
      <c r="AD1394" s="108" t="b">
        <f t="shared" si="612"/>
        <v>0</v>
      </c>
      <c r="AE1394" s="108" t="b">
        <f t="shared" si="612"/>
        <v>0</v>
      </c>
      <c r="AF1394" s="108" t="b">
        <f t="shared" si="612"/>
        <v>0</v>
      </c>
      <c r="AG1394" s="108" t="b">
        <f t="shared" si="612"/>
        <v>0</v>
      </c>
      <c r="AH1394" s="108" t="b">
        <f t="shared" si="612"/>
        <v>0</v>
      </c>
      <c r="AI1394" s="108" t="b">
        <f t="shared" si="612"/>
        <v>0</v>
      </c>
      <c r="AJ1394" s="553" t="s">
        <v>2248</v>
      </c>
      <c r="AK1394" s="663" t="str">
        <f>IF(AND(CNTR_ExistSubInstEntries,MSconst_RequireSubAttrEmissions,COUNTIFS(AC1394:AI1394,FALSE,H1394:N1394,"")&gt;0),EUconst_Error&amp;"BM"&amp;$Q1221,"")</f>
        <v/>
      </c>
      <c r="AL1394" s="2"/>
    </row>
    <row r="1395" spans="1:38" ht="12.75" customHeight="1" thickBot="1" x14ac:dyDescent="0.3">
      <c r="A1395" s="2"/>
      <c r="B1395" s="178"/>
      <c r="C1395" s="779"/>
      <c r="D1395" s="416" t="s">
        <v>1204</v>
      </c>
      <c r="E1395" s="2627" t="str">
        <f>Translations!$B$587</f>
        <v>Utsläpp (fossila, beräknade)</v>
      </c>
      <c r="F1395" s="2484"/>
      <c r="G1395" s="426" t="str">
        <f>EUconst_tCO2pa</f>
        <v>t CO2 / år</v>
      </c>
      <c r="H1395" s="273" t="str">
        <f t="shared" ref="H1395:N1395" si="613">IF(AND(COUNT(H1391:H1394)&gt;0,H1398=""),3.664*H1391*(H1393/100)*(1-H1394/100),"")</f>
        <v/>
      </c>
      <c r="I1395" s="1109" t="str">
        <f t="shared" si="613"/>
        <v/>
      </c>
      <c r="J1395" s="1116" t="str">
        <f t="shared" si="613"/>
        <v/>
      </c>
      <c r="K1395" s="273" t="str">
        <f t="shared" si="613"/>
        <v/>
      </c>
      <c r="L1395" s="273" t="str">
        <f t="shared" si="613"/>
        <v/>
      </c>
      <c r="M1395" s="273" t="str">
        <f t="shared" si="613"/>
        <v/>
      </c>
      <c r="N1395" s="1142" t="str">
        <f t="shared" si="613"/>
        <v/>
      </c>
      <c r="O1395" s="15"/>
      <c r="P1395" s="15"/>
      <c r="Q1395" s="165" t="str">
        <f>EUconst_CNTR_EmissionsIntSource2 &amp; I1221</f>
        <v>EmInternalSource2_</v>
      </c>
      <c r="R1395" s="2"/>
      <c r="S1395" s="773" t="str">
        <f>EUconst_CNTR_AttributedEmissions &amp; I1221</f>
        <v>AttrEmissions_</v>
      </c>
      <c r="T1395" s="111" t="str">
        <f t="shared" ref="T1395:Z1395" si="614">IF(T1229,SUM(H1395),"")</f>
        <v/>
      </c>
      <c r="U1395" s="111" t="str">
        <f t="shared" si="614"/>
        <v/>
      </c>
      <c r="V1395" s="111" t="str">
        <f t="shared" si="614"/>
        <v/>
      </c>
      <c r="W1395" s="111" t="str">
        <f t="shared" si="614"/>
        <v/>
      </c>
      <c r="X1395" s="111" t="str">
        <f t="shared" si="614"/>
        <v/>
      </c>
      <c r="Y1395" s="111" t="str">
        <f t="shared" si="614"/>
        <v/>
      </c>
      <c r="Z1395" s="112" t="str">
        <f t="shared" si="614"/>
        <v/>
      </c>
      <c r="AA1395" s="2"/>
      <c r="AB1395" s="2"/>
      <c r="AC1395" s="2"/>
      <c r="AD1395" s="2"/>
      <c r="AE1395" s="2"/>
      <c r="AF1395" s="2"/>
      <c r="AG1395" s="2"/>
      <c r="AH1395" s="2"/>
      <c r="AI1395" s="2"/>
      <c r="AJ1395" s="2"/>
      <c r="AK1395" s="2"/>
      <c r="AL1395" s="2"/>
    </row>
    <row r="1396" spans="1:38" ht="12.75" customHeight="1" x14ac:dyDescent="0.25">
      <c r="A1396" s="2"/>
      <c r="B1396" s="178"/>
      <c r="C1396" s="779"/>
      <c r="D1396" s="416" t="s">
        <v>1205</v>
      </c>
      <c r="E1396" s="2628" t="str">
        <f>Translations!$B$588</f>
        <v>Memorandumpost: Utsläpp biomassa</v>
      </c>
      <c r="F1396" s="2476"/>
      <c r="G1396" s="427" t="str">
        <f>EUconst_tCO2pa</f>
        <v>t CO2 / år</v>
      </c>
      <c r="H1396" s="272" t="str">
        <f t="shared" ref="H1396:N1396" si="615">IF(ISNUMBER(H1395),3.664*H1391*(H1393/100)*(H1394/100),"")</f>
        <v/>
      </c>
      <c r="I1396" s="1110" t="str">
        <f t="shared" si="615"/>
        <v/>
      </c>
      <c r="J1396" s="1117" t="str">
        <f t="shared" si="615"/>
        <v/>
      </c>
      <c r="K1396" s="272" t="str">
        <f t="shared" si="615"/>
        <v/>
      </c>
      <c r="L1396" s="272" t="str">
        <f t="shared" si="615"/>
        <v/>
      </c>
      <c r="M1396" s="272" t="str">
        <f t="shared" si="615"/>
        <v/>
      </c>
      <c r="N1396" s="1143" t="str">
        <f t="shared" si="615"/>
        <v/>
      </c>
      <c r="O1396" s="15"/>
      <c r="P1396" s="15"/>
      <c r="Q1396" s="343"/>
      <c r="R1396" s="2"/>
      <c r="S1396" s="343"/>
      <c r="T1396" s="2"/>
      <c r="U1396" s="2"/>
      <c r="V1396" s="2"/>
      <c r="W1396" s="2"/>
      <c r="X1396" s="2"/>
      <c r="Y1396" s="2"/>
      <c r="Z1396" s="2"/>
      <c r="AA1396" s="2"/>
      <c r="AB1396" s="2"/>
      <c r="AC1396" s="2"/>
      <c r="AD1396" s="2"/>
      <c r="AE1396" s="2"/>
      <c r="AF1396" s="2"/>
      <c r="AG1396" s="2"/>
      <c r="AH1396" s="2"/>
      <c r="AI1396" s="2"/>
      <c r="AJ1396" s="2"/>
      <c r="AK1396" s="2"/>
      <c r="AL1396" s="2"/>
    </row>
    <row r="1397" spans="1:38" ht="12.75" customHeight="1" x14ac:dyDescent="0.25">
      <c r="A1397" s="2"/>
      <c r="B1397" s="178"/>
      <c r="C1397" s="779"/>
      <c r="D1397" s="416" t="s">
        <v>1206</v>
      </c>
      <c r="E1397" s="2626" t="str">
        <f>Translations!$B$589</f>
        <v>Energiinnehåll (beräknat)</v>
      </c>
      <c r="F1397" s="2487"/>
      <c r="G1397" s="428" t="str">
        <f>EUconst_TJpa</f>
        <v>TJ / år</v>
      </c>
      <c r="H1397" s="275" t="str">
        <f t="shared" ref="H1397:N1397" si="616">IF(COUNT(H1391:H1392)=2,H1391*H1392/1000,"")</f>
        <v/>
      </c>
      <c r="I1397" s="281" t="str">
        <f t="shared" si="616"/>
        <v/>
      </c>
      <c r="J1397" s="1118" t="str">
        <f t="shared" si="616"/>
        <v/>
      </c>
      <c r="K1397" s="275" t="str">
        <f t="shared" si="616"/>
        <v/>
      </c>
      <c r="L1397" s="275" t="str">
        <f t="shared" si="616"/>
        <v/>
      </c>
      <c r="M1397" s="275" t="str">
        <f t="shared" si="616"/>
        <v/>
      </c>
      <c r="N1397" s="1144" t="str">
        <f t="shared" si="616"/>
        <v/>
      </c>
      <c r="O1397" s="15"/>
      <c r="P1397" s="15"/>
      <c r="Q1397" s="343"/>
      <c r="R1397" s="2"/>
      <c r="S1397" s="343"/>
      <c r="T1397" s="2"/>
      <c r="U1397" s="2"/>
      <c r="V1397" s="2"/>
      <c r="W1397" s="2"/>
      <c r="X1397" s="2"/>
      <c r="Y1397" s="2"/>
      <c r="Z1397" s="2"/>
      <c r="AA1397" s="2"/>
      <c r="AB1397" s="2"/>
      <c r="AC1397" s="2"/>
      <c r="AD1397" s="2"/>
      <c r="AE1397" s="2"/>
      <c r="AF1397" s="2"/>
      <c r="AG1397" s="2"/>
      <c r="AH1397" s="2"/>
      <c r="AI1397" s="2"/>
      <c r="AJ1397" s="2"/>
      <c r="AK1397" s="2"/>
      <c r="AL1397" s="2"/>
    </row>
    <row r="1398" spans="1:38" ht="12.75" customHeight="1" x14ac:dyDescent="0.25">
      <c r="A1398" s="2"/>
      <c r="B1398" s="178"/>
      <c r="C1398" s="779"/>
      <c r="D1398" s="416" t="s">
        <v>1202</v>
      </c>
      <c r="E1398" s="2629" t="str">
        <f>Translations!$B$590</f>
        <v>Felmeddelanden (utsläpp)</v>
      </c>
      <c r="F1398" s="2630"/>
      <c r="G1398" s="429"/>
      <c r="H1398" s="520" t="str">
        <f t="shared" ref="H1398:N1398" si="617">IF(COUNT(H1391,H1393:H1394)&gt;0,IF(COUNTIF(H1392:H1394,"&lt;0")&gt;0,EUconst_Negative,IF(COUNT(H1391,H1393:H1394)&lt;3,EUconst_Incomplete,"")),"")</f>
        <v/>
      </c>
      <c r="I1398" s="1111" t="str">
        <f t="shared" si="617"/>
        <v/>
      </c>
      <c r="J1398" s="1119" t="str">
        <f t="shared" si="617"/>
        <v/>
      </c>
      <c r="K1398" s="520" t="str">
        <f t="shared" si="617"/>
        <v/>
      </c>
      <c r="L1398" s="520" t="str">
        <f t="shared" si="617"/>
        <v/>
      </c>
      <c r="M1398" s="520" t="str">
        <f t="shared" si="617"/>
        <v/>
      </c>
      <c r="N1398" s="1145" t="str">
        <f t="shared" si="617"/>
        <v/>
      </c>
      <c r="O1398" s="15"/>
      <c r="P1398" s="15"/>
      <c r="Q1398" s="343"/>
      <c r="R1398" s="2"/>
      <c r="S1398" s="343"/>
      <c r="T1398" s="2"/>
      <c r="U1398" s="2"/>
      <c r="V1398" s="2"/>
      <c r="W1398" s="2"/>
      <c r="X1398" s="2"/>
      <c r="Y1398" s="2"/>
      <c r="Z1398" s="2"/>
      <c r="AA1398" s="2"/>
      <c r="AB1398" s="2"/>
      <c r="AC1398" s="2"/>
      <c r="AD1398" s="2"/>
      <c r="AE1398" s="2"/>
      <c r="AF1398" s="2"/>
      <c r="AG1398" s="2"/>
      <c r="AH1398" s="2"/>
      <c r="AI1398" s="2"/>
      <c r="AJ1398" s="2"/>
      <c r="AK1398" s="2"/>
      <c r="AL1398" s="2"/>
    </row>
    <row r="1399" spans="1:38" ht="12.75" customHeight="1" x14ac:dyDescent="0.25">
      <c r="A1399" s="2"/>
      <c r="B1399" s="178"/>
      <c r="C1399" s="779"/>
      <c r="D1399" s="780"/>
      <c r="E1399" s="780"/>
      <c r="F1399" s="780"/>
      <c r="G1399" s="780"/>
      <c r="H1399" s="780"/>
      <c r="I1399" s="780"/>
      <c r="J1399" s="780"/>
      <c r="K1399" s="780"/>
      <c r="L1399" s="780"/>
      <c r="M1399" s="623"/>
      <c r="N1399" s="519"/>
      <c r="O1399" s="15"/>
      <c r="P1399" s="15"/>
      <c r="Q1399" s="343"/>
      <c r="R1399" s="2"/>
      <c r="S1399" s="343"/>
      <c r="T1399" s="2"/>
      <c r="U1399" s="2"/>
      <c r="V1399" s="2"/>
      <c r="W1399" s="2"/>
      <c r="X1399" s="2"/>
      <c r="Y1399" s="2"/>
      <c r="Z1399" s="2"/>
      <c r="AA1399" s="2"/>
      <c r="AB1399" s="2"/>
      <c r="AC1399" s="2"/>
      <c r="AD1399" s="2"/>
      <c r="AE1399" s="2"/>
      <c r="AF1399" s="2"/>
      <c r="AG1399" s="2"/>
      <c r="AH1399" s="2"/>
      <c r="AI1399" s="2"/>
      <c r="AJ1399" s="2"/>
      <c r="AK1399" s="2"/>
      <c r="AL1399" s="2"/>
    </row>
    <row r="1400" spans="1:38" ht="12.75" customHeight="1" x14ac:dyDescent="0.25">
      <c r="A1400" s="2"/>
      <c r="B1400" s="178"/>
      <c r="C1400" s="779"/>
      <c r="D1400" s="373" t="s">
        <v>523</v>
      </c>
      <c r="E1400" s="2614" t="str">
        <f>Translations!$B$593</f>
        <v>Mängd växthusgaser som importerats eller exporterats som råvaror</v>
      </c>
      <c r="F1400" s="1960"/>
      <c r="G1400" s="1960"/>
      <c r="H1400" s="1960"/>
      <c r="I1400" s="1960"/>
      <c r="J1400" s="1960"/>
      <c r="K1400" s="1960"/>
      <c r="L1400" s="1960"/>
      <c r="M1400" s="1960"/>
      <c r="N1400" s="2597"/>
      <c r="O1400" s="15"/>
      <c r="P1400" s="15"/>
      <c r="Q1400" s="343"/>
      <c r="R1400" s="2"/>
      <c r="S1400" s="343"/>
      <c r="T1400" s="2"/>
      <c r="U1400" s="2"/>
      <c r="V1400" s="2"/>
      <c r="W1400" s="2"/>
      <c r="X1400" s="2"/>
      <c r="Y1400" s="2"/>
      <c r="Z1400" s="2"/>
      <c r="AA1400" s="2"/>
      <c r="AB1400" s="2"/>
      <c r="AC1400" s="2"/>
      <c r="AD1400" s="2"/>
      <c r="AE1400" s="2"/>
      <c r="AF1400" s="2"/>
      <c r="AG1400" s="2"/>
      <c r="AH1400" s="2"/>
      <c r="AI1400" s="2"/>
      <c r="AJ1400" s="2"/>
      <c r="AK1400" s="2"/>
      <c r="AL1400" s="2"/>
    </row>
    <row r="1401" spans="1:38" ht="12.75" customHeight="1" x14ac:dyDescent="0.25">
      <c r="A1401" s="2"/>
      <c r="B1401" s="178"/>
      <c r="C1401" s="779"/>
      <c r="D1401" s="416"/>
      <c r="E1401" s="2596" t="str">
        <f>Translations!$B$556</f>
        <v>De uppgifter som anges här påverkar de utsläpp som kan tillskrivas i enlighet med avsnitt 10.1.1 i bilaga VII till FAR.</v>
      </c>
      <c r="F1401" s="1960"/>
      <c r="G1401" s="1960"/>
      <c r="H1401" s="1960"/>
      <c r="I1401" s="1960"/>
      <c r="J1401" s="1960"/>
      <c r="K1401" s="1960"/>
      <c r="L1401" s="1960"/>
      <c r="M1401" s="1960"/>
      <c r="N1401" s="2597"/>
      <c r="O1401" s="15"/>
      <c r="P1401" s="15"/>
      <c r="Q1401" s="343"/>
      <c r="R1401" s="2"/>
      <c r="S1401" s="343"/>
      <c r="T1401" s="343"/>
      <c r="U1401" s="343"/>
      <c r="V1401" s="343"/>
      <c r="W1401" s="2"/>
      <c r="X1401" s="2"/>
      <c r="Y1401" s="2"/>
      <c r="Z1401" s="2"/>
      <c r="AA1401" s="2"/>
      <c r="AB1401" s="2"/>
      <c r="AC1401" s="2"/>
      <c r="AD1401" s="2"/>
      <c r="AE1401" s="2"/>
      <c r="AF1401" s="2"/>
      <c r="AG1401" s="2"/>
      <c r="AH1401" s="2"/>
      <c r="AI1401" s="2"/>
      <c r="AJ1401" s="2"/>
      <c r="AK1401" s="2"/>
      <c r="AL1401" s="2"/>
    </row>
    <row r="1402" spans="1:38" ht="25.5" customHeight="1" x14ac:dyDescent="0.25">
      <c r="A1402" s="2"/>
      <c r="B1402" s="178"/>
      <c r="C1402" s="779"/>
      <c r="D1402" s="780"/>
      <c r="E1402" s="2610" t="str">
        <f>Translations!$B$594</f>
        <v>I enlighet med kravet i avsnitt 3.1 k och 3.1 l i bilaga IV till FAR, var god ange mängden överförd koldioxid som importeras från eller exporteras till andra delanläggningar, anläggningar eller andra enheter, i enlighet med M&amp;R-förordningens regler.</v>
      </c>
      <c r="F1402" s="1960"/>
      <c r="G1402" s="1960"/>
      <c r="H1402" s="1960"/>
      <c r="I1402" s="1960"/>
      <c r="J1402" s="1960"/>
      <c r="K1402" s="1960"/>
      <c r="L1402" s="1960"/>
      <c r="M1402" s="1960"/>
      <c r="N1402" s="2597"/>
      <c r="O1402" s="15"/>
      <c r="P1402" s="15"/>
      <c r="Q1402" s="343"/>
      <c r="R1402" s="2"/>
      <c r="S1402" s="343"/>
      <c r="T1402" s="2"/>
      <c r="U1402" s="2"/>
      <c r="V1402" s="2"/>
      <c r="W1402" s="2"/>
      <c r="X1402" s="2"/>
      <c r="Y1402" s="2"/>
      <c r="Z1402" s="2"/>
      <c r="AA1402" s="2"/>
      <c r="AB1402" s="2"/>
      <c r="AC1402" s="2"/>
      <c r="AD1402" s="2"/>
      <c r="AE1402" s="2"/>
      <c r="AF1402" s="2"/>
      <c r="AG1402" s="2"/>
      <c r="AH1402" s="2"/>
      <c r="AI1402" s="2"/>
      <c r="AJ1402" s="2"/>
      <c r="AK1402" s="2"/>
      <c r="AL1402" s="2"/>
    </row>
    <row r="1403" spans="1:38" ht="12.75" customHeight="1" thickBot="1" x14ac:dyDescent="0.3">
      <c r="A1403" s="2"/>
      <c r="B1403" s="178"/>
      <c r="C1403" s="779"/>
      <c r="D1403" s="780"/>
      <c r="E1403" s="2610" t="str">
        <f>Translations!$B$595</f>
        <v>Exporterade mängder bör anges i negativa värden och motsvara den koldioxid som exporteras och som inte släpps ut i atmosfären av delanläggningen.</v>
      </c>
      <c r="F1403" s="1960"/>
      <c r="G1403" s="1960"/>
      <c r="H1403" s="1960"/>
      <c r="I1403" s="1960"/>
      <c r="J1403" s="1960"/>
      <c r="K1403" s="1960"/>
      <c r="L1403" s="1960"/>
      <c r="M1403" s="1960"/>
      <c r="N1403" s="2597"/>
      <c r="O1403" s="15"/>
      <c r="P1403" s="15"/>
      <c r="Q1403" s="343"/>
      <c r="R1403" s="2"/>
      <c r="S1403" s="343"/>
      <c r="T1403" s="2"/>
      <c r="U1403" s="2"/>
      <c r="V1403" s="2"/>
      <c r="W1403" s="2"/>
      <c r="X1403" s="2"/>
      <c r="Y1403" s="2"/>
      <c r="Z1403" s="2"/>
      <c r="AA1403" s="2"/>
      <c r="AB1403" s="2"/>
      <c r="AC1403" s="2"/>
      <c r="AD1403" s="2"/>
      <c r="AE1403" s="2"/>
      <c r="AF1403" s="2"/>
      <c r="AG1403" s="2"/>
      <c r="AH1403" s="2"/>
      <c r="AI1403" s="2"/>
      <c r="AJ1403" s="2"/>
      <c r="AK1403" s="2"/>
      <c r="AL1403" s="2"/>
    </row>
    <row r="1404" spans="1:38" ht="12.75" customHeight="1" thickBot="1" x14ac:dyDescent="0.3">
      <c r="A1404" s="2"/>
      <c r="B1404" s="178"/>
      <c r="C1404" s="779"/>
      <c r="D1404" s="373"/>
      <c r="E1404" s="1716"/>
      <c r="F1404" s="1717"/>
      <c r="G1404" s="361" t="str">
        <f>EUconst_Unit</f>
        <v>Enhet</v>
      </c>
      <c r="H1404" s="362">
        <f t="shared" ref="H1404:N1404" si="618">H$3042</f>
        <v>2019</v>
      </c>
      <c r="I1404" s="1103">
        <f t="shared" si="618"/>
        <v>2020</v>
      </c>
      <c r="J1404" s="1104">
        <f t="shared" si="618"/>
        <v>2021</v>
      </c>
      <c r="K1404" s="362">
        <f t="shared" si="618"/>
        <v>2022</v>
      </c>
      <c r="L1404" s="362">
        <f t="shared" si="618"/>
        <v>2023</v>
      </c>
      <c r="M1404" s="362">
        <f t="shared" si="618"/>
        <v>2024</v>
      </c>
      <c r="N1404" s="1141">
        <f t="shared" si="618"/>
        <v>2025</v>
      </c>
      <c r="O1404" s="15"/>
      <c r="P1404" s="15"/>
      <c r="Q1404" s="343"/>
      <c r="R1404" s="2"/>
      <c r="S1404" s="772"/>
      <c r="T1404" s="609">
        <f t="shared" ref="T1404:Z1404" si="619">H1404</f>
        <v>2019</v>
      </c>
      <c r="U1404" s="609">
        <f t="shared" si="619"/>
        <v>2020</v>
      </c>
      <c r="V1404" s="609">
        <f t="shared" si="619"/>
        <v>2021</v>
      </c>
      <c r="W1404" s="609">
        <f t="shared" si="619"/>
        <v>2022</v>
      </c>
      <c r="X1404" s="609">
        <f t="shared" si="619"/>
        <v>2023</v>
      </c>
      <c r="Y1404" s="609">
        <f t="shared" si="619"/>
        <v>2024</v>
      </c>
      <c r="Z1404" s="610">
        <f t="shared" si="619"/>
        <v>2025</v>
      </c>
      <c r="AA1404" s="2"/>
      <c r="AB1404" s="2"/>
      <c r="AC1404" s="1044">
        <f t="shared" ref="AC1404:AI1404" si="620">H$20</f>
        <v>2019</v>
      </c>
      <c r="AD1404" s="1044">
        <f t="shared" si="620"/>
        <v>2020</v>
      </c>
      <c r="AE1404" s="1044">
        <f t="shared" si="620"/>
        <v>2021</v>
      </c>
      <c r="AF1404" s="1044">
        <f t="shared" si="620"/>
        <v>2022</v>
      </c>
      <c r="AG1404" s="1044">
        <f t="shared" si="620"/>
        <v>2023</v>
      </c>
      <c r="AH1404" s="1044">
        <f t="shared" si="620"/>
        <v>2024</v>
      </c>
      <c r="AI1404" s="1044">
        <f t="shared" si="620"/>
        <v>2025</v>
      </c>
      <c r="AJ1404" s="2"/>
      <c r="AK1404" s="2"/>
      <c r="AL1404" s="2"/>
    </row>
    <row r="1405" spans="1:38" ht="12.75" customHeight="1" thickBot="1" x14ac:dyDescent="0.3">
      <c r="A1405" s="2"/>
      <c r="B1405" s="178"/>
      <c r="C1405" s="779"/>
      <c r="D1405" s="416"/>
      <c r="E1405" s="2613" t="str">
        <f>Translations!$B$596</f>
        <v>Importerade eller exporterade växthusgaser</v>
      </c>
      <c r="F1405" s="1997"/>
      <c r="G1405" s="364" t="str">
        <f>EUconst_tCO2epa</f>
        <v>t CO2e/år</v>
      </c>
      <c r="H1405" s="582"/>
      <c r="I1405" s="1105"/>
      <c r="J1405" s="1115"/>
      <c r="K1405" s="582"/>
      <c r="L1405" s="582"/>
      <c r="M1405" s="582"/>
      <c r="N1405" s="1146"/>
      <c r="O1405" s="15"/>
      <c r="P1405" s="1362"/>
      <c r="Q1405" s="165" t="str">
        <f>EUconst_CNTR_CO2Feedstock &amp; I1221</f>
        <v>EmCO2Feedstock_</v>
      </c>
      <c r="R1405" s="2"/>
      <c r="S1405" s="773" t="str">
        <f>EUconst_CNTR_AttributedEmissions &amp; I1221</f>
        <v>AttrEmissions_</v>
      </c>
      <c r="T1405" s="111" t="str">
        <f t="shared" ref="T1405:Z1405" si="621">IF(T1229,SUM(H1405),"")</f>
        <v/>
      </c>
      <c r="U1405" s="111" t="str">
        <f t="shared" si="621"/>
        <v/>
      </c>
      <c r="V1405" s="111" t="str">
        <f t="shared" si="621"/>
        <v/>
      </c>
      <c r="W1405" s="111" t="str">
        <f t="shared" si="621"/>
        <v/>
      </c>
      <c r="X1405" s="111" t="str">
        <f t="shared" si="621"/>
        <v/>
      </c>
      <c r="Y1405" s="111" t="str">
        <f t="shared" si="621"/>
        <v/>
      </c>
      <c r="Z1405" s="112" t="str">
        <f t="shared" si="621"/>
        <v/>
      </c>
      <c r="AA1405" s="2"/>
      <c r="AB1405" s="672" t="s">
        <v>782</v>
      </c>
      <c r="AC1405" s="108" t="b">
        <f>AC1291</f>
        <v>0</v>
      </c>
      <c r="AD1405" s="108" t="b">
        <f t="shared" ref="AD1405:AI1405" si="622">AD1291</f>
        <v>0</v>
      </c>
      <c r="AE1405" s="108" t="b">
        <f t="shared" si="622"/>
        <v>0</v>
      </c>
      <c r="AF1405" s="108" t="b">
        <f t="shared" si="622"/>
        <v>0</v>
      </c>
      <c r="AG1405" s="108" t="b">
        <f t="shared" si="622"/>
        <v>0</v>
      </c>
      <c r="AH1405" s="108" t="b">
        <f t="shared" si="622"/>
        <v>0</v>
      </c>
      <c r="AI1405" s="108" t="b">
        <f t="shared" si="622"/>
        <v>0</v>
      </c>
      <c r="AJ1405" s="553" t="s">
        <v>2248</v>
      </c>
      <c r="AK1405" s="663" t="str">
        <f>IF(AND(CNTR_ExistSubInstEntries,MSconst_RequireSubAttrEmissions,COUNTIFS(AC1405:AI1405,FALSE,H1405:N1405,"")&gt;0),EUconst_Error&amp;"BM"&amp;$Q1221,"")</f>
        <v/>
      </c>
      <c r="AL1405" s="2"/>
    </row>
    <row r="1406" spans="1:38" ht="12.75" customHeight="1" x14ac:dyDescent="0.25">
      <c r="A1406" s="2"/>
      <c r="B1406" s="178"/>
      <c r="C1406" s="779"/>
      <c r="D1406" s="780"/>
      <c r="E1406" s="780"/>
      <c r="F1406" s="780"/>
      <c r="G1406" s="780"/>
      <c r="H1406" s="780"/>
      <c r="I1406" s="780"/>
      <c r="J1406" s="780"/>
      <c r="K1406" s="780"/>
      <c r="L1406" s="780"/>
      <c r="M1406" s="623"/>
      <c r="N1406" s="519"/>
      <c r="O1406" s="15"/>
      <c r="P1406" s="15"/>
      <c r="Q1406" s="343"/>
      <c r="R1406" s="2"/>
      <c r="S1406" s="343"/>
      <c r="T1406" s="2"/>
      <c r="U1406" s="2"/>
      <c r="V1406" s="2"/>
      <c r="W1406" s="2"/>
      <c r="X1406" s="2"/>
      <c r="Y1406" s="2"/>
      <c r="Z1406" s="2"/>
      <c r="AA1406" s="2"/>
      <c r="AB1406" s="2"/>
      <c r="AC1406" s="2"/>
      <c r="AD1406" s="2"/>
      <c r="AE1406" s="2"/>
      <c r="AF1406" s="2"/>
      <c r="AG1406" s="2"/>
      <c r="AH1406" s="2"/>
      <c r="AI1406" s="2"/>
      <c r="AJ1406" s="2"/>
      <c r="AK1406" s="2"/>
      <c r="AL1406" s="2"/>
    </row>
    <row r="1407" spans="1:38" ht="12.75" customHeight="1" x14ac:dyDescent="0.25">
      <c r="A1407" s="2"/>
      <c r="B1407" s="178"/>
      <c r="C1407" s="779"/>
      <c r="D1407" s="373" t="s">
        <v>524</v>
      </c>
      <c r="E1407" s="2614" t="str">
        <f>Translations!$B$597</f>
        <v>Import till och export från delanläggningen av mätbar värme</v>
      </c>
      <c r="F1407" s="1960"/>
      <c r="G1407" s="1960"/>
      <c r="H1407" s="1960"/>
      <c r="I1407" s="1960"/>
      <c r="J1407" s="1960"/>
      <c r="K1407" s="1960"/>
      <c r="L1407" s="1960"/>
      <c r="M1407" s="1960"/>
      <c r="N1407" s="2597"/>
      <c r="O1407" s="15"/>
      <c r="P1407" s="15"/>
      <c r="Q1407" s="343"/>
      <c r="R1407" s="2"/>
      <c r="S1407" s="343"/>
      <c r="T1407" s="2"/>
      <c r="U1407" s="2"/>
      <c r="V1407" s="2"/>
      <c r="W1407" s="2"/>
      <c r="X1407" s="2"/>
      <c r="Y1407" s="2"/>
      <c r="Z1407" s="2"/>
      <c r="AA1407" s="2"/>
      <c r="AB1407" s="2"/>
      <c r="AC1407" s="2"/>
      <c r="AD1407" s="2"/>
      <c r="AE1407" s="2"/>
      <c r="AF1407" s="2"/>
      <c r="AG1407" s="2"/>
      <c r="AH1407" s="2"/>
      <c r="AI1407" s="2"/>
      <c r="AJ1407" s="2"/>
      <c r="AK1407" s="2"/>
      <c r="AL1407" s="2"/>
    </row>
    <row r="1408" spans="1:38" ht="12.75" customHeight="1" x14ac:dyDescent="0.25">
      <c r="A1408" s="2"/>
      <c r="B1408" s="178"/>
      <c r="C1408" s="779"/>
      <c r="D1408" s="416"/>
      <c r="E1408" s="2596" t="str">
        <f>Translations!$B$598</f>
        <v>De uppgifter som anges här påverkar de utsläpp som kan tillskrivas i enlighet med avsnitt 10.1.2 och 10.1.3 i bilaga VII till FAR.</v>
      </c>
      <c r="F1408" s="1960"/>
      <c r="G1408" s="1960"/>
      <c r="H1408" s="1960"/>
      <c r="I1408" s="1960"/>
      <c r="J1408" s="1960"/>
      <c r="K1408" s="1960"/>
      <c r="L1408" s="1960"/>
      <c r="M1408" s="1960"/>
      <c r="N1408" s="2597"/>
      <c r="O1408" s="15"/>
      <c r="P1408" s="15"/>
      <c r="Q1408" s="343"/>
      <c r="R1408" s="2"/>
      <c r="S1408" s="343"/>
      <c r="T1408" s="343"/>
      <c r="U1408" s="343"/>
      <c r="V1408" s="343"/>
      <c r="W1408" s="2"/>
      <c r="X1408" s="2"/>
      <c r="Y1408" s="2"/>
      <c r="Z1408" s="2"/>
      <c r="AA1408" s="2"/>
      <c r="AB1408" s="2"/>
      <c r="AC1408" s="2"/>
      <c r="AD1408" s="2"/>
      <c r="AE1408" s="2"/>
      <c r="AF1408" s="2"/>
      <c r="AG1408" s="2"/>
      <c r="AH1408" s="2"/>
      <c r="AI1408" s="2"/>
      <c r="AJ1408" s="2"/>
      <c r="AK1408" s="2"/>
      <c r="AL1408" s="2"/>
    </row>
    <row r="1409" spans="1:38" ht="38.9" customHeight="1" x14ac:dyDescent="0.25">
      <c r="A1409" s="2"/>
      <c r="B1409" s="178"/>
      <c r="C1409" s="779"/>
      <c r="D1409" s="780"/>
      <c r="E1409" s="2610" t="str">
        <f>Translations!$B$599</f>
        <v>Detta innefattar den totala mängd värme som produceras i, importeras från eller exporteras till (del)anläggningar inom ETS eller anläggningar eller enheter utanför ETS. De särskilda emissionsfaktorerna för värmen bör vara förenliga med bestämmelserna i avsnitten 8 och 10 i bilaga VII till FAR, särskilt avsnitt 10.1.2 och 10.1.3.</v>
      </c>
      <c r="F1409" s="1960"/>
      <c r="G1409" s="1960"/>
      <c r="H1409" s="1960"/>
      <c r="I1409" s="1960"/>
      <c r="J1409" s="1960"/>
      <c r="K1409" s="1960"/>
      <c r="L1409" s="1960"/>
      <c r="M1409" s="1960"/>
      <c r="N1409" s="2597"/>
      <c r="O1409" s="15"/>
      <c r="P1409" s="15"/>
      <c r="Q1409" s="343"/>
      <c r="R1409" s="2"/>
      <c r="S1409" s="343"/>
      <c r="T1409" s="2"/>
      <c r="U1409" s="2"/>
      <c r="V1409" s="2"/>
      <c r="W1409" s="2"/>
      <c r="X1409" s="2"/>
      <c r="Y1409" s="2"/>
      <c r="Z1409" s="2"/>
      <c r="AA1409" s="2"/>
      <c r="AB1409" s="2"/>
      <c r="AC1409" s="2"/>
      <c r="AD1409" s="2"/>
      <c r="AE1409" s="2"/>
      <c r="AF1409" s="2"/>
      <c r="AG1409" s="2"/>
      <c r="AH1409" s="2"/>
      <c r="AI1409" s="2"/>
      <c r="AJ1409" s="2"/>
      <c r="AK1409" s="2"/>
      <c r="AL1409" s="2"/>
    </row>
    <row r="1410" spans="1:38" ht="25.5" customHeight="1" x14ac:dyDescent="0.25">
      <c r="A1410" s="2"/>
      <c r="B1410" s="178"/>
      <c r="C1410" s="779"/>
      <c r="D1410" s="780"/>
      <c r="E1410" s="2610" t="str">
        <f>Translations!$B$600</f>
        <v>Utsläpp avseende mätbar värme som produceras på platsen från enheter som tjänar mer än en delanläggning bör också anges här under ”import” i stället för att utsläppen direkt tillskrivs genom bränslets emissionsfaktor i punkt g ovan. Detsamma gäller för all värme som ”importeras” från andra delanläggningar.</v>
      </c>
      <c r="F1410" s="1960"/>
      <c r="G1410" s="1960"/>
      <c r="H1410" s="1960"/>
      <c r="I1410" s="1960"/>
      <c r="J1410" s="1960"/>
      <c r="K1410" s="1960"/>
      <c r="L1410" s="1960"/>
      <c r="M1410" s="1960"/>
      <c r="N1410" s="2597"/>
      <c r="O1410" s="15"/>
      <c r="P1410" s="15"/>
      <c r="Q1410" s="343"/>
      <c r="R1410" s="2"/>
      <c r="S1410" s="343"/>
      <c r="T1410" s="2"/>
      <c r="U1410" s="2"/>
      <c r="V1410" s="2"/>
      <c r="W1410" s="2"/>
      <c r="X1410" s="2"/>
      <c r="Y1410" s="2"/>
      <c r="Z1410" s="2"/>
      <c r="AA1410" s="2"/>
      <c r="AB1410" s="2"/>
      <c r="AC1410" s="2"/>
      <c r="AD1410" s="2"/>
      <c r="AE1410" s="2"/>
      <c r="AF1410" s="2"/>
      <c r="AG1410" s="2"/>
      <c r="AH1410" s="2"/>
      <c r="AI1410" s="2"/>
      <c r="AJ1410" s="2"/>
      <c r="AK1410" s="2"/>
      <c r="AL1410" s="2"/>
    </row>
    <row r="1411" spans="1:38" ht="25.5" customHeight="1" x14ac:dyDescent="0.25">
      <c r="A1411" s="2"/>
      <c r="B1411" s="178"/>
      <c r="C1411" s="779"/>
      <c r="D1411" s="780"/>
      <c r="E1411" s="2610" t="str">
        <f>Translations!$B$601</f>
        <v xml:space="preserve">Om värmen endast produceras för en delanläggning och de motsvarande utsläppen därför anges i punkt g ovan, bör mängderna inte anges här som import för att undvika dubbelräkning. </v>
      </c>
      <c r="F1411" s="1960"/>
      <c r="G1411" s="1960"/>
      <c r="H1411" s="1960"/>
      <c r="I1411" s="1960"/>
      <c r="J1411" s="1960"/>
      <c r="K1411" s="1960"/>
      <c r="L1411" s="1960"/>
      <c r="M1411" s="1960"/>
      <c r="N1411" s="2597"/>
      <c r="O1411" s="15"/>
      <c r="P1411" s="15"/>
      <c r="Q1411" s="343"/>
      <c r="R1411" s="2"/>
      <c r="S1411" s="343"/>
      <c r="T1411" s="2"/>
      <c r="U1411" s="2"/>
      <c r="V1411" s="2"/>
      <c r="W1411" s="2"/>
      <c r="X1411" s="2"/>
      <c r="Y1411" s="2"/>
      <c r="Z1411" s="2"/>
      <c r="AA1411" s="2"/>
      <c r="AB1411" s="2"/>
      <c r="AC1411" s="2"/>
      <c r="AD1411" s="2"/>
      <c r="AE1411" s="2"/>
      <c r="AF1411" s="2"/>
      <c r="AG1411" s="2"/>
      <c r="AH1411" s="2"/>
      <c r="AI1411" s="2"/>
      <c r="AJ1411" s="2"/>
      <c r="AK1411" s="2"/>
      <c r="AL1411" s="2"/>
    </row>
    <row r="1412" spans="1:38" ht="12.75" customHeight="1" thickBot="1" x14ac:dyDescent="0.3">
      <c r="A1412" s="2"/>
      <c r="B1412" s="178"/>
      <c r="C1412" s="779"/>
      <c r="D1412" s="780"/>
      <c r="E1412" s="2622" t="str">
        <f>Translations!$B$602</f>
        <v>Kraftvärmeverktyget i avsnitt D.III i bladet "D_Emissions" måste användas för att tillskriva utsläpp från kraftvärme till produktion av mätbar värme.</v>
      </c>
      <c r="F1412" s="2623"/>
      <c r="G1412" s="2623"/>
      <c r="H1412" s="2623"/>
      <c r="I1412" s="2623"/>
      <c r="J1412" s="2623"/>
      <c r="K1412" s="2623"/>
      <c r="L1412" s="2623"/>
      <c r="M1412" s="2623"/>
      <c r="N1412" s="2624"/>
      <c r="O1412" s="15"/>
      <c r="P1412" s="15"/>
      <c r="Q1412" s="343"/>
      <c r="R1412" s="2"/>
      <c r="S1412" s="2"/>
      <c r="T1412" s="2"/>
      <c r="U1412" s="2"/>
      <c r="V1412" s="2"/>
      <c r="W1412" s="2"/>
      <c r="X1412" s="2"/>
      <c r="Y1412" s="2"/>
      <c r="Z1412" s="2"/>
      <c r="AA1412" s="2"/>
      <c r="AB1412" s="2"/>
      <c r="AC1412" s="2"/>
      <c r="AD1412" s="2"/>
      <c r="AE1412" s="2"/>
      <c r="AF1412" s="2"/>
      <c r="AG1412" s="2"/>
      <c r="AH1412" s="2"/>
      <c r="AI1412" s="2"/>
      <c r="AJ1412" s="2"/>
      <c r="AK1412" s="2"/>
      <c r="AL1412" s="2"/>
    </row>
    <row r="1413" spans="1:38" ht="12.75" customHeight="1" thickBot="1" x14ac:dyDescent="0.3">
      <c r="A1413" s="2"/>
      <c r="B1413" s="178"/>
      <c r="C1413" s="779"/>
      <c r="D1413" s="780"/>
      <c r="E1413" s="2605" t="str">
        <f>Translations!$B$603</f>
        <v>Total importerad värme</v>
      </c>
      <c r="F1413" s="2497"/>
      <c r="G1413" s="361" t="str">
        <f>EUconst_Unit</f>
        <v>Enhet</v>
      </c>
      <c r="H1413" s="362">
        <f t="shared" ref="H1413:N1413" si="623">H$3042</f>
        <v>2019</v>
      </c>
      <c r="I1413" s="1103">
        <f t="shared" si="623"/>
        <v>2020</v>
      </c>
      <c r="J1413" s="1104">
        <f t="shared" si="623"/>
        <v>2021</v>
      </c>
      <c r="K1413" s="362">
        <f t="shared" si="623"/>
        <v>2022</v>
      </c>
      <c r="L1413" s="362">
        <f t="shared" si="623"/>
        <v>2023</v>
      </c>
      <c r="M1413" s="362">
        <f t="shared" si="623"/>
        <v>2024</v>
      </c>
      <c r="N1413" s="1141">
        <f t="shared" si="623"/>
        <v>2025</v>
      </c>
      <c r="O1413" s="15"/>
      <c r="P1413" s="15"/>
      <c r="Q1413" s="343"/>
      <c r="R1413" s="2"/>
      <c r="S1413" s="772"/>
      <c r="T1413" s="609">
        <f t="shared" ref="T1413:Z1413" si="624">H1413</f>
        <v>2019</v>
      </c>
      <c r="U1413" s="609">
        <f t="shared" si="624"/>
        <v>2020</v>
      </c>
      <c r="V1413" s="609">
        <f t="shared" si="624"/>
        <v>2021</v>
      </c>
      <c r="W1413" s="609">
        <f t="shared" si="624"/>
        <v>2022</v>
      </c>
      <c r="X1413" s="609">
        <f t="shared" si="624"/>
        <v>2023</v>
      </c>
      <c r="Y1413" s="609">
        <f t="shared" si="624"/>
        <v>2024</v>
      </c>
      <c r="Z1413" s="610">
        <f t="shared" si="624"/>
        <v>2025</v>
      </c>
      <c r="AA1413" s="2"/>
      <c r="AB1413" s="2"/>
      <c r="AC1413" s="1044">
        <f t="shared" ref="AC1413:AI1413" si="625">H$20</f>
        <v>2019</v>
      </c>
      <c r="AD1413" s="1044">
        <f t="shared" si="625"/>
        <v>2020</v>
      </c>
      <c r="AE1413" s="1044">
        <f t="shared" si="625"/>
        <v>2021</v>
      </c>
      <c r="AF1413" s="1044">
        <f t="shared" si="625"/>
        <v>2022</v>
      </c>
      <c r="AG1413" s="1044">
        <f t="shared" si="625"/>
        <v>2023</v>
      </c>
      <c r="AH1413" s="1044">
        <f t="shared" si="625"/>
        <v>2024</v>
      </c>
      <c r="AI1413" s="1044">
        <f t="shared" si="625"/>
        <v>2025</v>
      </c>
      <c r="AJ1413" s="2"/>
      <c r="AK1413" s="2"/>
      <c r="AL1413" s="2"/>
    </row>
    <row r="1414" spans="1:38" ht="12.75" customHeight="1" x14ac:dyDescent="0.25">
      <c r="A1414" s="2"/>
      <c r="B1414" s="178"/>
      <c r="C1414" s="779"/>
      <c r="D1414" s="416" t="s">
        <v>8</v>
      </c>
      <c r="E1414" s="2613" t="str">
        <f>Translations!$B$604</f>
        <v>Nettomängd importerad värme</v>
      </c>
      <c r="F1414" s="1997"/>
      <c r="G1414" s="364" t="str">
        <f>EUconst_TJpa</f>
        <v>TJ / år</v>
      </c>
      <c r="H1414" s="582"/>
      <c r="I1414" s="1105"/>
      <c r="J1414" s="1115"/>
      <c r="K1414" s="582"/>
      <c r="L1414" s="582"/>
      <c r="M1414" s="582"/>
      <c r="N1414" s="1146"/>
      <c r="O1414" s="15"/>
      <c r="P1414" s="1362"/>
      <c r="Q1414" s="165" t="str">
        <f>EUconst_CNTR_HeatImport &amp; I1221</f>
        <v>HeatIm_</v>
      </c>
      <c r="R1414" s="2"/>
      <c r="S1414" s="1751" t="str">
        <f>EUconst_ERR_AttrEmBMapplied &amp; I1221</f>
        <v>ERR_AttrEmBM_</v>
      </c>
      <c r="T1414" s="108">
        <f t="shared" ref="T1414:Z1414" si="626">IF(AND(H1414&lt;&gt;0,H1415="",EUconst_StatusOfDataCollection=FALSE),1,0)</f>
        <v>0</v>
      </c>
      <c r="U1414" s="108">
        <f t="shared" si="626"/>
        <v>0</v>
      </c>
      <c r="V1414" s="108">
        <f t="shared" si="626"/>
        <v>0</v>
      </c>
      <c r="W1414" s="108">
        <f t="shared" si="626"/>
        <v>0</v>
      </c>
      <c r="X1414" s="108">
        <f t="shared" si="626"/>
        <v>0</v>
      </c>
      <c r="Y1414" s="108">
        <f t="shared" si="626"/>
        <v>0</v>
      </c>
      <c r="Z1414" s="109">
        <f t="shared" si="626"/>
        <v>0</v>
      </c>
      <c r="AA1414" s="40"/>
      <c r="AB1414" s="672" t="s">
        <v>782</v>
      </c>
      <c r="AC1414" s="108" t="b">
        <f t="shared" ref="AC1414:AI1414" si="627">AC1291</f>
        <v>0</v>
      </c>
      <c r="AD1414" s="108" t="b">
        <f t="shared" si="627"/>
        <v>0</v>
      </c>
      <c r="AE1414" s="108" t="b">
        <f t="shared" si="627"/>
        <v>0</v>
      </c>
      <c r="AF1414" s="108" t="b">
        <f t="shared" si="627"/>
        <v>0</v>
      </c>
      <c r="AG1414" s="108" t="b">
        <f t="shared" si="627"/>
        <v>0</v>
      </c>
      <c r="AH1414" s="108" t="b">
        <f t="shared" si="627"/>
        <v>0</v>
      </c>
      <c r="AI1414" s="108" t="b">
        <f t="shared" si="627"/>
        <v>0</v>
      </c>
      <c r="AJ1414" s="553" t="s">
        <v>2248</v>
      </c>
      <c r="AK1414" s="663" t="str">
        <f>IF(AND(CNTR_ExistSubInstEntries,MSconst_RequireSubAttrEmissions,COUNTIFS(AC1414:AI1414,FALSE,H1414:N1414,"")&gt;0),EUconst_Error&amp;"BM"&amp;$Q1221,"")</f>
        <v/>
      </c>
      <c r="AL1414" s="2"/>
    </row>
    <row r="1415" spans="1:38" ht="12.75" customHeight="1" thickBot="1" x14ac:dyDescent="0.3">
      <c r="A1415" s="2"/>
      <c r="B1415" s="178"/>
      <c r="C1415" s="779"/>
      <c r="D1415" s="416" t="s">
        <v>9</v>
      </c>
      <c r="E1415" s="2613" t="str">
        <f>Translations!$B$605</f>
        <v>Särskild emissionsfaktor (importerad värme)</v>
      </c>
      <c r="F1415" s="1997"/>
      <c r="G1415" s="364" t="str">
        <f>EUconst_tCO2pTJ</f>
        <v>t CO2 / TJ</v>
      </c>
      <c r="H1415" s="582"/>
      <c r="I1415" s="1105"/>
      <c r="J1415" s="1115"/>
      <c r="K1415" s="582"/>
      <c r="L1415" s="582"/>
      <c r="M1415" s="582"/>
      <c r="N1415" s="1146"/>
      <c r="O1415" s="15"/>
      <c r="P1415" s="1362"/>
      <c r="Q1415" s="165" t="str">
        <f>EUconst_CNTR_HeatImportEF &amp; I1221</f>
        <v>HeatImEF_</v>
      </c>
      <c r="R1415" s="2"/>
      <c r="S1415" s="773" t="str">
        <f>EUconst_CNTR_AttributedEmissions &amp; I1221</f>
        <v>AttrEmissions_</v>
      </c>
      <c r="T1415" s="111" t="str">
        <f t="shared" ref="T1415:Z1415" si="628">IF(T1229,SUM(H1414)*IF(ISNUMBER(H1415),H1415,EUconst_HeatBMvalue),"")</f>
        <v/>
      </c>
      <c r="U1415" s="111" t="str">
        <f t="shared" si="628"/>
        <v/>
      </c>
      <c r="V1415" s="111" t="str">
        <f t="shared" si="628"/>
        <v/>
      </c>
      <c r="W1415" s="111" t="str">
        <f t="shared" si="628"/>
        <v/>
      </c>
      <c r="X1415" s="111" t="str">
        <f t="shared" si="628"/>
        <v/>
      </c>
      <c r="Y1415" s="111" t="str">
        <f t="shared" si="628"/>
        <v/>
      </c>
      <c r="Z1415" s="112" t="str">
        <f t="shared" si="628"/>
        <v/>
      </c>
      <c r="AA1415" s="2"/>
      <c r="AB1415" s="2"/>
      <c r="AC1415" s="108" t="b">
        <f>AC1414</f>
        <v>0</v>
      </c>
      <c r="AD1415" s="108" t="b">
        <f t="shared" ref="AD1415:AI1415" si="629">AD1414</f>
        <v>0</v>
      </c>
      <c r="AE1415" s="108" t="b">
        <f t="shared" si="629"/>
        <v>0</v>
      </c>
      <c r="AF1415" s="108" t="b">
        <f t="shared" si="629"/>
        <v>0</v>
      </c>
      <c r="AG1415" s="108" t="b">
        <f t="shared" si="629"/>
        <v>0</v>
      </c>
      <c r="AH1415" s="108" t="b">
        <f t="shared" si="629"/>
        <v>0</v>
      </c>
      <c r="AI1415" s="108" t="b">
        <f t="shared" si="629"/>
        <v>0</v>
      </c>
      <c r="AJ1415" s="2"/>
      <c r="AK1415" s="2"/>
      <c r="AL1415" s="2"/>
    </row>
    <row r="1416" spans="1:38" ht="5.15" customHeight="1" x14ac:dyDescent="0.25">
      <c r="A1416" s="2"/>
      <c r="B1416" s="178"/>
      <c r="C1416" s="779"/>
      <c r="D1416" s="780"/>
      <c r="E1416" s="780"/>
      <c r="F1416" s="780"/>
      <c r="G1416" s="780"/>
      <c r="H1416" s="780"/>
      <c r="I1416" s="780"/>
      <c r="J1416" s="780"/>
      <c r="K1416" s="780"/>
      <c r="L1416" s="780"/>
      <c r="M1416" s="780"/>
      <c r="N1416" s="519"/>
      <c r="O1416" s="15"/>
      <c r="P1416" s="15"/>
      <c r="Q1416" s="343"/>
      <c r="R1416" s="2"/>
      <c r="S1416" s="343"/>
      <c r="T1416" s="343"/>
      <c r="U1416" s="343"/>
      <c r="V1416" s="343"/>
      <c r="W1416" s="2"/>
      <c r="X1416" s="2"/>
      <c r="Y1416" s="2"/>
      <c r="Z1416" s="2"/>
      <c r="AA1416" s="2"/>
      <c r="AB1416" s="2"/>
      <c r="AC1416" s="2"/>
      <c r="AD1416" s="2"/>
      <c r="AE1416" s="2"/>
      <c r="AF1416" s="2"/>
      <c r="AG1416" s="2"/>
      <c r="AH1416" s="2"/>
      <c r="AI1416" s="2"/>
      <c r="AJ1416" s="2"/>
      <c r="AK1416" s="2"/>
      <c r="AL1416" s="2"/>
    </row>
    <row r="1417" spans="1:38" ht="12.75" customHeight="1" thickBot="1" x14ac:dyDescent="0.3">
      <c r="A1417" s="2"/>
      <c r="B1417" s="178"/>
      <c r="C1417" s="779"/>
      <c r="D1417" s="780"/>
      <c r="E1417" s="2605" t="str">
        <f>Translations!$B$606</f>
        <v>Särskild värmeimport</v>
      </c>
      <c r="F1417" s="2497"/>
      <c r="G1417" s="361" t="str">
        <f>EUconst_Unit</f>
        <v>Enhet</v>
      </c>
      <c r="H1417" s="362">
        <f t="shared" ref="H1417:N1417" si="630">H$3042</f>
        <v>2019</v>
      </c>
      <c r="I1417" s="1103">
        <f t="shared" si="630"/>
        <v>2020</v>
      </c>
      <c r="J1417" s="1104">
        <f t="shared" si="630"/>
        <v>2021</v>
      </c>
      <c r="K1417" s="362">
        <f t="shared" si="630"/>
        <v>2022</v>
      </c>
      <c r="L1417" s="362">
        <f t="shared" si="630"/>
        <v>2023</v>
      </c>
      <c r="M1417" s="362">
        <f t="shared" si="630"/>
        <v>2024</v>
      </c>
      <c r="N1417" s="1141">
        <f t="shared" si="630"/>
        <v>2025</v>
      </c>
      <c r="O1417" s="15"/>
      <c r="P1417" s="15"/>
      <c r="Q1417" s="343"/>
      <c r="R1417" s="2"/>
      <c r="S1417" s="343"/>
      <c r="T1417" s="343"/>
      <c r="U1417" s="343"/>
      <c r="V1417" s="343"/>
      <c r="W1417" s="2"/>
      <c r="X1417" s="2"/>
      <c r="Y1417" s="2"/>
      <c r="Z1417" s="2"/>
      <c r="AA1417" s="2"/>
      <c r="AB1417" s="2"/>
      <c r="AC1417" s="1044">
        <f t="shared" ref="AC1417:AI1417" si="631">H$20</f>
        <v>2019</v>
      </c>
      <c r="AD1417" s="1044">
        <f t="shared" si="631"/>
        <v>2020</v>
      </c>
      <c r="AE1417" s="1044">
        <f t="shared" si="631"/>
        <v>2021</v>
      </c>
      <c r="AF1417" s="1044">
        <f t="shared" si="631"/>
        <v>2022</v>
      </c>
      <c r="AG1417" s="1044">
        <f t="shared" si="631"/>
        <v>2023</v>
      </c>
      <c r="AH1417" s="1044">
        <f t="shared" si="631"/>
        <v>2024</v>
      </c>
      <c r="AI1417" s="1044">
        <f t="shared" si="631"/>
        <v>2025</v>
      </c>
      <c r="AJ1417" s="2"/>
      <c r="AK1417" s="2"/>
      <c r="AL1417" s="2"/>
    </row>
    <row r="1418" spans="1:38" ht="12.75" customHeight="1" x14ac:dyDescent="0.25">
      <c r="A1418" s="2"/>
      <c r="B1418" s="178"/>
      <c r="C1418" s="779"/>
      <c r="D1418" s="416" t="s">
        <v>10</v>
      </c>
      <c r="E1418" s="2613" t="str">
        <f>Translations!$B$607</f>
        <v>Nettomängd importerad värme från massadelanläggningar</v>
      </c>
      <c r="F1418" s="1997"/>
      <c r="G1418" s="364" t="str">
        <f>EUconst_TJpa</f>
        <v>TJ / år</v>
      </c>
      <c r="H1418" s="1310"/>
      <c r="I1418" s="1311"/>
      <c r="J1418" s="1312"/>
      <c r="K1418" s="1310"/>
      <c r="L1418" s="1310"/>
      <c r="M1418" s="1310"/>
      <c r="N1418" s="1313"/>
      <c r="O1418" s="15"/>
      <c r="P1418" s="1362"/>
      <c r="Q1418" s="165" t="str">
        <f>EUconst_CNTR_HeatImportPulp &amp; I1221</f>
        <v>HeatImPulp_</v>
      </c>
      <c r="R1418" s="2"/>
      <c r="S1418" s="343"/>
      <c r="T1418" s="343"/>
      <c r="U1418" s="343"/>
      <c r="V1418" s="343"/>
      <c r="W1418" s="2"/>
      <c r="X1418" s="2"/>
      <c r="Y1418" s="2"/>
      <c r="Z1418" s="2"/>
      <c r="AA1418" s="2"/>
      <c r="AB1418" s="672" t="s">
        <v>782</v>
      </c>
      <c r="AC1418" s="108" t="b">
        <f>AC1291</f>
        <v>0</v>
      </c>
      <c r="AD1418" s="108" t="b">
        <f t="shared" ref="AD1418:AI1418" si="632">AD1291</f>
        <v>0</v>
      </c>
      <c r="AE1418" s="108" t="b">
        <f t="shared" si="632"/>
        <v>0</v>
      </c>
      <c r="AF1418" s="108" t="b">
        <f t="shared" si="632"/>
        <v>0</v>
      </c>
      <c r="AG1418" s="108" t="b">
        <f t="shared" si="632"/>
        <v>0</v>
      </c>
      <c r="AH1418" s="108" t="b">
        <f t="shared" si="632"/>
        <v>0</v>
      </c>
      <c r="AI1418" s="108" t="b">
        <f t="shared" si="632"/>
        <v>0</v>
      </c>
      <c r="AJ1418" s="553" t="s">
        <v>2248</v>
      </c>
      <c r="AK1418" s="663" t="str">
        <f>IF(AND(CNTR_ExistSubInstEntries,MSconst_RequireSubAttrEmissions,COUNTIFS(AC1418:AI1418,FALSE,H1418:N1418,"")&gt;0),EUconst_Error&amp;"BM"&amp;$Q1221,"")</f>
        <v/>
      </c>
      <c r="AL1418" s="2"/>
    </row>
    <row r="1419" spans="1:38" ht="25.5" customHeight="1" x14ac:dyDescent="0.25">
      <c r="A1419" s="2"/>
      <c r="B1419" s="178"/>
      <c r="C1419" s="779"/>
      <c r="D1419" s="416" t="s">
        <v>23</v>
      </c>
      <c r="E1419" s="2613" t="str">
        <f>Translations!$B$608</f>
        <v>Nettomängd importerad värme från delanläggningar för salpetersyra</v>
      </c>
      <c r="F1419" s="1997"/>
      <c r="G1419" s="364" t="str">
        <f>EUconst_TJpa</f>
        <v>TJ / år</v>
      </c>
      <c r="H1419" s="582"/>
      <c r="I1419" s="1105"/>
      <c r="J1419" s="1115"/>
      <c r="K1419" s="582"/>
      <c r="L1419" s="582"/>
      <c r="M1419" s="582"/>
      <c r="N1419" s="1146"/>
      <c r="O1419" s="15"/>
      <c r="P1419" s="1362"/>
      <c r="Q1419" s="165" t="str">
        <f>EUconst_CNTR_HeatImportNitric &amp; I1221</f>
        <v>HeatImNitric_</v>
      </c>
      <c r="R1419" s="2"/>
      <c r="S1419" s="343"/>
      <c r="T1419" s="343"/>
      <c r="U1419" s="343"/>
      <c r="V1419" s="343"/>
      <c r="W1419" s="2"/>
      <c r="X1419" s="2"/>
      <c r="Y1419" s="2"/>
      <c r="Z1419" s="2"/>
      <c r="AA1419" s="2"/>
      <c r="AB1419" s="2"/>
      <c r="AC1419" s="108" t="b">
        <f>AC1418</f>
        <v>0</v>
      </c>
      <c r="AD1419" s="108" t="b">
        <f t="shared" ref="AD1419:AI1419" si="633">AD1418</f>
        <v>0</v>
      </c>
      <c r="AE1419" s="108" t="b">
        <f t="shared" si="633"/>
        <v>0</v>
      </c>
      <c r="AF1419" s="108" t="b">
        <f t="shared" si="633"/>
        <v>0</v>
      </c>
      <c r="AG1419" s="108" t="b">
        <f t="shared" si="633"/>
        <v>0</v>
      </c>
      <c r="AH1419" s="108" t="b">
        <f t="shared" si="633"/>
        <v>0</v>
      </c>
      <c r="AI1419" s="108" t="b">
        <f t="shared" si="633"/>
        <v>0</v>
      </c>
      <c r="AJ1419" s="553" t="s">
        <v>2248</v>
      </c>
      <c r="AK1419" s="663" t="str">
        <f>IF(AND(CNTR_ExistSubInstEntries,MSconst_RequireSubAttrEmissions,COUNTIFS(AC1419:AI1419,FALSE,H1419:N1419,"")&gt;0),EUconst_Error&amp;"BM"&amp;$Q1221,"")</f>
        <v/>
      </c>
      <c r="AL1419" s="2"/>
    </row>
    <row r="1420" spans="1:38" ht="5.15" customHeight="1" thickBot="1" x14ac:dyDescent="0.3">
      <c r="A1420" s="2"/>
      <c r="B1420" s="178"/>
      <c r="C1420" s="779"/>
      <c r="D1420" s="780"/>
      <c r="E1420" s="780"/>
      <c r="F1420" s="780"/>
      <c r="G1420" s="780"/>
      <c r="H1420" s="780"/>
      <c r="I1420" s="780"/>
      <c r="J1420" s="780"/>
      <c r="K1420" s="780"/>
      <c r="L1420" s="780"/>
      <c r="M1420" s="780"/>
      <c r="N1420" s="519"/>
      <c r="O1420" s="15"/>
      <c r="P1420" s="15"/>
      <c r="Q1420" s="343"/>
      <c r="R1420" s="2"/>
      <c r="S1420" s="343"/>
      <c r="T1420" s="343"/>
      <c r="U1420" s="343"/>
      <c r="V1420" s="343"/>
      <c r="W1420" s="2"/>
      <c r="X1420" s="2"/>
      <c r="Y1420" s="2"/>
      <c r="Z1420" s="2"/>
      <c r="AA1420" s="2"/>
      <c r="AB1420" s="2"/>
      <c r="AC1420" s="2"/>
      <c r="AD1420" s="2"/>
      <c r="AE1420" s="2"/>
      <c r="AF1420" s="2"/>
      <c r="AG1420" s="2"/>
      <c r="AH1420" s="2"/>
      <c r="AI1420" s="2"/>
      <c r="AJ1420" s="2"/>
      <c r="AK1420" s="2"/>
      <c r="AL1420" s="2"/>
    </row>
    <row r="1421" spans="1:38" ht="12.75" customHeight="1" thickBot="1" x14ac:dyDescent="0.3">
      <c r="A1421" s="2"/>
      <c r="B1421" s="178"/>
      <c r="C1421" s="779"/>
      <c r="D1421" s="780"/>
      <c r="E1421" s="2605" t="str">
        <f>Translations!$B$609</f>
        <v>Total exporterad värme</v>
      </c>
      <c r="F1421" s="2497"/>
      <c r="G1421" s="361" t="str">
        <f>EUconst_Unit</f>
        <v>Enhet</v>
      </c>
      <c r="H1421" s="362">
        <f t="shared" ref="H1421:N1421" si="634">H$3042</f>
        <v>2019</v>
      </c>
      <c r="I1421" s="1103">
        <f t="shared" si="634"/>
        <v>2020</v>
      </c>
      <c r="J1421" s="1104">
        <f t="shared" si="634"/>
        <v>2021</v>
      </c>
      <c r="K1421" s="362">
        <f t="shared" si="634"/>
        <v>2022</v>
      </c>
      <c r="L1421" s="362">
        <f t="shared" si="634"/>
        <v>2023</v>
      </c>
      <c r="M1421" s="362">
        <f t="shared" si="634"/>
        <v>2024</v>
      </c>
      <c r="N1421" s="1141">
        <f t="shared" si="634"/>
        <v>2025</v>
      </c>
      <c r="O1421" s="15"/>
      <c r="P1421" s="15"/>
      <c r="Q1421" s="343"/>
      <c r="R1421" s="2"/>
      <c r="S1421" s="772"/>
      <c r="T1421" s="609">
        <f t="shared" ref="T1421:Z1421" si="635">H1421</f>
        <v>2019</v>
      </c>
      <c r="U1421" s="609">
        <f t="shared" si="635"/>
        <v>2020</v>
      </c>
      <c r="V1421" s="609">
        <f t="shared" si="635"/>
        <v>2021</v>
      </c>
      <c r="W1421" s="609">
        <f t="shared" si="635"/>
        <v>2022</v>
      </c>
      <c r="X1421" s="609">
        <f t="shared" si="635"/>
        <v>2023</v>
      </c>
      <c r="Y1421" s="609">
        <f t="shared" si="635"/>
        <v>2024</v>
      </c>
      <c r="Z1421" s="610">
        <f t="shared" si="635"/>
        <v>2025</v>
      </c>
      <c r="AA1421" s="2"/>
      <c r="AB1421" s="2"/>
      <c r="AC1421" s="1044">
        <f t="shared" ref="AC1421:AI1421" si="636">H$20</f>
        <v>2019</v>
      </c>
      <c r="AD1421" s="1044">
        <f t="shared" si="636"/>
        <v>2020</v>
      </c>
      <c r="AE1421" s="1044">
        <f t="shared" si="636"/>
        <v>2021</v>
      </c>
      <c r="AF1421" s="1044">
        <f t="shared" si="636"/>
        <v>2022</v>
      </c>
      <c r="AG1421" s="1044">
        <f t="shared" si="636"/>
        <v>2023</v>
      </c>
      <c r="AH1421" s="1044">
        <f t="shared" si="636"/>
        <v>2024</v>
      </c>
      <c r="AI1421" s="1044">
        <f t="shared" si="636"/>
        <v>2025</v>
      </c>
      <c r="AJ1421" s="2"/>
      <c r="AK1421" s="2"/>
      <c r="AL1421" s="2"/>
    </row>
    <row r="1422" spans="1:38" ht="12.75" customHeight="1" x14ac:dyDescent="0.25">
      <c r="A1422" s="2"/>
      <c r="B1422" s="178"/>
      <c r="C1422" s="779"/>
      <c r="D1422" s="416" t="s">
        <v>859</v>
      </c>
      <c r="E1422" s="2613" t="str">
        <f>Translations!$B$610</f>
        <v>Nettomängd exporterad värme</v>
      </c>
      <c r="F1422" s="1997"/>
      <c r="G1422" s="364" t="str">
        <f>EUconst_TJpa</f>
        <v>TJ / år</v>
      </c>
      <c r="H1422" s="582"/>
      <c r="I1422" s="1105"/>
      <c r="J1422" s="1115"/>
      <c r="K1422" s="582"/>
      <c r="L1422" s="582"/>
      <c r="M1422" s="582"/>
      <c r="N1422" s="1146"/>
      <c r="O1422" s="15"/>
      <c r="P1422" s="1362"/>
      <c r="Q1422" s="165" t="str">
        <f>EUconst_CNTR_HeatExport &amp; I1221</f>
        <v>HeatEx_</v>
      </c>
      <c r="R1422" s="2"/>
      <c r="S1422" s="1751" t="str">
        <f>EUconst_ERR_AttrEmBMapplied &amp; I1221</f>
        <v>ERR_AttrEmBM_</v>
      </c>
      <c r="T1422" s="108">
        <f t="shared" ref="T1422:Z1422" si="637">IF(AND(H1422&lt;&gt;0,H1423="",EUconst_StatusOfDataCollection=FALSE),1,0)</f>
        <v>0</v>
      </c>
      <c r="U1422" s="108">
        <f t="shared" si="637"/>
        <v>0</v>
      </c>
      <c r="V1422" s="108">
        <f t="shared" si="637"/>
        <v>0</v>
      </c>
      <c r="W1422" s="108">
        <f t="shared" si="637"/>
        <v>0</v>
      </c>
      <c r="X1422" s="108">
        <f t="shared" si="637"/>
        <v>0</v>
      </c>
      <c r="Y1422" s="108">
        <f t="shared" si="637"/>
        <v>0</v>
      </c>
      <c r="Z1422" s="109">
        <f t="shared" si="637"/>
        <v>0</v>
      </c>
      <c r="AA1422" s="2"/>
      <c r="AB1422" s="672" t="s">
        <v>782</v>
      </c>
      <c r="AC1422" s="108" t="b">
        <f>AC1418</f>
        <v>0</v>
      </c>
      <c r="AD1422" s="108" t="b">
        <f t="shared" ref="AD1422:AI1422" si="638">AD1418</f>
        <v>0</v>
      </c>
      <c r="AE1422" s="108" t="b">
        <f t="shared" si="638"/>
        <v>0</v>
      </c>
      <c r="AF1422" s="108" t="b">
        <f t="shared" si="638"/>
        <v>0</v>
      </c>
      <c r="AG1422" s="108" t="b">
        <f t="shared" si="638"/>
        <v>0</v>
      </c>
      <c r="AH1422" s="108" t="b">
        <f t="shared" si="638"/>
        <v>0</v>
      </c>
      <c r="AI1422" s="108" t="b">
        <f t="shared" si="638"/>
        <v>0</v>
      </c>
      <c r="AJ1422" s="553" t="s">
        <v>2248</v>
      </c>
      <c r="AK1422" s="663" t="str">
        <f>IF(AND(CNTR_ExistSubInstEntries,MSconst_RequireSubAttrEmissions,COUNTIFS(AC1422:AI1422,FALSE,H1422:N1422,"")&gt;0),EUconst_Error&amp;"BM"&amp;$Q1221,"")</f>
        <v/>
      </c>
      <c r="AL1422" s="2"/>
    </row>
    <row r="1423" spans="1:38" ht="12.75" customHeight="1" thickBot="1" x14ac:dyDescent="0.3">
      <c r="A1423" s="2"/>
      <c r="B1423" s="178"/>
      <c r="C1423" s="779"/>
      <c r="D1423" s="416" t="s">
        <v>860</v>
      </c>
      <c r="E1423" s="2613" t="str">
        <f>Translations!$B$611</f>
        <v>Särskild emissionsfaktor (exporterad värme)</v>
      </c>
      <c r="F1423" s="1997"/>
      <c r="G1423" s="364" t="str">
        <f>EUconst_tCO2pTJ</f>
        <v>t CO2 / TJ</v>
      </c>
      <c r="H1423" s="582"/>
      <c r="I1423" s="1105"/>
      <c r="J1423" s="1115"/>
      <c r="K1423" s="582"/>
      <c r="L1423" s="582"/>
      <c r="M1423" s="582"/>
      <c r="N1423" s="1146"/>
      <c r="O1423" s="15"/>
      <c r="P1423" s="1362"/>
      <c r="Q1423" s="165" t="str">
        <f>EUconst_CNTR_HeatExportEF &amp; I1221</f>
        <v>HeatExEF_</v>
      </c>
      <c r="R1423" s="2"/>
      <c r="S1423" s="773" t="str">
        <f>EUconst_CNTR_AttributedEmissions &amp; I1221</f>
        <v>AttrEmissions_</v>
      </c>
      <c r="T1423" s="111" t="str">
        <f t="shared" ref="T1423:Z1423" si="639">IF(T1229,-SUM(H1422)*IF(INDEX(EUconst_BMlistNumberOfBM,MATCH($I1221,EUconst_BMlistNames,0))=39,0,IF(ISNUMBER(H1423),H1423,EUconst_HeatBMvalue)),"")</f>
        <v/>
      </c>
      <c r="U1423" s="111" t="str">
        <f t="shared" si="639"/>
        <v/>
      </c>
      <c r="V1423" s="111" t="str">
        <f t="shared" si="639"/>
        <v/>
      </c>
      <c r="W1423" s="111" t="str">
        <f t="shared" si="639"/>
        <v/>
      </c>
      <c r="X1423" s="111" t="str">
        <f t="shared" si="639"/>
        <v/>
      </c>
      <c r="Y1423" s="111" t="str">
        <f t="shared" si="639"/>
        <v/>
      </c>
      <c r="Z1423" s="112" t="str">
        <f t="shared" si="639"/>
        <v/>
      </c>
      <c r="AA1423" s="2"/>
      <c r="AB1423" s="2"/>
      <c r="AC1423" s="108" t="b">
        <f>AC1422</f>
        <v>0</v>
      </c>
      <c r="AD1423" s="108" t="b">
        <f t="shared" ref="AD1423:AI1423" si="640">AD1422</f>
        <v>0</v>
      </c>
      <c r="AE1423" s="108" t="b">
        <f t="shared" si="640"/>
        <v>0</v>
      </c>
      <c r="AF1423" s="108" t="b">
        <f t="shared" si="640"/>
        <v>0</v>
      </c>
      <c r="AG1423" s="108" t="b">
        <f t="shared" si="640"/>
        <v>0</v>
      </c>
      <c r="AH1423" s="108" t="b">
        <f t="shared" si="640"/>
        <v>0</v>
      </c>
      <c r="AI1423" s="108" t="b">
        <f t="shared" si="640"/>
        <v>0</v>
      </c>
      <c r="AJ1423" s="2"/>
      <c r="AK1423" s="2"/>
      <c r="AL1423" s="2"/>
    </row>
    <row r="1424" spans="1:38" ht="12.75" customHeight="1" x14ac:dyDescent="0.25">
      <c r="A1424" s="2"/>
      <c r="B1424" s="178"/>
      <c r="C1424" s="779"/>
      <c r="D1424" s="780"/>
      <c r="E1424" s="780"/>
      <c r="F1424" s="780"/>
      <c r="G1424" s="780"/>
      <c r="H1424" s="780"/>
      <c r="I1424" s="780"/>
      <c r="J1424" s="780"/>
      <c r="K1424" s="780"/>
      <c r="L1424" s="780"/>
      <c r="M1424" s="623"/>
      <c r="N1424" s="519"/>
      <c r="O1424" s="15"/>
      <c r="P1424" s="15"/>
      <c r="Q1424" s="343"/>
      <c r="R1424" s="2"/>
      <c r="S1424" s="343"/>
      <c r="T1424" s="343"/>
      <c r="U1424" s="343"/>
      <c r="V1424" s="343"/>
      <c r="W1424" s="2"/>
      <c r="X1424" s="2"/>
      <c r="Y1424" s="2"/>
      <c r="Z1424" s="2"/>
      <c r="AA1424" s="2"/>
      <c r="AB1424" s="2"/>
      <c r="AC1424" s="2"/>
      <c r="AD1424" s="2"/>
      <c r="AE1424" s="2"/>
      <c r="AF1424" s="2"/>
      <c r="AG1424" s="2"/>
      <c r="AH1424" s="2"/>
      <c r="AI1424" s="2"/>
      <c r="AJ1424" s="2"/>
      <c r="AK1424" s="2"/>
      <c r="AL1424" s="2"/>
    </row>
    <row r="1425" spans="1:38" ht="12.75" customHeight="1" x14ac:dyDescent="0.25">
      <c r="A1425" s="2"/>
      <c r="B1425" s="178"/>
      <c r="C1425" s="779"/>
      <c r="D1425" s="373" t="s">
        <v>526</v>
      </c>
      <c r="E1425" s="2614" t="str">
        <f>Translations!$B$612</f>
        <v>Delanläggningens restgasbalans</v>
      </c>
      <c r="F1425" s="1960"/>
      <c r="G1425" s="1960"/>
      <c r="H1425" s="1960"/>
      <c r="I1425" s="1960"/>
      <c r="J1425" s="1960"/>
      <c r="K1425" s="1960"/>
      <c r="L1425" s="1960"/>
      <c r="M1425" s="1960"/>
      <c r="N1425" s="2597"/>
      <c r="O1425" s="15"/>
      <c r="P1425" s="15"/>
      <c r="Q1425" s="343"/>
      <c r="R1425" s="2"/>
      <c r="S1425" s="343"/>
      <c r="T1425" s="343"/>
      <c r="U1425" s="343"/>
      <c r="V1425" s="343"/>
      <c r="W1425" s="2"/>
      <c r="X1425" s="2"/>
      <c r="Y1425" s="2"/>
      <c r="Z1425" s="2"/>
      <c r="AA1425" s="2"/>
      <c r="AB1425" s="2"/>
      <c r="AC1425" s="2"/>
      <c r="AD1425" s="2"/>
      <c r="AE1425" s="2"/>
      <c r="AF1425" s="2"/>
      <c r="AG1425" s="2"/>
      <c r="AH1425" s="2"/>
      <c r="AI1425" s="2"/>
      <c r="AJ1425" s="2"/>
      <c r="AK1425" s="2"/>
      <c r="AL1425" s="2"/>
    </row>
    <row r="1426" spans="1:38" ht="5.15" customHeight="1" x14ac:dyDescent="0.25">
      <c r="A1426" s="2"/>
      <c r="B1426" s="178"/>
      <c r="C1426" s="779"/>
      <c r="D1426" s="780"/>
      <c r="E1426" s="1804"/>
      <c r="F1426" s="1804"/>
      <c r="G1426" s="1804"/>
      <c r="H1426" s="1804"/>
      <c r="I1426" s="1804"/>
      <c r="J1426" s="1804"/>
      <c r="K1426" s="1804"/>
      <c r="L1426" s="1804"/>
      <c r="M1426" s="1804"/>
      <c r="N1426" s="1810"/>
      <c r="O1426" s="15"/>
      <c r="P1426" s="15"/>
      <c r="Q1426" s="343"/>
      <c r="R1426" s="2"/>
      <c r="S1426" s="343"/>
      <c r="T1426" s="343"/>
      <c r="U1426" s="343"/>
      <c r="V1426" s="343"/>
      <c r="W1426" s="2"/>
      <c r="X1426" s="2"/>
      <c r="Y1426" s="2"/>
      <c r="Z1426" s="2"/>
      <c r="AA1426" s="2"/>
      <c r="AB1426" s="2"/>
      <c r="AC1426" s="2"/>
      <c r="AD1426" s="2"/>
      <c r="AE1426" s="2"/>
      <c r="AF1426" s="2"/>
      <c r="AG1426" s="2"/>
      <c r="AH1426" s="2"/>
      <c r="AI1426" s="2"/>
      <c r="AJ1426" s="2"/>
      <c r="AK1426" s="2"/>
      <c r="AL1426" s="2"/>
    </row>
    <row r="1427" spans="1:38" ht="12.75" customHeight="1" x14ac:dyDescent="0.25">
      <c r="A1427" s="2"/>
      <c r="B1427" s="178"/>
      <c r="C1427" s="779"/>
      <c r="D1427" s="416" t="s">
        <v>8</v>
      </c>
      <c r="E1427" s="2614" t="str">
        <f>Translations!$B$613</f>
        <v>Är restgaser relevanta för delanläggningen?</v>
      </c>
      <c r="F1427" s="1960"/>
      <c r="G1427" s="1960"/>
      <c r="H1427" s="1960"/>
      <c r="I1427" s="1960"/>
      <c r="J1427" s="1960"/>
      <c r="K1427" s="2520"/>
      <c r="L1427" s="749"/>
      <c r="M1427" s="1806"/>
      <c r="N1427" s="1807"/>
      <c r="O1427" s="15"/>
      <c r="P1427" s="1362"/>
      <c r="Q1427" s="343"/>
      <c r="R1427" s="2"/>
      <c r="S1427" s="343"/>
      <c r="T1427" s="2"/>
      <c r="U1427" s="2"/>
      <c r="V1427" s="2"/>
      <c r="W1427" s="2"/>
      <c r="X1427" s="2"/>
      <c r="Y1427" s="2"/>
      <c r="Z1427" s="2"/>
      <c r="AA1427" s="2"/>
      <c r="AB1427" s="2"/>
      <c r="AC1427" s="2"/>
      <c r="AD1427" s="2"/>
      <c r="AE1427" s="2"/>
      <c r="AF1427" s="672" t="s">
        <v>782</v>
      </c>
      <c r="AG1427" s="1196" t="b">
        <f>AND(CNTR_ExistSubInstEntries,I1221="")</f>
        <v>0</v>
      </c>
      <c r="AH1427" s="2"/>
      <c r="AI1427" s="2"/>
      <c r="AJ1427" s="2"/>
      <c r="AK1427" s="2"/>
      <c r="AL1427" s="2"/>
    </row>
    <row r="1428" spans="1:38" ht="12.75" customHeight="1" x14ac:dyDescent="0.25">
      <c r="A1428" s="2"/>
      <c r="B1428" s="178"/>
      <c r="C1428" s="779"/>
      <c r="D1428" s="780"/>
      <c r="E1428" s="2610" t="str">
        <f>Translations!$B$614</f>
        <v>Om svaret ”FALSKT” anges kommer hela avsnittet att gråmarkeras och ni kan gå vidare till nästa punkt nedan.</v>
      </c>
      <c r="F1428" s="1960"/>
      <c r="G1428" s="1960"/>
      <c r="H1428" s="1960"/>
      <c r="I1428" s="1960"/>
      <c r="J1428" s="1960"/>
      <c r="K1428" s="1960"/>
      <c r="L1428" s="1960"/>
      <c r="M1428" s="1960"/>
      <c r="N1428" s="2597"/>
      <c r="O1428" s="15"/>
      <c r="P1428" s="15"/>
      <c r="Q1428" s="343"/>
      <c r="R1428" s="2"/>
      <c r="S1428" s="343"/>
      <c r="T1428" s="2"/>
      <c r="U1428" s="2"/>
      <c r="V1428" s="2"/>
      <c r="W1428" s="2"/>
      <c r="X1428" s="2"/>
      <c r="Y1428" s="2"/>
      <c r="Z1428" s="2"/>
      <c r="AA1428" s="2"/>
      <c r="AB1428" s="2"/>
      <c r="AC1428" s="2"/>
      <c r="AD1428" s="2"/>
      <c r="AE1428" s="2"/>
      <c r="AF1428" s="2"/>
      <c r="AG1428" s="2"/>
      <c r="AH1428" s="2"/>
      <c r="AI1428" s="2"/>
      <c r="AJ1428" s="2"/>
      <c r="AK1428" s="2"/>
      <c r="AL1428" s="2"/>
    </row>
    <row r="1429" spans="1:38" ht="12.75" customHeight="1" x14ac:dyDescent="0.25">
      <c r="A1429" s="2"/>
      <c r="B1429" s="178"/>
      <c r="C1429" s="779"/>
      <c r="D1429" s="416" t="s">
        <v>9</v>
      </c>
      <c r="E1429" s="2614" t="str">
        <f>Translations!$B$615</f>
        <v>Typer av producerade restgaser:</v>
      </c>
      <c r="F1429" s="1960"/>
      <c r="G1429" s="1960"/>
      <c r="H1429" s="2520"/>
      <c r="I1429" s="2621"/>
      <c r="J1429" s="2510"/>
      <c r="K1429" s="2510"/>
      <c r="L1429" s="2510"/>
      <c r="M1429" s="2511"/>
      <c r="N1429" s="1807"/>
      <c r="O1429" s="15"/>
      <c r="P1429" s="1362"/>
      <c r="Q1429" s="343"/>
      <c r="R1429" s="2"/>
      <c r="S1429" s="343"/>
      <c r="T1429" s="2"/>
      <c r="U1429" s="2"/>
      <c r="V1429" s="2"/>
      <c r="W1429" s="2"/>
      <c r="X1429" s="2"/>
      <c r="Y1429" s="2"/>
      <c r="Z1429" s="2"/>
      <c r="AA1429" s="2"/>
      <c r="AB1429" s="2"/>
      <c r="AC1429" s="672" t="s">
        <v>782</v>
      </c>
      <c r="AD1429" s="1196" t="b">
        <f>OR(AG1427,AND($L1427&lt;&gt;"",$L1427=FALSE))</f>
        <v>0</v>
      </c>
      <c r="AE1429" s="2"/>
      <c r="AF1429" s="2"/>
      <c r="AG1429" s="2"/>
      <c r="AH1429" s="2"/>
      <c r="AI1429" s="2"/>
      <c r="AJ1429" s="2"/>
      <c r="AK1429" s="2"/>
      <c r="AL1429" s="2"/>
    </row>
    <row r="1430" spans="1:38" ht="12.75" customHeight="1" x14ac:dyDescent="0.25">
      <c r="A1430" s="2"/>
      <c r="B1430" s="178"/>
      <c r="C1430" s="779"/>
      <c r="D1430" s="780"/>
      <c r="E1430" s="2610" t="str">
        <f>Translations!$B$616</f>
        <v>Ni kan välja att rapportera i ton eller i 1 000 Nm3. Enheterna måste stämma överens med de som används för effektivt värmevärde och emissionsfaktorn nedan.</v>
      </c>
      <c r="F1430" s="1960"/>
      <c r="G1430" s="1960"/>
      <c r="H1430" s="1960"/>
      <c r="I1430" s="1960"/>
      <c r="J1430" s="1960"/>
      <c r="K1430" s="1960"/>
      <c r="L1430" s="1960"/>
      <c r="M1430" s="1960"/>
      <c r="N1430" s="2597"/>
      <c r="O1430" s="15"/>
      <c r="P1430" s="15"/>
      <c r="Q1430" s="343"/>
      <c r="R1430" s="2"/>
      <c r="S1430" s="343"/>
      <c r="T1430" s="343"/>
      <c r="U1430" s="343"/>
      <c r="V1430" s="343"/>
      <c r="W1430" s="2"/>
      <c r="X1430" s="2"/>
      <c r="Y1430" s="2"/>
      <c r="Z1430" s="2"/>
      <c r="AA1430" s="2"/>
      <c r="AB1430" s="2"/>
      <c r="AC1430" s="2"/>
      <c r="AD1430" s="2"/>
      <c r="AE1430" s="2"/>
      <c r="AF1430" s="2"/>
      <c r="AG1430" s="2"/>
      <c r="AH1430" s="2"/>
      <c r="AI1430" s="2"/>
      <c r="AJ1430" s="2"/>
      <c r="AK1430" s="2"/>
      <c r="AL1430" s="2"/>
    </row>
    <row r="1431" spans="1:38" ht="12.75" customHeight="1" x14ac:dyDescent="0.25">
      <c r="A1431" s="2"/>
      <c r="B1431" s="178"/>
      <c r="C1431" s="779"/>
      <c r="D1431" s="780"/>
      <c r="E1431" s="2596" t="str">
        <f>Translations!$B$570</f>
        <v>De uppgifter som anges här används bara för konsekvenskontroll och har ingen direkt inverkan på vare sig de utsläpp som kan tillskrivas eller tilldelningen.</v>
      </c>
      <c r="F1431" s="1960"/>
      <c r="G1431" s="1960"/>
      <c r="H1431" s="1960"/>
      <c r="I1431" s="1960"/>
      <c r="J1431" s="1960"/>
      <c r="K1431" s="1960"/>
      <c r="L1431" s="1960"/>
      <c r="M1431" s="1960"/>
      <c r="N1431" s="2597"/>
      <c r="O1431" s="15"/>
      <c r="P1431" s="15"/>
      <c r="Q1431" s="343"/>
      <c r="R1431" s="2"/>
      <c r="S1431" s="343"/>
      <c r="T1431" s="343"/>
      <c r="U1431" s="343"/>
      <c r="V1431" s="343"/>
      <c r="W1431" s="2"/>
      <c r="X1431" s="2"/>
      <c r="Y1431" s="2"/>
      <c r="Z1431" s="2"/>
      <c r="AA1431" s="2"/>
      <c r="AB1431" s="2"/>
      <c r="AC1431" s="2"/>
      <c r="AD1431" s="2"/>
      <c r="AE1431" s="2"/>
      <c r="AF1431" s="2"/>
      <c r="AG1431" s="2"/>
      <c r="AH1431" s="2"/>
      <c r="AI1431" s="2"/>
      <c r="AJ1431" s="2"/>
      <c r="AK1431" s="2"/>
      <c r="AL1431" s="2"/>
    </row>
    <row r="1432" spans="1:38" ht="12.75" customHeight="1" thickBot="1" x14ac:dyDescent="0.3">
      <c r="A1432" s="2"/>
      <c r="B1432" s="178"/>
      <c r="C1432" s="779"/>
      <c r="D1432" s="780"/>
      <c r="E1432" s="1716"/>
      <c r="F1432" s="1717"/>
      <c r="G1432" s="361" t="str">
        <f>EUconst_Unit</f>
        <v>Enhet</v>
      </c>
      <c r="H1432" s="362">
        <f t="shared" ref="H1432:N1432" si="641">H$3042</f>
        <v>2019</v>
      </c>
      <c r="I1432" s="1103">
        <f t="shared" si="641"/>
        <v>2020</v>
      </c>
      <c r="J1432" s="1104">
        <f t="shared" si="641"/>
        <v>2021</v>
      </c>
      <c r="K1432" s="362">
        <f t="shared" si="641"/>
        <v>2022</v>
      </c>
      <c r="L1432" s="362">
        <f t="shared" si="641"/>
        <v>2023</v>
      </c>
      <c r="M1432" s="362">
        <f t="shared" si="641"/>
        <v>2024</v>
      </c>
      <c r="N1432" s="1141">
        <f t="shared" si="641"/>
        <v>2025</v>
      </c>
      <c r="O1432" s="15"/>
      <c r="P1432" s="15"/>
      <c r="Q1432" s="343"/>
      <c r="R1432" s="2"/>
      <c r="S1432" s="343"/>
      <c r="T1432" s="343"/>
      <c r="U1432" s="343"/>
      <c r="V1432" s="343"/>
      <c r="W1432" s="2"/>
      <c r="X1432" s="2"/>
      <c r="Y1432" s="2"/>
      <c r="Z1432" s="2"/>
      <c r="AA1432" s="2"/>
      <c r="AB1432" s="2"/>
      <c r="AC1432" s="1044">
        <f t="shared" ref="AC1432:AI1432" si="642">H$20</f>
        <v>2019</v>
      </c>
      <c r="AD1432" s="1044">
        <f t="shared" si="642"/>
        <v>2020</v>
      </c>
      <c r="AE1432" s="1044">
        <f t="shared" si="642"/>
        <v>2021</v>
      </c>
      <c r="AF1432" s="1044">
        <f t="shared" si="642"/>
        <v>2022</v>
      </c>
      <c r="AG1432" s="1044">
        <f t="shared" si="642"/>
        <v>2023</v>
      </c>
      <c r="AH1432" s="1044">
        <f t="shared" si="642"/>
        <v>2024</v>
      </c>
      <c r="AI1432" s="1044">
        <f t="shared" si="642"/>
        <v>2025</v>
      </c>
      <c r="AJ1432" s="2"/>
      <c r="AK1432" s="2"/>
      <c r="AL1432" s="2"/>
    </row>
    <row r="1433" spans="1:38" ht="12.75" customHeight="1" x14ac:dyDescent="0.25">
      <c r="A1433" s="2"/>
      <c r="B1433" s="178"/>
      <c r="C1433" s="779"/>
      <c r="D1433" s="416" t="s">
        <v>10</v>
      </c>
      <c r="E1433" s="2611" t="str">
        <f>Translations!$B$617</f>
        <v>Producerade mängder</v>
      </c>
      <c r="F1433" s="2484"/>
      <c r="G1433" s="1314"/>
      <c r="H1433" s="1298"/>
      <c r="I1433" s="1299"/>
      <c r="J1433" s="1300"/>
      <c r="K1433" s="1298"/>
      <c r="L1433" s="1298"/>
      <c r="M1433" s="1298"/>
      <c r="N1433" s="1301"/>
      <c r="O1433" s="15"/>
      <c r="P1433" s="1362"/>
      <c r="Q1433" s="343"/>
      <c r="R1433" s="2"/>
      <c r="S1433" s="343"/>
      <c r="T1433" s="343"/>
      <c r="U1433" s="343"/>
      <c r="V1433" s="343"/>
      <c r="W1433" s="2"/>
      <c r="X1433" s="2"/>
      <c r="Y1433" s="2"/>
      <c r="Z1433" s="2"/>
      <c r="AA1433" s="2"/>
      <c r="AB1433" s="672" t="s">
        <v>782</v>
      </c>
      <c r="AC1433" s="1196" t="b">
        <f>OR(AND($L1427&lt;&gt;"",$L1427=FALSE),AC1291)</f>
        <v>0</v>
      </c>
      <c r="AD1433" s="108" t="b">
        <f t="shared" ref="AD1433:AI1433" si="643">OR(AND($L1427&lt;&gt;"",$L1427=FALSE),AD1291)</f>
        <v>0</v>
      </c>
      <c r="AE1433" s="108" t="b">
        <f t="shared" si="643"/>
        <v>0</v>
      </c>
      <c r="AF1433" s="108" t="b">
        <f t="shared" si="643"/>
        <v>0</v>
      </c>
      <c r="AG1433" s="108" t="b">
        <f t="shared" si="643"/>
        <v>0</v>
      </c>
      <c r="AH1433" s="108" t="b">
        <f t="shared" si="643"/>
        <v>0</v>
      </c>
      <c r="AI1433" s="108" t="b">
        <f t="shared" si="643"/>
        <v>0</v>
      </c>
      <c r="AJ1433" s="553" t="s">
        <v>2248</v>
      </c>
      <c r="AK1433" s="663" t="str">
        <f>IF(AND(CNTR_ExistSubInstEntries,MSconst_RequireSubAttrEmissions,COUNTIFS(AC1433:AI1433,FALSE,H1433:N1433,"")&gt;0),EUconst_Error&amp;"BM"&amp;$Q1221,"")</f>
        <v/>
      </c>
      <c r="AL1433" s="2"/>
    </row>
    <row r="1434" spans="1:38" ht="12.75" customHeight="1" x14ac:dyDescent="0.25">
      <c r="A1434" s="2"/>
      <c r="B1434" s="178"/>
      <c r="C1434" s="779"/>
      <c r="D1434" s="416" t="s">
        <v>23</v>
      </c>
      <c r="E1434" s="2612" t="str">
        <f>Translations!$B$318</f>
        <v>Effektivt värmevärde</v>
      </c>
      <c r="F1434" s="2487"/>
      <c r="G1434" s="51" t="str">
        <f>IF(ISBLANK(G1433),EUconst_GJperUnit,INDEX(EUconst_GJperTorKNm3,MATCH(G1433,EUconst_TonnesOrkNm3pa,0)))</f>
        <v>GJ / Enhet</v>
      </c>
      <c r="H1434" s="1306"/>
      <c r="I1434" s="1307"/>
      <c r="J1434" s="1308"/>
      <c r="K1434" s="1306"/>
      <c r="L1434" s="1306"/>
      <c r="M1434" s="1306"/>
      <c r="N1434" s="1309"/>
      <c r="O1434" s="15"/>
      <c r="P1434" s="1362"/>
      <c r="Q1434" s="2"/>
      <c r="R1434" s="2"/>
      <c r="S1434" s="343"/>
      <c r="T1434" s="343"/>
      <c r="U1434" s="343"/>
      <c r="V1434" s="343"/>
      <c r="W1434" s="343"/>
      <c r="X1434" s="343"/>
      <c r="Y1434" s="343"/>
      <c r="Z1434" s="343"/>
      <c r="AA1434" s="2"/>
      <c r="AB1434" s="2"/>
      <c r="AC1434" s="108" t="b">
        <f>AC1433</f>
        <v>0</v>
      </c>
      <c r="AD1434" s="108" t="b">
        <f t="shared" ref="AD1434:AI1434" si="644">AD1433</f>
        <v>0</v>
      </c>
      <c r="AE1434" s="108" t="b">
        <f t="shared" si="644"/>
        <v>0</v>
      </c>
      <c r="AF1434" s="108" t="b">
        <f t="shared" si="644"/>
        <v>0</v>
      </c>
      <c r="AG1434" s="108" t="b">
        <f t="shared" si="644"/>
        <v>0</v>
      </c>
      <c r="AH1434" s="108" t="b">
        <f t="shared" si="644"/>
        <v>0</v>
      </c>
      <c r="AI1434" s="108" t="b">
        <f t="shared" si="644"/>
        <v>0</v>
      </c>
      <c r="AJ1434" s="553" t="s">
        <v>2248</v>
      </c>
      <c r="AK1434" s="663" t="str">
        <f>IF(AND(CNTR_ExistSubInstEntries,MSconst_RequireSubAttrEmissions,COUNTIFS(AC1434:AI1434,FALSE,H1434:N1434,"")&gt;0),EUconst_Error&amp;"BM"&amp;$Q1221,"")</f>
        <v/>
      </c>
      <c r="AL1434" s="2"/>
    </row>
    <row r="1435" spans="1:38" ht="12.75" customHeight="1" x14ac:dyDescent="0.25">
      <c r="A1435" s="2"/>
      <c r="B1435" s="178"/>
      <c r="C1435" s="779"/>
      <c r="D1435" s="416" t="s">
        <v>859</v>
      </c>
      <c r="E1435" s="2613" t="str">
        <f>Translations!$B$618</f>
        <v>Producerad restgas</v>
      </c>
      <c r="F1435" s="1997"/>
      <c r="G1435" s="364" t="str">
        <f>EUconst_TJpa</f>
        <v>TJ / år</v>
      </c>
      <c r="H1435" s="414" t="str">
        <f t="shared" ref="H1435:N1435" si="645">IF(COUNT(H1433:H1434)=2,H1433*H1434/1000,"")</f>
        <v/>
      </c>
      <c r="I1435" s="1108" t="str">
        <f t="shared" si="645"/>
        <v/>
      </c>
      <c r="J1435" s="1114" t="str">
        <f t="shared" si="645"/>
        <v/>
      </c>
      <c r="K1435" s="414" t="str">
        <f t="shared" si="645"/>
        <v/>
      </c>
      <c r="L1435" s="414" t="str">
        <f t="shared" si="645"/>
        <v/>
      </c>
      <c r="M1435" s="414" t="str">
        <f t="shared" si="645"/>
        <v/>
      </c>
      <c r="N1435" s="1147" t="str">
        <f t="shared" si="645"/>
        <v/>
      </c>
      <c r="O1435" s="15"/>
      <c r="P1435" s="15"/>
      <c r="Q1435" s="165" t="str">
        <f>EUconst_CNTR_WGProduced &amp; I1221</f>
        <v>WasteGasProd_</v>
      </c>
      <c r="R1435" s="2"/>
      <c r="S1435" s="343"/>
      <c r="T1435" s="343"/>
      <c r="U1435" s="343"/>
      <c r="V1435" s="343"/>
      <c r="W1435" s="343"/>
      <c r="X1435" s="343"/>
      <c r="Y1435" s="343"/>
      <c r="Z1435" s="343"/>
      <c r="AA1435" s="2"/>
      <c r="AB1435" s="2"/>
      <c r="AC1435" s="2"/>
      <c r="AD1435" s="2"/>
      <c r="AE1435" s="2"/>
      <c r="AF1435" s="2"/>
      <c r="AG1435" s="2"/>
      <c r="AH1435" s="2"/>
      <c r="AI1435" s="2"/>
      <c r="AJ1435" s="2"/>
      <c r="AK1435" s="2"/>
      <c r="AL1435" s="2"/>
    </row>
    <row r="1436" spans="1:38" ht="12.75" customHeight="1" x14ac:dyDescent="0.25">
      <c r="A1436" s="2"/>
      <c r="B1436" s="178"/>
      <c r="C1436" s="779"/>
      <c r="D1436" s="416" t="s">
        <v>860</v>
      </c>
      <c r="E1436" s="2613" t="str">
        <f>Translations!$B$619</f>
        <v>Särskild emissionsfaktor (producerad restgas)</v>
      </c>
      <c r="F1436" s="1997"/>
      <c r="G1436" s="364" t="str">
        <f>EUconst_tCO2pTJ</f>
        <v>t CO2 / TJ</v>
      </c>
      <c r="H1436" s="582"/>
      <c r="I1436" s="1105"/>
      <c r="J1436" s="1115"/>
      <c r="K1436" s="582"/>
      <c r="L1436" s="582"/>
      <c r="M1436" s="582"/>
      <c r="N1436" s="1146"/>
      <c r="O1436" s="15"/>
      <c r="P1436" s="1362"/>
      <c r="Q1436" s="165" t="str">
        <f>EUconst_CNTR_WGProducedEF &amp; I1221</f>
        <v>WasteGasProdEF_</v>
      </c>
      <c r="R1436" s="2"/>
      <c r="S1436" s="343"/>
      <c r="T1436" s="343"/>
      <c r="U1436" s="343"/>
      <c r="V1436" s="343"/>
      <c r="W1436" s="343"/>
      <c r="X1436" s="343"/>
      <c r="Y1436" s="343"/>
      <c r="Z1436" s="343"/>
      <c r="AA1436" s="2"/>
      <c r="AB1436" s="672" t="s">
        <v>782</v>
      </c>
      <c r="AC1436" s="108" t="b">
        <f>AC1434</f>
        <v>0</v>
      </c>
      <c r="AD1436" s="108" t="b">
        <f t="shared" ref="AD1436:AI1436" si="646">AD1434</f>
        <v>0</v>
      </c>
      <c r="AE1436" s="108" t="b">
        <f t="shared" si="646"/>
        <v>0</v>
      </c>
      <c r="AF1436" s="108" t="b">
        <f t="shared" si="646"/>
        <v>0</v>
      </c>
      <c r="AG1436" s="108" t="b">
        <f t="shared" si="646"/>
        <v>0</v>
      </c>
      <c r="AH1436" s="108" t="b">
        <f t="shared" si="646"/>
        <v>0</v>
      </c>
      <c r="AI1436" s="108" t="b">
        <f t="shared" si="646"/>
        <v>0</v>
      </c>
      <c r="AJ1436" s="553" t="s">
        <v>2248</v>
      </c>
      <c r="AK1436" s="663" t="str">
        <f>IF(AND(CNTR_ExistSubInstEntries,MSconst_RequireSubAttrEmissions,COUNTIFS(AC1436:AI1436,FALSE,H1436:N1436,"")&gt;0),EUconst_Error&amp;"BM"&amp;$Q1221,"")</f>
        <v/>
      </c>
      <c r="AL1436" s="2"/>
    </row>
    <row r="1437" spans="1:38" ht="12.75" customHeight="1" x14ac:dyDescent="0.25">
      <c r="A1437" s="2"/>
      <c r="B1437" s="178"/>
      <c r="C1437" s="779"/>
      <c r="D1437" s="780"/>
      <c r="E1437" s="780"/>
      <c r="F1437" s="780"/>
      <c r="G1437" s="780"/>
      <c r="H1437" s="1805"/>
      <c r="I1437" s="780"/>
      <c r="J1437" s="780"/>
      <c r="K1437" s="780"/>
      <c r="L1437" s="780"/>
      <c r="M1437" s="623"/>
      <c r="N1437" s="519"/>
      <c r="O1437" s="15"/>
      <c r="P1437" s="15"/>
      <c r="Q1437" s="343"/>
      <c r="R1437" s="2"/>
      <c r="S1437" s="343"/>
      <c r="T1437" s="343"/>
      <c r="U1437" s="343"/>
      <c r="V1437" s="343"/>
      <c r="W1437" s="343"/>
      <c r="X1437" s="343"/>
      <c r="Y1437" s="343"/>
      <c r="Z1437" s="343"/>
      <c r="AA1437" s="2"/>
      <c r="AB1437" s="2"/>
      <c r="AC1437" s="2"/>
      <c r="AD1437" s="2"/>
      <c r="AE1437" s="2"/>
      <c r="AF1437" s="2"/>
      <c r="AG1437" s="2"/>
      <c r="AH1437" s="2"/>
      <c r="AI1437" s="2"/>
      <c r="AJ1437" s="2"/>
      <c r="AK1437" s="2"/>
      <c r="AL1437" s="2"/>
    </row>
    <row r="1438" spans="1:38" ht="12.75" customHeight="1" x14ac:dyDescent="0.25">
      <c r="A1438" s="2"/>
      <c r="B1438" s="178"/>
      <c r="C1438" s="779"/>
      <c r="D1438" s="416" t="s">
        <v>861</v>
      </c>
      <c r="E1438" s="2614" t="str">
        <f>Translations!$B$620</f>
        <v>Typer av restgaser som förbrukas:</v>
      </c>
      <c r="F1438" s="1960"/>
      <c r="G1438" s="1960"/>
      <c r="H1438" s="2520"/>
      <c r="I1438" s="2621"/>
      <c r="J1438" s="2510"/>
      <c r="K1438" s="2510"/>
      <c r="L1438" s="2510"/>
      <c r="M1438" s="2511"/>
      <c r="N1438" s="1807"/>
      <c r="O1438" s="15"/>
      <c r="P1438" s="1362"/>
      <c r="Q1438" s="343"/>
      <c r="R1438" s="2"/>
      <c r="S1438" s="343"/>
      <c r="T1438" s="343"/>
      <c r="U1438" s="343"/>
      <c r="V1438" s="343"/>
      <c r="W1438" s="343"/>
      <c r="X1438" s="343"/>
      <c r="Y1438" s="343"/>
      <c r="Z1438" s="343"/>
      <c r="AA1438" s="2"/>
      <c r="AB1438" s="2"/>
      <c r="AC1438" s="672" t="s">
        <v>782</v>
      </c>
      <c r="AD1438" s="108" t="b">
        <f>AD1429</f>
        <v>0</v>
      </c>
      <c r="AE1438" s="2"/>
      <c r="AF1438" s="2"/>
      <c r="AG1438" s="2"/>
      <c r="AH1438" s="2"/>
      <c r="AI1438" s="2"/>
      <c r="AJ1438" s="2"/>
      <c r="AK1438" s="2"/>
      <c r="AL1438" s="2"/>
    </row>
    <row r="1439" spans="1:38" ht="25.5" customHeight="1" x14ac:dyDescent="0.25">
      <c r="A1439" s="2"/>
      <c r="B1439" s="178"/>
      <c r="C1439" s="779"/>
      <c r="D1439" s="416"/>
      <c r="E1439" s="2610" t="str">
        <f>Translations!$B$621</f>
        <v>Detta innefattar alla restgastyper som förbrukas av delanläggningen för produktion av mätbar värme, icke-mätbar värme (inklusive för säkerhetsfackling) eller mekanisk energi (annan än för elproduktion). Mängden avgaser för fackling utom för säkerhetsfackling bör rapporteras i nästa punkt nedan.</v>
      </c>
      <c r="F1439" s="1960"/>
      <c r="G1439" s="1960"/>
      <c r="H1439" s="1960"/>
      <c r="I1439" s="1960"/>
      <c r="J1439" s="1960"/>
      <c r="K1439" s="1960"/>
      <c r="L1439" s="1960"/>
      <c r="M1439" s="1960"/>
      <c r="N1439" s="2597"/>
      <c r="O1439" s="15"/>
      <c r="P1439" s="15"/>
      <c r="Q1439" s="343"/>
      <c r="R1439" s="2"/>
      <c r="S1439" s="343"/>
      <c r="T1439" s="343"/>
      <c r="U1439" s="343"/>
      <c r="V1439" s="343"/>
      <c r="W1439" s="343"/>
      <c r="X1439" s="343"/>
      <c r="Y1439" s="343"/>
      <c r="Z1439" s="343"/>
      <c r="AA1439" s="2"/>
      <c r="AB1439" s="2"/>
      <c r="AC1439" s="2"/>
      <c r="AD1439" s="2"/>
      <c r="AE1439" s="2"/>
      <c r="AF1439" s="2"/>
      <c r="AG1439" s="2"/>
      <c r="AH1439" s="2"/>
      <c r="AI1439" s="2"/>
      <c r="AJ1439" s="2"/>
      <c r="AK1439" s="2"/>
      <c r="AL1439" s="2"/>
    </row>
    <row r="1440" spans="1:38" ht="12.75" customHeight="1" x14ac:dyDescent="0.25">
      <c r="A1440" s="2"/>
      <c r="B1440" s="178"/>
      <c r="C1440" s="779"/>
      <c r="D1440" s="780"/>
      <c r="E1440" s="2596" t="str">
        <f>Translations!$B$570</f>
        <v>De uppgifter som anges här används bara för konsekvenskontroll och har ingen direkt inverkan på vare sig de utsläpp som kan tillskrivas eller tilldelningen.</v>
      </c>
      <c r="F1440" s="1960"/>
      <c r="G1440" s="1960"/>
      <c r="H1440" s="1960"/>
      <c r="I1440" s="1960"/>
      <c r="J1440" s="1960"/>
      <c r="K1440" s="1960"/>
      <c r="L1440" s="1960"/>
      <c r="M1440" s="1960"/>
      <c r="N1440" s="2597"/>
      <c r="O1440" s="15"/>
      <c r="P1440" s="15"/>
      <c r="Q1440" s="343"/>
      <c r="R1440" s="2"/>
      <c r="S1440" s="343"/>
      <c r="T1440" s="343"/>
      <c r="U1440" s="343"/>
      <c r="V1440" s="343"/>
      <c r="W1440" s="343"/>
      <c r="X1440" s="343"/>
      <c r="Y1440" s="343"/>
      <c r="Z1440" s="343"/>
      <c r="AA1440" s="2"/>
      <c r="AB1440" s="2"/>
      <c r="AC1440" s="2"/>
      <c r="AD1440" s="2"/>
      <c r="AE1440" s="2"/>
      <c r="AF1440" s="2"/>
      <c r="AG1440" s="2"/>
      <c r="AH1440" s="2"/>
      <c r="AI1440" s="2"/>
      <c r="AJ1440" s="2"/>
      <c r="AK1440" s="2"/>
      <c r="AL1440" s="2"/>
    </row>
    <row r="1441" spans="1:38" ht="12.75" customHeight="1" thickBot="1" x14ac:dyDescent="0.3">
      <c r="A1441" s="2"/>
      <c r="B1441" s="178"/>
      <c r="C1441" s="779"/>
      <c r="D1441" s="780"/>
      <c r="E1441" s="1716"/>
      <c r="F1441" s="1717"/>
      <c r="G1441" s="361" t="str">
        <f>EUconst_Unit</f>
        <v>Enhet</v>
      </c>
      <c r="H1441" s="362">
        <f t="shared" ref="H1441:N1441" si="647">H$3042</f>
        <v>2019</v>
      </c>
      <c r="I1441" s="1103">
        <f t="shared" si="647"/>
        <v>2020</v>
      </c>
      <c r="J1441" s="1104">
        <f t="shared" si="647"/>
        <v>2021</v>
      </c>
      <c r="K1441" s="362">
        <f t="shared" si="647"/>
        <v>2022</v>
      </c>
      <c r="L1441" s="362">
        <f t="shared" si="647"/>
        <v>2023</v>
      </c>
      <c r="M1441" s="362">
        <f t="shared" si="647"/>
        <v>2024</v>
      </c>
      <c r="N1441" s="1141">
        <f t="shared" si="647"/>
        <v>2025</v>
      </c>
      <c r="O1441" s="15"/>
      <c r="P1441" s="15"/>
      <c r="Q1441" s="343"/>
      <c r="R1441" s="2"/>
      <c r="S1441" s="343"/>
      <c r="T1441" s="343"/>
      <c r="U1441" s="343"/>
      <c r="V1441" s="343"/>
      <c r="W1441" s="343"/>
      <c r="X1441" s="343"/>
      <c r="Y1441" s="343"/>
      <c r="Z1441" s="343"/>
      <c r="AA1441" s="2"/>
      <c r="AB1441" s="2"/>
      <c r="AC1441" s="1044">
        <f t="shared" ref="AC1441:AI1441" si="648">H$20</f>
        <v>2019</v>
      </c>
      <c r="AD1441" s="1044">
        <f t="shared" si="648"/>
        <v>2020</v>
      </c>
      <c r="AE1441" s="1044">
        <f t="shared" si="648"/>
        <v>2021</v>
      </c>
      <c r="AF1441" s="1044">
        <f t="shared" si="648"/>
        <v>2022</v>
      </c>
      <c r="AG1441" s="1044">
        <f t="shared" si="648"/>
        <v>2023</v>
      </c>
      <c r="AH1441" s="1044">
        <f t="shared" si="648"/>
        <v>2024</v>
      </c>
      <c r="AI1441" s="1044">
        <f t="shared" si="648"/>
        <v>2025</v>
      </c>
      <c r="AJ1441" s="2"/>
      <c r="AK1441" s="2"/>
      <c r="AL1441" s="2"/>
    </row>
    <row r="1442" spans="1:38" ht="12.75" customHeight="1" x14ac:dyDescent="0.25">
      <c r="A1442" s="2"/>
      <c r="B1442" s="178"/>
      <c r="C1442" s="779"/>
      <c r="D1442" s="416" t="s">
        <v>862</v>
      </c>
      <c r="E1442" s="2611" t="str">
        <f>Translations!$B$622</f>
        <v>Förbrukade mängder</v>
      </c>
      <c r="F1442" s="2484"/>
      <c r="G1442" s="1314"/>
      <c r="H1442" s="1298"/>
      <c r="I1442" s="1299"/>
      <c r="J1442" s="1300"/>
      <c r="K1442" s="1298"/>
      <c r="L1442" s="1298"/>
      <c r="M1442" s="1298"/>
      <c r="N1442" s="1301"/>
      <c r="O1442" s="15"/>
      <c r="P1442" s="1362"/>
      <c r="Q1442" s="343"/>
      <c r="R1442" s="2"/>
      <c r="S1442" s="343"/>
      <c r="T1442" s="343"/>
      <c r="U1442" s="343"/>
      <c r="V1442" s="343"/>
      <c r="W1442" s="343"/>
      <c r="X1442" s="343"/>
      <c r="Y1442" s="343"/>
      <c r="Z1442" s="343"/>
      <c r="AA1442" s="2"/>
      <c r="AB1442" s="672" t="s">
        <v>782</v>
      </c>
      <c r="AC1442" s="108" t="b">
        <f>AC1433</f>
        <v>0</v>
      </c>
      <c r="AD1442" s="108" t="b">
        <f t="shared" ref="AD1442:AI1442" si="649">AD1433</f>
        <v>0</v>
      </c>
      <c r="AE1442" s="108" t="b">
        <f t="shared" si="649"/>
        <v>0</v>
      </c>
      <c r="AF1442" s="108" t="b">
        <f t="shared" si="649"/>
        <v>0</v>
      </c>
      <c r="AG1442" s="108" t="b">
        <f t="shared" si="649"/>
        <v>0</v>
      </c>
      <c r="AH1442" s="108" t="b">
        <f t="shared" si="649"/>
        <v>0</v>
      </c>
      <c r="AI1442" s="108" t="b">
        <f t="shared" si="649"/>
        <v>0</v>
      </c>
      <c r="AJ1442" s="553" t="s">
        <v>2248</v>
      </c>
      <c r="AK1442" s="663" t="str">
        <f>IF(AND(CNTR_ExistSubInstEntries,MSconst_RequireSubAttrEmissions,COUNTIFS(AC1442:AI1442,FALSE,H1442:N1442,"")&gt;0),EUconst_Error&amp;"BM"&amp;$Q1221,"")</f>
        <v/>
      </c>
      <c r="AL1442" s="2"/>
    </row>
    <row r="1443" spans="1:38" ht="12.75" customHeight="1" x14ac:dyDescent="0.25">
      <c r="A1443" s="2"/>
      <c r="B1443" s="178"/>
      <c r="C1443" s="779"/>
      <c r="D1443" s="416" t="s">
        <v>863</v>
      </c>
      <c r="E1443" s="2612" t="str">
        <f>Translations!$B$318</f>
        <v>Effektivt värmevärde</v>
      </c>
      <c r="F1443" s="2487"/>
      <c r="G1443" s="51" t="str">
        <f>IF(ISBLANK(G1442),EUconst_GJperUnit,INDEX(EUconst_GJperTorKNm3,MATCH(G1442,EUconst_TonnesOrkNm3pa,0)))</f>
        <v>GJ / Enhet</v>
      </c>
      <c r="H1443" s="1306"/>
      <c r="I1443" s="1307"/>
      <c r="J1443" s="1308"/>
      <c r="K1443" s="1306"/>
      <c r="L1443" s="1306"/>
      <c r="M1443" s="1306"/>
      <c r="N1443" s="1309"/>
      <c r="O1443" s="15"/>
      <c r="P1443" s="1362"/>
      <c r="Q1443" s="2"/>
      <c r="R1443" s="2"/>
      <c r="S1443" s="343"/>
      <c r="T1443" s="343"/>
      <c r="U1443" s="343"/>
      <c r="V1443" s="343"/>
      <c r="W1443" s="343"/>
      <c r="X1443" s="343"/>
      <c r="Y1443" s="343"/>
      <c r="Z1443" s="343"/>
      <c r="AA1443" s="2"/>
      <c r="AB1443" s="2"/>
      <c r="AC1443" s="108" t="b">
        <f>AC1442</f>
        <v>0</v>
      </c>
      <c r="AD1443" s="108" t="b">
        <f t="shared" ref="AD1443:AI1443" si="650">AD1442</f>
        <v>0</v>
      </c>
      <c r="AE1443" s="108" t="b">
        <f t="shared" si="650"/>
        <v>0</v>
      </c>
      <c r="AF1443" s="108" t="b">
        <f t="shared" si="650"/>
        <v>0</v>
      </c>
      <c r="AG1443" s="108" t="b">
        <f t="shared" si="650"/>
        <v>0</v>
      </c>
      <c r="AH1443" s="108" t="b">
        <f t="shared" si="650"/>
        <v>0</v>
      </c>
      <c r="AI1443" s="108" t="b">
        <f t="shared" si="650"/>
        <v>0</v>
      </c>
      <c r="AJ1443" s="553" t="s">
        <v>2248</v>
      </c>
      <c r="AK1443" s="663" t="str">
        <f>IF(AND(CNTR_ExistSubInstEntries,MSconst_RequireSubAttrEmissions,COUNTIFS(AC1443:AI1443,FALSE,H1443:N1443,"")&gt;0),EUconst_Error&amp;"BM"&amp;$Q1221,"")</f>
        <v/>
      </c>
      <c r="AL1443" s="2"/>
    </row>
    <row r="1444" spans="1:38" ht="12.75" customHeight="1" x14ac:dyDescent="0.25">
      <c r="A1444" s="2"/>
      <c r="B1444" s="178"/>
      <c r="C1444" s="779"/>
      <c r="D1444" s="416" t="s">
        <v>72</v>
      </c>
      <c r="E1444" s="2613" t="str">
        <f>Translations!$B$623</f>
        <v>Förbrukad restgas</v>
      </c>
      <c r="F1444" s="1997"/>
      <c r="G1444" s="364" t="str">
        <f>EUconst_TJpa</f>
        <v>TJ / år</v>
      </c>
      <c r="H1444" s="414" t="str">
        <f t="shared" ref="H1444:N1444" si="651">IF(COUNT(H1442:H1443)=2,H1442*H1443/1000,"")</f>
        <v/>
      </c>
      <c r="I1444" s="1108" t="str">
        <f t="shared" si="651"/>
        <v/>
      </c>
      <c r="J1444" s="1114" t="str">
        <f t="shared" si="651"/>
        <v/>
      </c>
      <c r="K1444" s="414" t="str">
        <f t="shared" si="651"/>
        <v/>
      </c>
      <c r="L1444" s="414" t="str">
        <f t="shared" si="651"/>
        <v/>
      </c>
      <c r="M1444" s="414" t="str">
        <f t="shared" si="651"/>
        <v/>
      </c>
      <c r="N1444" s="1147" t="str">
        <f t="shared" si="651"/>
        <v/>
      </c>
      <c r="O1444" s="15"/>
      <c r="P1444" s="15"/>
      <c r="Q1444" s="165" t="str">
        <f>EUconst_CNTR_WGConsumed &amp; I1221</f>
        <v>WasteGasCons_</v>
      </c>
      <c r="R1444" s="2"/>
      <c r="S1444" s="343"/>
      <c r="T1444" s="343"/>
      <c r="U1444" s="343"/>
      <c r="V1444" s="343"/>
      <c r="W1444" s="343"/>
      <c r="X1444" s="343"/>
      <c r="Y1444" s="343"/>
      <c r="Z1444" s="343"/>
      <c r="AA1444" s="2"/>
      <c r="AB1444" s="2"/>
      <c r="AC1444" s="2"/>
      <c r="AD1444" s="2"/>
      <c r="AE1444" s="2"/>
      <c r="AF1444" s="2"/>
      <c r="AG1444" s="2"/>
      <c r="AH1444" s="2"/>
      <c r="AI1444" s="2"/>
      <c r="AJ1444" s="2"/>
      <c r="AK1444" s="2"/>
      <c r="AL1444" s="2"/>
    </row>
    <row r="1445" spans="1:38" ht="12.75" customHeight="1" x14ac:dyDescent="0.25">
      <c r="A1445" s="2"/>
      <c r="B1445" s="178"/>
      <c r="C1445" s="779"/>
      <c r="D1445" s="416" t="s">
        <v>73</v>
      </c>
      <c r="E1445" s="2613" t="str">
        <f>Translations!$B$624</f>
        <v>Särskild emissionsfaktor (förbrukad restgas)</v>
      </c>
      <c r="F1445" s="1997"/>
      <c r="G1445" s="364" t="str">
        <f>EUconst_tCO2pTJ</f>
        <v>t CO2 / TJ</v>
      </c>
      <c r="H1445" s="582"/>
      <c r="I1445" s="1105"/>
      <c r="J1445" s="1115"/>
      <c r="K1445" s="582"/>
      <c r="L1445" s="582"/>
      <c r="M1445" s="582"/>
      <c r="N1445" s="1146"/>
      <c r="O1445" s="15"/>
      <c r="P1445" s="1362"/>
      <c r="Q1445" s="165" t="str">
        <f>EUconst_CNTR_WGConsumedEF &amp; I1221</f>
        <v>WasteGasConsEF_</v>
      </c>
      <c r="R1445" s="2"/>
      <c r="S1445" s="343"/>
      <c r="T1445" s="343"/>
      <c r="U1445" s="343"/>
      <c r="V1445" s="343"/>
      <c r="W1445" s="343"/>
      <c r="X1445" s="343"/>
      <c r="Y1445" s="343"/>
      <c r="Z1445" s="343"/>
      <c r="AA1445" s="2"/>
      <c r="AB1445" s="672" t="s">
        <v>782</v>
      </c>
      <c r="AC1445" s="108" t="b">
        <f>AC1443</f>
        <v>0</v>
      </c>
      <c r="AD1445" s="108" t="b">
        <f t="shared" ref="AD1445:AI1445" si="652">AD1443</f>
        <v>0</v>
      </c>
      <c r="AE1445" s="108" t="b">
        <f t="shared" si="652"/>
        <v>0</v>
      </c>
      <c r="AF1445" s="108" t="b">
        <f t="shared" si="652"/>
        <v>0</v>
      </c>
      <c r="AG1445" s="108" t="b">
        <f t="shared" si="652"/>
        <v>0</v>
      </c>
      <c r="AH1445" s="108" t="b">
        <f t="shared" si="652"/>
        <v>0</v>
      </c>
      <c r="AI1445" s="108" t="b">
        <f t="shared" si="652"/>
        <v>0</v>
      </c>
      <c r="AJ1445" s="553" t="s">
        <v>2248</v>
      </c>
      <c r="AK1445" s="663" t="str">
        <f>IF(AND(CNTR_ExistSubInstEntries,MSconst_RequireSubAttrEmissions,COUNTIFS(AC1445:AI1445,FALSE,H1445:N1445,"")&gt;0),EUconst_Error&amp;"BM"&amp;$Q1221,"")</f>
        <v/>
      </c>
      <c r="AL1445" s="2"/>
    </row>
    <row r="1446" spans="1:38" ht="12.75" customHeight="1" x14ac:dyDescent="0.25">
      <c r="A1446" s="2"/>
      <c r="B1446" s="178"/>
      <c r="C1446" s="779"/>
      <c r="D1446" s="780"/>
      <c r="E1446" s="780"/>
      <c r="F1446" s="780"/>
      <c r="G1446" s="780"/>
      <c r="H1446" s="1805"/>
      <c r="I1446" s="780"/>
      <c r="J1446" s="780"/>
      <c r="K1446" s="780"/>
      <c r="L1446" s="780"/>
      <c r="M1446" s="623"/>
      <c r="N1446" s="519"/>
      <c r="O1446" s="15"/>
      <c r="P1446" s="15"/>
      <c r="Q1446" s="343"/>
      <c r="R1446" s="2"/>
      <c r="S1446" s="343"/>
      <c r="T1446" s="343"/>
      <c r="U1446" s="343"/>
      <c r="V1446" s="343"/>
      <c r="W1446" s="2"/>
      <c r="X1446" s="2"/>
      <c r="Y1446" s="2"/>
      <c r="Z1446" s="2"/>
      <c r="AA1446" s="2"/>
      <c r="AB1446" s="2"/>
      <c r="AC1446" s="2"/>
      <c r="AD1446" s="2"/>
      <c r="AE1446" s="2"/>
      <c r="AF1446" s="2"/>
      <c r="AG1446" s="2"/>
      <c r="AH1446" s="2"/>
      <c r="AI1446" s="2"/>
      <c r="AJ1446" s="2"/>
      <c r="AK1446" s="2"/>
      <c r="AL1446" s="2"/>
    </row>
    <row r="1447" spans="1:38" ht="12.75" customHeight="1" x14ac:dyDescent="0.25">
      <c r="A1447" s="2"/>
      <c r="B1447" s="178"/>
      <c r="C1447" s="779"/>
      <c r="D1447" s="416" t="s">
        <v>74</v>
      </c>
      <c r="E1447" s="2614" t="str">
        <f>Translations!$B$625</f>
        <v>Facklade restgastyper:</v>
      </c>
      <c r="F1447" s="1960"/>
      <c r="G1447" s="1960"/>
      <c r="H1447" s="2520"/>
      <c r="I1447" s="2621"/>
      <c r="J1447" s="2510"/>
      <c r="K1447" s="2510"/>
      <c r="L1447" s="2510"/>
      <c r="M1447" s="2511"/>
      <c r="N1447" s="1807"/>
      <c r="O1447" s="15"/>
      <c r="P1447" s="1362"/>
      <c r="Q1447" s="343"/>
      <c r="R1447" s="2"/>
      <c r="S1447" s="343"/>
      <c r="T1447" s="2"/>
      <c r="U1447" s="2"/>
      <c r="V1447" s="2"/>
      <c r="W1447" s="2"/>
      <c r="X1447" s="2"/>
      <c r="Y1447" s="2"/>
      <c r="Z1447" s="2"/>
      <c r="AA1447" s="2"/>
      <c r="AB1447" s="2"/>
      <c r="AC1447" s="672" t="s">
        <v>782</v>
      </c>
      <c r="AD1447" s="108" t="b">
        <f>AD1438</f>
        <v>0</v>
      </c>
      <c r="AE1447" s="2"/>
      <c r="AF1447" s="2"/>
      <c r="AG1447" s="2"/>
      <c r="AH1447" s="2"/>
      <c r="AI1447" s="2"/>
      <c r="AJ1447" s="2"/>
      <c r="AK1447" s="2"/>
      <c r="AL1447" s="2"/>
    </row>
    <row r="1448" spans="1:38" ht="12.75" customHeight="1" x14ac:dyDescent="0.25">
      <c r="A1448" s="2"/>
      <c r="B1448" s="178"/>
      <c r="C1448" s="779"/>
      <c r="D1448" s="416"/>
      <c r="E1448" s="2610" t="str">
        <f>Translations!$B$626</f>
        <v>Detta innefattar alla restgastyper som i slutändan blir föremål för annan fackling än säkerhetsfackling, antingen inom eller utanför delanläggningen.</v>
      </c>
      <c r="F1448" s="1960"/>
      <c r="G1448" s="1960"/>
      <c r="H1448" s="1960"/>
      <c r="I1448" s="1960"/>
      <c r="J1448" s="1960"/>
      <c r="K1448" s="1960"/>
      <c r="L1448" s="1960"/>
      <c r="M1448" s="1960"/>
      <c r="N1448" s="2597"/>
      <c r="O1448" s="15"/>
      <c r="P1448" s="15"/>
      <c r="Q1448" s="343"/>
      <c r="R1448" s="2"/>
      <c r="S1448" s="2"/>
      <c r="T1448" s="343"/>
      <c r="U1448" s="343"/>
      <c r="V1448" s="343"/>
      <c r="W1448" s="2"/>
      <c r="X1448" s="2"/>
      <c r="Y1448" s="2"/>
      <c r="Z1448" s="2"/>
      <c r="AA1448" s="2"/>
      <c r="AB1448" s="2"/>
      <c r="AC1448" s="2"/>
      <c r="AD1448" s="2"/>
      <c r="AE1448" s="2"/>
      <c r="AF1448" s="2"/>
      <c r="AG1448" s="2"/>
      <c r="AH1448" s="2"/>
      <c r="AI1448" s="2"/>
      <c r="AJ1448" s="2"/>
      <c r="AK1448" s="2"/>
      <c r="AL1448" s="2"/>
    </row>
    <row r="1449" spans="1:38" ht="12.75" customHeight="1" x14ac:dyDescent="0.25">
      <c r="A1449" s="2"/>
      <c r="B1449" s="178"/>
      <c r="C1449" s="779"/>
      <c r="D1449" s="780"/>
      <c r="E1449" s="2610" t="str">
        <f>Translations!$B$627</f>
        <v>De uppgifter som anges här används bara i konsekvenskontrollsyfte och får ingen direkt påverkan på de utsläpp som kan tillskrivas.</v>
      </c>
      <c r="F1449" s="1960"/>
      <c r="G1449" s="1960"/>
      <c r="H1449" s="1960"/>
      <c r="I1449" s="1960"/>
      <c r="J1449" s="1960"/>
      <c r="K1449" s="1960"/>
      <c r="L1449" s="1960"/>
      <c r="M1449" s="1960"/>
      <c r="N1449" s="2597"/>
      <c r="O1449" s="15"/>
      <c r="P1449" s="15"/>
      <c r="Q1449" s="343"/>
      <c r="R1449" s="2"/>
      <c r="S1449" s="343"/>
      <c r="T1449" s="343"/>
      <c r="U1449" s="343"/>
      <c r="V1449" s="343"/>
      <c r="W1449" s="2"/>
      <c r="X1449" s="2"/>
      <c r="Y1449" s="2"/>
      <c r="Z1449" s="2"/>
      <c r="AA1449" s="2"/>
      <c r="AB1449" s="2"/>
      <c r="AC1449" s="2"/>
      <c r="AD1449" s="2"/>
      <c r="AE1449" s="2"/>
      <c r="AF1449" s="2"/>
      <c r="AG1449" s="2"/>
      <c r="AH1449" s="2"/>
      <c r="AI1449" s="2"/>
      <c r="AJ1449" s="2"/>
      <c r="AK1449" s="2"/>
      <c r="AL1449" s="2"/>
    </row>
    <row r="1450" spans="1:38" ht="12.75" customHeight="1" x14ac:dyDescent="0.25">
      <c r="A1450" s="2"/>
      <c r="B1450" s="178"/>
      <c r="C1450" s="779"/>
      <c r="D1450" s="780"/>
      <c r="E1450" s="2596" t="str">
        <f>Translations!$B$628</f>
        <v>Från och med 2026 kommer dock tilldelningen att minskas med avseende på annan fackling av restgaser än säkerhetsfackling.</v>
      </c>
      <c r="F1450" s="1960"/>
      <c r="G1450" s="1960"/>
      <c r="H1450" s="1960"/>
      <c r="I1450" s="1960"/>
      <c r="J1450" s="1960"/>
      <c r="K1450" s="1960"/>
      <c r="L1450" s="1960"/>
      <c r="M1450" s="1960"/>
      <c r="N1450" s="2597"/>
      <c r="O1450" s="15"/>
      <c r="P1450" s="15"/>
      <c r="Q1450" s="343"/>
      <c r="R1450" s="2"/>
      <c r="S1450" s="343"/>
      <c r="T1450" s="343"/>
      <c r="U1450" s="343"/>
      <c r="V1450" s="343"/>
      <c r="W1450" s="343"/>
      <c r="X1450" s="343"/>
      <c r="Y1450" s="343"/>
      <c r="Z1450" s="343"/>
      <c r="AA1450" s="2"/>
      <c r="AB1450" s="2"/>
      <c r="AC1450" s="2"/>
      <c r="AD1450" s="2"/>
      <c r="AE1450" s="2"/>
      <c r="AF1450" s="2"/>
      <c r="AG1450" s="2"/>
      <c r="AH1450" s="2"/>
      <c r="AI1450" s="2"/>
      <c r="AJ1450" s="2"/>
      <c r="AK1450" s="2"/>
      <c r="AL1450" s="2"/>
    </row>
    <row r="1451" spans="1:38" ht="12.75" customHeight="1" thickBot="1" x14ac:dyDescent="0.3">
      <c r="A1451" s="2"/>
      <c r="B1451" s="178"/>
      <c r="C1451" s="779"/>
      <c r="D1451" s="780"/>
      <c r="E1451" s="1716"/>
      <c r="F1451" s="1717"/>
      <c r="G1451" s="361" t="str">
        <f>EUconst_Unit</f>
        <v>Enhet</v>
      </c>
      <c r="H1451" s="362">
        <f t="shared" ref="H1451:N1451" si="653">H$3042</f>
        <v>2019</v>
      </c>
      <c r="I1451" s="1103">
        <f t="shared" si="653"/>
        <v>2020</v>
      </c>
      <c r="J1451" s="1104">
        <f t="shared" si="653"/>
        <v>2021</v>
      </c>
      <c r="K1451" s="362">
        <f t="shared" si="653"/>
        <v>2022</v>
      </c>
      <c r="L1451" s="362">
        <f t="shared" si="653"/>
        <v>2023</v>
      </c>
      <c r="M1451" s="362">
        <f t="shared" si="653"/>
        <v>2024</v>
      </c>
      <c r="N1451" s="1141">
        <f t="shared" si="653"/>
        <v>2025</v>
      </c>
      <c r="O1451" s="15"/>
      <c r="P1451" s="15"/>
      <c r="Q1451" s="343"/>
      <c r="R1451" s="2"/>
      <c r="S1451" s="343"/>
      <c r="T1451" s="343"/>
      <c r="U1451" s="343"/>
      <c r="V1451" s="343"/>
      <c r="W1451" s="343"/>
      <c r="X1451" s="343"/>
      <c r="Y1451" s="343"/>
      <c r="Z1451" s="343"/>
      <c r="AA1451" s="2"/>
      <c r="AB1451" s="2"/>
      <c r="AC1451" s="1044">
        <f t="shared" ref="AC1451:AI1451" si="654">H$20</f>
        <v>2019</v>
      </c>
      <c r="AD1451" s="1044">
        <f t="shared" si="654"/>
        <v>2020</v>
      </c>
      <c r="AE1451" s="1044">
        <f t="shared" si="654"/>
        <v>2021</v>
      </c>
      <c r="AF1451" s="1044">
        <f t="shared" si="654"/>
        <v>2022</v>
      </c>
      <c r="AG1451" s="1044">
        <f t="shared" si="654"/>
        <v>2023</v>
      </c>
      <c r="AH1451" s="1044">
        <f t="shared" si="654"/>
        <v>2024</v>
      </c>
      <c r="AI1451" s="1044">
        <f t="shared" si="654"/>
        <v>2025</v>
      </c>
      <c r="AJ1451" s="2"/>
      <c r="AK1451" s="2"/>
      <c r="AL1451" s="2"/>
    </row>
    <row r="1452" spans="1:38" ht="12.75" customHeight="1" x14ac:dyDescent="0.25">
      <c r="A1452" s="2"/>
      <c r="B1452" s="178"/>
      <c r="C1452" s="779"/>
      <c r="D1452" s="416" t="s">
        <v>1201</v>
      </c>
      <c r="E1452" s="2611" t="str">
        <f>Translations!$B$629</f>
        <v>Facklade mängder</v>
      </c>
      <c r="F1452" s="2484"/>
      <c r="G1452" s="1314" t="s">
        <v>2202</v>
      </c>
      <c r="H1452" s="1298"/>
      <c r="I1452" s="1299"/>
      <c r="J1452" s="1300"/>
      <c r="K1452" s="1298"/>
      <c r="L1452" s="1298"/>
      <c r="M1452" s="1298"/>
      <c r="N1452" s="1301"/>
      <c r="O1452" s="15"/>
      <c r="P1452" s="1362"/>
      <c r="Q1452" s="343"/>
      <c r="R1452" s="2"/>
      <c r="S1452" s="343"/>
      <c r="T1452" s="343"/>
      <c r="U1452" s="343"/>
      <c r="V1452" s="343"/>
      <c r="W1452" s="343"/>
      <c r="X1452" s="343"/>
      <c r="Y1452" s="343"/>
      <c r="Z1452" s="343"/>
      <c r="AA1452" s="2"/>
      <c r="AB1452" s="672" t="s">
        <v>782</v>
      </c>
      <c r="AC1452" s="108" t="b">
        <f>AC1442</f>
        <v>0</v>
      </c>
      <c r="AD1452" s="108" t="b">
        <f t="shared" ref="AD1452:AI1452" si="655">AD1442</f>
        <v>0</v>
      </c>
      <c r="AE1452" s="108" t="b">
        <f t="shared" si="655"/>
        <v>0</v>
      </c>
      <c r="AF1452" s="108" t="b">
        <f t="shared" si="655"/>
        <v>0</v>
      </c>
      <c r="AG1452" s="108" t="b">
        <f t="shared" si="655"/>
        <v>0</v>
      </c>
      <c r="AH1452" s="108" t="b">
        <f t="shared" si="655"/>
        <v>0</v>
      </c>
      <c r="AI1452" s="108" t="b">
        <f t="shared" si="655"/>
        <v>0</v>
      </c>
      <c r="AJ1452" s="553" t="s">
        <v>2248</v>
      </c>
      <c r="AK1452" s="663" t="str">
        <f>IF(AND(CNTR_ExistSubInstEntries,MSconst_RequireSubAttrEmissions,COUNTIFS(AC1452:AI1452,FALSE,H1452:N1452,"")&gt;0),EUconst_Error&amp;"BM"&amp;$Q1221,"")</f>
        <v/>
      </c>
      <c r="AL1452" s="2"/>
    </row>
    <row r="1453" spans="1:38" ht="12.75" customHeight="1" x14ac:dyDescent="0.25">
      <c r="A1453" s="2"/>
      <c r="B1453" s="178"/>
      <c r="C1453" s="779"/>
      <c r="D1453" s="416" t="s">
        <v>1202</v>
      </c>
      <c r="E1453" s="2612" t="str">
        <f>Translations!$B$318</f>
        <v>Effektivt värmevärde</v>
      </c>
      <c r="F1453" s="2487"/>
      <c r="G1453" s="51" t="e">
        <f>IF(ISBLANK(G1452),EUconst_GJperUnit,INDEX(EUconst_GJperTorKNm3,MATCH(G1452,EUconst_TonnesOrkNm3pa,0)))</f>
        <v>#N/A</v>
      </c>
      <c r="H1453" s="1306"/>
      <c r="I1453" s="1307"/>
      <c r="J1453" s="1308"/>
      <c r="K1453" s="1306"/>
      <c r="L1453" s="1306"/>
      <c r="M1453" s="1306"/>
      <c r="N1453" s="1309"/>
      <c r="O1453" s="15"/>
      <c r="P1453" s="1362"/>
      <c r="Q1453" s="2"/>
      <c r="R1453" s="2"/>
      <c r="S1453" s="343"/>
      <c r="T1453" s="343"/>
      <c r="U1453" s="343"/>
      <c r="V1453" s="343"/>
      <c r="W1453" s="343"/>
      <c r="X1453" s="343"/>
      <c r="Y1453" s="343"/>
      <c r="Z1453" s="343"/>
      <c r="AA1453" s="2"/>
      <c r="AB1453" s="2"/>
      <c r="AC1453" s="108" t="b">
        <f>AC1452</f>
        <v>0</v>
      </c>
      <c r="AD1453" s="108" t="b">
        <f t="shared" ref="AD1453:AI1453" si="656">AD1452</f>
        <v>0</v>
      </c>
      <c r="AE1453" s="108" t="b">
        <f t="shared" si="656"/>
        <v>0</v>
      </c>
      <c r="AF1453" s="108" t="b">
        <f t="shared" si="656"/>
        <v>0</v>
      </c>
      <c r="AG1453" s="108" t="b">
        <f t="shared" si="656"/>
        <v>0</v>
      </c>
      <c r="AH1453" s="108" t="b">
        <f t="shared" si="656"/>
        <v>0</v>
      </c>
      <c r="AI1453" s="108" t="b">
        <f t="shared" si="656"/>
        <v>0</v>
      </c>
      <c r="AJ1453" s="553" t="s">
        <v>2248</v>
      </c>
      <c r="AK1453" s="663" t="str">
        <f>IF(AND(CNTR_ExistSubInstEntries,MSconst_RequireSubAttrEmissions,COUNTIFS(AC1453:AI1453,FALSE,H1453:N1453,"")&gt;0),EUconst_Error&amp;"BM"&amp;$Q1221,"")</f>
        <v/>
      </c>
      <c r="AL1453" s="2"/>
    </row>
    <row r="1454" spans="1:38" ht="12.75" customHeight="1" x14ac:dyDescent="0.25">
      <c r="A1454" s="2"/>
      <c r="B1454" s="178"/>
      <c r="C1454" s="779"/>
      <c r="D1454" s="416" t="s">
        <v>1203</v>
      </c>
      <c r="E1454" s="2613" t="str">
        <f>Translations!$B$630</f>
        <v>Facklad restgas</v>
      </c>
      <c r="F1454" s="1997"/>
      <c r="G1454" s="364" t="str">
        <f>EUconst_TJpa</f>
        <v>TJ / år</v>
      </c>
      <c r="H1454" s="414" t="str">
        <f t="shared" ref="H1454:N1454" si="657">IF(COUNT(H1452:H1453)=2,H1452*H1453/1000,"")</f>
        <v/>
      </c>
      <c r="I1454" s="1108" t="str">
        <f t="shared" si="657"/>
        <v/>
      </c>
      <c r="J1454" s="1114" t="str">
        <f t="shared" si="657"/>
        <v/>
      </c>
      <c r="K1454" s="414" t="str">
        <f t="shared" si="657"/>
        <v/>
      </c>
      <c r="L1454" s="414" t="str">
        <f t="shared" si="657"/>
        <v/>
      </c>
      <c r="M1454" s="414" t="str">
        <f t="shared" si="657"/>
        <v/>
      </c>
      <c r="N1454" s="1147" t="str">
        <f t="shared" si="657"/>
        <v/>
      </c>
      <c r="O1454" s="15"/>
      <c r="P1454" s="15"/>
      <c r="Q1454" s="165" t="str">
        <f>EUconst_CNTR_WGFlared &amp; I1221</f>
        <v>WasteGasFlare_</v>
      </c>
      <c r="R1454" s="2"/>
      <c r="S1454" s="343"/>
      <c r="T1454" s="343"/>
      <c r="U1454" s="343"/>
      <c r="V1454" s="343"/>
      <c r="W1454" s="343"/>
      <c r="X1454" s="343"/>
      <c r="Y1454" s="343"/>
      <c r="Z1454" s="343"/>
      <c r="AA1454" s="2"/>
      <c r="AB1454" s="2"/>
      <c r="AC1454" s="2"/>
      <c r="AD1454" s="2"/>
      <c r="AE1454" s="2"/>
      <c r="AF1454" s="2"/>
      <c r="AG1454" s="2"/>
      <c r="AH1454" s="2"/>
      <c r="AI1454" s="2"/>
      <c r="AJ1454" s="2"/>
      <c r="AK1454" s="2"/>
      <c r="AL1454" s="2"/>
    </row>
    <row r="1455" spans="1:38" ht="12.75" customHeight="1" x14ac:dyDescent="0.25">
      <c r="A1455" s="2"/>
      <c r="B1455" s="178"/>
      <c r="C1455" s="779"/>
      <c r="D1455" s="416" t="s">
        <v>1204</v>
      </c>
      <c r="E1455" s="2613" t="str">
        <f>Translations!$B$631</f>
        <v>Särskild emissionsfaktor (facklad restgas)</v>
      </c>
      <c r="F1455" s="1997"/>
      <c r="G1455" s="364" t="str">
        <f>EUconst_tCO2pTJ</f>
        <v>t CO2 / TJ</v>
      </c>
      <c r="H1455" s="582"/>
      <c r="I1455" s="1105"/>
      <c r="J1455" s="1115"/>
      <c r="K1455" s="582"/>
      <c r="L1455" s="582"/>
      <c r="M1455" s="582"/>
      <c r="N1455" s="1146"/>
      <c r="O1455" s="15"/>
      <c r="P1455" s="1362"/>
      <c r="Q1455" s="165" t="str">
        <f>EUconst_CNTR_WGFlaredEF &amp; I1221</f>
        <v>WasteGasFlareEF_</v>
      </c>
      <c r="R1455" s="2"/>
      <c r="S1455" s="343"/>
      <c r="T1455" s="343"/>
      <c r="U1455" s="343"/>
      <c r="V1455" s="343"/>
      <c r="W1455" s="343"/>
      <c r="X1455" s="343"/>
      <c r="Y1455" s="343"/>
      <c r="Z1455" s="343"/>
      <c r="AA1455" s="2"/>
      <c r="AB1455" s="672" t="s">
        <v>782</v>
      </c>
      <c r="AC1455" s="108" t="b">
        <f>AC1453</f>
        <v>0</v>
      </c>
      <c r="AD1455" s="108" t="b">
        <f t="shared" ref="AD1455:AI1455" si="658">AD1453</f>
        <v>0</v>
      </c>
      <c r="AE1455" s="108" t="b">
        <f t="shared" si="658"/>
        <v>0</v>
      </c>
      <c r="AF1455" s="108" t="b">
        <f t="shared" si="658"/>
        <v>0</v>
      </c>
      <c r="AG1455" s="108" t="b">
        <f t="shared" si="658"/>
        <v>0</v>
      </c>
      <c r="AH1455" s="108" t="b">
        <f t="shared" si="658"/>
        <v>0</v>
      </c>
      <c r="AI1455" s="108" t="b">
        <f t="shared" si="658"/>
        <v>0</v>
      </c>
      <c r="AJ1455" s="553" t="s">
        <v>2248</v>
      </c>
      <c r="AK1455" s="663" t="str">
        <f>IF(AND(CNTR_ExistSubInstEntries,MSconst_RequireSubAttrEmissions,COUNTIFS(AC1455:AI1455,FALSE,H1455:N1455,"")&gt;0),EUconst_Error&amp;"BM"&amp;$Q1221,"")</f>
        <v/>
      </c>
      <c r="AL1455" s="2"/>
    </row>
    <row r="1456" spans="1:38" ht="5.15" customHeight="1" thickBot="1" x14ac:dyDescent="0.3">
      <c r="A1456" s="2"/>
      <c r="B1456" s="178"/>
      <c r="C1456" s="779"/>
      <c r="D1456" s="780"/>
      <c r="E1456" s="780"/>
      <c r="F1456" s="780"/>
      <c r="G1456" s="780"/>
      <c r="H1456" s="1805"/>
      <c r="I1456" s="780"/>
      <c r="J1456" s="780"/>
      <c r="K1456" s="780"/>
      <c r="L1456" s="780"/>
      <c r="M1456" s="623"/>
      <c r="N1456" s="519"/>
      <c r="O1456" s="15"/>
      <c r="P1456" s="15"/>
      <c r="Q1456" s="343"/>
      <c r="R1456" s="2"/>
      <c r="S1456" s="343"/>
      <c r="T1456" s="343"/>
      <c r="U1456" s="343"/>
      <c r="V1456" s="343"/>
      <c r="W1456" s="2"/>
      <c r="X1456" s="2"/>
      <c r="Y1456" s="2"/>
      <c r="Z1456" s="2"/>
      <c r="AA1456" s="2"/>
      <c r="AB1456" s="2"/>
      <c r="AC1456" s="2"/>
      <c r="AD1456" s="2"/>
      <c r="AE1456" s="2"/>
      <c r="AF1456" s="2"/>
      <c r="AG1456" s="2"/>
      <c r="AH1456" s="2"/>
      <c r="AI1456" s="2"/>
      <c r="AJ1456" s="2"/>
      <c r="AK1456" s="2"/>
      <c r="AL1456" s="2"/>
    </row>
    <row r="1457" spans="1:38" ht="12.75" customHeight="1" thickBot="1" x14ac:dyDescent="0.3">
      <c r="A1457" s="2"/>
      <c r="B1457" s="178"/>
      <c r="C1457" s="779"/>
      <c r="D1457" s="780"/>
      <c r="E1457" s="2613" t="str">
        <f>Translations!$B$1484</f>
        <v>Mängd facklad restgas</v>
      </c>
      <c r="F1457" s="2613"/>
      <c r="G1457" s="1206" t="str">
        <f>EUconst_tCO2</f>
        <v>t CO2</v>
      </c>
      <c r="H1457" s="626" t="str">
        <f t="shared" ref="H1457:N1457" si="659">IF(T1229,SUM(H1454)*SUM(H1455),"")</f>
        <v/>
      </c>
      <c r="I1457" s="1364" t="str">
        <f t="shared" si="659"/>
        <v/>
      </c>
      <c r="J1457" s="1365" t="str">
        <f t="shared" si="659"/>
        <v/>
      </c>
      <c r="K1457" s="626" t="str">
        <f t="shared" si="659"/>
        <v/>
      </c>
      <c r="L1457" s="626" t="str">
        <f t="shared" si="659"/>
        <v/>
      </c>
      <c r="M1457" s="626" t="str">
        <f t="shared" si="659"/>
        <v/>
      </c>
      <c r="N1457" s="626" t="str">
        <f t="shared" si="659"/>
        <v/>
      </c>
      <c r="O1457" s="15"/>
      <c r="P1457" s="15"/>
      <c r="Q1457" s="165" t="str">
        <f>EUconst_CNTR_HAL &amp; EUconst_CNTR_WGFlared &amp; I1221</f>
        <v>HAL_WasteGasFlare_</v>
      </c>
      <c r="R1457" s="2"/>
      <c r="S1457" s="553" t="s">
        <v>1962</v>
      </c>
      <c r="T1457" s="445" t="b">
        <f>CNTR_SubPeriod=2</f>
        <v>1</v>
      </c>
      <c r="U1457" s="343"/>
      <c r="V1457" s="343"/>
      <c r="W1457" s="2"/>
      <c r="X1457" s="2"/>
      <c r="Y1457" s="2"/>
      <c r="Z1457" s="2"/>
      <c r="AA1457" s="2"/>
      <c r="AB1457" s="2"/>
      <c r="AC1457" s="2"/>
      <c r="AD1457" s="2"/>
      <c r="AE1457" s="2"/>
      <c r="AF1457" s="2"/>
      <c r="AG1457" s="2"/>
      <c r="AH1457" s="2"/>
      <c r="AI1457" s="2"/>
      <c r="AJ1457" s="2"/>
      <c r="AK1457" s="2"/>
      <c r="AL1457" s="2"/>
    </row>
    <row r="1458" spans="1:38" ht="5.15" customHeight="1" thickBot="1" x14ac:dyDescent="0.3">
      <c r="A1458" s="2"/>
      <c r="B1458" s="178"/>
      <c r="C1458" s="779"/>
      <c r="D1458" s="780"/>
      <c r="E1458" s="780"/>
      <c r="F1458" s="780"/>
      <c r="G1458" s="780"/>
      <c r="H1458" s="1805"/>
      <c r="I1458" s="780"/>
      <c r="J1458" s="780"/>
      <c r="K1458" s="780"/>
      <c r="L1458" s="780"/>
      <c r="M1458" s="623"/>
      <c r="N1458" s="519"/>
      <c r="O1458" s="15"/>
      <c r="P1458" s="15"/>
      <c r="Q1458" s="343"/>
      <c r="R1458" s="2"/>
      <c r="S1458" s="343"/>
      <c r="T1458" s="343"/>
      <c r="U1458" s="343"/>
      <c r="V1458" s="343"/>
      <c r="W1458" s="2"/>
      <c r="X1458" s="2"/>
      <c r="Y1458" s="2"/>
      <c r="Z1458" s="2"/>
      <c r="AA1458" s="2"/>
      <c r="AB1458" s="2"/>
      <c r="AC1458" s="2"/>
      <c r="AD1458" s="2"/>
      <c r="AE1458" s="2"/>
      <c r="AF1458" s="2"/>
      <c r="AG1458" s="2"/>
      <c r="AH1458" s="2"/>
      <c r="AI1458" s="2"/>
      <c r="AJ1458" s="2"/>
      <c r="AK1458" s="2"/>
      <c r="AL1458" s="2"/>
    </row>
    <row r="1459" spans="1:38" ht="5.15" customHeight="1" thickBot="1" x14ac:dyDescent="0.3">
      <c r="A1459" s="2"/>
      <c r="B1459" s="178"/>
      <c r="C1459" s="779"/>
      <c r="D1459" s="1263"/>
      <c r="E1459" s="1264"/>
      <c r="F1459" s="1264"/>
      <c r="G1459" s="1264"/>
      <c r="H1459" s="1265"/>
      <c r="I1459" s="1264"/>
      <c r="J1459" s="1264"/>
      <c r="K1459" s="1264"/>
      <c r="L1459" s="1264"/>
      <c r="M1459" s="1266"/>
      <c r="N1459" s="1267"/>
      <c r="O1459" s="15"/>
      <c r="P1459" s="15"/>
      <c r="Q1459" s="343"/>
      <c r="R1459" s="2"/>
      <c r="S1459" s="343"/>
      <c r="T1459" s="343"/>
      <c r="U1459" s="343"/>
      <c r="V1459" s="343"/>
      <c r="W1459" s="2"/>
      <c r="X1459" s="2"/>
      <c r="Y1459" s="2"/>
      <c r="Z1459" s="2"/>
      <c r="AA1459" s="2"/>
      <c r="AB1459" s="2"/>
      <c r="AC1459" s="2"/>
      <c r="AD1459" s="2"/>
      <c r="AE1459" s="2"/>
      <c r="AF1459" s="2"/>
      <c r="AG1459" s="2"/>
      <c r="AH1459" s="2"/>
      <c r="AI1459" s="2"/>
      <c r="AJ1459" s="2"/>
      <c r="AK1459" s="2"/>
      <c r="AL1459" s="2"/>
    </row>
    <row r="1460" spans="1:38" ht="12.75" customHeight="1" x14ac:dyDescent="0.25">
      <c r="A1460" s="2"/>
      <c r="B1460" s="178"/>
      <c r="C1460" s="779"/>
      <c r="D1460" s="1290" t="s">
        <v>2193</v>
      </c>
      <c r="E1460" s="2619" t="str">
        <f>Translations!$B$1485</f>
        <v>Justeringar: facklad restgas</v>
      </c>
      <c r="F1460" s="2497"/>
      <c r="G1460" s="2497"/>
      <c r="H1460" s="1228" t="str">
        <f>EUconst_Unit</f>
        <v>Enhet</v>
      </c>
      <c r="I1460" s="1229" t="str">
        <f>Translations!$B$1481</f>
        <v>Värde (NIMs)</v>
      </c>
      <c r="J1460" s="1268">
        <f>J$3042</f>
        <v>2021</v>
      </c>
      <c r="K1460" s="1230">
        <f>K$3042</f>
        <v>2022</v>
      </c>
      <c r="L1460" s="1230">
        <f>L$3042</f>
        <v>2023</v>
      </c>
      <c r="M1460" s="1230">
        <f>M$3042</f>
        <v>2024</v>
      </c>
      <c r="N1460" s="1258">
        <f>N$3042</f>
        <v>2025</v>
      </c>
      <c r="O1460" s="15"/>
      <c r="P1460" s="15"/>
      <c r="Q1460" s="343"/>
      <c r="R1460" s="2"/>
      <c r="S1460" s="2"/>
      <c r="T1460" s="2"/>
      <c r="U1460" s="772"/>
      <c r="V1460" s="1077">
        <f>J1460</f>
        <v>2021</v>
      </c>
      <c r="W1460" s="1077">
        <f>K1460</f>
        <v>2022</v>
      </c>
      <c r="X1460" s="1077">
        <f>L1460</f>
        <v>2023</v>
      </c>
      <c r="Y1460" s="1077">
        <f>M1460</f>
        <v>2024</v>
      </c>
      <c r="Z1460" s="1078">
        <f>N1460</f>
        <v>2025</v>
      </c>
      <c r="AA1460" s="2"/>
      <c r="AB1460" s="2"/>
      <c r="AC1460" s="2"/>
      <c r="AD1460" s="2"/>
      <c r="AE1460" s="2"/>
      <c r="AF1460" s="2"/>
      <c r="AG1460" s="2"/>
      <c r="AH1460" s="2"/>
      <c r="AI1460" s="2"/>
      <c r="AJ1460" s="2"/>
      <c r="AK1460" s="2"/>
      <c r="AL1460" s="2"/>
    </row>
    <row r="1461" spans="1:38" ht="12.75" customHeight="1" x14ac:dyDescent="0.25">
      <c r="A1461" s="2"/>
      <c r="B1461" s="178"/>
      <c r="C1461" s="779"/>
      <c r="D1461" s="1246" t="s">
        <v>8</v>
      </c>
      <c r="E1461" s="2618" t="str">
        <f>Translations!$B$1482</f>
        <v>Genomsnittligt årligt värde</v>
      </c>
      <c r="F1461" s="1997"/>
      <c r="G1461" s="1997"/>
      <c r="H1461" s="1232" t="str">
        <f>G1457</f>
        <v>t CO2</v>
      </c>
      <c r="I1461" s="990" t="str">
        <f>INDEX('B+C_SubInstallations'!$K:$K,MATCH(Q1461,'B+C_SubInstallations'!$V:$V,0))</f>
        <v/>
      </c>
      <c r="J1461" s="1215" t="str">
        <f>IF($T1457&lt;&gt;TRUE,"",IF(AND(V1461&gt;=3,CNTR_ReportingYear&gt;J1460-1),AVERAGE(SUM(H1457),SUM(I1457)),""))</f>
        <v/>
      </c>
      <c r="K1461" s="1216" t="str">
        <f>IF($T1457&lt;&gt;TRUE,"",IF(AND(W1461&gt;=3,CNTR_ReportingYear&gt;K1460-1),AVERAGE(SUM(I1457),SUM(J1457)),""))</f>
        <v/>
      </c>
      <c r="L1461" s="1216" t="str">
        <f>IF($T1457&lt;&gt;TRUE,"",IF(AND(X1461&gt;=3,CNTR_ReportingYear&gt;L1460-1),AVERAGE(SUM(J1457),SUM(K1457)),""))</f>
        <v/>
      </c>
      <c r="M1461" s="1216" t="str">
        <f>IF($T1457&lt;&gt;TRUE,"",IF(AND(Y1461&gt;=3,CNTR_ReportingYear&gt;M1460-1),AVERAGE(SUM(K1457),SUM(L1457)),""))</f>
        <v/>
      </c>
      <c r="N1461" s="1227" t="str">
        <f>IF($T1457&lt;&gt;TRUE,"",IF(AND(Z1461&gt;=3,CNTR_ReportingYear&gt;N1460-1),AVERAGE(SUM(L1457),SUM(M1457)),""))</f>
        <v/>
      </c>
      <c r="O1461" s="15"/>
      <c r="P1461" s="15"/>
      <c r="Q1461" s="165" t="str">
        <f>EUconst_CNTR_HALinitial &amp; EUconst_CNTR_WGFlared &amp; I1221</f>
        <v>HALini_WasteGasFlare_</v>
      </c>
      <c r="R1461" s="2"/>
      <c r="S1461" s="2"/>
      <c r="T1461" s="2"/>
      <c r="U1461" s="1079" t="s">
        <v>1850</v>
      </c>
      <c r="V1461" s="663">
        <f>V1243</f>
        <v>0</v>
      </c>
      <c r="W1461" s="663">
        <f>W1243</f>
        <v>0</v>
      </c>
      <c r="X1461" s="663">
        <f>X1243</f>
        <v>0</v>
      </c>
      <c r="Y1461" s="663">
        <f>Y1243</f>
        <v>0</v>
      </c>
      <c r="Z1461" s="1080">
        <f>Z1243</f>
        <v>0</v>
      </c>
      <c r="AA1461" s="2"/>
      <c r="AB1461" s="2"/>
      <c r="AC1461" s="2"/>
      <c r="AD1461" s="2"/>
      <c r="AE1461" s="2"/>
      <c r="AF1461" s="2"/>
      <c r="AG1461" s="2"/>
      <c r="AH1461" s="2"/>
      <c r="AI1461" s="2"/>
      <c r="AJ1461" s="2"/>
      <c r="AK1461" s="2"/>
      <c r="AL1461" s="2"/>
    </row>
    <row r="1462" spans="1:38" ht="12.75" hidden="1" customHeight="1" x14ac:dyDescent="0.25">
      <c r="A1462" s="343" t="s">
        <v>346</v>
      </c>
      <c r="B1462" s="178"/>
      <c r="C1462" s="779"/>
      <c r="D1462" s="1246"/>
      <c r="E1462" s="2618" t="s">
        <v>1980</v>
      </c>
      <c r="F1462" s="1997"/>
      <c r="G1462" s="1997"/>
      <c r="H1462" s="1233"/>
      <c r="I1462" s="1235"/>
      <c r="J1462" s="1013" t="str">
        <f>IF(J1461="","",IF($I1464=0,IF(J1461=0,0%,100%),J1461/$I1464-1))</f>
        <v/>
      </c>
      <c r="K1462" s="938" t="str">
        <f>IF(K1461="","",IF($I1464=0,IF(K1461=0,0%,100%),K1461/$I1464-1))</f>
        <v/>
      </c>
      <c r="L1462" s="938" t="str">
        <f>IF(L1461="","",IF($I1464=0,IF(L1461=0,0%,100%),L1461/$I1464-1))</f>
        <v/>
      </c>
      <c r="M1462" s="938" t="str">
        <f>IF(M1461="","",IF($I1464=0,IF(M1461=0,0%,100%),M1461/$I1464-1))</f>
        <v/>
      </c>
      <c r="N1462" s="1223" t="str">
        <f>IF(N1461="","",IF($I1464=0,IF(N1461=0,0%,100%),N1461/$I1464-1))</f>
        <v/>
      </c>
      <c r="O1462" s="15"/>
      <c r="P1462" s="15"/>
      <c r="Q1462" s="165" t="str">
        <f>EUconst_CNTR_RelThreshold &amp; Q1464</f>
        <v>RelThresh_HALprelim_WasteGasFlare_</v>
      </c>
      <c r="R1462" s="2"/>
      <c r="S1462" s="2"/>
      <c r="T1462" s="2"/>
      <c r="U1462" s="1079" t="s">
        <v>1855</v>
      </c>
      <c r="V1462" s="603" t="str">
        <f>IF(J1461="","",ABS(J1462)&gt;15%)</f>
        <v/>
      </c>
      <c r="W1462" s="603" t="str">
        <f>IF(K1461="","",ABS(K1462)&gt;15%)</f>
        <v/>
      </c>
      <c r="X1462" s="603" t="str">
        <f>IF(L1461="","",ABS(L1462)&gt;15%)</f>
        <v/>
      </c>
      <c r="Y1462" s="603" t="str">
        <f>IF(M1461="","",ABS(M1462)&gt;15%)</f>
        <v/>
      </c>
      <c r="Z1462" s="1756" t="str">
        <f>IF(N1461="","",ABS(N1462)&gt;15%)</f>
        <v/>
      </c>
      <c r="AA1462" s="2"/>
      <c r="AB1462" s="2"/>
      <c r="AC1462" s="2"/>
      <c r="AD1462" s="2"/>
      <c r="AE1462" s="2"/>
      <c r="AF1462" s="2"/>
      <c r="AG1462" s="2"/>
      <c r="AH1462" s="2"/>
      <c r="AI1462" s="2"/>
      <c r="AJ1462" s="2"/>
      <c r="AK1462" s="2"/>
      <c r="AL1462" s="2"/>
    </row>
    <row r="1463" spans="1:38" ht="12.75" customHeight="1" x14ac:dyDescent="0.25">
      <c r="A1463" s="343"/>
      <c r="B1463" s="178"/>
      <c r="C1463" s="779"/>
      <c r="D1463" s="1246" t="s">
        <v>9</v>
      </c>
      <c r="E1463" s="2618" t="str">
        <f>Translations!$B$1474</f>
        <v>Preliminär justering (om relativa tröskelvärden överskrids)</v>
      </c>
      <c r="F1463" s="1997"/>
      <c r="G1463" s="1997"/>
      <c r="H1463" s="1233"/>
      <c r="I1463" s="1235"/>
      <c r="J1463" s="992" t="str">
        <f>IF(J1461="","",IF(V1462=FALSE,0%,J1462))</f>
        <v/>
      </c>
      <c r="K1463" s="937" t="str">
        <f>IF(K1461="","",IF(W1462=FALSE,0%,K1462))</f>
        <v/>
      </c>
      <c r="L1463" s="937" t="str">
        <f>IF(L1461="","",IF(X1462=FALSE,0%,L1462))</f>
        <v/>
      </c>
      <c r="M1463" s="937" t="str">
        <f>IF(M1461="","",IF(Y1462=FALSE,0%,M1462))</f>
        <v/>
      </c>
      <c r="N1463" s="1220" t="str">
        <f>IF(N1461="","",IF(Z1462=FALSE,0%,N1462))</f>
        <v/>
      </c>
      <c r="O1463" s="15"/>
      <c r="P1463" s="15"/>
      <c r="Q1463" s="343"/>
      <c r="R1463" s="2"/>
      <c r="S1463" s="2"/>
      <c r="T1463" s="2"/>
      <c r="U1463" s="1081"/>
      <c r="V1463" s="2"/>
      <c r="W1463" s="2"/>
      <c r="X1463" s="2"/>
      <c r="Y1463" s="2"/>
      <c r="Z1463" s="228"/>
      <c r="AA1463" s="2"/>
      <c r="AB1463" s="2"/>
      <c r="AC1463" s="2"/>
      <c r="AD1463" s="2"/>
      <c r="AE1463" s="2"/>
      <c r="AF1463" s="2"/>
      <c r="AG1463" s="2"/>
      <c r="AH1463" s="2"/>
      <c r="AI1463" s="2"/>
      <c r="AJ1463" s="2"/>
      <c r="AK1463" s="2"/>
      <c r="AL1463" s="2"/>
    </row>
    <row r="1464" spans="1:38" ht="12.75" hidden="1" customHeight="1" x14ac:dyDescent="0.25">
      <c r="A1464" s="343" t="s">
        <v>346</v>
      </c>
      <c r="B1464" s="178"/>
      <c r="C1464" s="779"/>
      <c r="D1464" s="1246"/>
      <c r="E1464" s="2618" t="s">
        <v>1889</v>
      </c>
      <c r="F1464" s="1997"/>
      <c r="G1464" s="1997"/>
      <c r="H1464" s="1232" t="str">
        <f>H1461</f>
        <v>t CO2</v>
      </c>
      <c r="I1464" s="990" t="str">
        <f>IF($I1221="","",IF(AB1221=FALSE,EUconst_NA,IF(V1221&gt;($J$3042-3),INDEX(H1457:N1457,MATCH(V1221,H1451:N1451,0)),SUM(I1461))))</f>
        <v/>
      </c>
      <c r="J1464" s="993" t="str">
        <f>IF($I1221="","",IF(V1461&lt;2,SUM(J1457),IF(V1461&lt;3,SUM(I1457),IF(V1464="",I1464,V1464))))</f>
        <v/>
      </c>
      <c r="K1464" s="920" t="str">
        <f>IF($I1221="","",IF(W1461&lt;2,SUM(K1457),IF(W1461&lt;3,SUM(J1457),IF(W1464="",J1464,W1464))))</f>
        <v/>
      </c>
      <c r="L1464" s="920" t="str">
        <f>IF($I1221="","",IF(X1461&lt;2,SUM(L1457),IF(X1461&lt;3,SUM(K1457),IF(X1464="",K1464,X1464))))</f>
        <v/>
      </c>
      <c r="M1464" s="920" t="str">
        <f>IF($I1221="","",IF(Y1461&lt;2,SUM(M1457),IF(Y1461&lt;3,SUM(L1457),IF(Y1464="",L1464,Y1464))))</f>
        <v/>
      </c>
      <c r="N1464" s="1218" t="str">
        <f>IF($I1221="","",IF(Z1461&lt;2,SUM(N1457),IF(Z1461&lt;3,SUM(M1457),IF(Z1464="",M1464,Z1464))))</f>
        <v/>
      </c>
      <c r="O1464" s="15"/>
      <c r="P1464" s="15"/>
      <c r="Q1464" s="165" t="str">
        <f>EUconst_CNTR_HALprelim&amp;EUconst_CNTR_WGFlared &amp; I1221</f>
        <v>HALprelim_WasteGasFlare_</v>
      </c>
      <c r="R1464" s="2"/>
      <c r="S1464" s="2"/>
      <c r="T1464" s="2"/>
      <c r="U1464" s="1079" t="s">
        <v>1898</v>
      </c>
      <c r="V1464" s="1752" t="str">
        <f>IF(J1461="","",IF(CNTR_ReportingYear&lt;J1460,I1463,IF($I1464=0,J1461,$I1464*(1+J1463))))</f>
        <v/>
      </c>
      <c r="W1464" s="1752" t="str">
        <f>IF(K1461="","",IF(CNTR_ReportingYear&lt;K1460,J1463,IF($I1464=0,K1461,$I1464*(1+K1463))))</f>
        <v/>
      </c>
      <c r="X1464" s="1752" t="str">
        <f>IF(L1461="","",IF(CNTR_ReportingYear&lt;L1460,K1463,IF($I1464=0,L1461,$I1464*(1+L1463))))</f>
        <v/>
      </c>
      <c r="Y1464" s="1752" t="str">
        <f>IF(M1461="","",IF(CNTR_ReportingYear&lt;M1460,L1463,IF($I1464=0,M1461,$I1464*(1+M1463))))</f>
        <v/>
      </c>
      <c r="Z1464" s="1761" t="str">
        <f>IF(N1461="","",IF(CNTR_ReportingYear&lt;N1460,M1463,IF($I1464=0,N1461,$I1464*(1+N1463))))</f>
        <v/>
      </c>
      <c r="AA1464" s="2"/>
      <c r="AB1464" s="2"/>
      <c r="AC1464" s="2"/>
      <c r="AD1464" s="2"/>
      <c r="AE1464" s="2"/>
      <c r="AF1464" s="2"/>
      <c r="AG1464" s="2"/>
      <c r="AH1464" s="2"/>
      <c r="AI1464" s="2"/>
      <c r="AJ1464" s="2"/>
      <c r="AK1464" s="2"/>
      <c r="AL1464" s="2"/>
    </row>
    <row r="1465" spans="1:38" ht="5.15" customHeight="1" x14ac:dyDescent="0.25">
      <c r="A1465" s="343"/>
      <c r="B1465" s="178"/>
      <c r="C1465" s="779"/>
      <c r="D1465" s="1246"/>
      <c r="E1465" s="1244"/>
      <c r="F1465" s="1244"/>
      <c r="G1465" s="1244"/>
      <c r="H1465" s="1244"/>
      <c r="I1465" s="1244"/>
      <c r="J1465" s="1236"/>
      <c r="K1465" s="1236"/>
      <c r="L1465" s="1236"/>
      <c r="M1465" s="1236"/>
      <c r="N1465" s="1247"/>
      <c r="O1465" s="15"/>
      <c r="P1465" s="15"/>
      <c r="Q1465" s="343"/>
      <c r="R1465" s="2"/>
      <c r="S1465" s="2"/>
      <c r="T1465" s="2"/>
      <c r="U1465" s="1086"/>
      <c r="V1465" s="343"/>
      <c r="W1465" s="2"/>
      <c r="X1465" s="2"/>
      <c r="Y1465" s="2"/>
      <c r="Z1465" s="228"/>
      <c r="AA1465" s="2"/>
      <c r="AB1465" s="2"/>
      <c r="AC1465" s="2"/>
      <c r="AD1465" s="2"/>
      <c r="AE1465" s="2"/>
      <c r="AF1465" s="2"/>
      <c r="AG1465" s="2"/>
      <c r="AH1465" s="2"/>
      <c r="AI1465" s="2"/>
      <c r="AJ1465" s="2"/>
      <c r="AK1465" s="2"/>
      <c r="AL1465" s="2"/>
    </row>
    <row r="1466" spans="1:38" ht="12.75" customHeight="1" x14ac:dyDescent="0.25">
      <c r="A1466" s="343"/>
      <c r="B1466" s="178"/>
      <c r="C1466" s="779"/>
      <c r="D1466" s="1246"/>
      <c r="E1466" s="2619" t="str">
        <f>Translations!$B$1475</f>
        <v>Faktisk justering (grund för följande år)</v>
      </c>
      <c r="F1466" s="2497"/>
      <c r="G1466" s="2497"/>
      <c r="H1466" s="2497"/>
      <c r="I1466" s="2616"/>
      <c r="J1466" s="1268">
        <f>J$3042</f>
        <v>2021</v>
      </c>
      <c r="K1466" s="1230">
        <f>K$3042</f>
        <v>2022</v>
      </c>
      <c r="L1466" s="1230">
        <f>L$3042</f>
        <v>2023</v>
      </c>
      <c r="M1466" s="1230">
        <f>M$3042</f>
        <v>2024</v>
      </c>
      <c r="N1466" s="1258">
        <f>N$3042</f>
        <v>2025</v>
      </c>
      <c r="O1466" s="15"/>
      <c r="P1466" s="15"/>
      <c r="Q1466" s="343"/>
      <c r="R1466" s="2"/>
      <c r="S1466" s="2"/>
      <c r="T1466" s="2"/>
      <c r="U1466" s="584"/>
      <c r="V1466" s="2"/>
      <c r="W1466" s="2"/>
      <c r="X1466" s="2"/>
      <c r="Y1466" s="2"/>
      <c r="Z1466" s="228"/>
      <c r="AA1466" s="2"/>
      <c r="AB1466" s="2"/>
      <c r="AC1466" s="2"/>
      <c r="AD1466" s="2"/>
      <c r="AE1466" s="2"/>
      <c r="AF1466" s="2"/>
      <c r="AG1466" s="2"/>
      <c r="AH1466" s="2"/>
      <c r="AI1466" s="2"/>
      <c r="AJ1466" s="2"/>
      <c r="AK1466" s="2"/>
      <c r="AL1466" s="2"/>
    </row>
    <row r="1467" spans="1:38" ht="12.75" customHeight="1" x14ac:dyDescent="0.25">
      <c r="A1467" s="343"/>
      <c r="B1467" s="178"/>
      <c r="C1467" s="779"/>
      <c r="D1467" s="1246" t="s">
        <v>10</v>
      </c>
      <c r="E1467" s="2618" t="str">
        <f>Translations!$B$1476</f>
        <v>&gt;= 100 utsläppsrätter kriterium uppnått?</v>
      </c>
      <c r="F1467" s="1997"/>
      <c r="G1467" s="1997"/>
      <c r="H1467" s="1997"/>
      <c r="I1467" s="2620"/>
      <c r="J1467" s="994" t="str">
        <f>IF($I1221="","",INDEX(K_Summary!J:J,MATCH($Q1467,K_Summary!$P:$P,0)))</f>
        <v/>
      </c>
      <c r="K1467" s="912" t="str">
        <f>IF($I1221="","",INDEX(K_Summary!K:K,MATCH($Q1467,K_Summary!$P:$P,0)))</f>
        <v/>
      </c>
      <c r="L1467" s="912" t="str">
        <f>IF($I1221="","",INDEX(K_Summary!L:L,MATCH($Q1467,K_Summary!$P:$P,0)))</f>
        <v/>
      </c>
      <c r="M1467" s="912" t="str">
        <f>IF($I1221="","",INDEX(K_Summary!M:M,MATCH($Q1467,K_Summary!$P:$P,0)))</f>
        <v/>
      </c>
      <c r="N1467" s="1221" t="str">
        <f>IF($I1221="","",INDEX(K_Summary!N:N,MATCH($Q1467,K_Summary!$P:$P,0)))</f>
        <v/>
      </c>
      <c r="O1467" s="15"/>
      <c r="P1467" s="15"/>
      <c r="Q1467" s="165" t="str">
        <f>EUconst_CNTR_100EUA_WGFlare&amp;I1221</f>
        <v>EUA100WGFlare_</v>
      </c>
      <c r="R1467" s="2"/>
      <c r="S1467" s="2"/>
      <c r="T1467" s="2"/>
      <c r="U1467" s="584"/>
      <c r="V1467" s="2"/>
      <c r="W1467" s="2"/>
      <c r="X1467" s="2"/>
      <c r="Y1467" s="2"/>
      <c r="Z1467" s="228"/>
      <c r="AA1467" s="2"/>
      <c r="AB1467" s="2"/>
      <c r="AC1467" s="2"/>
      <c r="AD1467" s="2"/>
      <c r="AE1467" s="2"/>
      <c r="AF1467" s="2"/>
      <c r="AG1467" s="2"/>
      <c r="AH1467" s="2"/>
      <c r="AI1467" s="2"/>
      <c r="AJ1467" s="2"/>
      <c r="AK1467" s="2"/>
      <c r="AL1467" s="2"/>
    </row>
    <row r="1468" spans="1:38" ht="5.15" customHeight="1" thickBot="1" x14ac:dyDescent="0.3">
      <c r="A1468" s="343"/>
      <c r="B1468" s="178"/>
      <c r="C1468" s="779"/>
      <c r="D1468" s="1246"/>
      <c r="E1468" s="1244"/>
      <c r="F1468" s="1244"/>
      <c r="G1468" s="1244"/>
      <c r="H1468" s="1244"/>
      <c r="I1468" s="1244"/>
      <c r="J1468" s="1244"/>
      <c r="K1468" s="1244"/>
      <c r="L1468" s="1244"/>
      <c r="M1468" s="1244"/>
      <c r="N1468" s="1248"/>
      <c r="O1468" s="15"/>
      <c r="P1468" s="15"/>
      <c r="Q1468" s="343"/>
      <c r="R1468" s="2"/>
      <c r="S1468" s="2"/>
      <c r="T1468" s="2"/>
      <c r="U1468" s="1086"/>
      <c r="V1468" s="343"/>
      <c r="W1468" s="2"/>
      <c r="X1468" s="2"/>
      <c r="Y1468" s="2"/>
      <c r="Z1468" s="228"/>
      <c r="AA1468" s="2"/>
      <c r="AB1468" s="2"/>
      <c r="AC1468" s="2"/>
      <c r="AD1468" s="2"/>
      <c r="AE1468" s="2"/>
      <c r="AF1468" s="2"/>
      <c r="AG1468" s="2"/>
      <c r="AH1468" s="2"/>
      <c r="AI1468" s="2"/>
      <c r="AJ1468" s="2"/>
      <c r="AK1468" s="2"/>
      <c r="AL1468" s="2"/>
    </row>
    <row r="1469" spans="1:38" ht="12.75" customHeight="1" thickBot="1" x14ac:dyDescent="0.3">
      <c r="A1469" s="2"/>
      <c r="B1469" s="178"/>
      <c r="C1469" s="779"/>
      <c r="D1469" s="1246" t="s">
        <v>23</v>
      </c>
      <c r="E1469" s="2618" t="str">
        <f>Translations!$B$1477</f>
        <v>Faktisk justering (om alla tröskelvärden överskrids)</v>
      </c>
      <c r="F1469" s="1997"/>
      <c r="G1469" s="1997"/>
      <c r="H1469" s="1997"/>
      <c r="I1469" s="2620"/>
      <c r="J1469" s="1099" t="str">
        <f>IF(J1467="","",IF(OR(J1467,V1461&lt;1),J1463,I1469))</f>
        <v/>
      </c>
      <c r="K1469" s="1100" t="str">
        <f>IF(K1467="","",IF(OR(K1467,W1461&lt;1),K1463,J1469))</f>
        <v/>
      </c>
      <c r="L1469" s="1100" t="str">
        <f>IF(L1467="","",IF(OR(L1467,X1461&lt;1),L1463,K1469))</f>
        <v/>
      </c>
      <c r="M1469" s="1100" t="str">
        <f>IF(M1467="","",IF(OR(M1467,Y1461&lt;1),M1463,L1469))</f>
        <v/>
      </c>
      <c r="N1469" s="1101" t="str">
        <f>IF(N1467="","",IF(OR(N1467,Z1461&lt;1),N1463,M1469))</f>
        <v/>
      </c>
      <c r="O1469" s="15"/>
      <c r="P1469" s="15"/>
      <c r="Q1469" s="343"/>
      <c r="R1469" s="2"/>
      <c r="S1469" s="2"/>
      <c r="T1469" s="2"/>
      <c r="U1469" s="1086" t="s">
        <v>1858</v>
      </c>
      <c r="V1469" s="1068">
        <f>J1466</f>
        <v>2021</v>
      </c>
      <c r="W1469" s="1068">
        <f>K1466</f>
        <v>2022</v>
      </c>
      <c r="X1469" s="1068">
        <f>L1466</f>
        <v>2023</v>
      </c>
      <c r="Y1469" s="1068">
        <f>M1466</f>
        <v>2024</v>
      </c>
      <c r="Z1469" s="1087">
        <f>N1466</f>
        <v>2025</v>
      </c>
      <c r="AA1469" s="2"/>
      <c r="AB1469" s="2"/>
      <c r="AC1469" s="2"/>
      <c r="AD1469" s="2"/>
      <c r="AE1469" s="2"/>
      <c r="AF1469" s="2"/>
      <c r="AG1469" s="2"/>
      <c r="AH1469" s="2"/>
      <c r="AI1469" s="2"/>
      <c r="AJ1469" s="2"/>
      <c r="AK1469" s="2"/>
      <c r="AL1469" s="2"/>
    </row>
    <row r="1470" spans="1:38" ht="12.75" customHeight="1" thickBot="1" x14ac:dyDescent="0.3">
      <c r="A1470" s="343"/>
      <c r="B1470" s="178"/>
      <c r="C1470" s="779"/>
      <c r="D1470" s="1246" t="s">
        <v>859</v>
      </c>
      <c r="E1470" s="2618" t="str">
        <f>Translations!$B$1478</f>
        <v>Faktiskt värde</v>
      </c>
      <c r="F1470" s="1997"/>
      <c r="G1470" s="1997"/>
      <c r="H1470" s="1232" t="str">
        <f>H1461</f>
        <v>t CO2</v>
      </c>
      <c r="I1470" s="990" t="str">
        <f>I1464</f>
        <v/>
      </c>
      <c r="J1470" s="1072" t="str">
        <f>IF($I1221="","",IF(OR($I1470=0,$I1470=EUconst_NA),IF(OR(J1467=TRUE,J1466=$V1221),J1464,SUM(I1470)),IF(J1469="",J1464,$I1470*(1+SUM(J1469)))))</f>
        <v/>
      </c>
      <c r="K1470" s="1073" t="str">
        <f>IF($I1221="","",IF(OR($I1470=0,$I1470=EUconst_NA),IF(OR(K1467=TRUE,K1466=$V1221),K1464,SUM(J1470)),IF(K1469="",K1464,$I1470*(1+SUM(K1469)))))</f>
        <v/>
      </c>
      <c r="L1470" s="1073" t="str">
        <f>IF($I1221="","",IF(OR($I1470=0,$I1470=EUconst_NA),IF(OR(L1467=TRUE,L1466=$V1221),L1464,SUM(K1470)),IF(L1469="",L1464,$I1470*(1+SUM(L1469)))))</f>
        <v/>
      </c>
      <c r="M1470" s="1073" t="str">
        <f>IF($I1221="","",IF(OR($I1470=0,$I1470=EUconst_NA),IF(OR(M1467=TRUE,M1466=$V1221),M1464,SUM(L1470)),IF(M1469="",M1464,$I1470*(1+SUM(M1469)))))</f>
        <v/>
      </c>
      <c r="N1470" s="1074" t="str">
        <f>IF($I1221="","",IF(OR($I1470=0,$I1470=EUconst_NA),IF(OR(N1467=TRUE,N1466=$V1221),N1464,SUM(M1470)),IF(N1469="",N1464,$I1470*(1+SUM(N1469)))))</f>
        <v/>
      </c>
      <c r="O1470" s="15"/>
      <c r="P1470" s="15"/>
      <c r="Q1470" s="165" t="str">
        <f>EUconst_CNTR_HALfinal&amp;EUconst_CNTR_WGFlared &amp; I1221</f>
        <v>HALfinal_WasteGasFlare_</v>
      </c>
      <c r="R1470" s="2"/>
      <c r="S1470" s="2"/>
      <c r="T1470" s="2"/>
      <c r="U1470" s="1765" t="b">
        <v>0</v>
      </c>
      <c r="V1470" s="1757" t="str">
        <f>IF(V1420,IF(J1467=TRUE,V1229,U1470),"")</f>
        <v/>
      </c>
      <c r="W1470" s="1757" t="str">
        <f>IF(W1420,IF(K1467=TRUE,W1229,V1470),"")</f>
        <v/>
      </c>
      <c r="X1470" s="1757" t="str">
        <f>IF(X1420,IF(L1467=TRUE,X1229,W1470),"")</f>
        <v/>
      </c>
      <c r="Y1470" s="1757" t="str">
        <f>IF(Y1420,IF(M1467=TRUE,Y1229,X1470),"")</f>
        <v/>
      </c>
      <c r="Z1470" s="1758" t="str">
        <f>IF(Z1420,IF(N1467=TRUE,Z1229,Y1470),"")</f>
        <v/>
      </c>
      <c r="AA1470" s="2"/>
      <c r="AB1470" s="2"/>
      <c r="AC1470" s="2"/>
      <c r="AD1470" s="2"/>
      <c r="AE1470" s="2"/>
      <c r="AF1470" s="2"/>
      <c r="AG1470" s="2"/>
      <c r="AH1470" s="2"/>
      <c r="AI1470" s="2"/>
      <c r="AJ1470" s="553" t="s">
        <v>2242</v>
      </c>
      <c r="AK1470" s="108" t="str">
        <f>IF(OR(ISERROR(J1470),ISERROR(K1470),ISERROR(L1470),ISERROR(M1470),ISERROR(N1470)),EUconst_Error &amp; "BM" &amp; Q1221,"")</f>
        <v/>
      </c>
      <c r="AL1470" s="2"/>
    </row>
    <row r="1471" spans="1:38" ht="5.15" customHeight="1" thickBot="1" x14ac:dyDescent="0.3">
      <c r="A1471" s="2"/>
      <c r="B1471" s="178"/>
      <c r="C1471" s="779"/>
      <c r="D1471" s="1269"/>
      <c r="E1471" s="1270"/>
      <c r="F1471" s="1270"/>
      <c r="G1471" s="1270"/>
      <c r="H1471" s="1271"/>
      <c r="I1471" s="1270"/>
      <c r="J1471" s="1270"/>
      <c r="K1471" s="1270"/>
      <c r="L1471" s="1270"/>
      <c r="M1471" s="1272"/>
      <c r="N1471" s="1273"/>
      <c r="O1471" s="15"/>
      <c r="P1471" s="15"/>
      <c r="Q1471" s="343"/>
      <c r="R1471" s="2"/>
      <c r="S1471" s="343"/>
      <c r="T1471" s="343"/>
      <c r="U1471" s="343"/>
      <c r="V1471" s="343"/>
      <c r="W1471" s="2"/>
      <c r="X1471" s="2"/>
      <c r="Y1471" s="2"/>
      <c r="Z1471" s="2"/>
      <c r="AA1471" s="2"/>
      <c r="AB1471" s="2"/>
      <c r="AC1471" s="2"/>
      <c r="AD1471" s="2"/>
      <c r="AE1471" s="2"/>
      <c r="AF1471" s="2"/>
      <c r="AG1471" s="2"/>
      <c r="AH1471" s="2"/>
      <c r="AI1471" s="2"/>
      <c r="AJ1471" s="2"/>
      <c r="AK1471" s="2"/>
      <c r="AL1471" s="2"/>
    </row>
    <row r="1472" spans="1:38" ht="5.15" customHeight="1" x14ac:dyDescent="0.25">
      <c r="A1472" s="2"/>
      <c r="B1472" s="178"/>
      <c r="C1472" s="779"/>
      <c r="D1472" s="780"/>
      <c r="E1472" s="780"/>
      <c r="F1472" s="780"/>
      <c r="G1472" s="780"/>
      <c r="H1472" s="1805"/>
      <c r="I1472" s="780"/>
      <c r="J1472" s="780"/>
      <c r="K1472" s="780"/>
      <c r="L1472" s="780"/>
      <c r="M1472" s="623"/>
      <c r="N1472" s="519"/>
      <c r="O1472" s="15"/>
      <c r="P1472" s="15"/>
      <c r="Q1472" s="343"/>
      <c r="R1472" s="2"/>
      <c r="S1472" s="343"/>
      <c r="T1472" s="343"/>
      <c r="U1472" s="343"/>
      <c r="V1472" s="343"/>
      <c r="W1472" s="2"/>
      <c r="X1472" s="2"/>
      <c r="Y1472" s="2"/>
      <c r="Z1472" s="2"/>
      <c r="AA1472" s="2"/>
      <c r="AB1472" s="2"/>
      <c r="AC1472" s="2"/>
      <c r="AD1472" s="2"/>
      <c r="AE1472" s="2"/>
      <c r="AF1472" s="2"/>
      <c r="AG1472" s="2"/>
      <c r="AH1472" s="2"/>
      <c r="AI1472" s="2"/>
      <c r="AJ1472" s="2"/>
      <c r="AK1472" s="2"/>
      <c r="AL1472" s="2"/>
    </row>
    <row r="1473" spans="1:38" ht="12.75" customHeight="1" x14ac:dyDescent="0.25">
      <c r="A1473" s="2"/>
      <c r="B1473" s="178"/>
      <c r="C1473" s="779"/>
      <c r="D1473" s="416" t="s">
        <v>1205</v>
      </c>
      <c r="E1473" s="2614" t="str">
        <f>Translations!$B$632</f>
        <v>Importerade restgastyper:</v>
      </c>
      <c r="F1473" s="1960"/>
      <c r="G1473" s="1960"/>
      <c r="H1473" s="2520"/>
      <c r="I1473" s="2621"/>
      <c r="J1473" s="2510"/>
      <c r="K1473" s="2510"/>
      <c r="L1473" s="2510"/>
      <c r="M1473" s="2511"/>
      <c r="N1473" s="519"/>
      <c r="O1473" s="15"/>
      <c r="P1473" s="1362"/>
      <c r="Q1473" s="343"/>
      <c r="R1473" s="2"/>
      <c r="S1473" s="343"/>
      <c r="T1473" s="2"/>
      <c r="U1473" s="2"/>
      <c r="V1473" s="2"/>
      <c r="W1473" s="2"/>
      <c r="X1473" s="2"/>
      <c r="Y1473" s="2"/>
      <c r="Z1473" s="2"/>
      <c r="AA1473" s="2"/>
      <c r="AB1473" s="2"/>
      <c r="AC1473" s="672" t="s">
        <v>782</v>
      </c>
      <c r="AD1473" s="108" t="b">
        <f>AD1447</f>
        <v>0</v>
      </c>
      <c r="AE1473" s="2"/>
      <c r="AF1473" s="2"/>
      <c r="AG1473" s="2"/>
      <c r="AH1473" s="2"/>
      <c r="AI1473" s="2"/>
      <c r="AJ1473" s="2"/>
      <c r="AK1473" s="2"/>
      <c r="AL1473" s="2"/>
    </row>
    <row r="1474" spans="1:38" ht="12.75" customHeight="1" x14ac:dyDescent="0.25">
      <c r="A1474" s="2"/>
      <c r="B1474" s="178"/>
      <c r="C1474" s="779"/>
      <c r="D1474" s="416"/>
      <c r="E1474" s="2596" t="str">
        <f>Translations!$B$633</f>
        <v>De uppgifter som anges här påverkar de utsläpp som kan tillskrivas i enlighet med avsnitt 10.1.5 i bilaga VII till FAR.</v>
      </c>
      <c r="F1474" s="1960"/>
      <c r="G1474" s="1960"/>
      <c r="H1474" s="1960"/>
      <c r="I1474" s="1960"/>
      <c r="J1474" s="1960"/>
      <c r="K1474" s="1960"/>
      <c r="L1474" s="1960"/>
      <c r="M1474" s="1960"/>
      <c r="N1474" s="2597"/>
      <c r="O1474" s="15"/>
      <c r="P1474" s="15"/>
      <c r="Q1474" s="343"/>
      <c r="R1474" s="2"/>
      <c r="S1474" s="343"/>
      <c r="T1474" s="343"/>
      <c r="U1474" s="343"/>
      <c r="V1474" s="343"/>
      <c r="W1474" s="2"/>
      <c r="X1474" s="2"/>
      <c r="Y1474" s="2"/>
      <c r="Z1474" s="2"/>
      <c r="AA1474" s="2"/>
      <c r="AB1474" s="2"/>
      <c r="AC1474" s="2"/>
      <c r="AD1474" s="2"/>
      <c r="AE1474" s="2"/>
      <c r="AF1474" s="2"/>
      <c r="AG1474" s="2"/>
      <c r="AH1474" s="2"/>
      <c r="AI1474" s="2"/>
      <c r="AJ1474" s="2"/>
      <c r="AK1474" s="2"/>
      <c r="AL1474" s="2"/>
    </row>
    <row r="1475" spans="1:38" ht="25.5" customHeight="1" x14ac:dyDescent="0.25">
      <c r="A1475" s="2"/>
      <c r="B1475" s="178"/>
      <c r="C1475" s="779"/>
      <c r="D1475" s="416"/>
      <c r="E1475" s="2610" t="str">
        <f>Translations!$B$634</f>
        <v>Detta innefattar alla restgastyper som produceras utanför delanläggningens systemgränser men som importeras till delanläggningen och används för produktion av mätbar värme, icke-mätbar värme (inklusive för säkerhetsfackling) eller mekanisk energi (annat än för elproduktion).</v>
      </c>
      <c r="F1475" s="1960"/>
      <c r="G1475" s="1960"/>
      <c r="H1475" s="1960"/>
      <c r="I1475" s="1960"/>
      <c r="J1475" s="1960"/>
      <c r="K1475" s="1960"/>
      <c r="L1475" s="1960"/>
      <c r="M1475" s="1960"/>
      <c r="N1475" s="2597"/>
      <c r="O1475" s="15"/>
      <c r="P1475" s="15"/>
      <c r="Q1475" s="343"/>
      <c r="R1475" s="2"/>
      <c r="S1475" s="343"/>
      <c r="T1475" s="343"/>
      <c r="U1475" s="343"/>
      <c r="V1475" s="343"/>
      <c r="W1475" s="2"/>
      <c r="X1475" s="2"/>
      <c r="Y1475" s="2"/>
      <c r="Z1475" s="2"/>
      <c r="AA1475" s="2"/>
      <c r="AB1475" s="2"/>
      <c r="AC1475" s="2"/>
      <c r="AD1475" s="2"/>
      <c r="AE1475" s="2"/>
      <c r="AF1475" s="2"/>
      <c r="AG1475" s="2"/>
      <c r="AH1475" s="2"/>
      <c r="AI1475" s="2"/>
      <c r="AJ1475" s="2"/>
      <c r="AK1475" s="2"/>
      <c r="AL1475" s="2"/>
    </row>
    <row r="1476" spans="1:38" ht="12.75" customHeight="1" thickBot="1" x14ac:dyDescent="0.3">
      <c r="A1476" s="2"/>
      <c r="B1476" s="178"/>
      <c r="C1476" s="779"/>
      <c r="D1476" s="780"/>
      <c r="E1476" s="1716"/>
      <c r="F1476" s="1717"/>
      <c r="G1476" s="361" t="str">
        <f>EUconst_Unit</f>
        <v>Enhet</v>
      </c>
      <c r="H1476" s="362">
        <f t="shared" ref="H1476:N1476" si="660">H$3042</f>
        <v>2019</v>
      </c>
      <c r="I1476" s="1103">
        <f t="shared" si="660"/>
        <v>2020</v>
      </c>
      <c r="J1476" s="1104">
        <f t="shared" si="660"/>
        <v>2021</v>
      </c>
      <c r="K1476" s="362">
        <f t="shared" si="660"/>
        <v>2022</v>
      </c>
      <c r="L1476" s="362">
        <f t="shared" si="660"/>
        <v>2023</v>
      </c>
      <c r="M1476" s="362">
        <f t="shared" si="660"/>
        <v>2024</v>
      </c>
      <c r="N1476" s="1141">
        <f t="shared" si="660"/>
        <v>2025</v>
      </c>
      <c r="O1476" s="15"/>
      <c r="P1476" s="15"/>
      <c r="Q1476" s="343"/>
      <c r="R1476" s="2"/>
      <c r="S1476" s="343"/>
      <c r="T1476" s="343"/>
      <c r="U1476" s="343"/>
      <c r="V1476" s="343"/>
      <c r="W1476" s="2"/>
      <c r="X1476" s="2"/>
      <c r="Y1476" s="2"/>
      <c r="Z1476" s="2"/>
      <c r="AA1476" s="2"/>
      <c r="AB1476" s="2"/>
      <c r="AC1476" s="1044">
        <f t="shared" ref="AC1476:AI1476" si="661">H$20</f>
        <v>2019</v>
      </c>
      <c r="AD1476" s="1044">
        <f t="shared" si="661"/>
        <v>2020</v>
      </c>
      <c r="AE1476" s="1044">
        <f t="shared" si="661"/>
        <v>2021</v>
      </c>
      <c r="AF1476" s="1044">
        <f t="shared" si="661"/>
        <v>2022</v>
      </c>
      <c r="AG1476" s="1044">
        <f t="shared" si="661"/>
        <v>2023</v>
      </c>
      <c r="AH1476" s="1044">
        <f t="shared" si="661"/>
        <v>2024</v>
      </c>
      <c r="AI1476" s="1044">
        <f t="shared" si="661"/>
        <v>2025</v>
      </c>
      <c r="AJ1476" s="2"/>
      <c r="AK1476" s="2"/>
      <c r="AL1476" s="2"/>
    </row>
    <row r="1477" spans="1:38" ht="12.75" customHeight="1" thickBot="1" x14ac:dyDescent="0.3">
      <c r="A1477" s="2"/>
      <c r="B1477" s="178"/>
      <c r="C1477" s="779"/>
      <c r="D1477" s="416" t="s">
        <v>1206</v>
      </c>
      <c r="E1477" s="2611" t="str">
        <f>Translations!$B$635</f>
        <v>Importerade mängder</v>
      </c>
      <c r="F1477" s="2484"/>
      <c r="G1477" s="1314"/>
      <c r="H1477" s="1298"/>
      <c r="I1477" s="1299"/>
      <c r="J1477" s="1300"/>
      <c r="K1477" s="1298"/>
      <c r="L1477" s="1298"/>
      <c r="M1477" s="1298"/>
      <c r="N1477" s="1301"/>
      <c r="O1477" s="15"/>
      <c r="P1477" s="1362"/>
      <c r="Q1477" s="343"/>
      <c r="R1477" s="2"/>
      <c r="S1477" s="343"/>
      <c r="T1477" s="343"/>
      <c r="U1477" s="343"/>
      <c r="V1477" s="343"/>
      <c r="W1477" s="2"/>
      <c r="X1477" s="2"/>
      <c r="Y1477" s="2"/>
      <c r="Z1477" s="2"/>
      <c r="AA1477" s="2"/>
      <c r="AB1477" s="672" t="s">
        <v>782</v>
      </c>
      <c r="AC1477" s="108" t="b">
        <f t="shared" ref="AC1477:AI1477" si="662">AC1433</f>
        <v>0</v>
      </c>
      <c r="AD1477" s="108" t="b">
        <f t="shared" si="662"/>
        <v>0</v>
      </c>
      <c r="AE1477" s="108" t="b">
        <f t="shared" si="662"/>
        <v>0</v>
      </c>
      <c r="AF1477" s="108" t="b">
        <f t="shared" si="662"/>
        <v>0</v>
      </c>
      <c r="AG1477" s="108" t="b">
        <f t="shared" si="662"/>
        <v>0</v>
      </c>
      <c r="AH1477" s="108" t="b">
        <f t="shared" si="662"/>
        <v>0</v>
      </c>
      <c r="AI1477" s="108" t="b">
        <f t="shared" si="662"/>
        <v>0</v>
      </c>
      <c r="AJ1477" s="553" t="s">
        <v>2248</v>
      </c>
      <c r="AK1477" s="663" t="str">
        <f>IF(AND(CNTR_ExistSubInstEntries,MSconst_RequireSubAttrEmissions,COUNTIFS(AC1477:AI1477,FALSE,H1477:N1477,"")&gt;0),EUconst_Error&amp;"BM"&amp;$Q1221,"")</f>
        <v/>
      </c>
      <c r="AL1477" s="2"/>
    </row>
    <row r="1478" spans="1:38" ht="12.75" customHeight="1" x14ac:dyDescent="0.25">
      <c r="A1478" s="2"/>
      <c r="B1478" s="178"/>
      <c r="C1478" s="779"/>
      <c r="D1478" s="416" t="s">
        <v>1207</v>
      </c>
      <c r="E1478" s="2612" t="str">
        <f>Translations!$B$318</f>
        <v>Effektivt värmevärde</v>
      </c>
      <c r="F1478" s="2487"/>
      <c r="G1478" s="51" t="str">
        <f>IF(ISBLANK(G1477),EUconst_GJperUnit,INDEX(EUconst_GJperTorKNm3,MATCH(G1477,EUconst_TonnesOrkNm3pa,0)))</f>
        <v>GJ / Enhet</v>
      </c>
      <c r="H1478" s="1306"/>
      <c r="I1478" s="1307"/>
      <c r="J1478" s="1308"/>
      <c r="K1478" s="1306"/>
      <c r="L1478" s="1306"/>
      <c r="M1478" s="1306"/>
      <c r="N1478" s="1309"/>
      <c r="O1478" s="15"/>
      <c r="P1478" s="1362"/>
      <c r="Q1478" s="343"/>
      <c r="R1478" s="2"/>
      <c r="S1478" s="772"/>
      <c r="T1478" s="609">
        <f t="shared" ref="T1478:Z1478" si="663">H1476</f>
        <v>2019</v>
      </c>
      <c r="U1478" s="609">
        <f t="shared" si="663"/>
        <v>2020</v>
      </c>
      <c r="V1478" s="609">
        <f t="shared" si="663"/>
        <v>2021</v>
      </c>
      <c r="W1478" s="609">
        <f t="shared" si="663"/>
        <v>2022</v>
      </c>
      <c r="X1478" s="609">
        <f t="shared" si="663"/>
        <v>2023</v>
      </c>
      <c r="Y1478" s="609">
        <f t="shared" si="663"/>
        <v>2024</v>
      </c>
      <c r="Z1478" s="610">
        <f t="shared" si="663"/>
        <v>2025</v>
      </c>
      <c r="AA1478" s="2"/>
      <c r="AB1478" s="2"/>
      <c r="AC1478" s="108" t="b">
        <f>AC1477</f>
        <v>0</v>
      </c>
      <c r="AD1478" s="108" t="b">
        <f t="shared" ref="AD1478:AI1478" si="664">AD1477</f>
        <v>0</v>
      </c>
      <c r="AE1478" s="108" t="b">
        <f t="shared" si="664"/>
        <v>0</v>
      </c>
      <c r="AF1478" s="108" t="b">
        <f t="shared" si="664"/>
        <v>0</v>
      </c>
      <c r="AG1478" s="108" t="b">
        <f t="shared" si="664"/>
        <v>0</v>
      </c>
      <c r="AH1478" s="108" t="b">
        <f t="shared" si="664"/>
        <v>0</v>
      </c>
      <c r="AI1478" s="108" t="b">
        <f t="shared" si="664"/>
        <v>0</v>
      </c>
      <c r="AJ1478" s="553" t="s">
        <v>2248</v>
      </c>
      <c r="AK1478" s="663" t="str">
        <f>IF(AND(CNTR_ExistSubInstEntries,MSconst_RequireSubAttrEmissions,COUNTIFS(AC1478:AI1478,FALSE,H1478:N1478,"")&gt;0),EUconst_Error&amp;"BM"&amp;$Q1221,"")</f>
        <v/>
      </c>
      <c r="AL1478" s="2"/>
    </row>
    <row r="1479" spans="1:38" ht="12.75" customHeight="1" x14ac:dyDescent="0.25">
      <c r="A1479" s="2"/>
      <c r="B1479" s="178"/>
      <c r="C1479" s="779"/>
      <c r="D1479" s="416" t="s">
        <v>1208</v>
      </c>
      <c r="E1479" s="2613" t="str">
        <f>Translations!$B$636</f>
        <v>Importerad restgas</v>
      </c>
      <c r="F1479" s="1997"/>
      <c r="G1479" s="364" t="str">
        <f>EUconst_TJpa</f>
        <v>TJ / år</v>
      </c>
      <c r="H1479" s="351" t="str">
        <f t="shared" ref="H1479:N1479" si="665">IF(COUNT(H1477:H1478)=2,H1477*H1478/1000,"")</f>
        <v/>
      </c>
      <c r="I1479" s="1107" t="str">
        <f t="shared" si="665"/>
        <v/>
      </c>
      <c r="J1479" s="1113" t="str">
        <f t="shared" si="665"/>
        <v/>
      </c>
      <c r="K1479" s="351" t="str">
        <f t="shared" si="665"/>
        <v/>
      </c>
      <c r="L1479" s="351" t="str">
        <f t="shared" si="665"/>
        <v/>
      </c>
      <c r="M1479" s="351" t="str">
        <f t="shared" si="665"/>
        <v/>
      </c>
      <c r="N1479" s="1148" t="str">
        <f t="shared" si="665"/>
        <v/>
      </c>
      <c r="O1479" s="15"/>
      <c r="P1479" s="15"/>
      <c r="Q1479" s="165" t="str">
        <f>EUconst_CNTR_WGImport &amp; I1221</f>
        <v>WasteGasIm_</v>
      </c>
      <c r="R1479" s="2"/>
      <c r="S1479" s="1751" t="str">
        <f>EUconst_ERR_AttrEmBMapplied &amp; I1221</f>
        <v>ERR_AttrEmBM_</v>
      </c>
      <c r="T1479" s="108">
        <f t="shared" ref="T1479:Z1479" si="666">IF(AND(H1479&lt;&gt;"",EUconst_StatusOfDataCollection=FALSE),1,0)</f>
        <v>0</v>
      </c>
      <c r="U1479" s="108">
        <f t="shared" si="666"/>
        <v>0</v>
      </c>
      <c r="V1479" s="108">
        <f t="shared" si="666"/>
        <v>0</v>
      </c>
      <c r="W1479" s="108">
        <f t="shared" si="666"/>
        <v>0</v>
      </c>
      <c r="X1479" s="108">
        <f t="shared" si="666"/>
        <v>0</v>
      </c>
      <c r="Y1479" s="108">
        <f t="shared" si="666"/>
        <v>0</v>
      </c>
      <c r="Z1479" s="109">
        <f t="shared" si="666"/>
        <v>0</v>
      </c>
      <c r="AA1479" s="2"/>
      <c r="AB1479" s="2"/>
      <c r="AC1479" s="2"/>
      <c r="AD1479" s="2"/>
      <c r="AE1479" s="2"/>
      <c r="AF1479" s="2"/>
      <c r="AG1479" s="2"/>
      <c r="AH1479" s="2"/>
      <c r="AI1479" s="2"/>
      <c r="AJ1479" s="2"/>
      <c r="AK1479" s="2"/>
      <c r="AL1479" s="2"/>
    </row>
    <row r="1480" spans="1:38" s="534" customFormat="1" ht="12.75" customHeight="1" thickBot="1" x14ac:dyDescent="0.3">
      <c r="A1480" s="343"/>
      <c r="B1480" s="178"/>
      <c r="C1480" s="779"/>
      <c r="D1480" s="416" t="s">
        <v>1209</v>
      </c>
      <c r="E1480" s="2613" t="str">
        <f>Translations!$B$637</f>
        <v>Särskild emissionsfaktor (importerad restgas)</v>
      </c>
      <c r="F1480" s="1997"/>
      <c r="G1480" s="363" t="str">
        <f>EUconst_tCO2pTJ</f>
        <v>t CO2 / TJ</v>
      </c>
      <c r="H1480" s="1315"/>
      <c r="I1480" s="1316"/>
      <c r="J1480" s="1317"/>
      <c r="K1480" s="1315"/>
      <c r="L1480" s="1315"/>
      <c r="M1480" s="1315"/>
      <c r="N1480" s="1318"/>
      <c r="O1480" s="15"/>
      <c r="P1480" s="1362"/>
      <c r="Q1480" s="165" t="str">
        <f>EUconst_CNTR_WGImportEF &amp; I1221</f>
        <v>WasteGasImEF_</v>
      </c>
      <c r="R1480" s="343"/>
      <c r="S1480" s="773" t="str">
        <f>EUconst_CNTR_AttributedEmissions &amp; I1221</f>
        <v>AttrEmissions_</v>
      </c>
      <c r="T1480" s="111" t="str">
        <f t="shared" ref="T1480:Z1480" si="667">IF(T1229,SUM(H1479)*EUconst_FuelBMvalue,"")</f>
        <v/>
      </c>
      <c r="U1480" s="111" t="str">
        <f t="shared" si="667"/>
        <v/>
      </c>
      <c r="V1480" s="111" t="str">
        <f t="shared" si="667"/>
        <v/>
      </c>
      <c r="W1480" s="111" t="str">
        <f t="shared" si="667"/>
        <v/>
      </c>
      <c r="X1480" s="111" t="str">
        <f t="shared" si="667"/>
        <v/>
      </c>
      <c r="Y1480" s="111" t="str">
        <f t="shared" si="667"/>
        <v/>
      </c>
      <c r="Z1480" s="112" t="str">
        <f t="shared" si="667"/>
        <v/>
      </c>
      <c r="AA1480" s="343"/>
      <c r="AB1480" s="672" t="s">
        <v>782</v>
      </c>
      <c r="AC1480" s="108" t="b">
        <f>AC1478</f>
        <v>0</v>
      </c>
      <c r="AD1480" s="108" t="b">
        <f t="shared" ref="AD1480:AI1480" si="668">AD1478</f>
        <v>0</v>
      </c>
      <c r="AE1480" s="108" t="b">
        <f t="shared" si="668"/>
        <v>0</v>
      </c>
      <c r="AF1480" s="108" t="b">
        <f t="shared" si="668"/>
        <v>0</v>
      </c>
      <c r="AG1480" s="108" t="b">
        <f t="shared" si="668"/>
        <v>0</v>
      </c>
      <c r="AH1480" s="108" t="b">
        <f t="shared" si="668"/>
        <v>0</v>
      </c>
      <c r="AI1480" s="108" t="b">
        <f t="shared" si="668"/>
        <v>0</v>
      </c>
      <c r="AJ1480" s="553" t="s">
        <v>2248</v>
      </c>
      <c r="AK1480" s="663" t="str">
        <f>IF(AND(CNTR_ExistSubInstEntries,MSconst_RequireSubAttrEmissions,COUNTIFS(AC1480:AI1480,FALSE,H1480:N1480,"")&gt;0),EUconst_Error&amp;"BM"&amp;$Q1221,"")</f>
        <v/>
      </c>
      <c r="AL1480" s="2"/>
    </row>
    <row r="1481" spans="1:38" ht="12.75" customHeight="1" x14ac:dyDescent="0.25">
      <c r="A1481" s="2"/>
      <c r="B1481" s="178"/>
      <c r="C1481" s="779"/>
      <c r="D1481" s="780"/>
      <c r="E1481" s="780"/>
      <c r="F1481" s="780"/>
      <c r="G1481" s="780"/>
      <c r="H1481" s="1805"/>
      <c r="I1481" s="780"/>
      <c r="J1481" s="780"/>
      <c r="K1481" s="780"/>
      <c r="L1481" s="780"/>
      <c r="M1481" s="623"/>
      <c r="N1481" s="519"/>
      <c r="O1481" s="15"/>
      <c r="P1481" s="15"/>
      <c r="Q1481" s="343"/>
      <c r="R1481" s="2"/>
      <c r="S1481" s="343"/>
      <c r="T1481" s="343"/>
      <c r="U1481" s="343"/>
      <c r="V1481" s="343"/>
      <c r="W1481" s="2"/>
      <c r="X1481" s="2"/>
      <c r="Y1481" s="2"/>
      <c r="Z1481" s="2"/>
      <c r="AA1481" s="2"/>
      <c r="AB1481" s="2"/>
      <c r="AC1481" s="2"/>
      <c r="AD1481" s="2"/>
      <c r="AE1481" s="2"/>
      <c r="AF1481" s="2"/>
      <c r="AG1481" s="2"/>
      <c r="AH1481" s="2"/>
      <c r="AI1481" s="2"/>
      <c r="AJ1481" s="2"/>
      <c r="AK1481" s="2"/>
      <c r="AL1481" s="2"/>
    </row>
    <row r="1482" spans="1:38" ht="12.75" customHeight="1" x14ac:dyDescent="0.25">
      <c r="A1482" s="2"/>
      <c r="B1482" s="178"/>
      <c r="C1482" s="779"/>
      <c r="D1482" s="416" t="s">
        <v>1210</v>
      </c>
      <c r="E1482" s="2614" t="str">
        <f>Translations!$B$638</f>
        <v>Exporterade restgastyper:</v>
      </c>
      <c r="F1482" s="1960"/>
      <c r="G1482" s="1960"/>
      <c r="H1482" s="2520"/>
      <c r="I1482" s="2621"/>
      <c r="J1482" s="2510"/>
      <c r="K1482" s="2510"/>
      <c r="L1482" s="2510"/>
      <c r="M1482" s="2511"/>
      <c r="N1482" s="1807"/>
      <c r="O1482" s="15"/>
      <c r="P1482" s="1362"/>
      <c r="Q1482" s="343"/>
      <c r="R1482" s="2"/>
      <c r="S1482" s="343"/>
      <c r="T1482" s="2"/>
      <c r="U1482" s="2"/>
      <c r="V1482" s="2"/>
      <c r="W1482" s="2"/>
      <c r="X1482" s="2"/>
      <c r="Y1482" s="2"/>
      <c r="Z1482" s="2"/>
      <c r="AA1482" s="2"/>
      <c r="AB1482" s="2"/>
      <c r="AC1482" s="672" t="s">
        <v>782</v>
      </c>
      <c r="AD1482" s="108" t="b">
        <f>AD1473</f>
        <v>0</v>
      </c>
      <c r="AE1482" s="2"/>
      <c r="AF1482" s="2"/>
      <c r="AG1482" s="2"/>
      <c r="AH1482" s="2"/>
      <c r="AI1482" s="2"/>
      <c r="AJ1482" s="2"/>
      <c r="AK1482" s="2"/>
      <c r="AL1482" s="2"/>
    </row>
    <row r="1483" spans="1:38" ht="12.75" customHeight="1" x14ac:dyDescent="0.25">
      <c r="A1483" s="2"/>
      <c r="B1483" s="178"/>
      <c r="C1483" s="779"/>
      <c r="D1483" s="416"/>
      <c r="E1483" s="2596" t="str">
        <f>Translations!$B$633</f>
        <v>De uppgifter som anges här påverkar de utsläpp som kan tillskrivas i enlighet med avsnitt 10.1.5 i bilaga VII till FAR.</v>
      </c>
      <c r="F1483" s="1960"/>
      <c r="G1483" s="1960"/>
      <c r="H1483" s="1960"/>
      <c r="I1483" s="1960"/>
      <c r="J1483" s="1960"/>
      <c r="K1483" s="1960"/>
      <c r="L1483" s="1960"/>
      <c r="M1483" s="1960"/>
      <c r="N1483" s="2597"/>
      <c r="O1483" s="15"/>
      <c r="P1483" s="15"/>
      <c r="Q1483" s="343"/>
      <c r="R1483" s="2"/>
      <c r="S1483" s="343"/>
      <c r="T1483" s="343"/>
      <c r="U1483" s="343"/>
      <c r="V1483" s="343"/>
      <c r="W1483" s="2"/>
      <c r="X1483" s="2"/>
      <c r="Y1483" s="2"/>
      <c r="Z1483" s="2"/>
      <c r="AA1483" s="2"/>
      <c r="AB1483" s="2"/>
      <c r="AC1483" s="2"/>
      <c r="AD1483" s="2"/>
      <c r="AE1483" s="2"/>
      <c r="AF1483" s="2"/>
      <c r="AG1483" s="2"/>
      <c r="AH1483" s="2"/>
      <c r="AI1483" s="2"/>
      <c r="AJ1483" s="2"/>
      <c r="AK1483" s="2"/>
      <c r="AL1483" s="2"/>
    </row>
    <row r="1484" spans="1:38" ht="25.5" customHeight="1" x14ac:dyDescent="0.25">
      <c r="A1484" s="2"/>
      <c r="B1484" s="178"/>
      <c r="C1484" s="779"/>
      <c r="D1484" s="416"/>
      <c r="E1484" s="2610" t="str">
        <f>Translations!$B$639</f>
        <v>Detta innefattar alla restgastyper som produceras inom delanläggningens systemgränser och som exporteras från delanläggningen till en annan delanläggning samt till eventuella andra anläggningar eller enheter.</v>
      </c>
      <c r="F1484" s="1960"/>
      <c r="G1484" s="1960"/>
      <c r="H1484" s="1960"/>
      <c r="I1484" s="1960"/>
      <c r="J1484" s="1960"/>
      <c r="K1484" s="1960"/>
      <c r="L1484" s="1960"/>
      <c r="M1484" s="1960"/>
      <c r="N1484" s="2597"/>
      <c r="O1484" s="15"/>
      <c r="P1484" s="15"/>
      <c r="Q1484" s="343"/>
      <c r="R1484" s="2"/>
      <c r="S1484" s="343"/>
      <c r="T1484" s="343"/>
      <c r="U1484" s="343"/>
      <c r="V1484" s="343"/>
      <c r="W1484" s="2"/>
      <c r="X1484" s="2"/>
      <c r="Y1484" s="2"/>
      <c r="Z1484" s="2"/>
      <c r="AA1484" s="2"/>
      <c r="AB1484" s="2"/>
      <c r="AC1484" s="2"/>
      <c r="AD1484" s="2"/>
      <c r="AE1484" s="2"/>
      <c r="AF1484" s="2"/>
      <c r="AG1484" s="2"/>
      <c r="AH1484" s="2"/>
      <c r="AI1484" s="2"/>
      <c r="AJ1484" s="2"/>
      <c r="AK1484" s="2"/>
      <c r="AL1484" s="2"/>
    </row>
    <row r="1485" spans="1:38" ht="12.75" customHeight="1" thickBot="1" x14ac:dyDescent="0.3">
      <c r="A1485" s="2"/>
      <c r="B1485" s="178"/>
      <c r="C1485" s="779"/>
      <c r="D1485" s="780"/>
      <c r="E1485" s="1716"/>
      <c r="F1485" s="1717"/>
      <c r="G1485" s="361" t="str">
        <f>EUconst_Unit</f>
        <v>Enhet</v>
      </c>
      <c r="H1485" s="362">
        <f t="shared" ref="H1485:N1485" si="669">H$3042</f>
        <v>2019</v>
      </c>
      <c r="I1485" s="1103">
        <f t="shared" si="669"/>
        <v>2020</v>
      </c>
      <c r="J1485" s="1104">
        <f t="shared" si="669"/>
        <v>2021</v>
      </c>
      <c r="K1485" s="362">
        <f t="shared" si="669"/>
        <v>2022</v>
      </c>
      <c r="L1485" s="362">
        <f t="shared" si="669"/>
        <v>2023</v>
      </c>
      <c r="M1485" s="362">
        <f t="shared" si="669"/>
        <v>2024</v>
      </c>
      <c r="N1485" s="1141">
        <f t="shared" si="669"/>
        <v>2025</v>
      </c>
      <c r="O1485" s="15"/>
      <c r="P1485" s="15"/>
      <c r="Q1485" s="343"/>
      <c r="R1485" s="2"/>
      <c r="S1485" s="343"/>
      <c r="T1485" s="343"/>
      <c r="U1485" s="343"/>
      <c r="V1485" s="343"/>
      <c r="W1485" s="2"/>
      <c r="X1485" s="2"/>
      <c r="Y1485" s="2"/>
      <c r="Z1485" s="2"/>
      <c r="AA1485" s="2"/>
      <c r="AB1485" s="2"/>
      <c r="AC1485" s="1044">
        <f t="shared" ref="AC1485:AI1485" si="670">H$20</f>
        <v>2019</v>
      </c>
      <c r="AD1485" s="1044">
        <f t="shared" si="670"/>
        <v>2020</v>
      </c>
      <c r="AE1485" s="1044">
        <f t="shared" si="670"/>
        <v>2021</v>
      </c>
      <c r="AF1485" s="1044">
        <f t="shared" si="670"/>
        <v>2022</v>
      </c>
      <c r="AG1485" s="1044">
        <f t="shared" si="670"/>
        <v>2023</v>
      </c>
      <c r="AH1485" s="1044">
        <f t="shared" si="670"/>
        <v>2024</v>
      </c>
      <c r="AI1485" s="1044">
        <f t="shared" si="670"/>
        <v>2025</v>
      </c>
      <c r="AJ1485" s="2"/>
      <c r="AK1485" s="2"/>
      <c r="AL1485" s="2"/>
    </row>
    <row r="1486" spans="1:38" ht="12.75" customHeight="1" x14ac:dyDescent="0.25">
      <c r="A1486" s="2"/>
      <c r="B1486" s="178"/>
      <c r="C1486" s="779"/>
      <c r="D1486" s="416" t="s">
        <v>1211</v>
      </c>
      <c r="E1486" s="2611" t="str">
        <f>Translations!$B$640</f>
        <v>Exporterade mängder</v>
      </c>
      <c r="F1486" s="2484"/>
      <c r="G1486" s="1314"/>
      <c r="H1486" s="1298"/>
      <c r="I1486" s="1299"/>
      <c r="J1486" s="1300"/>
      <c r="K1486" s="1298"/>
      <c r="L1486" s="1298"/>
      <c r="M1486" s="1298"/>
      <c r="N1486" s="1301"/>
      <c r="O1486" s="15"/>
      <c r="P1486" s="1362"/>
      <c r="Q1486" s="343"/>
      <c r="R1486" s="2"/>
      <c r="S1486" s="343"/>
      <c r="T1486" s="343"/>
      <c r="U1486" s="343"/>
      <c r="V1486" s="343"/>
      <c r="W1486" s="2"/>
      <c r="X1486" s="2"/>
      <c r="Y1486" s="2"/>
      <c r="Z1486" s="2"/>
      <c r="AA1486" s="2"/>
      <c r="AB1486" s="672" t="s">
        <v>782</v>
      </c>
      <c r="AC1486" s="108" t="b">
        <f>AC1433</f>
        <v>0</v>
      </c>
      <c r="AD1486" s="108" t="b">
        <f t="shared" ref="AD1486:AI1486" si="671">AD1433</f>
        <v>0</v>
      </c>
      <c r="AE1486" s="108" t="b">
        <f t="shared" si="671"/>
        <v>0</v>
      </c>
      <c r="AF1486" s="108" t="b">
        <f t="shared" si="671"/>
        <v>0</v>
      </c>
      <c r="AG1486" s="108" t="b">
        <f t="shared" si="671"/>
        <v>0</v>
      </c>
      <c r="AH1486" s="108" t="b">
        <f t="shared" si="671"/>
        <v>0</v>
      </c>
      <c r="AI1486" s="108" t="b">
        <f t="shared" si="671"/>
        <v>0</v>
      </c>
      <c r="AJ1486" s="553" t="s">
        <v>2248</v>
      </c>
      <c r="AK1486" s="663" t="str">
        <f>IF(AND(CNTR_ExistSubInstEntries,MSconst_RequireSubAttrEmissions,COUNTIFS(AC1486:AI1486,FALSE,H1486:N1486,"")&gt;0),EUconst_Error&amp;"BM"&amp;$Q1221,"")</f>
        <v/>
      </c>
      <c r="AL1486" s="2"/>
    </row>
    <row r="1487" spans="1:38" ht="12.75" customHeight="1" thickBot="1" x14ac:dyDescent="0.3">
      <c r="A1487" s="2"/>
      <c r="B1487" s="178"/>
      <c r="C1487" s="779"/>
      <c r="D1487" s="416" t="s">
        <v>1733</v>
      </c>
      <c r="E1487" s="2612" t="str">
        <f>Translations!$B$318</f>
        <v>Effektivt värmevärde</v>
      </c>
      <c r="F1487" s="2487"/>
      <c r="G1487" s="51" t="str">
        <f>IF(ISBLANK(G1486),EUconst_GJperUnit,INDEX(EUconst_GJperTorKNm3,MATCH(G1486,EUconst_TonnesOrkNm3pa,0)))</f>
        <v>GJ / Enhet</v>
      </c>
      <c r="H1487" s="1306"/>
      <c r="I1487" s="1307"/>
      <c r="J1487" s="1308"/>
      <c r="K1487" s="1306"/>
      <c r="L1487" s="1306"/>
      <c r="M1487" s="1306"/>
      <c r="N1487" s="1309"/>
      <c r="O1487" s="15"/>
      <c r="P1487" s="1362"/>
      <c r="Q1487" s="343"/>
      <c r="R1487" s="2"/>
      <c r="S1487" s="343"/>
      <c r="T1487" s="343"/>
      <c r="U1487" s="343"/>
      <c r="V1487" s="343"/>
      <c r="W1487" s="2"/>
      <c r="X1487" s="2"/>
      <c r="Y1487" s="2"/>
      <c r="Z1487" s="2"/>
      <c r="AA1487" s="2"/>
      <c r="AB1487" s="2"/>
      <c r="AC1487" s="108" t="b">
        <f>AC1486</f>
        <v>0</v>
      </c>
      <c r="AD1487" s="108" t="b">
        <f t="shared" ref="AD1487:AI1487" si="672">AD1486</f>
        <v>0</v>
      </c>
      <c r="AE1487" s="108" t="b">
        <f t="shared" si="672"/>
        <v>0</v>
      </c>
      <c r="AF1487" s="108" t="b">
        <f t="shared" si="672"/>
        <v>0</v>
      </c>
      <c r="AG1487" s="108" t="b">
        <f t="shared" si="672"/>
        <v>0</v>
      </c>
      <c r="AH1487" s="108" t="b">
        <f t="shared" si="672"/>
        <v>0</v>
      </c>
      <c r="AI1487" s="108" t="b">
        <f t="shared" si="672"/>
        <v>0</v>
      </c>
      <c r="AJ1487" s="553" t="s">
        <v>2248</v>
      </c>
      <c r="AK1487" s="663" t="str">
        <f>IF(AND(CNTR_ExistSubInstEntries,MSconst_RequireSubAttrEmissions,COUNTIFS(AC1487:AI1487,FALSE,H1487:N1487,"")&gt;0),EUconst_Error&amp;"BM"&amp;$Q1221,"")</f>
        <v/>
      </c>
      <c r="AL1487" s="2"/>
    </row>
    <row r="1488" spans="1:38" ht="12.75" customHeight="1" x14ac:dyDescent="0.25">
      <c r="A1488" s="2"/>
      <c r="B1488" s="178"/>
      <c r="C1488" s="779"/>
      <c r="D1488" s="416" t="s">
        <v>1787</v>
      </c>
      <c r="E1488" s="2613" t="str">
        <f>Translations!$B$641</f>
        <v>Exporterad restgas</v>
      </c>
      <c r="F1488" s="1997"/>
      <c r="G1488" s="364" t="str">
        <f>EUconst_TJpa</f>
        <v>TJ / år</v>
      </c>
      <c r="H1488" s="351" t="str">
        <f t="shared" ref="H1488:N1488" si="673">IF(COUNT(H1486:H1487)=2,H1486*H1487/1000,"")</f>
        <v/>
      </c>
      <c r="I1488" s="1107" t="str">
        <f t="shared" si="673"/>
        <v/>
      </c>
      <c r="J1488" s="1113" t="str">
        <f t="shared" si="673"/>
        <v/>
      </c>
      <c r="K1488" s="351" t="str">
        <f t="shared" si="673"/>
        <v/>
      </c>
      <c r="L1488" s="351" t="str">
        <f t="shared" si="673"/>
        <v/>
      </c>
      <c r="M1488" s="351" t="str">
        <f t="shared" si="673"/>
        <v/>
      </c>
      <c r="N1488" s="1148" t="str">
        <f t="shared" si="673"/>
        <v/>
      </c>
      <c r="O1488" s="15"/>
      <c r="P1488" s="15"/>
      <c r="Q1488" s="165" t="str">
        <f>EUconst_CNTR_WGExport &amp; I1221</f>
        <v>WasteGasEx_</v>
      </c>
      <c r="R1488" s="2"/>
      <c r="S1488" s="772"/>
      <c r="T1488" s="609">
        <f t="shared" ref="T1488:Z1488" si="674">H1485</f>
        <v>2019</v>
      </c>
      <c r="U1488" s="609">
        <f t="shared" si="674"/>
        <v>2020</v>
      </c>
      <c r="V1488" s="609">
        <f t="shared" si="674"/>
        <v>2021</v>
      </c>
      <c r="W1488" s="609">
        <f t="shared" si="674"/>
        <v>2022</v>
      </c>
      <c r="X1488" s="609">
        <f t="shared" si="674"/>
        <v>2023</v>
      </c>
      <c r="Y1488" s="609">
        <f t="shared" si="674"/>
        <v>2024</v>
      </c>
      <c r="Z1488" s="610">
        <f t="shared" si="674"/>
        <v>2025</v>
      </c>
      <c r="AA1488" s="2"/>
      <c r="AB1488" s="2"/>
      <c r="AC1488" s="2"/>
      <c r="AD1488" s="2"/>
      <c r="AE1488" s="2"/>
      <c r="AF1488" s="2"/>
      <c r="AG1488" s="2"/>
      <c r="AH1488" s="2"/>
      <c r="AI1488" s="2"/>
      <c r="AJ1488" s="2"/>
      <c r="AK1488" s="2"/>
      <c r="AL1488" s="2"/>
    </row>
    <row r="1489" spans="1:38" s="534" customFormat="1" ht="12.75" customHeight="1" thickBot="1" x14ac:dyDescent="0.3">
      <c r="A1489" s="2"/>
      <c r="B1489" s="178"/>
      <c r="C1489" s="779"/>
      <c r="D1489" s="416" t="s">
        <v>1788</v>
      </c>
      <c r="E1489" s="2613" t="str">
        <f>Translations!$B$642</f>
        <v>Särskild emissionsfaktor (exporterad restgas)</v>
      </c>
      <c r="F1489" s="1997"/>
      <c r="G1489" s="363" t="str">
        <f>EUconst_tCO2pTJ</f>
        <v>t CO2 / TJ</v>
      </c>
      <c r="H1489" s="1315"/>
      <c r="I1489" s="1316"/>
      <c r="J1489" s="1317"/>
      <c r="K1489" s="1315"/>
      <c r="L1489" s="1315"/>
      <c r="M1489" s="1315"/>
      <c r="N1489" s="1318"/>
      <c r="O1489" s="15"/>
      <c r="P1489" s="1362"/>
      <c r="Q1489" s="165" t="str">
        <f>EUconst_CNTR_WGExportEF &amp; I1221</f>
        <v>WasteGasExEF_</v>
      </c>
      <c r="R1489" s="343"/>
      <c r="S1489" s="773" t="str">
        <f>EUconst_CNTR_AttributedEmissions &amp; I1221</f>
        <v>AttrEmissions_</v>
      </c>
      <c r="T1489" s="111" t="str">
        <f t="shared" ref="T1489:Z1489" si="675">IF(T1229,-SUM(H1488)*EUconst_NGEFvalue*EUconst_WasteGasCorrFactor,"")</f>
        <v/>
      </c>
      <c r="U1489" s="111" t="str">
        <f t="shared" si="675"/>
        <v/>
      </c>
      <c r="V1489" s="111" t="str">
        <f t="shared" si="675"/>
        <v/>
      </c>
      <c r="W1489" s="111" t="str">
        <f t="shared" si="675"/>
        <v/>
      </c>
      <c r="X1489" s="111" t="str">
        <f t="shared" si="675"/>
        <v/>
      </c>
      <c r="Y1489" s="111" t="str">
        <f t="shared" si="675"/>
        <v/>
      </c>
      <c r="Z1489" s="112" t="str">
        <f t="shared" si="675"/>
        <v/>
      </c>
      <c r="AA1489" s="343"/>
      <c r="AB1489" s="672" t="s">
        <v>782</v>
      </c>
      <c r="AC1489" s="108" t="b">
        <f t="shared" ref="AC1489:AI1489" si="676">AC1436</f>
        <v>0</v>
      </c>
      <c r="AD1489" s="108" t="b">
        <f t="shared" si="676"/>
        <v>0</v>
      </c>
      <c r="AE1489" s="108" t="b">
        <f t="shared" si="676"/>
        <v>0</v>
      </c>
      <c r="AF1489" s="108" t="b">
        <f t="shared" si="676"/>
        <v>0</v>
      </c>
      <c r="AG1489" s="108" t="b">
        <f t="shared" si="676"/>
        <v>0</v>
      </c>
      <c r="AH1489" s="108" t="b">
        <f t="shared" si="676"/>
        <v>0</v>
      </c>
      <c r="AI1489" s="108" t="b">
        <f t="shared" si="676"/>
        <v>0</v>
      </c>
      <c r="AJ1489" s="553" t="s">
        <v>2248</v>
      </c>
      <c r="AK1489" s="663" t="str">
        <f>IF(AND(CNTR_ExistSubInstEntries,MSconst_RequireSubAttrEmissions,COUNTIFS(AC1489:AI1489,FALSE,H1489:N1489,"")&gt;0),EUconst_Error&amp;"BM"&amp;$Q1221,"")</f>
        <v/>
      </c>
      <c r="AL1489" s="2"/>
    </row>
    <row r="1490" spans="1:38" ht="12.75" customHeight="1" x14ac:dyDescent="0.25">
      <c r="A1490" s="2"/>
      <c r="B1490" s="178"/>
      <c r="C1490" s="779"/>
      <c r="D1490" s="780"/>
      <c r="E1490" s="780"/>
      <c r="F1490" s="780"/>
      <c r="G1490" s="780"/>
      <c r="H1490" s="780"/>
      <c r="I1490" s="1805"/>
      <c r="J1490" s="780"/>
      <c r="K1490" s="780"/>
      <c r="L1490" s="780"/>
      <c r="M1490" s="780"/>
      <c r="N1490" s="519"/>
      <c r="O1490" s="15"/>
      <c r="P1490" s="15"/>
      <c r="Q1490" s="343"/>
      <c r="R1490" s="2"/>
      <c r="S1490" s="343"/>
      <c r="T1490" s="2"/>
      <c r="U1490" s="2"/>
      <c r="V1490" s="2"/>
      <c r="W1490" s="2"/>
      <c r="X1490" s="2"/>
      <c r="Y1490" s="2"/>
      <c r="Z1490" s="2"/>
      <c r="AA1490" s="2"/>
      <c r="AB1490" s="2"/>
      <c r="AC1490" s="2"/>
      <c r="AD1490" s="2"/>
      <c r="AE1490" s="2"/>
      <c r="AF1490" s="2"/>
      <c r="AG1490" s="2"/>
      <c r="AH1490" s="2"/>
      <c r="AI1490" s="2"/>
      <c r="AJ1490" s="2"/>
      <c r="AK1490" s="2"/>
      <c r="AL1490" s="2"/>
    </row>
    <row r="1491" spans="1:38" ht="12.75" customHeight="1" x14ac:dyDescent="0.25">
      <c r="A1491" s="2"/>
      <c r="B1491" s="178"/>
      <c r="C1491" s="779"/>
      <c r="D1491" s="373" t="s">
        <v>527</v>
      </c>
      <c r="E1491" s="2614" t="str">
        <f>Translations!$B$268</f>
        <v>Elproduktion</v>
      </c>
      <c r="F1491" s="1960"/>
      <c r="G1491" s="1960"/>
      <c r="H1491" s="1960"/>
      <c r="I1491" s="1960"/>
      <c r="J1491" s="1960"/>
      <c r="K1491" s="1960"/>
      <c r="L1491" s="1960"/>
      <c r="M1491" s="1960"/>
      <c r="N1491" s="2597"/>
      <c r="O1491" s="15"/>
      <c r="P1491" s="15"/>
      <c r="Q1491" s="343"/>
      <c r="R1491" s="2"/>
      <c r="S1491" s="343"/>
      <c r="T1491" s="2"/>
      <c r="U1491" s="2"/>
      <c r="V1491" s="2"/>
      <c r="W1491" s="2"/>
      <c r="X1491" s="2"/>
      <c r="Y1491" s="2"/>
      <c r="Z1491" s="2"/>
      <c r="AA1491" s="2"/>
      <c r="AB1491" s="2"/>
      <c r="AC1491" s="2"/>
      <c r="AD1491" s="2"/>
      <c r="AE1491" s="2"/>
      <c r="AF1491" s="2"/>
      <c r="AG1491" s="2"/>
      <c r="AH1491" s="2"/>
      <c r="AI1491" s="2"/>
      <c r="AJ1491" s="2"/>
      <c r="AK1491" s="2"/>
      <c r="AL1491" s="2"/>
    </row>
    <row r="1492" spans="1:38" ht="12.75" customHeight="1" x14ac:dyDescent="0.25">
      <c r="A1492" s="2"/>
      <c r="B1492" s="178"/>
      <c r="C1492" s="779"/>
      <c r="D1492" s="416"/>
      <c r="E1492" s="2596" t="str">
        <f>Translations!$B$643</f>
        <v>De uppgifter som anges här påverkar de utsläpp som kan tillskrivas i enlighet med kapitel 10 i bilaga VII till FAR.</v>
      </c>
      <c r="F1492" s="1960"/>
      <c r="G1492" s="1960"/>
      <c r="H1492" s="1960"/>
      <c r="I1492" s="1960"/>
      <c r="J1492" s="1960"/>
      <c r="K1492" s="1960"/>
      <c r="L1492" s="1960"/>
      <c r="M1492" s="1960"/>
      <c r="N1492" s="2597"/>
      <c r="O1492" s="15"/>
      <c r="P1492" s="15"/>
      <c r="Q1492" s="343"/>
      <c r="R1492" s="2"/>
      <c r="S1492" s="343"/>
      <c r="T1492" s="343"/>
      <c r="U1492" s="343"/>
      <c r="V1492" s="343"/>
      <c r="W1492" s="2"/>
      <c r="X1492" s="2"/>
      <c r="Y1492" s="2"/>
      <c r="Z1492" s="2"/>
      <c r="AA1492" s="2"/>
      <c r="AB1492" s="2"/>
      <c r="AC1492" s="2"/>
      <c r="AD1492" s="2"/>
      <c r="AE1492" s="2"/>
      <c r="AF1492" s="2"/>
      <c r="AG1492" s="2"/>
      <c r="AH1492" s="2"/>
      <c r="AI1492" s="2"/>
      <c r="AJ1492" s="2"/>
      <c r="AK1492" s="2"/>
      <c r="AL1492" s="2"/>
    </row>
    <row r="1493" spans="1:38" ht="25.5" customHeight="1" thickBot="1" x14ac:dyDescent="0.3">
      <c r="A1493" s="2"/>
      <c r="B1493" s="178"/>
      <c r="C1493" s="779"/>
      <c r="D1493" s="780"/>
      <c r="E1493" s="2610" t="str">
        <f>Translations!$B$644</f>
        <v>Detta innefattar el som produceras direkt från delanläggningen i enlighet med avsnitt 3.1 (i) i bilaga IV till FAR. El som produceras via intermediär mätbar värme bör inte anges här utan som export av mätbar värme i punkt k.v ovan.</v>
      </c>
      <c r="F1493" s="1960"/>
      <c r="G1493" s="1960"/>
      <c r="H1493" s="1960"/>
      <c r="I1493" s="1960"/>
      <c r="J1493" s="1960"/>
      <c r="K1493" s="1960"/>
      <c r="L1493" s="1960"/>
      <c r="M1493" s="1960"/>
      <c r="N1493" s="2597"/>
      <c r="O1493" s="15"/>
      <c r="P1493" s="15"/>
      <c r="Q1493" s="343"/>
      <c r="R1493" s="2"/>
      <c r="S1493" s="343"/>
      <c r="T1493" s="2"/>
      <c r="U1493" s="2"/>
      <c r="V1493" s="2"/>
      <c r="W1493" s="2"/>
      <c r="X1493" s="2"/>
      <c r="Y1493" s="2"/>
      <c r="Z1493" s="2"/>
      <c r="AA1493" s="2"/>
      <c r="AB1493" s="2"/>
      <c r="AC1493" s="2"/>
      <c r="AD1493" s="2"/>
      <c r="AE1493" s="2"/>
      <c r="AF1493" s="2"/>
      <c r="AG1493" s="2"/>
      <c r="AH1493" s="2"/>
      <c r="AI1493" s="2"/>
      <c r="AJ1493" s="2"/>
      <c r="AK1493" s="2"/>
      <c r="AL1493" s="2"/>
    </row>
    <row r="1494" spans="1:38" ht="12.75" customHeight="1" thickBot="1" x14ac:dyDescent="0.3">
      <c r="A1494" s="2"/>
      <c r="B1494" s="178"/>
      <c r="C1494" s="779"/>
      <c r="D1494" s="373"/>
      <c r="E1494" s="1716"/>
      <c r="F1494" s="1717"/>
      <c r="G1494" s="361" t="str">
        <f>EUconst_Unit</f>
        <v>Enhet</v>
      </c>
      <c r="H1494" s="362">
        <f t="shared" ref="H1494:N1494" si="677">H$3042</f>
        <v>2019</v>
      </c>
      <c r="I1494" s="1103">
        <f t="shared" si="677"/>
        <v>2020</v>
      </c>
      <c r="J1494" s="1104">
        <f t="shared" si="677"/>
        <v>2021</v>
      </c>
      <c r="K1494" s="362">
        <f t="shared" si="677"/>
        <v>2022</v>
      </c>
      <c r="L1494" s="362">
        <f t="shared" si="677"/>
        <v>2023</v>
      </c>
      <c r="M1494" s="362">
        <f t="shared" si="677"/>
        <v>2024</v>
      </c>
      <c r="N1494" s="1141">
        <f t="shared" si="677"/>
        <v>2025</v>
      </c>
      <c r="O1494" s="15"/>
      <c r="P1494" s="15"/>
      <c r="Q1494" s="343"/>
      <c r="R1494" s="2"/>
      <c r="S1494" s="772"/>
      <c r="T1494" s="609">
        <f t="shared" ref="T1494:Z1494" si="678">H1494</f>
        <v>2019</v>
      </c>
      <c r="U1494" s="609">
        <f t="shared" si="678"/>
        <v>2020</v>
      </c>
      <c r="V1494" s="609">
        <f t="shared" si="678"/>
        <v>2021</v>
      </c>
      <c r="W1494" s="609">
        <f t="shared" si="678"/>
        <v>2022</v>
      </c>
      <c r="X1494" s="609">
        <f t="shared" si="678"/>
        <v>2023</v>
      </c>
      <c r="Y1494" s="609">
        <f t="shared" si="678"/>
        <v>2024</v>
      </c>
      <c r="Z1494" s="610">
        <f t="shared" si="678"/>
        <v>2025</v>
      </c>
      <c r="AA1494" s="2"/>
      <c r="AB1494" s="2"/>
      <c r="AC1494" s="1044">
        <f t="shared" ref="AC1494:AI1494" si="679">H$20</f>
        <v>2019</v>
      </c>
      <c r="AD1494" s="1044">
        <f t="shared" si="679"/>
        <v>2020</v>
      </c>
      <c r="AE1494" s="1044">
        <f t="shared" si="679"/>
        <v>2021</v>
      </c>
      <c r="AF1494" s="1044">
        <f t="shared" si="679"/>
        <v>2022</v>
      </c>
      <c r="AG1494" s="1044">
        <f t="shared" si="679"/>
        <v>2023</v>
      </c>
      <c r="AH1494" s="1044">
        <f t="shared" si="679"/>
        <v>2024</v>
      </c>
      <c r="AI1494" s="1044">
        <f t="shared" si="679"/>
        <v>2025</v>
      </c>
      <c r="AJ1494" s="2"/>
      <c r="AK1494" s="2"/>
      <c r="AL1494" s="2"/>
    </row>
    <row r="1495" spans="1:38" ht="12.75" customHeight="1" thickBot="1" x14ac:dyDescent="0.3">
      <c r="A1495" s="2"/>
      <c r="B1495" s="178"/>
      <c r="C1495" s="779"/>
      <c r="D1495" s="416"/>
      <c r="E1495" s="2613" t="str">
        <f>Translations!$B$645</f>
        <v>Producerad el</v>
      </c>
      <c r="F1495" s="1997"/>
      <c r="G1495" s="364" t="str">
        <f>EUconst_MWhpa</f>
        <v>MWh / år</v>
      </c>
      <c r="H1495" s="582"/>
      <c r="I1495" s="1105"/>
      <c r="J1495" s="1115"/>
      <c r="K1495" s="582"/>
      <c r="L1495" s="582"/>
      <c r="M1495" s="582"/>
      <c r="N1495" s="1146"/>
      <c r="O1495" s="15"/>
      <c r="P1495" s="1362"/>
      <c r="Q1495" s="165" t="str">
        <f>EUconst_CNTR_ElectricityExported &amp; I1221</f>
        <v>ElecEx_</v>
      </c>
      <c r="R1495" s="2"/>
      <c r="S1495" s="773" t="str">
        <f>EUconst_CNTR_AttributedEmissions &amp; I1221</f>
        <v>AttrEmissions_</v>
      </c>
      <c r="T1495" s="111" t="str">
        <f t="shared" ref="T1495:Z1495" si="680">IF(T1229,-SUM(H1495)*EUconst_ElBM,"")</f>
        <v/>
      </c>
      <c r="U1495" s="111" t="str">
        <f t="shared" si="680"/>
        <v/>
      </c>
      <c r="V1495" s="111" t="str">
        <f t="shared" si="680"/>
        <v/>
      </c>
      <c r="W1495" s="111" t="str">
        <f t="shared" si="680"/>
        <v/>
      </c>
      <c r="X1495" s="111" t="str">
        <f t="shared" si="680"/>
        <v/>
      </c>
      <c r="Y1495" s="111" t="str">
        <f t="shared" si="680"/>
        <v/>
      </c>
      <c r="Z1495" s="112" t="str">
        <f t="shared" si="680"/>
        <v/>
      </c>
      <c r="AA1495" s="2"/>
      <c r="AB1495" s="672" t="s">
        <v>782</v>
      </c>
      <c r="AC1495" s="108" t="b">
        <f>AC1291</f>
        <v>0</v>
      </c>
      <c r="AD1495" s="108" t="b">
        <f t="shared" ref="AD1495:AI1495" si="681">AD1291</f>
        <v>0</v>
      </c>
      <c r="AE1495" s="108" t="b">
        <f t="shared" si="681"/>
        <v>0</v>
      </c>
      <c r="AF1495" s="108" t="b">
        <f t="shared" si="681"/>
        <v>0</v>
      </c>
      <c r="AG1495" s="108" t="b">
        <f t="shared" si="681"/>
        <v>0</v>
      </c>
      <c r="AH1495" s="108" t="b">
        <f t="shared" si="681"/>
        <v>0</v>
      </c>
      <c r="AI1495" s="108" t="b">
        <f t="shared" si="681"/>
        <v>0</v>
      </c>
      <c r="AJ1495" s="553" t="s">
        <v>2248</v>
      </c>
      <c r="AK1495" s="663" t="str">
        <f>IF(AND(CNTR_ExistSubInstEntries,MSconst_RequireSubAttrEmissions,COUNTIFS(AC1495:AI1495,FALSE,H1495:N1495,"")&gt;0),EUconst_Error&amp;"BM"&amp;$Q1221,"")</f>
        <v/>
      </c>
      <c r="AL1495" s="2"/>
    </row>
    <row r="1496" spans="1:38" ht="12.75" customHeight="1" x14ac:dyDescent="0.25">
      <c r="A1496" s="2"/>
      <c r="B1496" s="178"/>
      <c r="C1496" s="779"/>
      <c r="D1496" s="780"/>
      <c r="E1496" s="780"/>
      <c r="F1496" s="780"/>
      <c r="G1496" s="780"/>
      <c r="H1496" s="780"/>
      <c r="I1496" s="1805"/>
      <c r="J1496" s="780"/>
      <c r="K1496" s="780"/>
      <c r="L1496" s="780"/>
      <c r="M1496" s="780"/>
      <c r="N1496" s="519"/>
      <c r="O1496" s="15"/>
      <c r="P1496" s="15"/>
      <c r="Q1496" s="343"/>
      <c r="R1496" s="2"/>
      <c r="S1496" s="343"/>
      <c r="T1496" s="2"/>
      <c r="U1496" s="2"/>
      <c r="V1496" s="343"/>
      <c r="W1496" s="2"/>
      <c r="X1496" s="2"/>
      <c r="Y1496" s="2"/>
      <c r="Z1496" s="2"/>
      <c r="AA1496" s="2"/>
      <c r="AB1496" s="2"/>
      <c r="AC1496" s="2"/>
      <c r="AD1496" s="2"/>
      <c r="AE1496" s="2"/>
      <c r="AF1496" s="2"/>
      <c r="AG1496" s="2"/>
      <c r="AH1496" s="2"/>
      <c r="AI1496" s="2"/>
      <c r="AJ1496" s="2"/>
      <c r="AK1496" s="2"/>
      <c r="AL1496" s="2"/>
    </row>
    <row r="1497" spans="1:38" ht="12.75" customHeight="1" x14ac:dyDescent="0.25">
      <c r="A1497" s="2"/>
      <c r="B1497" s="178"/>
      <c r="C1497" s="779"/>
      <c r="D1497" s="373" t="s">
        <v>271</v>
      </c>
      <c r="E1497" s="2614" t="str">
        <f>Translations!$B$646</f>
        <v>Total producerad massamängd</v>
      </c>
      <c r="F1497" s="1960"/>
      <c r="G1497" s="1960"/>
      <c r="H1497" s="1960"/>
      <c r="I1497" s="1960"/>
      <c r="J1497" s="1960"/>
      <c r="K1497" s="1960"/>
      <c r="L1497" s="1960"/>
      <c r="M1497" s="1960"/>
      <c r="N1497" s="2597"/>
      <c r="O1497" s="15"/>
      <c r="P1497" s="15"/>
      <c r="Q1497" s="2"/>
      <c r="R1497" s="2"/>
      <c r="S1497" s="2"/>
      <c r="T1497" s="2"/>
      <c r="U1497" s="2"/>
      <c r="V1497" s="343"/>
      <c r="W1497" s="2"/>
      <c r="X1497" s="2"/>
      <c r="Y1497" s="2"/>
      <c r="Z1497" s="2"/>
      <c r="AA1497" s="2"/>
      <c r="AB1497" s="2"/>
      <c r="AC1497" s="2"/>
      <c r="AD1497" s="2"/>
      <c r="AE1497" s="2"/>
      <c r="AF1497" s="2"/>
      <c r="AG1497" s="2"/>
      <c r="AH1497" s="2"/>
      <c r="AI1497" s="2"/>
      <c r="AJ1497" s="2"/>
      <c r="AK1497" s="2"/>
      <c r="AL1497" s="2"/>
    </row>
    <row r="1498" spans="1:38" ht="25.5" customHeight="1" x14ac:dyDescent="0.25">
      <c r="A1498" s="2"/>
      <c r="B1498" s="178"/>
      <c r="C1498" s="779"/>
      <c r="D1498" s="780"/>
      <c r="E1498" s="2610" t="str">
        <f>Translations!$B$647</f>
        <v>Enligt avsnitt 2.7 k i bilaga IV till FAR ska det lämnas uppgift om den totala mängden massa som produceras för delanläggningar med produktriktmärke för kortfibrig sulfatmassa, långfibrig sulfatmassa, termomekanisk massa och mekanisk massa samt sulfitmassa.</v>
      </c>
      <c r="F1498" s="1960"/>
      <c r="G1498" s="1960"/>
      <c r="H1498" s="1960"/>
      <c r="I1498" s="1960"/>
      <c r="J1498" s="1960"/>
      <c r="K1498" s="1960"/>
      <c r="L1498" s="1960"/>
      <c r="M1498" s="1960"/>
      <c r="N1498" s="2597"/>
      <c r="O1498" s="15"/>
      <c r="P1498" s="15"/>
      <c r="Q1498" s="343"/>
      <c r="R1498" s="2"/>
      <c r="S1498" s="343"/>
      <c r="T1498" s="2"/>
      <c r="U1498" s="2"/>
      <c r="V1498" s="343"/>
      <c r="W1498" s="2"/>
      <c r="X1498" s="2"/>
      <c r="Y1498" s="2"/>
      <c r="Z1498" s="2"/>
      <c r="AA1498" s="2"/>
      <c r="AB1498" s="2"/>
      <c r="AC1498" s="2"/>
      <c r="AD1498" s="2"/>
      <c r="AE1498" s="2"/>
      <c r="AF1498" s="2"/>
      <c r="AG1498" s="2"/>
      <c r="AH1498" s="2"/>
      <c r="AI1498" s="2"/>
      <c r="AJ1498" s="2"/>
      <c r="AK1498" s="2"/>
      <c r="AL1498" s="2"/>
    </row>
    <row r="1499" spans="1:38" ht="12.75" customHeight="1" x14ac:dyDescent="0.25">
      <c r="A1499" s="2"/>
      <c r="B1499" s="178"/>
      <c r="C1499" s="779"/>
      <c r="D1499" s="780"/>
      <c r="E1499" s="2610" t="str">
        <f>Translations!$B$648</f>
        <v>Avsnittet kommer att gråmarkeras om det inte rör sig om någon massaproducerande delanläggning av dessa slag. Var god gå vidare till nedanstående punkter, i sådana fall.</v>
      </c>
      <c r="F1499" s="1960"/>
      <c r="G1499" s="1960"/>
      <c r="H1499" s="1960"/>
      <c r="I1499" s="1960"/>
      <c r="J1499" s="1960"/>
      <c r="K1499" s="1960"/>
      <c r="L1499" s="1960"/>
      <c r="M1499" s="1960"/>
      <c r="N1499" s="2597"/>
      <c r="O1499" s="15"/>
      <c r="P1499" s="15"/>
      <c r="Q1499" s="343"/>
      <c r="R1499" s="2"/>
      <c r="S1499" s="343"/>
      <c r="T1499" s="2"/>
      <c r="U1499" s="2"/>
      <c r="V1499" s="343"/>
      <c r="W1499" s="2"/>
      <c r="X1499" s="2"/>
      <c r="Y1499" s="2"/>
      <c r="Z1499" s="2"/>
      <c r="AA1499" s="2"/>
      <c r="AB1499" s="2"/>
      <c r="AC1499" s="2"/>
      <c r="AD1499" s="2"/>
      <c r="AE1499" s="2"/>
      <c r="AF1499" s="2"/>
      <c r="AG1499" s="2"/>
      <c r="AH1499" s="2"/>
      <c r="AI1499" s="2"/>
      <c r="AJ1499" s="2"/>
      <c r="AK1499" s="2"/>
      <c r="AL1499" s="2"/>
    </row>
    <row r="1500" spans="1:38" ht="12.75" customHeight="1" thickBot="1" x14ac:dyDescent="0.3">
      <c r="A1500" s="2"/>
      <c r="B1500" s="178"/>
      <c r="C1500" s="779"/>
      <c r="D1500" s="416"/>
      <c r="E1500" s="2615" t="str">
        <f>Translations!$B$649</f>
        <v>De uppgifter som anges här är relevanta för uppdateringen av det särskilda riktmärket för massa.</v>
      </c>
      <c r="F1500" s="2497"/>
      <c r="G1500" s="2497"/>
      <c r="H1500" s="2497"/>
      <c r="I1500" s="2497"/>
      <c r="J1500" s="2497"/>
      <c r="K1500" s="2497"/>
      <c r="L1500" s="2497"/>
      <c r="M1500" s="2497"/>
      <c r="N1500" s="2616"/>
      <c r="O1500" s="15"/>
      <c r="P1500" s="15"/>
      <c r="Q1500" s="343"/>
      <c r="R1500" s="2"/>
      <c r="S1500" s="343"/>
      <c r="T1500" s="2"/>
      <c r="U1500" s="2"/>
      <c r="V1500" s="343"/>
      <c r="W1500" s="2"/>
      <c r="X1500" s="2"/>
      <c r="Y1500" s="2"/>
      <c r="Z1500" s="2"/>
      <c r="AA1500" s="2"/>
      <c r="AB1500" s="2"/>
      <c r="AC1500" s="1044">
        <f t="shared" ref="AC1500:AI1500" si="682">H$20</f>
        <v>2019</v>
      </c>
      <c r="AD1500" s="1044">
        <f t="shared" si="682"/>
        <v>2020</v>
      </c>
      <c r="AE1500" s="1044">
        <f t="shared" si="682"/>
        <v>2021</v>
      </c>
      <c r="AF1500" s="1044">
        <f t="shared" si="682"/>
        <v>2022</v>
      </c>
      <c r="AG1500" s="1044">
        <f t="shared" si="682"/>
        <v>2023</v>
      </c>
      <c r="AH1500" s="1044">
        <f t="shared" si="682"/>
        <v>2024</v>
      </c>
      <c r="AI1500" s="1044">
        <f t="shared" si="682"/>
        <v>2025</v>
      </c>
      <c r="AJ1500" s="2"/>
      <c r="AK1500" s="2"/>
      <c r="AL1500" s="2"/>
    </row>
    <row r="1501" spans="1:38" ht="12.75" customHeight="1" x14ac:dyDescent="0.25">
      <c r="A1501" s="2"/>
      <c r="B1501" s="178"/>
      <c r="C1501" s="779"/>
      <c r="D1501" s="416"/>
      <c r="E1501" s="2617" t="str">
        <f>IF(I1221="","",IF(INDEX(EUconst_BMlistPulp,MATCH(I1221,EUconst_BMlistNames,0)),I1221,""))</f>
        <v/>
      </c>
      <c r="F1501" s="1997"/>
      <c r="G1501" s="364" t="str">
        <f>EUconst_Tons</f>
        <v>ton</v>
      </c>
      <c r="H1501" s="582"/>
      <c r="I1501" s="1105"/>
      <c r="J1501" s="1115"/>
      <c r="K1501" s="582"/>
      <c r="L1501" s="582"/>
      <c r="M1501" s="582"/>
      <c r="N1501" s="1146"/>
      <c r="O1501" s="15"/>
      <c r="P1501" s="1362"/>
      <c r="Q1501" s="165" t="str">
        <f>EUconst_CNTR_HALPulpTotal &amp; I1221</f>
        <v>HALPulpTotal_</v>
      </c>
      <c r="R1501" s="2"/>
      <c r="S1501" s="343"/>
      <c r="T1501" s="2"/>
      <c r="U1501" s="2"/>
      <c r="V1501" s="2"/>
      <c r="W1501" s="2"/>
      <c r="X1501" s="2"/>
      <c r="Y1501" s="2"/>
      <c r="Z1501" s="2"/>
      <c r="AA1501" s="2"/>
      <c r="AB1501" s="672" t="s">
        <v>782</v>
      </c>
      <c r="AC1501" s="1196" t="b">
        <f t="shared" ref="AC1501:AI1501" si="683">IF($I1221&lt;&gt;"",IF(INDEX(EUconst_BMlistPulp,MATCH($I1221,EUconst_BMlistNames,0))=TRUE,FALSE,TRUE),AC1291)</f>
        <v>0</v>
      </c>
      <c r="AD1501" s="108" t="b">
        <f t="shared" si="683"/>
        <v>0</v>
      </c>
      <c r="AE1501" s="108" t="b">
        <f t="shared" si="683"/>
        <v>0</v>
      </c>
      <c r="AF1501" s="108" t="b">
        <f t="shared" si="683"/>
        <v>0</v>
      </c>
      <c r="AG1501" s="108" t="b">
        <f t="shared" si="683"/>
        <v>0</v>
      </c>
      <c r="AH1501" s="108" t="b">
        <f t="shared" si="683"/>
        <v>0</v>
      </c>
      <c r="AI1501" s="108" t="b">
        <f t="shared" si="683"/>
        <v>0</v>
      </c>
      <c r="AJ1501" s="553" t="s">
        <v>2248</v>
      </c>
      <c r="AK1501" s="663" t="str">
        <f>IF(AND(CNTR_ExistSubInstEntries,MSconst_RequireSubAttrEmissions,COUNTIFS(AC1501:AI1501,FALSE,H1501:N1501,"")&gt;0),EUconst_Error&amp;"BM"&amp;$Q1221,"")</f>
        <v/>
      </c>
      <c r="AL1501" s="2"/>
    </row>
    <row r="1502" spans="1:38" ht="12.75" customHeight="1" x14ac:dyDescent="0.25">
      <c r="A1502" s="2"/>
      <c r="B1502" s="178"/>
      <c r="C1502" s="779"/>
      <c r="D1502" s="416"/>
      <c r="E1502" s="416"/>
      <c r="F1502" s="416"/>
      <c r="G1502" s="416"/>
      <c r="H1502" s="1805"/>
      <c r="I1502" s="416"/>
      <c r="J1502" s="416"/>
      <c r="K1502" s="416"/>
      <c r="L1502" s="416"/>
      <c r="M1502" s="416"/>
      <c r="N1502" s="1810"/>
      <c r="O1502" s="15"/>
      <c r="P1502" s="15"/>
      <c r="Q1502" s="343"/>
      <c r="R1502" s="2"/>
      <c r="S1502" s="343"/>
      <c r="T1502" s="2"/>
      <c r="U1502" s="2"/>
      <c r="V1502" s="343"/>
      <c r="W1502" s="2"/>
      <c r="X1502" s="2"/>
      <c r="Y1502" s="2"/>
      <c r="Z1502" s="2"/>
      <c r="AA1502" s="2"/>
      <c r="AB1502" s="2"/>
      <c r="AC1502" s="2"/>
      <c r="AD1502" s="2"/>
      <c r="AE1502" s="2"/>
      <c r="AF1502" s="2"/>
      <c r="AG1502" s="2"/>
      <c r="AH1502" s="2"/>
      <c r="AI1502" s="2"/>
      <c r="AJ1502" s="2"/>
      <c r="AK1502" s="2"/>
      <c r="AL1502" s="2"/>
    </row>
    <row r="1503" spans="1:38" ht="12.75" customHeight="1" x14ac:dyDescent="0.25">
      <c r="A1503" s="2"/>
      <c r="B1503" s="178"/>
      <c r="C1503" s="779"/>
      <c r="D1503" s="373" t="s">
        <v>906</v>
      </c>
      <c r="E1503" s="2614" t="str">
        <f>Translations!$B$650</f>
        <v>Import eller export av mellanprodukter som omfattas av produktriktmärken</v>
      </c>
      <c r="F1503" s="1960"/>
      <c r="G1503" s="1960"/>
      <c r="H1503" s="1960"/>
      <c r="I1503" s="1960"/>
      <c r="J1503" s="1960"/>
      <c r="K1503" s="1960"/>
      <c r="L1503" s="1960"/>
      <c r="M1503" s="1960"/>
      <c r="N1503" s="2597"/>
      <c r="O1503" s="15"/>
      <c r="P1503" s="15"/>
      <c r="Q1503" s="343"/>
      <c r="R1503" s="2"/>
      <c r="S1503" s="343"/>
      <c r="T1503" s="2"/>
      <c r="U1503" s="2"/>
      <c r="V1503" s="343"/>
      <c r="W1503" s="2"/>
      <c r="X1503" s="2"/>
      <c r="Y1503" s="2"/>
      <c r="Z1503" s="2"/>
      <c r="AA1503" s="2"/>
      <c r="AB1503" s="2"/>
      <c r="AC1503" s="2"/>
      <c r="AD1503" s="2"/>
      <c r="AE1503" s="2"/>
      <c r="AF1503" s="2"/>
      <c r="AG1503" s="2"/>
      <c r="AH1503" s="2"/>
      <c r="AI1503" s="2"/>
      <c r="AJ1503" s="2"/>
      <c r="AK1503" s="2"/>
      <c r="AL1503" s="2"/>
    </row>
    <row r="1504" spans="1:38" ht="25.5" customHeight="1" x14ac:dyDescent="0.25">
      <c r="A1504" s="2"/>
      <c r="B1504" s="178"/>
      <c r="C1504" s="779"/>
      <c r="D1504" s="780"/>
      <c r="E1504" s="2610" t="str">
        <f>Translations!$B$651</f>
        <v>För att undvika eventuell dubbelräkning eller luckor i tilldelade utsläpp vid fastställandet av de uppdaterade riktmärkena ska man enligt avsnitt 2.7 d i bilaga IV till FAR ange eventuell import eller export av mellanprodukter som omfattas av något av produktriktmärkena i bilaga I till FAR.</v>
      </c>
      <c r="F1504" s="1960"/>
      <c r="G1504" s="1960"/>
      <c r="H1504" s="1960"/>
      <c r="I1504" s="1960"/>
      <c r="J1504" s="1960"/>
      <c r="K1504" s="1960"/>
      <c r="L1504" s="1960"/>
      <c r="M1504" s="1960"/>
      <c r="N1504" s="2597"/>
      <c r="O1504" s="15"/>
      <c r="P1504" s="15"/>
      <c r="Q1504" s="343"/>
      <c r="R1504" s="2"/>
      <c r="S1504" s="343"/>
      <c r="T1504" s="2"/>
      <c r="U1504" s="2"/>
      <c r="V1504" s="343"/>
      <c r="W1504" s="2"/>
      <c r="X1504" s="2"/>
      <c r="Y1504" s="2"/>
      <c r="Z1504" s="2"/>
      <c r="AA1504" s="2"/>
      <c r="AB1504" s="2"/>
      <c r="AC1504" s="2"/>
      <c r="AD1504" s="2"/>
      <c r="AE1504" s="2"/>
      <c r="AF1504" s="2"/>
      <c r="AG1504" s="2"/>
      <c r="AH1504" s="2"/>
      <c r="AI1504" s="2"/>
      <c r="AJ1504" s="2"/>
      <c r="AK1504" s="2"/>
      <c r="AL1504" s="2"/>
    </row>
    <row r="1505" spans="1:38" ht="12.75" customHeight="1" x14ac:dyDescent="0.25">
      <c r="A1505" s="2"/>
      <c r="B1505" s="178"/>
      <c r="C1505" s="779"/>
      <c r="D1505" s="780"/>
      <c r="E1505" s="2596" t="str">
        <f>Translations!$B$652</f>
        <v>De uppgifter som anges här kan påverka uppdateringen av det särskilda riktmärket.</v>
      </c>
      <c r="F1505" s="1960"/>
      <c r="G1505" s="1960"/>
      <c r="H1505" s="1960"/>
      <c r="I1505" s="1960"/>
      <c r="J1505" s="1960"/>
      <c r="K1505" s="1960"/>
      <c r="L1505" s="1960"/>
      <c r="M1505" s="1960"/>
      <c r="N1505" s="2597"/>
      <c r="O1505" s="15"/>
      <c r="P1505" s="15"/>
      <c r="Q1505" s="343"/>
      <c r="R1505" s="2"/>
      <c r="S1505" s="343"/>
      <c r="T1505" s="2"/>
      <c r="U1505" s="2"/>
      <c r="V1505" s="343"/>
      <c r="W1505" s="2"/>
      <c r="X1505" s="2"/>
      <c r="Y1505" s="2"/>
      <c r="Z1505" s="2"/>
      <c r="AA1505" s="2"/>
      <c r="AB1505" s="2"/>
      <c r="AC1505" s="2"/>
      <c r="AD1505" s="2"/>
      <c r="AE1505" s="2"/>
      <c r="AF1505" s="2"/>
      <c r="AG1505" s="2"/>
      <c r="AH1505" s="2"/>
      <c r="AI1505" s="2"/>
      <c r="AJ1505" s="2"/>
      <c r="AK1505" s="2"/>
      <c r="AL1505" s="2"/>
    </row>
    <row r="1506" spans="1:38" ht="12.75" customHeight="1" x14ac:dyDescent="0.25">
      <c r="A1506" s="2"/>
      <c r="B1506" s="19"/>
      <c r="C1506" s="779"/>
      <c r="D1506" s="416" t="s">
        <v>8</v>
      </c>
      <c r="E1506" s="2598" t="str">
        <f>Translations!$B$653</f>
        <v>Förekommer import eller export av mellanprodukter som omfattas av produktriktmärken?</v>
      </c>
      <c r="F1506" s="1960"/>
      <c r="G1506" s="1960"/>
      <c r="H1506" s="1960"/>
      <c r="I1506" s="1960"/>
      <c r="J1506" s="1960"/>
      <c r="K1506" s="2520"/>
      <c r="L1506" s="749"/>
      <c r="M1506" s="360"/>
      <c r="N1506" s="535"/>
      <c r="O1506" s="15"/>
      <c r="P1506" s="1362"/>
      <c r="Q1506" s="2"/>
      <c r="R1506" s="2"/>
      <c r="S1506" s="2"/>
      <c r="T1506" s="2"/>
      <c r="U1506" s="2"/>
      <c r="V1506" s="2"/>
      <c r="W1506" s="2"/>
      <c r="X1506" s="2"/>
      <c r="Y1506" s="2"/>
      <c r="Z1506" s="2"/>
      <c r="AA1506" s="2"/>
      <c r="AB1506" s="2"/>
      <c r="AC1506" s="2"/>
      <c r="AD1506" s="2"/>
      <c r="AE1506" s="2"/>
      <c r="AF1506" s="672" t="s">
        <v>782</v>
      </c>
      <c r="AG1506" s="1196" t="b">
        <f>AND(CNTR_ExistSubInstEntries,I1221="")</f>
        <v>0</v>
      </c>
      <c r="AH1506" s="2"/>
      <c r="AI1506" s="2"/>
      <c r="AJ1506" s="2"/>
      <c r="AK1506" s="2"/>
      <c r="AL1506" s="2"/>
    </row>
    <row r="1507" spans="1:38" ht="5.15" customHeight="1" x14ac:dyDescent="0.25">
      <c r="A1507" s="2"/>
      <c r="B1507" s="178"/>
      <c r="C1507" s="779"/>
      <c r="D1507" s="416"/>
      <c r="E1507" s="416"/>
      <c r="F1507" s="416"/>
      <c r="G1507" s="416"/>
      <c r="H1507" s="1805"/>
      <c r="I1507" s="416"/>
      <c r="J1507" s="416"/>
      <c r="K1507" s="416"/>
      <c r="L1507" s="416"/>
      <c r="M1507" s="416"/>
      <c r="N1507" s="1810"/>
      <c r="O1507" s="15"/>
      <c r="P1507" s="15"/>
      <c r="Q1507" s="343"/>
      <c r="R1507" s="2"/>
      <c r="S1507" s="343"/>
      <c r="T1507" s="2"/>
      <c r="U1507" s="2"/>
      <c r="V1507" s="343"/>
      <c r="W1507" s="2"/>
      <c r="X1507" s="2"/>
      <c r="Y1507" s="2"/>
      <c r="Z1507" s="2"/>
      <c r="AA1507" s="2"/>
      <c r="AB1507" s="2"/>
      <c r="AC1507" s="2"/>
      <c r="AD1507" s="2"/>
      <c r="AE1507" s="2"/>
      <c r="AF1507" s="2"/>
      <c r="AG1507" s="2"/>
      <c r="AH1507" s="2"/>
      <c r="AI1507" s="2"/>
      <c r="AJ1507" s="2"/>
      <c r="AK1507" s="2"/>
      <c r="AL1507" s="2"/>
    </row>
    <row r="1508" spans="1:38" ht="12.75" customHeight="1" thickBot="1" x14ac:dyDescent="0.3">
      <c r="A1508" s="2"/>
      <c r="B1508" s="178"/>
      <c r="C1508" s="779"/>
      <c r="D1508" s="373"/>
      <c r="E1508" s="2605" t="str">
        <f>Translations!$B$654</f>
        <v>Importerade mängder:</v>
      </c>
      <c r="F1508" s="2497"/>
      <c r="G1508" s="415" t="str">
        <f>EUconst_Unit</f>
        <v>Enhet</v>
      </c>
      <c r="H1508" s="362">
        <f t="shared" ref="H1508:N1508" si="684">H$3042</f>
        <v>2019</v>
      </c>
      <c r="I1508" s="1103">
        <f t="shared" si="684"/>
        <v>2020</v>
      </c>
      <c r="J1508" s="1104">
        <f t="shared" si="684"/>
        <v>2021</v>
      </c>
      <c r="K1508" s="362">
        <f t="shared" si="684"/>
        <v>2022</v>
      </c>
      <c r="L1508" s="362">
        <f t="shared" si="684"/>
        <v>2023</v>
      </c>
      <c r="M1508" s="362">
        <f t="shared" si="684"/>
        <v>2024</v>
      </c>
      <c r="N1508" s="1141">
        <f t="shared" si="684"/>
        <v>2025</v>
      </c>
      <c r="O1508" s="15"/>
      <c r="P1508" s="15"/>
      <c r="Q1508" s="343"/>
      <c r="R1508" s="2"/>
      <c r="S1508" s="343"/>
      <c r="T1508" s="2"/>
      <c r="U1508" s="2"/>
      <c r="V1508" s="343"/>
      <c r="W1508" s="2"/>
      <c r="X1508" s="2"/>
      <c r="Y1508" s="2"/>
      <c r="Z1508" s="2"/>
      <c r="AA1508" s="2"/>
      <c r="AB1508" s="2"/>
      <c r="AC1508" s="1044">
        <f t="shared" ref="AC1508:AI1508" si="685">H$20</f>
        <v>2019</v>
      </c>
      <c r="AD1508" s="1044">
        <f t="shared" si="685"/>
        <v>2020</v>
      </c>
      <c r="AE1508" s="1044">
        <f t="shared" si="685"/>
        <v>2021</v>
      </c>
      <c r="AF1508" s="1044">
        <f t="shared" si="685"/>
        <v>2022</v>
      </c>
      <c r="AG1508" s="1044">
        <f t="shared" si="685"/>
        <v>2023</v>
      </c>
      <c r="AH1508" s="1044">
        <f t="shared" si="685"/>
        <v>2024</v>
      </c>
      <c r="AI1508" s="1044">
        <f t="shared" si="685"/>
        <v>2025</v>
      </c>
      <c r="AJ1508" s="2"/>
      <c r="AK1508" s="2"/>
      <c r="AL1508" s="2"/>
    </row>
    <row r="1509" spans="1:38" ht="12.75" customHeight="1" x14ac:dyDescent="0.25">
      <c r="A1509" s="2"/>
      <c r="B1509" s="178"/>
      <c r="C1509" s="779"/>
      <c r="D1509" s="416" t="s">
        <v>9</v>
      </c>
      <c r="E1509" s="2606"/>
      <c r="F1509" s="2607"/>
      <c r="G1509" s="59" t="str">
        <f>IF(E1509&lt;&gt;"",INDEX(EUconst_BMlistUnits,MATCH(E1509,EUconst_BMlistNames,0)),EUconst_Tons)</f>
        <v>ton</v>
      </c>
      <c r="H1509" s="1319"/>
      <c r="I1509" s="1320"/>
      <c r="J1509" s="1321"/>
      <c r="K1509" s="1319"/>
      <c r="L1509" s="1319"/>
      <c r="M1509" s="1319"/>
      <c r="N1509" s="1322"/>
      <c r="O1509" s="15"/>
      <c r="P1509" s="1362"/>
      <c r="Q1509" s="165" t="str">
        <f>EUconst_CNTR_IntermediateImport &amp; S1509 &amp; "_" &amp; I1221</f>
        <v>IntImp_1_</v>
      </c>
      <c r="R1509" s="2"/>
      <c r="S1509" s="165">
        <v>1</v>
      </c>
      <c r="T1509" s="2"/>
      <c r="U1509" s="2"/>
      <c r="V1509" s="343"/>
      <c r="W1509" s="2"/>
      <c r="X1509" s="2"/>
      <c r="Y1509" s="2"/>
      <c r="Z1509" s="2"/>
      <c r="AA1509" s="2"/>
      <c r="AB1509" s="672" t="s">
        <v>782</v>
      </c>
      <c r="AC1509" s="1196" t="b">
        <f>OR(AND($L1506&lt;&gt;"",$L1506=FALSE),AC1291)</f>
        <v>0</v>
      </c>
      <c r="AD1509" s="108" t="b">
        <f t="shared" ref="AD1509:AI1509" si="686">OR(AND($L1506&lt;&gt;"",$L1506=FALSE),AD1291)</f>
        <v>0</v>
      </c>
      <c r="AE1509" s="108" t="b">
        <f t="shared" si="686"/>
        <v>0</v>
      </c>
      <c r="AF1509" s="108" t="b">
        <f t="shared" si="686"/>
        <v>0</v>
      </c>
      <c r="AG1509" s="108" t="b">
        <f t="shared" si="686"/>
        <v>0</v>
      </c>
      <c r="AH1509" s="108" t="b">
        <f t="shared" si="686"/>
        <v>0</v>
      </c>
      <c r="AI1509" s="108" t="b">
        <f t="shared" si="686"/>
        <v>0</v>
      </c>
      <c r="AJ1509" s="553" t="s">
        <v>2248</v>
      </c>
      <c r="AK1509" s="663" t="str">
        <f>IF(AND(CNTR_ExistSubInstEntries,MSconst_RequireSubAttrEmissions,COUNTIFS(AC1509:AI1509,FALSE,H1509:N1509,"")&gt;0),EUconst_Error&amp;"BM"&amp;$Q1221,"")</f>
        <v/>
      </c>
      <c r="AL1509" s="2"/>
    </row>
    <row r="1510" spans="1:38" ht="12.75" customHeight="1" x14ac:dyDescent="0.25">
      <c r="A1510" s="2"/>
      <c r="B1510" s="178"/>
      <c r="C1510" s="779"/>
      <c r="D1510" s="416" t="s">
        <v>10</v>
      </c>
      <c r="E1510" s="2608"/>
      <c r="F1510" s="2609"/>
      <c r="G1510" s="51" t="str">
        <f>IF(E1510&lt;&gt;"",INDEX(EUconst_BMlistUnits,MATCH(E1510,EUconst_BMlistNames,0)),EUconst_Tons)</f>
        <v>ton</v>
      </c>
      <c r="H1510" s="1323"/>
      <c r="I1510" s="1324"/>
      <c r="J1510" s="1325"/>
      <c r="K1510" s="1323"/>
      <c r="L1510" s="1323"/>
      <c r="M1510" s="1323"/>
      <c r="N1510" s="1326"/>
      <c r="O1510" s="15"/>
      <c r="P1510" s="1362"/>
      <c r="Q1510" s="165" t="str">
        <f>EUconst_CNTR_IntermediateImport &amp; S1510 &amp; "_" &amp; I1221</f>
        <v>IntImp_2_</v>
      </c>
      <c r="R1510" s="2"/>
      <c r="S1510" s="165">
        <v>2</v>
      </c>
      <c r="T1510" s="2"/>
      <c r="U1510" s="2"/>
      <c r="V1510" s="343"/>
      <c r="W1510" s="2"/>
      <c r="X1510" s="2"/>
      <c r="Y1510" s="2"/>
      <c r="Z1510" s="2"/>
      <c r="AA1510" s="2"/>
      <c r="AB1510" s="2"/>
      <c r="AC1510" s="108" t="b">
        <f>AC1509</f>
        <v>0</v>
      </c>
      <c r="AD1510" s="108" t="b">
        <f t="shared" ref="AD1510:AI1510" si="687">AD1509</f>
        <v>0</v>
      </c>
      <c r="AE1510" s="108" t="b">
        <f t="shared" si="687"/>
        <v>0</v>
      </c>
      <c r="AF1510" s="108" t="b">
        <f t="shared" si="687"/>
        <v>0</v>
      </c>
      <c r="AG1510" s="108" t="b">
        <f t="shared" si="687"/>
        <v>0</v>
      </c>
      <c r="AH1510" s="108" t="b">
        <f t="shared" si="687"/>
        <v>0</v>
      </c>
      <c r="AI1510" s="108" t="b">
        <f t="shared" si="687"/>
        <v>0</v>
      </c>
      <c r="AJ1510" s="2"/>
      <c r="AK1510" s="2"/>
      <c r="AL1510" s="2"/>
    </row>
    <row r="1511" spans="1:38" ht="5.15" customHeight="1" x14ac:dyDescent="0.25">
      <c r="A1511" s="2"/>
      <c r="B1511" s="178"/>
      <c r="C1511" s="779"/>
      <c r="D1511" s="416"/>
      <c r="E1511" s="416"/>
      <c r="F1511" s="416"/>
      <c r="G1511" s="416"/>
      <c r="H1511" s="416"/>
      <c r="I1511" s="416"/>
      <c r="J1511" s="416"/>
      <c r="K1511" s="416"/>
      <c r="L1511" s="416"/>
      <c r="M1511" s="416"/>
      <c r="N1511" s="1149"/>
      <c r="O1511" s="15"/>
      <c r="P1511" s="15"/>
      <c r="Q1511" s="343"/>
      <c r="R1511" s="2"/>
      <c r="S1511" s="343"/>
      <c r="T1511" s="2"/>
      <c r="U1511" s="2"/>
      <c r="V1511" s="343"/>
      <c r="W1511" s="2"/>
      <c r="X1511" s="2"/>
      <c r="Y1511" s="2"/>
      <c r="Z1511" s="2"/>
      <c r="AA1511" s="2"/>
      <c r="AB1511" s="2"/>
      <c r="AC1511" s="2"/>
      <c r="AD1511" s="2"/>
      <c r="AE1511" s="2"/>
      <c r="AF1511" s="2"/>
      <c r="AG1511" s="2"/>
      <c r="AH1511" s="2"/>
      <c r="AI1511" s="2"/>
      <c r="AJ1511" s="2"/>
      <c r="AK1511" s="2"/>
      <c r="AL1511" s="2"/>
    </row>
    <row r="1512" spans="1:38" ht="12.75" customHeight="1" thickBot="1" x14ac:dyDescent="0.3">
      <c r="A1512" s="2"/>
      <c r="B1512" s="178"/>
      <c r="C1512" s="779"/>
      <c r="D1512" s="373"/>
      <c r="E1512" s="2605" t="str">
        <f>Translations!$B$655</f>
        <v>Exporterade mängder:</v>
      </c>
      <c r="F1512" s="2497"/>
      <c r="G1512" s="415" t="str">
        <f>EUconst_Unit</f>
        <v>Enhet</v>
      </c>
      <c r="H1512" s="362">
        <f t="shared" ref="H1512:N1512" si="688">H$3042</f>
        <v>2019</v>
      </c>
      <c r="I1512" s="1103">
        <f t="shared" si="688"/>
        <v>2020</v>
      </c>
      <c r="J1512" s="1104">
        <f t="shared" si="688"/>
        <v>2021</v>
      </c>
      <c r="K1512" s="362">
        <f t="shared" si="688"/>
        <v>2022</v>
      </c>
      <c r="L1512" s="362">
        <f t="shared" si="688"/>
        <v>2023</v>
      </c>
      <c r="M1512" s="362">
        <f t="shared" si="688"/>
        <v>2024</v>
      </c>
      <c r="N1512" s="1141">
        <f t="shared" si="688"/>
        <v>2025</v>
      </c>
      <c r="O1512" s="15"/>
      <c r="P1512" s="15"/>
      <c r="Q1512" s="343"/>
      <c r="R1512" s="2"/>
      <c r="S1512" s="343"/>
      <c r="T1512" s="2"/>
      <c r="U1512" s="2"/>
      <c r="V1512" s="343"/>
      <c r="W1512" s="2"/>
      <c r="X1512" s="2"/>
      <c r="Y1512" s="2"/>
      <c r="Z1512" s="2"/>
      <c r="AA1512" s="2"/>
      <c r="AB1512" s="2"/>
      <c r="AC1512" s="1044">
        <f t="shared" ref="AC1512:AI1512" si="689">H$20</f>
        <v>2019</v>
      </c>
      <c r="AD1512" s="1044">
        <f t="shared" si="689"/>
        <v>2020</v>
      </c>
      <c r="AE1512" s="1044">
        <f t="shared" si="689"/>
        <v>2021</v>
      </c>
      <c r="AF1512" s="1044">
        <f t="shared" si="689"/>
        <v>2022</v>
      </c>
      <c r="AG1512" s="1044">
        <f t="shared" si="689"/>
        <v>2023</v>
      </c>
      <c r="AH1512" s="1044">
        <f t="shared" si="689"/>
        <v>2024</v>
      </c>
      <c r="AI1512" s="1044">
        <f t="shared" si="689"/>
        <v>2025</v>
      </c>
      <c r="AJ1512" s="2"/>
      <c r="AK1512" s="2"/>
      <c r="AL1512" s="2"/>
    </row>
    <row r="1513" spans="1:38" ht="12.75" customHeight="1" x14ac:dyDescent="0.25">
      <c r="A1513" s="2"/>
      <c r="B1513" s="178"/>
      <c r="C1513" s="779"/>
      <c r="D1513" s="416" t="s">
        <v>23</v>
      </c>
      <c r="E1513" s="2606"/>
      <c r="F1513" s="2607"/>
      <c r="G1513" s="59" t="str">
        <f>IF(E1513&lt;&gt;"",INDEX(EUconst_BMlistUnits,MATCH(E1513,EUconst_BMlistNames,0)),EUconst_Tons)</f>
        <v>ton</v>
      </c>
      <c r="H1513" s="1319"/>
      <c r="I1513" s="1320"/>
      <c r="J1513" s="1321"/>
      <c r="K1513" s="1319"/>
      <c r="L1513" s="1319"/>
      <c r="M1513" s="1319"/>
      <c r="N1513" s="1322"/>
      <c r="O1513" s="15"/>
      <c r="P1513" s="1362"/>
      <c r="Q1513" s="165" t="str">
        <f>EUconst_CNTR_IntermediateExport &amp; S1509 &amp; "_" &amp; I1221</f>
        <v>IntExp_1_</v>
      </c>
      <c r="R1513" s="2"/>
      <c r="S1513" s="165">
        <v>1</v>
      </c>
      <c r="T1513" s="2"/>
      <c r="U1513" s="2"/>
      <c r="V1513" s="343"/>
      <c r="W1513" s="2"/>
      <c r="X1513" s="413"/>
      <c r="Y1513" s="413"/>
      <c r="Z1513" s="2"/>
      <c r="AA1513" s="2"/>
      <c r="AB1513" s="672" t="s">
        <v>782</v>
      </c>
      <c r="AC1513" s="108" t="b">
        <f>AC1509</f>
        <v>0</v>
      </c>
      <c r="AD1513" s="108" t="b">
        <f t="shared" ref="AD1513:AI1513" si="690">AD1509</f>
        <v>0</v>
      </c>
      <c r="AE1513" s="108" t="b">
        <f t="shared" si="690"/>
        <v>0</v>
      </c>
      <c r="AF1513" s="108" t="b">
        <f t="shared" si="690"/>
        <v>0</v>
      </c>
      <c r="AG1513" s="108" t="b">
        <f t="shared" si="690"/>
        <v>0</v>
      </c>
      <c r="AH1513" s="108" t="b">
        <f t="shared" si="690"/>
        <v>0</v>
      </c>
      <c r="AI1513" s="108" t="b">
        <f t="shared" si="690"/>
        <v>0</v>
      </c>
      <c r="AJ1513" s="553" t="s">
        <v>2248</v>
      </c>
      <c r="AK1513" s="663" t="str">
        <f>IF(AND(CNTR_ExistSubInstEntries,MSconst_RequireSubAttrEmissions,COUNTIFS(AC1513:AI1513,FALSE,H1513:N1513,"")&gt;0),EUconst_Error&amp;"BM"&amp;$Q1221,"")</f>
        <v/>
      </c>
      <c r="AL1513" s="2"/>
    </row>
    <row r="1514" spans="1:38" ht="12.75" customHeight="1" x14ac:dyDescent="0.25">
      <c r="A1514" s="2"/>
      <c r="B1514" s="178"/>
      <c r="C1514" s="779"/>
      <c r="D1514" s="416" t="s">
        <v>859</v>
      </c>
      <c r="E1514" s="2608"/>
      <c r="F1514" s="2609"/>
      <c r="G1514" s="51" t="str">
        <f>IF(E1514&lt;&gt;"",INDEX(EUconst_BMlistUnits,MATCH(E1514,EUconst_BMlistNames,0)),EUconst_Tons)</f>
        <v>ton</v>
      </c>
      <c r="H1514" s="1323"/>
      <c r="I1514" s="1324"/>
      <c r="J1514" s="1325"/>
      <c r="K1514" s="1323"/>
      <c r="L1514" s="1323"/>
      <c r="M1514" s="1323"/>
      <c r="N1514" s="1326"/>
      <c r="O1514" s="15"/>
      <c r="P1514" s="1362"/>
      <c r="Q1514" s="165" t="str">
        <f>EUconst_CNTR_IntermediateExport &amp; S1514 &amp; "_" &amp; I1221</f>
        <v>IntExp_2_</v>
      </c>
      <c r="R1514" s="2"/>
      <c r="S1514" s="165">
        <v>2</v>
      </c>
      <c r="T1514" s="2"/>
      <c r="U1514" s="2"/>
      <c r="V1514" s="343"/>
      <c r="W1514" s="2"/>
      <c r="X1514" s="413"/>
      <c r="Y1514" s="413"/>
      <c r="Z1514" s="2"/>
      <c r="AA1514" s="2"/>
      <c r="AB1514" s="2"/>
      <c r="AC1514" s="108" t="b">
        <f t="shared" ref="AC1514:AI1514" si="691">AC1510</f>
        <v>0</v>
      </c>
      <c r="AD1514" s="108" t="b">
        <f t="shared" si="691"/>
        <v>0</v>
      </c>
      <c r="AE1514" s="108" t="b">
        <f t="shared" si="691"/>
        <v>0</v>
      </c>
      <c r="AF1514" s="108" t="b">
        <f t="shared" si="691"/>
        <v>0</v>
      </c>
      <c r="AG1514" s="108" t="b">
        <f t="shared" si="691"/>
        <v>0</v>
      </c>
      <c r="AH1514" s="108" t="b">
        <f t="shared" si="691"/>
        <v>0</v>
      </c>
      <c r="AI1514" s="108" t="b">
        <f t="shared" si="691"/>
        <v>0</v>
      </c>
      <c r="AJ1514" s="2"/>
      <c r="AK1514" s="2"/>
      <c r="AL1514" s="2"/>
    </row>
    <row r="1515" spans="1:38" ht="5.15" customHeight="1" x14ac:dyDescent="0.25">
      <c r="A1515" s="2"/>
      <c r="B1515" s="178"/>
      <c r="C1515" s="779"/>
      <c r="D1515" s="416"/>
      <c r="E1515" s="416"/>
      <c r="F1515" s="416"/>
      <c r="G1515" s="416"/>
      <c r="H1515" s="416"/>
      <c r="I1515" s="416"/>
      <c r="J1515" s="416"/>
      <c r="K1515" s="416"/>
      <c r="L1515" s="416"/>
      <c r="M1515" s="416"/>
      <c r="N1515" s="1810"/>
      <c r="O1515" s="15"/>
      <c r="P1515" s="15"/>
      <c r="Q1515" s="343"/>
      <c r="R1515" s="2"/>
      <c r="S1515" s="343"/>
      <c r="T1515" s="2"/>
      <c r="U1515" s="2"/>
      <c r="V1515" s="343"/>
      <c r="W1515" s="2"/>
      <c r="X1515" s="413"/>
      <c r="Y1515" s="413"/>
      <c r="Z1515" s="2"/>
      <c r="AA1515" s="2"/>
      <c r="AB1515" s="2"/>
      <c r="AC1515" s="2"/>
      <c r="AD1515" s="2"/>
      <c r="AE1515" s="2"/>
      <c r="AF1515" s="2"/>
      <c r="AG1515" s="2"/>
      <c r="AH1515" s="2"/>
      <c r="AI1515" s="2"/>
      <c r="AJ1515" s="2"/>
      <c r="AK1515" s="2"/>
      <c r="AL1515" s="2"/>
    </row>
    <row r="1516" spans="1:38" ht="12.75" customHeight="1" x14ac:dyDescent="0.25">
      <c r="A1516" s="2"/>
      <c r="B1516" s="178"/>
      <c r="C1516" s="779"/>
      <c r="D1516" s="416" t="s">
        <v>860</v>
      </c>
      <c r="E1516" s="623" t="str">
        <f>Translations!$B$656</f>
        <v>Beskrivning av importerade eller exporterade mellanprodukter</v>
      </c>
      <c r="F1516" s="623"/>
      <c r="G1516" s="623"/>
      <c r="H1516" s="623"/>
      <c r="I1516" s="623"/>
      <c r="J1516" s="623"/>
      <c r="K1516" s="623"/>
      <c r="L1516" s="623"/>
      <c r="M1516" s="623"/>
      <c r="N1516" s="1810"/>
      <c r="O1516" s="15"/>
      <c r="P1516" s="15"/>
      <c r="Q1516" s="343"/>
      <c r="R1516" s="2"/>
      <c r="S1516" s="343"/>
      <c r="T1516" s="2"/>
      <c r="U1516" s="2"/>
      <c r="V1516" s="343"/>
      <c r="W1516" s="2"/>
      <c r="X1516" s="413"/>
      <c r="Y1516" s="413"/>
      <c r="Z1516" s="2"/>
      <c r="AA1516" s="2"/>
      <c r="AB1516" s="2"/>
      <c r="AC1516" s="2"/>
      <c r="AD1516" s="2"/>
      <c r="AE1516" s="2"/>
      <c r="AF1516" s="2"/>
      <c r="AG1516" s="2"/>
      <c r="AH1516" s="2"/>
      <c r="AI1516" s="2"/>
      <c r="AJ1516" s="2"/>
      <c r="AK1516" s="2"/>
      <c r="AL1516" s="2"/>
    </row>
    <row r="1517" spans="1:38" ht="12.75" customHeight="1" x14ac:dyDescent="0.25">
      <c r="A1517" s="2"/>
      <c r="B1517" s="178"/>
      <c r="C1517" s="779"/>
      <c r="D1517" s="416"/>
      <c r="E1517" s="1139" t="str">
        <f>Translations!$B$657</f>
        <v>Var god ge en kort beskrivning av produktionsprocessen för importerade eller exporterade mellanprodukter</v>
      </c>
      <c r="F1517" s="1806"/>
      <c r="G1517" s="1806"/>
      <c r="H1517" s="1806"/>
      <c r="I1517" s="1806"/>
      <c r="J1517" s="1806"/>
      <c r="K1517" s="1806"/>
      <c r="L1517" s="1806"/>
      <c r="M1517" s="1806"/>
      <c r="N1517" s="1807"/>
      <c r="O1517" s="15"/>
      <c r="P1517" s="15"/>
      <c r="Q1517" s="343"/>
      <c r="R1517" s="2"/>
      <c r="S1517" s="343"/>
      <c r="T1517" s="2"/>
      <c r="U1517" s="2"/>
      <c r="V1517" s="343"/>
      <c r="W1517" s="2"/>
      <c r="X1517" s="413"/>
      <c r="Y1517" s="413"/>
      <c r="Z1517" s="2"/>
      <c r="AA1517" s="2"/>
      <c r="AB1517" s="2"/>
      <c r="AC1517" s="2"/>
      <c r="AD1517" s="2"/>
      <c r="AE1517" s="2"/>
      <c r="AF1517" s="2"/>
      <c r="AG1517" s="2"/>
      <c r="AH1517" s="2"/>
      <c r="AI1517" s="2"/>
      <c r="AJ1517" s="2"/>
      <c r="AK1517" s="2"/>
      <c r="AL1517" s="2"/>
    </row>
    <row r="1518" spans="1:38" ht="12.75" customHeight="1" x14ac:dyDescent="0.25">
      <c r="A1518" s="2"/>
      <c r="B1518" s="178"/>
      <c r="C1518" s="779"/>
      <c r="D1518" s="416"/>
      <c r="E1518" s="2599"/>
      <c r="F1518" s="2600"/>
      <c r="G1518" s="2600"/>
      <c r="H1518" s="2600"/>
      <c r="I1518" s="2600"/>
      <c r="J1518" s="2600"/>
      <c r="K1518" s="2600"/>
      <c r="L1518" s="2600"/>
      <c r="M1518" s="2601"/>
      <c r="N1518" s="1810"/>
      <c r="O1518" s="15"/>
      <c r="P1518" s="1362"/>
      <c r="Q1518" s="343"/>
      <c r="R1518" s="2"/>
      <c r="S1518" s="343"/>
      <c r="T1518" s="2"/>
      <c r="U1518" s="2"/>
      <c r="V1518" s="343"/>
      <c r="W1518" s="2"/>
      <c r="X1518" s="413"/>
      <c r="Y1518" s="413"/>
      <c r="Z1518" s="2"/>
      <c r="AA1518" s="2"/>
      <c r="AB1518" s="672" t="s">
        <v>782</v>
      </c>
      <c r="AC1518" s="108" t="b">
        <f>AND(AC1513:AI1513)</f>
        <v>0</v>
      </c>
      <c r="AD1518" s="2"/>
      <c r="AE1518" s="2"/>
      <c r="AF1518" s="2"/>
      <c r="AG1518" s="2"/>
      <c r="AH1518" s="2"/>
      <c r="AI1518" s="2"/>
      <c r="AJ1518" s="2"/>
      <c r="AK1518" s="2"/>
      <c r="AL1518" s="2"/>
    </row>
    <row r="1519" spans="1:38" ht="12.75" customHeight="1" x14ac:dyDescent="0.25">
      <c r="A1519" s="2"/>
      <c r="B1519" s="178"/>
      <c r="C1519" s="779"/>
      <c r="D1519" s="416"/>
      <c r="E1519" s="2602"/>
      <c r="F1519" s="2603"/>
      <c r="G1519" s="2603"/>
      <c r="H1519" s="2603"/>
      <c r="I1519" s="2603"/>
      <c r="J1519" s="2603"/>
      <c r="K1519" s="2603"/>
      <c r="L1519" s="2603"/>
      <c r="M1519" s="2604"/>
      <c r="N1519" s="1810"/>
      <c r="O1519" s="15"/>
      <c r="P1519" s="15"/>
      <c r="Q1519" s="343"/>
      <c r="R1519" s="2"/>
      <c r="S1519" s="343"/>
      <c r="T1519" s="2"/>
      <c r="U1519" s="2"/>
      <c r="V1519" s="343"/>
      <c r="W1519" s="2"/>
      <c r="X1519" s="413"/>
      <c r="Y1519" s="413"/>
      <c r="Z1519" s="2"/>
      <c r="AA1519" s="2"/>
      <c r="AB1519" s="2"/>
      <c r="AC1519" s="108" t="b">
        <f>AC1518</f>
        <v>0</v>
      </c>
      <c r="AD1519" s="2"/>
      <c r="AE1519" s="2"/>
      <c r="AF1519" s="2"/>
      <c r="AG1519" s="2"/>
      <c r="AH1519" s="2"/>
      <c r="AI1519" s="2"/>
      <c r="AJ1519" s="2"/>
      <c r="AK1519" s="2"/>
      <c r="AL1519" s="2"/>
    </row>
    <row r="1520" spans="1:38" ht="12.75" customHeight="1" thickBot="1" x14ac:dyDescent="0.3">
      <c r="A1520" s="2"/>
      <c r="B1520" s="178"/>
      <c r="C1520" s="781"/>
      <c r="D1520" s="782"/>
      <c r="E1520" s="782"/>
      <c r="F1520" s="782"/>
      <c r="G1520" s="782"/>
      <c r="H1520" s="782"/>
      <c r="I1520" s="782"/>
      <c r="J1520" s="782"/>
      <c r="K1520" s="782"/>
      <c r="L1520" s="782"/>
      <c r="M1520" s="783"/>
      <c r="N1520" s="784"/>
      <c r="O1520" s="15"/>
      <c r="P1520" s="15"/>
      <c r="Q1520" s="343"/>
      <c r="R1520" s="2"/>
      <c r="S1520" s="343"/>
      <c r="T1520" s="2"/>
      <c r="U1520" s="2"/>
      <c r="V1520" s="343"/>
      <c r="W1520" s="2"/>
      <c r="X1520" s="2"/>
      <c r="Y1520" s="2"/>
      <c r="Z1520" s="2"/>
      <c r="AA1520" s="2"/>
      <c r="AB1520" s="2"/>
      <c r="AC1520" s="2"/>
      <c r="AD1520" s="2"/>
      <c r="AE1520" s="2"/>
      <c r="AF1520" s="2"/>
      <c r="AG1520" s="2"/>
      <c r="AH1520" s="2"/>
      <c r="AI1520" s="2"/>
      <c r="AJ1520" s="2"/>
      <c r="AK1520" s="2"/>
      <c r="AL1520" s="2"/>
    </row>
    <row r="1521" spans="1:38" ht="12.75" customHeight="1" thickBot="1" x14ac:dyDescent="0.3">
      <c r="A1521" s="343"/>
      <c r="B1521" s="3"/>
      <c r="C1521" s="3"/>
      <c r="D1521" s="3"/>
      <c r="E1521" s="3"/>
      <c r="F1521" s="3"/>
      <c r="G1521" s="3"/>
      <c r="H1521" s="3"/>
      <c r="I1521" s="3"/>
      <c r="J1521" s="3"/>
      <c r="K1521" s="3"/>
      <c r="L1521" s="3"/>
      <c r="M1521" s="6"/>
      <c r="N1521" s="6"/>
      <c r="O1521" s="6"/>
      <c r="P1521" s="6"/>
      <c r="Q1521" s="294" t="str">
        <f>IF(OR(AND(CNTR_ExistProductSubEntries=FALSE,Q1221=1),AND(I1221&lt;&gt;"",COUNTIF(Q1522:$Q3071,"PRINT")=0)),"PRINT","")</f>
        <v/>
      </c>
      <c r="R1521" s="7"/>
      <c r="S1521" s="7"/>
      <c r="T1521" s="7"/>
      <c r="U1521" s="7"/>
      <c r="V1521" s="7"/>
      <c r="W1521" s="7"/>
      <c r="X1521" s="7"/>
      <c r="Y1521" s="7"/>
      <c r="Z1521" s="2"/>
      <c r="AA1521" s="2"/>
      <c r="AB1521" s="2"/>
      <c r="AC1521" s="2"/>
      <c r="AD1521" s="2"/>
      <c r="AE1521" s="349"/>
      <c r="AF1521" s="349"/>
      <c r="AG1521" s="349"/>
      <c r="AH1521" s="349"/>
      <c r="AI1521" s="349"/>
      <c r="AJ1521" s="349"/>
      <c r="AK1521" s="349"/>
      <c r="AL1521" s="349"/>
    </row>
    <row r="1522" spans="1:38" ht="5.15" customHeight="1" thickBot="1" x14ac:dyDescent="0.3">
      <c r="A1522" s="2"/>
      <c r="B1522" s="178"/>
      <c r="C1522" s="785"/>
      <c r="D1522" s="785"/>
      <c r="E1522" s="785"/>
      <c r="F1522" s="785"/>
      <c r="G1522" s="785"/>
      <c r="H1522" s="785"/>
      <c r="I1522" s="785"/>
      <c r="J1522" s="785"/>
      <c r="K1522" s="785"/>
      <c r="L1522" s="785"/>
      <c r="M1522" s="785"/>
      <c r="N1522" s="785"/>
      <c r="O1522" s="15"/>
      <c r="P1522" s="15"/>
      <c r="Q1522" s="1723"/>
      <c r="R1522" s="1723"/>
      <c r="S1522" s="1723"/>
      <c r="T1522" s="1723"/>
      <c r="U1522" s="1723"/>
      <c r="V1522" s="1723"/>
      <c r="W1522" s="1723"/>
      <c r="X1522" s="1723"/>
      <c r="Y1522" s="1723"/>
      <c r="Z1522" s="1723"/>
      <c r="AA1522" s="1723"/>
      <c r="AB1522" s="1723"/>
      <c r="AC1522" s="1723"/>
      <c r="AD1522" s="1723"/>
      <c r="AE1522" s="1723"/>
      <c r="AF1522" s="1723"/>
      <c r="AG1522" s="1723"/>
      <c r="AH1522" s="1723"/>
      <c r="AI1522" s="1723"/>
      <c r="AJ1522" s="1723"/>
      <c r="AK1522" s="1723"/>
      <c r="AL1522" s="1723"/>
    </row>
    <row r="1523" spans="1:38" ht="14.5" thickBot="1" x14ac:dyDescent="0.3">
      <c r="A1523" s="2"/>
      <c r="B1523" s="178"/>
      <c r="C1523" s="771">
        <f>C1221+1</f>
        <v>6</v>
      </c>
      <c r="D1523" s="2053" t="str">
        <f>EUconst_BMSubinst &amp; ":"</f>
        <v>Delanläggning med produktriktmärke:</v>
      </c>
      <c r="E1523" s="1963"/>
      <c r="F1523" s="1963"/>
      <c r="G1523" s="1963"/>
      <c r="H1523" s="2060"/>
      <c r="I1523" s="2090" t="str">
        <f>IF(INDEX(CNTR_SubInstListIsProdBM,$C1523),INDEX(CNTR_SubInstListNames,$C1523),"")</f>
        <v/>
      </c>
      <c r="J1523" s="2120"/>
      <c r="K1523" s="2120"/>
      <c r="L1523" s="2120"/>
      <c r="M1523" s="2120"/>
      <c r="N1523" s="2154"/>
      <c r="O1523" s="15"/>
      <c r="P1523" s="15"/>
      <c r="Q1523" s="294">
        <f>C1523</f>
        <v>6</v>
      </c>
      <c r="R1523" s="2"/>
      <c r="S1523" s="553" t="s">
        <v>608</v>
      </c>
      <c r="T1523" s="979" t="str">
        <f>IF(I1523="","",MAX(INDEX(CNTR_SubInstStartDate,MATCH($I1523,CNTR_SubInstListNames,0)),DATE(2005,1,1)))</f>
        <v/>
      </c>
      <c r="U1523" s="343" t="s">
        <v>1873</v>
      </c>
      <c r="V1523" s="663">
        <f>IF(ISNUMBER(T1523),YEAR($T1523-IF(YEAR(T1523)&gt;=2022,0,1))+1,2005)</f>
        <v>2005</v>
      </c>
      <c r="W1523" s="553" t="s">
        <v>1876</v>
      </c>
      <c r="X1523" s="979" t="str">
        <f>IF(I1523="","",INDEX(CNTR_SubInstCessationDate,MATCH($I1523,CNTR_SubInstListNames,0)))</f>
        <v/>
      </c>
      <c r="Y1523" s="553" t="s">
        <v>1877</v>
      </c>
      <c r="Z1523" s="663">
        <f>IF(SUM(X1523)=0,2050,YEAR($X1523))</f>
        <v>2050</v>
      </c>
      <c r="AA1523" s="553" t="s">
        <v>2201</v>
      </c>
      <c r="AB1523" s="663" t="b">
        <f>CNTR_ReportingYear&gt;V1523</f>
        <v>1</v>
      </c>
      <c r="AC1523" s="2"/>
      <c r="AD1523" s="2"/>
      <c r="AE1523" s="2"/>
      <c r="AF1523" s="2"/>
      <c r="AG1523" s="2"/>
      <c r="AH1523" s="2"/>
      <c r="AI1523" s="2"/>
      <c r="AJ1523" s="2"/>
      <c r="AK1523" s="2"/>
      <c r="AL1523" s="555" t="b">
        <f>AND(CNTR_ExistSubInstEntries,I1523="")</f>
        <v>0</v>
      </c>
    </row>
    <row r="1524" spans="1:38" ht="12.75" customHeight="1" x14ac:dyDescent="0.25">
      <c r="A1524" s="2"/>
      <c r="B1524" s="178"/>
      <c r="C1524" s="178"/>
      <c r="D1524" s="15"/>
      <c r="E1524" s="2061" t="str">
        <f>Translations!$B$360</f>
        <v>Namnet på delanläggningen med produktriktmärke visas automatiskt i inmatningsfälten i blad ”A_InstallationData”.</v>
      </c>
      <c r="F1524" s="1963"/>
      <c r="G1524" s="1963"/>
      <c r="H1524" s="1963"/>
      <c r="I1524" s="1963"/>
      <c r="J1524" s="1963"/>
      <c r="K1524" s="1963"/>
      <c r="L1524" s="1963"/>
      <c r="M1524" s="1963"/>
      <c r="N1524" s="1963"/>
      <c r="O1524" s="15"/>
      <c r="P1524" s="15"/>
      <c r="Q1524" s="343"/>
      <c r="R1524" s="2"/>
      <c r="S1524" s="343"/>
      <c r="T1524" s="343"/>
      <c r="U1524" s="2"/>
      <c r="V1524" s="2"/>
      <c r="W1524" s="2"/>
      <c r="X1524" s="2"/>
      <c r="Y1524" s="2"/>
      <c r="Z1524" s="2"/>
      <c r="AA1524" s="2"/>
      <c r="AB1524" s="2"/>
      <c r="AC1524" s="2"/>
      <c r="AD1524" s="2"/>
      <c r="AE1524" s="2"/>
      <c r="AF1524" s="2"/>
      <c r="AG1524" s="2"/>
      <c r="AH1524" s="2"/>
      <c r="AI1524" s="2"/>
      <c r="AJ1524" s="2"/>
      <c r="AK1524" s="2"/>
      <c r="AL1524" s="2"/>
    </row>
    <row r="1525" spans="1:38" ht="5.15" customHeight="1" x14ac:dyDescent="0.25">
      <c r="A1525" s="2"/>
      <c r="B1525" s="178"/>
      <c r="C1525" s="178"/>
      <c r="D1525" s="178"/>
      <c r="E1525" s="178"/>
      <c r="F1525" s="178"/>
      <c r="G1525" s="178"/>
      <c r="H1525" s="178"/>
      <c r="I1525" s="178"/>
      <c r="J1525" s="178"/>
      <c r="K1525" s="178"/>
      <c r="L1525" s="178"/>
      <c r="M1525" s="15"/>
      <c r="N1525" s="15"/>
      <c r="O1525" s="15"/>
      <c r="P1525" s="15"/>
      <c r="Q1525" s="343"/>
      <c r="R1525" s="2"/>
      <c r="S1525" s="343"/>
      <c r="T1525" s="343"/>
      <c r="U1525" s="2"/>
      <c r="V1525" s="2"/>
      <c r="W1525" s="2"/>
      <c r="X1525" s="2"/>
      <c r="Y1525" s="2"/>
      <c r="Z1525" s="2"/>
      <c r="AA1525" s="2"/>
      <c r="AB1525" s="2"/>
      <c r="AC1525" s="2"/>
      <c r="AD1525" s="2"/>
      <c r="AE1525" s="2"/>
      <c r="AF1525" s="2"/>
      <c r="AG1525" s="2"/>
      <c r="AH1525" s="2"/>
      <c r="AI1525" s="2"/>
      <c r="AJ1525" s="2"/>
      <c r="AK1525" s="2"/>
      <c r="AL1525" s="2"/>
    </row>
    <row r="1526" spans="1:38" ht="13" x14ac:dyDescent="0.25">
      <c r="A1526" s="2"/>
      <c r="B1526" s="178"/>
      <c r="C1526" s="178"/>
      <c r="D1526" s="13" t="s">
        <v>442</v>
      </c>
      <c r="E1526" s="1943" t="str">
        <f>Translations!$B$1466</f>
        <v>Verksamhetsnivåer</v>
      </c>
      <c r="F1526" s="1963"/>
      <c r="G1526" s="1963"/>
      <c r="H1526" s="1963"/>
      <c r="I1526" s="1963"/>
      <c r="J1526" s="1963"/>
      <c r="K1526" s="1963"/>
      <c r="L1526" s="1963"/>
      <c r="M1526" s="1963"/>
      <c r="N1526" s="1963"/>
      <c r="O1526" s="15"/>
      <c r="P1526" s="15"/>
      <c r="Q1526" s="343"/>
      <c r="R1526" s="2"/>
      <c r="S1526" s="2"/>
      <c r="T1526" s="2"/>
      <c r="U1526" s="2"/>
      <c r="V1526" s="2"/>
      <c r="W1526" s="2"/>
      <c r="X1526" s="2"/>
      <c r="Y1526" s="2"/>
      <c r="Z1526" s="2"/>
      <c r="AA1526" s="2"/>
      <c r="AB1526" s="2"/>
      <c r="AC1526" s="2"/>
      <c r="AD1526" s="2"/>
      <c r="AE1526" s="2"/>
      <c r="AF1526" s="2"/>
      <c r="AG1526" s="2"/>
      <c r="AH1526" s="2"/>
      <c r="AI1526" s="2"/>
      <c r="AJ1526" s="2"/>
      <c r="AK1526" s="2"/>
      <c r="AL1526" s="2"/>
    </row>
    <row r="1527" spans="1:38" ht="12.75" customHeight="1" x14ac:dyDescent="0.25">
      <c r="A1527" s="2"/>
      <c r="B1527" s="178"/>
      <c r="C1527" s="178"/>
      <c r="D1527" s="15"/>
      <c r="E1527" s="2061" t="str">
        <f>Translations!$B$514</f>
        <v>I denna punkt ska de ”huvudsakliga verksamhetsnivåerna” anges, dvs. de uppgifter som är direkt tillämpliga för att beräkna tilldelningen.</v>
      </c>
      <c r="F1527" s="1963"/>
      <c r="G1527" s="1963"/>
      <c r="H1527" s="1963"/>
      <c r="I1527" s="1963"/>
      <c r="J1527" s="1963"/>
      <c r="K1527" s="1963"/>
      <c r="L1527" s="1963"/>
      <c r="M1527" s="1963"/>
      <c r="N1527" s="1963"/>
      <c r="O1527" s="15"/>
      <c r="P1527" s="15"/>
      <c r="Q1527" s="343"/>
      <c r="R1527" s="2"/>
      <c r="S1527" s="343"/>
      <c r="T1527" s="343"/>
      <c r="U1527" s="343"/>
      <c r="V1527" s="2"/>
      <c r="W1527" s="2"/>
      <c r="X1527" s="2"/>
      <c r="Y1527" s="2"/>
      <c r="Z1527" s="2"/>
      <c r="AA1527" s="2"/>
      <c r="AB1527" s="2"/>
      <c r="AC1527" s="2"/>
      <c r="AD1527" s="2"/>
      <c r="AE1527" s="2"/>
      <c r="AF1527" s="2"/>
      <c r="AG1527" s="2"/>
      <c r="AH1527" s="2"/>
      <c r="AI1527" s="2"/>
      <c r="AJ1527" s="2"/>
      <c r="AK1527" s="2"/>
      <c r="AL1527" s="2"/>
    </row>
    <row r="1528" spans="1:38" ht="12.75" customHeight="1" x14ac:dyDescent="0.25">
      <c r="A1528" s="2"/>
      <c r="B1528" s="178"/>
      <c r="C1528" s="178"/>
      <c r="D1528" s="15"/>
      <c r="E1528" s="2061" t="str">
        <f>Translations!$B$515</f>
        <v xml:space="preserve">Detta är i regel produktionsuppgifter för produkten, t.ex. grå cementklinker i ton eller glasflaskor i ton, i enlighet med bilaga I till FAR. </v>
      </c>
      <c r="F1528" s="1963"/>
      <c r="G1528" s="1963"/>
      <c r="H1528" s="1963"/>
      <c r="I1528" s="1963"/>
      <c r="J1528" s="1963"/>
      <c r="K1528" s="1963"/>
      <c r="L1528" s="1963"/>
      <c r="M1528" s="1963"/>
      <c r="N1528" s="1963"/>
      <c r="O1528" s="15"/>
      <c r="P1528" s="15"/>
      <c r="Q1528" s="343"/>
      <c r="R1528" s="2"/>
      <c r="S1528" s="343"/>
      <c r="T1528" s="343"/>
      <c r="U1528" s="343"/>
      <c r="V1528" s="2"/>
      <c r="W1528" s="2"/>
      <c r="X1528" s="2"/>
      <c r="Y1528" s="2"/>
      <c r="Z1528" s="2"/>
      <c r="AA1528" s="2"/>
      <c r="AB1528" s="2"/>
      <c r="AC1528" s="2"/>
      <c r="AD1528" s="2"/>
      <c r="AE1528" s="2"/>
      <c r="AF1528" s="2"/>
      <c r="AG1528" s="2"/>
      <c r="AH1528" s="2"/>
      <c r="AI1528" s="2"/>
      <c r="AJ1528" s="2"/>
      <c r="AK1528" s="2"/>
      <c r="AL1528" s="2"/>
    </row>
    <row r="1529" spans="1:38" ht="12.75" customHeight="1" x14ac:dyDescent="0.25">
      <c r="A1529" s="2"/>
      <c r="B1529" s="178"/>
      <c r="C1529" s="178"/>
      <c r="D1529" s="15"/>
      <c r="E1529" s="2061" t="str">
        <f>Translations!$B$516</f>
        <v>Om ett meddelande visas i punkt iv måste dock lämpligt beräkningsverktyg användas, och resultaten kopieras automatiskt in i tabellen i punkt ii.</v>
      </c>
      <c r="F1529" s="1963"/>
      <c r="G1529" s="1963"/>
      <c r="H1529" s="1963"/>
      <c r="I1529" s="1963"/>
      <c r="J1529" s="1963"/>
      <c r="K1529" s="1963"/>
      <c r="L1529" s="1963"/>
      <c r="M1529" s="1963"/>
      <c r="N1529" s="1963"/>
      <c r="O1529" s="15"/>
      <c r="P1529" s="15"/>
      <c r="Q1529" s="343"/>
      <c r="R1529" s="2"/>
      <c r="S1529" s="343"/>
      <c r="T1529" s="2"/>
      <c r="U1529" s="2"/>
      <c r="V1529" s="2"/>
      <c r="W1529" s="2"/>
      <c r="X1529" s="2"/>
      <c r="Y1529" s="2"/>
      <c r="Z1529" s="343"/>
      <c r="AA1529" s="2"/>
      <c r="AB1529" s="2"/>
      <c r="AC1529" s="2"/>
      <c r="AD1529" s="2"/>
      <c r="AE1529" s="2"/>
      <c r="AF1529" s="2"/>
      <c r="AG1529" s="2"/>
      <c r="AH1529" s="2"/>
      <c r="AI1529" s="2"/>
      <c r="AJ1529" s="2"/>
      <c r="AK1529" s="2"/>
      <c r="AL1529" s="2"/>
    </row>
    <row r="1530" spans="1:38" ht="13.5" customHeight="1" thickBot="1" x14ac:dyDescent="0.3">
      <c r="A1530" s="2"/>
      <c r="B1530" s="19"/>
      <c r="C1530" s="19"/>
      <c r="D1530" s="13"/>
      <c r="E1530" s="2062" t="str">
        <f>Translations!$B$517</f>
        <v>Årliga verksamhetsnivåer:</v>
      </c>
      <c r="F1530" s="2062"/>
      <c r="G1530" s="30" t="str">
        <f>EUconst_Unit</f>
        <v>Enhet</v>
      </c>
      <c r="H1530" s="320">
        <f t="shared" ref="H1530:N1530" si="692">H$3042</f>
        <v>2019</v>
      </c>
      <c r="I1530" s="342">
        <f t="shared" si="692"/>
        <v>2020</v>
      </c>
      <c r="J1530" s="987">
        <f t="shared" si="692"/>
        <v>2021</v>
      </c>
      <c r="K1530" s="320">
        <f t="shared" si="692"/>
        <v>2022</v>
      </c>
      <c r="L1530" s="320">
        <f t="shared" si="692"/>
        <v>2023</v>
      </c>
      <c r="M1530" s="320">
        <f t="shared" si="692"/>
        <v>2024</v>
      </c>
      <c r="N1530" s="350">
        <f t="shared" si="692"/>
        <v>2025</v>
      </c>
      <c r="O1530" s="15"/>
      <c r="P1530" s="15"/>
      <c r="Q1530" s="343"/>
      <c r="R1530" s="2"/>
      <c r="S1530" s="2"/>
      <c r="T1530" s="1044">
        <f t="shared" ref="T1530:Z1530" si="693">H1530</f>
        <v>2019</v>
      </c>
      <c r="U1530" s="1044">
        <f t="shared" si="693"/>
        <v>2020</v>
      </c>
      <c r="V1530" s="1044">
        <f t="shared" si="693"/>
        <v>2021</v>
      </c>
      <c r="W1530" s="1044">
        <f t="shared" si="693"/>
        <v>2022</v>
      </c>
      <c r="X1530" s="1044">
        <f t="shared" si="693"/>
        <v>2023</v>
      </c>
      <c r="Y1530" s="1044">
        <f t="shared" si="693"/>
        <v>2024</v>
      </c>
      <c r="Z1530" s="1044">
        <f t="shared" si="693"/>
        <v>2025</v>
      </c>
      <c r="AA1530" s="2"/>
      <c r="AB1530" s="2"/>
      <c r="AC1530" s="1044">
        <f t="shared" ref="AC1530:AI1530" si="694">H$20</f>
        <v>2019</v>
      </c>
      <c r="AD1530" s="1044">
        <f t="shared" si="694"/>
        <v>2020</v>
      </c>
      <c r="AE1530" s="1044">
        <f t="shared" si="694"/>
        <v>2021</v>
      </c>
      <c r="AF1530" s="1044">
        <f t="shared" si="694"/>
        <v>2022</v>
      </c>
      <c r="AG1530" s="1044">
        <f t="shared" si="694"/>
        <v>2023</v>
      </c>
      <c r="AH1530" s="1044">
        <f t="shared" si="694"/>
        <v>2024</v>
      </c>
      <c r="AI1530" s="1044">
        <f t="shared" si="694"/>
        <v>2025</v>
      </c>
      <c r="AJ1530" s="2"/>
      <c r="AK1530" s="2"/>
      <c r="AL1530" s="343"/>
    </row>
    <row r="1531" spans="1:38" ht="13" thickBot="1" x14ac:dyDescent="0.3">
      <c r="A1531" s="2"/>
      <c r="B1531" s="19"/>
      <c r="C1531" s="19"/>
      <c r="D1531" s="175" t="s">
        <v>8</v>
      </c>
      <c r="E1531" s="2655" t="str">
        <f>I1523</f>
        <v/>
      </c>
      <c r="F1531" s="2655"/>
      <c r="G1531" s="91" t="str">
        <f>IF(INDEX(CNTR_SubInstListIsProdBM,$C1523),INDEX(CNTR_SubInstListHALUnit,$C1523),EUconst_Tons)</f>
        <v>ton</v>
      </c>
      <c r="H1531" s="921"/>
      <c r="I1531" s="985"/>
      <c r="J1531" s="988"/>
      <c r="K1531" s="921"/>
      <c r="L1531" s="921"/>
      <c r="M1531" s="921"/>
      <c r="N1531" s="1124"/>
      <c r="O1531" s="15"/>
      <c r="P1531" s="1362"/>
      <c r="Q1531" s="2"/>
      <c r="R1531" s="2"/>
      <c r="S1531" s="343" t="s">
        <v>1874</v>
      </c>
      <c r="T1531" s="1762" t="b">
        <f t="shared" ref="T1531:Z1531" si="695">AND($I1523&lt;&gt;"",H1530&lt;CNTR_ReportingYear,H1530&gt;=$V1523-1)</f>
        <v>0</v>
      </c>
      <c r="U1531" s="1763" t="b">
        <f t="shared" si="695"/>
        <v>0</v>
      </c>
      <c r="V1531" s="1763" t="b">
        <f t="shared" si="695"/>
        <v>0</v>
      </c>
      <c r="W1531" s="1763" t="b">
        <f t="shared" si="695"/>
        <v>0</v>
      </c>
      <c r="X1531" s="1763" t="b">
        <f t="shared" si="695"/>
        <v>0</v>
      </c>
      <c r="Y1531" s="1763" t="b">
        <f t="shared" si="695"/>
        <v>0</v>
      </c>
      <c r="Z1531" s="1764" t="b">
        <f t="shared" si="695"/>
        <v>0</v>
      </c>
      <c r="AA1531" s="343"/>
      <c r="AB1531" s="672" t="s">
        <v>782</v>
      </c>
      <c r="AC1531" s="1755" t="b">
        <f t="shared" ref="AC1531:AI1531" si="696">IF(CNTR_ExistSubInstEntries,OR($I1523="",$R1535,H1530&gt;=CNTR_ReportingYear,AC1530&lt;$V1523-1),FALSE)</f>
        <v>0</v>
      </c>
      <c r="AD1531" s="1042" t="b">
        <f t="shared" si="696"/>
        <v>0</v>
      </c>
      <c r="AE1531" s="1042" t="b">
        <f t="shared" si="696"/>
        <v>0</v>
      </c>
      <c r="AF1531" s="1042" t="b">
        <f t="shared" si="696"/>
        <v>0</v>
      </c>
      <c r="AG1531" s="1042" t="b">
        <f t="shared" si="696"/>
        <v>0</v>
      </c>
      <c r="AH1531" s="1042" t="b">
        <f t="shared" si="696"/>
        <v>0</v>
      </c>
      <c r="AI1531" s="1043" t="b">
        <f t="shared" si="696"/>
        <v>0</v>
      </c>
      <c r="AJ1531" s="553" t="s">
        <v>2248</v>
      </c>
      <c r="AK1531" s="663" t="str">
        <f>IF(AND(CNTR_ExistSubInstEntries,COUNTIFS(AC1531:AI1531,FALSE,H1531:N1531,"")&gt;0),EUconst_Error&amp;"BM"&amp;$Q1523,"")</f>
        <v/>
      </c>
      <c r="AL1531" s="2"/>
    </row>
    <row r="1532" spans="1:38" ht="13" customHeight="1" thickBot="1" x14ac:dyDescent="0.3">
      <c r="A1532" s="2"/>
      <c r="B1532" s="19"/>
      <c r="C1532" s="19"/>
      <c r="D1532" s="175" t="s">
        <v>9</v>
      </c>
      <c r="E1532" s="2655" t="str">
        <f>Translations!$B$518</f>
        <v>Från blad ”H_SpecialBM”:</v>
      </c>
      <c r="F1532" s="2655"/>
      <c r="G1532" s="91" t="str">
        <f>G1531</f>
        <v>ton</v>
      </c>
      <c r="H1532" s="922" t="str">
        <f>IF(OR($I1523="",H1530&gt;=CNTR_ReportingYear),"",IF($R1535,SUMIF(H_SpecialBM!$Q$9:$Q$414,$Q1532,H_SpecialBM!H$9:H$414),""))</f>
        <v/>
      </c>
      <c r="I1532" s="986" t="str">
        <f>IF(OR($I1523="",I1530&gt;=CNTR_ReportingYear),"",IF($R1535,SUMIF(H_SpecialBM!$Q$9:$Q$414,$Q1532,H_SpecialBM!I$9:I$414),""))</f>
        <v/>
      </c>
      <c r="J1532" s="989" t="str">
        <f>IF(OR($I1523="",J1530&gt;=CNTR_ReportingYear),"",IF($R1535,SUMIF(H_SpecialBM!$Q$9:$Q$414,$Q1532,H_SpecialBM!J$9:J$414),""))</f>
        <v/>
      </c>
      <c r="K1532" s="922" t="str">
        <f>IF(OR($I1523="",K1530&gt;=CNTR_ReportingYear),"",IF($R1535,SUMIF(H_SpecialBM!$Q$9:$Q$414,$Q1532,H_SpecialBM!K$9:K$414),""))</f>
        <v/>
      </c>
      <c r="L1532" s="922" t="str">
        <f>IF(OR($I1523="",L1530&gt;=CNTR_ReportingYear),"",IF($R1535,SUMIF(H_SpecialBM!$Q$9:$Q$414,$Q1532,H_SpecialBM!L$9:L$414),""))</f>
        <v/>
      </c>
      <c r="M1532" s="922" t="str">
        <f>IF(OR($I1523="",M1530&gt;=CNTR_ReportingYear),"",IF($R1535,SUMIF(H_SpecialBM!$Q$9:$Q$414,$Q1532,H_SpecialBM!M$9:M$414),""))</f>
        <v/>
      </c>
      <c r="N1532" s="1125" t="str">
        <f>IF(OR($I1523="",N1530&gt;=CNTR_ReportingYear),"",IF($R1535,SUMIF(H_SpecialBM!$Q$9:$Q$414,$Q1532,H_SpecialBM!N$9:N$414),""))</f>
        <v/>
      </c>
      <c r="O1532" s="15"/>
      <c r="P1532" s="15"/>
      <c r="Q1532" s="165" t="str">
        <f>EUconst_CNTR_HALspecial&amp;I1523</f>
        <v>HALspecial_</v>
      </c>
      <c r="R1532" s="2"/>
      <c r="S1532" s="2"/>
      <c r="T1532" s="2"/>
      <c r="U1532" s="2"/>
      <c r="V1532" s="2"/>
      <c r="W1532" s="2"/>
      <c r="X1532" s="2"/>
      <c r="Y1532" s="2"/>
      <c r="Z1532" s="2"/>
      <c r="AA1532" s="2"/>
      <c r="AB1532" s="672" t="s">
        <v>782</v>
      </c>
      <c r="AC1532" s="1755" t="b">
        <f t="shared" ref="AC1532:AI1532" si="697">AND(CNTR_HasEntries_A_I,OR($R1535=FALSE,H1530&gt;=CNTR_ReportingYear))</f>
        <v>0</v>
      </c>
      <c r="AD1532" s="1042" t="b">
        <f t="shared" si="697"/>
        <v>0</v>
      </c>
      <c r="AE1532" s="1042" t="b">
        <f t="shared" si="697"/>
        <v>0</v>
      </c>
      <c r="AF1532" s="1042" t="b">
        <f t="shared" si="697"/>
        <v>0</v>
      </c>
      <c r="AG1532" s="1042" t="b">
        <f t="shared" si="697"/>
        <v>0</v>
      </c>
      <c r="AH1532" s="1042" t="b">
        <f t="shared" si="697"/>
        <v>0</v>
      </c>
      <c r="AI1532" s="1043" t="b">
        <f t="shared" si="697"/>
        <v>0</v>
      </c>
      <c r="AJ1532" s="766"/>
      <c r="AK1532" s="766"/>
      <c r="AL1532" s="343"/>
    </row>
    <row r="1533" spans="1:38" ht="13" customHeight="1" x14ac:dyDescent="0.25">
      <c r="A1533" s="2"/>
      <c r="B1533" s="19"/>
      <c r="C1533" s="19"/>
      <c r="D1533" s="175" t="s">
        <v>10</v>
      </c>
      <c r="E1533" s="2655" t="str">
        <f>Translations!$B$519</f>
        <v>Värden som används för beräkning:</v>
      </c>
      <c r="F1533" s="2655"/>
      <c r="G1533" s="91" t="str">
        <f>G1532</f>
        <v>ton</v>
      </c>
      <c r="H1533" s="922" t="str">
        <f t="shared" ref="H1533:N1533" si="698">IF(OR($I1523="",H1530&gt;=CNTR_ReportingYear),"",IF($R1535=TRUE,IF(ISNUMBER(H1532),H1532,0),IF(AND(H1530&gt;=$V1523-1,ISNUMBER(H1531)),H1531,0)))</f>
        <v/>
      </c>
      <c r="I1533" s="986" t="str">
        <f t="shared" si="698"/>
        <v/>
      </c>
      <c r="J1533" s="989" t="str">
        <f t="shared" si="698"/>
        <v/>
      </c>
      <c r="K1533" s="922" t="str">
        <f t="shared" si="698"/>
        <v/>
      </c>
      <c r="L1533" s="922" t="str">
        <f t="shared" si="698"/>
        <v/>
      </c>
      <c r="M1533" s="922" t="str">
        <f t="shared" si="698"/>
        <v/>
      </c>
      <c r="N1533" s="1125" t="str">
        <f t="shared" si="698"/>
        <v/>
      </c>
      <c r="O1533" s="15"/>
      <c r="P1533" s="918"/>
      <c r="Q1533" s="165" t="str">
        <f>EUconst_CNTR_HAL&amp;I1523</f>
        <v>HAL_</v>
      </c>
      <c r="R1533" s="2"/>
      <c r="S1533" s="2"/>
      <c r="T1533" s="2"/>
      <c r="U1533" s="2"/>
      <c r="V1533" s="2"/>
      <c r="W1533" s="2"/>
      <c r="X1533" s="2"/>
      <c r="Y1533" s="2"/>
      <c r="Z1533" s="2"/>
      <c r="AA1533" s="2"/>
      <c r="AB1533" s="2"/>
      <c r="AC1533" s="2"/>
      <c r="AD1533" s="2"/>
      <c r="AE1533" s="2"/>
      <c r="AF1533" s="2"/>
      <c r="AG1533" s="2"/>
      <c r="AH1533" s="2"/>
      <c r="AI1533" s="2"/>
      <c r="AJ1533" s="553" t="s">
        <v>2242</v>
      </c>
      <c r="AK1533" s="108" t="str">
        <f>IF(COUNTIFS(H1530:N1530,"&lt;"&amp;YEAR(SUM(T1523)),H1533:N1533,"&gt;"&amp;0)&gt;0,EUconst_Error&amp;"BM"&amp;Q1523,"")</f>
        <v/>
      </c>
      <c r="AL1533" s="343"/>
    </row>
    <row r="1534" spans="1:38" ht="5.15" customHeight="1" x14ac:dyDescent="0.25">
      <c r="A1534" s="2"/>
      <c r="B1534" s="178"/>
      <c r="C1534" s="178"/>
      <c r="D1534" s="178"/>
      <c r="E1534" s="178"/>
      <c r="F1534" s="178"/>
      <c r="G1534" s="178"/>
      <c r="H1534" s="178"/>
      <c r="I1534" s="178"/>
      <c r="J1534" s="178"/>
      <c r="K1534" s="178"/>
      <c r="L1534" s="178"/>
      <c r="M1534" s="15"/>
      <c r="N1534" s="15"/>
      <c r="O1534" s="15"/>
      <c r="P1534" s="15"/>
      <c r="Q1534" s="343"/>
      <c r="R1534" s="2"/>
      <c r="S1534" s="343"/>
      <c r="T1534" s="343"/>
      <c r="U1534" s="2"/>
      <c r="V1534" s="2"/>
      <c r="W1534" s="2"/>
      <c r="X1534" s="2"/>
      <c r="Y1534" s="2"/>
      <c r="Z1534" s="2"/>
      <c r="AA1534" s="2"/>
      <c r="AB1534" s="2"/>
      <c r="AC1534" s="2"/>
      <c r="AD1534" s="2"/>
      <c r="AE1534" s="2"/>
      <c r="AF1534" s="2"/>
      <c r="AG1534" s="2"/>
      <c r="AH1534" s="2"/>
      <c r="AI1534" s="2"/>
      <c r="AJ1534" s="2"/>
      <c r="AK1534" s="2"/>
      <c r="AL1534" s="2"/>
    </row>
    <row r="1535" spans="1:38" ht="12.75" customHeight="1" x14ac:dyDescent="0.25">
      <c r="A1535" s="2"/>
      <c r="B1535" s="178"/>
      <c r="C1535" s="178"/>
      <c r="D1535" s="289" t="s">
        <v>23</v>
      </c>
      <c r="E1535" s="1943" t="str">
        <f>Translations!$B$520</f>
        <v>Särskilda rapporteringskrav:</v>
      </c>
      <c r="F1535" s="1943"/>
      <c r="G1535" s="2067"/>
      <c r="H1535" s="2652" t="str">
        <f>IF(I1523="","",HYPERLINK(INDEX(EUconst_BMlistSpecialJumpTable,MATCH(I1523,EUconst_BMlistNames,0)),INDEX(EUconst_BMlistSpecialReporting,MATCH(I1523,EUconst_BMlistNames,0))))</f>
        <v/>
      </c>
      <c r="I1535" s="2656"/>
      <c r="J1535" s="2656"/>
      <c r="K1535" s="2656"/>
      <c r="L1535" s="2656"/>
      <c r="M1535" s="2656"/>
      <c r="N1535" s="2657"/>
      <c r="O1535" s="15"/>
      <c r="P1535" s="15"/>
      <c r="Q1535" s="553" t="s">
        <v>133</v>
      </c>
      <c r="R1535" s="108" t="str">
        <f>IF(I1523="","",IF(AND(INDEX(EUconst_BMlistSpecialJumpTable,MATCH(I1523,EUconst_BMlistNames,0))&lt;&gt;"",MATCH(I1523,EUconst_BMlistNames,0)&lt;&gt;47),TRUE,FALSE))</f>
        <v/>
      </c>
      <c r="S1535" s="343"/>
      <c r="T1535" s="343"/>
      <c r="U1535" s="2"/>
      <c r="V1535" s="2"/>
      <c r="W1535" s="2"/>
      <c r="X1535" s="2"/>
      <c r="Y1535" s="2"/>
      <c r="Z1535" s="2"/>
      <c r="AA1535" s="2"/>
      <c r="AB1535" s="2"/>
      <c r="AC1535" s="2"/>
      <c r="AD1535" s="2"/>
      <c r="AE1535" s="2"/>
      <c r="AF1535" s="2"/>
      <c r="AG1535" s="2"/>
      <c r="AH1535" s="2"/>
      <c r="AI1535" s="2"/>
      <c r="AJ1535" s="2"/>
      <c r="AK1535" s="2"/>
      <c r="AL1535" s="2"/>
    </row>
    <row r="1536" spans="1:38" ht="12.75" customHeight="1" x14ac:dyDescent="0.25">
      <c r="A1536" s="2"/>
      <c r="B1536" s="178"/>
      <c r="C1536" s="178"/>
      <c r="D1536" s="15"/>
      <c r="E1536" s="2061" t="str">
        <f>Translations!$B$521</f>
        <v>Särskild information måste ges när det gäller vissa produktriktmärken (t.ex. CWT-värden). Ett automatiskt meddelande kommer att visas här, i relevanta fall.</v>
      </c>
      <c r="F1536" s="1963"/>
      <c r="G1536" s="1963"/>
      <c r="H1536" s="1963"/>
      <c r="I1536" s="1963"/>
      <c r="J1536" s="1963"/>
      <c r="K1536" s="1963"/>
      <c r="L1536" s="1963"/>
      <c r="M1536" s="1963"/>
      <c r="N1536" s="1963"/>
      <c r="O1536" s="15"/>
      <c r="P1536" s="15"/>
      <c r="Q1536" s="343"/>
      <c r="R1536" s="2"/>
      <c r="S1536" s="343"/>
      <c r="T1536" s="343"/>
      <c r="U1536" s="2"/>
      <c r="V1536" s="2"/>
      <c r="W1536" s="2"/>
      <c r="X1536" s="2"/>
      <c r="Y1536" s="2"/>
      <c r="Z1536" s="2"/>
      <c r="AA1536" s="2"/>
      <c r="AB1536" s="2"/>
      <c r="AC1536" s="2"/>
      <c r="AD1536" s="2"/>
      <c r="AE1536" s="2"/>
      <c r="AF1536" s="2"/>
      <c r="AG1536" s="2"/>
      <c r="AH1536" s="2"/>
      <c r="AI1536" s="2"/>
      <c r="AJ1536" s="2"/>
      <c r="AK1536" s="2"/>
      <c r="AL1536" s="2"/>
    </row>
    <row r="1537" spans="1:38" ht="5.15" customHeight="1" x14ac:dyDescent="0.25">
      <c r="A1537" s="2"/>
      <c r="B1537" s="178"/>
      <c r="C1537" s="178"/>
      <c r="D1537" s="15"/>
      <c r="E1537" s="15"/>
      <c r="F1537" s="15"/>
      <c r="G1537" s="15"/>
      <c r="H1537" s="15"/>
      <c r="I1537" s="15"/>
      <c r="J1537" s="15"/>
      <c r="K1537" s="15"/>
      <c r="L1537" s="15"/>
      <c r="M1537" s="15"/>
      <c r="N1537" s="15"/>
      <c r="O1537" s="15"/>
      <c r="P1537" s="15"/>
      <c r="Q1537" s="343"/>
      <c r="R1537" s="2"/>
      <c r="S1537" s="343"/>
      <c r="T1537" s="343"/>
      <c r="U1537" s="2"/>
      <c r="V1537" s="2"/>
      <c r="W1537" s="2"/>
      <c r="X1537" s="2"/>
      <c r="Y1537" s="2"/>
      <c r="Z1537" s="343"/>
      <c r="AA1537" s="2"/>
      <c r="AB1537" s="2"/>
      <c r="AC1537" s="2"/>
      <c r="AD1537" s="2"/>
      <c r="AE1537" s="2"/>
      <c r="AF1537" s="2"/>
      <c r="AG1537" s="2"/>
      <c r="AH1537" s="2"/>
      <c r="AI1537" s="2"/>
      <c r="AJ1537" s="2"/>
      <c r="AK1537" s="2"/>
      <c r="AL1537" s="343"/>
    </row>
    <row r="1538" spans="1:38" ht="12.75" customHeight="1" x14ac:dyDescent="0.25">
      <c r="A1538" s="2"/>
      <c r="B1538" s="178"/>
      <c r="C1538" s="178"/>
      <c r="D1538" s="13" t="s">
        <v>955</v>
      </c>
      <c r="E1538" s="1943" t="str">
        <f>Translations!$B$1467</f>
        <v>Eventuella justeringar av verksamhetsnivå</v>
      </c>
      <c r="F1538" s="1963"/>
      <c r="G1538" s="1963"/>
      <c r="H1538" s="1963"/>
      <c r="I1538" s="1963"/>
      <c r="J1538" s="1963"/>
      <c r="K1538" s="1963"/>
      <c r="L1538" s="1963"/>
      <c r="M1538" s="1963"/>
      <c r="N1538" s="1963"/>
      <c r="O1538" s="15"/>
      <c r="P1538" s="15"/>
      <c r="Q1538" s="343"/>
      <c r="R1538" s="2"/>
      <c r="S1538" s="343"/>
      <c r="T1538" s="343"/>
      <c r="U1538" s="2"/>
      <c r="V1538" s="2"/>
      <c r="W1538" s="2"/>
      <c r="X1538" s="2"/>
      <c r="Y1538" s="2"/>
      <c r="Z1538" s="343"/>
      <c r="AA1538" s="2"/>
      <c r="AB1538" s="2"/>
      <c r="AC1538" s="2"/>
      <c r="AD1538" s="2"/>
      <c r="AE1538" s="2"/>
      <c r="AF1538" s="2"/>
      <c r="AG1538" s="2"/>
      <c r="AH1538" s="2"/>
      <c r="AI1538" s="2"/>
      <c r="AJ1538" s="2"/>
      <c r="AK1538" s="2"/>
      <c r="AL1538" s="343"/>
    </row>
    <row r="1539" spans="1:38" ht="12.75" customHeight="1" x14ac:dyDescent="0.25">
      <c r="A1539" s="2"/>
      <c r="B1539" s="178"/>
      <c r="C1539" s="178"/>
      <c r="D1539" s="15"/>
      <c r="E1539" s="2061" t="str">
        <f>Translations!$B$1468</f>
        <v>Den historiska verksamhetsnivån (HAL) kommer att bestämmas automatiskt baserat på uppgifter under punkt a) ovan och uppgifter i blad B+C_SubInstallations. För nya delanläggningar kommer HAL att visas under v) baserat på det första fullständiga verksamhetsåret.</v>
      </c>
      <c r="F1539" s="1963"/>
      <c r="G1539" s="1963"/>
      <c r="H1539" s="1963"/>
      <c r="I1539" s="1963"/>
      <c r="J1539" s="1963"/>
      <c r="K1539" s="1963"/>
      <c r="L1539" s="1963"/>
      <c r="M1539" s="1963"/>
      <c r="N1539" s="1963"/>
      <c r="O1539" s="15"/>
      <c r="P1539" s="15"/>
      <c r="Q1539" s="343"/>
      <c r="R1539" s="2"/>
      <c r="S1539" s="343"/>
      <c r="T1539" s="343"/>
      <c r="U1539" s="343"/>
      <c r="V1539" s="2"/>
      <c r="W1539" s="2"/>
      <c r="X1539" s="2"/>
      <c r="Y1539" s="2"/>
      <c r="Z1539" s="2"/>
      <c r="AA1539" s="2"/>
      <c r="AB1539" s="2"/>
      <c r="AC1539" s="2"/>
      <c r="AD1539" s="2"/>
      <c r="AE1539" s="2"/>
      <c r="AF1539" s="2"/>
      <c r="AG1539" s="2"/>
      <c r="AH1539" s="2"/>
      <c r="AI1539" s="2"/>
      <c r="AJ1539" s="2"/>
      <c r="AK1539" s="2"/>
      <c r="AL1539" s="2"/>
    </row>
    <row r="1540" spans="1:38" ht="25.5" customHeight="1" x14ac:dyDescent="0.25">
      <c r="A1540" s="2"/>
      <c r="B1540" s="178"/>
      <c r="C1540" s="178"/>
      <c r="D1540" s="15"/>
      <c r="E1540" s="2061" t="str">
        <f>Translations!$B$1469</f>
        <v>Baserat på värdena för HAL och värdena under punkt a) ovan bestäms de genomsnittliga verksamhetsnivåerna här. Tilldelningen kommer endast att ändras om alla följande tröskelvärden i artikel 5 i verksamhetsändringsförordningen överskrids:</v>
      </c>
      <c r="F1540" s="1963"/>
      <c r="G1540" s="1963"/>
      <c r="H1540" s="1963"/>
      <c r="I1540" s="1963"/>
      <c r="J1540" s="1963"/>
      <c r="K1540" s="1963"/>
      <c r="L1540" s="1963"/>
      <c r="M1540" s="1963"/>
      <c r="N1540" s="1963"/>
      <c r="O1540" s="15"/>
      <c r="P1540" s="15"/>
      <c r="Q1540" s="343"/>
      <c r="R1540" s="2"/>
      <c r="S1540" s="343"/>
      <c r="T1540" s="343"/>
      <c r="U1540" s="343"/>
      <c r="V1540" s="2"/>
      <c r="W1540" s="2"/>
      <c r="X1540" s="2"/>
      <c r="Y1540" s="2"/>
      <c r="Z1540" s="2"/>
      <c r="AA1540" s="2"/>
      <c r="AB1540" s="2"/>
      <c r="AC1540" s="2"/>
      <c r="AD1540" s="2"/>
      <c r="AE1540" s="2"/>
      <c r="AF1540" s="2"/>
      <c r="AG1540" s="2"/>
      <c r="AH1540" s="2"/>
      <c r="AI1540" s="2"/>
      <c r="AJ1540" s="2"/>
      <c r="AK1540" s="2"/>
      <c r="AL1540" s="2"/>
    </row>
    <row r="1541" spans="1:38" ht="12.75" customHeight="1" x14ac:dyDescent="0.25">
      <c r="A1541" s="2"/>
      <c r="B1541" s="178"/>
      <c r="C1541" s="178"/>
      <c r="D1541" s="15"/>
      <c r="E1541" s="1102" t="s">
        <v>1112</v>
      </c>
      <c r="F1541" s="2095" t="str">
        <f>Translations!$B$1470</f>
        <v>De relativa tröskelvärdena (15 % och 5 % för efterföljande ändringar) för de genomsnittliga verksamhetsnivåerna jämfört med HAL</v>
      </c>
      <c r="G1541" s="2159"/>
      <c r="H1541" s="2159"/>
      <c r="I1541" s="2159"/>
      <c r="J1541" s="2159"/>
      <c r="K1541" s="2159"/>
      <c r="L1541" s="2159"/>
      <c r="M1541" s="2159"/>
      <c r="N1541" s="2159"/>
      <c r="O1541" s="15"/>
      <c r="P1541" s="15"/>
      <c r="Q1541" s="343"/>
      <c r="R1541" s="2"/>
      <c r="S1541" s="343"/>
      <c r="T1541" s="343"/>
      <c r="U1541" s="343"/>
      <c r="V1541" s="2"/>
      <c r="W1541" s="2"/>
      <c r="X1541" s="2"/>
      <c r="Y1541" s="2"/>
      <c r="Z1541" s="2"/>
      <c r="AA1541" s="2"/>
      <c r="AB1541" s="2"/>
      <c r="AC1541" s="2"/>
      <c r="AD1541" s="2"/>
      <c r="AE1541" s="2"/>
      <c r="AF1541" s="2"/>
      <c r="AG1541" s="2"/>
      <c r="AH1541" s="2"/>
      <c r="AI1541" s="2"/>
      <c r="AJ1541" s="2"/>
      <c r="AK1541" s="2"/>
      <c r="AL1541" s="2"/>
    </row>
    <row r="1542" spans="1:38" ht="12.75" customHeight="1" thickBot="1" x14ac:dyDescent="0.3">
      <c r="A1542" s="2"/>
      <c r="B1542" s="178"/>
      <c r="C1542" s="178"/>
      <c r="D1542" s="15"/>
      <c r="E1542" s="1102" t="s">
        <v>1112</v>
      </c>
      <c r="F1542" s="2095" t="str">
        <f>Translations!$B$1471</f>
        <v>Det absoluta tröskelvärdet, dvs. en ändring skulle leda till en ändring av den preliminära tilldelningen på minst 100 utsläppsrätter</v>
      </c>
      <c r="G1542" s="2159"/>
      <c r="H1542" s="2159"/>
      <c r="I1542" s="2159"/>
      <c r="J1542" s="2159"/>
      <c r="K1542" s="2159"/>
      <c r="L1542" s="2159"/>
      <c r="M1542" s="2159"/>
      <c r="N1542" s="2159"/>
      <c r="O1542" s="15"/>
      <c r="P1542" s="15"/>
      <c r="Q1542" s="343"/>
      <c r="R1542" s="2"/>
      <c r="S1542" s="343"/>
      <c r="T1542" s="343"/>
      <c r="U1542" s="343"/>
      <c r="V1542" s="2"/>
      <c r="W1542" s="2"/>
      <c r="X1542" s="2"/>
      <c r="Y1542" s="2"/>
      <c r="Z1542" s="2"/>
      <c r="AA1542" s="2"/>
      <c r="AB1542" s="2"/>
      <c r="AC1542" s="2"/>
      <c r="AD1542" s="2"/>
      <c r="AE1542" s="2"/>
      <c r="AF1542" s="2"/>
      <c r="AG1542" s="2"/>
      <c r="AH1542" s="2"/>
      <c r="AI1542" s="2"/>
      <c r="AJ1542" s="2"/>
      <c r="AK1542" s="2"/>
      <c r="AL1542" s="2"/>
    </row>
    <row r="1543" spans="1:38" ht="5.15" customHeight="1" thickBot="1" x14ac:dyDescent="0.3">
      <c r="A1543" s="2"/>
      <c r="B1543" s="178"/>
      <c r="C1543" s="178"/>
      <c r="D1543" s="1238"/>
      <c r="E1543" s="1278"/>
      <c r="F1543" s="1239"/>
      <c r="G1543" s="1279"/>
      <c r="H1543" s="1279"/>
      <c r="I1543" s="1279"/>
      <c r="J1543" s="1279"/>
      <c r="K1543" s="1279"/>
      <c r="L1543" s="1279"/>
      <c r="M1543" s="1279"/>
      <c r="N1543" s="1280"/>
      <c r="O1543" s="15"/>
      <c r="P1543" s="15"/>
      <c r="Q1543" s="343"/>
      <c r="R1543" s="2"/>
      <c r="S1543" s="343"/>
      <c r="T1543" s="343"/>
      <c r="U1543" s="343"/>
      <c r="V1543" s="2"/>
      <c r="W1543" s="2"/>
      <c r="X1543" s="2"/>
      <c r="Y1543" s="2"/>
      <c r="Z1543" s="2"/>
      <c r="AA1543" s="2"/>
      <c r="AB1543" s="2"/>
      <c r="AC1543" s="2"/>
      <c r="AD1543" s="2"/>
      <c r="AE1543" s="2"/>
      <c r="AF1543" s="2"/>
      <c r="AG1543" s="2"/>
      <c r="AH1543" s="2"/>
      <c r="AI1543" s="2"/>
      <c r="AJ1543" s="2"/>
      <c r="AK1543" s="2"/>
      <c r="AL1543" s="2"/>
    </row>
    <row r="1544" spans="1:38" ht="12.75" customHeight="1" x14ac:dyDescent="0.25">
      <c r="A1544" s="2"/>
      <c r="B1544" s="178"/>
      <c r="C1544" s="178"/>
      <c r="D1544" s="1290"/>
      <c r="E1544" s="1243" t="str">
        <f>Translations!$B$1340</f>
        <v>Justeringar</v>
      </c>
      <c r="F1544" s="1244"/>
      <c r="G1544" s="1244"/>
      <c r="H1544" s="1228" t="str">
        <f>EUconst_Unit</f>
        <v>Enhet</v>
      </c>
      <c r="I1544" s="1229" t="str">
        <f>Translations!$B$1472</f>
        <v>HAL</v>
      </c>
      <c r="J1544" s="1268">
        <f>J$3042</f>
        <v>2021</v>
      </c>
      <c r="K1544" s="1230">
        <f>K$3042</f>
        <v>2022</v>
      </c>
      <c r="L1544" s="1230">
        <f>L$3042</f>
        <v>2023</v>
      </c>
      <c r="M1544" s="1230">
        <f>M$3042</f>
        <v>2024</v>
      </c>
      <c r="N1544" s="1258">
        <f>N$3042</f>
        <v>2025</v>
      </c>
      <c r="O1544" s="15"/>
      <c r="P1544" s="15"/>
      <c r="Q1544" s="343"/>
      <c r="R1544" s="2"/>
      <c r="S1544" s="2"/>
      <c r="T1544" s="2"/>
      <c r="U1544" s="772"/>
      <c r="V1544" s="1077">
        <f>J1544</f>
        <v>2021</v>
      </c>
      <c r="W1544" s="1077">
        <f>K1544</f>
        <v>2022</v>
      </c>
      <c r="X1544" s="1077">
        <f>L1544</f>
        <v>2023</v>
      </c>
      <c r="Y1544" s="1077">
        <f>M1544</f>
        <v>2024</v>
      </c>
      <c r="Z1544" s="1078">
        <f>N1544</f>
        <v>2025</v>
      </c>
      <c r="AA1544" s="2"/>
      <c r="AB1544" s="2"/>
      <c r="AC1544" s="2"/>
      <c r="AD1544" s="2"/>
      <c r="AE1544" s="2"/>
      <c r="AF1544" s="2"/>
      <c r="AG1544" s="2"/>
      <c r="AH1544" s="2"/>
      <c r="AI1544" s="2"/>
      <c r="AJ1544" s="2"/>
      <c r="AK1544" s="2"/>
      <c r="AL1544" s="2"/>
    </row>
    <row r="1545" spans="1:38" ht="12.75" customHeight="1" x14ac:dyDescent="0.25">
      <c r="A1545" s="2"/>
      <c r="B1545" s="178"/>
      <c r="C1545" s="178"/>
      <c r="D1545" s="1246" t="s">
        <v>8</v>
      </c>
      <c r="E1545" s="1231" t="str">
        <f>Translations!$B$1473</f>
        <v>Genomsnittlig årlig verksamhetsnivå</v>
      </c>
      <c r="F1545" s="1231"/>
      <c r="G1545" s="1231"/>
      <c r="H1545" s="917" t="str">
        <f>IF(INDEX(CNTR_SubInstListIsProdBM,$C1523),INDEX(CNTR_SubInstListHALUnit,$C1523),EUconst_Tons)</f>
        <v>ton</v>
      </c>
      <c r="I1545" s="990" t="str">
        <f>IF(V1523&gt;($J$3042-3),EUconst_NA,INDEX('B+C_SubInstallations'!$I:$I,MATCH(Q1545,'B+C_SubInstallations'!$T:$T,0)))</f>
        <v/>
      </c>
      <c r="J1545" s="993" t="str">
        <f>IF(AND(V1545&gt;=3,CNTR_ReportingYear&gt;J1544-1),AVERAGE(H1533:I1533),"")</f>
        <v/>
      </c>
      <c r="K1545" s="920" t="str">
        <f>IF(AND(W1545&gt;=3,CNTR_ReportingYear&gt;K1544-1),AVERAGE(I1533:J1533),"")</f>
        <v/>
      </c>
      <c r="L1545" s="920" t="str">
        <f>IF(AND(X1545&gt;=3,CNTR_ReportingYear&gt;L1544-1),AVERAGE(J1533:K1533),"")</f>
        <v/>
      </c>
      <c r="M1545" s="920" t="str">
        <f>IF(AND(Y1545&gt;=3,CNTR_ReportingYear&gt;M1544-1),AVERAGE(K1533:L1533),"")</f>
        <v/>
      </c>
      <c r="N1545" s="1218" t="str">
        <f>IF(AND(Z1545&gt;=3,CNTR_ReportingYear&gt;N1544-1),AVERAGE(L1533:M1533),"")</f>
        <v/>
      </c>
      <c r="O1545" s="15"/>
      <c r="P1545" s="15"/>
      <c r="Q1545" s="672" t="str">
        <f>EUconst_CNTR_HALinitial&amp;I1523</f>
        <v>HALini_</v>
      </c>
      <c r="R1545" s="2"/>
      <c r="S1545" s="2"/>
      <c r="T1545" s="2"/>
      <c r="U1545" s="1088" t="s">
        <v>1850</v>
      </c>
      <c r="V1545" s="663">
        <f>IF($I1523="",0,V1544-$V1523+1)</f>
        <v>0</v>
      </c>
      <c r="W1545" s="663">
        <f>IF($I1523="",0,W1544-$V1523+1)</f>
        <v>0</v>
      </c>
      <c r="X1545" s="663">
        <f>IF($I1523="",0,X1544-$V1523+1)</f>
        <v>0</v>
      </c>
      <c r="Y1545" s="663">
        <f>IF($I1523="",0,Y1544-$V1523+1)</f>
        <v>0</v>
      </c>
      <c r="Z1545" s="1080">
        <f>IF($I1523="",0,Z1544-$V1523+1)</f>
        <v>0</v>
      </c>
      <c r="AA1545" s="2"/>
      <c r="AB1545" s="2"/>
      <c r="AC1545" s="2"/>
      <c r="AD1545" s="2"/>
      <c r="AE1545" s="2"/>
      <c r="AF1545" s="2"/>
      <c r="AG1545" s="2"/>
      <c r="AH1545" s="2"/>
      <c r="AI1545" s="2"/>
      <c r="AJ1545" s="2"/>
      <c r="AK1545" s="2"/>
      <c r="AL1545" s="2"/>
    </row>
    <row r="1546" spans="1:38" ht="12.75" hidden="1" customHeight="1" x14ac:dyDescent="0.25">
      <c r="A1546" s="343" t="s">
        <v>346</v>
      </c>
      <c r="B1546" s="178"/>
      <c r="C1546" s="178"/>
      <c r="D1546" s="1242"/>
      <c r="E1546" s="1281" t="s">
        <v>1848</v>
      </c>
      <c r="F1546" s="1281"/>
      <c r="G1546" s="1281"/>
      <c r="H1546" s="1283"/>
      <c r="I1546" s="1284"/>
      <c r="J1546" s="991" t="str">
        <f>IF(J1545="","",IF($I1548=0,IF(J1545=0,0%,100%),J1545/$I1548-1))</f>
        <v/>
      </c>
      <c r="K1546" s="960" t="str">
        <f>IF(K1545="","",IF($I1548=0,IF(K1545=0,0%,100%),K1545/$I1548-1))</f>
        <v/>
      </c>
      <c r="L1546" s="960" t="str">
        <f>IF(L1545="","",IF($I1548=0,IF(L1545=0,0%,100%),L1545/$I1548-1))</f>
        <v/>
      </c>
      <c r="M1546" s="960" t="str">
        <f>IF(M1545="","",IF($I1548=0,IF(M1545=0,0%,100%),M1545/$I1548-1))</f>
        <v/>
      </c>
      <c r="N1546" s="1219" t="str">
        <f>IF(N1545="","",IF($I1548=0,IF(N1545=0,0%,100%),N1545/$I1548-1))</f>
        <v/>
      </c>
      <c r="O1546" s="15"/>
      <c r="P1546" s="15"/>
      <c r="Q1546" s="165" t="str">
        <f>EUconst_CNTR_RelThreshold &amp; Q1548</f>
        <v>RelThresh_HALprelim_</v>
      </c>
      <c r="R1546" s="2"/>
      <c r="S1546" s="2"/>
      <c r="T1546" s="2"/>
      <c r="U1546" s="1088" t="s">
        <v>1855</v>
      </c>
      <c r="V1546" s="603" t="str">
        <f>IF(J1545="","",ABS(J1546)&gt;15%)</f>
        <v/>
      </c>
      <c r="W1546" s="603" t="str">
        <f>IF(K1545="","",ABS(K1546)&gt;15%)</f>
        <v/>
      </c>
      <c r="X1546" s="603" t="str">
        <f>IF(L1545="","",ABS(L1546)&gt;15%)</f>
        <v/>
      </c>
      <c r="Y1546" s="603" t="str">
        <f>IF(M1545="","",ABS(M1546)&gt;15%)</f>
        <v/>
      </c>
      <c r="Z1546" s="1756" t="str">
        <f>IF(N1545="","",ABS(N1546)&gt;15%)</f>
        <v/>
      </c>
      <c r="AA1546" s="2"/>
      <c r="AB1546" s="2"/>
      <c r="AC1546" s="2"/>
      <c r="AD1546" s="2"/>
      <c r="AE1546" s="2"/>
      <c r="AF1546" s="2"/>
      <c r="AG1546" s="2"/>
      <c r="AH1546" s="2"/>
      <c r="AI1546" s="2"/>
      <c r="AJ1546" s="2"/>
      <c r="AK1546" s="2"/>
      <c r="AL1546" s="343"/>
    </row>
    <row r="1547" spans="1:38" ht="12.75" customHeight="1" x14ac:dyDescent="0.25">
      <c r="A1547" s="343"/>
      <c r="B1547" s="178"/>
      <c r="C1547" s="178"/>
      <c r="D1547" s="1246" t="s">
        <v>9</v>
      </c>
      <c r="E1547" s="1231" t="str">
        <f>Translations!$B$1474</f>
        <v>Preliminär justering (om relativa tröskelvärden överskrids)</v>
      </c>
      <c r="F1547" s="1231"/>
      <c r="G1547" s="1231"/>
      <c r="H1547" s="1233"/>
      <c r="I1547" s="1235"/>
      <c r="J1547" s="992" t="str">
        <f>IF(J1545="","",IF(V1546=FALSE,0%,IF(V1547,J1546,I1553)))</f>
        <v/>
      </c>
      <c r="K1547" s="937" t="str">
        <f>IF(K1545="","",IF(W1546=FALSE,0%,IF(W1547,K1546,J1553)))</f>
        <v/>
      </c>
      <c r="L1547" s="937" t="str">
        <f>IF(L1545="","",IF(X1546=FALSE,0%,IF(X1547,L1546,K1553)))</f>
        <v/>
      </c>
      <c r="M1547" s="937" t="str">
        <f>IF(M1545="","",IF(Y1546=FALSE,0%,IF(Y1547,M1546,L1553)))</f>
        <v/>
      </c>
      <c r="N1547" s="1220" t="str">
        <f>IF(N1545="","",IF(Z1546=FALSE,0%,IF(Z1547,N1546,M1553)))</f>
        <v/>
      </c>
      <c r="O1547" s="15"/>
      <c r="P1547" s="15"/>
      <c r="Q1547" s="2"/>
      <c r="R1547" s="2"/>
      <c r="S1547" s="2"/>
      <c r="T1547" s="2"/>
      <c r="U1547" s="1088" t="s">
        <v>1856</v>
      </c>
      <c r="V1547" s="603" t="str">
        <f>IF(J1545="","",AND(V1546,IF(SUM(I1553)&lt;0,OR(SUM(J1546)&lt;SUM(I1553)-MOD(SUM(I1553),5%),J1546&gt;=SUM(I1553)+5%-MOD(SUM(I1553),5%)),OR(SUM(J1546)&lt;=SUM(I1553)-MOD(SUM(I1553),5%),SUM(J1546)&gt;SUM(I1553)+5%-MOD(SUM(I1553),5%)))))</f>
        <v/>
      </c>
      <c r="W1547" s="603" t="str">
        <f>IF(K1545="","",AND(W1546,IF(SUM(J1553)&lt;0,OR(SUM(K1546)&lt;SUM(J1553)-MOD(SUM(J1553),5%),K1546&gt;=SUM(J1553)+5%-MOD(SUM(J1553),5%)),OR(SUM(K1546)&lt;=SUM(J1553)-MOD(SUM(J1553),5%),SUM(K1546)&gt;SUM(J1553)+5%-MOD(SUM(J1553),5%)))))</f>
        <v/>
      </c>
      <c r="X1547" s="603" t="str">
        <f>IF(L1545="","",AND(X1546,IF(SUM(K1553)&lt;0,OR(SUM(L1546)&lt;SUM(K1553)-MOD(SUM(K1553),5%),L1546&gt;=SUM(K1553)+5%-MOD(SUM(K1553),5%)),OR(SUM(L1546)&lt;=SUM(K1553)-MOD(SUM(K1553),5%),SUM(L1546)&gt;SUM(K1553)+5%-MOD(SUM(K1553),5%)))))</f>
        <v/>
      </c>
      <c r="Y1547" s="603" t="str">
        <f>IF(M1545="","",AND(Y1546,IF(SUM(L1553)&lt;0,OR(SUM(M1546)&lt;SUM(L1553)-MOD(SUM(L1553),5%),M1546&gt;=SUM(L1553)+5%-MOD(SUM(L1553),5%)),OR(SUM(M1546)&lt;=SUM(L1553)-MOD(SUM(L1553),5%),SUM(M1546)&gt;SUM(L1553)+5%-MOD(SUM(L1553),5%)))))</f>
        <v/>
      </c>
      <c r="Z1547" s="1756" t="str">
        <f>IF(N1545="","",AND(Z1546,IF(SUM(M1553)&lt;0,OR(SUM(N1546)&lt;SUM(M1553)-MOD(SUM(M1553),5%),N1546&gt;=SUM(M1553)+5%-MOD(SUM(M1553),5%)),OR(SUM(N1546)&lt;=SUM(M1553)-MOD(SUM(M1553),5%),SUM(N1546)&gt;SUM(M1553)+5%-MOD(SUM(M1553),5%)))))</f>
        <v/>
      </c>
      <c r="AA1547" s="2"/>
      <c r="AB1547" s="2"/>
      <c r="AC1547" s="2"/>
      <c r="AD1547" s="2"/>
      <c r="AE1547" s="2"/>
      <c r="AF1547" s="2"/>
      <c r="AG1547" s="2"/>
      <c r="AH1547" s="2"/>
      <c r="AI1547" s="2"/>
      <c r="AJ1547" s="2"/>
      <c r="AK1547" s="2"/>
      <c r="AL1547" s="343"/>
    </row>
    <row r="1548" spans="1:38" ht="12.75" hidden="1" customHeight="1" x14ac:dyDescent="0.25">
      <c r="A1548" s="343" t="s">
        <v>346</v>
      </c>
      <c r="B1548" s="178"/>
      <c r="C1548" s="178"/>
      <c r="D1548" s="1242"/>
      <c r="E1548" s="1231" t="s">
        <v>1889</v>
      </c>
      <c r="F1548" s="1231"/>
      <c r="G1548" s="1231"/>
      <c r="H1548" s="917" t="str">
        <f>H1545</f>
        <v>ton</v>
      </c>
      <c r="I1548" s="990" t="str">
        <f>IF(I1523="","",IF(AB1523=FALSE,EUconst_NA,IF(V1523&gt;($J$3042-3),INDEX(H1533:N1533,MATCH(V1523,H1530:N1530,0)),SUM(I1545))))</f>
        <v/>
      </c>
      <c r="J1548" s="993" t="str">
        <f>IF($I1523="","",IF(V1545&lt;2,SUM(J1533),IF(V1545&lt;3,SUM(I1533),IF(V1548="",I1548,V1548))))</f>
        <v/>
      </c>
      <c r="K1548" s="920" t="str">
        <f>IF($I1523="","",IF(W1545&lt;2,SUM(K1533),IF(W1545&lt;3,SUM(J1533),IF(W1548="",J1548,W1548))))</f>
        <v/>
      </c>
      <c r="L1548" s="920" t="str">
        <f>IF($I1523="","",IF(X1545&lt;2,SUM(L1533),IF(X1545&lt;3,SUM(K1533),IF(X1548="",K1548,X1548))))</f>
        <v/>
      </c>
      <c r="M1548" s="920" t="str">
        <f>IF($I1523="","",IF(Y1545&lt;2,SUM(M1533),IF(Y1545&lt;3,SUM(L1533),IF(Y1548="",L1548,Y1548))))</f>
        <v/>
      </c>
      <c r="N1548" s="1218" t="str">
        <f>IF($I1523="","",IF(Z1545&lt;2,SUM(N1533),IF(Z1545&lt;3,SUM(M1533),IF(Z1548="",M1548,Z1548))))</f>
        <v/>
      </c>
      <c r="O1548" s="15"/>
      <c r="P1548" s="15"/>
      <c r="Q1548" s="672" t="str">
        <f>EUconst_CNTR_HALprelim&amp;I1523</f>
        <v>HALprelim_</v>
      </c>
      <c r="R1548" s="2"/>
      <c r="S1548" s="2"/>
      <c r="T1548" s="2"/>
      <c r="U1548" s="1088" t="s">
        <v>1898</v>
      </c>
      <c r="V1548" s="1752" t="str">
        <f>IF(J1545="","",IF(CNTR_ReportingYear&lt;J1544,I1547,IF($I1548=0,J1545,$I1548*(1+J1547))))</f>
        <v/>
      </c>
      <c r="W1548" s="1752" t="str">
        <f>IF(K1545="","",IF(CNTR_ReportingYear&lt;K1544,J1547,IF($I1548=0,K1545,$I1548*(1+K1547))))</f>
        <v/>
      </c>
      <c r="X1548" s="1752" t="str">
        <f>IF(L1545="","",IF(CNTR_ReportingYear&lt;L1544,K1547,IF($I1548=0,L1545,$I1548*(1+L1547))))</f>
        <v/>
      </c>
      <c r="Y1548" s="1752" t="str">
        <f>IF(M1545="","",IF(CNTR_ReportingYear&lt;M1544,L1547,IF($I1548=0,M1545,$I1548*(1+M1547))))</f>
        <v/>
      </c>
      <c r="Z1548" s="1761" t="str">
        <f>IF(N1545="","",IF(CNTR_ReportingYear&lt;N1544,M1547,IF($I1548=0,N1545,$I1548*(1+N1547))))</f>
        <v/>
      </c>
      <c r="AA1548" s="2"/>
      <c r="AB1548" s="2"/>
      <c r="AC1548" s="2"/>
      <c r="AD1548" s="2"/>
      <c r="AE1548" s="2"/>
      <c r="AF1548" s="2"/>
      <c r="AG1548" s="2"/>
      <c r="AH1548" s="2"/>
      <c r="AI1548" s="2"/>
      <c r="AJ1548" s="2"/>
      <c r="AK1548" s="2"/>
      <c r="AL1548" s="343"/>
    </row>
    <row r="1549" spans="1:38" ht="5.15" customHeight="1" x14ac:dyDescent="0.25">
      <c r="A1549" s="343"/>
      <c r="B1549" s="178"/>
      <c r="C1549" s="178"/>
      <c r="D1549" s="1242"/>
      <c r="E1549" s="1244"/>
      <c r="F1549" s="1244"/>
      <c r="G1549" s="1244"/>
      <c r="H1549" s="1244"/>
      <c r="I1549" s="1244"/>
      <c r="J1549" s="1236"/>
      <c r="K1549" s="1236"/>
      <c r="L1549" s="1236"/>
      <c r="M1549" s="1236"/>
      <c r="N1549" s="1247"/>
      <c r="O1549" s="15"/>
      <c r="P1549" s="15"/>
      <c r="Q1549" s="343"/>
      <c r="R1549" s="2"/>
      <c r="S1549" s="2"/>
      <c r="T1549" s="2"/>
      <c r="U1549" s="1086"/>
      <c r="V1549" s="343"/>
      <c r="W1549" s="2"/>
      <c r="X1549" s="2"/>
      <c r="Y1549" s="2"/>
      <c r="Z1549" s="228"/>
      <c r="AA1549" s="2"/>
      <c r="AB1549" s="2"/>
      <c r="AC1549" s="2"/>
      <c r="AD1549" s="2"/>
      <c r="AE1549" s="2"/>
      <c r="AF1549" s="2"/>
      <c r="AG1549" s="2"/>
      <c r="AH1549" s="2"/>
      <c r="AI1549" s="2"/>
      <c r="AJ1549" s="2"/>
      <c r="AK1549" s="2"/>
      <c r="AL1549" s="343"/>
    </row>
    <row r="1550" spans="1:38" ht="12.75" customHeight="1" x14ac:dyDescent="0.25">
      <c r="A1550" s="343"/>
      <c r="B1550" s="178"/>
      <c r="C1550" s="178"/>
      <c r="D1550" s="1242"/>
      <c r="E1550" s="1234" t="str">
        <f>Translations!$B$1475</f>
        <v>Faktisk justering (grund för följande år)</v>
      </c>
      <c r="F1550" s="1234"/>
      <c r="G1550" s="1234"/>
      <c r="H1550" s="1234"/>
      <c r="I1550" s="1234"/>
      <c r="J1550" s="1268">
        <f>J$3042</f>
        <v>2021</v>
      </c>
      <c r="K1550" s="1230">
        <f>K$3042</f>
        <v>2022</v>
      </c>
      <c r="L1550" s="1230">
        <f>L$3042</f>
        <v>2023</v>
      </c>
      <c r="M1550" s="1230">
        <f>M$3042</f>
        <v>2024</v>
      </c>
      <c r="N1550" s="1258">
        <f>N$3042</f>
        <v>2025</v>
      </c>
      <c r="O1550" s="15"/>
      <c r="P1550" s="15"/>
      <c r="Q1550" s="343"/>
      <c r="R1550" s="2"/>
      <c r="S1550" s="2"/>
      <c r="T1550" s="2"/>
      <c r="U1550" s="584"/>
      <c r="V1550" s="2"/>
      <c r="W1550" s="2"/>
      <c r="X1550" s="2"/>
      <c r="Y1550" s="2"/>
      <c r="Z1550" s="228"/>
      <c r="AA1550" s="2"/>
      <c r="AB1550" s="2"/>
      <c r="AC1550" s="2"/>
      <c r="AD1550" s="2"/>
      <c r="AE1550" s="2"/>
      <c r="AF1550" s="2"/>
      <c r="AG1550" s="2"/>
      <c r="AH1550" s="2"/>
      <c r="AI1550" s="2"/>
      <c r="AJ1550" s="2"/>
      <c r="AK1550" s="2"/>
      <c r="AL1550" s="343"/>
    </row>
    <row r="1551" spans="1:38" ht="12.75" customHeight="1" x14ac:dyDescent="0.25">
      <c r="A1551" s="343"/>
      <c r="B1551" s="178"/>
      <c r="C1551" s="178"/>
      <c r="D1551" s="1246" t="s">
        <v>10</v>
      </c>
      <c r="E1551" s="1231" t="str">
        <f>Translations!$B$1476</f>
        <v>&gt;= 100 utsläppsrätter kriterium uppnått?</v>
      </c>
      <c r="F1551" s="1231"/>
      <c r="G1551" s="1231"/>
      <c r="H1551" s="1231"/>
      <c r="I1551" s="1231"/>
      <c r="J1551" s="994" t="str">
        <f>IF($I1523="","",INDEX(K_Summary!J:J,MATCH($Q1551,K_Summary!$P:$P,0)))</f>
        <v/>
      </c>
      <c r="K1551" s="912" t="str">
        <f>IF($I1523="","",INDEX(K_Summary!K:K,MATCH($Q1551,K_Summary!$P:$P,0)))</f>
        <v/>
      </c>
      <c r="L1551" s="912" t="str">
        <f>IF($I1523="","",INDEX(K_Summary!L:L,MATCH($Q1551,K_Summary!$P:$P,0)))</f>
        <v/>
      </c>
      <c r="M1551" s="912" t="str">
        <f>IF($I1523="","",INDEX(K_Summary!M:M,MATCH($Q1551,K_Summary!$P:$P,0)))</f>
        <v/>
      </c>
      <c r="N1551" s="1221" t="str">
        <f>IF($I1523="","",INDEX(K_Summary!N:N,MATCH($Q1551,K_Summary!$P:$P,0)))</f>
        <v/>
      </c>
      <c r="O1551" s="15"/>
      <c r="P1551" s="15"/>
      <c r="Q1551" s="672" t="str">
        <f>EUconst_CNTR_100EUA_ActivityLevel&amp;I1523</f>
        <v>EUA100AL_</v>
      </c>
      <c r="R1551" s="2"/>
      <c r="S1551" s="2"/>
      <c r="T1551" s="2"/>
      <c r="U1551" s="584"/>
      <c r="V1551" s="1123"/>
      <c r="W1551" s="1123"/>
      <c r="X1551" s="1123"/>
      <c r="Y1551" s="1123"/>
      <c r="Z1551" s="228"/>
      <c r="AA1551" s="2"/>
      <c r="AB1551" s="2"/>
      <c r="AC1551" s="2"/>
      <c r="AD1551" s="2"/>
      <c r="AE1551" s="2"/>
      <c r="AF1551" s="2"/>
      <c r="AG1551" s="2"/>
      <c r="AH1551" s="2"/>
      <c r="AI1551" s="2"/>
      <c r="AJ1551" s="2"/>
      <c r="AK1551" s="2"/>
      <c r="AL1551" s="343"/>
    </row>
    <row r="1552" spans="1:38" ht="5.15" customHeight="1" thickBot="1" x14ac:dyDescent="0.3">
      <c r="A1552" s="343"/>
      <c r="B1552" s="178"/>
      <c r="C1552" s="178"/>
      <c r="D1552" s="1242"/>
      <c r="E1552" s="1244"/>
      <c r="F1552" s="1244"/>
      <c r="G1552" s="1244"/>
      <c r="H1552" s="1244"/>
      <c r="I1552" s="1244"/>
      <c r="J1552" s="1244"/>
      <c r="K1552" s="1244"/>
      <c r="L1552" s="1244"/>
      <c r="M1552" s="1244"/>
      <c r="N1552" s="1248"/>
      <c r="O1552" s="15"/>
      <c r="P1552" s="15"/>
      <c r="Q1552" s="343"/>
      <c r="R1552" s="2"/>
      <c r="S1552" s="2"/>
      <c r="T1552" s="2"/>
      <c r="U1552" s="1086"/>
      <c r="V1552" s="343"/>
      <c r="W1552" s="2"/>
      <c r="X1552" s="2"/>
      <c r="Y1552" s="2"/>
      <c r="Z1552" s="228"/>
      <c r="AA1552" s="2"/>
      <c r="AB1552" s="2"/>
      <c r="AC1552" s="2"/>
      <c r="AD1552" s="2"/>
      <c r="AE1552" s="2"/>
      <c r="AF1552" s="2"/>
      <c r="AG1552" s="2"/>
      <c r="AH1552" s="2"/>
      <c r="AI1552" s="2"/>
      <c r="AJ1552" s="2"/>
      <c r="AK1552" s="2"/>
      <c r="AL1552" s="343"/>
    </row>
    <row r="1553" spans="1:38" ht="12.75" customHeight="1" thickBot="1" x14ac:dyDescent="0.3">
      <c r="A1553" s="2"/>
      <c r="B1553" s="178"/>
      <c r="C1553" s="178"/>
      <c r="D1553" s="1246" t="s">
        <v>23</v>
      </c>
      <c r="E1553" s="1231" t="str">
        <f>Translations!$B$1477</f>
        <v>Faktisk justering (om alla tröskelvärden överskrids)</v>
      </c>
      <c r="F1553" s="1231"/>
      <c r="G1553" s="1231"/>
      <c r="H1553" s="1233"/>
      <c r="I1553" s="1237"/>
      <c r="J1553" s="1099" t="str">
        <f>IF(J1551="","",IF(J1544&gt;$Z1523,-100%,IF(OR(J1551,V1545&lt;1),J1547,I1553)))</f>
        <v/>
      </c>
      <c r="K1553" s="1100" t="str">
        <f>IF(K1551="","",IF(K1544&gt;$Z1523,-100%,IF(OR(K1551,W1545&lt;1),K1547,J1553)))</f>
        <v/>
      </c>
      <c r="L1553" s="1100" t="str">
        <f>IF(L1551="","",IF(L1544&gt;$Z1523,-100%,IF(OR(L1551,X1545&lt;1),L1547,K1553)))</f>
        <v/>
      </c>
      <c r="M1553" s="1100" t="str">
        <f>IF(M1551="","",IF(M1544&gt;$Z1523,-100%,IF(OR(M1551,Y1545&lt;1),M1547,L1553)))</f>
        <v/>
      </c>
      <c r="N1553" s="1101" t="str">
        <f>IF(N1551="","",IF(N1544&gt;$Z1523,-100%,IF(OR(N1551,Z1545&lt;1),N1547,M1553)))</f>
        <v/>
      </c>
      <c r="O1553" s="15"/>
      <c r="P1553" s="918"/>
      <c r="Q1553" s="165" t="str">
        <f>EUconst_CNTR_HALAdjPct &amp; I1523</f>
        <v>HALAdjPct_</v>
      </c>
      <c r="R1553" s="2"/>
      <c r="S1553" s="2"/>
      <c r="T1553" s="2"/>
      <c r="U1553" s="1086" t="s">
        <v>1858</v>
      </c>
      <c r="V1553" s="1068">
        <f>J1550</f>
        <v>2021</v>
      </c>
      <c r="W1553" s="1068">
        <f>K1550</f>
        <v>2022</v>
      </c>
      <c r="X1553" s="1068">
        <f>L1550</f>
        <v>2023</v>
      </c>
      <c r="Y1553" s="1068">
        <f>M1550</f>
        <v>2024</v>
      </c>
      <c r="Z1553" s="1087">
        <f>N1550</f>
        <v>2025</v>
      </c>
      <c r="AA1553" s="2"/>
      <c r="AB1553" s="2"/>
      <c r="AC1553" s="2"/>
      <c r="AD1553" s="2"/>
      <c r="AE1553" s="2"/>
      <c r="AF1553" s="2"/>
      <c r="AG1553" s="2"/>
      <c r="AH1553" s="2"/>
      <c r="AI1553" s="2"/>
      <c r="AJ1553" s="2"/>
      <c r="AK1553" s="2"/>
      <c r="AL1553" s="343"/>
    </row>
    <row r="1554" spans="1:38" ht="12.75" customHeight="1" thickBot="1" x14ac:dyDescent="0.3">
      <c r="A1554" s="343"/>
      <c r="B1554" s="178"/>
      <c r="C1554" s="178"/>
      <c r="D1554" s="1246" t="s">
        <v>859</v>
      </c>
      <c r="E1554" s="1231" t="str">
        <f>Translations!$B$1478</f>
        <v>Faktiskt värde</v>
      </c>
      <c r="F1554" s="1231"/>
      <c r="G1554" s="1231"/>
      <c r="H1554" s="917" t="str">
        <f>H1545</f>
        <v>ton</v>
      </c>
      <c r="I1554" s="990" t="str">
        <f>I1548</f>
        <v/>
      </c>
      <c r="J1554" s="1072" t="str">
        <f>IF($I1523="","",IF(OR($I1554=0,J1553="",$I1554=EUconst_NA),IF(OR(J1551=TRUE,J1550&lt;=$V1523),J1548,SUM(I1554)),$I1554*(1+SUM(J1553))))</f>
        <v/>
      </c>
      <c r="K1554" s="1073" t="str">
        <f>IF($I1523="","",IF(OR($I1554=0,K1553="",$I1554=EUconst_NA),IF(OR(K1551=TRUE,K1550&lt;=$V1523),K1548,SUM(J1554)),$I1554*(1+SUM(K1553))))</f>
        <v/>
      </c>
      <c r="L1554" s="1073" t="str">
        <f>IF($I1523="","",IF(OR($I1554=0,L1553="",$I1554=EUconst_NA),IF(OR(L1551=TRUE,L1550&lt;=$V1523),L1548,SUM(K1554)),$I1554*(1+SUM(L1553))))</f>
        <v/>
      </c>
      <c r="M1554" s="1073" t="str">
        <f>IF($I1523="","",IF(OR($I1554=0,M1553="",$I1554=EUconst_NA),IF(OR(M1551=TRUE,M1550&lt;=$V1523),M1548,SUM(L1554)),$I1554*(1+SUM(M1553))))</f>
        <v/>
      </c>
      <c r="N1554" s="1074" t="str">
        <f>IF($I1523="","",IF(OR($I1554=0,N1553="",$I1554=EUconst_NA),IF(OR(N1551=TRUE,N1550&lt;=$V1523),N1548,SUM(M1554)),$I1554*(1+SUM(N1553))))</f>
        <v/>
      </c>
      <c r="O1554" s="15"/>
      <c r="P1554" s="15"/>
      <c r="Q1554" s="672" t="str">
        <f>EUconst_CNTR_HALfinal&amp;I1523</f>
        <v>HALfinal_</v>
      </c>
      <c r="R1554" s="2"/>
      <c r="S1554" s="2"/>
      <c r="T1554" s="2"/>
      <c r="U1554" s="1765" t="b">
        <v>0</v>
      </c>
      <c r="V1554" s="1757" t="str">
        <f>IF(V1531,IF(J1551=TRUE,V1546,U1554),"")</f>
        <v/>
      </c>
      <c r="W1554" s="1757" t="str">
        <f>IF(W1531,IF(K1551=TRUE,W1546,V1554),"")</f>
        <v/>
      </c>
      <c r="X1554" s="1757" t="str">
        <f>IF(X1531,IF(L1551=TRUE,X1546,W1554),"")</f>
        <v/>
      </c>
      <c r="Y1554" s="1757" t="str">
        <f>IF(Y1531,IF(M1551=TRUE,Y1546,X1554),"")</f>
        <v/>
      </c>
      <c r="Z1554" s="1758" t="str">
        <f>IF(Z1531,IF(N1551=TRUE,Z1546,Y1554),"")</f>
        <v/>
      </c>
      <c r="AA1554" s="2"/>
      <c r="AB1554" s="2"/>
      <c r="AC1554" s="2"/>
      <c r="AD1554" s="2"/>
      <c r="AE1554" s="2"/>
      <c r="AF1554" s="2"/>
      <c r="AG1554" s="2"/>
      <c r="AH1554" s="2"/>
      <c r="AI1554" s="2"/>
      <c r="AJ1554" s="553" t="s">
        <v>2242</v>
      </c>
      <c r="AK1554" s="108" t="str">
        <f>IF(OR(ISERROR(J1554),ISERROR(K1554),ISERROR(L1554),ISERROR(M1554),ISERROR(N1554)),EUconst_Error &amp; "BM" &amp; Q1523,"")</f>
        <v/>
      </c>
      <c r="AL1554" s="343"/>
    </row>
    <row r="1555" spans="1:38" ht="5.15" customHeight="1" thickBot="1" x14ac:dyDescent="0.3">
      <c r="A1555" s="2"/>
      <c r="B1555" s="178"/>
      <c r="C1555" s="178"/>
      <c r="D1555" s="1282"/>
      <c r="E1555" s="1272"/>
      <c r="F1555" s="1272"/>
      <c r="G1555" s="1272"/>
      <c r="H1555" s="1272"/>
      <c r="I1555" s="1272"/>
      <c r="J1555" s="1272"/>
      <c r="K1555" s="1272"/>
      <c r="L1555" s="1272"/>
      <c r="M1555" s="1272"/>
      <c r="N1555" s="1273"/>
      <c r="O1555" s="15"/>
      <c r="P1555" s="15"/>
      <c r="Q1555" s="343"/>
      <c r="R1555" s="2"/>
      <c r="S1555" s="2"/>
      <c r="T1555" s="2"/>
      <c r="U1555" s="343"/>
      <c r="V1555" s="343"/>
      <c r="W1555" s="2"/>
      <c r="X1555" s="2"/>
      <c r="Y1555" s="2"/>
      <c r="Z1555" s="2"/>
      <c r="AA1555" s="2"/>
      <c r="AB1555" s="2"/>
      <c r="AC1555" s="2"/>
      <c r="AD1555" s="2"/>
      <c r="AE1555" s="2"/>
      <c r="AF1555" s="2"/>
      <c r="AG1555" s="2"/>
      <c r="AH1555" s="2"/>
      <c r="AI1555" s="2"/>
      <c r="AJ1555" s="2"/>
      <c r="AK1555" s="2"/>
      <c r="AL1555" s="343"/>
    </row>
    <row r="1556" spans="1:38" ht="5.15" customHeight="1" x14ac:dyDescent="0.25">
      <c r="A1556" s="2"/>
      <c r="B1556" s="178"/>
      <c r="C1556" s="178"/>
      <c r="D1556" s="15"/>
      <c r="E1556" s="15"/>
      <c r="F1556" s="15"/>
      <c r="G1556" s="15"/>
      <c r="H1556" s="15"/>
      <c r="I1556" s="15"/>
      <c r="J1556" s="15"/>
      <c r="K1556" s="15"/>
      <c r="L1556" s="15"/>
      <c r="M1556" s="15"/>
      <c r="N1556" s="15"/>
      <c r="O1556" s="15"/>
      <c r="P1556" s="15"/>
      <c r="Q1556" s="343"/>
      <c r="R1556" s="2"/>
      <c r="S1556" s="2"/>
      <c r="T1556" s="2"/>
      <c r="U1556" s="343"/>
      <c r="V1556" s="343"/>
      <c r="W1556" s="2"/>
      <c r="X1556" s="2"/>
      <c r="Y1556" s="2"/>
      <c r="Z1556" s="2"/>
      <c r="AA1556" s="2"/>
      <c r="AB1556" s="2"/>
      <c r="AC1556" s="2"/>
      <c r="AD1556" s="2"/>
      <c r="AE1556" s="2"/>
      <c r="AF1556" s="2"/>
      <c r="AG1556" s="2"/>
      <c r="AH1556" s="2"/>
      <c r="AI1556" s="2"/>
      <c r="AJ1556" s="2"/>
      <c r="AK1556" s="2"/>
      <c r="AL1556" s="343"/>
    </row>
    <row r="1557" spans="1:38" ht="15" customHeight="1" x14ac:dyDescent="0.25">
      <c r="A1557" s="2"/>
      <c r="B1557" s="19"/>
      <c r="C1557" s="178"/>
      <c r="D1557" s="2053" t="str">
        <f>Translations!$B$522</f>
        <v>Andra korrigeringsfaktorer</v>
      </c>
      <c r="E1557" s="1963"/>
      <c r="F1557" s="1963"/>
      <c r="G1557" s="1963"/>
      <c r="H1557" s="1963"/>
      <c r="I1557" s="1963"/>
      <c r="J1557" s="1963"/>
      <c r="K1557" s="1963"/>
      <c r="L1557" s="1963"/>
      <c r="M1557" s="1963"/>
      <c r="N1557" s="1963"/>
      <c r="O1557" s="15"/>
      <c r="P1557" s="15"/>
      <c r="Q1557" s="2"/>
      <c r="R1557" s="2"/>
      <c r="S1557" s="2"/>
      <c r="T1557" s="2"/>
      <c r="U1557" s="343"/>
      <c r="V1557" s="343"/>
      <c r="W1557" s="2"/>
      <c r="X1557" s="2"/>
      <c r="Y1557" s="2"/>
      <c r="Z1557" s="2"/>
      <c r="AA1557" s="2"/>
      <c r="AB1557" s="2"/>
      <c r="AC1557" s="2"/>
      <c r="AD1557" s="2"/>
      <c r="AE1557" s="2"/>
      <c r="AF1557" s="2"/>
      <c r="AG1557" s="2"/>
      <c r="AH1557" s="2"/>
      <c r="AI1557" s="2"/>
      <c r="AJ1557" s="2"/>
      <c r="AK1557" s="2"/>
      <c r="AL1557" s="2"/>
    </row>
    <row r="1558" spans="1:38" ht="5.15" customHeight="1" x14ac:dyDescent="0.25">
      <c r="A1558" s="2"/>
      <c r="B1558" s="178"/>
      <c r="C1558" s="178"/>
      <c r="D1558" s="178"/>
      <c r="E1558" s="178"/>
      <c r="F1558" s="178"/>
      <c r="G1558" s="178"/>
      <c r="H1558" s="178"/>
      <c r="I1558" s="178"/>
      <c r="J1558" s="178"/>
      <c r="K1558" s="178"/>
      <c r="L1558" s="178"/>
      <c r="M1558" s="178"/>
      <c r="N1558" s="178"/>
      <c r="O1558" s="15"/>
      <c r="P1558" s="15"/>
      <c r="Q1558" s="343"/>
      <c r="R1558" s="2"/>
      <c r="S1558" s="2"/>
      <c r="T1558" s="2"/>
      <c r="U1558" s="343"/>
      <c r="V1558" s="343"/>
      <c r="W1558" s="2"/>
      <c r="X1558" s="2"/>
      <c r="Y1558" s="2"/>
      <c r="Z1558" s="2"/>
      <c r="AA1558" s="2"/>
      <c r="AB1558" s="2"/>
      <c r="AC1558" s="2"/>
      <c r="AD1558" s="2"/>
      <c r="AE1558" s="2"/>
      <c r="AF1558" s="2"/>
      <c r="AG1558" s="2"/>
      <c r="AH1558" s="2"/>
      <c r="AI1558" s="2"/>
      <c r="AJ1558" s="2"/>
      <c r="AK1558" s="2"/>
      <c r="AL1558" s="2"/>
    </row>
    <row r="1559" spans="1:38" ht="12.75" customHeight="1" x14ac:dyDescent="0.25">
      <c r="A1559" s="2"/>
      <c r="B1559" s="19"/>
      <c r="C1559" s="19"/>
      <c r="D1559" s="13" t="s">
        <v>55</v>
      </c>
      <c r="E1559" s="1943" t="str">
        <f>Translations!$B$523</f>
        <v>Utbytbarhet mellan bränsle och el:</v>
      </c>
      <c r="F1559" s="1963"/>
      <c r="G1559" s="1963"/>
      <c r="H1559" s="1963"/>
      <c r="I1559" s="2060"/>
      <c r="J1559" s="2652" t="str">
        <f>IF(I1523="","",IF(T1559,EUconst_MsgEnterThisSection,HYPERLINK(R1559,EUconst_MsgGoOn)))</f>
        <v/>
      </c>
      <c r="K1559" s="2653"/>
      <c r="L1559" s="2653"/>
      <c r="M1559" s="2653"/>
      <c r="N1559" s="2654"/>
      <c r="O1559" s="15"/>
      <c r="P1559" s="15"/>
      <c r="Q1559" s="2" t="s">
        <v>484</v>
      </c>
      <c r="R1559" s="294" t="str">
        <f>"#"&amp;ADDRESS(ROW(D1587),COLUMN(D1587))</f>
        <v>#$D$1587</v>
      </c>
      <c r="S1559" s="553" t="s">
        <v>1874</v>
      </c>
      <c r="T1559" s="165" t="str">
        <f>IF(I1523="","",INDEX(EUconst_BMlistElExchangability,MATCH(I1523,EUconst_BMlistNames,0)))</f>
        <v/>
      </c>
      <c r="U1559" s="343"/>
      <c r="V1559" s="343"/>
      <c r="W1559" s="2"/>
      <c r="X1559" s="2"/>
      <c r="Y1559" s="2"/>
      <c r="Z1559" s="2"/>
      <c r="AA1559" s="2"/>
      <c r="AB1559" s="2"/>
      <c r="AC1559" s="2"/>
      <c r="AD1559" s="2"/>
      <c r="AE1559" s="2"/>
      <c r="AF1559" s="2"/>
      <c r="AG1559" s="2"/>
      <c r="AH1559" s="2"/>
      <c r="AI1559" s="2"/>
      <c r="AJ1559" s="2"/>
      <c r="AK1559" s="2"/>
      <c r="AL1559" s="2"/>
    </row>
    <row r="1560" spans="1:38" ht="12.75" customHeight="1" x14ac:dyDescent="0.25">
      <c r="A1560" s="2"/>
      <c r="B1560" s="178"/>
      <c r="C1560" s="178"/>
      <c r="D1560" s="15"/>
      <c r="E1560" s="2061" t="str">
        <f>Translations!$B$524</f>
        <v>Ett automatiskt meddelande kommer att visas här, i relevanta fall, där ni ombeds göra den inmatning som krävs för att utbytbarheten mellan bränsle och el (ElExch-F) ska kunna beaktas.</v>
      </c>
      <c r="F1560" s="1963"/>
      <c r="G1560" s="1963"/>
      <c r="H1560" s="1963"/>
      <c r="I1560" s="1963"/>
      <c r="J1560" s="1963"/>
      <c r="K1560" s="1963"/>
      <c r="L1560" s="1963"/>
      <c r="M1560" s="1963"/>
      <c r="N1560" s="1963"/>
      <c r="O1560" s="15"/>
      <c r="P1560" s="15"/>
      <c r="Q1560" s="2"/>
      <c r="R1560" s="2"/>
      <c r="S1560" s="2"/>
      <c r="T1560" s="2"/>
      <c r="U1560" s="343"/>
      <c r="V1560" s="343"/>
      <c r="W1560" s="2"/>
      <c r="X1560" s="2"/>
      <c r="Y1560" s="2"/>
      <c r="Z1560" s="2"/>
      <c r="AA1560" s="2"/>
      <c r="AB1560" s="2"/>
      <c r="AC1560" s="2"/>
      <c r="AD1560" s="2"/>
      <c r="AE1560" s="2"/>
      <c r="AF1560" s="2"/>
      <c r="AG1560" s="2"/>
      <c r="AH1560" s="2"/>
      <c r="AI1560" s="2"/>
      <c r="AJ1560" s="2"/>
      <c r="AK1560" s="2"/>
      <c r="AL1560" s="2"/>
    </row>
    <row r="1561" spans="1:38" ht="12.75" customHeight="1" x14ac:dyDescent="0.25">
      <c r="A1561" s="2"/>
      <c r="B1561" s="178"/>
      <c r="C1561" s="178"/>
      <c r="D1561" s="15"/>
      <c r="E1561" s="2061" t="str">
        <f>Translations!$B$525</f>
        <v>Enligt artikel 22 i FAR krävs ”direkta utsläpp”, nettomängd ”importerad värme” och ”relevant elförbrukning”.</v>
      </c>
      <c r="F1561" s="1963"/>
      <c r="G1561" s="1963"/>
      <c r="H1561" s="1963"/>
      <c r="I1561" s="1963"/>
      <c r="J1561" s="1963"/>
      <c r="K1561" s="1963"/>
      <c r="L1561" s="1963"/>
      <c r="M1561" s="1963"/>
      <c r="N1561" s="1963"/>
      <c r="O1561" s="15"/>
      <c r="P1561" s="15"/>
      <c r="Q1561" s="343"/>
      <c r="R1561" s="2"/>
      <c r="S1561" s="2"/>
      <c r="T1561" s="2"/>
      <c r="U1561" s="343"/>
      <c r="V1561" s="343"/>
      <c r="W1561" s="343"/>
      <c r="X1561" s="343"/>
      <c r="Y1561" s="343"/>
      <c r="Z1561" s="343"/>
      <c r="AA1561" s="2"/>
      <c r="AB1561" s="2"/>
      <c r="AC1561" s="2"/>
      <c r="AD1561" s="2"/>
      <c r="AE1561" s="2"/>
      <c r="AF1561" s="2"/>
      <c r="AG1561" s="2"/>
      <c r="AH1561" s="2"/>
      <c r="AI1561" s="2"/>
      <c r="AJ1561" s="2"/>
      <c r="AK1561" s="2"/>
      <c r="AL1561" s="2"/>
    </row>
    <row r="1562" spans="1:38" ht="25.5" customHeight="1" x14ac:dyDescent="0.25">
      <c r="A1562" s="2"/>
      <c r="B1562" s="178"/>
      <c r="C1562" s="178"/>
      <c r="D1562" s="15"/>
      <c r="E1562" s="2061" t="str">
        <f>Translations!$B$526</f>
        <v>De totala direkta utsläppen är i regel identiska med de värden som anges i punkt g nedan. Ytterligare korrigeringar kan dock behöva göras, framför allt vid användning av restgaser. Var god se vägledningen i punkt g nedan. Uppgifter om nettomängd importerad värme hämtas automatiskt från punkt k.i nedan.</v>
      </c>
      <c r="F1562" s="1963"/>
      <c r="G1562" s="1963"/>
      <c r="H1562" s="1963"/>
      <c r="I1562" s="1963"/>
      <c r="J1562" s="1963"/>
      <c r="K1562" s="1963"/>
      <c r="L1562" s="1963"/>
      <c r="M1562" s="1963"/>
      <c r="N1562" s="1963"/>
      <c r="O1562" s="15"/>
      <c r="P1562" s="15"/>
      <c r="Q1562" s="343"/>
      <c r="R1562" s="2"/>
      <c r="S1562" s="2"/>
      <c r="T1562" s="2"/>
      <c r="U1562" s="343"/>
      <c r="V1562" s="343"/>
      <c r="W1562" s="343"/>
      <c r="X1562" s="343"/>
      <c r="Y1562" s="343"/>
      <c r="Z1562" s="343"/>
      <c r="AA1562" s="2"/>
      <c r="AB1562" s="2"/>
      <c r="AC1562" s="2"/>
      <c r="AD1562" s="2"/>
      <c r="AE1562" s="2"/>
      <c r="AF1562" s="2"/>
      <c r="AG1562" s="2"/>
      <c r="AH1562" s="2"/>
      <c r="AI1562" s="2"/>
      <c r="AJ1562" s="2"/>
      <c r="AK1562" s="2"/>
      <c r="AL1562" s="2"/>
    </row>
    <row r="1563" spans="1:38" s="534" customFormat="1" ht="13.5" thickBot="1" x14ac:dyDescent="0.3">
      <c r="A1563" s="343"/>
      <c r="B1563" s="15"/>
      <c r="C1563" s="15"/>
      <c r="D1563" s="13"/>
      <c r="E1563" s="914" t="str">
        <f>Translations!$B$527</f>
        <v>Parameter</v>
      </c>
      <c r="F1563" s="913"/>
      <c r="G1563" s="30" t="str">
        <f>EUconst_Unit</f>
        <v>Enhet</v>
      </c>
      <c r="H1563" s="320">
        <f>H$3042</f>
        <v>2019</v>
      </c>
      <c r="I1563" s="342">
        <f>I$3042</f>
        <v>2020</v>
      </c>
      <c r="J1563" s="987">
        <f>J$112</f>
        <v>2021</v>
      </c>
      <c r="K1563" s="1001">
        <f>K$112</f>
        <v>2022</v>
      </c>
      <c r="L1563" s="320">
        <f>L$112</f>
        <v>2023</v>
      </c>
      <c r="M1563" s="320">
        <f>M$112</f>
        <v>2024</v>
      </c>
      <c r="N1563" s="320">
        <f>N$112</f>
        <v>2025</v>
      </c>
      <c r="O1563" s="15"/>
      <c r="P1563" s="15"/>
      <c r="Q1563" s="343"/>
      <c r="R1563" s="343"/>
      <c r="S1563" s="2"/>
      <c r="T1563" s="2"/>
      <c r="U1563" s="343"/>
      <c r="V1563" s="343"/>
      <c r="W1563" s="343"/>
      <c r="X1563" s="343"/>
      <c r="Y1563" s="343"/>
      <c r="Z1563" s="343"/>
      <c r="AA1563" s="343"/>
      <c r="AB1563" s="2"/>
      <c r="AC1563" s="1044">
        <f t="shared" ref="AC1563:AI1563" si="699">H$20</f>
        <v>2019</v>
      </c>
      <c r="AD1563" s="1044">
        <f t="shared" si="699"/>
        <v>2020</v>
      </c>
      <c r="AE1563" s="1044">
        <f t="shared" si="699"/>
        <v>2021</v>
      </c>
      <c r="AF1563" s="1044">
        <f t="shared" si="699"/>
        <v>2022</v>
      </c>
      <c r="AG1563" s="1044">
        <f t="shared" si="699"/>
        <v>2023</v>
      </c>
      <c r="AH1563" s="1044">
        <f t="shared" si="699"/>
        <v>2024</v>
      </c>
      <c r="AI1563" s="1044">
        <f t="shared" si="699"/>
        <v>2025</v>
      </c>
      <c r="AJ1563" s="2"/>
      <c r="AK1563" s="2"/>
      <c r="AL1563" s="2"/>
    </row>
    <row r="1564" spans="1:38" s="534" customFormat="1" ht="13.5" customHeight="1" thickBot="1" x14ac:dyDescent="0.3">
      <c r="A1564" s="343"/>
      <c r="B1564" s="15"/>
      <c r="C1564" s="15"/>
      <c r="D1564" s="289" t="s">
        <v>8</v>
      </c>
      <c r="E1564" s="925" t="str">
        <f>Translations!$B$528</f>
        <v>Direkta utsläpp</v>
      </c>
      <c r="F1564" s="925"/>
      <c r="G1564" s="456" t="str">
        <f>EUconst_tCO2pa</f>
        <v>t CO2 / år</v>
      </c>
      <c r="H1564" s="614"/>
      <c r="I1564" s="995"/>
      <c r="J1564" s="1005"/>
      <c r="K1564" s="615"/>
      <c r="L1564" s="615"/>
      <c r="M1564" s="614"/>
      <c r="N1564" s="614"/>
      <c r="O1564" s="15"/>
      <c r="P1564" s="1362"/>
      <c r="Q1564" s="343"/>
      <c r="R1564" s="343"/>
      <c r="S1564" s="2"/>
      <c r="T1564" s="2"/>
      <c r="U1564" s="343"/>
      <c r="V1564" s="343"/>
      <c r="W1564" s="343"/>
      <c r="X1564" s="343"/>
      <c r="Y1564" s="343"/>
      <c r="Z1564" s="343"/>
      <c r="AA1564" s="343"/>
      <c r="AB1564" s="672" t="s">
        <v>782</v>
      </c>
      <c r="AC1564" s="1766" t="b">
        <f t="shared" ref="AC1564:AI1564" si="700">IF(CNTR_ExistSubInstEntries,IF($I1523="",TRUE,OR(H1563&gt;=CNTR_ReportingYear,AC1563&lt;$V1523-1,INDEX(EUconst_BMlistElExchangability,MATCH($I1523,EUconst_BMlistNames,0))=FALSE)),FALSE)</f>
        <v>0</v>
      </c>
      <c r="AD1564" s="1052" t="b">
        <f t="shared" si="700"/>
        <v>0</v>
      </c>
      <c r="AE1564" s="1052" t="b">
        <f t="shared" si="700"/>
        <v>0</v>
      </c>
      <c r="AF1564" s="1052" t="b">
        <f t="shared" si="700"/>
        <v>0</v>
      </c>
      <c r="AG1564" s="1052" t="b">
        <f t="shared" si="700"/>
        <v>0</v>
      </c>
      <c r="AH1564" s="1052" t="b">
        <f t="shared" si="700"/>
        <v>0</v>
      </c>
      <c r="AI1564" s="1053" t="b">
        <f t="shared" si="700"/>
        <v>0</v>
      </c>
      <c r="AJ1564" s="553" t="s">
        <v>2248</v>
      </c>
      <c r="AK1564" s="663" t="str">
        <f>IF(AND(CNTR_ExistSubInstEntries,COUNTIFS(AC1564:AI1564,FALSE,H1564:N1564,"")&gt;0),EUconst_Error&amp;"BM"&amp;$Q1523,"")</f>
        <v/>
      </c>
      <c r="AL1564" s="2"/>
    </row>
    <row r="1565" spans="1:38" s="534" customFormat="1" ht="12.75" customHeight="1" x14ac:dyDescent="0.25">
      <c r="A1565" s="343"/>
      <c r="B1565" s="15"/>
      <c r="C1565" s="15"/>
      <c r="D1565" s="289" t="s">
        <v>9</v>
      </c>
      <c r="E1565" s="923" t="str">
        <f>Translations!$B$529</f>
        <v>Nettomängd importerad värme</v>
      </c>
      <c r="F1565" s="923"/>
      <c r="G1565" s="459" t="str">
        <f>EUconst_TJpa</f>
        <v>TJ / år</v>
      </c>
      <c r="H1565" s="460" t="str">
        <f t="shared" ref="H1565:N1565" si="701">IF(AND($I1523&lt;&gt;"",H1563&lt;CNTR_ReportingYear),IF(INDEX(EUconst_BMlistElExchangability,MATCH($I1523,EUconst_BMlistNames,0)),SUM(H1716),""),"")</f>
        <v/>
      </c>
      <c r="I1565" s="996" t="str">
        <f t="shared" si="701"/>
        <v/>
      </c>
      <c r="J1565" s="1006" t="str">
        <f t="shared" si="701"/>
        <v/>
      </c>
      <c r="K1565" s="1002" t="str">
        <f t="shared" si="701"/>
        <v/>
      </c>
      <c r="L1565" s="460" t="str">
        <f t="shared" si="701"/>
        <v/>
      </c>
      <c r="M1565" s="460" t="str">
        <f t="shared" si="701"/>
        <v/>
      </c>
      <c r="N1565" s="460" t="str">
        <f t="shared" si="701"/>
        <v/>
      </c>
      <c r="O1565" s="15"/>
      <c r="P1565" s="15"/>
      <c r="Q1565" s="343"/>
      <c r="R1565" s="343"/>
      <c r="S1565" s="772"/>
      <c r="T1565" s="609">
        <f t="shared" ref="T1565:Z1565" si="702">H1563</f>
        <v>2019</v>
      </c>
      <c r="U1565" s="609">
        <f t="shared" si="702"/>
        <v>2020</v>
      </c>
      <c r="V1565" s="609">
        <f t="shared" si="702"/>
        <v>2021</v>
      </c>
      <c r="W1565" s="609">
        <f t="shared" si="702"/>
        <v>2022</v>
      </c>
      <c r="X1565" s="609">
        <f t="shared" si="702"/>
        <v>2023</v>
      </c>
      <c r="Y1565" s="609">
        <f t="shared" si="702"/>
        <v>2024</v>
      </c>
      <c r="Z1565" s="610">
        <f t="shared" si="702"/>
        <v>2025</v>
      </c>
      <c r="AA1565" s="343"/>
      <c r="AB1565" s="343"/>
      <c r="AC1565" s="584"/>
      <c r="AD1565" s="343"/>
      <c r="AE1565" s="343"/>
      <c r="AF1565" s="343"/>
      <c r="AG1565" s="343"/>
      <c r="AH1565" s="343"/>
      <c r="AI1565" s="1328"/>
      <c r="AJ1565" s="343"/>
      <c r="AK1565" s="343"/>
      <c r="AL1565" s="2"/>
    </row>
    <row r="1566" spans="1:38" s="534" customFormat="1" ht="12.75" customHeight="1" thickBot="1" x14ac:dyDescent="0.3">
      <c r="A1566" s="343"/>
      <c r="B1566" s="15"/>
      <c r="C1566" s="15"/>
      <c r="D1566" s="289" t="s">
        <v>10</v>
      </c>
      <c r="E1566" s="1778" t="str">
        <f>Translations!$B$530</f>
        <v>Relevant elförbrukning</v>
      </c>
      <c r="F1566" s="1520"/>
      <c r="G1566" s="473" t="str">
        <f>EUconst_MWhpa</f>
        <v>MWh / år</v>
      </c>
      <c r="H1566" s="474"/>
      <c r="I1566" s="997"/>
      <c r="J1566" s="669"/>
      <c r="K1566" s="1003"/>
      <c r="L1566" s="474"/>
      <c r="M1566" s="474"/>
      <c r="N1566" s="474"/>
      <c r="O1566" s="15"/>
      <c r="P1566" s="1362"/>
      <c r="Q1566" s="165" t="str">
        <f>EUconst_CNTR_HAL&amp;EUconst_CNTR_ELEXCH</f>
        <v>HAL_ELEXCH_</v>
      </c>
      <c r="R1566" s="165" t="str">
        <f>EUconst_CNTR_HAL&amp;EUconst_CNTR_ELEXCH &amp; I1523</f>
        <v>HAL_ELEXCH_</v>
      </c>
      <c r="S1566" s="1888" t="str">
        <f>EUconst_CNTR_AttributedEmissions &amp; I1523</f>
        <v>AttrEmissions_</v>
      </c>
      <c r="T1566" s="1330" t="str">
        <f t="shared" ref="T1566:Z1566" si="703">IF(T1531,SUM(H1566)*EUconst_ElBM,"")</f>
        <v/>
      </c>
      <c r="U1566" s="1330" t="str">
        <f t="shared" si="703"/>
        <v/>
      </c>
      <c r="V1566" s="1330" t="str">
        <f t="shared" si="703"/>
        <v/>
      </c>
      <c r="W1566" s="1330" t="str">
        <f t="shared" si="703"/>
        <v/>
      </c>
      <c r="X1566" s="1330" t="str">
        <f t="shared" si="703"/>
        <v/>
      </c>
      <c r="Y1566" s="1330" t="str">
        <f t="shared" si="703"/>
        <v/>
      </c>
      <c r="Z1566" s="1331" t="str">
        <f t="shared" si="703"/>
        <v/>
      </c>
      <c r="AA1566" s="343"/>
      <c r="AB1566" s="343"/>
      <c r="AC1566" s="1329" t="b">
        <f>AC1564</f>
        <v>0</v>
      </c>
      <c r="AD1566" s="1330" t="b">
        <f t="shared" ref="AD1566:AI1566" si="704">AD1564</f>
        <v>0</v>
      </c>
      <c r="AE1566" s="1330" t="b">
        <f t="shared" si="704"/>
        <v>0</v>
      </c>
      <c r="AF1566" s="1330" t="b">
        <f t="shared" si="704"/>
        <v>0</v>
      </c>
      <c r="AG1566" s="1330" t="b">
        <f t="shared" si="704"/>
        <v>0</v>
      </c>
      <c r="AH1566" s="1330" t="b">
        <f t="shared" si="704"/>
        <v>0</v>
      </c>
      <c r="AI1566" s="1331" t="b">
        <f t="shared" si="704"/>
        <v>0</v>
      </c>
      <c r="AJ1566" s="553" t="s">
        <v>2248</v>
      </c>
      <c r="AK1566" s="663" t="str">
        <f>IF(AND(CNTR_ExistSubInstEntries,COUNTIFS(AC1566:AI1566,FALSE,H1566:N1566,"")&gt;0),EUconst_Error&amp;"BM"&amp;$Q1523,"")</f>
        <v/>
      </c>
      <c r="AL1566" s="2"/>
    </row>
    <row r="1567" spans="1:38" s="534" customFormat="1" ht="13.5" customHeight="1" x14ac:dyDescent="0.25">
      <c r="A1567" s="343"/>
      <c r="B1567" s="15"/>
      <c r="C1567" s="15"/>
      <c r="D1567" s="289" t="s">
        <v>23</v>
      </c>
      <c r="E1567" s="925" t="str">
        <f>Translations!$B$531</f>
        <v>Totala direkta utsläpp</v>
      </c>
      <c r="F1567" s="925"/>
      <c r="G1567" s="456" t="str">
        <f>EUconst_tCO2pa</f>
        <v>t CO2 / år</v>
      </c>
      <c r="H1567" s="457" t="str">
        <f t="shared" ref="H1567:N1567" si="705">IF(ISNUMBER(H1564),H1564+SUM(H1565)*EUconst_HeatBMvalue,"")</f>
        <v/>
      </c>
      <c r="I1567" s="998" t="str">
        <f t="shared" si="705"/>
        <v/>
      </c>
      <c r="J1567" s="1007" t="str">
        <f t="shared" si="705"/>
        <v/>
      </c>
      <c r="K1567" s="458" t="str">
        <f t="shared" si="705"/>
        <v/>
      </c>
      <c r="L1567" s="458" t="str">
        <f t="shared" si="705"/>
        <v/>
      </c>
      <c r="M1567" s="457" t="str">
        <f t="shared" si="705"/>
        <v/>
      </c>
      <c r="N1567" s="457" t="str">
        <f t="shared" si="705"/>
        <v/>
      </c>
      <c r="O1567" s="15"/>
      <c r="P1567" s="15"/>
      <c r="Q1567" s="343"/>
      <c r="R1567" s="343"/>
      <c r="S1567" s="2"/>
      <c r="T1567" s="2"/>
      <c r="U1567" s="343"/>
      <c r="V1567" s="343"/>
      <c r="W1567" s="343"/>
      <c r="X1567" s="343"/>
      <c r="Y1567" s="343"/>
      <c r="Z1567" s="343"/>
      <c r="AA1567" s="343"/>
      <c r="AB1567" s="343"/>
      <c r="AC1567" s="343"/>
      <c r="AD1567" s="343"/>
      <c r="AE1567" s="343"/>
      <c r="AF1567" s="343"/>
      <c r="AG1567" s="343"/>
      <c r="AH1567" s="343"/>
      <c r="AI1567" s="343"/>
      <c r="AJ1567" s="343"/>
      <c r="AK1567" s="343"/>
      <c r="AL1567" s="2"/>
    </row>
    <row r="1568" spans="1:38" s="534" customFormat="1" ht="13.5" customHeight="1" x14ac:dyDescent="0.25">
      <c r="A1568" s="343"/>
      <c r="B1568" s="15"/>
      <c r="C1568" s="15"/>
      <c r="D1568" s="289" t="s">
        <v>859</v>
      </c>
      <c r="E1568" s="924" t="str">
        <f>Translations!$B$532</f>
        <v>Indirekta utsläpp</v>
      </c>
      <c r="F1568" s="924"/>
      <c r="G1568" s="461" t="str">
        <f>EUconst_tCO2pa</f>
        <v>t CO2 / år</v>
      </c>
      <c r="H1568" s="462" t="str">
        <f t="shared" ref="H1568:N1568" si="706">IF(ISNUMBER(H1566),H1566*EUconst_ElBM,"")</f>
        <v/>
      </c>
      <c r="I1568" s="999" t="str">
        <f t="shared" si="706"/>
        <v/>
      </c>
      <c r="J1568" s="1008" t="str">
        <f t="shared" si="706"/>
        <v/>
      </c>
      <c r="K1568" s="463" t="str">
        <f t="shared" si="706"/>
        <v/>
      </c>
      <c r="L1568" s="463" t="str">
        <f t="shared" si="706"/>
        <v/>
      </c>
      <c r="M1568" s="462" t="str">
        <f t="shared" si="706"/>
        <v/>
      </c>
      <c r="N1568" s="462" t="str">
        <f t="shared" si="706"/>
        <v/>
      </c>
      <c r="O1568" s="15"/>
      <c r="P1568" s="15"/>
      <c r="Q1568" s="343"/>
      <c r="R1568" s="343"/>
      <c r="S1568" s="2"/>
      <c r="T1568" s="2"/>
      <c r="U1568" s="343"/>
      <c r="V1568" s="343"/>
      <c r="W1568" s="343"/>
      <c r="X1568" s="343"/>
      <c r="Y1568" s="343"/>
      <c r="Z1568" s="343"/>
      <c r="AA1568" s="343"/>
      <c r="AB1568" s="343"/>
      <c r="AC1568" s="343"/>
      <c r="AD1568" s="343"/>
      <c r="AE1568" s="343"/>
      <c r="AF1568" s="343"/>
      <c r="AG1568" s="343"/>
      <c r="AH1568" s="343"/>
      <c r="AI1568" s="343"/>
      <c r="AJ1568" s="343"/>
      <c r="AK1568" s="343"/>
      <c r="AL1568" s="2"/>
    </row>
    <row r="1569" spans="1:38" ht="5.15" customHeight="1" x14ac:dyDescent="0.25">
      <c r="A1569" s="2"/>
      <c r="B1569" s="178"/>
      <c r="C1569" s="178"/>
      <c r="D1569" s="178"/>
      <c r="E1569" s="178"/>
      <c r="F1569" s="178"/>
      <c r="G1569" s="178"/>
      <c r="H1569" s="178"/>
      <c r="I1569" s="178"/>
      <c r="J1569" s="1009"/>
      <c r="K1569" s="178"/>
      <c r="L1569" s="178"/>
      <c r="M1569" s="15"/>
      <c r="N1569" s="15"/>
      <c r="O1569" s="15"/>
      <c r="P1569" s="15"/>
      <c r="Q1569" s="343"/>
      <c r="R1569" s="2"/>
      <c r="S1569" s="2"/>
      <c r="T1569" s="2"/>
      <c r="U1569" s="343"/>
      <c r="V1569" s="343"/>
      <c r="W1569" s="343"/>
      <c r="X1569" s="343"/>
      <c r="Y1569" s="343"/>
      <c r="Z1569" s="343"/>
      <c r="AA1569" s="2"/>
      <c r="AB1569" s="2"/>
      <c r="AC1569" s="2"/>
      <c r="AD1569" s="2"/>
      <c r="AE1569" s="2"/>
      <c r="AF1569" s="2"/>
      <c r="AG1569" s="2"/>
      <c r="AH1569" s="2"/>
      <c r="AI1569" s="2"/>
      <c r="AJ1569" s="2"/>
      <c r="AK1569" s="2"/>
      <c r="AL1569" s="2"/>
    </row>
    <row r="1570" spans="1:38" ht="12.75" customHeight="1" x14ac:dyDescent="0.25">
      <c r="A1570" s="2"/>
      <c r="B1570" s="178"/>
      <c r="C1570" s="178"/>
      <c r="D1570" s="289" t="s">
        <v>860</v>
      </c>
      <c r="E1570" s="514" t="s">
        <v>1526</v>
      </c>
      <c r="F1570" s="929"/>
      <c r="G1570" s="930" t="s">
        <v>1112</v>
      </c>
      <c r="H1570" s="926" t="str">
        <f t="shared" ref="H1570:N1570" si="707">IF(COUNT(H1567:H1568)&gt;0,SUM(H1567)/SUM(H1567:H1568),IF($T1559=TRUE,IF(H1563&gt;CNTR_ReportingYear,"",1),""))</f>
        <v/>
      </c>
      <c r="I1570" s="1000" t="str">
        <f t="shared" si="707"/>
        <v/>
      </c>
      <c r="J1570" s="1010" t="str">
        <f t="shared" si="707"/>
        <v/>
      </c>
      <c r="K1570" s="1004" t="str">
        <f t="shared" si="707"/>
        <v/>
      </c>
      <c r="L1570" s="926" t="str">
        <f t="shared" si="707"/>
        <v/>
      </c>
      <c r="M1570" s="926" t="str">
        <f t="shared" si="707"/>
        <v/>
      </c>
      <c r="N1570" s="926" t="str">
        <f t="shared" si="707"/>
        <v/>
      </c>
      <c r="O1570" s="15"/>
      <c r="P1570" s="15"/>
      <c r="Q1570" s="165" t="str">
        <f>EUconst_CNTR_ELEXCH &amp; I1523</f>
        <v>ELEXCH_</v>
      </c>
      <c r="R1570" s="2"/>
      <c r="S1570" s="2"/>
      <c r="T1570" s="2"/>
      <c r="U1570" s="2"/>
      <c r="V1570" s="2"/>
      <c r="W1570" s="2"/>
      <c r="X1570" s="2"/>
      <c r="Y1570" s="2"/>
      <c r="Z1570" s="2"/>
      <c r="AA1570" s="2"/>
      <c r="AB1570" s="2"/>
      <c r="AC1570" s="2"/>
      <c r="AD1570" s="2"/>
      <c r="AE1570" s="2"/>
      <c r="AF1570" s="2"/>
      <c r="AG1570" s="2"/>
      <c r="AH1570" s="2"/>
      <c r="AI1570" s="2"/>
      <c r="AJ1570" s="2"/>
      <c r="AK1570" s="2"/>
      <c r="AL1570" s="2"/>
    </row>
    <row r="1571" spans="1:38" ht="5.15" customHeight="1" x14ac:dyDescent="0.25">
      <c r="A1571" s="2"/>
      <c r="B1571" s="178"/>
      <c r="C1571" s="178"/>
      <c r="D1571" s="178"/>
      <c r="E1571" s="178"/>
      <c r="F1571" s="178"/>
      <c r="G1571" s="178"/>
      <c r="H1571" s="178"/>
      <c r="I1571" s="178"/>
      <c r="J1571" s="178"/>
      <c r="K1571" s="178"/>
      <c r="L1571" s="178"/>
      <c r="M1571" s="15"/>
      <c r="N1571" s="15"/>
      <c r="O1571" s="15"/>
      <c r="P1571" s="15"/>
      <c r="Q1571" s="343"/>
      <c r="R1571" s="2"/>
      <c r="S1571" s="2"/>
      <c r="T1571" s="2"/>
      <c r="U1571" s="2"/>
      <c r="V1571" s="2"/>
      <c r="W1571" s="2"/>
      <c r="X1571" s="2"/>
      <c r="Y1571" s="2"/>
      <c r="Z1571" s="2"/>
      <c r="AA1571" s="2"/>
      <c r="AB1571" s="2"/>
      <c r="AC1571" s="2"/>
      <c r="AD1571" s="2"/>
      <c r="AE1571" s="2"/>
      <c r="AF1571" s="2"/>
      <c r="AG1571" s="2"/>
      <c r="AH1571" s="2"/>
      <c r="AI1571" s="2"/>
      <c r="AJ1571" s="2"/>
      <c r="AK1571" s="2"/>
      <c r="AL1571" s="2"/>
    </row>
    <row r="1572" spans="1:38" ht="25.5" customHeight="1" thickBot="1" x14ac:dyDescent="0.3">
      <c r="A1572" s="2"/>
      <c r="B1572" s="178"/>
      <c r="C1572" s="178"/>
      <c r="D1572" s="15"/>
      <c r="E1572" s="2061" t="str">
        <f>Translations!$B$1479</f>
        <v>Baserat på uppgifterna ovan bestäms ett genomsnittligt årligt värde. Tilldelningen kommer endast att ändras om det relativa tröskelvärdet (15 % jämfört med värdet från de nationella genomförandeåtgärderna) och det absoluta tröskelvärdet (ändring leder till mer än 100 utsläppsrätter) överskrids, enligt artikel 6.4 i verksamhetsändringsförordningen.</v>
      </c>
      <c r="F1572" s="1963"/>
      <c r="G1572" s="1963"/>
      <c r="H1572" s="1963"/>
      <c r="I1572" s="1963"/>
      <c r="J1572" s="1963"/>
      <c r="K1572" s="1963"/>
      <c r="L1572" s="1963"/>
      <c r="M1572" s="1963"/>
      <c r="N1572" s="1963"/>
      <c r="O1572" s="15"/>
      <c r="P1572" s="15"/>
      <c r="Q1572" s="343"/>
      <c r="R1572" s="2"/>
      <c r="S1572" s="343"/>
      <c r="T1572" s="343"/>
      <c r="U1572" s="343"/>
      <c r="V1572" s="2"/>
      <c r="W1572" s="2"/>
      <c r="X1572" s="2"/>
      <c r="Y1572" s="2"/>
      <c r="Z1572" s="2"/>
      <c r="AA1572" s="2"/>
      <c r="AB1572" s="2"/>
      <c r="AC1572" s="2"/>
      <c r="AD1572" s="2"/>
      <c r="AE1572" s="2"/>
      <c r="AF1572" s="2"/>
      <c r="AG1572" s="2"/>
      <c r="AH1572" s="2"/>
      <c r="AI1572" s="2"/>
      <c r="AJ1572" s="2"/>
      <c r="AK1572" s="2"/>
      <c r="AL1572" s="2"/>
    </row>
    <row r="1573" spans="1:38" ht="5.15" customHeight="1" thickBot="1" x14ac:dyDescent="0.3">
      <c r="A1573" s="2"/>
      <c r="B1573" s="178"/>
      <c r="C1573" s="178"/>
      <c r="D1573" s="1238"/>
      <c r="E1573" s="1266"/>
      <c r="F1573" s="1266"/>
      <c r="G1573" s="1266"/>
      <c r="H1573" s="1266"/>
      <c r="I1573" s="1266"/>
      <c r="J1573" s="1266"/>
      <c r="K1573" s="1266"/>
      <c r="L1573" s="1266"/>
      <c r="M1573" s="1266"/>
      <c r="N1573" s="1267"/>
      <c r="O1573" s="15"/>
      <c r="P1573" s="15"/>
      <c r="Q1573" s="343"/>
      <c r="R1573" s="2"/>
      <c r="S1573" s="343"/>
      <c r="T1573" s="343"/>
      <c r="U1573" s="343"/>
      <c r="V1573" s="2"/>
      <c r="W1573" s="2"/>
      <c r="X1573" s="2"/>
      <c r="Y1573" s="2"/>
      <c r="Z1573" s="2"/>
      <c r="AA1573" s="2"/>
      <c r="AB1573" s="2"/>
      <c r="AC1573" s="2"/>
      <c r="AD1573" s="2"/>
      <c r="AE1573" s="2"/>
      <c r="AF1573" s="2"/>
      <c r="AG1573" s="2"/>
      <c r="AH1573" s="2"/>
      <c r="AI1573" s="2"/>
      <c r="AJ1573" s="2"/>
      <c r="AK1573" s="2"/>
      <c r="AL1573" s="2"/>
    </row>
    <row r="1574" spans="1:38" ht="12.75" customHeight="1" x14ac:dyDescent="0.25">
      <c r="A1574" s="2"/>
      <c r="B1574" s="178"/>
      <c r="C1574" s="178"/>
      <c r="D1574" s="1290" t="s">
        <v>2191</v>
      </c>
      <c r="E1574" s="1243" t="str">
        <f>Translations!$B$1480</f>
        <v>Justeringar: Elutbyte</v>
      </c>
      <c r="F1574" s="1244"/>
      <c r="G1574" s="1244"/>
      <c r="H1574" s="1228" t="str">
        <f>EUconst_Unit</f>
        <v>Enhet</v>
      </c>
      <c r="I1574" s="1229" t="str">
        <f>Translations!$B$1481</f>
        <v>Värde (NIMs)</v>
      </c>
      <c r="J1574" s="1268">
        <f>J$3042</f>
        <v>2021</v>
      </c>
      <c r="K1574" s="1230">
        <f>K$3042</f>
        <v>2022</v>
      </c>
      <c r="L1574" s="1230">
        <f>L$3042</f>
        <v>2023</v>
      </c>
      <c r="M1574" s="1230">
        <f>M$3042</f>
        <v>2024</v>
      </c>
      <c r="N1574" s="1258">
        <f>N$3042</f>
        <v>2025</v>
      </c>
      <c r="O1574" s="15"/>
      <c r="P1574" s="15"/>
      <c r="Q1574" s="343"/>
      <c r="R1574" s="2"/>
      <c r="S1574" s="2"/>
      <c r="T1574" s="2"/>
      <c r="U1574" s="772"/>
      <c r="V1574" s="1077">
        <f>J1574</f>
        <v>2021</v>
      </c>
      <c r="W1574" s="1077">
        <f>K1574</f>
        <v>2022</v>
      </c>
      <c r="X1574" s="1077">
        <f>L1574</f>
        <v>2023</v>
      </c>
      <c r="Y1574" s="1077">
        <f>M1574</f>
        <v>2024</v>
      </c>
      <c r="Z1574" s="1078">
        <f>N1574</f>
        <v>2025</v>
      </c>
      <c r="AA1574" s="2"/>
      <c r="AB1574" s="2"/>
      <c r="AC1574" s="2"/>
      <c r="AD1574" s="2"/>
      <c r="AE1574" s="2"/>
      <c r="AF1574" s="2"/>
      <c r="AG1574" s="2"/>
      <c r="AH1574" s="2"/>
      <c r="AI1574" s="2"/>
      <c r="AJ1574" s="2"/>
      <c r="AK1574" s="2"/>
      <c r="AL1574" s="343"/>
    </row>
    <row r="1575" spans="1:38" ht="12.75" customHeight="1" x14ac:dyDescent="0.25">
      <c r="A1575" s="2"/>
      <c r="B1575" s="178"/>
      <c r="C1575" s="178"/>
      <c r="D1575" s="1246" t="s">
        <v>8</v>
      </c>
      <c r="E1575" s="1231" t="str">
        <f>Translations!$B$1482</f>
        <v>Genomsnittligt årligt värde</v>
      </c>
      <c r="F1575" s="1231"/>
      <c r="G1575" s="1231"/>
      <c r="H1575" s="1232" t="str">
        <f>G1570</f>
        <v>-</v>
      </c>
      <c r="I1575" s="1011" t="str">
        <f>IF($T1559&lt;&gt;TRUE,"",INDEX('B+C_SubInstallations'!$L:$L,MATCH(Q1575,'B+C_SubInstallations'!$W:$W,0)))</f>
        <v/>
      </c>
      <c r="J1575" s="1012" t="str">
        <f>IF($T1559&lt;&gt;TRUE,"",IF(AND(V1575&gt;=3,CNTR_ReportingYear&gt;J1574-1),AVERAGE(SUM(H1570),SUM(I1570)),""))</f>
        <v/>
      </c>
      <c r="K1575" s="927" t="str">
        <f>IF($T1559&lt;&gt;TRUE,"",IF(AND(W1575&gt;=3,CNTR_ReportingYear&gt;K1574-1),AVERAGE(SUM(I1570),SUM(J1570)),""))</f>
        <v/>
      </c>
      <c r="L1575" s="927" t="str">
        <f>IF($T1559&lt;&gt;TRUE,"",IF(AND(X1575&gt;=3,CNTR_ReportingYear&gt;L1574-1),AVERAGE(SUM(J1570),SUM(K1570)),""))</f>
        <v/>
      </c>
      <c r="M1575" s="927" t="str">
        <f>IF($T1559&lt;&gt;TRUE,"",IF(AND(Y1575&gt;=3,CNTR_ReportingYear&gt;M1574-1),AVERAGE(SUM(K1570),SUM(L1570)),""))</f>
        <v/>
      </c>
      <c r="N1575" s="1222" t="str">
        <f>IF($T1559&lt;&gt;TRUE,"",IF(AND(Z1575&gt;=3,CNTR_ReportingYear&gt;N1574-1),AVERAGE(SUM(L1570),SUM(M1570)),""))</f>
        <v/>
      </c>
      <c r="O1575" s="15"/>
      <c r="P1575" s="15"/>
      <c r="Q1575" s="165" t="str">
        <f>EUconst_CNTR_HAL &amp; EUconst_CNTR_ELEXCHInitial &amp; I1523</f>
        <v>HAL_ELEXCHIni_</v>
      </c>
      <c r="R1575" s="2"/>
      <c r="S1575" s="2"/>
      <c r="T1575" s="2"/>
      <c r="U1575" s="1079" t="s">
        <v>1850</v>
      </c>
      <c r="V1575" s="663">
        <f>V1545</f>
        <v>0</v>
      </c>
      <c r="W1575" s="663">
        <f>W1545</f>
        <v>0</v>
      </c>
      <c r="X1575" s="663">
        <f>X1545</f>
        <v>0</v>
      </c>
      <c r="Y1575" s="663">
        <f>Y1545</f>
        <v>0</v>
      </c>
      <c r="Z1575" s="1080">
        <f>Z1545</f>
        <v>0</v>
      </c>
      <c r="AA1575" s="2"/>
      <c r="AB1575" s="2"/>
      <c r="AC1575" s="2"/>
      <c r="AD1575" s="2"/>
      <c r="AE1575" s="2"/>
      <c r="AF1575" s="2"/>
      <c r="AG1575" s="2"/>
      <c r="AH1575" s="2"/>
      <c r="AI1575" s="2"/>
      <c r="AJ1575" s="2"/>
      <c r="AK1575" s="2"/>
      <c r="AL1575" s="343"/>
    </row>
    <row r="1576" spans="1:38" ht="12.75" hidden="1" customHeight="1" x14ac:dyDescent="0.25">
      <c r="A1576" s="343" t="s">
        <v>346</v>
      </c>
      <c r="B1576" s="178"/>
      <c r="C1576" s="178"/>
      <c r="D1576" s="1246"/>
      <c r="E1576" s="1231" t="s">
        <v>1980</v>
      </c>
      <c r="F1576" s="1231"/>
      <c r="G1576" s="1231"/>
      <c r="H1576" s="1233"/>
      <c r="I1576" s="1235"/>
      <c r="J1576" s="1013" t="str">
        <f>IF(J1575="","",IF($I1578=0,IF(J1575=0,0%,100%),J1575/$I1578-1))</f>
        <v/>
      </c>
      <c r="K1576" s="938" t="str">
        <f>IF(K1575="","",IF($I1578=0,IF(K1575=0,0%,100%),K1575/$I1578-1))</f>
        <v/>
      </c>
      <c r="L1576" s="938" t="str">
        <f>IF(L1575="","",IF($I1578=0,IF(L1575=0,0%,100%),L1575/$I1578-1))</f>
        <v/>
      </c>
      <c r="M1576" s="938" t="str">
        <f>IF(M1575="","",IF($I1578=0,IF(M1575=0,0%,100%),M1575/$I1578-1))</f>
        <v/>
      </c>
      <c r="N1576" s="1223" t="str">
        <f>IF(N1575="","",IF($I1578=0,IF(N1575=0,0%,100%),N1575/$I1578-1))</f>
        <v/>
      </c>
      <c r="O1576" s="15"/>
      <c r="P1576" s="15"/>
      <c r="Q1576" s="165" t="str">
        <f>EUconst_CNTR_RelThreshold &amp; Q1578</f>
        <v>RelThresh_HALprelim_ELEXCH_</v>
      </c>
      <c r="R1576" s="2"/>
      <c r="S1576" s="2"/>
      <c r="T1576" s="2"/>
      <c r="U1576" s="1079" t="s">
        <v>1855</v>
      </c>
      <c r="V1576" s="603" t="str">
        <f>IF(J1575="","",ABS(J1576)&gt;15%)</f>
        <v/>
      </c>
      <c r="W1576" s="603" t="str">
        <f>IF(K1575="","",ABS(K1576)&gt;15%)</f>
        <v/>
      </c>
      <c r="X1576" s="603" t="str">
        <f>IF(L1575="","",ABS(L1576)&gt;15%)</f>
        <v/>
      </c>
      <c r="Y1576" s="603" t="str">
        <f>IF(M1575="","",ABS(M1576)&gt;15%)</f>
        <v/>
      </c>
      <c r="Z1576" s="1756" t="str">
        <f>IF(N1575="","",ABS(N1576)&gt;15%)</f>
        <v/>
      </c>
      <c r="AA1576" s="2"/>
      <c r="AB1576" s="2"/>
      <c r="AC1576" s="2"/>
      <c r="AD1576" s="2"/>
      <c r="AE1576" s="2"/>
      <c r="AF1576" s="2"/>
      <c r="AG1576" s="2"/>
      <c r="AH1576" s="2"/>
      <c r="AI1576" s="2"/>
      <c r="AJ1576" s="2"/>
      <c r="AK1576" s="2"/>
      <c r="AL1576" s="343"/>
    </row>
    <row r="1577" spans="1:38" ht="12.75" customHeight="1" x14ac:dyDescent="0.25">
      <c r="A1577" s="343"/>
      <c r="B1577" s="178"/>
      <c r="C1577" s="178"/>
      <c r="D1577" s="1246" t="s">
        <v>9</v>
      </c>
      <c r="E1577" s="1231" t="str">
        <f>Translations!$B$1474</f>
        <v>Preliminär justering (om relativa tröskelvärden överskrids)</v>
      </c>
      <c r="F1577" s="1231"/>
      <c r="G1577" s="1231"/>
      <c r="H1577" s="1233"/>
      <c r="I1577" s="1235"/>
      <c r="J1577" s="992" t="str">
        <f>IF(J1575="","",IF(V1576=FALSE,0%,J1576))</f>
        <v/>
      </c>
      <c r="K1577" s="937" t="str">
        <f>IF(K1575="","",IF(W1576=FALSE,0%,K1576))</f>
        <v/>
      </c>
      <c r="L1577" s="937" t="str">
        <f>IF(L1575="","",IF(X1576=FALSE,0%,L1576))</f>
        <v/>
      </c>
      <c r="M1577" s="937" t="str">
        <f>IF(M1575="","",IF(Y1576=FALSE,0%,M1576))</f>
        <v/>
      </c>
      <c r="N1577" s="1220" t="str">
        <f>IF(N1575="","",IF(Z1576=FALSE,0%,N1576))</f>
        <v/>
      </c>
      <c r="O1577" s="15"/>
      <c r="P1577" s="15"/>
      <c r="Q1577" s="343"/>
      <c r="R1577" s="2"/>
      <c r="S1577" s="2"/>
      <c r="T1577" s="2"/>
      <c r="U1577" s="1081"/>
      <c r="V1577" s="2"/>
      <c r="W1577" s="2"/>
      <c r="X1577" s="2"/>
      <c r="Y1577" s="2"/>
      <c r="Z1577" s="228"/>
      <c r="AA1577" s="2"/>
      <c r="AB1577" s="2"/>
      <c r="AC1577" s="2"/>
      <c r="AD1577" s="2"/>
      <c r="AE1577" s="2"/>
      <c r="AF1577" s="2"/>
      <c r="AG1577" s="2"/>
      <c r="AH1577" s="2"/>
      <c r="AI1577" s="2"/>
      <c r="AJ1577" s="2"/>
      <c r="AK1577" s="2"/>
      <c r="AL1577" s="343"/>
    </row>
    <row r="1578" spans="1:38" ht="12.75" hidden="1" customHeight="1" x14ac:dyDescent="0.25">
      <c r="A1578" s="343" t="s">
        <v>346</v>
      </c>
      <c r="B1578" s="178"/>
      <c r="C1578" s="178"/>
      <c r="D1578" s="1246"/>
      <c r="E1578" s="1231" t="s">
        <v>1889</v>
      </c>
      <c r="F1578" s="1231"/>
      <c r="G1578" s="1231"/>
      <c r="H1578" s="1232" t="str">
        <f>H1575</f>
        <v>-</v>
      </c>
      <c r="I1578" s="1011" t="str">
        <f>IF($T1559&lt;&gt;TRUE,"",IF(AB1523=FALSE,EUconst_NA,IF(V1523&gt;($J$3042-3),INDEX(H1570:N1570,MATCH(V1523,H1563:N1563,0)),SUM(I1575))))</f>
        <v/>
      </c>
      <c r="J1578" s="1014" t="str">
        <f>IF(OR($I1523="",$T1559=FALSE),"",IF(V1575&lt;2,SUM(J1570),IF(V1575&lt;3,SUM(I1570),IF(V1578="",I1578,V1578))))</f>
        <v/>
      </c>
      <c r="K1578" s="928" t="str">
        <f>IF(OR($I1523="",$T1559=FALSE),"",IF(W1575&lt;2,SUM(K1570),IF(W1575&lt;3,SUM(J1570),IF(W1578="",J1578,W1578))))</f>
        <v/>
      </c>
      <c r="L1578" s="928" t="str">
        <f>IF(OR($I1523="",$T1559=FALSE),"",IF(X1575&lt;2,SUM(L1570),IF(X1575&lt;3,SUM(K1570),IF(X1578="",K1578,X1578))))</f>
        <v/>
      </c>
      <c r="M1578" s="928" t="str">
        <f>IF(OR($I1523="",$T1559=FALSE),"",IF(Y1575&lt;2,SUM(M1570),IF(Y1575&lt;3,SUM(L1570),IF(Y1578="",L1578,Y1578))))</f>
        <v/>
      </c>
      <c r="N1578" s="1224" t="str">
        <f>IF(OR($I1523="",$T1559=FALSE),"",IF(Z1575&lt;2,SUM(N1570),IF(Z1575&lt;3,SUM(M1570),IF(Z1578="",M1578,Z1578))))</f>
        <v/>
      </c>
      <c r="O1578" s="15"/>
      <c r="P1578" s="15"/>
      <c r="Q1578" s="165" t="str">
        <f>EUconst_CNTR_HALprelim&amp;EUconst_CNTR_ELEXCH &amp; I1523</f>
        <v>HALprelim_ELEXCH_</v>
      </c>
      <c r="R1578" s="2"/>
      <c r="S1578" s="2"/>
      <c r="T1578" s="2"/>
      <c r="U1578" s="1079" t="s">
        <v>1898</v>
      </c>
      <c r="V1578" s="1753" t="str">
        <f>IF(J1575="","",IF(CNTR_ReportingYear&lt;J1574,I1577,IF($I1578=0,J1575,$I1578*(1+J1577))))</f>
        <v/>
      </c>
      <c r="W1578" s="1753" t="str">
        <f>IF(K1575="","",IF(CNTR_ReportingYear&lt;K1574,J1577,IF($I1578=0,K1575,$I1578*(1+K1577))))</f>
        <v/>
      </c>
      <c r="X1578" s="1753" t="str">
        <f>IF(L1575="","",IF(CNTR_ReportingYear&lt;L1574,K1577,IF($I1578=0,L1575,$I1578*(1+L1577))))</f>
        <v/>
      </c>
      <c r="Y1578" s="1753" t="str">
        <f>IF(M1575="","",IF(CNTR_ReportingYear&lt;M1574,L1577,IF($I1578=0,M1575,$I1578*(1+M1577))))</f>
        <v/>
      </c>
      <c r="Z1578" s="1760" t="str">
        <f>IF(N1575="","",IF(CNTR_ReportingYear&lt;N1574,M1577,IF($I1578=0,N1575,$I1578*(1+N1577))))</f>
        <v/>
      </c>
      <c r="AA1578" s="2"/>
      <c r="AB1578" s="2"/>
      <c r="AC1578" s="2"/>
      <c r="AD1578" s="2"/>
      <c r="AE1578" s="2"/>
      <c r="AF1578" s="2"/>
      <c r="AG1578" s="2"/>
      <c r="AH1578" s="2"/>
      <c r="AI1578" s="2"/>
      <c r="AJ1578" s="2"/>
      <c r="AK1578" s="2"/>
      <c r="AL1578" s="343"/>
    </row>
    <row r="1579" spans="1:38" ht="5.15" customHeight="1" x14ac:dyDescent="0.25">
      <c r="A1579" s="343"/>
      <c r="B1579" s="178"/>
      <c r="C1579" s="178"/>
      <c r="D1579" s="1246"/>
      <c r="E1579" s="1244"/>
      <c r="F1579" s="1244"/>
      <c r="G1579" s="1244"/>
      <c r="H1579" s="1244"/>
      <c r="I1579" s="1244"/>
      <c r="J1579" s="1236"/>
      <c r="K1579" s="1236"/>
      <c r="L1579" s="1236"/>
      <c r="M1579" s="1236"/>
      <c r="N1579" s="1247"/>
      <c r="O1579" s="15"/>
      <c r="P1579" s="15"/>
      <c r="Q1579" s="343"/>
      <c r="R1579" s="2"/>
      <c r="S1579" s="2"/>
      <c r="T1579" s="2"/>
      <c r="U1579" s="1086"/>
      <c r="V1579" s="343"/>
      <c r="W1579" s="2"/>
      <c r="X1579" s="2"/>
      <c r="Y1579" s="2"/>
      <c r="Z1579" s="228"/>
      <c r="AA1579" s="2"/>
      <c r="AB1579" s="2"/>
      <c r="AC1579" s="2"/>
      <c r="AD1579" s="2"/>
      <c r="AE1579" s="2"/>
      <c r="AF1579" s="2"/>
      <c r="AG1579" s="2"/>
      <c r="AH1579" s="2"/>
      <c r="AI1579" s="2"/>
      <c r="AJ1579" s="2"/>
      <c r="AK1579" s="2"/>
      <c r="AL1579" s="343"/>
    </row>
    <row r="1580" spans="1:38" ht="12.75" customHeight="1" x14ac:dyDescent="0.25">
      <c r="A1580" s="343"/>
      <c r="B1580" s="178"/>
      <c r="C1580" s="178"/>
      <c r="D1580" s="1246"/>
      <c r="E1580" s="1234" t="str">
        <f>Translations!$B$1475</f>
        <v>Faktisk justering (grund för följande år)</v>
      </c>
      <c r="F1580" s="1234"/>
      <c r="G1580" s="1234"/>
      <c r="H1580" s="1234"/>
      <c r="I1580" s="1234"/>
      <c r="J1580" s="1268">
        <f>J$3042</f>
        <v>2021</v>
      </c>
      <c r="K1580" s="1230">
        <f>K$3042</f>
        <v>2022</v>
      </c>
      <c r="L1580" s="1230">
        <f>L$3042</f>
        <v>2023</v>
      </c>
      <c r="M1580" s="1230">
        <f>M$3042</f>
        <v>2024</v>
      </c>
      <c r="N1580" s="1258">
        <f>N$3042</f>
        <v>2025</v>
      </c>
      <c r="O1580" s="15"/>
      <c r="P1580" s="15"/>
      <c r="Q1580" s="343"/>
      <c r="R1580" s="2"/>
      <c r="S1580" s="2"/>
      <c r="T1580" s="2"/>
      <c r="U1580" s="584"/>
      <c r="V1580" s="2"/>
      <c r="W1580" s="2"/>
      <c r="X1580" s="2"/>
      <c r="Y1580" s="2"/>
      <c r="Z1580" s="228"/>
      <c r="AA1580" s="2"/>
      <c r="AB1580" s="2"/>
      <c r="AC1580" s="2"/>
      <c r="AD1580" s="2"/>
      <c r="AE1580" s="2"/>
      <c r="AF1580" s="2"/>
      <c r="AG1580" s="2"/>
      <c r="AH1580" s="2"/>
      <c r="AI1580" s="2"/>
      <c r="AJ1580" s="2"/>
      <c r="AK1580" s="2"/>
      <c r="AL1580" s="343"/>
    </row>
    <row r="1581" spans="1:38" ht="12.75" customHeight="1" x14ac:dyDescent="0.25">
      <c r="A1581" s="343"/>
      <c r="B1581" s="178"/>
      <c r="C1581" s="178"/>
      <c r="D1581" s="1246" t="s">
        <v>10</v>
      </c>
      <c r="E1581" s="1231" t="str">
        <f>Translations!$B$1476</f>
        <v>&gt;= 100 utsläppsrätter kriterium uppnått?</v>
      </c>
      <c r="F1581" s="1231"/>
      <c r="G1581" s="1231"/>
      <c r="H1581" s="1231"/>
      <c r="I1581" s="1231"/>
      <c r="J1581" s="994" t="str">
        <f>IF(OR($I1523="",$T1559=FALSE),"",INDEX(K_Summary!J:J,MATCH($Q1581,K_Summary!$P:$P,0)))</f>
        <v/>
      </c>
      <c r="K1581" s="912" t="str">
        <f>IF(OR($I1523="",$T1559=FALSE),"",INDEX(K_Summary!K:K,MATCH($Q1581,K_Summary!$P:$P,0)))</f>
        <v/>
      </c>
      <c r="L1581" s="912" t="str">
        <f>IF(OR($I1523="",$T1559=FALSE),"",INDEX(K_Summary!L:L,MATCH($Q1581,K_Summary!$P:$P,0)))</f>
        <v/>
      </c>
      <c r="M1581" s="912" t="str">
        <f>IF(OR($I1523="",$T1559=FALSE),"",INDEX(K_Summary!M:M,MATCH($Q1581,K_Summary!$P:$P,0)))</f>
        <v/>
      </c>
      <c r="N1581" s="1221" t="str">
        <f>IF(OR($I1523="",$T1559=FALSE),"",INDEX(K_Summary!N:N,MATCH($Q1581,K_Summary!$P:$P,0)))</f>
        <v/>
      </c>
      <c r="O1581" s="15"/>
      <c r="P1581" s="15"/>
      <c r="Q1581" s="165" t="str">
        <f>EUconst_CNTR_100EUA_ElExch&amp;I1523</f>
        <v>EUA100ElExch_</v>
      </c>
      <c r="R1581" s="2"/>
      <c r="S1581" s="2"/>
      <c r="T1581" s="2"/>
      <c r="U1581" s="584"/>
      <c r="V1581" s="2"/>
      <c r="W1581" s="2"/>
      <c r="X1581" s="2"/>
      <c r="Y1581" s="2"/>
      <c r="Z1581" s="228"/>
      <c r="AA1581" s="2"/>
      <c r="AB1581" s="2"/>
      <c r="AC1581" s="2"/>
      <c r="AD1581" s="2"/>
      <c r="AE1581" s="2"/>
      <c r="AF1581" s="2"/>
      <c r="AG1581" s="2"/>
      <c r="AH1581" s="2"/>
      <c r="AI1581" s="2"/>
      <c r="AJ1581" s="2"/>
      <c r="AK1581" s="2"/>
      <c r="AL1581" s="343"/>
    </row>
    <row r="1582" spans="1:38" ht="5.15" customHeight="1" thickBot="1" x14ac:dyDescent="0.3">
      <c r="A1582" s="343"/>
      <c r="B1582" s="178"/>
      <c r="C1582" s="178"/>
      <c r="D1582" s="1246"/>
      <c r="E1582" s="1244"/>
      <c r="F1582" s="1244"/>
      <c r="G1582" s="1244"/>
      <c r="H1582" s="1244"/>
      <c r="I1582" s="1244"/>
      <c r="J1582" s="1244"/>
      <c r="K1582" s="1244"/>
      <c r="L1582" s="1244"/>
      <c r="M1582" s="1244"/>
      <c r="N1582" s="1248"/>
      <c r="O1582" s="15"/>
      <c r="P1582" s="15"/>
      <c r="Q1582" s="343"/>
      <c r="R1582" s="2"/>
      <c r="S1582" s="2"/>
      <c r="T1582" s="2"/>
      <c r="U1582" s="1086"/>
      <c r="V1582" s="343"/>
      <c r="W1582" s="2"/>
      <c r="X1582" s="2"/>
      <c r="Y1582" s="2"/>
      <c r="Z1582" s="228"/>
      <c r="AA1582" s="2"/>
      <c r="AB1582" s="2"/>
      <c r="AC1582" s="2"/>
      <c r="AD1582" s="2"/>
      <c r="AE1582" s="2"/>
      <c r="AF1582" s="2"/>
      <c r="AG1582" s="2"/>
      <c r="AH1582" s="2"/>
      <c r="AI1582" s="2"/>
      <c r="AJ1582" s="2"/>
      <c r="AK1582" s="2"/>
      <c r="AL1582" s="343"/>
    </row>
    <row r="1583" spans="1:38" ht="12.75" customHeight="1" thickBot="1" x14ac:dyDescent="0.3">
      <c r="A1583" s="2"/>
      <c r="B1583" s="178"/>
      <c r="C1583" s="178"/>
      <c r="D1583" s="1246" t="s">
        <v>23</v>
      </c>
      <c r="E1583" s="1231" t="str">
        <f>Translations!$B$1477</f>
        <v>Faktisk justering (om alla tröskelvärden överskrids)</v>
      </c>
      <c r="F1583" s="1231"/>
      <c r="G1583" s="1231"/>
      <c r="H1583" s="1233"/>
      <c r="I1583" s="1237"/>
      <c r="J1583" s="1099" t="str">
        <f>IF(J1581="","",IF(OR(J1581,V1575&lt;1),J1577,I1583))</f>
        <v/>
      </c>
      <c r="K1583" s="1100" t="str">
        <f>IF(K1581="","",IF(OR(K1581,W1575&lt;1),K1577,J1583))</f>
        <v/>
      </c>
      <c r="L1583" s="1100" t="str">
        <f>IF(L1581="","",IF(OR(L1581,X1575&lt;1),L1577,K1583))</f>
        <v/>
      </c>
      <c r="M1583" s="1100" t="str">
        <f>IF(M1581="","",IF(OR(M1581,Y1575&lt;1),M1577,L1583))</f>
        <v/>
      </c>
      <c r="N1583" s="1101" t="str">
        <f>IF(N1581="","",IF(OR(N1581,Z1575&lt;1),N1577,M1583))</f>
        <v/>
      </c>
      <c r="O1583" s="15"/>
      <c r="P1583" s="15"/>
      <c r="Q1583" s="343"/>
      <c r="R1583" s="2"/>
      <c r="S1583" s="2"/>
      <c r="T1583" s="2"/>
      <c r="U1583" s="1086" t="s">
        <v>1858</v>
      </c>
      <c r="V1583" s="1068">
        <f>J1580</f>
        <v>2021</v>
      </c>
      <c r="W1583" s="1068">
        <f>K1580</f>
        <v>2022</v>
      </c>
      <c r="X1583" s="1068">
        <f>L1580</f>
        <v>2023</v>
      </c>
      <c r="Y1583" s="1068">
        <f>M1580</f>
        <v>2024</v>
      </c>
      <c r="Z1583" s="1087">
        <f>N1580</f>
        <v>2025</v>
      </c>
      <c r="AA1583" s="2"/>
      <c r="AB1583" s="2"/>
      <c r="AC1583" s="2"/>
      <c r="AD1583" s="2"/>
      <c r="AE1583" s="2"/>
      <c r="AF1583" s="2"/>
      <c r="AG1583" s="2"/>
      <c r="AH1583" s="2"/>
      <c r="AI1583" s="2"/>
      <c r="AJ1583" s="2"/>
      <c r="AK1583" s="2"/>
      <c r="AL1583" s="343"/>
    </row>
    <row r="1584" spans="1:38" ht="12.75" customHeight="1" thickBot="1" x14ac:dyDescent="0.3">
      <c r="A1584" s="343"/>
      <c r="B1584" s="178"/>
      <c r="C1584" s="178"/>
      <c r="D1584" s="1246" t="s">
        <v>859</v>
      </c>
      <c r="E1584" s="1231" t="str">
        <f>Translations!$B$1478</f>
        <v>Faktiskt värde</v>
      </c>
      <c r="F1584" s="1231"/>
      <c r="G1584" s="1231"/>
      <c r="H1584" s="1232" t="str">
        <f>H1575</f>
        <v>-</v>
      </c>
      <c r="I1584" s="1011" t="str">
        <f>I1578</f>
        <v/>
      </c>
      <c r="J1584" s="1069" t="str">
        <f>IF(OR($I1523="",$T1559=FALSE),"",IF(OR($I1584=0,$I1584=EUconst_NA,J1583="",J1580&lt;=$V1523),J1578,$I1584*(1+SUM(J1583))))</f>
        <v/>
      </c>
      <c r="K1584" s="1070" t="str">
        <f>IF(OR($I1523="",$T1559=FALSE),"",IF(OR($I1584=0,$I1584=EUconst_NA,K1583="",K1580&lt;=$V1523),K1578,$I1584*(1+SUM(K1583))))</f>
        <v/>
      </c>
      <c r="L1584" s="1070" t="str">
        <f>IF(OR($I1523="",$T1559=FALSE),"",IF(OR($I1584=0,$I1584=EUconst_NA,L1583="",L1580&lt;=$V1523),L1578,$I1584*(1+SUM(L1583))))</f>
        <v/>
      </c>
      <c r="M1584" s="1070" t="str">
        <f>IF(OR($I1523="",$T1559=FALSE),"",IF(OR($I1584=0,$I1584=EUconst_NA,M1583="",M1580&lt;=$V1523),M1578,$I1584*(1+SUM(M1583))))</f>
        <v/>
      </c>
      <c r="N1584" s="1071" t="str">
        <f>IF(OR($I1523="",$T1559=FALSE),"",IF(OR($I1584=0,$I1584=EUconst_NA,N1583="",N1580&lt;=$V1523),N1578,$I1584*(1+SUM(N1583))))</f>
        <v/>
      </c>
      <c r="O1584" s="15"/>
      <c r="P1584" s="15"/>
      <c r="Q1584" s="165" t="str">
        <f>EUconst_CNTR_HALfinal&amp;EUconst_CNTR_ELEXCH &amp; I1523</f>
        <v>HALfinal_ELEXCH_</v>
      </c>
      <c r="R1584" s="2"/>
      <c r="S1584" s="2"/>
      <c r="T1584" s="2"/>
      <c r="U1584" s="1765" t="b">
        <v>0</v>
      </c>
      <c r="V1584" s="1757" t="str">
        <f>IF(V1531,IF(J1581=TRUE,V1576,U1584),"")</f>
        <v/>
      </c>
      <c r="W1584" s="1757" t="str">
        <f>IF(W1531,IF(K1581=TRUE,W1576,V1584),"")</f>
        <v/>
      </c>
      <c r="X1584" s="1757" t="str">
        <f>IF(X1531,IF(L1581=TRUE,X1576,W1584),"")</f>
        <v/>
      </c>
      <c r="Y1584" s="1757" t="str">
        <f>IF(Y1531,IF(M1581=TRUE,Y1576,X1584),"")</f>
        <v/>
      </c>
      <c r="Z1584" s="1758" t="str">
        <f>IF(Z1531,IF(N1581=TRUE,Z1576,Y1584),"")</f>
        <v/>
      </c>
      <c r="AA1584" s="2"/>
      <c r="AB1584" s="2"/>
      <c r="AC1584" s="2"/>
      <c r="AD1584" s="2"/>
      <c r="AE1584" s="2"/>
      <c r="AF1584" s="2"/>
      <c r="AG1584" s="2"/>
      <c r="AH1584" s="2"/>
      <c r="AI1584" s="2"/>
      <c r="AJ1584" s="553" t="s">
        <v>2242</v>
      </c>
      <c r="AK1584" s="108" t="str">
        <f>IF(OR(ISERROR(J1584),ISERROR(K1584),ISERROR(L1584),ISERROR(M1584),ISERROR(N1584)),EUconst_Error &amp; "BM" &amp; Q1523,"")</f>
        <v/>
      </c>
      <c r="AL1584" s="343"/>
    </row>
    <row r="1585" spans="1:38" ht="5.15" customHeight="1" thickBot="1" x14ac:dyDescent="0.3">
      <c r="A1585" s="2"/>
      <c r="B1585" s="178"/>
      <c r="C1585" s="178"/>
      <c r="D1585" s="1269"/>
      <c r="E1585" s="1270"/>
      <c r="F1585" s="1270"/>
      <c r="G1585" s="1270"/>
      <c r="H1585" s="1270"/>
      <c r="I1585" s="1270"/>
      <c r="J1585" s="1270"/>
      <c r="K1585" s="1270"/>
      <c r="L1585" s="1270"/>
      <c r="M1585" s="1272"/>
      <c r="N1585" s="1273"/>
      <c r="O1585" s="15"/>
      <c r="P1585" s="15"/>
      <c r="Q1585" s="343"/>
      <c r="R1585" s="2"/>
      <c r="S1585" s="2"/>
      <c r="T1585" s="2"/>
      <c r="U1585" s="2"/>
      <c r="V1585" s="2"/>
      <c r="W1585" s="2"/>
      <c r="X1585" s="2"/>
      <c r="Y1585" s="2"/>
      <c r="Z1585" s="2"/>
      <c r="AA1585" s="2"/>
      <c r="AB1585" s="2"/>
      <c r="AC1585" s="2"/>
      <c r="AD1585" s="2"/>
      <c r="AE1585" s="2"/>
      <c r="AF1585" s="2"/>
      <c r="AG1585" s="2"/>
      <c r="AH1585" s="2"/>
      <c r="AI1585" s="2"/>
      <c r="AJ1585" s="2"/>
      <c r="AK1585" s="2"/>
      <c r="AL1585" s="2"/>
    </row>
    <row r="1586" spans="1:38" ht="5.15" customHeight="1" x14ac:dyDescent="0.25">
      <c r="A1586" s="2"/>
      <c r="B1586" s="178"/>
      <c r="C1586" s="178"/>
      <c r="D1586" s="178"/>
      <c r="E1586" s="178"/>
      <c r="F1586" s="178"/>
      <c r="G1586" s="178"/>
      <c r="H1586" s="178"/>
      <c r="I1586" s="178"/>
      <c r="J1586" s="178"/>
      <c r="K1586" s="178"/>
      <c r="L1586" s="178"/>
      <c r="M1586" s="15"/>
      <c r="N1586" s="15"/>
      <c r="O1586" s="15"/>
      <c r="P1586" s="15"/>
      <c r="Q1586" s="343"/>
      <c r="R1586" s="2"/>
      <c r="S1586" s="2"/>
      <c r="T1586" s="2"/>
      <c r="U1586" s="2"/>
      <c r="V1586" s="2"/>
      <c r="W1586" s="2"/>
      <c r="X1586" s="2"/>
      <c r="Y1586" s="2"/>
      <c r="Z1586" s="2"/>
      <c r="AA1586" s="2"/>
      <c r="AB1586" s="2"/>
      <c r="AC1586" s="2"/>
      <c r="AD1586" s="2"/>
      <c r="AE1586" s="2"/>
      <c r="AF1586" s="2"/>
      <c r="AG1586" s="2"/>
      <c r="AH1586" s="2"/>
      <c r="AI1586" s="2"/>
      <c r="AJ1586" s="2"/>
      <c r="AK1586" s="2"/>
      <c r="AL1586" s="2"/>
    </row>
    <row r="1587" spans="1:38" ht="12.75" customHeight="1" x14ac:dyDescent="0.25">
      <c r="A1587" s="2"/>
      <c r="B1587" s="178"/>
      <c r="C1587" s="178"/>
      <c r="D1587" s="13" t="s">
        <v>960</v>
      </c>
      <c r="E1587" s="1943" t="str">
        <f>Translations!$B$533</f>
        <v>Värme som importeras från anläggningar eller enheter utanför ETS:</v>
      </c>
      <c r="F1587" s="1943"/>
      <c r="G1587" s="1943"/>
      <c r="H1587" s="1943"/>
      <c r="I1587" s="2067"/>
      <c r="J1587" s="2652" t="str">
        <f>IF(I1523="","",HYPERLINK(R1587,EUconst_MsgGoOnIfNotRelevant))</f>
        <v/>
      </c>
      <c r="K1587" s="2653"/>
      <c r="L1587" s="2653"/>
      <c r="M1587" s="2653"/>
      <c r="N1587" s="2654"/>
      <c r="O1587" s="15"/>
      <c r="P1587" s="15"/>
      <c r="Q1587" s="2" t="s">
        <v>484</v>
      </c>
      <c r="R1587" s="294" t="str">
        <f>"#"&amp;ADDRESS(ROW(D1612),COLUMN(D1612))</f>
        <v>#$D$1612</v>
      </c>
      <c r="S1587" s="2"/>
      <c r="T1587" s="2"/>
      <c r="U1587" s="2"/>
      <c r="V1587" s="2"/>
      <c r="W1587" s="2"/>
      <c r="X1587" s="2"/>
      <c r="Y1587" s="2"/>
      <c r="Z1587" s="2"/>
      <c r="AA1587" s="2"/>
      <c r="AB1587" s="2"/>
      <c r="AC1587" s="2"/>
      <c r="AD1587" s="2"/>
      <c r="AE1587" s="2"/>
      <c r="AF1587" s="2"/>
      <c r="AG1587" s="2"/>
      <c r="AH1587" s="2"/>
      <c r="AI1587" s="2"/>
      <c r="AJ1587" s="2"/>
      <c r="AK1587" s="2"/>
      <c r="AL1587" s="2"/>
    </row>
    <row r="1588" spans="1:38" ht="12.75" customHeight="1" x14ac:dyDescent="0.25">
      <c r="A1588" s="2"/>
      <c r="B1588" s="178"/>
      <c r="C1588" s="178"/>
      <c r="D1588" s="15"/>
      <c r="E1588" s="2061" t="str">
        <f>Translations!$B$534</f>
        <v>Enligt artikel 21 i FAR måste en utsläppsmängd dras av från det preliminära årsantalet utsläppsrätter från delanläggningar med produktriktmärke.</v>
      </c>
      <c r="F1588" s="1963"/>
      <c r="G1588" s="1963"/>
      <c r="H1588" s="1963"/>
      <c r="I1588" s="1963"/>
      <c r="J1588" s="1963"/>
      <c r="K1588" s="1963"/>
      <c r="L1588" s="1963"/>
      <c r="M1588" s="1963"/>
      <c r="N1588" s="1963"/>
      <c r="O1588" s="15"/>
      <c r="P1588" s="15"/>
      <c r="Q1588" s="343"/>
      <c r="R1588" s="2"/>
      <c r="S1588" s="2"/>
      <c r="T1588" s="2"/>
      <c r="U1588" s="343"/>
      <c r="V1588" s="343"/>
      <c r="W1588" s="2"/>
      <c r="X1588" s="2"/>
      <c r="Y1588" s="2"/>
      <c r="Z1588" s="2"/>
      <c r="AA1588" s="2"/>
      <c r="AB1588" s="2"/>
      <c r="AC1588" s="2"/>
      <c r="AD1588" s="2"/>
      <c r="AE1588" s="2"/>
      <c r="AF1588" s="2"/>
      <c r="AG1588" s="2"/>
      <c r="AH1588" s="2"/>
      <c r="AI1588" s="2"/>
      <c r="AJ1588" s="2"/>
      <c r="AK1588" s="2"/>
      <c r="AL1588" s="2"/>
    </row>
    <row r="1589" spans="1:38" ht="12.75" customHeight="1" x14ac:dyDescent="0.25">
      <c r="A1589" s="2"/>
      <c r="B1589" s="178"/>
      <c r="C1589" s="178"/>
      <c r="D1589" s="15"/>
      <c r="E1589" s="2061" t="str">
        <f>Translations!$B$535</f>
        <v>Detta är mängden mätbar värme som importeras från anläggningar utanför ETS (inklusive eventuell värme från delanläggningar för salpetersyra) eller enheter multiplicerat med värmeriktmärket.</v>
      </c>
      <c r="F1589" s="1963"/>
      <c r="G1589" s="1963"/>
      <c r="H1589" s="1963"/>
      <c r="I1589" s="1963"/>
      <c r="J1589" s="1963"/>
      <c r="K1589" s="1963"/>
      <c r="L1589" s="1963"/>
      <c r="M1589" s="1963"/>
      <c r="N1589" s="1963"/>
      <c r="O1589" s="15"/>
      <c r="P1589" s="15"/>
      <c r="Q1589" s="343"/>
      <c r="R1589" s="2"/>
      <c r="S1589" s="2"/>
      <c r="T1589" s="2"/>
      <c r="U1589" s="343"/>
      <c r="V1589" s="343"/>
      <c r="W1589" s="2"/>
      <c r="X1589" s="2"/>
      <c r="Y1589" s="2"/>
      <c r="Z1589" s="2"/>
      <c r="AA1589" s="2"/>
      <c r="AB1589" s="2"/>
      <c r="AC1589" s="2"/>
      <c r="AD1589" s="2"/>
      <c r="AE1589" s="2"/>
      <c r="AF1589" s="2"/>
      <c r="AG1589" s="2"/>
      <c r="AH1589" s="2"/>
      <c r="AI1589" s="2"/>
      <c r="AJ1589" s="2"/>
      <c r="AK1589" s="2"/>
      <c r="AL1589" s="2"/>
    </row>
    <row r="1590" spans="1:38" ht="12.75" customHeight="1" x14ac:dyDescent="0.25">
      <c r="A1590" s="2"/>
      <c r="B1590" s="178"/>
      <c r="C1590" s="178"/>
      <c r="D1590" s="15"/>
      <c r="E1590" s="2061" t="str">
        <f>Translations!$B$536</f>
        <v>Var god ange relevanta värden här. Notera att värdena måste överensstämma med delsummorna för import från anläggningar och enheter utanför ETS enligt punkt E.II.c i bladet ”E_Energy flows”.</v>
      </c>
      <c r="F1590" s="1963"/>
      <c r="G1590" s="1963"/>
      <c r="H1590" s="1963"/>
      <c r="I1590" s="1963"/>
      <c r="J1590" s="1963"/>
      <c r="K1590" s="1963"/>
      <c r="L1590" s="1963"/>
      <c r="M1590" s="1963"/>
      <c r="N1590" s="1963"/>
      <c r="O1590" s="15"/>
      <c r="P1590" s="15"/>
      <c r="Q1590" s="343"/>
      <c r="R1590" s="2"/>
      <c r="S1590" s="2"/>
      <c r="T1590" s="2"/>
      <c r="U1590" s="343"/>
      <c r="V1590" s="343"/>
      <c r="W1590" s="2"/>
      <c r="X1590" s="2"/>
      <c r="Y1590" s="2"/>
      <c r="Z1590" s="2"/>
      <c r="AA1590" s="2"/>
      <c r="AB1590" s="2"/>
      <c r="AC1590" s="2"/>
      <c r="AD1590" s="2"/>
      <c r="AE1590" s="2"/>
      <c r="AF1590" s="2"/>
      <c r="AG1590" s="2"/>
      <c r="AH1590" s="2"/>
      <c r="AI1590" s="2"/>
      <c r="AJ1590" s="2"/>
      <c r="AK1590" s="2"/>
      <c r="AL1590" s="2"/>
    </row>
    <row r="1591" spans="1:38" ht="12.75" customHeight="1" x14ac:dyDescent="0.25">
      <c r="A1591" s="2"/>
      <c r="B1591" s="178"/>
      <c r="C1591" s="178"/>
      <c r="D1591" s="15"/>
      <c r="E1591" s="2061" t="str">
        <f>Translations!$B$537</f>
        <v>Uppgifterna måste också överensstämma med den totala mätbara nettovärme som importeras, vilken anges i punkt k.i nedan.</v>
      </c>
      <c r="F1591" s="1963"/>
      <c r="G1591" s="1963"/>
      <c r="H1591" s="1963"/>
      <c r="I1591" s="1963"/>
      <c r="J1591" s="1963"/>
      <c r="K1591" s="1963"/>
      <c r="L1591" s="1963"/>
      <c r="M1591" s="1963"/>
      <c r="N1591" s="1963"/>
      <c r="O1591" s="15"/>
      <c r="P1591" s="15"/>
      <c r="Q1591" s="343"/>
      <c r="R1591" s="2"/>
      <c r="S1591" s="2"/>
      <c r="T1591" s="2"/>
      <c r="U1591" s="343"/>
      <c r="V1591" s="343"/>
      <c r="W1591" s="343"/>
      <c r="X1591" s="343"/>
      <c r="Y1591" s="343"/>
      <c r="Z1591" s="343"/>
      <c r="AA1591" s="2"/>
      <c r="AB1591" s="2"/>
      <c r="AC1591" s="2"/>
      <c r="AD1591" s="2"/>
      <c r="AE1591" s="2"/>
      <c r="AF1591" s="2"/>
      <c r="AG1591" s="2"/>
      <c r="AH1591" s="2"/>
      <c r="AI1591" s="2"/>
      <c r="AJ1591" s="2"/>
      <c r="AK1591" s="2"/>
      <c r="AL1591" s="2"/>
    </row>
    <row r="1592" spans="1:38" ht="13.5" thickBot="1" x14ac:dyDescent="0.3">
      <c r="A1592" s="2"/>
      <c r="B1592" s="19"/>
      <c r="C1592" s="19"/>
      <c r="D1592" s="13"/>
      <c r="E1592" s="914" t="str">
        <f>Translations!$B$527</f>
        <v>Parameter</v>
      </c>
      <c r="F1592" s="913"/>
      <c r="G1592" s="30" t="str">
        <f>EUconst_Unit</f>
        <v>Enhet</v>
      </c>
      <c r="H1592" s="320">
        <f>H$3042</f>
        <v>2019</v>
      </c>
      <c r="I1592" s="342">
        <f>I$3042</f>
        <v>2020</v>
      </c>
      <c r="J1592" s="987">
        <f>J$112</f>
        <v>2021</v>
      </c>
      <c r="K1592" s="320">
        <f>K$112</f>
        <v>2022</v>
      </c>
      <c r="L1592" s="320">
        <f>L$112</f>
        <v>2023</v>
      </c>
      <c r="M1592" s="320">
        <f>M$112</f>
        <v>2024</v>
      </c>
      <c r="N1592" s="320">
        <f>N$112</f>
        <v>2025</v>
      </c>
      <c r="O1592" s="15"/>
      <c r="P1592" s="15"/>
      <c r="Q1592" s="2"/>
      <c r="R1592" s="40"/>
      <c r="S1592" s="553" t="s">
        <v>2072</v>
      </c>
      <c r="T1592" s="1044">
        <f t="shared" ref="T1592:Z1592" si="708">H1592</f>
        <v>2019</v>
      </c>
      <c r="U1592" s="1044">
        <f t="shared" si="708"/>
        <v>2020</v>
      </c>
      <c r="V1592" s="1044">
        <f t="shared" si="708"/>
        <v>2021</v>
      </c>
      <c r="W1592" s="1044">
        <f t="shared" si="708"/>
        <v>2022</v>
      </c>
      <c r="X1592" s="1044">
        <f t="shared" si="708"/>
        <v>2023</v>
      </c>
      <c r="Y1592" s="1044">
        <f t="shared" si="708"/>
        <v>2024</v>
      </c>
      <c r="Z1592" s="1044">
        <f t="shared" si="708"/>
        <v>2025</v>
      </c>
      <c r="AA1592" s="40"/>
      <c r="AB1592" s="2"/>
      <c r="AC1592" s="1044">
        <f t="shared" ref="AC1592:AI1592" si="709">H$20</f>
        <v>2019</v>
      </c>
      <c r="AD1592" s="1044">
        <f t="shared" si="709"/>
        <v>2020</v>
      </c>
      <c r="AE1592" s="1044">
        <f t="shared" si="709"/>
        <v>2021</v>
      </c>
      <c r="AF1592" s="1044">
        <f t="shared" si="709"/>
        <v>2022</v>
      </c>
      <c r="AG1592" s="1044">
        <f t="shared" si="709"/>
        <v>2023</v>
      </c>
      <c r="AH1592" s="1044">
        <f t="shared" si="709"/>
        <v>2024</v>
      </c>
      <c r="AI1592" s="1044">
        <f t="shared" si="709"/>
        <v>2025</v>
      </c>
      <c r="AJ1592" s="2"/>
      <c r="AK1592" s="2"/>
      <c r="AL1592" s="2"/>
    </row>
    <row r="1593" spans="1:38" ht="13" customHeight="1" thickBot="1" x14ac:dyDescent="0.3">
      <c r="A1593" s="2"/>
      <c r="B1593" s="19"/>
      <c r="C1593" s="19"/>
      <c r="D1593" s="175" t="s">
        <v>8</v>
      </c>
      <c r="E1593" s="915" t="str">
        <f>Translations!$B$538</f>
        <v>Mätbar värme som importeras från anläggningar utanför ETS:</v>
      </c>
      <c r="F1593" s="915"/>
      <c r="G1593" s="43" t="str">
        <f>EUconst_TJpa</f>
        <v>TJ / år</v>
      </c>
      <c r="H1593" s="260"/>
      <c r="I1593" s="670"/>
      <c r="J1593" s="671"/>
      <c r="K1593" s="260"/>
      <c r="L1593" s="260"/>
      <c r="M1593" s="260"/>
      <c r="N1593" s="260"/>
      <c r="O1593" s="15"/>
      <c r="P1593" s="1362"/>
      <c r="Q1593" s="108" t="str">
        <f>EUconst_CNTR_HAL&amp;EUconst_CNTR_nonETSMeasHeat</f>
        <v>HAL_mätbar värme utanför ETS</v>
      </c>
      <c r="R1593" s="2"/>
      <c r="S1593" s="553"/>
      <c r="T1593" s="1551" t="str">
        <f t="shared" ref="T1593:Z1593" si="710">IF(H1593="","",SUM(H1593)*EUconst_HeatBMvalue)</f>
        <v/>
      </c>
      <c r="U1593" s="1551" t="str">
        <f t="shared" si="710"/>
        <v/>
      </c>
      <c r="V1593" s="1551" t="str">
        <f t="shared" si="710"/>
        <v/>
      </c>
      <c r="W1593" s="1551" t="str">
        <f t="shared" si="710"/>
        <v/>
      </c>
      <c r="X1593" s="1551" t="str">
        <f t="shared" si="710"/>
        <v/>
      </c>
      <c r="Y1593" s="1551" t="str">
        <f t="shared" si="710"/>
        <v/>
      </c>
      <c r="Z1593" s="1551" t="str">
        <f t="shared" si="710"/>
        <v/>
      </c>
      <c r="AA1593" s="2"/>
      <c r="AB1593" s="672" t="s">
        <v>782</v>
      </c>
      <c r="AC1593" s="1755" t="b">
        <f t="shared" ref="AC1593:AI1593" si="711">IF(CNTR_ExistSubInstEntries,OR($I1523="",H1530&gt;=CNTR_ReportingYear,AC1592&lt;$V1523-1),FALSE)</f>
        <v>0</v>
      </c>
      <c r="AD1593" s="1042" t="b">
        <f t="shared" si="711"/>
        <v>0</v>
      </c>
      <c r="AE1593" s="1042" t="b">
        <f t="shared" si="711"/>
        <v>0</v>
      </c>
      <c r="AF1593" s="1042" t="b">
        <f t="shared" si="711"/>
        <v>0</v>
      </c>
      <c r="AG1593" s="1042" t="b">
        <f t="shared" si="711"/>
        <v>0</v>
      </c>
      <c r="AH1593" s="1042" t="b">
        <f t="shared" si="711"/>
        <v>0</v>
      </c>
      <c r="AI1593" s="1043" t="b">
        <f t="shared" si="711"/>
        <v>0</v>
      </c>
      <c r="AJ1593" s="553" t="s">
        <v>2248</v>
      </c>
      <c r="AK1593" s="663" t="str">
        <f>IF(AND(CNTR_ExistSubInstEntries,COUNTIFS(AC1593:AI1593,FALSE,H1593:N1593,"")&gt;0),EUconst_Error&amp;"BM"&amp;$Q1523,"")</f>
        <v/>
      </c>
      <c r="AL1593" s="2"/>
    </row>
    <row r="1594" spans="1:38" ht="25.5" customHeight="1" x14ac:dyDescent="0.25">
      <c r="A1594" s="2"/>
      <c r="B1594" s="19"/>
      <c r="C1594" s="19"/>
      <c r="D1594" s="175" t="s">
        <v>9</v>
      </c>
      <c r="E1594" s="916" t="str">
        <f>Translations!$B$539</f>
        <v>Konsekvenskontroll mot blad ”E_Energy flows”:</v>
      </c>
      <c r="F1594" s="916"/>
      <c r="G1594" s="549" t="s">
        <v>1113</v>
      </c>
      <c r="H1594" s="247" t="str">
        <f>IF(AND(ISNUMBER(H1593),ISNUMBER(E_EnergyFlows!H$114)), H1593/E_EnergyFlows!H$114*100,"")</f>
        <v/>
      </c>
      <c r="I1594" s="1015" t="str">
        <f>IF(AND(ISNUMBER(I1593),ISNUMBER(E_EnergyFlows!I$114)), I1593/E_EnergyFlows!I$114*100,"")</f>
        <v/>
      </c>
      <c r="J1594" s="1017" t="str">
        <f>IF(AND(ISNUMBER(J1593),ISNUMBER(E_EnergyFlows!J$114)), J1593/E_EnergyFlows!J$114*100,"")</f>
        <v/>
      </c>
      <c r="K1594" s="247" t="str">
        <f>IF(AND(ISNUMBER(K1593),ISNUMBER(E_EnergyFlows!K$114)), K1593/E_EnergyFlows!K$114*100,"")</f>
        <v/>
      </c>
      <c r="L1594" s="247" t="str">
        <f>IF(AND(ISNUMBER(L1593),ISNUMBER(E_EnergyFlows!L$114)), L1593/E_EnergyFlows!L$114*100,"")</f>
        <v/>
      </c>
      <c r="M1594" s="247" t="str">
        <f>IF(AND(ISNUMBER(M1593),ISNUMBER(E_EnergyFlows!M$114)), M1593/E_EnergyFlows!M$114*100,"")</f>
        <v/>
      </c>
      <c r="N1594" s="247" t="str">
        <f>IF(AND(ISNUMBER(N1593),ISNUMBER(E_EnergyFlows!N$114)), N1593/E_EnergyFlows!N$114*100,"")</f>
        <v/>
      </c>
      <c r="O1594" s="15"/>
      <c r="P1594" s="15"/>
      <c r="Q1594" s="152" t="str">
        <f>EUconst_CNTR_HEAT &amp; I1523</f>
        <v>HEAT_</v>
      </c>
      <c r="R1594" s="343"/>
      <c r="S1594" s="2"/>
      <c r="T1594" s="2"/>
      <c r="U1594" s="343"/>
      <c r="V1594" s="343"/>
      <c r="W1594" s="2"/>
      <c r="X1594" s="2"/>
      <c r="Y1594" s="2"/>
      <c r="Z1594" s="2"/>
      <c r="AA1594" s="2"/>
      <c r="AB1594" s="2"/>
      <c r="AC1594" s="2"/>
      <c r="AD1594" s="2"/>
      <c r="AE1594" s="2"/>
      <c r="AF1594" s="2"/>
      <c r="AG1594" s="2"/>
      <c r="AH1594" s="2"/>
      <c r="AI1594" s="2"/>
      <c r="AJ1594" s="2"/>
      <c r="AK1594" s="2"/>
      <c r="AL1594" s="2"/>
    </row>
    <row r="1595" spans="1:38" ht="12.65" customHeight="1" x14ac:dyDescent="0.25">
      <c r="A1595" s="2"/>
      <c r="B1595" s="19"/>
      <c r="C1595" s="19"/>
      <c r="D1595" s="175" t="s">
        <v>10</v>
      </c>
      <c r="E1595" s="1783" t="str">
        <f>Translations!$B$540</f>
        <v>Konsekvenskontroll mot punkt k.i:</v>
      </c>
      <c r="F1595" s="1035"/>
      <c r="G1595" s="919" t="s">
        <v>1113</v>
      </c>
      <c r="H1595" s="246" t="str">
        <f t="shared" ref="H1595:N1595" si="712">IF(AND(H1716&gt;0,ISNUMBER(H1593)), H1593/H1716*100,"")</f>
        <v/>
      </c>
      <c r="I1595" s="1016" t="str">
        <f t="shared" si="712"/>
        <v/>
      </c>
      <c r="J1595" s="1018" t="str">
        <f t="shared" si="712"/>
        <v/>
      </c>
      <c r="K1595" s="246" t="str">
        <f t="shared" si="712"/>
        <v/>
      </c>
      <c r="L1595" s="246" t="str">
        <f t="shared" si="712"/>
        <v/>
      </c>
      <c r="M1595" s="246" t="str">
        <f t="shared" si="712"/>
        <v/>
      </c>
      <c r="N1595" s="246" t="str">
        <f t="shared" si="712"/>
        <v/>
      </c>
      <c r="O1595" s="15"/>
      <c r="P1595" s="15"/>
      <c r="Q1595" s="2"/>
      <c r="R1595" s="2"/>
      <c r="S1595" s="2"/>
      <c r="T1595" s="2"/>
      <c r="U1595" s="343"/>
      <c r="V1595" s="343"/>
      <c r="W1595" s="2"/>
      <c r="X1595" s="2"/>
      <c r="Y1595" s="2"/>
      <c r="Z1595" s="2"/>
      <c r="AA1595" s="2"/>
      <c r="AB1595" s="2"/>
      <c r="AC1595" s="2"/>
      <c r="AD1595" s="2"/>
      <c r="AE1595" s="2"/>
      <c r="AF1595" s="2"/>
      <c r="AG1595" s="2"/>
      <c r="AH1595" s="2"/>
      <c r="AI1595" s="2"/>
      <c r="AJ1595" s="2"/>
      <c r="AK1595" s="2"/>
      <c r="AL1595" s="2"/>
    </row>
    <row r="1596" spans="1:38" ht="5.15" customHeight="1" x14ac:dyDescent="0.25">
      <c r="A1596" s="2"/>
      <c r="B1596" s="19"/>
      <c r="C1596" s="19"/>
      <c r="D1596" s="19"/>
      <c r="E1596" s="19"/>
      <c r="F1596" s="19"/>
      <c r="G1596" s="19"/>
      <c r="H1596" s="19"/>
      <c r="I1596" s="99"/>
      <c r="J1596" s="19"/>
      <c r="K1596" s="19"/>
      <c r="L1596" s="19"/>
      <c r="M1596" s="19"/>
      <c r="N1596" s="19"/>
      <c r="O1596" s="15"/>
      <c r="P1596" s="15"/>
      <c r="Q1596" s="130"/>
      <c r="R1596" s="2"/>
      <c r="S1596" s="2"/>
      <c r="T1596" s="2"/>
      <c r="U1596" s="343"/>
      <c r="V1596" s="343"/>
      <c r="W1596" s="2"/>
      <c r="X1596" s="2"/>
      <c r="Y1596" s="2"/>
      <c r="Z1596" s="2"/>
      <c r="AA1596" s="2"/>
      <c r="AB1596" s="2"/>
      <c r="AC1596" s="2"/>
      <c r="AD1596" s="2"/>
      <c r="AE1596" s="2"/>
      <c r="AF1596" s="2"/>
      <c r="AG1596" s="2"/>
      <c r="AH1596" s="2"/>
      <c r="AI1596" s="2"/>
      <c r="AJ1596" s="2"/>
      <c r="AK1596" s="2"/>
      <c r="AL1596" s="2"/>
    </row>
    <row r="1597" spans="1:38" ht="25.5" customHeight="1" thickBot="1" x14ac:dyDescent="0.3">
      <c r="A1597" s="2"/>
      <c r="B1597" s="178"/>
      <c r="C1597" s="178"/>
      <c r="D1597" s="15"/>
      <c r="E1597" s="2061" t="str">
        <f>Translations!$B$1479</f>
        <v>Baserat på uppgifterna ovan bestäms ett genomsnittligt årligt värde. Tilldelningen kommer endast att ändras om det relativa tröskelvärdet (15 % jämfört med värdet från de nationella genomförandeåtgärderna) och det absoluta tröskelvärdet (ändring leder till mer än 100 utsläppsrätter) överskrids, enligt artikel 6.4 i verksamhetsändringsförordningen.</v>
      </c>
      <c r="F1597" s="1963"/>
      <c r="G1597" s="1963"/>
      <c r="H1597" s="1963"/>
      <c r="I1597" s="1963"/>
      <c r="J1597" s="1963"/>
      <c r="K1597" s="1963"/>
      <c r="L1597" s="1963"/>
      <c r="M1597" s="1963"/>
      <c r="N1597" s="1963"/>
      <c r="O1597" s="15"/>
      <c r="P1597" s="15"/>
      <c r="Q1597" s="343"/>
      <c r="R1597" s="2"/>
      <c r="S1597" s="343"/>
      <c r="T1597" s="343"/>
      <c r="U1597" s="343"/>
      <c r="V1597" s="2"/>
      <c r="W1597" s="2"/>
      <c r="X1597" s="2"/>
      <c r="Y1597" s="2"/>
      <c r="Z1597" s="2"/>
      <c r="AA1597" s="2"/>
      <c r="AB1597" s="2"/>
      <c r="AC1597" s="2"/>
      <c r="AD1597" s="2"/>
      <c r="AE1597" s="2"/>
      <c r="AF1597" s="2"/>
      <c r="AG1597" s="2"/>
      <c r="AH1597" s="2"/>
      <c r="AI1597" s="2"/>
      <c r="AJ1597" s="2"/>
      <c r="AK1597" s="2"/>
      <c r="AL1597" s="2"/>
    </row>
    <row r="1598" spans="1:38" ht="5.15" customHeight="1" thickBot="1" x14ac:dyDescent="0.3">
      <c r="A1598" s="2"/>
      <c r="B1598" s="178"/>
      <c r="C1598" s="178"/>
      <c r="D1598" s="1238"/>
      <c r="E1598" s="1239"/>
      <c r="F1598" s="1240"/>
      <c r="G1598" s="1240"/>
      <c r="H1598" s="1240"/>
      <c r="I1598" s="1240"/>
      <c r="J1598" s="1240"/>
      <c r="K1598" s="1240"/>
      <c r="L1598" s="1240"/>
      <c r="M1598" s="1240"/>
      <c r="N1598" s="1241"/>
      <c r="O1598" s="15"/>
      <c r="P1598" s="15"/>
      <c r="Q1598" s="343"/>
      <c r="R1598" s="2"/>
      <c r="S1598" s="343"/>
      <c r="T1598" s="343"/>
      <c r="U1598" s="343"/>
      <c r="V1598" s="2"/>
      <c r="W1598" s="2"/>
      <c r="X1598" s="2"/>
      <c r="Y1598" s="2"/>
      <c r="Z1598" s="2"/>
      <c r="AA1598" s="2"/>
      <c r="AB1598" s="2"/>
      <c r="AC1598" s="2"/>
      <c r="AD1598" s="2"/>
      <c r="AE1598" s="2"/>
      <c r="AF1598" s="2"/>
      <c r="AG1598" s="2"/>
      <c r="AH1598" s="2"/>
      <c r="AI1598" s="2"/>
      <c r="AJ1598" s="2"/>
      <c r="AK1598" s="2"/>
      <c r="AL1598" s="2"/>
    </row>
    <row r="1599" spans="1:38" ht="12.75" customHeight="1" x14ac:dyDescent="0.25">
      <c r="A1599" s="2"/>
      <c r="B1599" s="178"/>
      <c r="C1599" s="178"/>
      <c r="D1599" s="1290" t="s">
        <v>2192</v>
      </c>
      <c r="E1599" s="1243" t="str">
        <f>Translations!$B$1483</f>
        <v>Justeringar: Värme från icke-ETS</v>
      </c>
      <c r="F1599" s="1244"/>
      <c r="G1599" s="1244"/>
      <c r="H1599" s="1228" t="str">
        <f>EUconst_Unit</f>
        <v>Enhet</v>
      </c>
      <c r="I1599" s="1229" t="str">
        <f>Translations!$B$1481</f>
        <v>Värde (NIMs)</v>
      </c>
      <c r="J1599" s="1268">
        <f>J$3042</f>
        <v>2021</v>
      </c>
      <c r="K1599" s="1230">
        <f>K$3042</f>
        <v>2022</v>
      </c>
      <c r="L1599" s="1230">
        <f>L$3042</f>
        <v>2023</v>
      </c>
      <c r="M1599" s="1230">
        <f>M$3042</f>
        <v>2024</v>
      </c>
      <c r="N1599" s="1258">
        <f>N$3042</f>
        <v>2025</v>
      </c>
      <c r="O1599" s="15"/>
      <c r="P1599" s="15"/>
      <c r="Q1599" s="343"/>
      <c r="R1599" s="2"/>
      <c r="S1599" s="2"/>
      <c r="T1599" s="2"/>
      <c r="U1599" s="772"/>
      <c r="V1599" s="1077">
        <f>J1599</f>
        <v>2021</v>
      </c>
      <c r="W1599" s="1077">
        <f>K1599</f>
        <v>2022</v>
      </c>
      <c r="X1599" s="1077">
        <f>L1599</f>
        <v>2023</v>
      </c>
      <c r="Y1599" s="1077">
        <f>M1599</f>
        <v>2024</v>
      </c>
      <c r="Z1599" s="1078">
        <f>N1599</f>
        <v>2025</v>
      </c>
      <c r="AA1599" s="2"/>
      <c r="AB1599" s="2"/>
      <c r="AC1599" s="2"/>
      <c r="AD1599" s="2"/>
      <c r="AE1599" s="2"/>
      <c r="AF1599" s="2"/>
      <c r="AG1599" s="2"/>
      <c r="AH1599" s="2"/>
      <c r="AI1599" s="2"/>
      <c r="AJ1599" s="2"/>
      <c r="AK1599" s="2"/>
      <c r="AL1599" s="2"/>
    </row>
    <row r="1600" spans="1:38" ht="12.75" customHeight="1" x14ac:dyDescent="0.25">
      <c r="A1600" s="2"/>
      <c r="B1600" s="178"/>
      <c r="C1600" s="178"/>
      <c r="D1600" s="1246" t="s">
        <v>8</v>
      </c>
      <c r="E1600" s="1231" t="str">
        <f>Translations!$B$1482</f>
        <v>Genomsnittligt årligt värde</v>
      </c>
      <c r="F1600" s="1231"/>
      <c r="G1600" s="1231"/>
      <c r="H1600" s="1232" t="str">
        <f>EUconst_tCO2</f>
        <v>t CO2</v>
      </c>
      <c r="I1600" s="990" t="str">
        <f>INDEX('B+C_SubInstallations'!$J:$J,MATCH(Q1600,'B+C_SubInstallations'!$U:$U,0))</f>
        <v/>
      </c>
      <c r="J1600" s="1215" t="str">
        <f>IF(AND(V1600&gt;=3,CNTR_ReportingYear&gt;J1599-1),AVERAGE(SUM(T1593),SUM(U1593)),"")</f>
        <v/>
      </c>
      <c r="K1600" s="1216" t="str">
        <f>IF(AND(W1600&gt;=3,CNTR_ReportingYear&gt;K1599-1),AVERAGE(SUM(U1593),SUM(V1593)),"")</f>
        <v/>
      </c>
      <c r="L1600" s="1216" t="str">
        <f>IF(AND(X1600&gt;=3,CNTR_ReportingYear&gt;L1599-1),AVERAGE(SUM(V1593),SUM(W1593)),"")</f>
        <v/>
      </c>
      <c r="M1600" s="1216" t="str">
        <f>IF(AND(Y1600&gt;=3,CNTR_ReportingYear&gt;M1599-1),AVERAGE(SUM(W1593),SUM(X1593)),"")</f>
        <v/>
      </c>
      <c r="N1600" s="1227" t="str">
        <f>IF(AND(Z1600&gt;=3,CNTR_ReportingYear&gt;N1599-1),AVERAGE(SUM(X1593),SUM(Y1593)),"")</f>
        <v/>
      </c>
      <c r="O1600" s="15"/>
      <c r="P1600" s="15"/>
      <c r="Q1600" s="1217" t="str">
        <f>EUconst_CNTR_HEATInitial &amp; I1523</f>
        <v>HEATIni_</v>
      </c>
      <c r="R1600" s="2"/>
      <c r="S1600" s="2"/>
      <c r="T1600" s="2"/>
      <c r="U1600" s="1086" t="s">
        <v>1850</v>
      </c>
      <c r="V1600" s="663">
        <f>V1545</f>
        <v>0</v>
      </c>
      <c r="W1600" s="663">
        <f>W1545</f>
        <v>0</v>
      </c>
      <c r="X1600" s="663">
        <f>X1545</f>
        <v>0</v>
      </c>
      <c r="Y1600" s="663">
        <f>Y1545</f>
        <v>0</v>
      </c>
      <c r="Z1600" s="1080">
        <f>Z1545</f>
        <v>0</v>
      </c>
      <c r="AA1600" s="2"/>
      <c r="AB1600" s="2"/>
      <c r="AC1600" s="2"/>
      <c r="AD1600" s="2"/>
      <c r="AE1600" s="2"/>
      <c r="AF1600" s="2"/>
      <c r="AG1600" s="2"/>
      <c r="AH1600" s="2"/>
      <c r="AI1600" s="2"/>
      <c r="AJ1600" s="2"/>
      <c r="AK1600" s="2"/>
      <c r="AL1600" s="2"/>
    </row>
    <row r="1601" spans="1:38" ht="12.75" hidden="1" customHeight="1" x14ac:dyDescent="0.25">
      <c r="A1601" s="343" t="s">
        <v>346</v>
      </c>
      <c r="B1601" s="178"/>
      <c r="C1601" s="178"/>
      <c r="D1601" s="1246"/>
      <c r="E1601" s="1231" t="s">
        <v>1980</v>
      </c>
      <c r="F1601" s="1231"/>
      <c r="G1601" s="1231"/>
      <c r="H1601" s="1233"/>
      <c r="I1601" s="1235"/>
      <c r="J1601" s="1013" t="str">
        <f>IF(J1600="","",IF($I1603=0,IF(J1600=0,0%,100%),J1600/$I1603-1))</f>
        <v/>
      </c>
      <c r="K1601" s="938" t="str">
        <f>IF(K1600="","",IF($I1603=0,IF(K1600=0,0%,100%),K1600/$I1603-1))</f>
        <v/>
      </c>
      <c r="L1601" s="938" t="str">
        <f>IF(L1600="","",IF($I1603=0,IF(L1600=0,0%,100%),L1600/$I1603-1))</f>
        <v/>
      </c>
      <c r="M1601" s="938" t="str">
        <f>IF(M1600="","",IF($I1603=0,IF(M1600=0,0%,100%),M1600/$I1603-1))</f>
        <v/>
      </c>
      <c r="N1601" s="1223" t="str">
        <f>IF(N1600="","",IF($I1603=0,IF(N1600=0,0%,100%),N1600/$I1603-1))</f>
        <v/>
      </c>
      <c r="O1601" s="15"/>
      <c r="P1601" s="15"/>
      <c r="Q1601" s="165" t="str">
        <f>EUconst_CNTR_RelThreshold &amp; Q1603</f>
        <v>RelThresh_HEATprelim_</v>
      </c>
      <c r="R1601" s="2"/>
      <c r="S1601" s="2"/>
      <c r="T1601" s="2"/>
      <c r="U1601" s="1086" t="s">
        <v>1855</v>
      </c>
      <c r="V1601" s="603" t="str">
        <f>IF(J1600="","",ABS(J1601)&gt;15%)</f>
        <v/>
      </c>
      <c r="W1601" s="603" t="str">
        <f>IF(K1600="","",ABS(K1601)&gt;15%)</f>
        <v/>
      </c>
      <c r="X1601" s="603" t="str">
        <f>IF(L1600="","",ABS(L1601)&gt;15%)</f>
        <v/>
      </c>
      <c r="Y1601" s="603" t="str">
        <f>IF(M1600="","",ABS(M1601)&gt;15%)</f>
        <v/>
      </c>
      <c r="Z1601" s="1756" t="str">
        <f>IF(N1600="","",ABS(N1601)&gt;15%)</f>
        <v/>
      </c>
      <c r="AA1601" s="2"/>
      <c r="AB1601" s="2"/>
      <c r="AC1601" s="2"/>
      <c r="AD1601" s="2"/>
      <c r="AE1601" s="2"/>
      <c r="AF1601" s="2"/>
      <c r="AG1601" s="2"/>
      <c r="AH1601" s="2"/>
      <c r="AI1601" s="2"/>
      <c r="AJ1601" s="2"/>
      <c r="AK1601" s="2"/>
      <c r="AL1601" s="2"/>
    </row>
    <row r="1602" spans="1:38" ht="12.75" customHeight="1" x14ac:dyDescent="0.25">
      <c r="A1602" s="343"/>
      <c r="B1602" s="178"/>
      <c r="C1602" s="178"/>
      <c r="D1602" s="1246" t="s">
        <v>9</v>
      </c>
      <c r="E1602" s="1231" t="str">
        <f>Translations!$B$1474</f>
        <v>Preliminär justering (om relativa tröskelvärden överskrids)</v>
      </c>
      <c r="F1602" s="1231"/>
      <c r="G1602" s="1231"/>
      <c r="H1602" s="1233"/>
      <c r="I1602" s="1235"/>
      <c r="J1602" s="992" t="str">
        <f>IF(J1600="","",IF(V1601=FALSE,0%,J1601))</f>
        <v/>
      </c>
      <c r="K1602" s="937" t="str">
        <f>IF(K1600="","",IF(W1601=FALSE,0%,K1601))</f>
        <v/>
      </c>
      <c r="L1602" s="937" t="str">
        <f>IF(L1600="","",IF(X1601=FALSE,0%,L1601))</f>
        <v/>
      </c>
      <c r="M1602" s="937" t="str">
        <f>IF(M1600="","",IF(Y1601=FALSE,0%,M1601))</f>
        <v/>
      </c>
      <c r="N1602" s="1220" t="str">
        <f>IF(N1600="","",IF(Z1601=FALSE,0%,N1601))</f>
        <v/>
      </c>
      <c r="O1602" s="15"/>
      <c r="P1602" s="15"/>
      <c r="Q1602" s="343"/>
      <c r="R1602" s="2"/>
      <c r="S1602" s="2"/>
      <c r="T1602" s="2"/>
      <c r="U1602" s="584"/>
      <c r="V1602" s="2"/>
      <c r="W1602" s="2"/>
      <c r="X1602" s="2"/>
      <c r="Y1602" s="2"/>
      <c r="Z1602" s="228"/>
      <c r="AA1602" s="2"/>
      <c r="AB1602" s="2"/>
      <c r="AC1602" s="2"/>
      <c r="AD1602" s="2"/>
      <c r="AE1602" s="2"/>
      <c r="AF1602" s="2"/>
      <c r="AG1602" s="2"/>
      <c r="AH1602" s="2"/>
      <c r="AI1602" s="2"/>
      <c r="AJ1602" s="2"/>
      <c r="AK1602" s="2"/>
      <c r="AL1602" s="343"/>
    </row>
    <row r="1603" spans="1:38" ht="12.75" hidden="1" customHeight="1" x14ac:dyDescent="0.25">
      <c r="A1603" s="343" t="s">
        <v>346</v>
      </c>
      <c r="B1603" s="178"/>
      <c r="C1603" s="178"/>
      <c r="D1603" s="1246"/>
      <c r="E1603" s="1231" t="s">
        <v>1889</v>
      </c>
      <c r="F1603" s="1231"/>
      <c r="G1603" s="1231"/>
      <c r="H1603" s="1232" t="str">
        <f>H1600</f>
        <v>t CO2</v>
      </c>
      <c r="I1603" s="990" t="str">
        <f>IF($I1523="","",IF(AB1523=FALSE,EUconst_NA,IF(V1523&gt;($J$3042-3),SUM(INDEX(H1593:N1593,MATCH(V1523,H1592:N1592,0))*EUconst_HeatBMvalue),SUM(I1600))))</f>
        <v/>
      </c>
      <c r="J1603" s="993" t="str">
        <f>IF($I1523="","",IF(V1600&lt;2,SUM(V1593),IF(V1600&lt;3,SUM(U1593),IF(V1603="",I1603,V1603))))</f>
        <v/>
      </c>
      <c r="K1603" s="920" t="str">
        <f>IF($I1523="","",IF(W1600&lt;2,SUM(W1593),IF(W1600&lt;3,SUM(V1593),IF(W1603="",J1603,W1603))))</f>
        <v/>
      </c>
      <c r="L1603" s="920" t="str">
        <f>IF($I1523="","",IF(X1600&lt;2,SUM(X1593),IF(X1600&lt;3,SUM(W1593),IF(X1603="",K1603,X1603))))</f>
        <v/>
      </c>
      <c r="M1603" s="920" t="str">
        <f>IF($I1523="","",IF(Y1600&lt;2,SUM(Y1593),IF(Y1600&lt;3,SUM(X1593),IF(Y1603="",L1603,Y1603))))</f>
        <v/>
      </c>
      <c r="N1603" s="1218" t="str">
        <f>IF($I1523="","",IF(Z1600&lt;2,SUM(Z1593),IF(Z1600&lt;3,SUM(Y1593),IF(Z1603="",M1603,Z1603))))</f>
        <v/>
      </c>
      <c r="O1603" s="15"/>
      <c r="P1603" s="15"/>
      <c r="Q1603" s="165" t="str">
        <f>EUconst_CNTR_HEATprelim &amp; I1523</f>
        <v>HEATprelim_</v>
      </c>
      <c r="R1603" s="2"/>
      <c r="S1603" s="2"/>
      <c r="T1603" s="2"/>
      <c r="U1603" s="1086" t="s">
        <v>1898</v>
      </c>
      <c r="V1603" s="1754" t="str">
        <f>IF(J1600="","",IF(CNTR_ReportingYear&lt;J1599,I1602,IF($I1603=0,J1600,$I1603*(1+J1602))))</f>
        <v/>
      </c>
      <c r="W1603" s="1754" t="str">
        <f>IF(K1600="","",IF(CNTR_ReportingYear&lt;K1599,J1602,IF($I1603=0,K1600,$I1603*(1+K1602))))</f>
        <v/>
      </c>
      <c r="X1603" s="1754" t="str">
        <f>IF(L1600="","",IF(CNTR_ReportingYear&lt;L1599,K1602,IF($I1603=0,L1600,$I1603*(1+L1602))))</f>
        <v/>
      </c>
      <c r="Y1603" s="1754" t="str">
        <f>IF(M1600="","",IF(CNTR_ReportingYear&lt;M1599,L1602,IF($I1603=0,M1600,$I1603*(1+M1602))))</f>
        <v/>
      </c>
      <c r="Z1603" s="1759" t="str">
        <f>IF(N1600="","",IF(CNTR_ReportingYear&lt;N1599,M1602,IF($I1603=0,N1600,$I1603*(1+N1602))))</f>
        <v/>
      </c>
      <c r="AA1603" s="2"/>
      <c r="AB1603" s="2"/>
      <c r="AC1603" s="2"/>
      <c r="AD1603" s="2"/>
      <c r="AE1603" s="2"/>
      <c r="AF1603" s="2"/>
      <c r="AG1603" s="2"/>
      <c r="AH1603" s="2"/>
      <c r="AI1603" s="2"/>
      <c r="AJ1603" s="2"/>
      <c r="AK1603" s="2"/>
      <c r="AL1603" s="343"/>
    </row>
    <row r="1604" spans="1:38" ht="5.15" customHeight="1" x14ac:dyDescent="0.25">
      <c r="A1604" s="343"/>
      <c r="B1604" s="178"/>
      <c r="C1604" s="178"/>
      <c r="D1604" s="1246"/>
      <c r="E1604" s="1244"/>
      <c r="F1604" s="1244"/>
      <c r="G1604" s="1244"/>
      <c r="H1604" s="1244"/>
      <c r="I1604" s="1244"/>
      <c r="J1604" s="1236"/>
      <c r="K1604" s="1236"/>
      <c r="L1604" s="1236"/>
      <c r="M1604" s="1236"/>
      <c r="N1604" s="1247"/>
      <c r="O1604" s="15"/>
      <c r="P1604" s="15"/>
      <c r="Q1604" s="343"/>
      <c r="R1604" s="2"/>
      <c r="S1604" s="2"/>
      <c r="T1604" s="2"/>
      <c r="U1604" s="1086"/>
      <c r="V1604" s="343"/>
      <c r="W1604" s="2"/>
      <c r="X1604" s="2"/>
      <c r="Y1604" s="2"/>
      <c r="Z1604" s="228"/>
      <c r="AA1604" s="2"/>
      <c r="AB1604" s="2"/>
      <c r="AC1604" s="2"/>
      <c r="AD1604" s="2"/>
      <c r="AE1604" s="2"/>
      <c r="AF1604" s="2"/>
      <c r="AG1604" s="2"/>
      <c r="AH1604" s="2"/>
      <c r="AI1604" s="2"/>
      <c r="AJ1604" s="2"/>
      <c r="AK1604" s="2"/>
      <c r="AL1604" s="343"/>
    </row>
    <row r="1605" spans="1:38" ht="12.75" customHeight="1" x14ac:dyDescent="0.25">
      <c r="A1605" s="343"/>
      <c r="B1605" s="178"/>
      <c r="C1605" s="178"/>
      <c r="D1605" s="1246"/>
      <c r="E1605" s="1234" t="str">
        <f>Translations!$B$1475</f>
        <v>Faktisk justering (grund för följande år)</v>
      </c>
      <c r="F1605" s="1234"/>
      <c r="G1605" s="1234"/>
      <c r="H1605" s="1234"/>
      <c r="I1605" s="1234"/>
      <c r="J1605" s="1268">
        <f>J$3042</f>
        <v>2021</v>
      </c>
      <c r="K1605" s="1230">
        <f>K$3042</f>
        <v>2022</v>
      </c>
      <c r="L1605" s="1230">
        <f>L$3042</f>
        <v>2023</v>
      </c>
      <c r="M1605" s="1230">
        <f>M$3042</f>
        <v>2024</v>
      </c>
      <c r="N1605" s="1258">
        <f>N$3042</f>
        <v>2025</v>
      </c>
      <c r="O1605" s="15"/>
      <c r="P1605" s="15"/>
      <c r="Q1605" s="343"/>
      <c r="R1605" s="2"/>
      <c r="S1605" s="2"/>
      <c r="T1605" s="2"/>
      <c r="U1605" s="584"/>
      <c r="V1605" s="2"/>
      <c r="W1605" s="2"/>
      <c r="X1605" s="2"/>
      <c r="Y1605" s="2"/>
      <c r="Z1605" s="228"/>
      <c r="AA1605" s="2"/>
      <c r="AB1605" s="2"/>
      <c r="AC1605" s="2"/>
      <c r="AD1605" s="2"/>
      <c r="AE1605" s="2"/>
      <c r="AF1605" s="2"/>
      <c r="AG1605" s="2"/>
      <c r="AH1605" s="2"/>
      <c r="AI1605" s="2"/>
      <c r="AJ1605" s="2"/>
      <c r="AK1605" s="2"/>
      <c r="AL1605" s="343"/>
    </row>
    <row r="1606" spans="1:38" ht="12.75" customHeight="1" x14ac:dyDescent="0.25">
      <c r="A1606" s="343"/>
      <c r="B1606" s="178"/>
      <c r="C1606" s="178"/>
      <c r="D1606" s="1246" t="s">
        <v>10</v>
      </c>
      <c r="E1606" s="1231" t="str">
        <f>Translations!$B$1476</f>
        <v>&gt;= 100 utsläppsrätter kriterium uppnått?</v>
      </c>
      <c r="F1606" s="1231"/>
      <c r="G1606" s="1231"/>
      <c r="H1606" s="1231"/>
      <c r="I1606" s="1231"/>
      <c r="J1606" s="994" t="str">
        <f>IF($I1523="","",INDEX(K_Summary!J:J,MATCH($Q1606,K_Summary!$P:$P,0)))</f>
        <v/>
      </c>
      <c r="K1606" s="912" t="str">
        <f>IF($I1523="","",INDEX(K_Summary!K:K,MATCH($Q1606,K_Summary!$P:$P,0)))</f>
        <v/>
      </c>
      <c r="L1606" s="912" t="str">
        <f>IF($I1523="","",INDEX(K_Summary!L:L,MATCH($Q1606,K_Summary!$P:$P,0)))</f>
        <v/>
      </c>
      <c r="M1606" s="912" t="str">
        <f>IF($I1523="","",INDEX(K_Summary!M:M,MATCH($Q1606,K_Summary!$P:$P,0)))</f>
        <v/>
      </c>
      <c r="N1606" s="1221" t="str">
        <f>IF($I1523="","",INDEX(K_Summary!N:N,MATCH($Q1606,K_Summary!$P:$P,0)))</f>
        <v/>
      </c>
      <c r="O1606" s="15"/>
      <c r="P1606" s="15"/>
      <c r="Q1606" s="165" t="str">
        <f>EUconst_CNTR_100EUA_HEAT&amp;I1523</f>
        <v>EUA100HEAT_</v>
      </c>
      <c r="R1606" s="2"/>
      <c r="S1606" s="2"/>
      <c r="T1606" s="2"/>
      <c r="U1606" s="584"/>
      <c r="V1606" s="2"/>
      <c r="W1606" s="2"/>
      <c r="X1606" s="2"/>
      <c r="Y1606" s="2"/>
      <c r="Z1606" s="228"/>
      <c r="AA1606" s="2"/>
      <c r="AB1606" s="2"/>
      <c r="AC1606" s="2"/>
      <c r="AD1606" s="2"/>
      <c r="AE1606" s="2"/>
      <c r="AF1606" s="2"/>
      <c r="AG1606" s="2"/>
      <c r="AH1606" s="2"/>
      <c r="AI1606" s="2"/>
      <c r="AJ1606" s="2"/>
      <c r="AK1606" s="2"/>
      <c r="AL1606" s="343"/>
    </row>
    <row r="1607" spans="1:38" ht="5.15" customHeight="1" thickBot="1" x14ac:dyDescent="0.3">
      <c r="A1607" s="343"/>
      <c r="B1607" s="178"/>
      <c r="C1607" s="178"/>
      <c r="D1607" s="1246"/>
      <c r="E1607" s="1244"/>
      <c r="F1607" s="1244"/>
      <c r="G1607" s="1244"/>
      <c r="H1607" s="1244"/>
      <c r="I1607" s="1244"/>
      <c r="J1607" s="1244"/>
      <c r="K1607" s="1244"/>
      <c r="L1607" s="1244"/>
      <c r="M1607" s="1244"/>
      <c r="N1607" s="1248"/>
      <c r="O1607" s="15"/>
      <c r="P1607" s="15"/>
      <c r="Q1607" s="343"/>
      <c r="R1607" s="2"/>
      <c r="S1607" s="2"/>
      <c r="T1607" s="2"/>
      <c r="U1607" s="1086"/>
      <c r="V1607" s="343"/>
      <c r="W1607" s="2"/>
      <c r="X1607" s="2"/>
      <c r="Y1607" s="2"/>
      <c r="Z1607" s="228"/>
      <c r="AA1607" s="2"/>
      <c r="AB1607" s="2"/>
      <c r="AC1607" s="2"/>
      <c r="AD1607" s="2"/>
      <c r="AE1607" s="2"/>
      <c r="AF1607" s="2"/>
      <c r="AG1607" s="2"/>
      <c r="AH1607" s="2"/>
      <c r="AI1607" s="2"/>
      <c r="AJ1607" s="2"/>
      <c r="AK1607" s="2"/>
      <c r="AL1607" s="343"/>
    </row>
    <row r="1608" spans="1:38" ht="12.75" customHeight="1" thickBot="1" x14ac:dyDescent="0.3">
      <c r="A1608" s="2"/>
      <c r="B1608" s="178"/>
      <c r="C1608" s="178"/>
      <c r="D1608" s="1246" t="s">
        <v>23</v>
      </c>
      <c r="E1608" s="1231" t="str">
        <f>Translations!$B$1477</f>
        <v>Faktisk justering (om alla tröskelvärden överskrids)</v>
      </c>
      <c r="F1608" s="1231"/>
      <c r="G1608" s="1231"/>
      <c r="H1608" s="1233"/>
      <c r="I1608" s="1237"/>
      <c r="J1608" s="1099" t="str">
        <f>IF(J1606="","",IF(OR(J1606,V1600&lt;1),J1602,I1608))</f>
        <v/>
      </c>
      <c r="K1608" s="1100" t="str">
        <f>IF(K1606="","",IF(OR(K1606,W1600&lt;1),K1602,J1608))</f>
        <v/>
      </c>
      <c r="L1608" s="1100" t="str">
        <f>IF(L1606="","",IF(OR(L1606,X1600&lt;1),L1602,K1608))</f>
        <v/>
      </c>
      <c r="M1608" s="1100" t="str">
        <f>IF(M1606="","",IF(OR(M1606,Y1600&lt;1),M1602,L1608))</f>
        <v/>
      </c>
      <c r="N1608" s="1101" t="str">
        <f>IF(N1606="","",IF(OR(N1606,Z1600&lt;1),N1602,M1608))</f>
        <v/>
      </c>
      <c r="O1608" s="15"/>
      <c r="P1608" s="15"/>
      <c r="Q1608" s="343"/>
      <c r="R1608" s="2"/>
      <c r="S1608" s="2"/>
      <c r="T1608" s="2"/>
      <c r="U1608" s="1086" t="s">
        <v>1858</v>
      </c>
      <c r="V1608" s="1068">
        <f>J1605</f>
        <v>2021</v>
      </c>
      <c r="W1608" s="1068">
        <f>K1605</f>
        <v>2022</v>
      </c>
      <c r="X1608" s="1068">
        <f>L1605</f>
        <v>2023</v>
      </c>
      <c r="Y1608" s="1068">
        <f>M1605</f>
        <v>2024</v>
      </c>
      <c r="Z1608" s="1087">
        <f>N1605</f>
        <v>2025</v>
      </c>
      <c r="AA1608" s="2"/>
      <c r="AB1608" s="2"/>
      <c r="AC1608" s="2"/>
      <c r="AD1608" s="2"/>
      <c r="AE1608" s="2"/>
      <c r="AF1608" s="2"/>
      <c r="AG1608" s="2"/>
      <c r="AH1608" s="2"/>
      <c r="AI1608" s="2"/>
      <c r="AJ1608" s="2"/>
      <c r="AK1608" s="2"/>
      <c r="AL1608" s="343"/>
    </row>
    <row r="1609" spans="1:38" ht="12.75" customHeight="1" thickBot="1" x14ac:dyDescent="0.3">
      <c r="A1609" s="343"/>
      <c r="B1609" s="178"/>
      <c r="C1609" s="178"/>
      <c r="D1609" s="1246" t="s">
        <v>859</v>
      </c>
      <c r="E1609" s="1231" t="str">
        <f>Translations!$B$1478</f>
        <v>Faktiskt värde</v>
      </c>
      <c r="F1609" s="1231"/>
      <c r="G1609" s="1231"/>
      <c r="H1609" s="1232" t="str">
        <f>H1600</f>
        <v>t CO2</v>
      </c>
      <c r="I1609" s="990" t="str">
        <f>I1603</f>
        <v/>
      </c>
      <c r="J1609" s="1072" t="str">
        <f>IF($I1523="","",IF(OR($I1609=0,$I1609=EUconst_NA,J1608=""),IF(OR(J1606=TRUE,J1605&lt;=$V1523),J1603,SUM(I1609)),$I1609*(1+SUM(J1608))))</f>
        <v/>
      </c>
      <c r="K1609" s="1073" t="str">
        <f>IF($I1523="","",IF(OR($I1609=0,$I1609=EUconst_NA,K1608=""),IF(OR(K1606=TRUE,K1605&lt;=$V1523),K1603,SUM(J1609)),$I1609*(1+SUM(K1608))))</f>
        <v/>
      </c>
      <c r="L1609" s="1073" t="str">
        <f>IF($I1523="","",IF(OR($I1609=0,$I1609=EUconst_NA,L1608=""),IF(OR(L1606=TRUE,L1605&lt;=$V1523),L1603,SUM(K1609)),$I1609*(1+SUM(L1608))))</f>
        <v/>
      </c>
      <c r="M1609" s="1073" t="str">
        <f>IF($I1523="","",IF(OR($I1609=0,$I1609=EUconst_NA,M1608=""),IF(OR(M1606=TRUE,M1605&lt;=$V1523),M1603,SUM(L1609)),$I1609*(1+SUM(M1608))))</f>
        <v/>
      </c>
      <c r="N1609" s="1074" t="str">
        <f>IF($I1523="","",IF(OR($I1609=0,$I1609=EUconst_NA,N1608=""),IF(OR(N1606=TRUE,N1605&lt;=$V1523),N1603,SUM(M1609)),$I1609*(1+SUM(N1608))))</f>
        <v/>
      </c>
      <c r="O1609" s="15"/>
      <c r="P1609" s="15"/>
      <c r="Q1609" s="165" t="str">
        <f>EUconst_CNTR_HEATfinal &amp; I1523</f>
        <v>HEATfinal_</v>
      </c>
      <c r="R1609" s="2"/>
      <c r="S1609" s="2"/>
      <c r="T1609" s="2"/>
      <c r="U1609" s="1765" t="b">
        <v>0</v>
      </c>
      <c r="V1609" s="1757" t="str">
        <f>IF(V1531,IF(J1606=TRUE,V1601,U1609),"")</f>
        <v/>
      </c>
      <c r="W1609" s="1757" t="str">
        <f>IF(W1531,IF(K1606=TRUE,W1601,V1609),"")</f>
        <v/>
      </c>
      <c r="X1609" s="1757" t="str">
        <f>IF(X1531,IF(L1606=TRUE,X1601,W1609),"")</f>
        <v/>
      </c>
      <c r="Y1609" s="1757" t="str">
        <f>IF(Y1531,IF(M1606=TRUE,Y1601,X1609),"")</f>
        <v/>
      </c>
      <c r="Z1609" s="1758" t="str">
        <f>IF(Z1531,IF(N1606=TRUE,Z1601,Y1609),"")</f>
        <v/>
      </c>
      <c r="AA1609" s="2"/>
      <c r="AB1609" s="2"/>
      <c r="AC1609" s="2"/>
      <c r="AD1609" s="2"/>
      <c r="AE1609" s="2"/>
      <c r="AF1609" s="2"/>
      <c r="AG1609" s="2"/>
      <c r="AH1609" s="2"/>
      <c r="AI1609" s="2"/>
      <c r="AJ1609" s="553" t="s">
        <v>2242</v>
      </c>
      <c r="AK1609" s="108" t="str">
        <f>IF(OR(ISERROR(J1609),ISERROR(K1609),ISERROR(L1609),ISERROR(M1609),ISERROR(N1609)),EUconst_Error &amp; "BM" &amp; Q1523,"")</f>
        <v/>
      </c>
      <c r="AL1609" s="2"/>
    </row>
    <row r="1610" spans="1:38" ht="5.15" customHeight="1" thickBot="1" x14ac:dyDescent="0.3">
      <c r="A1610" s="2"/>
      <c r="B1610" s="19"/>
      <c r="C1610" s="19"/>
      <c r="D1610" s="1274"/>
      <c r="E1610" s="1275"/>
      <c r="F1610" s="1275"/>
      <c r="G1610" s="1275"/>
      <c r="H1610" s="1275"/>
      <c r="I1610" s="1276"/>
      <c r="J1610" s="1275"/>
      <c r="K1610" s="1275"/>
      <c r="L1610" s="1275"/>
      <c r="M1610" s="1275"/>
      <c r="N1610" s="1277"/>
      <c r="O1610" s="15"/>
      <c r="P1610" s="15"/>
      <c r="Q1610" s="130"/>
      <c r="R1610" s="2"/>
      <c r="S1610" s="343"/>
      <c r="T1610" s="343"/>
      <c r="U1610" s="2"/>
      <c r="V1610" s="2"/>
      <c r="W1610" s="2"/>
      <c r="X1610" s="2"/>
      <c r="Y1610" s="2"/>
      <c r="Z1610" s="2"/>
      <c r="AA1610" s="2"/>
      <c r="AB1610" s="2"/>
      <c r="AC1610" s="2"/>
      <c r="AD1610" s="2"/>
      <c r="AE1610" s="2"/>
      <c r="AF1610" s="2"/>
      <c r="AG1610" s="2"/>
      <c r="AH1610" s="2"/>
      <c r="AI1610" s="2"/>
      <c r="AJ1610" s="2"/>
      <c r="AK1610" s="2"/>
      <c r="AL1610" s="2"/>
    </row>
    <row r="1611" spans="1:38" ht="5.15" customHeight="1" x14ac:dyDescent="0.25">
      <c r="A1611" s="2"/>
      <c r="B1611" s="19"/>
      <c r="C1611" s="19"/>
      <c r="D1611" s="19"/>
      <c r="E1611" s="19"/>
      <c r="F1611" s="19"/>
      <c r="G1611" s="19"/>
      <c r="H1611" s="19"/>
      <c r="I1611" s="99"/>
      <c r="J1611" s="19"/>
      <c r="K1611" s="19"/>
      <c r="L1611" s="19"/>
      <c r="M1611" s="19"/>
      <c r="N1611" s="19"/>
      <c r="O1611" s="15"/>
      <c r="P1611" s="15"/>
      <c r="Q1611" s="130"/>
      <c r="R1611" s="2"/>
      <c r="S1611" s="343"/>
      <c r="T1611" s="343"/>
      <c r="U1611" s="2"/>
      <c r="V1611" s="2"/>
      <c r="W1611" s="2"/>
      <c r="X1611" s="2"/>
      <c r="Y1611" s="2"/>
      <c r="Z1611" s="2"/>
      <c r="AA1611" s="2"/>
      <c r="AB1611" s="2"/>
      <c r="AC1611" s="2"/>
      <c r="AD1611" s="2"/>
      <c r="AE1611" s="2"/>
      <c r="AF1611" s="2"/>
      <c r="AG1611" s="2"/>
      <c r="AH1611" s="2"/>
      <c r="AI1611" s="2"/>
      <c r="AJ1611" s="2"/>
      <c r="AK1611" s="2"/>
      <c r="AL1611" s="2"/>
    </row>
    <row r="1612" spans="1:38" ht="15" customHeight="1" x14ac:dyDescent="0.25">
      <c r="A1612" s="2"/>
      <c r="B1612" s="19"/>
      <c r="C1612" s="619"/>
      <c r="D1612" s="2053" t="str">
        <f>Translations!$B$541</f>
        <v>Produktionsuppgifter</v>
      </c>
      <c r="E1612" s="1963"/>
      <c r="F1612" s="1963"/>
      <c r="G1612" s="1963"/>
      <c r="H1612" s="1963"/>
      <c r="I1612" s="1963"/>
      <c r="J1612" s="1963"/>
      <c r="K1612" s="1963"/>
      <c r="L1612" s="1963"/>
      <c r="M1612" s="1963"/>
      <c r="N1612" s="1963"/>
      <c r="O1612" s="15"/>
      <c r="P1612" s="15"/>
      <c r="Q1612" s="2"/>
      <c r="R1612" s="2"/>
      <c r="S1612" s="343"/>
      <c r="T1612" s="343"/>
      <c r="U1612" s="2"/>
      <c r="V1612" s="2"/>
      <c r="W1612" s="2"/>
      <c r="X1612" s="2"/>
      <c r="Y1612" s="2"/>
      <c r="Z1612" s="2"/>
      <c r="AA1612" s="2"/>
      <c r="AB1612" s="2"/>
      <c r="AC1612" s="2"/>
      <c r="AD1612" s="2"/>
      <c r="AE1612" s="2"/>
      <c r="AF1612" s="2"/>
      <c r="AG1612" s="2"/>
      <c r="AH1612" s="2"/>
      <c r="AI1612" s="2"/>
      <c r="AJ1612" s="2"/>
      <c r="AK1612" s="2"/>
      <c r="AL1612" s="2"/>
    </row>
    <row r="1613" spans="1:38" ht="5.15" customHeight="1" x14ac:dyDescent="0.25">
      <c r="A1613" s="2"/>
      <c r="B1613" s="178"/>
      <c r="C1613" s="178"/>
      <c r="D1613" s="178"/>
      <c r="E1613" s="178"/>
      <c r="F1613" s="178"/>
      <c r="G1613" s="178"/>
      <c r="H1613" s="178"/>
      <c r="I1613" s="178"/>
      <c r="J1613" s="178"/>
      <c r="K1613" s="178"/>
      <c r="L1613" s="178"/>
      <c r="M1613" s="178"/>
      <c r="N1613" s="178"/>
      <c r="O1613" s="15"/>
      <c r="P1613" s="15"/>
      <c r="Q1613" s="343"/>
      <c r="R1613" s="343"/>
      <c r="S1613" s="343"/>
      <c r="T1613" s="343"/>
      <c r="U1613" s="2"/>
      <c r="V1613" s="2"/>
      <c r="W1613" s="2"/>
      <c r="X1613" s="2"/>
      <c r="Y1613" s="2"/>
      <c r="Z1613" s="2"/>
      <c r="AA1613" s="2"/>
      <c r="AB1613" s="2"/>
      <c r="AC1613" s="2"/>
      <c r="AD1613" s="2"/>
      <c r="AE1613" s="2"/>
      <c r="AF1613" s="2"/>
      <c r="AG1613" s="2"/>
      <c r="AH1613" s="2"/>
      <c r="AI1613" s="2"/>
      <c r="AJ1613" s="2"/>
      <c r="AK1613" s="2"/>
      <c r="AL1613" s="2"/>
    </row>
    <row r="1614" spans="1:38" ht="12.75" customHeight="1" x14ac:dyDescent="0.25">
      <c r="A1614" s="2"/>
      <c r="B1614" s="178"/>
      <c r="C1614" s="13"/>
      <c r="D1614" s="13" t="s">
        <v>65</v>
      </c>
      <c r="E1614" s="1943" t="str">
        <f>Translations!$B$542</f>
        <v>Identifiering av produkter som ingår i delanläggningen med produktriktmärke</v>
      </c>
      <c r="F1614" s="1963"/>
      <c r="G1614" s="1963"/>
      <c r="H1614" s="1963"/>
      <c r="I1614" s="1963"/>
      <c r="J1614" s="1963"/>
      <c r="K1614" s="1963"/>
      <c r="L1614" s="1963"/>
      <c r="M1614" s="1963"/>
      <c r="N1614" s="1963"/>
      <c r="O1614" s="15"/>
      <c r="P1614" s="15"/>
      <c r="Q1614" s="343"/>
      <c r="R1614" s="2"/>
      <c r="S1614" s="343"/>
      <c r="T1614" s="343"/>
      <c r="U1614" s="2"/>
      <c r="V1614" s="2"/>
      <c r="W1614" s="2"/>
      <c r="X1614" s="2"/>
      <c r="Y1614" s="2"/>
      <c r="Z1614" s="2"/>
      <c r="AA1614" s="2"/>
      <c r="AB1614" s="2"/>
      <c r="AC1614" s="2"/>
      <c r="AD1614" s="2"/>
      <c r="AE1614" s="2"/>
      <c r="AF1614" s="2"/>
      <c r="AG1614" s="2"/>
      <c r="AH1614" s="2"/>
      <c r="AI1614" s="2"/>
      <c r="AJ1614" s="2"/>
      <c r="AK1614" s="2"/>
      <c r="AL1614" s="2"/>
    </row>
    <row r="1615" spans="1:38" ht="25.5" customHeight="1" x14ac:dyDescent="0.25">
      <c r="A1615" s="2"/>
      <c r="B1615" s="178"/>
      <c r="C1615" s="15"/>
      <c r="D1615" s="15"/>
      <c r="E1615" s="2061" t="s">
        <v>2215</v>
      </c>
      <c r="F1615" s="1963"/>
      <c r="G1615" s="1963"/>
      <c r="H1615" s="1963"/>
      <c r="I1615" s="1963"/>
      <c r="J1615" s="1963"/>
      <c r="K1615" s="1963"/>
      <c r="L1615" s="1963"/>
      <c r="M1615" s="1963"/>
      <c r="N1615" s="1963"/>
      <c r="O1615" s="15"/>
      <c r="P1615" s="15"/>
      <c r="Q1615" s="343"/>
      <c r="R1615" s="2"/>
      <c r="S1615" s="343"/>
      <c r="T1615" s="343"/>
      <c r="U1615" s="2"/>
      <c r="V1615" s="2"/>
      <c r="W1615" s="2"/>
      <c r="X1615" s="2"/>
      <c r="Y1615" s="2"/>
      <c r="Z1615" s="2"/>
      <c r="AA1615" s="2"/>
      <c r="AB1615" s="2"/>
      <c r="AC1615" s="2"/>
      <c r="AD1615" s="2"/>
      <c r="AE1615" s="2"/>
      <c r="AF1615" s="2"/>
      <c r="AG1615" s="2"/>
      <c r="AH1615" s="2"/>
      <c r="AI1615" s="2"/>
      <c r="AJ1615" s="2"/>
      <c r="AK1615" s="2"/>
      <c r="AL1615" s="2"/>
    </row>
    <row r="1616" spans="1:38" ht="25.5" customHeight="1" x14ac:dyDescent="0.25">
      <c r="A1616" s="2"/>
      <c r="B1616" s="178"/>
      <c r="C1616" s="15"/>
      <c r="D1616" s="15"/>
      <c r="E1616" s="2061" t="str">
        <f>Translations!$B$543</f>
        <v>Prodcom-koder ska anges i formatet ”nnnnnnnn”, dvs. utan punkter eller andra avgränsare. Endast om Prodcom-koder inte finns ska en Nace-kod på fyra siffror anges i formatet ”nnnn”.</v>
      </c>
      <c r="F1616" s="1963"/>
      <c r="G1616" s="1963"/>
      <c r="H1616" s="1963"/>
      <c r="I1616" s="1963"/>
      <c r="J1616" s="1963"/>
      <c r="K1616" s="1963"/>
      <c r="L1616" s="1963"/>
      <c r="M1616" s="1963"/>
      <c r="N1616" s="1963"/>
      <c r="O1616" s="15"/>
      <c r="P1616" s="15"/>
      <c r="Q1616" s="343"/>
      <c r="R1616" s="2"/>
      <c r="S1616" s="343"/>
      <c r="T1616" s="343"/>
      <c r="U1616" s="2"/>
      <c r="V1616" s="2"/>
      <c r="W1616" s="2"/>
      <c r="X1616" s="2"/>
      <c r="Y1616" s="2"/>
      <c r="Z1616" s="2"/>
      <c r="AA1616" s="2"/>
      <c r="AB1616" s="2"/>
      <c r="AC1616" s="2"/>
      <c r="AD1616" s="2"/>
      <c r="AE1616" s="2"/>
      <c r="AF1616" s="2"/>
      <c r="AG1616" s="2"/>
      <c r="AH1616" s="2"/>
      <c r="AI1616" s="2"/>
      <c r="AJ1616" s="2"/>
      <c r="AK1616" s="2"/>
      <c r="AL1616" s="2"/>
    </row>
    <row r="1617" spans="1:38" ht="12.75" customHeight="1" x14ac:dyDescent="0.25">
      <c r="A1617" s="2"/>
      <c r="B1617" s="178"/>
      <c r="C1617" s="15"/>
      <c r="D1617" s="15"/>
      <c r="E1617" s="2061" t="str">
        <f>Translations!$B$544</f>
        <v>En förteckning över 2010 års Prodcom-koder finns här:</v>
      </c>
      <c r="F1617" s="1963"/>
      <c r="G1617" s="1963"/>
      <c r="H1617" s="1963"/>
      <c r="I1617" s="1963"/>
      <c r="J1617" s="1963"/>
      <c r="K1617" s="1963"/>
      <c r="L1617" s="1963"/>
      <c r="M1617" s="1963"/>
      <c r="N1617" s="1963"/>
      <c r="O1617" s="15"/>
      <c r="P1617" s="15"/>
      <c r="Q1617" s="343"/>
      <c r="R1617" s="2"/>
      <c r="S1617" s="343"/>
      <c r="T1617" s="343"/>
      <c r="U1617" s="2"/>
      <c r="V1617" s="2"/>
      <c r="W1617" s="2"/>
      <c r="X1617" s="2"/>
      <c r="Y1617" s="2"/>
      <c r="Z1617" s="2"/>
      <c r="AA1617" s="2"/>
      <c r="AB1617" s="2"/>
      <c r="AC1617" s="2"/>
      <c r="AD1617" s="2"/>
      <c r="AE1617" s="2"/>
      <c r="AF1617" s="2"/>
      <c r="AG1617" s="2"/>
      <c r="AH1617" s="2"/>
      <c r="AI1617" s="2"/>
      <c r="AJ1617" s="2"/>
      <c r="AK1617" s="2"/>
      <c r="AL1617" s="2"/>
    </row>
    <row r="1618" spans="1:38" x14ac:dyDescent="0.25">
      <c r="A1618" s="2"/>
      <c r="B1618" s="178"/>
      <c r="C1618" s="15"/>
      <c r="D1618" s="15"/>
      <c r="E1618" s="2644" t="str">
        <f>Translations!$B$545</f>
        <v>http://ec.europa.eu/eurostat/ramon/nomenclatures/index.cfm?TargetUrl=LST_CLS_DLD&amp;StrNom=PRD_2010&amp;StrLanguageCode=EN&amp;StrLayoutCode=HIERARCHIC</v>
      </c>
      <c r="F1618" s="1940"/>
      <c r="G1618" s="1940"/>
      <c r="H1618" s="1940"/>
      <c r="I1618" s="1940"/>
      <c r="J1618" s="1940"/>
      <c r="K1618" s="1940"/>
      <c r="L1618" s="1940"/>
      <c r="M1618" s="1940"/>
      <c r="N1618" s="1940"/>
      <c r="O1618" s="15"/>
      <c r="P1618" s="15"/>
      <c r="Q1618" s="343"/>
      <c r="R1618" s="2"/>
      <c r="S1618" s="343"/>
      <c r="T1618" s="343"/>
      <c r="U1618" s="2"/>
      <c r="V1618" s="2"/>
      <c r="W1618" s="2"/>
      <c r="X1618" s="2"/>
      <c r="Y1618" s="2"/>
      <c r="Z1618" s="2"/>
      <c r="AA1618" s="2"/>
      <c r="AB1618" s="2"/>
      <c r="AC1618" s="2"/>
      <c r="AD1618" s="2"/>
      <c r="AE1618" s="2"/>
      <c r="AF1618" s="2"/>
      <c r="AG1618" s="2"/>
      <c r="AH1618" s="2"/>
      <c r="AI1618" s="2"/>
      <c r="AJ1618" s="2"/>
      <c r="AK1618" s="2"/>
      <c r="AL1618" s="2"/>
    </row>
    <row r="1619" spans="1:38" ht="5.15" customHeight="1" x14ac:dyDescent="0.25">
      <c r="A1619" s="2"/>
      <c r="B1619" s="178"/>
      <c r="C1619" s="178"/>
      <c r="D1619" s="178"/>
      <c r="E1619" s="178"/>
      <c r="F1619" s="178"/>
      <c r="G1619" s="178"/>
      <c r="H1619" s="178"/>
      <c r="I1619" s="178"/>
      <c r="J1619" s="178"/>
      <c r="K1619" s="178"/>
      <c r="L1619" s="178"/>
      <c r="M1619" s="178"/>
      <c r="N1619" s="178"/>
      <c r="O1619" s="15"/>
      <c r="P1619" s="15"/>
      <c r="Q1619" s="343"/>
      <c r="R1619" s="343"/>
      <c r="S1619" s="343"/>
      <c r="T1619" s="343"/>
      <c r="U1619" s="2"/>
      <c r="V1619" s="2"/>
      <c r="W1619" s="2"/>
      <c r="X1619" s="2"/>
      <c r="Y1619" s="2"/>
      <c r="Z1619" s="2"/>
      <c r="AA1619" s="2"/>
      <c r="AB1619" s="2"/>
      <c r="AC1619" s="2"/>
      <c r="AD1619" s="2"/>
      <c r="AE1619" s="2"/>
      <c r="AF1619" s="2"/>
      <c r="AG1619" s="2"/>
      <c r="AH1619" s="2"/>
      <c r="AI1619" s="2"/>
      <c r="AJ1619" s="2"/>
      <c r="AK1619" s="2"/>
      <c r="AL1619" s="2"/>
    </row>
    <row r="1620" spans="1:38" ht="12.75" customHeight="1" x14ac:dyDescent="0.25">
      <c r="A1620" s="2"/>
      <c r="B1620" s="178"/>
      <c r="C1620" s="13"/>
      <c r="D1620" s="13" t="s">
        <v>66</v>
      </c>
      <c r="E1620" s="1943" t="str">
        <f>Translations!$B$546</f>
        <v>Individuella produktionsnivåer för produkter som ingår i delanläggningen med produktriktmärke</v>
      </c>
      <c r="F1620" s="1963"/>
      <c r="G1620" s="1963"/>
      <c r="H1620" s="1963"/>
      <c r="I1620" s="1963"/>
      <c r="J1620" s="1963"/>
      <c r="K1620" s="1963"/>
      <c r="L1620" s="1963"/>
      <c r="M1620" s="1963"/>
      <c r="N1620" s="1963"/>
      <c r="O1620" s="15"/>
      <c r="P1620" s="15"/>
      <c r="Q1620" s="343"/>
      <c r="R1620" s="2"/>
      <c r="S1620" s="343"/>
      <c r="T1620" s="343"/>
      <c r="U1620" s="2"/>
      <c r="V1620" s="2"/>
      <c r="W1620" s="2"/>
      <c r="X1620" s="2"/>
      <c r="Y1620" s="2"/>
      <c r="Z1620" s="2"/>
      <c r="AA1620" s="2"/>
      <c r="AB1620" s="2"/>
      <c r="AC1620" s="2"/>
      <c r="AD1620" s="2"/>
      <c r="AE1620" s="2"/>
      <c r="AF1620" s="2"/>
      <c r="AG1620" s="2"/>
      <c r="AH1620" s="2"/>
      <c r="AI1620" s="2"/>
      <c r="AJ1620" s="2"/>
      <c r="AK1620" s="2"/>
      <c r="AL1620" s="2"/>
    </row>
    <row r="1621" spans="1:38" ht="5.15" customHeight="1" x14ac:dyDescent="0.25">
      <c r="A1621" s="2"/>
      <c r="B1621" s="178"/>
      <c r="C1621" s="178"/>
      <c r="D1621" s="15"/>
      <c r="E1621" s="16"/>
      <c r="F1621" s="16"/>
      <c r="G1621" s="16"/>
      <c r="H1621" s="16"/>
      <c r="I1621" s="16"/>
      <c r="J1621" s="20"/>
      <c r="K1621" s="20"/>
      <c r="L1621" s="20"/>
      <c r="M1621" s="15"/>
      <c r="N1621" s="15"/>
      <c r="O1621" s="15"/>
      <c r="P1621" s="15"/>
      <c r="Q1621" s="343"/>
      <c r="R1621" s="2"/>
      <c r="S1621" s="343"/>
      <c r="T1621" s="343"/>
      <c r="U1621" s="2"/>
      <c r="V1621" s="2"/>
      <c r="W1621" s="2"/>
      <c r="X1621" s="2"/>
      <c r="Y1621" s="2"/>
      <c r="Z1621" s="2"/>
      <c r="AA1621" s="2"/>
      <c r="AB1621" s="2"/>
      <c r="AC1621" s="2"/>
      <c r="AD1621" s="2"/>
      <c r="AE1621" s="2"/>
      <c r="AF1621" s="2"/>
      <c r="AG1621" s="2"/>
      <c r="AH1621" s="2"/>
      <c r="AI1621" s="2"/>
      <c r="AJ1621" s="2"/>
      <c r="AK1621" s="2"/>
      <c r="AL1621" s="2"/>
    </row>
    <row r="1622" spans="1:38" ht="25.5" customHeight="1" thickBot="1" x14ac:dyDescent="0.3">
      <c r="A1622" s="2"/>
      <c r="B1622" s="19"/>
      <c r="C1622" s="19"/>
      <c r="D1622" s="38"/>
      <c r="E1622" s="321" t="s">
        <v>1030</v>
      </c>
      <c r="F1622" s="1027" t="str">
        <f>Translations!$B$547</f>
        <v>Namn på produkt eller produktgrupp</v>
      </c>
      <c r="G1622" s="774" t="str">
        <f>EUconst_Unit</f>
        <v>Enhet</v>
      </c>
      <c r="H1622" s="320">
        <f t="shared" ref="H1622:N1622" si="713">H$3042</f>
        <v>2019</v>
      </c>
      <c r="I1622" s="342">
        <f t="shared" si="713"/>
        <v>2020</v>
      </c>
      <c r="J1622" s="987">
        <f t="shared" si="713"/>
        <v>2021</v>
      </c>
      <c r="K1622" s="320">
        <f t="shared" si="713"/>
        <v>2022</v>
      </c>
      <c r="L1622" s="320">
        <f t="shared" si="713"/>
        <v>2023</v>
      </c>
      <c r="M1622" s="320">
        <f t="shared" si="713"/>
        <v>2024</v>
      </c>
      <c r="N1622" s="320">
        <f t="shared" si="713"/>
        <v>2025</v>
      </c>
      <c r="O1622" s="15"/>
      <c r="P1622" s="15"/>
      <c r="Q1622" s="2"/>
      <c r="R1622" s="2"/>
      <c r="S1622" s="343"/>
      <c r="T1622" s="343"/>
      <c r="U1622" s="2"/>
      <c r="V1622" s="2"/>
      <c r="W1622" s="2"/>
      <c r="X1622" s="2"/>
      <c r="Y1622" s="2"/>
      <c r="Z1622" s="1055" t="s">
        <v>782</v>
      </c>
      <c r="AA1622" s="2"/>
      <c r="AB1622" s="2"/>
      <c r="AC1622" s="1044">
        <f t="shared" ref="AC1622:AI1622" si="714">H$20</f>
        <v>2019</v>
      </c>
      <c r="AD1622" s="1044">
        <f t="shared" si="714"/>
        <v>2020</v>
      </c>
      <c r="AE1622" s="1044">
        <f t="shared" si="714"/>
        <v>2021</v>
      </c>
      <c r="AF1622" s="1044">
        <f t="shared" si="714"/>
        <v>2022</v>
      </c>
      <c r="AG1622" s="1044">
        <f t="shared" si="714"/>
        <v>2023</v>
      </c>
      <c r="AH1622" s="1044">
        <f t="shared" si="714"/>
        <v>2024</v>
      </c>
      <c r="AI1622" s="1044">
        <f t="shared" si="714"/>
        <v>2025</v>
      </c>
      <c r="AJ1622" s="2"/>
      <c r="AK1622" s="2"/>
      <c r="AL1622" s="2"/>
    </row>
    <row r="1623" spans="1:38" x14ac:dyDescent="0.25">
      <c r="A1623" s="2"/>
      <c r="B1623" s="19"/>
      <c r="C1623" s="19"/>
      <c r="D1623" s="32">
        <v>1</v>
      </c>
      <c r="E1623" s="1787"/>
      <c r="F1623" s="1047"/>
      <c r="G1623" s="602"/>
      <c r="H1623" s="383"/>
      <c r="I1623" s="467"/>
      <c r="J1623" s="1106"/>
      <c r="K1623" s="383"/>
      <c r="L1623" s="383"/>
      <c r="M1623" s="383"/>
      <c r="N1623" s="383"/>
      <c r="O1623" s="15"/>
      <c r="P1623" s="1362"/>
      <c r="Q1623" s="2"/>
      <c r="R1623" s="2"/>
      <c r="S1623" s="343"/>
      <c r="T1623" s="343"/>
      <c r="U1623" s="2"/>
      <c r="V1623" s="2"/>
      <c r="W1623" s="2"/>
      <c r="X1623" s="2"/>
      <c r="Y1623" s="2"/>
      <c r="Z1623" s="1056" t="b">
        <f t="shared" ref="Z1623:Z1632" si="715">AA1623</f>
        <v>0</v>
      </c>
      <c r="AA1623" s="1057" t="b">
        <f t="shared" ref="AA1623:AA1632" si="716">AB1623</f>
        <v>0</v>
      </c>
      <c r="AB1623" s="1363" t="b">
        <f>AND(AC1623:AI1623)</f>
        <v>0</v>
      </c>
      <c r="AC1623" s="1054" t="b">
        <f t="shared" ref="AC1623:AI1623" si="717">AC1593</f>
        <v>0</v>
      </c>
      <c r="AD1623" s="1052" t="b">
        <f t="shared" si="717"/>
        <v>0</v>
      </c>
      <c r="AE1623" s="1052" t="b">
        <f t="shared" si="717"/>
        <v>0</v>
      </c>
      <c r="AF1623" s="1052" t="b">
        <f t="shared" si="717"/>
        <v>0</v>
      </c>
      <c r="AG1623" s="1052" t="b">
        <f t="shared" si="717"/>
        <v>0</v>
      </c>
      <c r="AH1623" s="1052" t="b">
        <f t="shared" si="717"/>
        <v>0</v>
      </c>
      <c r="AI1623" s="1053" t="b">
        <f t="shared" si="717"/>
        <v>0</v>
      </c>
      <c r="AJ1623" s="553" t="s">
        <v>2248</v>
      </c>
      <c r="AK1623" s="663" t="str">
        <f>IF(AND(CNTR_ExistSubInstEntries,COUNTIFS(AC1623:AI1623,FALSE,H1623:N1623,"")&gt;0),EUconst_Error&amp;"BM"&amp;$Q1523,"")</f>
        <v/>
      </c>
      <c r="AL1623" s="2"/>
    </row>
    <row r="1624" spans="1:38" x14ac:dyDescent="0.25">
      <c r="A1624" s="2"/>
      <c r="B1624" s="19"/>
      <c r="C1624" s="19"/>
      <c r="D1624" s="33">
        <f>D1623+1</f>
        <v>2</v>
      </c>
      <c r="E1624" s="1788"/>
      <c r="F1624" s="1048"/>
      <c r="G1624" s="446"/>
      <c r="H1624" s="431"/>
      <c r="I1624" s="468"/>
      <c r="J1624" s="1120"/>
      <c r="K1624" s="431"/>
      <c r="L1624" s="431"/>
      <c r="M1624" s="431"/>
      <c r="N1624" s="431"/>
      <c r="O1624" s="15"/>
      <c r="P1624" s="1362"/>
      <c r="Q1624" s="2"/>
      <c r="R1624" s="2"/>
      <c r="S1624" s="343"/>
      <c r="T1624" s="343"/>
      <c r="U1624" s="2"/>
      <c r="V1624" s="2"/>
      <c r="W1624" s="2"/>
      <c r="X1624" s="2"/>
      <c r="Y1624" s="2"/>
      <c r="Z1624" s="583" t="b">
        <f t="shared" si="715"/>
        <v>0</v>
      </c>
      <c r="AA1624" s="108" t="b">
        <f t="shared" si="716"/>
        <v>0</v>
      </c>
      <c r="AB1624" s="109" t="b">
        <f t="shared" ref="AB1624:AB1632" si="718">AND(AC1624:AI1624)</f>
        <v>0</v>
      </c>
      <c r="AC1624" s="153" t="b">
        <f>AC1623</f>
        <v>0</v>
      </c>
      <c r="AD1624" s="108" t="b">
        <f t="shared" ref="AD1624:AI1624" si="719">AD1623</f>
        <v>0</v>
      </c>
      <c r="AE1624" s="108" t="b">
        <f t="shared" si="719"/>
        <v>0</v>
      </c>
      <c r="AF1624" s="108" t="b">
        <f t="shared" si="719"/>
        <v>0</v>
      </c>
      <c r="AG1624" s="108" t="b">
        <f t="shared" si="719"/>
        <v>0</v>
      </c>
      <c r="AH1624" s="108" t="b">
        <f t="shared" si="719"/>
        <v>0</v>
      </c>
      <c r="AI1624" s="109" t="b">
        <f t="shared" si="719"/>
        <v>0</v>
      </c>
      <c r="AJ1624" s="2"/>
      <c r="AK1624" s="2"/>
      <c r="AL1624" s="2"/>
    </row>
    <row r="1625" spans="1:38" x14ac:dyDescent="0.25">
      <c r="A1625" s="2"/>
      <c r="B1625" s="19"/>
      <c r="C1625" s="19"/>
      <c r="D1625" s="33">
        <f t="shared" ref="D1625:D1632" si="720">D1624+1</f>
        <v>3</v>
      </c>
      <c r="E1625" s="1788"/>
      <c r="F1625" s="1049"/>
      <c r="G1625" s="446"/>
      <c r="H1625" s="431"/>
      <c r="I1625" s="468"/>
      <c r="J1625" s="1120"/>
      <c r="K1625" s="431"/>
      <c r="L1625" s="431"/>
      <c r="M1625" s="431"/>
      <c r="N1625" s="431"/>
      <c r="O1625" s="15"/>
      <c r="P1625" s="1362"/>
      <c r="Q1625" s="2"/>
      <c r="R1625" s="2"/>
      <c r="S1625" s="343"/>
      <c r="T1625" s="343"/>
      <c r="U1625" s="2"/>
      <c r="V1625" s="2"/>
      <c r="W1625" s="2"/>
      <c r="X1625" s="2"/>
      <c r="Y1625" s="2"/>
      <c r="Z1625" s="583" t="b">
        <f t="shared" si="715"/>
        <v>0</v>
      </c>
      <c r="AA1625" s="108" t="b">
        <f t="shared" si="716"/>
        <v>0</v>
      </c>
      <c r="AB1625" s="109" t="b">
        <f t="shared" si="718"/>
        <v>0</v>
      </c>
      <c r="AC1625" s="153" t="b">
        <f t="shared" ref="AC1625:AI1632" si="721">AC1624</f>
        <v>0</v>
      </c>
      <c r="AD1625" s="108" t="b">
        <f t="shared" si="721"/>
        <v>0</v>
      </c>
      <c r="AE1625" s="108" t="b">
        <f t="shared" si="721"/>
        <v>0</v>
      </c>
      <c r="AF1625" s="108" t="b">
        <f t="shared" si="721"/>
        <v>0</v>
      </c>
      <c r="AG1625" s="108" t="b">
        <f t="shared" si="721"/>
        <v>0</v>
      </c>
      <c r="AH1625" s="108" t="b">
        <f t="shared" si="721"/>
        <v>0</v>
      </c>
      <c r="AI1625" s="109" t="b">
        <f t="shared" si="721"/>
        <v>0</v>
      </c>
      <c r="AJ1625" s="2"/>
      <c r="AK1625" s="2"/>
      <c r="AL1625" s="2"/>
    </row>
    <row r="1626" spans="1:38" x14ac:dyDescent="0.25">
      <c r="A1626" s="2"/>
      <c r="B1626" s="19"/>
      <c r="C1626" s="19"/>
      <c r="D1626" s="33">
        <f t="shared" si="720"/>
        <v>4</v>
      </c>
      <c r="E1626" s="1788"/>
      <c r="F1626" s="1049"/>
      <c r="G1626" s="446"/>
      <c r="H1626" s="431"/>
      <c r="I1626" s="468"/>
      <c r="J1626" s="1120"/>
      <c r="K1626" s="431"/>
      <c r="L1626" s="431"/>
      <c r="M1626" s="431"/>
      <c r="N1626" s="431"/>
      <c r="O1626" s="15"/>
      <c r="P1626" s="1362"/>
      <c r="Q1626" s="2"/>
      <c r="R1626" s="2"/>
      <c r="S1626" s="343"/>
      <c r="T1626" s="343"/>
      <c r="U1626" s="2"/>
      <c r="V1626" s="2"/>
      <c r="W1626" s="2"/>
      <c r="X1626" s="2"/>
      <c r="Y1626" s="2"/>
      <c r="Z1626" s="583" t="b">
        <f t="shared" si="715"/>
        <v>0</v>
      </c>
      <c r="AA1626" s="108" t="b">
        <f t="shared" si="716"/>
        <v>0</v>
      </c>
      <c r="AB1626" s="109" t="b">
        <f t="shared" si="718"/>
        <v>0</v>
      </c>
      <c r="AC1626" s="153" t="b">
        <f t="shared" si="721"/>
        <v>0</v>
      </c>
      <c r="AD1626" s="108" t="b">
        <f t="shared" si="721"/>
        <v>0</v>
      </c>
      <c r="AE1626" s="108" t="b">
        <f t="shared" si="721"/>
        <v>0</v>
      </c>
      <c r="AF1626" s="108" t="b">
        <f t="shared" si="721"/>
        <v>0</v>
      </c>
      <c r="AG1626" s="108" t="b">
        <f t="shared" si="721"/>
        <v>0</v>
      </c>
      <c r="AH1626" s="108" t="b">
        <f t="shared" si="721"/>
        <v>0</v>
      </c>
      <c r="AI1626" s="109" t="b">
        <f t="shared" si="721"/>
        <v>0</v>
      </c>
      <c r="AJ1626" s="2"/>
      <c r="AK1626" s="2"/>
      <c r="AL1626" s="2"/>
    </row>
    <row r="1627" spans="1:38" x14ac:dyDescent="0.25">
      <c r="A1627" s="2"/>
      <c r="B1627" s="19"/>
      <c r="C1627" s="19"/>
      <c r="D1627" s="33">
        <f t="shared" si="720"/>
        <v>5</v>
      </c>
      <c r="E1627" s="1788"/>
      <c r="F1627" s="1049"/>
      <c r="G1627" s="446"/>
      <c r="H1627" s="431"/>
      <c r="I1627" s="468"/>
      <c r="J1627" s="1120"/>
      <c r="K1627" s="431"/>
      <c r="L1627" s="431"/>
      <c r="M1627" s="431"/>
      <c r="N1627" s="431"/>
      <c r="O1627" s="15"/>
      <c r="P1627" s="1362"/>
      <c r="Q1627" s="2"/>
      <c r="R1627" s="2"/>
      <c r="S1627" s="343"/>
      <c r="T1627" s="343"/>
      <c r="U1627" s="2"/>
      <c r="V1627" s="2"/>
      <c r="W1627" s="2"/>
      <c r="X1627" s="2"/>
      <c r="Y1627" s="2"/>
      <c r="Z1627" s="583" t="b">
        <f t="shared" si="715"/>
        <v>0</v>
      </c>
      <c r="AA1627" s="108" t="b">
        <f t="shared" si="716"/>
        <v>0</v>
      </c>
      <c r="AB1627" s="109" t="b">
        <f t="shared" si="718"/>
        <v>0</v>
      </c>
      <c r="AC1627" s="153" t="b">
        <f t="shared" si="721"/>
        <v>0</v>
      </c>
      <c r="AD1627" s="108" t="b">
        <f t="shared" si="721"/>
        <v>0</v>
      </c>
      <c r="AE1627" s="108" t="b">
        <f t="shared" si="721"/>
        <v>0</v>
      </c>
      <c r="AF1627" s="108" t="b">
        <f t="shared" si="721"/>
        <v>0</v>
      </c>
      <c r="AG1627" s="108" t="b">
        <f t="shared" si="721"/>
        <v>0</v>
      </c>
      <c r="AH1627" s="108" t="b">
        <f t="shared" si="721"/>
        <v>0</v>
      </c>
      <c r="AI1627" s="109" t="b">
        <f t="shared" si="721"/>
        <v>0</v>
      </c>
      <c r="AJ1627" s="2"/>
      <c r="AK1627" s="2"/>
      <c r="AL1627" s="2"/>
    </row>
    <row r="1628" spans="1:38" x14ac:dyDescent="0.25">
      <c r="A1628" s="2"/>
      <c r="B1628" s="19"/>
      <c r="C1628" s="19"/>
      <c r="D1628" s="33">
        <f t="shared" si="720"/>
        <v>6</v>
      </c>
      <c r="E1628" s="1788"/>
      <c r="F1628" s="1049"/>
      <c r="G1628" s="446"/>
      <c r="H1628" s="431"/>
      <c r="I1628" s="468"/>
      <c r="J1628" s="1120"/>
      <c r="K1628" s="431"/>
      <c r="L1628" s="431"/>
      <c r="M1628" s="431"/>
      <c r="N1628" s="431"/>
      <c r="O1628" s="15"/>
      <c r="P1628" s="1362"/>
      <c r="Q1628" s="2"/>
      <c r="R1628" s="2"/>
      <c r="S1628" s="343"/>
      <c r="T1628" s="343"/>
      <c r="U1628" s="2"/>
      <c r="V1628" s="2"/>
      <c r="W1628" s="2"/>
      <c r="X1628" s="2"/>
      <c r="Y1628" s="2"/>
      <c r="Z1628" s="583" t="b">
        <f t="shared" si="715"/>
        <v>0</v>
      </c>
      <c r="AA1628" s="108" t="b">
        <f t="shared" si="716"/>
        <v>0</v>
      </c>
      <c r="AB1628" s="109" t="b">
        <f t="shared" si="718"/>
        <v>0</v>
      </c>
      <c r="AC1628" s="153" t="b">
        <f t="shared" si="721"/>
        <v>0</v>
      </c>
      <c r="AD1628" s="108" t="b">
        <f t="shared" si="721"/>
        <v>0</v>
      </c>
      <c r="AE1628" s="108" t="b">
        <f t="shared" si="721"/>
        <v>0</v>
      </c>
      <c r="AF1628" s="108" t="b">
        <f t="shared" si="721"/>
        <v>0</v>
      </c>
      <c r="AG1628" s="108" t="b">
        <f t="shared" si="721"/>
        <v>0</v>
      </c>
      <c r="AH1628" s="108" t="b">
        <f t="shared" si="721"/>
        <v>0</v>
      </c>
      <c r="AI1628" s="109" t="b">
        <f t="shared" si="721"/>
        <v>0</v>
      </c>
      <c r="AJ1628" s="2"/>
      <c r="AK1628" s="2"/>
      <c r="AL1628" s="2"/>
    </row>
    <row r="1629" spans="1:38" x14ac:dyDescent="0.25">
      <c r="A1629" s="2"/>
      <c r="B1629" s="19"/>
      <c r="C1629" s="19"/>
      <c r="D1629" s="33">
        <f t="shared" si="720"/>
        <v>7</v>
      </c>
      <c r="E1629" s="1788"/>
      <c r="F1629" s="1049"/>
      <c r="G1629" s="446"/>
      <c r="H1629" s="431"/>
      <c r="I1629" s="468"/>
      <c r="J1629" s="1120"/>
      <c r="K1629" s="431"/>
      <c r="L1629" s="431"/>
      <c r="M1629" s="431"/>
      <c r="N1629" s="431"/>
      <c r="O1629" s="15"/>
      <c r="P1629" s="1362"/>
      <c r="Q1629" s="2"/>
      <c r="R1629" s="2"/>
      <c r="S1629" s="343"/>
      <c r="T1629" s="343"/>
      <c r="U1629" s="2"/>
      <c r="V1629" s="2"/>
      <c r="W1629" s="2"/>
      <c r="X1629" s="2"/>
      <c r="Y1629" s="2"/>
      <c r="Z1629" s="583" t="b">
        <f t="shared" si="715"/>
        <v>0</v>
      </c>
      <c r="AA1629" s="108" t="b">
        <f t="shared" si="716"/>
        <v>0</v>
      </c>
      <c r="AB1629" s="109" t="b">
        <f t="shared" si="718"/>
        <v>0</v>
      </c>
      <c r="AC1629" s="153" t="b">
        <f t="shared" si="721"/>
        <v>0</v>
      </c>
      <c r="AD1629" s="108" t="b">
        <f t="shared" si="721"/>
        <v>0</v>
      </c>
      <c r="AE1629" s="108" t="b">
        <f t="shared" si="721"/>
        <v>0</v>
      </c>
      <c r="AF1629" s="108" t="b">
        <f t="shared" si="721"/>
        <v>0</v>
      </c>
      <c r="AG1629" s="108" t="b">
        <f t="shared" si="721"/>
        <v>0</v>
      </c>
      <c r="AH1629" s="108" t="b">
        <f t="shared" si="721"/>
        <v>0</v>
      </c>
      <c r="AI1629" s="109" t="b">
        <f t="shared" si="721"/>
        <v>0</v>
      </c>
      <c r="AJ1629" s="2"/>
      <c r="AK1629" s="2"/>
      <c r="AL1629" s="2"/>
    </row>
    <row r="1630" spans="1:38" x14ac:dyDescent="0.25">
      <c r="A1630" s="2"/>
      <c r="B1630" s="19"/>
      <c r="C1630" s="19"/>
      <c r="D1630" s="33">
        <f t="shared" si="720"/>
        <v>8</v>
      </c>
      <c r="E1630" s="1788"/>
      <c r="F1630" s="1049"/>
      <c r="G1630" s="446"/>
      <c r="H1630" s="431"/>
      <c r="I1630" s="468"/>
      <c r="J1630" s="1120"/>
      <c r="K1630" s="431"/>
      <c r="L1630" s="431"/>
      <c r="M1630" s="431"/>
      <c r="N1630" s="431"/>
      <c r="O1630" s="15"/>
      <c r="P1630" s="1362"/>
      <c r="Q1630" s="2"/>
      <c r="R1630" s="2"/>
      <c r="S1630" s="343"/>
      <c r="T1630" s="343"/>
      <c r="U1630" s="2"/>
      <c r="V1630" s="2"/>
      <c r="W1630" s="2"/>
      <c r="X1630" s="2"/>
      <c r="Y1630" s="2"/>
      <c r="Z1630" s="583" t="b">
        <f t="shared" si="715"/>
        <v>0</v>
      </c>
      <c r="AA1630" s="108" t="b">
        <f t="shared" si="716"/>
        <v>0</v>
      </c>
      <c r="AB1630" s="109" t="b">
        <f t="shared" si="718"/>
        <v>0</v>
      </c>
      <c r="AC1630" s="153" t="b">
        <f t="shared" si="721"/>
        <v>0</v>
      </c>
      <c r="AD1630" s="108" t="b">
        <f t="shared" si="721"/>
        <v>0</v>
      </c>
      <c r="AE1630" s="108" t="b">
        <f t="shared" si="721"/>
        <v>0</v>
      </c>
      <c r="AF1630" s="108" t="b">
        <f t="shared" si="721"/>
        <v>0</v>
      </c>
      <c r="AG1630" s="108" t="b">
        <f t="shared" si="721"/>
        <v>0</v>
      </c>
      <c r="AH1630" s="108" t="b">
        <f t="shared" si="721"/>
        <v>0</v>
      </c>
      <c r="AI1630" s="109" t="b">
        <f t="shared" si="721"/>
        <v>0</v>
      </c>
      <c r="AJ1630" s="2"/>
      <c r="AK1630" s="2"/>
      <c r="AL1630" s="2"/>
    </row>
    <row r="1631" spans="1:38" x14ac:dyDescent="0.25">
      <c r="A1631" s="2"/>
      <c r="B1631" s="19"/>
      <c r="C1631" s="19"/>
      <c r="D1631" s="33">
        <f t="shared" si="720"/>
        <v>9</v>
      </c>
      <c r="E1631" s="1788"/>
      <c r="F1631" s="1049"/>
      <c r="G1631" s="446"/>
      <c r="H1631" s="431"/>
      <c r="I1631" s="468"/>
      <c r="J1631" s="1120"/>
      <c r="K1631" s="431"/>
      <c r="L1631" s="431"/>
      <c r="M1631" s="431"/>
      <c r="N1631" s="431"/>
      <c r="O1631" s="15"/>
      <c r="P1631" s="1362"/>
      <c r="Q1631" s="2"/>
      <c r="R1631" s="2"/>
      <c r="S1631" s="343"/>
      <c r="T1631" s="343"/>
      <c r="U1631" s="2"/>
      <c r="V1631" s="2"/>
      <c r="W1631" s="2"/>
      <c r="X1631" s="2"/>
      <c r="Y1631" s="2"/>
      <c r="Z1631" s="583" t="b">
        <f t="shared" si="715"/>
        <v>0</v>
      </c>
      <c r="AA1631" s="108" t="b">
        <f t="shared" si="716"/>
        <v>0</v>
      </c>
      <c r="AB1631" s="109" t="b">
        <f t="shared" si="718"/>
        <v>0</v>
      </c>
      <c r="AC1631" s="153" t="b">
        <f t="shared" si="721"/>
        <v>0</v>
      </c>
      <c r="AD1631" s="108" t="b">
        <f t="shared" si="721"/>
        <v>0</v>
      </c>
      <c r="AE1631" s="108" t="b">
        <f t="shared" si="721"/>
        <v>0</v>
      </c>
      <c r="AF1631" s="108" t="b">
        <f t="shared" si="721"/>
        <v>0</v>
      </c>
      <c r="AG1631" s="108" t="b">
        <f t="shared" si="721"/>
        <v>0</v>
      </c>
      <c r="AH1631" s="108" t="b">
        <f t="shared" si="721"/>
        <v>0</v>
      </c>
      <c r="AI1631" s="109" t="b">
        <f t="shared" si="721"/>
        <v>0</v>
      </c>
      <c r="AJ1631" s="2"/>
      <c r="AK1631" s="2"/>
      <c r="AL1631" s="2"/>
    </row>
    <row r="1632" spans="1:38" ht="13" thickBot="1" x14ac:dyDescent="0.3">
      <c r="A1632" s="2"/>
      <c r="B1632" s="19"/>
      <c r="C1632" s="19"/>
      <c r="D1632" s="36">
        <f t="shared" si="720"/>
        <v>10</v>
      </c>
      <c r="E1632" s="1790"/>
      <c r="F1632" s="1050"/>
      <c r="G1632" s="447"/>
      <c r="H1632" s="357"/>
      <c r="I1632" s="469"/>
      <c r="J1632" s="1112"/>
      <c r="K1632" s="357"/>
      <c r="L1632" s="357"/>
      <c r="M1632" s="357"/>
      <c r="N1632" s="357"/>
      <c r="O1632" s="15"/>
      <c r="P1632" s="1362"/>
      <c r="Q1632" s="2"/>
      <c r="R1632" s="2"/>
      <c r="S1632" s="343"/>
      <c r="T1632" s="343"/>
      <c r="U1632" s="2"/>
      <c r="V1632" s="2"/>
      <c r="W1632" s="2"/>
      <c r="X1632" s="2"/>
      <c r="Y1632" s="2"/>
      <c r="Z1632" s="110" t="b">
        <f t="shared" si="715"/>
        <v>0</v>
      </c>
      <c r="AA1632" s="111" t="b">
        <f t="shared" si="716"/>
        <v>0</v>
      </c>
      <c r="AB1632" s="112" t="b">
        <f t="shared" si="718"/>
        <v>0</v>
      </c>
      <c r="AC1632" s="156" t="b">
        <f t="shared" si="721"/>
        <v>0</v>
      </c>
      <c r="AD1632" s="111" t="b">
        <f t="shared" si="721"/>
        <v>0</v>
      </c>
      <c r="AE1632" s="111" t="b">
        <f t="shared" si="721"/>
        <v>0</v>
      </c>
      <c r="AF1632" s="111" t="b">
        <f t="shared" si="721"/>
        <v>0</v>
      </c>
      <c r="AG1632" s="111" t="b">
        <f t="shared" si="721"/>
        <v>0</v>
      </c>
      <c r="AH1632" s="111" t="b">
        <f t="shared" si="721"/>
        <v>0</v>
      </c>
      <c r="AI1632" s="112" t="b">
        <f t="shared" si="721"/>
        <v>0</v>
      </c>
      <c r="AJ1632" s="2"/>
      <c r="AK1632" s="2"/>
      <c r="AL1632" s="2"/>
    </row>
    <row r="1633" spans="1:38" ht="12.75" customHeight="1" thickBot="1" x14ac:dyDescent="0.3">
      <c r="A1633" s="2"/>
      <c r="B1633" s="19"/>
      <c r="C1633" s="19"/>
      <c r="D1633" s="90"/>
      <c r="E1633" s="1026" t="str">
        <f>Translations!$B$548</f>
        <v>Summa av produktionsnivåer</v>
      </c>
      <c r="F1633" s="915"/>
      <c r="G1633" s="554"/>
      <c r="H1633" s="275" t="str">
        <f t="shared" ref="H1633:N1633" si="722">IF(COUNT(H1623:H1632)&gt;0,SUM(H1623:H1632),"")</f>
        <v/>
      </c>
      <c r="I1633" s="281" t="str">
        <f t="shared" si="722"/>
        <v/>
      </c>
      <c r="J1633" s="1118" t="str">
        <f t="shared" si="722"/>
        <v/>
      </c>
      <c r="K1633" s="275" t="str">
        <f t="shared" si="722"/>
        <v/>
      </c>
      <c r="L1633" s="275" t="str">
        <f t="shared" si="722"/>
        <v/>
      </c>
      <c r="M1633" s="275" t="str">
        <f t="shared" si="722"/>
        <v/>
      </c>
      <c r="N1633" s="275" t="str">
        <f t="shared" si="722"/>
        <v/>
      </c>
      <c r="O1633" s="15"/>
      <c r="P1633" s="15"/>
      <c r="Q1633" s="2"/>
      <c r="R1633" s="2"/>
      <c r="S1633" s="343"/>
      <c r="T1633" s="343"/>
      <c r="U1633" s="2"/>
      <c r="V1633" s="2"/>
      <c r="W1633" s="2"/>
      <c r="X1633" s="2"/>
      <c r="Y1633" s="2"/>
      <c r="Z1633" s="2"/>
      <c r="AA1633" s="2"/>
      <c r="AB1633" s="555" t="b">
        <f>AND(AB1623:AB1632)</f>
        <v>0</v>
      </c>
      <c r="AC1633" s="2"/>
      <c r="AD1633" s="2"/>
      <c r="AE1633" s="2"/>
      <c r="AF1633" s="2"/>
      <c r="AG1633" s="2"/>
      <c r="AH1633" s="2"/>
      <c r="AI1633" s="2"/>
      <c r="AJ1633" s="2"/>
      <c r="AK1633" s="2"/>
      <c r="AL1633" s="2"/>
    </row>
    <row r="1634" spans="1:38" ht="12.75" customHeight="1" thickBot="1" x14ac:dyDescent="0.3">
      <c r="A1634" s="2"/>
      <c r="B1634" s="178"/>
      <c r="C1634" s="178"/>
      <c r="D1634" s="178"/>
      <c r="E1634" s="178"/>
      <c r="F1634" s="178"/>
      <c r="G1634" s="178"/>
      <c r="H1634" s="178"/>
      <c r="I1634" s="178"/>
      <c r="J1634" s="178"/>
      <c r="K1634" s="178"/>
      <c r="L1634" s="178"/>
      <c r="M1634" s="15"/>
      <c r="N1634" s="15"/>
      <c r="O1634" s="15"/>
      <c r="P1634" s="15"/>
      <c r="Q1634" s="343"/>
      <c r="R1634" s="2"/>
      <c r="S1634" s="343"/>
      <c r="T1634" s="343"/>
      <c r="U1634" s="2"/>
      <c r="V1634" s="2"/>
      <c r="W1634" s="2"/>
      <c r="X1634" s="2"/>
      <c r="Y1634" s="2"/>
      <c r="Z1634" s="2"/>
      <c r="AA1634" s="2"/>
      <c r="AB1634" s="2"/>
      <c r="AC1634" s="2"/>
      <c r="AD1634" s="2"/>
      <c r="AE1634" s="2"/>
      <c r="AF1634" s="2"/>
      <c r="AG1634" s="2"/>
      <c r="AH1634" s="2"/>
      <c r="AI1634" s="2"/>
      <c r="AJ1634" s="2"/>
      <c r="AK1634" s="2"/>
      <c r="AL1634" s="2"/>
    </row>
    <row r="1635" spans="1:38" ht="5.15" customHeight="1" x14ac:dyDescent="0.25">
      <c r="A1635" s="2"/>
      <c r="B1635" s="178"/>
      <c r="C1635" s="775"/>
      <c r="D1635" s="776"/>
      <c r="E1635" s="776"/>
      <c r="F1635" s="776"/>
      <c r="G1635" s="776"/>
      <c r="H1635" s="776"/>
      <c r="I1635" s="776"/>
      <c r="J1635" s="776"/>
      <c r="K1635" s="776"/>
      <c r="L1635" s="776"/>
      <c r="M1635" s="777"/>
      <c r="N1635" s="778"/>
      <c r="O1635" s="15"/>
      <c r="P1635" s="15"/>
      <c r="Q1635" s="343"/>
      <c r="R1635" s="2"/>
      <c r="S1635" s="343"/>
      <c r="T1635" s="343"/>
      <c r="U1635" s="2"/>
      <c r="V1635" s="2"/>
      <c r="W1635" s="2"/>
      <c r="X1635" s="2"/>
      <c r="Y1635" s="2"/>
      <c r="Z1635" s="2"/>
      <c r="AA1635" s="2"/>
      <c r="AB1635" s="2"/>
      <c r="AC1635" s="2"/>
      <c r="AD1635" s="2"/>
      <c r="AE1635" s="2"/>
      <c r="AF1635" s="2"/>
      <c r="AG1635" s="2"/>
      <c r="AH1635" s="2"/>
      <c r="AI1635" s="2"/>
      <c r="AJ1635" s="2"/>
      <c r="AK1635" s="2"/>
      <c r="AL1635" s="2"/>
    </row>
    <row r="1636" spans="1:38" ht="15" customHeight="1" x14ac:dyDescent="0.25">
      <c r="A1636" s="2"/>
      <c r="B1636" s="19"/>
      <c r="C1636" s="779"/>
      <c r="D1636" s="2645" t="str">
        <f>Translations!$B$549</f>
        <v>Uppgifter som krävs för att fastställa den riktmärkesrelaterade förbättringsfaktorn enligt artikel 10a.2 i ETS-direktivet</v>
      </c>
      <c r="E1636" s="2635"/>
      <c r="F1636" s="2635"/>
      <c r="G1636" s="2635"/>
      <c r="H1636" s="2635"/>
      <c r="I1636" s="2635"/>
      <c r="J1636" s="2635"/>
      <c r="K1636" s="2635"/>
      <c r="L1636" s="2635"/>
      <c r="M1636" s="2635"/>
      <c r="N1636" s="2636"/>
      <c r="O1636" s="15"/>
      <c r="P1636" s="15"/>
      <c r="Q1636" s="2"/>
      <c r="R1636" s="2"/>
      <c r="S1636" s="343"/>
      <c r="T1636" s="343"/>
      <c r="U1636" s="2"/>
      <c r="V1636" s="2"/>
      <c r="W1636" s="2"/>
      <c r="X1636" s="2"/>
      <c r="Y1636" s="2"/>
      <c r="Z1636" s="2"/>
      <c r="AA1636" s="2"/>
      <c r="AB1636" s="2"/>
      <c r="AC1636" s="2"/>
      <c r="AD1636" s="2"/>
      <c r="AE1636" s="2"/>
      <c r="AF1636" s="2"/>
      <c r="AG1636" s="2"/>
      <c r="AH1636" s="2"/>
      <c r="AI1636" s="2"/>
      <c r="AJ1636" s="2"/>
      <c r="AK1636" s="2"/>
      <c r="AL1636" s="2"/>
    </row>
    <row r="1637" spans="1:38" ht="5.15" customHeight="1" x14ac:dyDescent="0.25">
      <c r="A1637" s="2"/>
      <c r="B1637" s="19"/>
      <c r="C1637" s="371"/>
      <c r="D1637" s="360"/>
      <c r="E1637" s="360"/>
      <c r="F1637" s="360"/>
      <c r="G1637" s="360"/>
      <c r="H1637" s="360"/>
      <c r="I1637" s="360"/>
      <c r="J1637" s="360"/>
      <c r="K1637" s="360"/>
      <c r="L1637" s="360"/>
      <c r="M1637" s="360"/>
      <c r="N1637" s="372"/>
      <c r="O1637" s="15"/>
      <c r="P1637" s="15"/>
      <c r="Q1637" s="2"/>
      <c r="R1637" s="2"/>
      <c r="S1637" s="343"/>
      <c r="T1637" s="343"/>
      <c r="U1637" s="2"/>
      <c r="V1637" s="2"/>
      <c r="W1637" s="2"/>
      <c r="X1637" s="2"/>
      <c r="Y1637" s="2"/>
      <c r="Z1637" s="2"/>
      <c r="AA1637" s="2"/>
      <c r="AB1637" s="2"/>
      <c r="AC1637" s="2"/>
      <c r="AD1637" s="2"/>
      <c r="AE1637" s="2"/>
      <c r="AF1637" s="2"/>
      <c r="AG1637" s="2"/>
      <c r="AH1637" s="2"/>
      <c r="AI1637" s="2"/>
      <c r="AJ1637" s="2"/>
      <c r="AK1637" s="2"/>
      <c r="AL1637" s="2"/>
    </row>
    <row r="1638" spans="1:38" ht="15" customHeight="1" x14ac:dyDescent="0.25">
      <c r="A1638" s="2"/>
      <c r="B1638" s="19"/>
      <c r="C1638" s="371"/>
      <c r="D1638" s="2646" t="str">
        <f>EUconst_BMSubinst &amp; ":"</f>
        <v>Delanläggning med produktriktmärke:</v>
      </c>
      <c r="E1638" s="2642"/>
      <c r="F1638" s="2642"/>
      <c r="G1638" s="2642"/>
      <c r="H1638" s="2647"/>
      <c r="I1638" s="2090" t="str">
        <f>I1523</f>
        <v/>
      </c>
      <c r="J1638" s="2120"/>
      <c r="K1638" s="2120"/>
      <c r="L1638" s="2120"/>
      <c r="M1638" s="2120"/>
      <c r="N1638" s="2648"/>
      <c r="O1638" s="15"/>
      <c r="P1638" s="15"/>
      <c r="Q1638" s="2"/>
      <c r="R1638" s="2"/>
      <c r="S1638" s="343"/>
      <c r="T1638" s="343"/>
      <c r="U1638" s="2"/>
      <c r="V1638" s="2"/>
      <c r="W1638" s="2"/>
      <c r="X1638" s="2"/>
      <c r="Y1638" s="2"/>
      <c r="Z1638" s="2"/>
      <c r="AA1638" s="2"/>
      <c r="AB1638" s="2"/>
      <c r="AC1638" s="2"/>
      <c r="AD1638" s="2"/>
      <c r="AE1638" s="2"/>
      <c r="AF1638" s="2"/>
      <c r="AG1638" s="2"/>
      <c r="AH1638" s="2"/>
      <c r="AI1638" s="2"/>
      <c r="AJ1638" s="2"/>
      <c r="AK1638" s="2"/>
      <c r="AL1638" s="2"/>
    </row>
    <row r="1639" spans="1:38" ht="5.15" customHeight="1" x14ac:dyDescent="0.25">
      <c r="A1639" s="2"/>
      <c r="B1639" s="19"/>
      <c r="C1639" s="371"/>
      <c r="D1639" s="360"/>
      <c r="E1639" s="360"/>
      <c r="F1639" s="360"/>
      <c r="G1639" s="360"/>
      <c r="H1639" s="360"/>
      <c r="I1639" s="360"/>
      <c r="J1639" s="360"/>
      <c r="K1639" s="360"/>
      <c r="L1639" s="360"/>
      <c r="M1639" s="360"/>
      <c r="N1639" s="372"/>
      <c r="O1639" s="15"/>
      <c r="P1639" s="15"/>
      <c r="Q1639" s="2"/>
      <c r="R1639" s="2"/>
      <c r="S1639" s="343"/>
      <c r="T1639" s="343"/>
      <c r="U1639" s="2"/>
      <c r="V1639" s="2"/>
      <c r="W1639" s="2"/>
      <c r="X1639" s="2"/>
      <c r="Y1639" s="2"/>
      <c r="Z1639" s="2"/>
      <c r="AA1639" s="2"/>
      <c r="AB1639" s="2"/>
      <c r="AC1639" s="2"/>
      <c r="AD1639" s="2"/>
      <c r="AE1639" s="2"/>
      <c r="AF1639" s="2"/>
      <c r="AG1639" s="2"/>
      <c r="AH1639" s="2"/>
      <c r="AI1639" s="2"/>
      <c r="AJ1639" s="2"/>
      <c r="AK1639" s="2"/>
      <c r="AL1639" s="2"/>
    </row>
    <row r="1640" spans="1:38" ht="30" customHeight="1" x14ac:dyDescent="0.25">
      <c r="A1640" s="2"/>
      <c r="B1640" s="178"/>
      <c r="C1640" s="779"/>
      <c r="D1640" s="780"/>
      <c r="E1640" s="2649" t="str">
        <f>Translations!$B$550</f>
        <v>Detta underavsnitt avser tillskrivning av utsläpp från bränsle-/materialmängder, utsläppskällor, import och export av mätbar värme och restgaser inklusive värmeförluster i enlighet med avsnitt 10 i bilaga VII till FAR.</v>
      </c>
      <c r="F1640" s="2649"/>
      <c r="G1640" s="2649"/>
      <c r="H1640" s="2649"/>
      <c r="I1640" s="2649"/>
      <c r="J1640" s="2649"/>
      <c r="K1640" s="2649"/>
      <c r="L1640" s="2649"/>
      <c r="M1640" s="2649"/>
      <c r="N1640" s="2650"/>
      <c r="O1640" s="15"/>
      <c r="P1640" s="15"/>
      <c r="Q1640" s="343"/>
      <c r="R1640" s="2"/>
      <c r="S1640" s="2"/>
      <c r="T1640" s="2"/>
      <c r="U1640" s="2"/>
      <c r="V1640" s="2"/>
      <c r="W1640" s="2"/>
      <c r="X1640" s="2"/>
      <c r="Y1640" s="2"/>
      <c r="Z1640" s="2"/>
      <c r="AA1640" s="2"/>
      <c r="AB1640" s="2"/>
      <c r="AC1640" s="2"/>
      <c r="AD1640" s="2"/>
      <c r="AE1640" s="2"/>
      <c r="AF1640" s="2"/>
      <c r="AG1640" s="2"/>
      <c r="AH1640" s="2"/>
      <c r="AI1640" s="2"/>
      <c r="AJ1640" s="2"/>
      <c r="AK1640" s="2"/>
      <c r="AL1640" s="2"/>
    </row>
    <row r="1641" spans="1:38" ht="30" customHeight="1" x14ac:dyDescent="0.25">
      <c r="A1641" s="2"/>
      <c r="B1641" s="178"/>
      <c r="C1641" s="779"/>
      <c r="D1641" s="780"/>
      <c r="E1641" s="2649" t="str">
        <f>Translations!$B$551</f>
        <v xml:space="preserve">Var god notera att även om viss vägledning ges för varje punkt nedan bör ytterligare information inhämtas från vägledning 5 (”Monitoring and Reporting in relation to the FAR”), som också innehåller exempel. </v>
      </c>
      <c r="F1641" s="2649"/>
      <c r="G1641" s="2649"/>
      <c r="H1641" s="2649"/>
      <c r="I1641" s="2649"/>
      <c r="J1641" s="2649"/>
      <c r="K1641" s="2649"/>
      <c r="L1641" s="2649"/>
      <c r="M1641" s="2649"/>
      <c r="N1641" s="2597"/>
      <c r="O1641" s="15"/>
      <c r="P1641" s="15"/>
      <c r="Q1641" s="343"/>
      <c r="R1641" s="2"/>
      <c r="S1641" s="2"/>
      <c r="T1641" s="2"/>
      <c r="U1641" s="2"/>
      <c r="V1641" s="2"/>
      <c r="W1641" s="2"/>
      <c r="X1641" s="2"/>
      <c r="Y1641" s="2"/>
      <c r="Z1641" s="2"/>
      <c r="AA1641" s="2"/>
      <c r="AB1641" s="2"/>
      <c r="AC1641" s="2"/>
      <c r="AD1641" s="2"/>
      <c r="AE1641" s="2"/>
      <c r="AF1641" s="2"/>
      <c r="AG1641" s="2"/>
      <c r="AH1641" s="2"/>
      <c r="AI1641" s="2"/>
      <c r="AJ1641" s="2"/>
      <c r="AK1641" s="2"/>
      <c r="AL1641" s="2"/>
    </row>
    <row r="1642" spans="1:38" ht="12.75" customHeight="1" x14ac:dyDescent="0.25">
      <c r="A1642" s="2"/>
      <c r="B1642" s="178"/>
      <c r="C1642" s="779"/>
      <c r="D1642" s="780"/>
      <c r="E1642" s="2649" t="str">
        <f>Translations!$B$552</f>
        <v xml:space="preserve">Vägledningen kan laddas ner via följande länk: </v>
      </c>
      <c r="F1642" s="1960"/>
      <c r="G1642" s="1960"/>
      <c r="H1642" s="1960"/>
      <c r="I1642" s="1960"/>
      <c r="J1642" s="1960"/>
      <c r="K1642" s="1960"/>
      <c r="L1642" s="1960"/>
      <c r="M1642" s="1960"/>
      <c r="N1642" s="2597"/>
      <c r="O1642" s="15"/>
      <c r="P1642" s="15"/>
      <c r="Q1642" s="343"/>
      <c r="R1642" s="2"/>
      <c r="S1642" s="2"/>
      <c r="T1642" s="2"/>
      <c r="U1642" s="2"/>
      <c r="V1642" s="2"/>
      <c r="W1642" s="2"/>
      <c r="X1642" s="2"/>
      <c r="Y1642" s="2"/>
      <c r="Z1642" s="2"/>
      <c r="AA1642" s="2"/>
      <c r="AB1642" s="2"/>
      <c r="AC1642" s="2"/>
      <c r="AD1642" s="2"/>
      <c r="AE1642" s="2"/>
      <c r="AF1642" s="2"/>
      <c r="AG1642" s="2"/>
      <c r="AH1642" s="2"/>
      <c r="AI1642" s="2"/>
      <c r="AJ1642" s="2"/>
      <c r="AK1642" s="2"/>
      <c r="AL1642" s="2"/>
    </row>
    <row r="1643" spans="1:38" ht="15" customHeight="1" x14ac:dyDescent="0.25">
      <c r="A1643" s="2"/>
      <c r="B1643" s="178"/>
      <c r="C1643" s="779"/>
      <c r="D1643" s="780"/>
      <c r="E1643" s="2651" t="str">
        <f>Translations!$B$553</f>
        <v>https://ec.europa.eu/clima/policies/ets/allowances_en#tab-0-1</v>
      </c>
      <c r="F1643" s="2651"/>
      <c r="G1643" s="2651"/>
      <c r="H1643" s="2651"/>
      <c r="I1643" s="2651"/>
      <c r="J1643" s="2651"/>
      <c r="K1643" s="2651"/>
      <c r="L1643" s="2651"/>
      <c r="M1643" s="2651"/>
      <c r="N1643" s="2624"/>
      <c r="O1643" s="15"/>
      <c r="P1643" s="15"/>
      <c r="Q1643" s="343"/>
      <c r="R1643" s="2"/>
      <c r="S1643" s="2"/>
      <c r="T1643" s="2"/>
      <c r="U1643" s="2"/>
      <c r="V1643" s="2"/>
      <c r="W1643" s="2"/>
      <c r="X1643" s="2"/>
      <c r="Y1643" s="2"/>
      <c r="Z1643" s="2"/>
      <c r="AA1643" s="2"/>
      <c r="AB1643" s="2"/>
      <c r="AC1643" s="2"/>
      <c r="AD1643" s="2"/>
      <c r="AE1643" s="2"/>
      <c r="AF1643" s="2"/>
      <c r="AG1643" s="2"/>
      <c r="AH1643" s="2"/>
      <c r="AI1643" s="2"/>
      <c r="AJ1643" s="2"/>
      <c r="AK1643" s="2"/>
      <c r="AL1643" s="2"/>
    </row>
    <row r="1644" spans="1:38" ht="5.15" customHeight="1" x14ac:dyDescent="0.25">
      <c r="A1644" s="2"/>
      <c r="B1644" s="19"/>
      <c r="C1644" s="371"/>
      <c r="D1644" s="360"/>
      <c r="E1644" s="360"/>
      <c r="F1644" s="360"/>
      <c r="G1644" s="360"/>
      <c r="H1644" s="360"/>
      <c r="I1644" s="360"/>
      <c r="J1644" s="360"/>
      <c r="K1644" s="360"/>
      <c r="L1644" s="360"/>
      <c r="M1644" s="360"/>
      <c r="N1644" s="372"/>
      <c r="O1644" s="15"/>
      <c r="P1644" s="15"/>
      <c r="Q1644" s="2"/>
      <c r="R1644" s="2"/>
      <c r="S1644" s="343"/>
      <c r="T1644" s="343"/>
      <c r="U1644" s="2"/>
      <c r="V1644" s="2"/>
      <c r="W1644" s="2"/>
      <c r="X1644" s="2"/>
      <c r="Y1644" s="2"/>
      <c r="Z1644" s="2"/>
      <c r="AA1644" s="2"/>
      <c r="AB1644" s="2"/>
      <c r="AC1644" s="2"/>
      <c r="AD1644" s="2"/>
      <c r="AE1644" s="2"/>
      <c r="AF1644" s="2"/>
      <c r="AG1644" s="2"/>
      <c r="AH1644" s="2"/>
      <c r="AI1644" s="2"/>
      <c r="AJ1644" s="2"/>
      <c r="AK1644" s="2"/>
      <c r="AL1644" s="2"/>
    </row>
    <row r="1645" spans="1:38" ht="15" customHeight="1" x14ac:dyDescent="0.25">
      <c r="A1645" s="2"/>
      <c r="B1645" s="178"/>
      <c r="C1645" s="779"/>
      <c r="D1645" s="780"/>
      <c r="E1645" s="2633" t="str">
        <f>Translations!$B$554</f>
        <v>Utifrån de uppgifter som anges nedan beräknas de tillskrivna utsläppen i avsnitt K.III.2 i det sammanfattande bladet "K_Summary".</v>
      </c>
      <c r="F1645" s="2633"/>
      <c r="G1645" s="2633"/>
      <c r="H1645" s="2633"/>
      <c r="I1645" s="2633"/>
      <c r="J1645" s="2633"/>
      <c r="K1645" s="2633"/>
      <c r="L1645" s="2633"/>
      <c r="M1645" s="2633"/>
      <c r="N1645" s="2624"/>
      <c r="O1645" s="15"/>
      <c r="P1645" s="15"/>
      <c r="Q1645" s="343"/>
      <c r="R1645" s="2"/>
      <c r="S1645" s="2"/>
      <c r="T1645" s="2"/>
      <c r="U1645" s="2"/>
      <c r="V1645" s="2"/>
      <c r="W1645" s="2"/>
      <c r="X1645" s="2"/>
      <c r="Y1645" s="2"/>
      <c r="Z1645" s="2"/>
      <c r="AA1645" s="2"/>
      <c r="AB1645" s="2"/>
      <c r="AC1645" s="2"/>
      <c r="AD1645" s="2"/>
      <c r="AE1645" s="2"/>
      <c r="AF1645" s="2"/>
      <c r="AG1645" s="2"/>
      <c r="AH1645" s="2"/>
      <c r="AI1645" s="2"/>
      <c r="AJ1645" s="2"/>
      <c r="AK1645" s="2"/>
      <c r="AL1645" s="2"/>
    </row>
    <row r="1646" spans="1:38" ht="5.15" customHeight="1" x14ac:dyDescent="0.25">
      <c r="A1646" s="2"/>
      <c r="B1646" s="19"/>
      <c r="C1646" s="371"/>
      <c r="D1646" s="360"/>
      <c r="E1646" s="360"/>
      <c r="F1646" s="360"/>
      <c r="G1646" s="360"/>
      <c r="H1646" s="360"/>
      <c r="I1646" s="360"/>
      <c r="J1646" s="360"/>
      <c r="K1646" s="360"/>
      <c r="L1646" s="360"/>
      <c r="M1646" s="360"/>
      <c r="N1646" s="372"/>
      <c r="O1646" s="15"/>
      <c r="P1646" s="15"/>
      <c r="Q1646" s="2"/>
      <c r="R1646" s="2"/>
      <c r="S1646" s="343"/>
      <c r="T1646" s="343"/>
      <c r="U1646" s="2"/>
      <c r="V1646" s="2"/>
      <c r="W1646" s="2"/>
      <c r="X1646" s="2"/>
      <c r="Y1646" s="2"/>
      <c r="Z1646" s="2"/>
      <c r="AA1646" s="2"/>
      <c r="AB1646" s="2"/>
      <c r="AC1646" s="2"/>
      <c r="AD1646" s="2"/>
      <c r="AE1646" s="2"/>
      <c r="AF1646" s="2"/>
      <c r="AG1646" s="2"/>
      <c r="AH1646" s="2"/>
      <c r="AI1646" s="2"/>
      <c r="AJ1646" s="2"/>
      <c r="AK1646" s="2"/>
      <c r="AL1646" s="2"/>
    </row>
    <row r="1647" spans="1:38" ht="12.75" customHeight="1" x14ac:dyDescent="0.25">
      <c r="A1647" s="2"/>
      <c r="B1647" s="178"/>
      <c r="C1647" s="779"/>
      <c r="D1647" s="373" t="s">
        <v>299</v>
      </c>
      <c r="E1647" s="2634" t="str">
        <f>Translations!$B$555</f>
        <v>Utsläpp som direkt kan tillskrivas (DirEm* (bränsle-/materialmängder enligt övervakningsplan)) delanläggningen</v>
      </c>
      <c r="F1647" s="2635"/>
      <c r="G1647" s="2635"/>
      <c r="H1647" s="2635"/>
      <c r="I1647" s="2635"/>
      <c r="J1647" s="2635"/>
      <c r="K1647" s="2635"/>
      <c r="L1647" s="2635"/>
      <c r="M1647" s="2635"/>
      <c r="N1647" s="2636"/>
      <c r="O1647" s="15"/>
      <c r="P1647" s="15"/>
      <c r="Q1647" s="343"/>
      <c r="R1647" s="2"/>
      <c r="S1647" s="343"/>
      <c r="T1647" s="343"/>
      <c r="U1647" s="2"/>
      <c r="V1647" s="2"/>
      <c r="W1647" s="2"/>
      <c r="X1647" s="2"/>
      <c r="Y1647" s="2"/>
      <c r="Z1647" s="2"/>
      <c r="AA1647" s="2"/>
      <c r="AB1647" s="2"/>
      <c r="AC1647" s="2"/>
      <c r="AD1647" s="2"/>
      <c r="AE1647" s="2"/>
      <c r="AF1647" s="2"/>
      <c r="AG1647" s="2"/>
      <c r="AH1647" s="2"/>
      <c r="AI1647" s="2"/>
      <c r="AJ1647" s="2"/>
      <c r="AK1647" s="2"/>
      <c r="AL1647" s="2"/>
    </row>
    <row r="1648" spans="1:38" ht="12.75" customHeight="1" x14ac:dyDescent="0.25">
      <c r="A1648" s="2"/>
      <c r="B1648" s="178"/>
      <c r="C1648" s="779"/>
      <c r="D1648" s="416"/>
      <c r="E1648" s="2637" t="str">
        <f>Translations!$B$556</f>
        <v>De uppgifter som anges här påverkar de utsläpp som kan tillskrivas i enlighet med avsnitt 10.1.1 i bilaga VII till FAR.</v>
      </c>
      <c r="F1648" s="2634"/>
      <c r="G1648" s="2634"/>
      <c r="H1648" s="2634"/>
      <c r="I1648" s="2634"/>
      <c r="J1648" s="2634"/>
      <c r="K1648" s="2634"/>
      <c r="L1648" s="2634"/>
      <c r="M1648" s="2634"/>
      <c r="N1648" s="2638"/>
      <c r="O1648" s="15"/>
      <c r="P1648" s="15"/>
      <c r="Q1648" s="343"/>
      <c r="R1648" s="2"/>
      <c r="S1648" s="343"/>
      <c r="T1648" s="343"/>
      <c r="U1648" s="2"/>
      <c r="V1648" s="2"/>
      <c r="W1648" s="2"/>
      <c r="X1648" s="2"/>
      <c r="Y1648" s="2"/>
      <c r="Z1648" s="2"/>
      <c r="AA1648" s="2"/>
      <c r="AB1648" s="2"/>
      <c r="AC1648" s="2"/>
      <c r="AD1648" s="2"/>
      <c r="AE1648" s="2"/>
      <c r="AF1648" s="2"/>
      <c r="AG1648" s="2"/>
      <c r="AH1648" s="2"/>
      <c r="AI1648" s="2"/>
      <c r="AJ1648" s="2"/>
      <c r="AK1648" s="2"/>
      <c r="AL1648" s="2"/>
    </row>
    <row r="1649" spans="1:38" ht="12.75" customHeight="1" x14ac:dyDescent="0.25">
      <c r="A1649" s="2"/>
      <c r="B1649" s="178"/>
      <c r="C1649" s="779"/>
      <c r="D1649" s="780"/>
      <c r="E1649" s="2639" t="str">
        <f>Translations!$B$557</f>
        <v>Var god ange utsläpp som direkt kan tillskrivas (DirEm* (bränsle-/materialmängder enligt övervakningsplan)) delanläggningen med beaktande av följande bestämmelser:</v>
      </c>
      <c r="F1649" s="2639"/>
      <c r="G1649" s="2639"/>
      <c r="H1649" s="2639"/>
      <c r="I1649" s="2639"/>
      <c r="J1649" s="2639"/>
      <c r="K1649" s="2639"/>
      <c r="L1649" s="2639"/>
      <c r="M1649" s="2639"/>
      <c r="N1649" s="2640"/>
      <c r="O1649" s="15"/>
      <c r="P1649" s="15"/>
      <c r="Q1649" s="343"/>
      <c r="R1649" s="2"/>
      <c r="S1649" s="343"/>
      <c r="T1649" s="2"/>
      <c r="U1649" s="2"/>
      <c r="V1649" s="2"/>
      <c r="W1649" s="2"/>
      <c r="X1649" s="2"/>
      <c r="Y1649" s="2"/>
      <c r="Z1649" s="2"/>
      <c r="AA1649" s="2"/>
      <c r="AB1649" s="2"/>
      <c r="AC1649" s="2"/>
      <c r="AD1649" s="2"/>
      <c r="AE1649" s="2"/>
      <c r="AF1649" s="2"/>
      <c r="AG1649" s="2"/>
      <c r="AH1649" s="2"/>
      <c r="AI1649" s="2"/>
      <c r="AJ1649" s="2"/>
      <c r="AK1649" s="2"/>
      <c r="AL1649" s="2"/>
    </row>
    <row r="1650" spans="1:38" ht="25.5" customHeight="1" x14ac:dyDescent="0.25">
      <c r="A1650" s="2"/>
      <c r="B1650" s="178"/>
      <c r="C1650" s="779"/>
      <c r="D1650" s="780"/>
      <c r="E1650" s="1140" t="s">
        <v>1112</v>
      </c>
      <c r="F1650" s="2641" t="str">
        <f>Translations!$B$558</f>
        <v>”Utsläpp som direkt kan tillskrivas” övervakas enligt den övervakningsplan som ska godkännas enligt M&amp;R-förordningen, dvs. med hänsyn tagen till de utsläpp som fastställts utifrån beräkningsbaserade metoder (med hjälp av bränsle-/materialmängder), mätbaserade metoder (Cems) och nivålösa metoder (”alternativa övervakningsmetoder”/”fall-back”).</v>
      </c>
      <c r="G1650" s="2642"/>
      <c r="H1650" s="2642"/>
      <c r="I1650" s="2642"/>
      <c r="J1650" s="2642"/>
      <c r="K1650" s="2642"/>
      <c r="L1650" s="2642"/>
      <c r="M1650" s="2642"/>
      <c r="N1650" s="2643"/>
      <c r="O1650" s="15"/>
      <c r="P1650" s="15"/>
      <c r="Q1650" s="343"/>
      <c r="R1650" s="2"/>
      <c r="S1650" s="343"/>
      <c r="T1650" s="2"/>
      <c r="U1650" s="2"/>
      <c r="V1650" s="2"/>
      <c r="W1650" s="2"/>
      <c r="X1650" s="2"/>
      <c r="Y1650" s="2"/>
      <c r="Z1650" s="2"/>
      <c r="AA1650" s="2"/>
      <c r="AB1650" s="2"/>
      <c r="AC1650" s="2"/>
      <c r="AD1650" s="2"/>
      <c r="AE1650" s="2"/>
      <c r="AF1650" s="2"/>
      <c r="AG1650" s="2"/>
      <c r="AH1650" s="2"/>
      <c r="AI1650" s="2"/>
      <c r="AJ1650" s="2"/>
      <c r="AK1650" s="2"/>
      <c r="AL1650" s="2"/>
    </row>
    <row r="1651" spans="1:38" ht="38.25" customHeight="1" x14ac:dyDescent="0.25">
      <c r="A1651" s="2"/>
      <c r="B1651" s="178"/>
      <c r="C1651" s="779"/>
      <c r="D1651" s="780"/>
      <c r="E1651" s="1140"/>
      <c r="F1651" s="2610" t="str">
        <f>Translations!$B$559</f>
        <v>I flera situationer är ”utsläppen som direkt kan tillskrivas” i detta avsnitt dock inte identiska med de som ska rapporteras enligt M&amp;R-förordningen. Sådana situationer är bland annat när bränsle-/materialmängder används för produktion av mätbar värme, restgaser osv. Med andra ord måste man därför vara uppmärksam när man fyller i avsnitten nedan, så att man följer instruktionerna noggrant för att undvika dubbelräkning eller utelämnanden.</v>
      </c>
      <c r="G1651" s="1960"/>
      <c r="H1651" s="1960"/>
      <c r="I1651" s="1960"/>
      <c r="J1651" s="1960"/>
      <c r="K1651" s="1960"/>
      <c r="L1651" s="1960"/>
      <c r="M1651" s="1960"/>
      <c r="N1651" s="2597"/>
      <c r="O1651" s="15"/>
      <c r="P1651" s="15"/>
      <c r="Q1651" s="343"/>
      <c r="R1651" s="2"/>
      <c r="S1651" s="343"/>
      <c r="T1651" s="2"/>
      <c r="U1651" s="2"/>
      <c r="V1651" s="2"/>
      <c r="W1651" s="2"/>
      <c r="X1651" s="2"/>
      <c r="Y1651" s="2"/>
      <c r="Z1651" s="2"/>
      <c r="AA1651" s="2"/>
      <c r="AB1651" s="2"/>
      <c r="AC1651" s="2"/>
      <c r="AD1651" s="2"/>
      <c r="AE1651" s="2"/>
      <c r="AF1651" s="2"/>
      <c r="AG1651" s="2"/>
      <c r="AH1651" s="2"/>
      <c r="AI1651" s="2"/>
      <c r="AJ1651" s="2"/>
      <c r="AK1651" s="2"/>
      <c r="AL1651" s="2"/>
    </row>
    <row r="1652" spans="1:38" ht="12.75" customHeight="1" x14ac:dyDescent="0.25">
      <c r="A1652" s="2"/>
      <c r="B1652" s="178"/>
      <c r="C1652" s="779"/>
      <c r="D1652" s="780"/>
      <c r="E1652" s="1140" t="s">
        <v>1112</v>
      </c>
      <c r="F1652" s="2641" t="str">
        <f>Translations!$B$560</f>
        <v xml:space="preserve">Mätbar värme: om värmen enbart produceras för en delanläggning kan utsläppen tillskrivas direkt här via bränslets utsläpp. </v>
      </c>
      <c r="G1652" s="2642"/>
      <c r="H1652" s="2642"/>
      <c r="I1652" s="2642"/>
      <c r="J1652" s="2642"/>
      <c r="K1652" s="2642"/>
      <c r="L1652" s="2642"/>
      <c r="M1652" s="2642"/>
      <c r="N1652" s="2643"/>
      <c r="O1652" s="15"/>
      <c r="P1652" s="15"/>
      <c r="Q1652" s="343"/>
      <c r="R1652" s="2"/>
      <c r="S1652" s="343"/>
      <c r="T1652" s="2"/>
      <c r="U1652" s="2"/>
      <c r="V1652" s="2"/>
      <c r="W1652" s="2"/>
      <c r="X1652" s="2"/>
      <c r="Y1652" s="2"/>
      <c r="Z1652" s="2"/>
      <c r="AA1652" s="2"/>
      <c r="AB1652" s="2"/>
      <c r="AC1652" s="2"/>
      <c r="AD1652" s="2"/>
      <c r="AE1652" s="2"/>
      <c r="AF1652" s="2"/>
      <c r="AG1652" s="2"/>
      <c r="AH1652" s="2"/>
      <c r="AI1652" s="2"/>
      <c r="AJ1652" s="2"/>
      <c r="AK1652" s="2"/>
      <c r="AL1652" s="2"/>
    </row>
    <row r="1653" spans="1:38" ht="38.9" customHeight="1" x14ac:dyDescent="0.25">
      <c r="A1653" s="2"/>
      <c r="B1653" s="178"/>
      <c r="C1653" s="779"/>
      <c r="D1653" s="780"/>
      <c r="E1653" s="1140"/>
      <c r="F1653" s="2641" t="str">
        <f>Translations!$B$561</f>
        <v>I samtliga fall där bränslen används för att producera mätbar värme som används i mer än en delanläggning där värmen förbrukas (vilket innefattar situationer med import från och export till andra anläggningar), bör bränslena inte räknas med i de ”utsläpp som direkt kan tillskrivas” delanläggningen utan tas med i punkt k nedan.</v>
      </c>
      <c r="G1653" s="2642"/>
      <c r="H1653" s="2642"/>
      <c r="I1653" s="2642"/>
      <c r="J1653" s="2642"/>
      <c r="K1653" s="2642"/>
      <c r="L1653" s="2642"/>
      <c r="M1653" s="2642"/>
      <c r="N1653" s="2643"/>
      <c r="O1653" s="15"/>
      <c r="P1653" s="15"/>
      <c r="Q1653" s="343"/>
      <c r="R1653" s="2"/>
      <c r="S1653" s="343"/>
      <c r="T1653" s="2"/>
      <c r="U1653" s="2"/>
      <c r="V1653" s="2"/>
      <c r="W1653" s="2"/>
      <c r="X1653" s="2"/>
      <c r="Y1653" s="2"/>
      <c r="Z1653" s="2"/>
      <c r="AA1653" s="2"/>
      <c r="AB1653" s="2"/>
      <c r="AC1653" s="2"/>
      <c r="AD1653" s="2"/>
      <c r="AE1653" s="2"/>
      <c r="AF1653" s="2"/>
      <c r="AG1653" s="2"/>
      <c r="AH1653" s="2"/>
      <c r="AI1653" s="2"/>
      <c r="AJ1653" s="2"/>
      <c r="AK1653" s="2"/>
      <c r="AL1653" s="2"/>
    </row>
    <row r="1654" spans="1:38" ht="25.5" customHeight="1" x14ac:dyDescent="0.25">
      <c r="A1654" s="2"/>
      <c r="B1654" s="178"/>
      <c r="C1654" s="779"/>
      <c r="D1654" s="780"/>
      <c r="E1654" s="1140"/>
      <c r="F1654" s="2641" t="str">
        <f>Translations!$B$562</f>
        <v>Detta innefattar mätbar värme från en enhet på platsen (t.ex. en energicentral vid anläggningen eller ett mer komplext ångnätverk med flera värmeproducerande enheter) som ger värme till mer än en delanläggning. I ett sådant fall bör utsläppen inte heller tillskrivas här utan i punkt k.i nedan.</v>
      </c>
      <c r="G1654" s="2642"/>
      <c r="H1654" s="2642"/>
      <c r="I1654" s="2642"/>
      <c r="J1654" s="2642"/>
      <c r="K1654" s="2642"/>
      <c r="L1654" s="2642"/>
      <c r="M1654" s="2642"/>
      <c r="N1654" s="2643"/>
      <c r="O1654" s="15"/>
      <c r="P1654" s="15"/>
      <c r="Q1654" s="343"/>
      <c r="R1654" s="2"/>
      <c r="S1654" s="343"/>
      <c r="T1654" s="2"/>
      <c r="U1654" s="2"/>
      <c r="V1654" s="2"/>
      <c r="W1654" s="2"/>
      <c r="X1654" s="2"/>
      <c r="Y1654" s="2"/>
      <c r="Z1654" s="2"/>
      <c r="AA1654" s="2"/>
      <c r="AB1654" s="2"/>
      <c r="AC1654" s="2"/>
      <c r="AD1654" s="2"/>
      <c r="AE1654" s="2"/>
      <c r="AF1654" s="2"/>
      <c r="AG1654" s="2"/>
      <c r="AH1654" s="2"/>
      <c r="AI1654" s="2"/>
      <c r="AJ1654" s="2"/>
      <c r="AK1654" s="2"/>
      <c r="AL1654" s="2"/>
    </row>
    <row r="1655" spans="1:38" ht="25.5" customHeight="1" x14ac:dyDescent="0.25">
      <c r="A1655" s="2"/>
      <c r="B1655" s="178"/>
      <c r="C1655" s="779"/>
      <c r="D1655" s="780"/>
      <c r="E1655" s="1140" t="s">
        <v>1112</v>
      </c>
      <c r="F1655" s="2641" t="str">
        <f>Translations!$B$563</f>
        <v>Exporterad mätbar värme: inga korrigeringar bör göras här om sådan värme återvinns från processen och exporteras. Avdrag för tillhörande utsläpp görs utifrån de uppgifter som ges i punkt k.v nedan.</v>
      </c>
      <c r="G1655" s="2642"/>
      <c r="H1655" s="2642"/>
      <c r="I1655" s="2642"/>
      <c r="J1655" s="2642"/>
      <c r="K1655" s="2642"/>
      <c r="L1655" s="2642"/>
      <c r="M1655" s="2642"/>
      <c r="N1655" s="2643"/>
      <c r="O1655" s="15"/>
      <c r="P1655" s="15"/>
      <c r="Q1655" s="343"/>
      <c r="R1655" s="2"/>
      <c r="S1655" s="343"/>
      <c r="T1655" s="2"/>
      <c r="U1655" s="2"/>
      <c r="V1655" s="2"/>
      <c r="W1655" s="2"/>
      <c r="X1655" s="2"/>
      <c r="Y1655" s="2"/>
      <c r="Z1655" s="2"/>
      <c r="AA1655" s="2"/>
      <c r="AB1655" s="2"/>
      <c r="AC1655" s="2"/>
      <c r="AD1655" s="2"/>
      <c r="AE1655" s="2"/>
      <c r="AF1655" s="2"/>
      <c r="AG1655" s="2"/>
      <c r="AH1655" s="2"/>
      <c r="AI1655" s="2"/>
      <c r="AJ1655" s="2"/>
      <c r="AK1655" s="2"/>
      <c r="AL1655" s="2"/>
    </row>
    <row r="1656" spans="1:38" ht="25.5" customHeight="1" thickBot="1" x14ac:dyDescent="0.3">
      <c r="A1656" s="2"/>
      <c r="B1656" s="178"/>
      <c r="C1656" s="779"/>
      <c r="D1656" s="780"/>
      <c r="E1656" s="1140" t="s">
        <v>1112</v>
      </c>
      <c r="F1656" s="2641" t="str">
        <f>Translations!$B$564</f>
        <v>Restgaser: utsläpp från restgaser som IMPORTERAS från andra anläggningar eller delanläggningar och förbrukas i denna delanläggning bör inte tas med här utan i punkt l nedan.</v>
      </c>
      <c r="G1656" s="2642"/>
      <c r="H1656" s="2642"/>
      <c r="I1656" s="2642"/>
      <c r="J1656" s="2642"/>
      <c r="K1656" s="2642"/>
      <c r="L1656" s="2642"/>
      <c r="M1656" s="2642"/>
      <c r="N1656" s="2643"/>
      <c r="O1656" s="15"/>
      <c r="P1656" s="15"/>
      <c r="Q1656" s="343"/>
      <c r="R1656" s="2"/>
      <c r="S1656" s="343"/>
      <c r="T1656" s="2"/>
      <c r="U1656" s="2"/>
      <c r="V1656" s="2"/>
      <c r="W1656" s="2"/>
      <c r="X1656" s="2"/>
      <c r="Y1656" s="2"/>
      <c r="Z1656" s="2"/>
      <c r="AA1656" s="2"/>
      <c r="AB1656" s="2"/>
      <c r="AC1656" s="2"/>
      <c r="AD1656" s="2"/>
      <c r="AE1656" s="2"/>
      <c r="AF1656" s="2"/>
      <c r="AG1656" s="2"/>
      <c r="AH1656" s="2"/>
      <c r="AI1656" s="2"/>
      <c r="AJ1656" s="2"/>
      <c r="AK1656" s="2"/>
      <c r="AL1656" s="2"/>
    </row>
    <row r="1657" spans="1:38" ht="12.75" customHeight="1" thickBot="1" x14ac:dyDescent="0.3">
      <c r="A1657" s="2"/>
      <c r="B1657" s="178"/>
      <c r="C1657" s="779"/>
      <c r="D1657" s="373"/>
      <c r="E1657" s="2605" t="str">
        <f>Translations!$B$565</f>
        <v>Utsläpp som direkt kan tillskrivas (DirEm*)</v>
      </c>
      <c r="F1657" s="2605"/>
      <c r="G1657" s="361" t="str">
        <f>EUconst_Unit</f>
        <v>Enhet</v>
      </c>
      <c r="H1657" s="362">
        <f t="shared" ref="H1657:N1657" si="723">H$3042</f>
        <v>2019</v>
      </c>
      <c r="I1657" s="1103">
        <f t="shared" si="723"/>
        <v>2020</v>
      </c>
      <c r="J1657" s="1104">
        <f t="shared" si="723"/>
        <v>2021</v>
      </c>
      <c r="K1657" s="362">
        <f t="shared" si="723"/>
        <v>2022</v>
      </c>
      <c r="L1657" s="362">
        <f t="shared" si="723"/>
        <v>2023</v>
      </c>
      <c r="M1657" s="362">
        <f t="shared" si="723"/>
        <v>2024</v>
      </c>
      <c r="N1657" s="1141">
        <f t="shared" si="723"/>
        <v>2025</v>
      </c>
      <c r="O1657" s="15"/>
      <c r="P1657" s="15"/>
      <c r="Q1657" s="343"/>
      <c r="R1657" s="2"/>
      <c r="S1657" s="772"/>
      <c r="T1657" s="609">
        <f t="shared" ref="T1657:Z1657" si="724">H1657</f>
        <v>2019</v>
      </c>
      <c r="U1657" s="609">
        <f t="shared" si="724"/>
        <v>2020</v>
      </c>
      <c r="V1657" s="609">
        <f t="shared" si="724"/>
        <v>2021</v>
      </c>
      <c r="W1657" s="609">
        <f t="shared" si="724"/>
        <v>2022</v>
      </c>
      <c r="X1657" s="609">
        <f t="shared" si="724"/>
        <v>2023</v>
      </c>
      <c r="Y1657" s="609">
        <f t="shared" si="724"/>
        <v>2024</v>
      </c>
      <c r="Z1657" s="610">
        <f t="shared" si="724"/>
        <v>2025</v>
      </c>
      <c r="AA1657" s="2"/>
      <c r="AB1657" s="2"/>
      <c r="AC1657" s="1044">
        <f t="shared" ref="AC1657:AI1657" si="725">H$20</f>
        <v>2019</v>
      </c>
      <c r="AD1657" s="1044">
        <f t="shared" si="725"/>
        <v>2020</v>
      </c>
      <c r="AE1657" s="1044">
        <f t="shared" si="725"/>
        <v>2021</v>
      </c>
      <c r="AF1657" s="1044">
        <f t="shared" si="725"/>
        <v>2022</v>
      </c>
      <c r="AG1657" s="1044">
        <f t="shared" si="725"/>
        <v>2023</v>
      </c>
      <c r="AH1657" s="1044">
        <f t="shared" si="725"/>
        <v>2024</v>
      </c>
      <c r="AI1657" s="1044">
        <f t="shared" si="725"/>
        <v>2025</v>
      </c>
      <c r="AJ1657" s="2"/>
      <c r="AK1657" s="2"/>
      <c r="AL1657" s="2"/>
    </row>
    <row r="1658" spans="1:38" ht="12.75" customHeight="1" thickBot="1" x14ac:dyDescent="0.3">
      <c r="A1658" s="2"/>
      <c r="B1658" s="178"/>
      <c r="C1658" s="779"/>
      <c r="D1658" s="780"/>
      <c r="E1658" s="2617" t="str">
        <f>I1523</f>
        <v/>
      </c>
      <c r="F1658" s="1997"/>
      <c r="G1658" s="363" t="str">
        <f>EUconst_tCO2epa</f>
        <v>t CO2e/år</v>
      </c>
      <c r="H1658" s="582"/>
      <c r="I1658" s="1105"/>
      <c r="J1658" s="1115"/>
      <c r="K1658" s="582"/>
      <c r="L1658" s="582"/>
      <c r="M1658" s="582"/>
      <c r="N1658" s="1146"/>
      <c r="O1658" s="15"/>
      <c r="P1658" s="1362"/>
      <c r="Q1658" s="165" t="str">
        <f>EUconst_CNTR_Emissions &amp; I1523</f>
        <v>DirEmissions_</v>
      </c>
      <c r="R1658" s="2"/>
      <c r="S1658" s="773" t="str">
        <f>EUconst_CNTR_AttributedEmissions &amp; I1523</f>
        <v>AttrEmissions_</v>
      </c>
      <c r="T1658" s="111" t="str">
        <f t="shared" ref="T1658:Z1658" si="726">IF(T1531,SUM(H1658),"")</f>
        <v/>
      </c>
      <c r="U1658" s="111" t="str">
        <f t="shared" si="726"/>
        <v/>
      </c>
      <c r="V1658" s="111" t="str">
        <f t="shared" si="726"/>
        <v/>
      </c>
      <c r="W1658" s="111" t="str">
        <f t="shared" si="726"/>
        <v/>
      </c>
      <c r="X1658" s="111" t="str">
        <f t="shared" si="726"/>
        <v/>
      </c>
      <c r="Y1658" s="111" t="str">
        <f t="shared" si="726"/>
        <v/>
      </c>
      <c r="Z1658" s="112" t="str">
        <f t="shared" si="726"/>
        <v/>
      </c>
      <c r="AA1658" s="2"/>
      <c r="AB1658" s="672" t="s">
        <v>782</v>
      </c>
      <c r="AC1658" s="108" t="b">
        <f>AC1593</f>
        <v>0</v>
      </c>
      <c r="AD1658" s="108" t="b">
        <f t="shared" ref="AD1658:AI1658" si="727">AD1593</f>
        <v>0</v>
      </c>
      <c r="AE1658" s="108" t="b">
        <f t="shared" si="727"/>
        <v>0</v>
      </c>
      <c r="AF1658" s="108" t="b">
        <f t="shared" si="727"/>
        <v>0</v>
      </c>
      <c r="AG1658" s="108" t="b">
        <f t="shared" si="727"/>
        <v>0</v>
      </c>
      <c r="AH1658" s="108" t="b">
        <f t="shared" si="727"/>
        <v>0</v>
      </c>
      <c r="AI1658" s="108" t="b">
        <f t="shared" si="727"/>
        <v>0</v>
      </c>
      <c r="AJ1658" s="553" t="s">
        <v>2248</v>
      </c>
      <c r="AK1658" s="663" t="str">
        <f>IF(AND(CNTR_ExistSubInstEntries,MSconst_RequireSubAttrEmissions,COUNTIFS(AC1658:AI1658,FALSE,H1658:N1658,"")&gt;0),EUconst_Error&amp;"BM"&amp;$Q1523,"")</f>
        <v/>
      </c>
      <c r="AL1658" s="2"/>
    </row>
    <row r="1659" spans="1:38" ht="12.75" customHeight="1" x14ac:dyDescent="0.25">
      <c r="A1659" s="2"/>
      <c r="B1659" s="178"/>
      <c r="C1659" s="779"/>
      <c r="D1659" s="780"/>
      <c r="E1659" s="780"/>
      <c r="F1659" s="780"/>
      <c r="G1659" s="780"/>
      <c r="H1659" s="780"/>
      <c r="I1659" s="780"/>
      <c r="J1659" s="780"/>
      <c r="K1659" s="780"/>
      <c r="L1659" s="780"/>
      <c r="M1659" s="623"/>
      <c r="N1659" s="519"/>
      <c r="O1659" s="15"/>
      <c r="P1659" s="15"/>
      <c r="Q1659" s="343"/>
      <c r="R1659" s="2"/>
      <c r="S1659" s="343"/>
      <c r="T1659" s="2"/>
      <c r="U1659" s="2"/>
      <c r="V1659" s="2"/>
      <c r="W1659" s="2"/>
      <c r="X1659" s="2"/>
      <c r="Y1659" s="2"/>
      <c r="Z1659" s="2"/>
      <c r="AA1659" s="2"/>
      <c r="AB1659" s="2"/>
      <c r="AC1659" s="2"/>
      <c r="AD1659" s="2"/>
      <c r="AE1659" s="2"/>
      <c r="AF1659" s="2"/>
      <c r="AG1659" s="2"/>
      <c r="AH1659" s="2"/>
      <c r="AI1659" s="2"/>
      <c r="AJ1659" s="2"/>
      <c r="AK1659" s="2"/>
      <c r="AL1659" s="2"/>
    </row>
    <row r="1660" spans="1:38" ht="12.75" customHeight="1" x14ac:dyDescent="0.25">
      <c r="A1660" s="2"/>
      <c r="B1660" s="178"/>
      <c r="C1660" s="779"/>
      <c r="D1660" s="373" t="s">
        <v>303</v>
      </c>
      <c r="E1660" s="2614" t="str">
        <f>Translations!$B$566</f>
        <v>Insatsbränsle till delanläggningen och relevant emissionsfaktor</v>
      </c>
      <c r="F1660" s="1960"/>
      <c r="G1660" s="1960"/>
      <c r="H1660" s="1960"/>
      <c r="I1660" s="1960"/>
      <c r="J1660" s="1960"/>
      <c r="K1660" s="1960"/>
      <c r="L1660" s="1960"/>
      <c r="M1660" s="1960"/>
      <c r="N1660" s="2597"/>
      <c r="O1660" s="15"/>
      <c r="P1660" s="15"/>
      <c r="Q1660" s="343"/>
      <c r="R1660" s="343"/>
      <c r="S1660" s="343"/>
      <c r="T1660" s="2"/>
      <c r="U1660" s="2"/>
      <c r="V1660" s="2"/>
      <c r="W1660" s="2"/>
      <c r="X1660" s="2"/>
      <c r="Y1660" s="2"/>
      <c r="Z1660" s="2"/>
      <c r="AA1660" s="2"/>
      <c r="AB1660" s="2"/>
      <c r="AC1660" s="2"/>
      <c r="AD1660" s="2"/>
      <c r="AE1660" s="2"/>
      <c r="AF1660" s="2"/>
      <c r="AG1660" s="2"/>
      <c r="AH1660" s="2"/>
      <c r="AI1660" s="2"/>
      <c r="AJ1660" s="2"/>
      <c r="AK1660" s="2"/>
      <c r="AL1660" s="2"/>
    </row>
    <row r="1661" spans="1:38" ht="25.5" customHeight="1" x14ac:dyDescent="0.25">
      <c r="A1661" s="2"/>
      <c r="B1661" s="178"/>
      <c r="C1661" s="779"/>
      <c r="D1661" s="780"/>
      <c r="E1661" s="2639" t="str">
        <f>Translations!$B$567</f>
        <v>I enlighet med kravet i avsnitt 2.4 a i bilaga IV till FAR, var god ange den totala bränsletillförseln till delanläggningen och motsvarande viktad emissionsfaktor, med beaktande av energiinnehållet hos varje bränsle som finns med under punkt g och med tillämpning av samma systemgränser som för punkt g.</v>
      </c>
      <c r="F1661" s="2639"/>
      <c r="G1661" s="2639"/>
      <c r="H1661" s="2639"/>
      <c r="I1661" s="2639"/>
      <c r="J1661" s="2639"/>
      <c r="K1661" s="2639"/>
      <c r="L1661" s="2639"/>
      <c r="M1661" s="2639"/>
      <c r="N1661" s="2640"/>
      <c r="O1661" s="15"/>
      <c r="P1661" s="15"/>
      <c r="Q1661" s="343"/>
      <c r="R1661" s="343"/>
      <c r="S1661" s="343"/>
      <c r="T1661" s="2"/>
      <c r="U1661" s="2"/>
      <c r="V1661" s="2"/>
      <c r="W1661" s="2"/>
      <c r="X1661" s="2"/>
      <c r="Y1661" s="2"/>
      <c r="Z1661" s="2"/>
      <c r="AA1661" s="2"/>
      <c r="AB1661" s="2"/>
      <c r="AC1661" s="2"/>
      <c r="AD1661" s="2"/>
      <c r="AE1661" s="2"/>
      <c r="AF1661" s="2"/>
      <c r="AG1661" s="2"/>
      <c r="AH1661" s="2"/>
      <c r="AI1661" s="2"/>
      <c r="AJ1661" s="2"/>
      <c r="AK1661" s="2"/>
      <c r="AL1661" s="2"/>
    </row>
    <row r="1662" spans="1:38" ht="25.5" customHeight="1" x14ac:dyDescent="0.25">
      <c r="A1662" s="2"/>
      <c r="B1662" s="178"/>
      <c r="C1662" s="779"/>
      <c r="D1662" s="780"/>
      <c r="E1662" s="2639" t="str">
        <f>Translations!$B$568</f>
        <v>Med ”bränsle” avses varje bränsle-/materialmängd enligt M&amp;R-förordningen som är brännbar och för vilken ett effektivt värmevärde kan fastställas. Den viktade emissionsfaktorn motsvarar de ackumulerade bränsleutsläppen delat med det totala energiinnehållet.</v>
      </c>
      <c r="F1662" s="2639"/>
      <c r="G1662" s="2639"/>
      <c r="H1662" s="2639"/>
      <c r="I1662" s="2639"/>
      <c r="J1662" s="2639"/>
      <c r="K1662" s="2639"/>
      <c r="L1662" s="2639"/>
      <c r="M1662" s="2639"/>
      <c r="N1662" s="2640"/>
      <c r="O1662" s="15"/>
      <c r="P1662" s="15"/>
      <c r="Q1662" s="343"/>
      <c r="R1662" s="2"/>
      <c r="S1662" s="343"/>
      <c r="T1662" s="2"/>
      <c r="U1662" s="2"/>
      <c r="V1662" s="2"/>
      <c r="W1662" s="2"/>
      <c r="X1662" s="2"/>
      <c r="Y1662" s="2"/>
      <c r="Z1662" s="2"/>
      <c r="AA1662" s="2"/>
      <c r="AB1662" s="2"/>
      <c r="AC1662" s="2"/>
      <c r="AD1662" s="2"/>
      <c r="AE1662" s="2"/>
      <c r="AF1662" s="2"/>
      <c r="AG1662" s="2"/>
      <c r="AH1662" s="2"/>
      <c r="AI1662" s="2"/>
      <c r="AJ1662" s="2"/>
      <c r="AK1662" s="2"/>
      <c r="AL1662" s="2"/>
    </row>
    <row r="1663" spans="1:38" ht="12.75" customHeight="1" x14ac:dyDescent="0.25">
      <c r="A1663" s="2"/>
      <c r="B1663" s="178"/>
      <c r="C1663" s="779"/>
      <c r="D1663" s="780"/>
      <c r="E1663" s="2639" t="str">
        <f>Translations!$B$569</f>
        <v>Den viktade emissionsfaktorn bör dessutom innefatta utsläpp från motsvarande rökgasrening, i tillämpliga fall.</v>
      </c>
      <c r="F1663" s="2639"/>
      <c r="G1663" s="2639"/>
      <c r="H1663" s="2639"/>
      <c r="I1663" s="2639"/>
      <c r="J1663" s="2639"/>
      <c r="K1663" s="2639"/>
      <c r="L1663" s="2639"/>
      <c r="M1663" s="2639"/>
      <c r="N1663" s="2640"/>
      <c r="O1663" s="15"/>
      <c r="P1663" s="15"/>
      <c r="Q1663" s="343"/>
      <c r="R1663" s="2"/>
      <c r="S1663" s="343"/>
      <c r="T1663" s="2"/>
      <c r="U1663" s="2"/>
      <c r="V1663" s="2"/>
      <c r="W1663" s="2"/>
      <c r="X1663" s="2"/>
      <c r="Y1663" s="2"/>
      <c r="Z1663" s="2"/>
      <c r="AA1663" s="2"/>
      <c r="AB1663" s="2"/>
      <c r="AC1663" s="2"/>
      <c r="AD1663" s="2"/>
      <c r="AE1663" s="2"/>
      <c r="AF1663" s="2"/>
      <c r="AG1663" s="2"/>
      <c r="AH1663" s="2"/>
      <c r="AI1663" s="2"/>
      <c r="AJ1663" s="2"/>
      <c r="AK1663" s="2"/>
      <c r="AL1663" s="2"/>
    </row>
    <row r="1664" spans="1:38" ht="12.75" customHeight="1" x14ac:dyDescent="0.25">
      <c r="A1664" s="2"/>
      <c r="B1664" s="178"/>
      <c r="C1664" s="779"/>
      <c r="D1664" s="780"/>
      <c r="E1664" s="2596" t="str">
        <f>Translations!$B$570</f>
        <v>De uppgifter som anges här används bara för konsekvenskontroll och har ingen direkt inverkan på vare sig de utsläpp som kan tillskrivas eller tilldelningen.</v>
      </c>
      <c r="F1664" s="1960"/>
      <c r="G1664" s="1960"/>
      <c r="H1664" s="1960"/>
      <c r="I1664" s="1960"/>
      <c r="J1664" s="1960"/>
      <c r="K1664" s="1960"/>
      <c r="L1664" s="1960"/>
      <c r="M1664" s="1960"/>
      <c r="N1664" s="2597"/>
      <c r="O1664" s="15"/>
      <c r="P1664" s="15"/>
      <c r="Q1664" s="343"/>
      <c r="R1664" s="2"/>
      <c r="S1664" s="343"/>
      <c r="T1664" s="2"/>
      <c r="U1664" s="2"/>
      <c r="V1664" s="2"/>
      <c r="W1664" s="2"/>
      <c r="X1664" s="2"/>
      <c r="Y1664" s="2"/>
      <c r="Z1664" s="2"/>
      <c r="AA1664" s="2"/>
      <c r="AB1664" s="2"/>
      <c r="AC1664" s="2"/>
      <c r="AD1664" s="2"/>
      <c r="AE1664" s="2"/>
      <c r="AF1664" s="2"/>
      <c r="AG1664" s="2"/>
      <c r="AH1664" s="2"/>
      <c r="AI1664" s="2"/>
      <c r="AJ1664" s="2"/>
      <c r="AK1664" s="2"/>
      <c r="AL1664" s="2"/>
    </row>
    <row r="1665" spans="1:38" ht="12.75" customHeight="1" thickBot="1" x14ac:dyDescent="0.3">
      <c r="A1665" s="2"/>
      <c r="B1665" s="178"/>
      <c r="C1665" s="779"/>
      <c r="D1665" s="373"/>
      <c r="E1665" s="1716"/>
      <c r="F1665" s="1717"/>
      <c r="G1665" s="361" t="str">
        <f>EUconst_Unit</f>
        <v>Enhet</v>
      </c>
      <c r="H1665" s="362">
        <f t="shared" ref="H1665:N1665" si="728">H$3042</f>
        <v>2019</v>
      </c>
      <c r="I1665" s="1103">
        <f t="shared" si="728"/>
        <v>2020</v>
      </c>
      <c r="J1665" s="1104">
        <f t="shared" si="728"/>
        <v>2021</v>
      </c>
      <c r="K1665" s="362">
        <f t="shared" si="728"/>
        <v>2022</v>
      </c>
      <c r="L1665" s="362">
        <f t="shared" si="728"/>
        <v>2023</v>
      </c>
      <c r="M1665" s="362">
        <f t="shared" si="728"/>
        <v>2024</v>
      </c>
      <c r="N1665" s="1141">
        <f t="shared" si="728"/>
        <v>2025</v>
      </c>
      <c r="O1665" s="15"/>
      <c r="P1665" s="15"/>
      <c r="Q1665" s="343"/>
      <c r="R1665" s="2"/>
      <c r="S1665" s="343"/>
      <c r="T1665" s="2"/>
      <c r="U1665" s="2"/>
      <c r="V1665" s="2"/>
      <c r="W1665" s="2"/>
      <c r="X1665" s="2"/>
      <c r="Y1665" s="2"/>
      <c r="Z1665" s="2"/>
      <c r="AA1665" s="2"/>
      <c r="AB1665" s="2"/>
      <c r="AC1665" s="1044">
        <f t="shared" ref="AC1665:AI1665" si="729">H$20</f>
        <v>2019</v>
      </c>
      <c r="AD1665" s="1044">
        <f t="shared" si="729"/>
        <v>2020</v>
      </c>
      <c r="AE1665" s="1044">
        <f t="shared" si="729"/>
        <v>2021</v>
      </c>
      <c r="AF1665" s="1044">
        <f t="shared" si="729"/>
        <v>2022</v>
      </c>
      <c r="AG1665" s="1044">
        <f t="shared" si="729"/>
        <v>2023</v>
      </c>
      <c r="AH1665" s="1044">
        <f t="shared" si="729"/>
        <v>2024</v>
      </c>
      <c r="AI1665" s="1044">
        <f t="shared" si="729"/>
        <v>2025</v>
      </c>
      <c r="AJ1665" s="2"/>
      <c r="AK1665" s="2"/>
      <c r="AL1665" s="2"/>
    </row>
    <row r="1666" spans="1:38" ht="12.75" customHeight="1" x14ac:dyDescent="0.25">
      <c r="A1666" s="2"/>
      <c r="B1666" s="178"/>
      <c r="C1666" s="779"/>
      <c r="D1666" s="416" t="s">
        <v>8</v>
      </c>
      <c r="E1666" s="2613" t="str">
        <f>Translations!$B$571</f>
        <v>Insatsbränsle</v>
      </c>
      <c r="F1666" s="1997"/>
      <c r="G1666" s="364" t="str">
        <f>EUconst_TJpa</f>
        <v>TJ / år</v>
      </c>
      <c r="H1666" s="582"/>
      <c r="I1666" s="1105"/>
      <c r="J1666" s="1115"/>
      <c r="K1666" s="582"/>
      <c r="L1666" s="582"/>
      <c r="M1666" s="582"/>
      <c r="N1666" s="1146"/>
      <c r="O1666" s="15"/>
      <c r="P1666" s="1362"/>
      <c r="Q1666" s="165" t="str">
        <f>EUconst_CNTR_FuelInput &amp; I1523</f>
        <v>FuelInput_</v>
      </c>
      <c r="R1666" s="2"/>
      <c r="S1666" s="343"/>
      <c r="T1666" s="2"/>
      <c r="U1666" s="2"/>
      <c r="V1666" s="2"/>
      <c r="W1666" s="2"/>
      <c r="X1666" s="2"/>
      <c r="Y1666" s="2"/>
      <c r="Z1666" s="2"/>
      <c r="AA1666" s="2"/>
      <c r="AB1666" s="672" t="s">
        <v>782</v>
      </c>
      <c r="AC1666" s="108" t="b">
        <f>AC1593</f>
        <v>0</v>
      </c>
      <c r="AD1666" s="108" t="b">
        <f t="shared" ref="AD1666:AI1666" si="730">AD1593</f>
        <v>0</v>
      </c>
      <c r="AE1666" s="108" t="b">
        <f t="shared" si="730"/>
        <v>0</v>
      </c>
      <c r="AF1666" s="108" t="b">
        <f t="shared" si="730"/>
        <v>0</v>
      </c>
      <c r="AG1666" s="108" t="b">
        <f t="shared" si="730"/>
        <v>0</v>
      </c>
      <c r="AH1666" s="108" t="b">
        <f t="shared" si="730"/>
        <v>0</v>
      </c>
      <c r="AI1666" s="108" t="b">
        <f t="shared" si="730"/>
        <v>0</v>
      </c>
      <c r="AJ1666" s="553" t="s">
        <v>2248</v>
      </c>
      <c r="AK1666" s="663" t="str">
        <f>IF(AND(CNTR_ExistSubInstEntries,MSconst_RequireSubAttrEmissions,COUNTIFS(AC1666:AI1666,FALSE,H1666:N1666,"")&gt;0),EUconst_Error&amp;"BM"&amp;$Q1523,"")</f>
        <v/>
      </c>
      <c r="AL1666" s="2"/>
    </row>
    <row r="1667" spans="1:38" ht="12.75" customHeight="1" x14ac:dyDescent="0.25">
      <c r="A1667" s="2"/>
      <c r="B1667" s="178"/>
      <c r="C1667" s="779"/>
      <c r="D1667" s="416" t="s">
        <v>9</v>
      </c>
      <c r="E1667" s="2613" t="str">
        <f>Translations!$B$572</f>
        <v>Viktad emissionsfaktor</v>
      </c>
      <c r="F1667" s="1997"/>
      <c r="G1667" s="449" t="str">
        <f>EUconst_tCO2pTJ</f>
        <v>t CO2 / TJ</v>
      </c>
      <c r="H1667" s="747"/>
      <c r="I1667" s="1295"/>
      <c r="J1667" s="1296"/>
      <c r="K1667" s="747"/>
      <c r="L1667" s="747"/>
      <c r="M1667" s="747"/>
      <c r="N1667" s="1297"/>
      <c r="O1667" s="15"/>
      <c r="P1667" s="1362"/>
      <c r="Q1667" s="165" t="str">
        <f>EUconst_CNTR_FuelEF &amp; I1523</f>
        <v>FuelEF_</v>
      </c>
      <c r="R1667" s="2"/>
      <c r="S1667" s="343"/>
      <c r="T1667" s="2"/>
      <c r="U1667" s="2"/>
      <c r="V1667" s="2"/>
      <c r="W1667" s="2"/>
      <c r="X1667" s="2"/>
      <c r="Y1667" s="2"/>
      <c r="Z1667" s="2"/>
      <c r="AA1667" s="2"/>
      <c r="AB1667" s="2"/>
      <c r="AC1667" s="108" t="b">
        <f>AC1666</f>
        <v>0</v>
      </c>
      <c r="AD1667" s="108" t="b">
        <f t="shared" ref="AD1667:AI1667" si="731">AD1666</f>
        <v>0</v>
      </c>
      <c r="AE1667" s="108" t="b">
        <f t="shared" si="731"/>
        <v>0</v>
      </c>
      <c r="AF1667" s="108" t="b">
        <f t="shared" si="731"/>
        <v>0</v>
      </c>
      <c r="AG1667" s="108" t="b">
        <f t="shared" si="731"/>
        <v>0</v>
      </c>
      <c r="AH1667" s="108" t="b">
        <f t="shared" si="731"/>
        <v>0</v>
      </c>
      <c r="AI1667" s="108" t="b">
        <f t="shared" si="731"/>
        <v>0</v>
      </c>
      <c r="AJ1667" s="553" t="s">
        <v>2248</v>
      </c>
      <c r="AK1667" s="663" t="str">
        <f>IF(AND(CNTR_ExistSubInstEntries,MSconst_RequireSubAttrEmissions,COUNTIFS(AC1667:AI1667,FALSE,H1667:N1667,"")&gt;0),EUconst_Error&amp;"BM"&amp;$Q1523,"")</f>
        <v/>
      </c>
      <c r="AL1667" s="2"/>
    </row>
    <row r="1668" spans="1:38" ht="12.75" customHeight="1" x14ac:dyDescent="0.25">
      <c r="A1668" s="2"/>
      <c r="B1668" s="178"/>
      <c r="C1668" s="779"/>
      <c r="D1668" s="780"/>
      <c r="E1668" s="780"/>
      <c r="F1668" s="780"/>
      <c r="G1668" s="780"/>
      <c r="H1668" s="780"/>
      <c r="I1668" s="780"/>
      <c r="J1668" s="780"/>
      <c r="K1668" s="780"/>
      <c r="L1668" s="780"/>
      <c r="M1668" s="623"/>
      <c r="N1668" s="519"/>
      <c r="O1668" s="15"/>
      <c r="P1668" s="15"/>
      <c r="Q1668" s="343"/>
      <c r="R1668" s="2"/>
      <c r="S1668" s="343"/>
      <c r="T1668" s="2"/>
      <c r="U1668" s="2"/>
      <c r="V1668" s="2"/>
      <c r="W1668" s="2"/>
      <c r="X1668" s="2"/>
      <c r="Y1668" s="2"/>
      <c r="Z1668" s="2"/>
      <c r="AA1668" s="2"/>
      <c r="AB1668" s="2"/>
      <c r="AC1668" s="2"/>
      <c r="AD1668" s="2"/>
      <c r="AE1668" s="2"/>
      <c r="AF1668" s="2"/>
      <c r="AG1668" s="2"/>
      <c r="AH1668" s="2"/>
      <c r="AI1668" s="2"/>
      <c r="AJ1668" s="2"/>
      <c r="AK1668" s="2"/>
      <c r="AL1668" s="2"/>
    </row>
    <row r="1669" spans="1:38" ht="12.75" customHeight="1" x14ac:dyDescent="0.25">
      <c r="A1669" s="2"/>
      <c r="B1669" s="178"/>
      <c r="C1669" s="779"/>
      <c r="D1669" s="373" t="s">
        <v>305</v>
      </c>
      <c r="E1669" s="2614" t="str">
        <f>Translations!$B$573</f>
        <v>Andra interna bränsle-/materialmängder som importeras till eller exporteras från delanläggningen</v>
      </c>
      <c r="F1669" s="1960"/>
      <c r="G1669" s="1960"/>
      <c r="H1669" s="1960"/>
      <c r="I1669" s="1960"/>
      <c r="J1669" s="1960"/>
      <c r="K1669" s="1960"/>
      <c r="L1669" s="1960"/>
      <c r="M1669" s="1960"/>
      <c r="N1669" s="2597"/>
      <c r="O1669" s="15"/>
      <c r="P1669" s="15"/>
      <c r="Q1669" s="343"/>
      <c r="R1669" s="343"/>
      <c r="S1669" s="343"/>
      <c r="T1669" s="2"/>
      <c r="U1669" s="2"/>
      <c r="V1669" s="2"/>
      <c r="W1669" s="2"/>
      <c r="X1669" s="2"/>
      <c r="Y1669" s="2"/>
      <c r="Z1669" s="2"/>
      <c r="AA1669" s="2"/>
      <c r="AB1669" s="2"/>
      <c r="AC1669" s="2"/>
      <c r="AD1669" s="2"/>
      <c r="AE1669" s="2"/>
      <c r="AF1669" s="2"/>
      <c r="AG1669" s="2"/>
      <c r="AH1669" s="2"/>
      <c r="AI1669" s="2"/>
      <c r="AJ1669" s="2"/>
      <c r="AK1669" s="2"/>
      <c r="AL1669" s="2"/>
    </row>
    <row r="1670" spans="1:38" ht="12.75" customHeight="1" x14ac:dyDescent="0.25">
      <c r="A1670" s="2"/>
      <c r="B1670" s="178"/>
      <c r="C1670" s="779"/>
      <c r="D1670" s="416"/>
      <c r="E1670" s="2596" t="str">
        <f>Translations!$B$556</f>
        <v>De uppgifter som anges här påverkar de utsläpp som kan tillskrivas i enlighet med avsnitt 10.1.1 i bilaga VII till FAR.</v>
      </c>
      <c r="F1670" s="1960"/>
      <c r="G1670" s="1960"/>
      <c r="H1670" s="1960"/>
      <c r="I1670" s="1960"/>
      <c r="J1670" s="1960"/>
      <c r="K1670" s="1960"/>
      <c r="L1670" s="1960"/>
      <c r="M1670" s="1960"/>
      <c r="N1670" s="2597"/>
      <c r="O1670" s="15"/>
      <c r="P1670" s="15"/>
      <c r="Q1670" s="343"/>
      <c r="R1670" s="2"/>
      <c r="S1670" s="343"/>
      <c r="T1670" s="343"/>
      <c r="U1670" s="343"/>
      <c r="V1670" s="343"/>
      <c r="W1670" s="2"/>
      <c r="X1670" s="2"/>
      <c r="Y1670" s="2"/>
      <c r="Z1670" s="2"/>
      <c r="AA1670" s="2"/>
      <c r="AB1670" s="2"/>
      <c r="AC1670" s="2"/>
      <c r="AD1670" s="2"/>
      <c r="AE1670" s="2"/>
      <c r="AF1670" s="2"/>
      <c r="AG1670" s="2"/>
      <c r="AH1670" s="2"/>
      <c r="AI1670" s="2"/>
      <c r="AJ1670" s="2"/>
      <c r="AK1670" s="2"/>
      <c r="AL1670" s="2"/>
    </row>
    <row r="1671" spans="1:38" ht="25.5" customHeight="1" x14ac:dyDescent="0.25">
      <c r="A1671" s="2"/>
      <c r="B1671" s="178"/>
      <c r="C1671" s="779"/>
      <c r="D1671" s="780"/>
      <c r="E1671" s="2596" t="str">
        <f>Translations!$B$574</f>
        <v>Det bör noteras att alla bränsle-/materialmängder endast bör anges här om de inte redan omfattas av de direkta utsläppen i punkt g ovan, i syfte att undvika eventuella dataluckor eller eventuell dubbelräkning. Utsläpp i samband med restgaser bör INTE anges här utan i punkt l nedan.</v>
      </c>
      <c r="F1671" s="1960"/>
      <c r="G1671" s="1960"/>
      <c r="H1671" s="1960"/>
      <c r="I1671" s="1960"/>
      <c r="J1671" s="1960"/>
      <c r="K1671" s="1960"/>
      <c r="L1671" s="1960"/>
      <c r="M1671" s="1960"/>
      <c r="N1671" s="2597"/>
      <c r="O1671" s="15"/>
      <c r="P1671" s="15"/>
      <c r="Q1671" s="343"/>
      <c r="R1671" s="343"/>
      <c r="S1671" s="343"/>
      <c r="T1671" s="2"/>
      <c r="U1671" s="2"/>
      <c r="V1671" s="2"/>
      <c r="W1671" s="2"/>
      <c r="X1671" s="2"/>
      <c r="Y1671" s="2"/>
      <c r="Z1671" s="2"/>
      <c r="AA1671" s="2"/>
      <c r="AB1671" s="2"/>
      <c r="AC1671" s="2"/>
      <c r="AD1671" s="2"/>
      <c r="AE1671" s="2"/>
      <c r="AF1671" s="2"/>
      <c r="AG1671" s="2"/>
      <c r="AH1671" s="2"/>
      <c r="AI1671" s="2"/>
      <c r="AJ1671" s="2"/>
      <c r="AK1671" s="2"/>
      <c r="AL1671" s="2"/>
    </row>
    <row r="1672" spans="1:38" ht="12.75" customHeight="1" x14ac:dyDescent="0.25">
      <c r="A1672" s="2"/>
      <c r="B1672" s="178"/>
      <c r="C1672" s="779"/>
      <c r="D1672" s="780"/>
      <c r="E1672" s="2610" t="str">
        <f>Translations!$B$575</f>
        <v>Var god ange information om de så kallade interna bränsle-/materialmängderna som överförs mellan delanläggningar, dvs. importeras till eller exporteras från delanläggningen.</v>
      </c>
      <c r="F1672" s="1960"/>
      <c r="G1672" s="1960"/>
      <c r="H1672" s="1960"/>
      <c r="I1672" s="1960"/>
      <c r="J1672" s="1960"/>
      <c r="K1672" s="1960"/>
      <c r="L1672" s="1960"/>
      <c r="M1672" s="1960"/>
      <c r="N1672" s="2597"/>
      <c r="O1672" s="15"/>
      <c r="P1672" s="15"/>
      <c r="Q1672" s="343"/>
      <c r="R1672" s="343"/>
      <c r="S1672" s="343"/>
      <c r="T1672" s="2"/>
      <c r="U1672" s="2"/>
      <c r="V1672" s="2"/>
      <c r="W1672" s="2"/>
      <c r="X1672" s="2"/>
      <c r="Y1672" s="2"/>
      <c r="Z1672" s="2"/>
      <c r="AA1672" s="2"/>
      <c r="AB1672" s="2"/>
      <c r="AC1672" s="2"/>
      <c r="AD1672" s="2"/>
      <c r="AE1672" s="2"/>
      <c r="AF1672" s="2"/>
      <c r="AG1672" s="2"/>
      <c r="AH1672" s="2"/>
      <c r="AI1672" s="2"/>
      <c r="AJ1672" s="2"/>
      <c r="AK1672" s="2"/>
      <c r="AL1672" s="2"/>
    </row>
    <row r="1673" spans="1:38" ht="38.9" customHeight="1" x14ac:dyDescent="0.25">
      <c r="A1673" s="2"/>
      <c r="B1673" s="178"/>
      <c r="C1673" s="779"/>
      <c r="D1673" s="780"/>
      <c r="E1673" s="2610" t="str">
        <f>Translations!$B$576</f>
        <v>Om det rör sig om en koksdelanläggning vid en integrerad järn- och stålanläggning förekommer utsläppen i samband med förbrukningen av koks i masugnen och bör därför inte tillskrivas delanläggningen (dvs. koksdelanläggningen). En del av utsläppen ska dock tas med i punkt g ovan, eftersom det kol som förs in i koksugnen kommer att vara en av de bränsle-/materialmängder som tillskrivs i ett första steg.</v>
      </c>
      <c r="F1673" s="1960"/>
      <c r="G1673" s="1960"/>
      <c r="H1673" s="1960"/>
      <c r="I1673" s="1960"/>
      <c r="J1673" s="1960"/>
      <c r="K1673" s="1960"/>
      <c r="L1673" s="1960"/>
      <c r="M1673" s="1960"/>
      <c r="N1673" s="2597"/>
      <c r="O1673" s="15"/>
      <c r="P1673" s="15"/>
      <c r="Q1673" s="343"/>
      <c r="R1673" s="2"/>
      <c r="S1673" s="343"/>
      <c r="T1673" s="2"/>
      <c r="U1673" s="2"/>
      <c r="V1673" s="2"/>
      <c r="W1673" s="2"/>
      <c r="X1673" s="2"/>
      <c r="Y1673" s="2"/>
      <c r="Z1673" s="2"/>
      <c r="AA1673" s="2"/>
      <c r="AB1673" s="2"/>
      <c r="AC1673" s="2"/>
      <c r="AD1673" s="2"/>
      <c r="AE1673" s="2"/>
      <c r="AF1673" s="2"/>
      <c r="AG1673" s="2"/>
      <c r="AH1673" s="2"/>
      <c r="AI1673" s="2"/>
      <c r="AJ1673" s="2"/>
      <c r="AK1673" s="2"/>
      <c r="AL1673" s="2"/>
    </row>
    <row r="1674" spans="1:38" ht="51" customHeight="1" x14ac:dyDescent="0.25">
      <c r="A1674" s="2"/>
      <c r="B1674" s="178"/>
      <c r="C1674" s="779"/>
      <c r="D1674" s="780"/>
      <c r="E1674" s="2610" t="str">
        <f>Translations!$B$577</f>
        <v>För att undvika dubbelräkning måste korrigering göras för den koks som lämnar koksdelanläggningen som utgående ”intern bränsle-/materialmängd”. Detta görs genom ett negativt värde på mängden koks i händelse av ”export”. För att få en komplett balans i utsläppen från den kol som kommer in till koksdelanläggningen omfattas utsläppen i samband med användningen av koksugnsgas (= en restgas) redan av punkt g ovan (eftersom de ingår i kolutsläppen) i den mån som gasen används inom delanläggningen. Korrigeringar för att beakta exporterade mängder av restgasen bör inte göras här utan i punkt l.xx nedan.</v>
      </c>
      <c r="F1674" s="1960"/>
      <c r="G1674" s="1960"/>
      <c r="H1674" s="1960"/>
      <c r="I1674" s="1960"/>
      <c r="J1674" s="1960"/>
      <c r="K1674" s="1960"/>
      <c r="L1674" s="1960"/>
      <c r="M1674" s="1960"/>
      <c r="N1674" s="2597"/>
      <c r="O1674" s="15"/>
      <c r="P1674" s="15"/>
      <c r="Q1674" s="343"/>
      <c r="R1674" s="2"/>
      <c r="S1674" s="343"/>
      <c r="T1674" s="2"/>
      <c r="U1674" s="2"/>
      <c r="V1674" s="2"/>
      <c r="W1674" s="2"/>
      <c r="X1674" s="2"/>
      <c r="Y1674" s="2"/>
      <c r="Z1674" s="2"/>
      <c r="AA1674" s="2"/>
      <c r="AB1674" s="2"/>
      <c r="AC1674" s="2"/>
      <c r="AD1674" s="2"/>
      <c r="AE1674" s="2"/>
      <c r="AF1674" s="2"/>
      <c r="AG1674" s="2"/>
      <c r="AH1674" s="2"/>
      <c r="AI1674" s="2"/>
      <c r="AJ1674" s="2"/>
      <c r="AK1674" s="2"/>
      <c r="AL1674" s="2"/>
    </row>
    <row r="1675" spans="1:38" ht="25.5" customHeight="1" x14ac:dyDescent="0.25">
      <c r="A1675" s="2"/>
      <c r="B1675" s="178"/>
      <c r="C1675" s="779"/>
      <c r="D1675" s="780"/>
      <c r="E1675" s="2610" t="str">
        <f>Translations!$B$578</f>
        <v>Omvänt innebär detta att om det rör sig om en delanläggning med råjärnsriktmärke vid en integrerad järn- och stålanläggning måste koksen anges här som en ingående/importerad ”intern” bränsle/materialmängd med positiva siffror.</v>
      </c>
      <c r="F1675" s="1960"/>
      <c r="G1675" s="1960"/>
      <c r="H1675" s="1960"/>
      <c r="I1675" s="1960"/>
      <c r="J1675" s="1960"/>
      <c r="K1675" s="1960"/>
      <c r="L1675" s="1960"/>
      <c r="M1675" s="1960"/>
      <c r="N1675" s="2597"/>
      <c r="O1675" s="15"/>
      <c r="P1675" s="15"/>
      <c r="Q1675" s="343"/>
      <c r="R1675" s="2"/>
      <c r="S1675" s="343"/>
      <c r="T1675" s="2"/>
      <c r="U1675" s="2"/>
      <c r="V1675" s="2"/>
      <c r="W1675" s="2"/>
      <c r="X1675" s="2"/>
      <c r="Y1675" s="2"/>
      <c r="Z1675" s="2"/>
      <c r="AA1675" s="2"/>
      <c r="AB1675" s="2"/>
      <c r="AC1675" s="2"/>
      <c r="AD1675" s="2"/>
      <c r="AE1675" s="2"/>
      <c r="AF1675" s="2"/>
      <c r="AG1675" s="2"/>
      <c r="AH1675" s="2"/>
      <c r="AI1675" s="2"/>
      <c r="AJ1675" s="2"/>
      <c r="AK1675" s="2"/>
      <c r="AL1675" s="2"/>
    </row>
    <row r="1676" spans="1:38" ht="12.75" customHeight="1" x14ac:dyDescent="0.25">
      <c r="A1676" s="2"/>
      <c r="B1676" s="178"/>
      <c r="C1676" s="779"/>
      <c r="D1676" s="416" t="s">
        <v>8</v>
      </c>
      <c r="E1676" s="2598" t="str">
        <f>Translations!$B$579</f>
        <v>Är andra importerade eller exporterade interna bränsle-/materialmängder relevanta för delanläggningen?</v>
      </c>
      <c r="F1676" s="1960"/>
      <c r="G1676" s="1960"/>
      <c r="H1676" s="1960"/>
      <c r="I1676" s="1960"/>
      <c r="J1676" s="1960"/>
      <c r="K1676" s="2520"/>
      <c r="L1676" s="749"/>
      <c r="M1676" s="1806"/>
      <c r="N1676" s="1807"/>
      <c r="O1676" s="15"/>
      <c r="P1676" s="1362"/>
      <c r="Q1676" s="343"/>
      <c r="R1676" s="2"/>
      <c r="S1676" s="343"/>
      <c r="T1676" s="2"/>
      <c r="U1676" s="2"/>
      <c r="V1676" s="2"/>
      <c r="W1676" s="2"/>
      <c r="X1676" s="2"/>
      <c r="Y1676" s="2"/>
      <c r="Z1676" s="2"/>
      <c r="AA1676" s="2"/>
      <c r="AB1676" s="2"/>
      <c r="AC1676" s="2"/>
      <c r="AD1676" s="2"/>
      <c r="AE1676" s="2"/>
      <c r="AF1676" s="672" t="s">
        <v>782</v>
      </c>
      <c r="AG1676" s="1196" t="b">
        <f>AND(CNTR_ExistSubInstEntries,I1523="")</f>
        <v>0</v>
      </c>
      <c r="AH1676" s="2"/>
      <c r="AI1676" s="2"/>
      <c r="AJ1676" s="2"/>
      <c r="AK1676" s="2"/>
      <c r="AL1676" s="2"/>
    </row>
    <row r="1677" spans="1:38" ht="12.75" customHeight="1" x14ac:dyDescent="0.25">
      <c r="A1677" s="2"/>
      <c r="B1677" s="178"/>
      <c r="C1677" s="779"/>
      <c r="D1677" s="780"/>
      <c r="E1677" s="2610" t="str">
        <f>Translations!$B$580</f>
        <v>Om det finns mer än två importerade eller exporterade bränsle-/materialmängder bör de olika bränsle-/materialmängderna slås samman och namnen på var och en av dessa anges.</v>
      </c>
      <c r="F1677" s="1960"/>
      <c r="G1677" s="1960"/>
      <c r="H1677" s="1960"/>
      <c r="I1677" s="1960"/>
      <c r="J1677" s="1960"/>
      <c r="K1677" s="1960"/>
      <c r="L1677" s="1960"/>
      <c r="M1677" s="1960"/>
      <c r="N1677" s="2597"/>
      <c r="O1677" s="15"/>
      <c r="P1677" s="15"/>
      <c r="Q1677" s="343"/>
      <c r="R1677" s="2"/>
      <c r="S1677" s="343"/>
      <c r="T1677" s="2"/>
      <c r="U1677" s="2"/>
      <c r="V1677" s="2"/>
      <c r="W1677" s="2"/>
      <c r="X1677" s="2"/>
      <c r="Y1677" s="2"/>
      <c r="Z1677" s="2"/>
      <c r="AA1677" s="2"/>
      <c r="AB1677" s="2"/>
      <c r="AC1677" s="2"/>
      <c r="AD1677" s="2"/>
      <c r="AE1677" s="2"/>
      <c r="AF1677" s="2"/>
      <c r="AG1677" s="2"/>
      <c r="AH1677" s="2"/>
      <c r="AI1677" s="2"/>
      <c r="AJ1677" s="2"/>
      <c r="AK1677" s="2"/>
      <c r="AL1677" s="2"/>
    </row>
    <row r="1678" spans="1:38" ht="12.75" customHeight="1" x14ac:dyDescent="0.25">
      <c r="A1678" s="2"/>
      <c r="B1678" s="178"/>
      <c r="C1678" s="779"/>
      <c r="D1678" s="416" t="s">
        <v>9</v>
      </c>
      <c r="E1678" s="2614" t="str">
        <f>Translations!$B$581</f>
        <v>Namn på andra bränsle-/materialmängder – 1:</v>
      </c>
      <c r="F1678" s="1960"/>
      <c r="G1678" s="1960"/>
      <c r="H1678" s="2520"/>
      <c r="I1678" s="2621"/>
      <c r="J1678" s="2631"/>
      <c r="K1678" s="2631"/>
      <c r="L1678" s="2631"/>
      <c r="M1678" s="2632"/>
      <c r="N1678" s="518"/>
      <c r="O1678" s="15"/>
      <c r="P1678" s="1362"/>
      <c r="Q1678" s="343"/>
      <c r="R1678" s="2"/>
      <c r="S1678" s="343"/>
      <c r="T1678" s="2"/>
      <c r="U1678" s="2"/>
      <c r="V1678" s="2"/>
      <c r="W1678" s="2"/>
      <c r="X1678" s="2"/>
      <c r="Y1678" s="2"/>
      <c r="Z1678" s="2"/>
      <c r="AA1678" s="2"/>
      <c r="AB1678" s="2"/>
      <c r="AC1678" s="672" t="s">
        <v>782</v>
      </c>
      <c r="AD1678" s="1196" t="b">
        <f>OR(AG1676,AND($L1676&lt;&gt;"",$L1676=FALSE))</f>
        <v>0</v>
      </c>
      <c r="AE1678" s="2"/>
      <c r="AF1678" s="2"/>
      <c r="AG1678" s="2"/>
      <c r="AH1678" s="2"/>
      <c r="AI1678" s="2"/>
      <c r="AJ1678" s="2"/>
      <c r="AK1678" s="2"/>
      <c r="AL1678" s="2"/>
    </row>
    <row r="1679" spans="1:38" ht="5.15" customHeight="1" x14ac:dyDescent="0.25">
      <c r="A1679" s="2"/>
      <c r="B1679" s="178"/>
      <c r="C1679" s="779"/>
      <c r="D1679" s="780"/>
      <c r="E1679" s="1804"/>
      <c r="F1679" s="1806"/>
      <c r="G1679" s="1806"/>
      <c r="H1679" s="1806"/>
      <c r="I1679" s="1806"/>
      <c r="J1679" s="1806"/>
      <c r="K1679" s="1806"/>
      <c r="L1679" s="1806"/>
      <c r="M1679" s="1806"/>
      <c r="N1679" s="1807"/>
      <c r="O1679" s="15"/>
      <c r="P1679" s="15"/>
      <c r="Q1679" s="343"/>
      <c r="R1679" s="2"/>
      <c r="S1679" s="343"/>
      <c r="T1679" s="2"/>
      <c r="U1679" s="2"/>
      <c r="V1679" s="2"/>
      <c r="W1679" s="2"/>
      <c r="X1679" s="2"/>
      <c r="Y1679" s="2"/>
      <c r="Z1679" s="2"/>
      <c r="AA1679" s="2"/>
      <c r="AB1679" s="2"/>
      <c r="AC1679" s="2"/>
      <c r="AD1679" s="2"/>
      <c r="AE1679" s="2"/>
      <c r="AF1679" s="2"/>
      <c r="AG1679" s="2"/>
      <c r="AH1679" s="2"/>
      <c r="AI1679" s="2"/>
      <c r="AJ1679" s="2"/>
      <c r="AK1679" s="2"/>
      <c r="AL1679" s="2"/>
    </row>
    <row r="1680" spans="1:38" ht="12.75" customHeight="1" thickBot="1" x14ac:dyDescent="0.3">
      <c r="A1680" s="2"/>
      <c r="B1680" s="178"/>
      <c r="C1680" s="779"/>
      <c r="D1680" s="780"/>
      <c r="E1680" s="2605" t="str">
        <f>Translations!$B$582</f>
        <v>Andra bränsle-/materialmängder – 1</v>
      </c>
      <c r="F1680" s="2497"/>
      <c r="G1680" s="361" t="str">
        <f>EUconst_Unit</f>
        <v>Enhet</v>
      </c>
      <c r="H1680" s="362">
        <f t="shared" ref="H1680:N1680" si="732">H$3042</f>
        <v>2019</v>
      </c>
      <c r="I1680" s="1103">
        <f t="shared" si="732"/>
        <v>2020</v>
      </c>
      <c r="J1680" s="1104">
        <f t="shared" si="732"/>
        <v>2021</v>
      </c>
      <c r="K1680" s="362">
        <f t="shared" si="732"/>
        <v>2022</v>
      </c>
      <c r="L1680" s="362">
        <f t="shared" si="732"/>
        <v>2023</v>
      </c>
      <c r="M1680" s="362">
        <f t="shared" si="732"/>
        <v>2024</v>
      </c>
      <c r="N1680" s="1141">
        <f t="shared" si="732"/>
        <v>2025</v>
      </c>
      <c r="O1680" s="15"/>
      <c r="P1680" s="15"/>
      <c r="Q1680" s="343"/>
      <c r="R1680" s="2"/>
      <c r="S1680" s="343"/>
      <c r="T1680" s="2"/>
      <c r="U1680" s="2"/>
      <c r="V1680" s="2"/>
      <c r="W1680" s="2"/>
      <c r="X1680" s="2"/>
      <c r="Y1680" s="2"/>
      <c r="Z1680" s="2"/>
      <c r="AA1680" s="2"/>
      <c r="AB1680" s="2"/>
      <c r="AC1680" s="1044">
        <f t="shared" ref="AC1680:AI1680" si="733">H$20</f>
        <v>2019</v>
      </c>
      <c r="AD1680" s="1044">
        <f t="shared" si="733"/>
        <v>2020</v>
      </c>
      <c r="AE1680" s="1044">
        <f t="shared" si="733"/>
        <v>2021</v>
      </c>
      <c r="AF1680" s="1044">
        <f t="shared" si="733"/>
        <v>2022</v>
      </c>
      <c r="AG1680" s="1044">
        <f t="shared" si="733"/>
        <v>2023</v>
      </c>
      <c r="AH1680" s="1044">
        <f t="shared" si="733"/>
        <v>2024</v>
      </c>
      <c r="AI1680" s="1044">
        <f t="shared" si="733"/>
        <v>2025</v>
      </c>
      <c r="AJ1680" s="2"/>
      <c r="AK1680" s="2"/>
      <c r="AL1680" s="2"/>
    </row>
    <row r="1681" spans="1:38" ht="12.75" customHeight="1" x14ac:dyDescent="0.25">
      <c r="A1681" s="2"/>
      <c r="B1681" s="178"/>
      <c r="C1681" s="779"/>
      <c r="D1681" s="416" t="s">
        <v>10</v>
      </c>
      <c r="E1681" s="2611" t="str">
        <f>Translations!$B$583</f>
        <v>Importerad eller exporterad mängd</v>
      </c>
      <c r="F1681" s="2484"/>
      <c r="G1681" s="365" t="str">
        <f>EUconst_tpa</f>
        <v>t / år</v>
      </c>
      <c r="H1681" s="1298"/>
      <c r="I1681" s="1299"/>
      <c r="J1681" s="1300"/>
      <c r="K1681" s="1298"/>
      <c r="L1681" s="1298"/>
      <c r="M1681" s="1298"/>
      <c r="N1681" s="1301"/>
      <c r="O1681" s="15"/>
      <c r="P1681" s="1362"/>
      <c r="Q1681" s="343"/>
      <c r="R1681" s="2"/>
      <c r="S1681" s="343"/>
      <c r="T1681" s="2"/>
      <c r="U1681" s="2"/>
      <c r="V1681" s="2"/>
      <c r="W1681" s="2"/>
      <c r="X1681" s="2"/>
      <c r="Y1681" s="2"/>
      <c r="Z1681" s="2"/>
      <c r="AA1681" s="2"/>
      <c r="AB1681" s="672" t="s">
        <v>782</v>
      </c>
      <c r="AC1681" s="1196" t="b">
        <f>OR(AND($L1676&lt;&gt;"",$L1676=FALSE),AC1593)</f>
        <v>0</v>
      </c>
      <c r="AD1681" s="108" t="b">
        <f t="shared" ref="AD1681:AI1681" si="734">OR(AND($L1676&lt;&gt;"",$L1676=FALSE),AD1593)</f>
        <v>0</v>
      </c>
      <c r="AE1681" s="108" t="b">
        <f t="shared" si="734"/>
        <v>0</v>
      </c>
      <c r="AF1681" s="108" t="b">
        <f t="shared" si="734"/>
        <v>0</v>
      </c>
      <c r="AG1681" s="108" t="b">
        <f t="shared" si="734"/>
        <v>0</v>
      </c>
      <c r="AH1681" s="108" t="b">
        <f t="shared" si="734"/>
        <v>0</v>
      </c>
      <c r="AI1681" s="108" t="b">
        <f t="shared" si="734"/>
        <v>0</v>
      </c>
      <c r="AJ1681" s="553" t="s">
        <v>2248</v>
      </c>
      <c r="AK1681" s="663" t="str">
        <f>IF(AND(CNTR_ExistSubInstEntries,MSconst_RequireSubAttrEmissions,COUNTIFS(AC1681:AI1681,FALSE,H1681:N1681,"")&gt;0),EUconst_Error&amp;"BM"&amp;$Q1523,"")</f>
        <v/>
      </c>
      <c r="AL1681" s="2"/>
    </row>
    <row r="1682" spans="1:38" ht="12.75" customHeight="1" x14ac:dyDescent="0.25">
      <c r="A1682" s="2"/>
      <c r="B1682" s="178"/>
      <c r="C1682" s="779"/>
      <c r="D1682" s="416" t="s">
        <v>23</v>
      </c>
      <c r="E1682" s="2625" t="str">
        <f>Translations!$B$584</f>
        <v>Effektivt värmevärde, i tillämpliga fall</v>
      </c>
      <c r="F1682" s="2476"/>
      <c r="G1682" s="424" t="str">
        <f>EUconst_GJpt</f>
        <v>GJ / t</v>
      </c>
      <c r="H1682" s="1302"/>
      <c r="I1682" s="1303"/>
      <c r="J1682" s="1304"/>
      <c r="K1682" s="1302"/>
      <c r="L1682" s="1302"/>
      <c r="M1682" s="1302"/>
      <c r="N1682" s="1305"/>
      <c r="O1682" s="15"/>
      <c r="P1682" s="1362"/>
      <c r="Q1682" s="343"/>
      <c r="R1682" s="2"/>
      <c r="S1682" s="343"/>
      <c r="T1682" s="2"/>
      <c r="U1682" s="2"/>
      <c r="V1682" s="2"/>
      <c r="W1682" s="2"/>
      <c r="X1682" s="2"/>
      <c r="Y1682" s="2"/>
      <c r="Z1682" s="2"/>
      <c r="AA1682" s="2"/>
      <c r="AB1682" s="2"/>
      <c r="AC1682" s="108" t="b">
        <f t="shared" ref="AC1682:AI1682" si="735">AC1681</f>
        <v>0</v>
      </c>
      <c r="AD1682" s="108" t="b">
        <f t="shared" si="735"/>
        <v>0</v>
      </c>
      <c r="AE1682" s="108" t="b">
        <f t="shared" si="735"/>
        <v>0</v>
      </c>
      <c r="AF1682" s="108" t="b">
        <f t="shared" si="735"/>
        <v>0</v>
      </c>
      <c r="AG1682" s="108" t="b">
        <f t="shared" si="735"/>
        <v>0</v>
      </c>
      <c r="AH1682" s="108" t="b">
        <f t="shared" si="735"/>
        <v>0</v>
      </c>
      <c r="AI1682" s="108" t="b">
        <f t="shared" si="735"/>
        <v>0</v>
      </c>
      <c r="AJ1682" s="553" t="s">
        <v>2248</v>
      </c>
      <c r="AK1682" s="663" t="str">
        <f>IF(AND(CNTR_ExistSubInstEntries,MSconst_RequireSubAttrEmissions,COUNTIFS(AC1682:AI1682,FALSE,H1682:N1682,"")&gt;0),EUconst_Error&amp;"BM"&amp;$Q1523,"")</f>
        <v/>
      </c>
      <c r="AL1682" s="2"/>
    </row>
    <row r="1683" spans="1:38" ht="12.75" customHeight="1" thickBot="1" x14ac:dyDescent="0.3">
      <c r="A1683" s="2"/>
      <c r="B1683" s="178"/>
      <c r="C1683" s="779"/>
      <c r="D1683" s="416" t="s">
        <v>859</v>
      </c>
      <c r="E1683" s="2625" t="str">
        <f>Translations!$B$585</f>
        <v>Kolinnehåll (viktprocent)</v>
      </c>
      <c r="F1683" s="2476"/>
      <c r="G1683" s="425" t="s">
        <v>957</v>
      </c>
      <c r="H1683" s="1302"/>
      <c r="I1683" s="1303"/>
      <c r="J1683" s="1304"/>
      <c r="K1683" s="1302"/>
      <c r="L1683" s="1302"/>
      <c r="M1683" s="1302"/>
      <c r="N1683" s="1305"/>
      <c r="O1683" s="15"/>
      <c r="P1683" s="1362"/>
      <c r="Q1683" s="343"/>
      <c r="R1683" s="2"/>
      <c r="S1683" s="343"/>
      <c r="T1683" s="2"/>
      <c r="U1683" s="2"/>
      <c r="V1683" s="2"/>
      <c r="W1683" s="2"/>
      <c r="X1683" s="2"/>
      <c r="Y1683" s="2"/>
      <c r="Z1683" s="2"/>
      <c r="AA1683" s="2"/>
      <c r="AB1683" s="2"/>
      <c r="AC1683" s="108" t="b">
        <f t="shared" ref="AC1683:AI1683" si="736">AC1682</f>
        <v>0</v>
      </c>
      <c r="AD1683" s="108" t="b">
        <f t="shared" si="736"/>
        <v>0</v>
      </c>
      <c r="AE1683" s="108" t="b">
        <f t="shared" si="736"/>
        <v>0</v>
      </c>
      <c r="AF1683" s="108" t="b">
        <f t="shared" si="736"/>
        <v>0</v>
      </c>
      <c r="AG1683" s="108" t="b">
        <f t="shared" si="736"/>
        <v>0</v>
      </c>
      <c r="AH1683" s="108" t="b">
        <f t="shared" si="736"/>
        <v>0</v>
      </c>
      <c r="AI1683" s="108" t="b">
        <f t="shared" si="736"/>
        <v>0</v>
      </c>
      <c r="AJ1683" s="553" t="s">
        <v>2248</v>
      </c>
      <c r="AK1683" s="663" t="str">
        <f>IF(AND(CNTR_ExistSubInstEntries,MSconst_RequireSubAttrEmissions,COUNTIFS(AC1683:AI1683,FALSE,H1683:N1683,"")&gt;0),EUconst_Error&amp;"BM"&amp;$Q1523,"")</f>
        <v/>
      </c>
      <c r="AL1683" s="2"/>
    </row>
    <row r="1684" spans="1:38" ht="12.75" customHeight="1" x14ac:dyDescent="0.25">
      <c r="A1684" s="2"/>
      <c r="B1684" s="178"/>
      <c r="C1684" s="779"/>
      <c r="D1684" s="416" t="s">
        <v>860</v>
      </c>
      <c r="E1684" s="2626" t="str">
        <f>Translations!$B$586</f>
        <v>Biomassahalt (som kolfraktion)</v>
      </c>
      <c r="F1684" s="2487"/>
      <c r="G1684" s="384" t="s">
        <v>957</v>
      </c>
      <c r="H1684" s="1306"/>
      <c r="I1684" s="1307"/>
      <c r="J1684" s="1308"/>
      <c r="K1684" s="1306"/>
      <c r="L1684" s="1306"/>
      <c r="M1684" s="1306"/>
      <c r="N1684" s="1309"/>
      <c r="O1684" s="15"/>
      <c r="P1684" s="1362"/>
      <c r="Q1684" s="343"/>
      <c r="R1684" s="2"/>
      <c r="S1684" s="772"/>
      <c r="T1684" s="609">
        <f t="shared" ref="T1684:Z1684" si="737">H1680</f>
        <v>2019</v>
      </c>
      <c r="U1684" s="609">
        <f t="shared" si="737"/>
        <v>2020</v>
      </c>
      <c r="V1684" s="609">
        <f t="shared" si="737"/>
        <v>2021</v>
      </c>
      <c r="W1684" s="609">
        <f t="shared" si="737"/>
        <v>2022</v>
      </c>
      <c r="X1684" s="609">
        <f t="shared" si="737"/>
        <v>2023</v>
      </c>
      <c r="Y1684" s="609">
        <f t="shared" si="737"/>
        <v>2024</v>
      </c>
      <c r="Z1684" s="610">
        <f t="shared" si="737"/>
        <v>2025</v>
      </c>
      <c r="AA1684" s="2"/>
      <c r="AB1684" s="2"/>
      <c r="AC1684" s="108" t="b">
        <f t="shared" ref="AC1684:AI1684" si="738">AC1683</f>
        <v>0</v>
      </c>
      <c r="AD1684" s="108" t="b">
        <f t="shared" si="738"/>
        <v>0</v>
      </c>
      <c r="AE1684" s="108" t="b">
        <f t="shared" si="738"/>
        <v>0</v>
      </c>
      <c r="AF1684" s="108" t="b">
        <f t="shared" si="738"/>
        <v>0</v>
      </c>
      <c r="AG1684" s="108" t="b">
        <f t="shared" si="738"/>
        <v>0</v>
      </c>
      <c r="AH1684" s="108" t="b">
        <f t="shared" si="738"/>
        <v>0</v>
      </c>
      <c r="AI1684" s="108" t="b">
        <f t="shared" si="738"/>
        <v>0</v>
      </c>
      <c r="AJ1684" s="553" t="s">
        <v>2248</v>
      </c>
      <c r="AK1684" s="663" t="str">
        <f>IF(AND(CNTR_ExistSubInstEntries,MSconst_RequireSubAttrEmissions,COUNTIFS(AC1684:AI1684,FALSE,H1684:N1684,"")&gt;0),EUconst_Error&amp;"BM"&amp;$Q1523,"")</f>
        <v/>
      </c>
      <c r="AL1684" s="2"/>
    </row>
    <row r="1685" spans="1:38" ht="12.75" customHeight="1" thickBot="1" x14ac:dyDescent="0.3">
      <c r="A1685" s="2"/>
      <c r="B1685" s="178"/>
      <c r="C1685" s="779"/>
      <c r="D1685" s="416" t="s">
        <v>861</v>
      </c>
      <c r="E1685" s="2627" t="str">
        <f>Translations!$B$587</f>
        <v>Utsläpp (fossila, beräknade)</v>
      </c>
      <c r="F1685" s="2484"/>
      <c r="G1685" s="426" t="str">
        <f>EUconst_tCO2pa</f>
        <v>t CO2 / år</v>
      </c>
      <c r="H1685" s="273" t="str">
        <f t="shared" ref="H1685:N1685" si="739">IF(AND(COUNT(H1681:H1684)&gt;0,H1688=""),3.664*H1681*(H1683/100)*(1-H1684/100),"")</f>
        <v/>
      </c>
      <c r="I1685" s="1109" t="str">
        <f t="shared" si="739"/>
        <v/>
      </c>
      <c r="J1685" s="1116" t="str">
        <f t="shared" si="739"/>
        <v/>
      </c>
      <c r="K1685" s="273" t="str">
        <f t="shared" si="739"/>
        <v/>
      </c>
      <c r="L1685" s="273" t="str">
        <f t="shared" si="739"/>
        <v/>
      </c>
      <c r="M1685" s="273" t="str">
        <f t="shared" si="739"/>
        <v/>
      </c>
      <c r="N1685" s="1142" t="str">
        <f t="shared" si="739"/>
        <v/>
      </c>
      <c r="O1685" s="15"/>
      <c r="P1685" s="15"/>
      <c r="Q1685" s="165" t="str">
        <f>EUconst_CNTR_EmissionsIntSource1 &amp; I1523</f>
        <v>EmInternalSource1_</v>
      </c>
      <c r="R1685" s="2"/>
      <c r="S1685" s="773" t="str">
        <f>EUconst_CNTR_AttributedEmissions &amp; I1523</f>
        <v>AttrEmissions_</v>
      </c>
      <c r="T1685" s="111" t="str">
        <f t="shared" ref="T1685:Z1685" si="740">IF(T1531,SUM(H1685),"")</f>
        <v/>
      </c>
      <c r="U1685" s="111" t="str">
        <f t="shared" si="740"/>
        <v/>
      </c>
      <c r="V1685" s="111" t="str">
        <f t="shared" si="740"/>
        <v/>
      </c>
      <c r="W1685" s="111" t="str">
        <f t="shared" si="740"/>
        <v/>
      </c>
      <c r="X1685" s="111" t="str">
        <f t="shared" si="740"/>
        <v/>
      </c>
      <c r="Y1685" s="111" t="str">
        <f t="shared" si="740"/>
        <v/>
      </c>
      <c r="Z1685" s="112" t="str">
        <f t="shared" si="740"/>
        <v/>
      </c>
      <c r="AA1685" s="2"/>
      <c r="AB1685" s="2"/>
      <c r="AC1685" s="2"/>
      <c r="AD1685" s="2"/>
      <c r="AE1685" s="2"/>
      <c r="AF1685" s="2"/>
      <c r="AG1685" s="2"/>
      <c r="AH1685" s="2"/>
      <c r="AI1685" s="2"/>
      <c r="AJ1685" s="2"/>
      <c r="AK1685" s="2"/>
      <c r="AL1685" s="2"/>
    </row>
    <row r="1686" spans="1:38" ht="12.75" customHeight="1" x14ac:dyDescent="0.25">
      <c r="A1686" s="2"/>
      <c r="B1686" s="178"/>
      <c r="C1686" s="779"/>
      <c r="D1686" s="416" t="s">
        <v>862</v>
      </c>
      <c r="E1686" s="2628" t="str">
        <f>Translations!$B$588</f>
        <v>Memorandumpost: Utsläpp biomassa</v>
      </c>
      <c r="F1686" s="2476"/>
      <c r="G1686" s="427" t="str">
        <f>EUconst_tCO2pa</f>
        <v>t CO2 / år</v>
      </c>
      <c r="H1686" s="272" t="str">
        <f t="shared" ref="H1686:N1686" si="741">IF(ISNUMBER(H1685),3.664*H1681*(H1683/100)*(H1684/100),"")</f>
        <v/>
      </c>
      <c r="I1686" s="1110" t="str">
        <f t="shared" si="741"/>
        <v/>
      </c>
      <c r="J1686" s="1117" t="str">
        <f t="shared" si="741"/>
        <v/>
      </c>
      <c r="K1686" s="272" t="str">
        <f t="shared" si="741"/>
        <v/>
      </c>
      <c r="L1686" s="272" t="str">
        <f t="shared" si="741"/>
        <v/>
      </c>
      <c r="M1686" s="272" t="str">
        <f t="shared" si="741"/>
        <v/>
      </c>
      <c r="N1686" s="1143" t="str">
        <f t="shared" si="741"/>
        <v/>
      </c>
      <c r="O1686" s="15"/>
      <c r="P1686" s="15"/>
      <c r="Q1686" s="343"/>
      <c r="R1686" s="2"/>
      <c r="S1686" s="343"/>
      <c r="T1686" s="2"/>
      <c r="U1686" s="2"/>
      <c r="V1686" s="2"/>
      <c r="W1686" s="2"/>
      <c r="X1686" s="2"/>
      <c r="Y1686" s="2"/>
      <c r="Z1686" s="2"/>
      <c r="AA1686" s="2"/>
      <c r="AB1686" s="2"/>
      <c r="AC1686" s="2"/>
      <c r="AD1686" s="2"/>
      <c r="AE1686" s="2"/>
      <c r="AF1686" s="2"/>
      <c r="AG1686" s="2"/>
      <c r="AH1686" s="2"/>
      <c r="AI1686" s="2"/>
      <c r="AJ1686" s="2"/>
      <c r="AK1686" s="2"/>
      <c r="AL1686" s="2"/>
    </row>
    <row r="1687" spans="1:38" ht="12.75" customHeight="1" x14ac:dyDescent="0.25">
      <c r="A1687" s="2"/>
      <c r="B1687" s="178"/>
      <c r="C1687" s="779"/>
      <c r="D1687" s="416" t="s">
        <v>863</v>
      </c>
      <c r="E1687" s="2626" t="str">
        <f>Translations!$B$589</f>
        <v>Energiinnehåll (beräknat)</v>
      </c>
      <c r="F1687" s="2487"/>
      <c r="G1687" s="428" t="str">
        <f>EUconst_TJpa</f>
        <v>TJ / år</v>
      </c>
      <c r="H1687" s="275" t="str">
        <f t="shared" ref="H1687:N1687" si="742">IF(COUNT(H1681:H1682)=2,H1681*H1682/1000,"")</f>
        <v/>
      </c>
      <c r="I1687" s="281" t="str">
        <f t="shared" si="742"/>
        <v/>
      </c>
      <c r="J1687" s="1118" t="str">
        <f t="shared" si="742"/>
        <v/>
      </c>
      <c r="K1687" s="275" t="str">
        <f t="shared" si="742"/>
        <v/>
      </c>
      <c r="L1687" s="275" t="str">
        <f t="shared" si="742"/>
        <v/>
      </c>
      <c r="M1687" s="275" t="str">
        <f t="shared" si="742"/>
        <v/>
      </c>
      <c r="N1687" s="1144" t="str">
        <f t="shared" si="742"/>
        <v/>
      </c>
      <c r="O1687" s="15"/>
      <c r="P1687" s="15"/>
      <c r="Q1687" s="343"/>
      <c r="R1687" s="2"/>
      <c r="S1687" s="343"/>
      <c r="T1687" s="2"/>
      <c r="U1687" s="2"/>
      <c r="V1687" s="2"/>
      <c r="W1687" s="2"/>
      <c r="X1687" s="2"/>
      <c r="Y1687" s="2"/>
      <c r="Z1687" s="2"/>
      <c r="AA1687" s="2"/>
      <c r="AB1687" s="2"/>
      <c r="AC1687" s="2"/>
      <c r="AD1687" s="2"/>
      <c r="AE1687" s="2"/>
      <c r="AF1687" s="2"/>
      <c r="AG1687" s="2"/>
      <c r="AH1687" s="2"/>
      <c r="AI1687" s="2"/>
      <c r="AJ1687" s="2"/>
      <c r="AK1687" s="2"/>
      <c r="AL1687" s="2"/>
    </row>
    <row r="1688" spans="1:38" ht="12.75" customHeight="1" x14ac:dyDescent="0.25">
      <c r="A1688" s="2"/>
      <c r="B1688" s="178"/>
      <c r="C1688" s="779"/>
      <c r="D1688" s="416" t="s">
        <v>72</v>
      </c>
      <c r="E1688" s="2629" t="str">
        <f>Translations!$B$590</f>
        <v>Felmeddelanden (utsläpp)</v>
      </c>
      <c r="F1688" s="2630"/>
      <c r="G1688" s="429"/>
      <c r="H1688" s="520" t="str">
        <f t="shared" ref="H1688:N1688" si="743">IF(COUNT(H1681,H1683:H1684)&gt;0,IF(COUNTIF(H1682:H1684,"&lt;0")&gt;0,EUconst_Negative,IF(COUNT(H1681,H1683:H1684)&lt;3,EUconst_Incomplete,"")),"")</f>
        <v/>
      </c>
      <c r="I1688" s="1111" t="str">
        <f t="shared" si="743"/>
        <v/>
      </c>
      <c r="J1688" s="1119" t="str">
        <f t="shared" si="743"/>
        <v/>
      </c>
      <c r="K1688" s="520" t="str">
        <f t="shared" si="743"/>
        <v/>
      </c>
      <c r="L1688" s="520" t="str">
        <f t="shared" si="743"/>
        <v/>
      </c>
      <c r="M1688" s="520" t="str">
        <f t="shared" si="743"/>
        <v/>
      </c>
      <c r="N1688" s="1145" t="str">
        <f t="shared" si="743"/>
        <v/>
      </c>
      <c r="O1688" s="15"/>
      <c r="P1688" s="15"/>
      <c r="Q1688" s="343"/>
      <c r="R1688" s="2"/>
      <c r="S1688" s="343"/>
      <c r="T1688" s="2"/>
      <c r="U1688" s="2"/>
      <c r="V1688" s="2"/>
      <c r="W1688" s="2"/>
      <c r="X1688" s="2"/>
      <c r="Y1688" s="2"/>
      <c r="Z1688" s="2"/>
      <c r="AA1688" s="2"/>
      <c r="AB1688" s="2"/>
      <c r="AC1688" s="2"/>
      <c r="AD1688" s="2"/>
      <c r="AE1688" s="2"/>
      <c r="AF1688" s="2"/>
      <c r="AG1688" s="2"/>
      <c r="AH1688" s="2"/>
      <c r="AI1688" s="2"/>
      <c r="AJ1688" s="2"/>
      <c r="AK1688" s="2"/>
      <c r="AL1688" s="2"/>
    </row>
    <row r="1689" spans="1:38" ht="12.75" customHeight="1" x14ac:dyDescent="0.25">
      <c r="A1689" s="2"/>
      <c r="B1689" s="178"/>
      <c r="C1689" s="779"/>
      <c r="D1689" s="416"/>
      <c r="E1689" s="780"/>
      <c r="F1689" s="780"/>
      <c r="G1689" s="780"/>
      <c r="H1689" s="780"/>
      <c r="I1689" s="780"/>
      <c r="J1689" s="780"/>
      <c r="K1689" s="780"/>
      <c r="L1689" s="780"/>
      <c r="M1689" s="623"/>
      <c r="N1689" s="519"/>
      <c r="O1689" s="15"/>
      <c r="P1689" s="15"/>
      <c r="Q1689" s="343"/>
      <c r="R1689" s="2"/>
      <c r="S1689" s="343"/>
      <c r="T1689" s="2"/>
      <c r="U1689" s="2"/>
      <c r="V1689" s="2"/>
      <c r="W1689" s="2"/>
      <c r="X1689" s="2"/>
      <c r="Y1689" s="2"/>
      <c r="Z1689" s="2"/>
      <c r="AA1689" s="2"/>
      <c r="AB1689" s="2"/>
      <c r="AC1689" s="2"/>
      <c r="AD1689" s="2"/>
      <c r="AE1689" s="2"/>
      <c r="AF1689" s="2"/>
      <c r="AG1689" s="2"/>
      <c r="AH1689" s="2"/>
      <c r="AI1689" s="2"/>
      <c r="AJ1689" s="2"/>
      <c r="AK1689" s="2"/>
      <c r="AL1689" s="2"/>
    </row>
    <row r="1690" spans="1:38" ht="12.75" customHeight="1" x14ac:dyDescent="0.25">
      <c r="A1690" s="2"/>
      <c r="B1690" s="178"/>
      <c r="C1690" s="779"/>
      <c r="D1690" s="416" t="s">
        <v>73</v>
      </c>
      <c r="E1690" s="2614" t="str">
        <f>Translations!$B$591</f>
        <v>Namn på andra bränsle-/materialmängder – 2:</v>
      </c>
      <c r="F1690" s="1960"/>
      <c r="G1690" s="1960"/>
      <c r="H1690" s="2520"/>
      <c r="I1690" s="2621"/>
      <c r="J1690" s="2510"/>
      <c r="K1690" s="2510"/>
      <c r="L1690" s="2510"/>
      <c r="M1690" s="2511"/>
      <c r="N1690" s="1807"/>
      <c r="O1690" s="15"/>
      <c r="P1690" s="1362"/>
      <c r="Q1690" s="343"/>
      <c r="R1690" s="2"/>
      <c r="S1690" s="343"/>
      <c r="T1690" s="2"/>
      <c r="U1690" s="2"/>
      <c r="V1690" s="2"/>
      <c r="W1690" s="2"/>
      <c r="X1690" s="2"/>
      <c r="Y1690" s="2"/>
      <c r="Z1690" s="2"/>
      <c r="AA1690" s="2"/>
      <c r="AB1690" s="2"/>
      <c r="AC1690" s="672" t="s">
        <v>782</v>
      </c>
      <c r="AD1690" s="108" t="b">
        <f>AD1678</f>
        <v>0</v>
      </c>
      <c r="AE1690" s="2"/>
      <c r="AF1690" s="2"/>
      <c r="AG1690" s="2"/>
      <c r="AH1690" s="2"/>
      <c r="AI1690" s="2"/>
      <c r="AJ1690" s="2"/>
      <c r="AK1690" s="2"/>
      <c r="AL1690" s="2"/>
    </row>
    <row r="1691" spans="1:38" ht="5.15" customHeight="1" x14ac:dyDescent="0.25">
      <c r="A1691" s="2"/>
      <c r="B1691" s="178"/>
      <c r="C1691" s="779"/>
      <c r="D1691" s="780"/>
      <c r="E1691" s="1804"/>
      <c r="F1691" s="1806"/>
      <c r="G1691" s="780"/>
      <c r="H1691" s="780"/>
      <c r="I1691" s="1806"/>
      <c r="J1691" s="1806"/>
      <c r="K1691" s="1806"/>
      <c r="L1691" s="1806"/>
      <c r="M1691" s="1806"/>
      <c r="N1691" s="1807"/>
      <c r="O1691" s="15"/>
      <c r="P1691" s="15"/>
      <c r="Q1691" s="343"/>
      <c r="R1691" s="2"/>
      <c r="S1691" s="343"/>
      <c r="T1691" s="2"/>
      <c r="U1691" s="2"/>
      <c r="V1691" s="2"/>
      <c r="W1691" s="2"/>
      <c r="X1691" s="2"/>
      <c r="Y1691" s="2"/>
      <c r="Z1691" s="2"/>
      <c r="AA1691" s="2"/>
      <c r="AB1691" s="2"/>
      <c r="AC1691" s="2"/>
      <c r="AD1691" s="2"/>
      <c r="AE1691" s="2"/>
      <c r="AF1691" s="2"/>
      <c r="AG1691" s="2"/>
      <c r="AH1691" s="2"/>
      <c r="AI1691" s="2"/>
      <c r="AJ1691" s="2"/>
      <c r="AK1691" s="2"/>
      <c r="AL1691" s="2"/>
    </row>
    <row r="1692" spans="1:38" ht="12.75" customHeight="1" thickBot="1" x14ac:dyDescent="0.3">
      <c r="A1692" s="2"/>
      <c r="B1692" s="178"/>
      <c r="C1692" s="779"/>
      <c r="D1692" s="416"/>
      <c r="E1692" s="2605" t="str">
        <f>Translations!$B$592</f>
        <v>Andra bränsle-/materialmängder – 2</v>
      </c>
      <c r="F1692" s="2497"/>
      <c r="G1692" s="361" t="str">
        <f>EUconst_Unit</f>
        <v>Enhet</v>
      </c>
      <c r="H1692" s="362">
        <f t="shared" ref="H1692:N1692" si="744">H$3042</f>
        <v>2019</v>
      </c>
      <c r="I1692" s="1103">
        <f t="shared" si="744"/>
        <v>2020</v>
      </c>
      <c r="J1692" s="1104">
        <f t="shared" si="744"/>
        <v>2021</v>
      </c>
      <c r="K1692" s="362">
        <f t="shared" si="744"/>
        <v>2022</v>
      </c>
      <c r="L1692" s="362">
        <f t="shared" si="744"/>
        <v>2023</v>
      </c>
      <c r="M1692" s="362">
        <f t="shared" si="744"/>
        <v>2024</v>
      </c>
      <c r="N1692" s="1141">
        <f t="shared" si="744"/>
        <v>2025</v>
      </c>
      <c r="O1692" s="15"/>
      <c r="P1692" s="15"/>
      <c r="Q1692" s="343"/>
      <c r="R1692" s="2"/>
      <c r="S1692" s="343"/>
      <c r="T1692" s="2"/>
      <c r="U1692" s="2"/>
      <c r="V1692" s="2"/>
      <c r="W1692" s="2"/>
      <c r="X1692" s="2"/>
      <c r="Y1692" s="2"/>
      <c r="Z1692" s="2"/>
      <c r="AA1692" s="2"/>
      <c r="AB1692" s="2"/>
      <c r="AC1692" s="1044">
        <f t="shared" ref="AC1692:AI1692" si="745">H$20</f>
        <v>2019</v>
      </c>
      <c r="AD1692" s="1044">
        <f t="shared" si="745"/>
        <v>2020</v>
      </c>
      <c r="AE1692" s="1044">
        <f t="shared" si="745"/>
        <v>2021</v>
      </c>
      <c r="AF1692" s="1044">
        <f t="shared" si="745"/>
        <v>2022</v>
      </c>
      <c r="AG1692" s="1044">
        <f t="shared" si="745"/>
        <v>2023</v>
      </c>
      <c r="AH1692" s="1044">
        <f t="shared" si="745"/>
        <v>2024</v>
      </c>
      <c r="AI1692" s="1044">
        <f t="shared" si="745"/>
        <v>2025</v>
      </c>
      <c r="AJ1692" s="2"/>
      <c r="AK1692" s="2"/>
      <c r="AL1692" s="2"/>
    </row>
    <row r="1693" spans="1:38" ht="12.75" customHeight="1" x14ac:dyDescent="0.25">
      <c r="A1693" s="2"/>
      <c r="B1693" s="178"/>
      <c r="C1693" s="779"/>
      <c r="D1693" s="416" t="s">
        <v>74</v>
      </c>
      <c r="E1693" s="2611" t="str">
        <f>Translations!$B$583</f>
        <v>Importerad eller exporterad mängd</v>
      </c>
      <c r="F1693" s="2484"/>
      <c r="G1693" s="365" t="str">
        <f>EUconst_tpa</f>
        <v>t / år</v>
      </c>
      <c r="H1693" s="1298"/>
      <c r="I1693" s="1299"/>
      <c r="J1693" s="1300"/>
      <c r="K1693" s="1298"/>
      <c r="L1693" s="1298"/>
      <c r="M1693" s="1298"/>
      <c r="N1693" s="1301"/>
      <c r="O1693" s="15"/>
      <c r="P1693" s="1362"/>
      <c r="Q1693" s="343"/>
      <c r="R1693" s="2"/>
      <c r="S1693" s="343"/>
      <c r="T1693" s="2"/>
      <c r="U1693" s="2"/>
      <c r="V1693" s="2"/>
      <c r="W1693" s="2"/>
      <c r="X1693" s="2"/>
      <c r="Y1693" s="2"/>
      <c r="Z1693" s="2"/>
      <c r="AA1693" s="2"/>
      <c r="AB1693" s="672" t="s">
        <v>782</v>
      </c>
      <c r="AC1693" s="108" t="b">
        <f>AC1681</f>
        <v>0</v>
      </c>
      <c r="AD1693" s="108" t="b">
        <f t="shared" ref="AD1693:AI1693" si="746">AD1681</f>
        <v>0</v>
      </c>
      <c r="AE1693" s="108" t="b">
        <f t="shared" si="746"/>
        <v>0</v>
      </c>
      <c r="AF1693" s="108" t="b">
        <f t="shared" si="746"/>
        <v>0</v>
      </c>
      <c r="AG1693" s="108" t="b">
        <f t="shared" si="746"/>
        <v>0</v>
      </c>
      <c r="AH1693" s="108" t="b">
        <f t="shared" si="746"/>
        <v>0</v>
      </c>
      <c r="AI1693" s="108" t="b">
        <f t="shared" si="746"/>
        <v>0</v>
      </c>
      <c r="AJ1693" s="553" t="s">
        <v>2248</v>
      </c>
      <c r="AK1693" s="663" t="str">
        <f>IF(AND(CNTR_ExistSubInstEntries,MSconst_RequireSubAttrEmissions,COUNTIFS(AC1693:AI1693,FALSE,H1693:N1693,"")&gt;0),EUconst_Error&amp;"BM"&amp;$Q1523,"")</f>
        <v/>
      </c>
      <c r="AL1693" s="2"/>
    </row>
    <row r="1694" spans="1:38" ht="12.75" customHeight="1" x14ac:dyDescent="0.25">
      <c r="A1694" s="2"/>
      <c r="B1694" s="178"/>
      <c r="C1694" s="779"/>
      <c r="D1694" s="416" t="s">
        <v>1201</v>
      </c>
      <c r="E1694" s="2625" t="str">
        <f>Translations!$B$584</f>
        <v>Effektivt värmevärde, i tillämpliga fall</v>
      </c>
      <c r="F1694" s="2476"/>
      <c r="G1694" s="424" t="str">
        <f>EUconst_GJpt</f>
        <v>GJ / t</v>
      </c>
      <c r="H1694" s="1302"/>
      <c r="I1694" s="1303"/>
      <c r="J1694" s="1304"/>
      <c r="K1694" s="1302"/>
      <c r="L1694" s="1302"/>
      <c r="M1694" s="1302"/>
      <c r="N1694" s="1305"/>
      <c r="O1694" s="15"/>
      <c r="P1694" s="1362"/>
      <c r="Q1694" s="343"/>
      <c r="R1694" s="2"/>
      <c r="S1694" s="343"/>
      <c r="T1694" s="2"/>
      <c r="U1694" s="2"/>
      <c r="V1694" s="2"/>
      <c r="W1694" s="2"/>
      <c r="X1694" s="2"/>
      <c r="Y1694" s="2"/>
      <c r="Z1694" s="2"/>
      <c r="AA1694" s="2"/>
      <c r="AB1694" s="2"/>
      <c r="AC1694" s="108" t="b">
        <f t="shared" ref="AC1694:AI1694" si="747">AC1682</f>
        <v>0</v>
      </c>
      <c r="AD1694" s="108" t="b">
        <f t="shared" si="747"/>
        <v>0</v>
      </c>
      <c r="AE1694" s="108" t="b">
        <f t="shared" si="747"/>
        <v>0</v>
      </c>
      <c r="AF1694" s="108" t="b">
        <f t="shared" si="747"/>
        <v>0</v>
      </c>
      <c r="AG1694" s="108" t="b">
        <f t="shared" si="747"/>
        <v>0</v>
      </c>
      <c r="AH1694" s="108" t="b">
        <f t="shared" si="747"/>
        <v>0</v>
      </c>
      <c r="AI1694" s="108" t="b">
        <f t="shared" si="747"/>
        <v>0</v>
      </c>
      <c r="AJ1694" s="553" t="s">
        <v>2248</v>
      </c>
      <c r="AK1694" s="663" t="str">
        <f>IF(AND(CNTR_ExistSubInstEntries,MSconst_RequireSubAttrEmissions,COUNTIFS(AC1694:AI1694,FALSE,H1694:N1694,"")&gt;0),EUconst_Error&amp;"BM"&amp;$Q1523,"")</f>
        <v/>
      </c>
      <c r="AL1694" s="2"/>
    </row>
    <row r="1695" spans="1:38" ht="12.75" customHeight="1" thickBot="1" x14ac:dyDescent="0.3">
      <c r="A1695" s="2"/>
      <c r="B1695" s="178"/>
      <c r="C1695" s="779"/>
      <c r="D1695" s="416" t="s">
        <v>1202</v>
      </c>
      <c r="E1695" s="2625" t="str">
        <f>Translations!$B$585</f>
        <v>Kolinnehåll (viktprocent)</v>
      </c>
      <c r="F1695" s="2476"/>
      <c r="G1695" s="425" t="s">
        <v>957</v>
      </c>
      <c r="H1695" s="1302"/>
      <c r="I1695" s="1303"/>
      <c r="J1695" s="1304"/>
      <c r="K1695" s="1302"/>
      <c r="L1695" s="1302"/>
      <c r="M1695" s="1302"/>
      <c r="N1695" s="1305"/>
      <c r="O1695" s="15"/>
      <c r="P1695" s="1362"/>
      <c r="Q1695" s="343"/>
      <c r="R1695" s="2"/>
      <c r="S1695" s="343"/>
      <c r="T1695" s="2"/>
      <c r="U1695" s="2"/>
      <c r="V1695" s="2"/>
      <c r="W1695" s="2"/>
      <c r="X1695" s="2"/>
      <c r="Y1695" s="2"/>
      <c r="Z1695" s="2"/>
      <c r="AA1695" s="2"/>
      <c r="AB1695" s="2"/>
      <c r="AC1695" s="108" t="b">
        <f t="shared" ref="AC1695:AI1695" si="748">AC1683</f>
        <v>0</v>
      </c>
      <c r="AD1695" s="108" t="b">
        <f t="shared" si="748"/>
        <v>0</v>
      </c>
      <c r="AE1695" s="108" t="b">
        <f t="shared" si="748"/>
        <v>0</v>
      </c>
      <c r="AF1695" s="108" t="b">
        <f t="shared" si="748"/>
        <v>0</v>
      </c>
      <c r="AG1695" s="108" t="b">
        <f t="shared" si="748"/>
        <v>0</v>
      </c>
      <c r="AH1695" s="108" t="b">
        <f t="shared" si="748"/>
        <v>0</v>
      </c>
      <c r="AI1695" s="108" t="b">
        <f t="shared" si="748"/>
        <v>0</v>
      </c>
      <c r="AJ1695" s="553" t="s">
        <v>2248</v>
      </c>
      <c r="AK1695" s="663" t="str">
        <f>IF(AND(CNTR_ExistSubInstEntries,MSconst_RequireSubAttrEmissions,COUNTIFS(AC1695:AI1695,FALSE,H1695:N1695,"")&gt;0),EUconst_Error&amp;"BM"&amp;$Q1523,"")</f>
        <v/>
      </c>
      <c r="AL1695" s="2"/>
    </row>
    <row r="1696" spans="1:38" ht="12.75" customHeight="1" x14ac:dyDescent="0.25">
      <c r="A1696" s="2"/>
      <c r="B1696" s="178"/>
      <c r="C1696" s="779"/>
      <c r="D1696" s="416" t="s">
        <v>1203</v>
      </c>
      <c r="E1696" s="2626" t="str">
        <f>Translations!$B$586</f>
        <v>Biomassahalt (som kolfraktion)</v>
      </c>
      <c r="F1696" s="2487"/>
      <c r="G1696" s="384" t="s">
        <v>957</v>
      </c>
      <c r="H1696" s="1306"/>
      <c r="I1696" s="1307"/>
      <c r="J1696" s="1308"/>
      <c r="K1696" s="1306"/>
      <c r="L1696" s="1306"/>
      <c r="M1696" s="1306"/>
      <c r="N1696" s="1309"/>
      <c r="O1696" s="15"/>
      <c r="P1696" s="1362"/>
      <c r="Q1696" s="343"/>
      <c r="R1696" s="2"/>
      <c r="S1696" s="772"/>
      <c r="T1696" s="609">
        <f t="shared" ref="T1696:Z1696" si="749">H1692</f>
        <v>2019</v>
      </c>
      <c r="U1696" s="609">
        <f t="shared" si="749"/>
        <v>2020</v>
      </c>
      <c r="V1696" s="609">
        <f t="shared" si="749"/>
        <v>2021</v>
      </c>
      <c r="W1696" s="609">
        <f t="shared" si="749"/>
        <v>2022</v>
      </c>
      <c r="X1696" s="609">
        <f t="shared" si="749"/>
        <v>2023</v>
      </c>
      <c r="Y1696" s="609">
        <f t="shared" si="749"/>
        <v>2024</v>
      </c>
      <c r="Z1696" s="610">
        <f t="shared" si="749"/>
        <v>2025</v>
      </c>
      <c r="AA1696" s="2"/>
      <c r="AB1696" s="2"/>
      <c r="AC1696" s="108" t="b">
        <f t="shared" ref="AC1696:AI1696" si="750">AC1684</f>
        <v>0</v>
      </c>
      <c r="AD1696" s="108" t="b">
        <f t="shared" si="750"/>
        <v>0</v>
      </c>
      <c r="AE1696" s="108" t="b">
        <f t="shared" si="750"/>
        <v>0</v>
      </c>
      <c r="AF1696" s="108" t="b">
        <f t="shared" si="750"/>
        <v>0</v>
      </c>
      <c r="AG1696" s="108" t="b">
        <f t="shared" si="750"/>
        <v>0</v>
      </c>
      <c r="AH1696" s="108" t="b">
        <f t="shared" si="750"/>
        <v>0</v>
      </c>
      <c r="AI1696" s="108" t="b">
        <f t="shared" si="750"/>
        <v>0</v>
      </c>
      <c r="AJ1696" s="553" t="s">
        <v>2248</v>
      </c>
      <c r="AK1696" s="663" t="str">
        <f>IF(AND(CNTR_ExistSubInstEntries,MSconst_RequireSubAttrEmissions,COUNTIFS(AC1696:AI1696,FALSE,H1696:N1696,"")&gt;0),EUconst_Error&amp;"BM"&amp;$Q1523,"")</f>
        <v/>
      </c>
      <c r="AL1696" s="2"/>
    </row>
    <row r="1697" spans="1:38" ht="12.75" customHeight="1" thickBot="1" x14ac:dyDescent="0.3">
      <c r="A1697" s="2"/>
      <c r="B1697" s="178"/>
      <c r="C1697" s="779"/>
      <c r="D1697" s="416" t="s">
        <v>1204</v>
      </c>
      <c r="E1697" s="2627" t="str">
        <f>Translations!$B$587</f>
        <v>Utsläpp (fossila, beräknade)</v>
      </c>
      <c r="F1697" s="2484"/>
      <c r="G1697" s="426" t="str">
        <f>EUconst_tCO2pa</f>
        <v>t CO2 / år</v>
      </c>
      <c r="H1697" s="273" t="str">
        <f t="shared" ref="H1697:N1697" si="751">IF(AND(COUNT(H1693:H1696)&gt;0,H1700=""),3.664*H1693*(H1695/100)*(1-H1696/100),"")</f>
        <v/>
      </c>
      <c r="I1697" s="1109" t="str">
        <f t="shared" si="751"/>
        <v/>
      </c>
      <c r="J1697" s="1116" t="str">
        <f t="shared" si="751"/>
        <v/>
      </c>
      <c r="K1697" s="273" t="str">
        <f t="shared" si="751"/>
        <v/>
      </c>
      <c r="L1697" s="273" t="str">
        <f t="shared" si="751"/>
        <v/>
      </c>
      <c r="M1697" s="273" t="str">
        <f t="shared" si="751"/>
        <v/>
      </c>
      <c r="N1697" s="1142" t="str">
        <f t="shared" si="751"/>
        <v/>
      </c>
      <c r="O1697" s="15"/>
      <c r="P1697" s="15"/>
      <c r="Q1697" s="165" t="str">
        <f>EUconst_CNTR_EmissionsIntSource2 &amp; I1523</f>
        <v>EmInternalSource2_</v>
      </c>
      <c r="R1697" s="2"/>
      <c r="S1697" s="773" t="str">
        <f>EUconst_CNTR_AttributedEmissions &amp; I1523</f>
        <v>AttrEmissions_</v>
      </c>
      <c r="T1697" s="111" t="str">
        <f t="shared" ref="T1697:Z1697" si="752">IF(T1531,SUM(H1697),"")</f>
        <v/>
      </c>
      <c r="U1697" s="111" t="str">
        <f t="shared" si="752"/>
        <v/>
      </c>
      <c r="V1697" s="111" t="str">
        <f t="shared" si="752"/>
        <v/>
      </c>
      <c r="W1697" s="111" t="str">
        <f t="shared" si="752"/>
        <v/>
      </c>
      <c r="X1697" s="111" t="str">
        <f t="shared" si="752"/>
        <v/>
      </c>
      <c r="Y1697" s="111" t="str">
        <f t="shared" si="752"/>
        <v/>
      </c>
      <c r="Z1697" s="112" t="str">
        <f t="shared" si="752"/>
        <v/>
      </c>
      <c r="AA1697" s="2"/>
      <c r="AB1697" s="2"/>
      <c r="AC1697" s="2"/>
      <c r="AD1697" s="2"/>
      <c r="AE1697" s="2"/>
      <c r="AF1697" s="2"/>
      <c r="AG1697" s="2"/>
      <c r="AH1697" s="2"/>
      <c r="AI1697" s="2"/>
      <c r="AJ1697" s="2"/>
      <c r="AK1697" s="2"/>
      <c r="AL1697" s="2"/>
    </row>
    <row r="1698" spans="1:38" ht="12.75" customHeight="1" x14ac:dyDescent="0.25">
      <c r="A1698" s="2"/>
      <c r="B1698" s="178"/>
      <c r="C1698" s="779"/>
      <c r="D1698" s="416" t="s">
        <v>1205</v>
      </c>
      <c r="E1698" s="2628" t="str">
        <f>Translations!$B$588</f>
        <v>Memorandumpost: Utsläpp biomassa</v>
      </c>
      <c r="F1698" s="2476"/>
      <c r="G1698" s="427" t="str">
        <f>EUconst_tCO2pa</f>
        <v>t CO2 / år</v>
      </c>
      <c r="H1698" s="272" t="str">
        <f t="shared" ref="H1698:N1698" si="753">IF(ISNUMBER(H1697),3.664*H1693*(H1695/100)*(H1696/100),"")</f>
        <v/>
      </c>
      <c r="I1698" s="1110" t="str">
        <f t="shared" si="753"/>
        <v/>
      </c>
      <c r="J1698" s="1117" t="str">
        <f t="shared" si="753"/>
        <v/>
      </c>
      <c r="K1698" s="272" t="str">
        <f t="shared" si="753"/>
        <v/>
      </c>
      <c r="L1698" s="272" t="str">
        <f t="shared" si="753"/>
        <v/>
      </c>
      <c r="M1698" s="272" t="str">
        <f t="shared" si="753"/>
        <v/>
      </c>
      <c r="N1698" s="1143" t="str">
        <f t="shared" si="753"/>
        <v/>
      </c>
      <c r="O1698" s="15"/>
      <c r="P1698" s="15"/>
      <c r="Q1698" s="343"/>
      <c r="R1698" s="2"/>
      <c r="S1698" s="343"/>
      <c r="T1698" s="2"/>
      <c r="U1698" s="2"/>
      <c r="V1698" s="2"/>
      <c r="W1698" s="2"/>
      <c r="X1698" s="2"/>
      <c r="Y1698" s="2"/>
      <c r="Z1698" s="2"/>
      <c r="AA1698" s="2"/>
      <c r="AB1698" s="2"/>
      <c r="AC1698" s="2"/>
      <c r="AD1698" s="2"/>
      <c r="AE1698" s="2"/>
      <c r="AF1698" s="2"/>
      <c r="AG1698" s="2"/>
      <c r="AH1698" s="2"/>
      <c r="AI1698" s="2"/>
      <c r="AJ1698" s="2"/>
      <c r="AK1698" s="2"/>
      <c r="AL1698" s="2"/>
    </row>
    <row r="1699" spans="1:38" ht="12.75" customHeight="1" x14ac:dyDescent="0.25">
      <c r="A1699" s="2"/>
      <c r="B1699" s="178"/>
      <c r="C1699" s="779"/>
      <c r="D1699" s="416" t="s">
        <v>1206</v>
      </c>
      <c r="E1699" s="2626" t="str">
        <f>Translations!$B$589</f>
        <v>Energiinnehåll (beräknat)</v>
      </c>
      <c r="F1699" s="2487"/>
      <c r="G1699" s="428" t="str">
        <f>EUconst_TJpa</f>
        <v>TJ / år</v>
      </c>
      <c r="H1699" s="275" t="str">
        <f t="shared" ref="H1699:N1699" si="754">IF(COUNT(H1693:H1694)=2,H1693*H1694/1000,"")</f>
        <v/>
      </c>
      <c r="I1699" s="281" t="str">
        <f t="shared" si="754"/>
        <v/>
      </c>
      <c r="J1699" s="1118" t="str">
        <f t="shared" si="754"/>
        <v/>
      </c>
      <c r="K1699" s="275" t="str">
        <f t="shared" si="754"/>
        <v/>
      </c>
      <c r="L1699" s="275" t="str">
        <f t="shared" si="754"/>
        <v/>
      </c>
      <c r="M1699" s="275" t="str">
        <f t="shared" si="754"/>
        <v/>
      </c>
      <c r="N1699" s="1144" t="str">
        <f t="shared" si="754"/>
        <v/>
      </c>
      <c r="O1699" s="15"/>
      <c r="P1699" s="15"/>
      <c r="Q1699" s="343"/>
      <c r="R1699" s="2"/>
      <c r="S1699" s="343"/>
      <c r="T1699" s="2"/>
      <c r="U1699" s="2"/>
      <c r="V1699" s="2"/>
      <c r="W1699" s="2"/>
      <c r="X1699" s="2"/>
      <c r="Y1699" s="2"/>
      <c r="Z1699" s="2"/>
      <c r="AA1699" s="2"/>
      <c r="AB1699" s="2"/>
      <c r="AC1699" s="2"/>
      <c r="AD1699" s="2"/>
      <c r="AE1699" s="2"/>
      <c r="AF1699" s="2"/>
      <c r="AG1699" s="2"/>
      <c r="AH1699" s="2"/>
      <c r="AI1699" s="2"/>
      <c r="AJ1699" s="2"/>
      <c r="AK1699" s="2"/>
      <c r="AL1699" s="2"/>
    </row>
    <row r="1700" spans="1:38" ht="12.75" customHeight="1" x14ac:dyDescent="0.25">
      <c r="A1700" s="2"/>
      <c r="B1700" s="178"/>
      <c r="C1700" s="779"/>
      <c r="D1700" s="416" t="s">
        <v>1202</v>
      </c>
      <c r="E1700" s="2629" t="str">
        <f>Translations!$B$590</f>
        <v>Felmeddelanden (utsläpp)</v>
      </c>
      <c r="F1700" s="2630"/>
      <c r="G1700" s="429"/>
      <c r="H1700" s="520" t="str">
        <f t="shared" ref="H1700:N1700" si="755">IF(COUNT(H1693,H1695:H1696)&gt;0,IF(COUNTIF(H1694:H1696,"&lt;0")&gt;0,EUconst_Negative,IF(COUNT(H1693,H1695:H1696)&lt;3,EUconst_Incomplete,"")),"")</f>
        <v/>
      </c>
      <c r="I1700" s="1111" t="str">
        <f t="shared" si="755"/>
        <v/>
      </c>
      <c r="J1700" s="1119" t="str">
        <f t="shared" si="755"/>
        <v/>
      </c>
      <c r="K1700" s="520" t="str">
        <f t="shared" si="755"/>
        <v/>
      </c>
      <c r="L1700" s="520" t="str">
        <f t="shared" si="755"/>
        <v/>
      </c>
      <c r="M1700" s="520" t="str">
        <f t="shared" si="755"/>
        <v/>
      </c>
      <c r="N1700" s="1145" t="str">
        <f t="shared" si="755"/>
        <v/>
      </c>
      <c r="O1700" s="15"/>
      <c r="P1700" s="15"/>
      <c r="Q1700" s="343"/>
      <c r="R1700" s="2"/>
      <c r="S1700" s="343"/>
      <c r="T1700" s="2"/>
      <c r="U1700" s="2"/>
      <c r="V1700" s="2"/>
      <c r="W1700" s="2"/>
      <c r="X1700" s="2"/>
      <c r="Y1700" s="2"/>
      <c r="Z1700" s="2"/>
      <c r="AA1700" s="2"/>
      <c r="AB1700" s="2"/>
      <c r="AC1700" s="2"/>
      <c r="AD1700" s="2"/>
      <c r="AE1700" s="2"/>
      <c r="AF1700" s="2"/>
      <c r="AG1700" s="2"/>
      <c r="AH1700" s="2"/>
      <c r="AI1700" s="2"/>
      <c r="AJ1700" s="2"/>
      <c r="AK1700" s="2"/>
      <c r="AL1700" s="2"/>
    </row>
    <row r="1701" spans="1:38" ht="12.75" customHeight="1" x14ac:dyDescent="0.25">
      <c r="A1701" s="2"/>
      <c r="B1701" s="178"/>
      <c r="C1701" s="779"/>
      <c r="D1701" s="780"/>
      <c r="E1701" s="780"/>
      <c r="F1701" s="780"/>
      <c r="G1701" s="780"/>
      <c r="H1701" s="780"/>
      <c r="I1701" s="780"/>
      <c r="J1701" s="780"/>
      <c r="K1701" s="780"/>
      <c r="L1701" s="780"/>
      <c r="M1701" s="623"/>
      <c r="N1701" s="519"/>
      <c r="O1701" s="15"/>
      <c r="P1701" s="15"/>
      <c r="Q1701" s="343"/>
      <c r="R1701" s="2"/>
      <c r="S1701" s="343"/>
      <c r="T1701" s="2"/>
      <c r="U1701" s="2"/>
      <c r="V1701" s="2"/>
      <c r="W1701" s="2"/>
      <c r="X1701" s="2"/>
      <c r="Y1701" s="2"/>
      <c r="Z1701" s="2"/>
      <c r="AA1701" s="2"/>
      <c r="AB1701" s="2"/>
      <c r="AC1701" s="2"/>
      <c r="AD1701" s="2"/>
      <c r="AE1701" s="2"/>
      <c r="AF1701" s="2"/>
      <c r="AG1701" s="2"/>
      <c r="AH1701" s="2"/>
      <c r="AI1701" s="2"/>
      <c r="AJ1701" s="2"/>
      <c r="AK1701" s="2"/>
      <c r="AL1701" s="2"/>
    </row>
    <row r="1702" spans="1:38" ht="12.75" customHeight="1" x14ac:dyDescent="0.25">
      <c r="A1702" s="2"/>
      <c r="B1702" s="178"/>
      <c r="C1702" s="779"/>
      <c r="D1702" s="373" t="s">
        <v>523</v>
      </c>
      <c r="E1702" s="2614" t="str">
        <f>Translations!$B$593</f>
        <v>Mängd växthusgaser som importerats eller exporterats som råvaror</v>
      </c>
      <c r="F1702" s="1960"/>
      <c r="G1702" s="1960"/>
      <c r="H1702" s="1960"/>
      <c r="I1702" s="1960"/>
      <c r="J1702" s="1960"/>
      <c r="K1702" s="1960"/>
      <c r="L1702" s="1960"/>
      <c r="M1702" s="1960"/>
      <c r="N1702" s="2597"/>
      <c r="O1702" s="15"/>
      <c r="P1702" s="15"/>
      <c r="Q1702" s="343"/>
      <c r="R1702" s="2"/>
      <c r="S1702" s="343"/>
      <c r="T1702" s="2"/>
      <c r="U1702" s="2"/>
      <c r="V1702" s="2"/>
      <c r="W1702" s="2"/>
      <c r="X1702" s="2"/>
      <c r="Y1702" s="2"/>
      <c r="Z1702" s="2"/>
      <c r="AA1702" s="2"/>
      <c r="AB1702" s="2"/>
      <c r="AC1702" s="2"/>
      <c r="AD1702" s="2"/>
      <c r="AE1702" s="2"/>
      <c r="AF1702" s="2"/>
      <c r="AG1702" s="2"/>
      <c r="AH1702" s="2"/>
      <c r="AI1702" s="2"/>
      <c r="AJ1702" s="2"/>
      <c r="AK1702" s="2"/>
      <c r="AL1702" s="2"/>
    </row>
    <row r="1703" spans="1:38" ht="12.75" customHeight="1" x14ac:dyDescent="0.25">
      <c r="A1703" s="2"/>
      <c r="B1703" s="178"/>
      <c r="C1703" s="779"/>
      <c r="D1703" s="416"/>
      <c r="E1703" s="2596" t="str">
        <f>Translations!$B$556</f>
        <v>De uppgifter som anges här påverkar de utsläpp som kan tillskrivas i enlighet med avsnitt 10.1.1 i bilaga VII till FAR.</v>
      </c>
      <c r="F1703" s="1960"/>
      <c r="G1703" s="1960"/>
      <c r="H1703" s="1960"/>
      <c r="I1703" s="1960"/>
      <c r="J1703" s="1960"/>
      <c r="K1703" s="1960"/>
      <c r="L1703" s="1960"/>
      <c r="M1703" s="1960"/>
      <c r="N1703" s="2597"/>
      <c r="O1703" s="15"/>
      <c r="P1703" s="15"/>
      <c r="Q1703" s="343"/>
      <c r="R1703" s="2"/>
      <c r="S1703" s="343"/>
      <c r="T1703" s="343"/>
      <c r="U1703" s="343"/>
      <c r="V1703" s="343"/>
      <c r="W1703" s="2"/>
      <c r="X1703" s="2"/>
      <c r="Y1703" s="2"/>
      <c r="Z1703" s="2"/>
      <c r="AA1703" s="2"/>
      <c r="AB1703" s="2"/>
      <c r="AC1703" s="2"/>
      <c r="AD1703" s="2"/>
      <c r="AE1703" s="2"/>
      <c r="AF1703" s="2"/>
      <c r="AG1703" s="2"/>
      <c r="AH1703" s="2"/>
      <c r="AI1703" s="2"/>
      <c r="AJ1703" s="2"/>
      <c r="AK1703" s="2"/>
      <c r="AL1703" s="2"/>
    </row>
    <row r="1704" spans="1:38" ht="25.5" customHeight="1" x14ac:dyDescent="0.25">
      <c r="A1704" s="2"/>
      <c r="B1704" s="178"/>
      <c r="C1704" s="779"/>
      <c r="D1704" s="780"/>
      <c r="E1704" s="2610" t="str">
        <f>Translations!$B$594</f>
        <v>I enlighet med kravet i avsnitt 3.1 k och 3.1 l i bilaga IV till FAR, var god ange mängden överförd koldioxid som importeras från eller exporteras till andra delanläggningar, anläggningar eller andra enheter, i enlighet med M&amp;R-förordningens regler.</v>
      </c>
      <c r="F1704" s="1960"/>
      <c r="G1704" s="1960"/>
      <c r="H1704" s="1960"/>
      <c r="I1704" s="1960"/>
      <c r="J1704" s="1960"/>
      <c r="K1704" s="1960"/>
      <c r="L1704" s="1960"/>
      <c r="M1704" s="1960"/>
      <c r="N1704" s="2597"/>
      <c r="O1704" s="15"/>
      <c r="P1704" s="15"/>
      <c r="Q1704" s="343"/>
      <c r="R1704" s="2"/>
      <c r="S1704" s="343"/>
      <c r="T1704" s="2"/>
      <c r="U1704" s="2"/>
      <c r="V1704" s="2"/>
      <c r="W1704" s="2"/>
      <c r="X1704" s="2"/>
      <c r="Y1704" s="2"/>
      <c r="Z1704" s="2"/>
      <c r="AA1704" s="2"/>
      <c r="AB1704" s="2"/>
      <c r="AC1704" s="2"/>
      <c r="AD1704" s="2"/>
      <c r="AE1704" s="2"/>
      <c r="AF1704" s="2"/>
      <c r="AG1704" s="2"/>
      <c r="AH1704" s="2"/>
      <c r="AI1704" s="2"/>
      <c r="AJ1704" s="2"/>
      <c r="AK1704" s="2"/>
      <c r="AL1704" s="2"/>
    </row>
    <row r="1705" spans="1:38" ht="12.75" customHeight="1" thickBot="1" x14ac:dyDescent="0.3">
      <c r="A1705" s="2"/>
      <c r="B1705" s="178"/>
      <c r="C1705" s="779"/>
      <c r="D1705" s="780"/>
      <c r="E1705" s="2610" t="str">
        <f>Translations!$B$595</f>
        <v>Exporterade mängder bör anges i negativa värden och motsvara den koldioxid som exporteras och som inte släpps ut i atmosfären av delanläggningen.</v>
      </c>
      <c r="F1705" s="1960"/>
      <c r="G1705" s="1960"/>
      <c r="H1705" s="1960"/>
      <c r="I1705" s="1960"/>
      <c r="J1705" s="1960"/>
      <c r="K1705" s="1960"/>
      <c r="L1705" s="1960"/>
      <c r="M1705" s="1960"/>
      <c r="N1705" s="2597"/>
      <c r="O1705" s="15"/>
      <c r="P1705" s="15"/>
      <c r="Q1705" s="343"/>
      <c r="R1705" s="2"/>
      <c r="S1705" s="343"/>
      <c r="T1705" s="2"/>
      <c r="U1705" s="2"/>
      <c r="V1705" s="2"/>
      <c r="W1705" s="2"/>
      <c r="X1705" s="2"/>
      <c r="Y1705" s="2"/>
      <c r="Z1705" s="2"/>
      <c r="AA1705" s="2"/>
      <c r="AB1705" s="2"/>
      <c r="AC1705" s="2"/>
      <c r="AD1705" s="2"/>
      <c r="AE1705" s="2"/>
      <c r="AF1705" s="2"/>
      <c r="AG1705" s="2"/>
      <c r="AH1705" s="2"/>
      <c r="AI1705" s="2"/>
      <c r="AJ1705" s="2"/>
      <c r="AK1705" s="2"/>
      <c r="AL1705" s="2"/>
    </row>
    <row r="1706" spans="1:38" ht="12.75" customHeight="1" thickBot="1" x14ac:dyDescent="0.3">
      <c r="A1706" s="2"/>
      <c r="B1706" s="178"/>
      <c r="C1706" s="779"/>
      <c r="D1706" s="373"/>
      <c r="E1706" s="1716"/>
      <c r="F1706" s="1717"/>
      <c r="G1706" s="361" t="str">
        <f>EUconst_Unit</f>
        <v>Enhet</v>
      </c>
      <c r="H1706" s="362">
        <f t="shared" ref="H1706:N1706" si="756">H$3042</f>
        <v>2019</v>
      </c>
      <c r="I1706" s="1103">
        <f t="shared" si="756"/>
        <v>2020</v>
      </c>
      <c r="J1706" s="1104">
        <f t="shared" si="756"/>
        <v>2021</v>
      </c>
      <c r="K1706" s="362">
        <f t="shared" si="756"/>
        <v>2022</v>
      </c>
      <c r="L1706" s="362">
        <f t="shared" si="756"/>
        <v>2023</v>
      </c>
      <c r="M1706" s="362">
        <f t="shared" si="756"/>
        <v>2024</v>
      </c>
      <c r="N1706" s="1141">
        <f t="shared" si="756"/>
        <v>2025</v>
      </c>
      <c r="O1706" s="15"/>
      <c r="P1706" s="15"/>
      <c r="Q1706" s="343"/>
      <c r="R1706" s="2"/>
      <c r="S1706" s="772"/>
      <c r="T1706" s="609">
        <f t="shared" ref="T1706:Z1706" si="757">H1706</f>
        <v>2019</v>
      </c>
      <c r="U1706" s="609">
        <f t="shared" si="757"/>
        <v>2020</v>
      </c>
      <c r="V1706" s="609">
        <f t="shared" si="757"/>
        <v>2021</v>
      </c>
      <c r="W1706" s="609">
        <f t="shared" si="757"/>
        <v>2022</v>
      </c>
      <c r="X1706" s="609">
        <f t="shared" si="757"/>
        <v>2023</v>
      </c>
      <c r="Y1706" s="609">
        <f t="shared" si="757"/>
        <v>2024</v>
      </c>
      <c r="Z1706" s="610">
        <f t="shared" si="757"/>
        <v>2025</v>
      </c>
      <c r="AA1706" s="2"/>
      <c r="AB1706" s="2"/>
      <c r="AC1706" s="1044">
        <f t="shared" ref="AC1706:AI1706" si="758">H$20</f>
        <v>2019</v>
      </c>
      <c r="AD1706" s="1044">
        <f t="shared" si="758"/>
        <v>2020</v>
      </c>
      <c r="AE1706" s="1044">
        <f t="shared" si="758"/>
        <v>2021</v>
      </c>
      <c r="AF1706" s="1044">
        <f t="shared" si="758"/>
        <v>2022</v>
      </c>
      <c r="AG1706" s="1044">
        <f t="shared" si="758"/>
        <v>2023</v>
      </c>
      <c r="AH1706" s="1044">
        <f t="shared" si="758"/>
        <v>2024</v>
      </c>
      <c r="AI1706" s="1044">
        <f t="shared" si="758"/>
        <v>2025</v>
      </c>
      <c r="AJ1706" s="2"/>
      <c r="AK1706" s="2"/>
      <c r="AL1706" s="2"/>
    </row>
    <row r="1707" spans="1:38" ht="12.75" customHeight="1" thickBot="1" x14ac:dyDescent="0.3">
      <c r="A1707" s="2"/>
      <c r="B1707" s="178"/>
      <c r="C1707" s="779"/>
      <c r="D1707" s="416"/>
      <c r="E1707" s="2613" t="str">
        <f>Translations!$B$596</f>
        <v>Importerade eller exporterade växthusgaser</v>
      </c>
      <c r="F1707" s="1997"/>
      <c r="G1707" s="364" t="str">
        <f>EUconst_tCO2epa</f>
        <v>t CO2e/år</v>
      </c>
      <c r="H1707" s="582"/>
      <c r="I1707" s="1105"/>
      <c r="J1707" s="1115"/>
      <c r="K1707" s="582"/>
      <c r="L1707" s="582"/>
      <c r="M1707" s="582"/>
      <c r="N1707" s="1146"/>
      <c r="O1707" s="15"/>
      <c r="P1707" s="1362"/>
      <c r="Q1707" s="165" t="str">
        <f>EUconst_CNTR_CO2Feedstock &amp; I1523</f>
        <v>EmCO2Feedstock_</v>
      </c>
      <c r="R1707" s="2"/>
      <c r="S1707" s="773" t="str">
        <f>EUconst_CNTR_AttributedEmissions &amp; I1523</f>
        <v>AttrEmissions_</v>
      </c>
      <c r="T1707" s="111" t="str">
        <f t="shared" ref="T1707:Z1707" si="759">IF(T1531,SUM(H1707),"")</f>
        <v/>
      </c>
      <c r="U1707" s="111" t="str">
        <f t="shared" si="759"/>
        <v/>
      </c>
      <c r="V1707" s="111" t="str">
        <f t="shared" si="759"/>
        <v/>
      </c>
      <c r="W1707" s="111" t="str">
        <f t="shared" si="759"/>
        <v/>
      </c>
      <c r="X1707" s="111" t="str">
        <f t="shared" si="759"/>
        <v/>
      </c>
      <c r="Y1707" s="111" t="str">
        <f t="shared" si="759"/>
        <v/>
      </c>
      <c r="Z1707" s="112" t="str">
        <f t="shared" si="759"/>
        <v/>
      </c>
      <c r="AA1707" s="2"/>
      <c r="AB1707" s="672" t="s">
        <v>782</v>
      </c>
      <c r="AC1707" s="108" t="b">
        <f>AC1593</f>
        <v>0</v>
      </c>
      <c r="AD1707" s="108" t="b">
        <f t="shared" ref="AD1707:AI1707" si="760">AD1593</f>
        <v>0</v>
      </c>
      <c r="AE1707" s="108" t="b">
        <f t="shared" si="760"/>
        <v>0</v>
      </c>
      <c r="AF1707" s="108" t="b">
        <f t="shared" si="760"/>
        <v>0</v>
      </c>
      <c r="AG1707" s="108" t="b">
        <f t="shared" si="760"/>
        <v>0</v>
      </c>
      <c r="AH1707" s="108" t="b">
        <f t="shared" si="760"/>
        <v>0</v>
      </c>
      <c r="AI1707" s="108" t="b">
        <f t="shared" si="760"/>
        <v>0</v>
      </c>
      <c r="AJ1707" s="553" t="s">
        <v>2248</v>
      </c>
      <c r="AK1707" s="663" t="str">
        <f>IF(AND(CNTR_ExistSubInstEntries,MSconst_RequireSubAttrEmissions,COUNTIFS(AC1707:AI1707,FALSE,H1707:N1707,"")&gt;0),EUconst_Error&amp;"BM"&amp;$Q1523,"")</f>
        <v/>
      </c>
      <c r="AL1707" s="2"/>
    </row>
    <row r="1708" spans="1:38" ht="12.75" customHeight="1" x14ac:dyDescent="0.25">
      <c r="A1708" s="2"/>
      <c r="B1708" s="178"/>
      <c r="C1708" s="779"/>
      <c r="D1708" s="780"/>
      <c r="E1708" s="780"/>
      <c r="F1708" s="780"/>
      <c r="G1708" s="780"/>
      <c r="H1708" s="780"/>
      <c r="I1708" s="780"/>
      <c r="J1708" s="780"/>
      <c r="K1708" s="780"/>
      <c r="L1708" s="780"/>
      <c r="M1708" s="623"/>
      <c r="N1708" s="519"/>
      <c r="O1708" s="15"/>
      <c r="P1708" s="15"/>
      <c r="Q1708" s="343"/>
      <c r="R1708" s="2"/>
      <c r="S1708" s="343"/>
      <c r="T1708" s="2"/>
      <c r="U1708" s="2"/>
      <c r="V1708" s="2"/>
      <c r="W1708" s="2"/>
      <c r="X1708" s="2"/>
      <c r="Y1708" s="2"/>
      <c r="Z1708" s="2"/>
      <c r="AA1708" s="2"/>
      <c r="AB1708" s="2"/>
      <c r="AC1708" s="2"/>
      <c r="AD1708" s="2"/>
      <c r="AE1708" s="2"/>
      <c r="AF1708" s="2"/>
      <c r="AG1708" s="2"/>
      <c r="AH1708" s="2"/>
      <c r="AI1708" s="2"/>
      <c r="AJ1708" s="2"/>
      <c r="AK1708" s="2"/>
      <c r="AL1708" s="2"/>
    </row>
    <row r="1709" spans="1:38" ht="12.75" customHeight="1" x14ac:dyDescent="0.25">
      <c r="A1709" s="2"/>
      <c r="B1709" s="178"/>
      <c r="C1709" s="779"/>
      <c r="D1709" s="373" t="s">
        <v>524</v>
      </c>
      <c r="E1709" s="2614" t="str">
        <f>Translations!$B$597</f>
        <v>Import till och export från delanläggningen av mätbar värme</v>
      </c>
      <c r="F1709" s="1960"/>
      <c r="G1709" s="1960"/>
      <c r="H1709" s="1960"/>
      <c r="I1709" s="1960"/>
      <c r="J1709" s="1960"/>
      <c r="K1709" s="1960"/>
      <c r="L1709" s="1960"/>
      <c r="M1709" s="1960"/>
      <c r="N1709" s="2597"/>
      <c r="O1709" s="15"/>
      <c r="P1709" s="15"/>
      <c r="Q1709" s="343"/>
      <c r="R1709" s="2"/>
      <c r="S1709" s="343"/>
      <c r="T1709" s="2"/>
      <c r="U1709" s="2"/>
      <c r="V1709" s="2"/>
      <c r="W1709" s="2"/>
      <c r="X1709" s="2"/>
      <c r="Y1709" s="2"/>
      <c r="Z1709" s="2"/>
      <c r="AA1709" s="2"/>
      <c r="AB1709" s="2"/>
      <c r="AC1709" s="2"/>
      <c r="AD1709" s="2"/>
      <c r="AE1709" s="2"/>
      <c r="AF1709" s="2"/>
      <c r="AG1709" s="2"/>
      <c r="AH1709" s="2"/>
      <c r="AI1709" s="2"/>
      <c r="AJ1709" s="2"/>
      <c r="AK1709" s="2"/>
      <c r="AL1709" s="2"/>
    </row>
    <row r="1710" spans="1:38" ht="12.75" customHeight="1" x14ac:dyDescent="0.25">
      <c r="A1710" s="2"/>
      <c r="B1710" s="178"/>
      <c r="C1710" s="779"/>
      <c r="D1710" s="416"/>
      <c r="E1710" s="2596" t="str">
        <f>Translations!$B$598</f>
        <v>De uppgifter som anges här påverkar de utsläpp som kan tillskrivas i enlighet med avsnitt 10.1.2 och 10.1.3 i bilaga VII till FAR.</v>
      </c>
      <c r="F1710" s="1960"/>
      <c r="G1710" s="1960"/>
      <c r="H1710" s="1960"/>
      <c r="I1710" s="1960"/>
      <c r="J1710" s="1960"/>
      <c r="K1710" s="1960"/>
      <c r="L1710" s="1960"/>
      <c r="M1710" s="1960"/>
      <c r="N1710" s="2597"/>
      <c r="O1710" s="15"/>
      <c r="P1710" s="15"/>
      <c r="Q1710" s="343"/>
      <c r="R1710" s="2"/>
      <c r="S1710" s="343"/>
      <c r="T1710" s="343"/>
      <c r="U1710" s="343"/>
      <c r="V1710" s="343"/>
      <c r="W1710" s="2"/>
      <c r="X1710" s="2"/>
      <c r="Y1710" s="2"/>
      <c r="Z1710" s="2"/>
      <c r="AA1710" s="2"/>
      <c r="AB1710" s="2"/>
      <c r="AC1710" s="2"/>
      <c r="AD1710" s="2"/>
      <c r="AE1710" s="2"/>
      <c r="AF1710" s="2"/>
      <c r="AG1710" s="2"/>
      <c r="AH1710" s="2"/>
      <c r="AI1710" s="2"/>
      <c r="AJ1710" s="2"/>
      <c r="AK1710" s="2"/>
      <c r="AL1710" s="2"/>
    </row>
    <row r="1711" spans="1:38" ht="38.9" customHeight="1" x14ac:dyDescent="0.25">
      <c r="A1711" s="2"/>
      <c r="B1711" s="178"/>
      <c r="C1711" s="779"/>
      <c r="D1711" s="780"/>
      <c r="E1711" s="2610" t="str">
        <f>Translations!$B$599</f>
        <v>Detta innefattar den totala mängd värme som produceras i, importeras från eller exporteras till (del)anläggningar inom ETS eller anläggningar eller enheter utanför ETS. De särskilda emissionsfaktorerna för värmen bör vara förenliga med bestämmelserna i avsnitten 8 och 10 i bilaga VII till FAR, särskilt avsnitt 10.1.2 och 10.1.3.</v>
      </c>
      <c r="F1711" s="1960"/>
      <c r="G1711" s="1960"/>
      <c r="H1711" s="1960"/>
      <c r="I1711" s="1960"/>
      <c r="J1711" s="1960"/>
      <c r="K1711" s="1960"/>
      <c r="L1711" s="1960"/>
      <c r="M1711" s="1960"/>
      <c r="N1711" s="2597"/>
      <c r="O1711" s="15"/>
      <c r="P1711" s="15"/>
      <c r="Q1711" s="343"/>
      <c r="R1711" s="2"/>
      <c r="S1711" s="343"/>
      <c r="T1711" s="2"/>
      <c r="U1711" s="2"/>
      <c r="V1711" s="2"/>
      <c r="W1711" s="2"/>
      <c r="X1711" s="2"/>
      <c r="Y1711" s="2"/>
      <c r="Z1711" s="2"/>
      <c r="AA1711" s="2"/>
      <c r="AB1711" s="2"/>
      <c r="AC1711" s="2"/>
      <c r="AD1711" s="2"/>
      <c r="AE1711" s="2"/>
      <c r="AF1711" s="2"/>
      <c r="AG1711" s="2"/>
      <c r="AH1711" s="2"/>
      <c r="AI1711" s="2"/>
      <c r="AJ1711" s="2"/>
      <c r="AK1711" s="2"/>
      <c r="AL1711" s="2"/>
    </row>
    <row r="1712" spans="1:38" ht="25.5" customHeight="1" x14ac:dyDescent="0.25">
      <c r="A1712" s="2"/>
      <c r="B1712" s="178"/>
      <c r="C1712" s="779"/>
      <c r="D1712" s="780"/>
      <c r="E1712" s="2610" t="str">
        <f>Translations!$B$600</f>
        <v>Utsläpp avseende mätbar värme som produceras på platsen från enheter som tjänar mer än en delanläggning bör också anges här under ”import” i stället för att utsläppen direkt tillskrivs genom bränslets emissionsfaktor i punkt g ovan. Detsamma gäller för all värme som ”importeras” från andra delanläggningar.</v>
      </c>
      <c r="F1712" s="1960"/>
      <c r="G1712" s="1960"/>
      <c r="H1712" s="1960"/>
      <c r="I1712" s="1960"/>
      <c r="J1712" s="1960"/>
      <c r="K1712" s="1960"/>
      <c r="L1712" s="1960"/>
      <c r="M1712" s="1960"/>
      <c r="N1712" s="2597"/>
      <c r="O1712" s="15"/>
      <c r="P1712" s="15"/>
      <c r="Q1712" s="343"/>
      <c r="R1712" s="2"/>
      <c r="S1712" s="343"/>
      <c r="T1712" s="2"/>
      <c r="U1712" s="2"/>
      <c r="V1712" s="2"/>
      <c r="W1712" s="2"/>
      <c r="X1712" s="2"/>
      <c r="Y1712" s="2"/>
      <c r="Z1712" s="2"/>
      <c r="AA1712" s="2"/>
      <c r="AB1712" s="2"/>
      <c r="AC1712" s="2"/>
      <c r="AD1712" s="2"/>
      <c r="AE1712" s="2"/>
      <c r="AF1712" s="2"/>
      <c r="AG1712" s="2"/>
      <c r="AH1712" s="2"/>
      <c r="AI1712" s="2"/>
      <c r="AJ1712" s="2"/>
      <c r="AK1712" s="2"/>
      <c r="AL1712" s="2"/>
    </row>
    <row r="1713" spans="1:38" ht="25.5" customHeight="1" x14ac:dyDescent="0.25">
      <c r="A1713" s="2"/>
      <c r="B1713" s="178"/>
      <c r="C1713" s="779"/>
      <c r="D1713" s="780"/>
      <c r="E1713" s="2610" t="str">
        <f>Translations!$B$601</f>
        <v xml:space="preserve">Om värmen endast produceras för en delanläggning och de motsvarande utsläppen därför anges i punkt g ovan, bör mängderna inte anges här som import för att undvika dubbelräkning. </v>
      </c>
      <c r="F1713" s="1960"/>
      <c r="G1713" s="1960"/>
      <c r="H1713" s="1960"/>
      <c r="I1713" s="1960"/>
      <c r="J1713" s="1960"/>
      <c r="K1713" s="1960"/>
      <c r="L1713" s="1960"/>
      <c r="M1713" s="1960"/>
      <c r="N1713" s="2597"/>
      <c r="O1713" s="15"/>
      <c r="P1713" s="15"/>
      <c r="Q1713" s="343"/>
      <c r="R1713" s="2"/>
      <c r="S1713" s="343"/>
      <c r="T1713" s="2"/>
      <c r="U1713" s="2"/>
      <c r="V1713" s="2"/>
      <c r="W1713" s="2"/>
      <c r="X1713" s="2"/>
      <c r="Y1713" s="2"/>
      <c r="Z1713" s="2"/>
      <c r="AA1713" s="2"/>
      <c r="AB1713" s="2"/>
      <c r="AC1713" s="2"/>
      <c r="AD1713" s="2"/>
      <c r="AE1713" s="2"/>
      <c r="AF1713" s="2"/>
      <c r="AG1713" s="2"/>
      <c r="AH1713" s="2"/>
      <c r="AI1713" s="2"/>
      <c r="AJ1713" s="2"/>
      <c r="AK1713" s="2"/>
      <c r="AL1713" s="2"/>
    </row>
    <row r="1714" spans="1:38" ht="12.75" customHeight="1" thickBot="1" x14ac:dyDescent="0.3">
      <c r="A1714" s="2"/>
      <c r="B1714" s="178"/>
      <c r="C1714" s="779"/>
      <c r="D1714" s="780"/>
      <c r="E1714" s="2622" t="str">
        <f>Translations!$B$602</f>
        <v>Kraftvärmeverktyget i avsnitt D.III i bladet "D_Emissions" måste användas för att tillskriva utsläpp från kraftvärme till produktion av mätbar värme.</v>
      </c>
      <c r="F1714" s="2623"/>
      <c r="G1714" s="2623"/>
      <c r="H1714" s="2623"/>
      <c r="I1714" s="2623"/>
      <c r="J1714" s="2623"/>
      <c r="K1714" s="2623"/>
      <c r="L1714" s="2623"/>
      <c r="M1714" s="2623"/>
      <c r="N1714" s="2624"/>
      <c r="O1714" s="15"/>
      <c r="P1714" s="15"/>
      <c r="Q1714" s="343"/>
      <c r="R1714" s="2"/>
      <c r="S1714" s="2"/>
      <c r="T1714" s="2"/>
      <c r="U1714" s="2"/>
      <c r="V1714" s="2"/>
      <c r="W1714" s="2"/>
      <c r="X1714" s="2"/>
      <c r="Y1714" s="2"/>
      <c r="Z1714" s="2"/>
      <c r="AA1714" s="2"/>
      <c r="AB1714" s="2"/>
      <c r="AC1714" s="2"/>
      <c r="AD1714" s="2"/>
      <c r="AE1714" s="2"/>
      <c r="AF1714" s="2"/>
      <c r="AG1714" s="2"/>
      <c r="AH1714" s="2"/>
      <c r="AI1714" s="2"/>
      <c r="AJ1714" s="2"/>
      <c r="AK1714" s="2"/>
      <c r="AL1714" s="2"/>
    </row>
    <row r="1715" spans="1:38" ht="12.75" customHeight="1" thickBot="1" x14ac:dyDescent="0.3">
      <c r="A1715" s="2"/>
      <c r="B1715" s="178"/>
      <c r="C1715" s="779"/>
      <c r="D1715" s="780"/>
      <c r="E1715" s="2605" t="str">
        <f>Translations!$B$603</f>
        <v>Total importerad värme</v>
      </c>
      <c r="F1715" s="2497"/>
      <c r="G1715" s="361" t="str">
        <f>EUconst_Unit</f>
        <v>Enhet</v>
      </c>
      <c r="H1715" s="362">
        <f t="shared" ref="H1715:N1715" si="761">H$3042</f>
        <v>2019</v>
      </c>
      <c r="I1715" s="1103">
        <f t="shared" si="761"/>
        <v>2020</v>
      </c>
      <c r="J1715" s="1104">
        <f t="shared" si="761"/>
        <v>2021</v>
      </c>
      <c r="K1715" s="362">
        <f t="shared" si="761"/>
        <v>2022</v>
      </c>
      <c r="L1715" s="362">
        <f t="shared" si="761"/>
        <v>2023</v>
      </c>
      <c r="M1715" s="362">
        <f t="shared" si="761"/>
        <v>2024</v>
      </c>
      <c r="N1715" s="1141">
        <f t="shared" si="761"/>
        <v>2025</v>
      </c>
      <c r="O1715" s="15"/>
      <c r="P1715" s="15"/>
      <c r="Q1715" s="343"/>
      <c r="R1715" s="2"/>
      <c r="S1715" s="772"/>
      <c r="T1715" s="609">
        <f t="shared" ref="T1715:Z1715" si="762">H1715</f>
        <v>2019</v>
      </c>
      <c r="U1715" s="609">
        <f t="shared" si="762"/>
        <v>2020</v>
      </c>
      <c r="V1715" s="609">
        <f t="shared" si="762"/>
        <v>2021</v>
      </c>
      <c r="W1715" s="609">
        <f t="shared" si="762"/>
        <v>2022</v>
      </c>
      <c r="X1715" s="609">
        <f t="shared" si="762"/>
        <v>2023</v>
      </c>
      <c r="Y1715" s="609">
        <f t="shared" si="762"/>
        <v>2024</v>
      </c>
      <c r="Z1715" s="610">
        <f t="shared" si="762"/>
        <v>2025</v>
      </c>
      <c r="AA1715" s="2"/>
      <c r="AB1715" s="2"/>
      <c r="AC1715" s="1044">
        <f t="shared" ref="AC1715:AI1715" si="763">H$20</f>
        <v>2019</v>
      </c>
      <c r="AD1715" s="1044">
        <f t="shared" si="763"/>
        <v>2020</v>
      </c>
      <c r="AE1715" s="1044">
        <f t="shared" si="763"/>
        <v>2021</v>
      </c>
      <c r="AF1715" s="1044">
        <f t="shared" si="763"/>
        <v>2022</v>
      </c>
      <c r="AG1715" s="1044">
        <f t="shared" si="763"/>
        <v>2023</v>
      </c>
      <c r="AH1715" s="1044">
        <f t="shared" si="763"/>
        <v>2024</v>
      </c>
      <c r="AI1715" s="1044">
        <f t="shared" si="763"/>
        <v>2025</v>
      </c>
      <c r="AJ1715" s="2"/>
      <c r="AK1715" s="2"/>
      <c r="AL1715" s="2"/>
    </row>
    <row r="1716" spans="1:38" ht="12.75" customHeight="1" x14ac:dyDescent="0.25">
      <c r="A1716" s="2"/>
      <c r="B1716" s="178"/>
      <c r="C1716" s="779"/>
      <c r="D1716" s="416" t="s">
        <v>8</v>
      </c>
      <c r="E1716" s="2613" t="str">
        <f>Translations!$B$604</f>
        <v>Nettomängd importerad värme</v>
      </c>
      <c r="F1716" s="1997"/>
      <c r="G1716" s="364" t="str">
        <f>EUconst_TJpa</f>
        <v>TJ / år</v>
      </c>
      <c r="H1716" s="582"/>
      <c r="I1716" s="1105"/>
      <c r="J1716" s="1115"/>
      <c r="K1716" s="582"/>
      <c r="L1716" s="582"/>
      <c r="M1716" s="582"/>
      <c r="N1716" s="1146"/>
      <c r="O1716" s="15"/>
      <c r="P1716" s="1362"/>
      <c r="Q1716" s="165" t="str">
        <f>EUconst_CNTR_HeatImport &amp; I1523</f>
        <v>HeatIm_</v>
      </c>
      <c r="R1716" s="2"/>
      <c r="S1716" s="1751" t="str">
        <f>EUconst_ERR_AttrEmBMapplied &amp; I1523</f>
        <v>ERR_AttrEmBM_</v>
      </c>
      <c r="T1716" s="108">
        <f t="shared" ref="T1716:Z1716" si="764">IF(AND(H1716&lt;&gt;0,H1717="",EUconst_StatusOfDataCollection=FALSE),1,0)</f>
        <v>0</v>
      </c>
      <c r="U1716" s="108">
        <f t="shared" si="764"/>
        <v>0</v>
      </c>
      <c r="V1716" s="108">
        <f t="shared" si="764"/>
        <v>0</v>
      </c>
      <c r="W1716" s="108">
        <f t="shared" si="764"/>
        <v>0</v>
      </c>
      <c r="X1716" s="108">
        <f t="shared" si="764"/>
        <v>0</v>
      </c>
      <c r="Y1716" s="108">
        <f t="shared" si="764"/>
        <v>0</v>
      </c>
      <c r="Z1716" s="109">
        <f t="shared" si="764"/>
        <v>0</v>
      </c>
      <c r="AA1716" s="40"/>
      <c r="AB1716" s="672" t="s">
        <v>782</v>
      </c>
      <c r="AC1716" s="108" t="b">
        <f t="shared" ref="AC1716:AI1716" si="765">AC1593</f>
        <v>0</v>
      </c>
      <c r="AD1716" s="108" t="b">
        <f t="shared" si="765"/>
        <v>0</v>
      </c>
      <c r="AE1716" s="108" t="b">
        <f t="shared" si="765"/>
        <v>0</v>
      </c>
      <c r="AF1716" s="108" t="b">
        <f t="shared" si="765"/>
        <v>0</v>
      </c>
      <c r="AG1716" s="108" t="b">
        <f t="shared" si="765"/>
        <v>0</v>
      </c>
      <c r="AH1716" s="108" t="b">
        <f t="shared" si="765"/>
        <v>0</v>
      </c>
      <c r="AI1716" s="108" t="b">
        <f t="shared" si="765"/>
        <v>0</v>
      </c>
      <c r="AJ1716" s="553" t="s">
        <v>2248</v>
      </c>
      <c r="AK1716" s="663" t="str">
        <f>IF(AND(CNTR_ExistSubInstEntries,MSconst_RequireSubAttrEmissions,COUNTIFS(AC1716:AI1716,FALSE,H1716:N1716,"")&gt;0),EUconst_Error&amp;"BM"&amp;$Q1523,"")</f>
        <v/>
      </c>
      <c r="AL1716" s="2"/>
    </row>
    <row r="1717" spans="1:38" ht="12.75" customHeight="1" thickBot="1" x14ac:dyDescent="0.3">
      <c r="A1717" s="2"/>
      <c r="B1717" s="178"/>
      <c r="C1717" s="779"/>
      <c r="D1717" s="416" t="s">
        <v>9</v>
      </c>
      <c r="E1717" s="2613" t="str">
        <f>Translations!$B$605</f>
        <v>Särskild emissionsfaktor (importerad värme)</v>
      </c>
      <c r="F1717" s="1997"/>
      <c r="G1717" s="364" t="str">
        <f>EUconst_tCO2pTJ</f>
        <v>t CO2 / TJ</v>
      </c>
      <c r="H1717" s="582"/>
      <c r="I1717" s="1105"/>
      <c r="J1717" s="1115"/>
      <c r="K1717" s="582"/>
      <c r="L1717" s="582"/>
      <c r="M1717" s="582"/>
      <c r="N1717" s="1146"/>
      <c r="O1717" s="15"/>
      <c r="P1717" s="1362"/>
      <c r="Q1717" s="165" t="str">
        <f>EUconst_CNTR_HeatImportEF &amp; I1523</f>
        <v>HeatImEF_</v>
      </c>
      <c r="R1717" s="2"/>
      <c r="S1717" s="773" t="str">
        <f>EUconst_CNTR_AttributedEmissions &amp; I1523</f>
        <v>AttrEmissions_</v>
      </c>
      <c r="T1717" s="111" t="str">
        <f t="shared" ref="T1717:Z1717" si="766">IF(T1531,SUM(H1716)*IF(ISNUMBER(H1717),H1717,EUconst_HeatBMvalue),"")</f>
        <v/>
      </c>
      <c r="U1717" s="111" t="str">
        <f t="shared" si="766"/>
        <v/>
      </c>
      <c r="V1717" s="111" t="str">
        <f t="shared" si="766"/>
        <v/>
      </c>
      <c r="W1717" s="111" t="str">
        <f t="shared" si="766"/>
        <v/>
      </c>
      <c r="X1717" s="111" t="str">
        <f t="shared" si="766"/>
        <v/>
      </c>
      <c r="Y1717" s="111" t="str">
        <f t="shared" si="766"/>
        <v/>
      </c>
      <c r="Z1717" s="112" t="str">
        <f t="shared" si="766"/>
        <v/>
      </c>
      <c r="AA1717" s="2"/>
      <c r="AB1717" s="2"/>
      <c r="AC1717" s="108" t="b">
        <f>AC1716</f>
        <v>0</v>
      </c>
      <c r="AD1717" s="108" t="b">
        <f t="shared" ref="AD1717:AI1717" si="767">AD1716</f>
        <v>0</v>
      </c>
      <c r="AE1717" s="108" t="b">
        <f t="shared" si="767"/>
        <v>0</v>
      </c>
      <c r="AF1717" s="108" t="b">
        <f t="shared" si="767"/>
        <v>0</v>
      </c>
      <c r="AG1717" s="108" t="b">
        <f t="shared" si="767"/>
        <v>0</v>
      </c>
      <c r="AH1717" s="108" t="b">
        <f t="shared" si="767"/>
        <v>0</v>
      </c>
      <c r="AI1717" s="108" t="b">
        <f t="shared" si="767"/>
        <v>0</v>
      </c>
      <c r="AJ1717" s="2"/>
      <c r="AK1717" s="2"/>
      <c r="AL1717" s="2"/>
    </row>
    <row r="1718" spans="1:38" ht="5.15" customHeight="1" x14ac:dyDescent="0.25">
      <c r="A1718" s="2"/>
      <c r="B1718" s="178"/>
      <c r="C1718" s="779"/>
      <c r="D1718" s="780"/>
      <c r="E1718" s="780"/>
      <c r="F1718" s="780"/>
      <c r="G1718" s="780"/>
      <c r="H1718" s="780"/>
      <c r="I1718" s="780"/>
      <c r="J1718" s="780"/>
      <c r="K1718" s="780"/>
      <c r="L1718" s="780"/>
      <c r="M1718" s="780"/>
      <c r="N1718" s="519"/>
      <c r="O1718" s="15"/>
      <c r="P1718" s="15"/>
      <c r="Q1718" s="343"/>
      <c r="R1718" s="2"/>
      <c r="S1718" s="343"/>
      <c r="T1718" s="343"/>
      <c r="U1718" s="343"/>
      <c r="V1718" s="343"/>
      <c r="W1718" s="2"/>
      <c r="X1718" s="2"/>
      <c r="Y1718" s="2"/>
      <c r="Z1718" s="2"/>
      <c r="AA1718" s="2"/>
      <c r="AB1718" s="2"/>
      <c r="AC1718" s="2"/>
      <c r="AD1718" s="2"/>
      <c r="AE1718" s="2"/>
      <c r="AF1718" s="2"/>
      <c r="AG1718" s="2"/>
      <c r="AH1718" s="2"/>
      <c r="AI1718" s="2"/>
      <c r="AJ1718" s="2"/>
      <c r="AK1718" s="2"/>
      <c r="AL1718" s="2"/>
    </row>
    <row r="1719" spans="1:38" ht="12.75" customHeight="1" thickBot="1" x14ac:dyDescent="0.3">
      <c r="A1719" s="2"/>
      <c r="B1719" s="178"/>
      <c r="C1719" s="779"/>
      <c r="D1719" s="780"/>
      <c r="E1719" s="2605" t="str">
        <f>Translations!$B$606</f>
        <v>Särskild värmeimport</v>
      </c>
      <c r="F1719" s="2497"/>
      <c r="G1719" s="361" t="str">
        <f>EUconst_Unit</f>
        <v>Enhet</v>
      </c>
      <c r="H1719" s="362">
        <f t="shared" ref="H1719:N1719" si="768">H$3042</f>
        <v>2019</v>
      </c>
      <c r="I1719" s="1103">
        <f t="shared" si="768"/>
        <v>2020</v>
      </c>
      <c r="J1719" s="1104">
        <f t="shared" si="768"/>
        <v>2021</v>
      </c>
      <c r="K1719" s="362">
        <f t="shared" si="768"/>
        <v>2022</v>
      </c>
      <c r="L1719" s="362">
        <f t="shared" si="768"/>
        <v>2023</v>
      </c>
      <c r="M1719" s="362">
        <f t="shared" si="768"/>
        <v>2024</v>
      </c>
      <c r="N1719" s="1141">
        <f t="shared" si="768"/>
        <v>2025</v>
      </c>
      <c r="O1719" s="15"/>
      <c r="P1719" s="15"/>
      <c r="Q1719" s="343"/>
      <c r="R1719" s="2"/>
      <c r="S1719" s="343"/>
      <c r="T1719" s="343"/>
      <c r="U1719" s="343"/>
      <c r="V1719" s="343"/>
      <c r="W1719" s="2"/>
      <c r="X1719" s="2"/>
      <c r="Y1719" s="2"/>
      <c r="Z1719" s="2"/>
      <c r="AA1719" s="2"/>
      <c r="AB1719" s="2"/>
      <c r="AC1719" s="1044">
        <f t="shared" ref="AC1719:AI1719" si="769">H$20</f>
        <v>2019</v>
      </c>
      <c r="AD1719" s="1044">
        <f t="shared" si="769"/>
        <v>2020</v>
      </c>
      <c r="AE1719" s="1044">
        <f t="shared" si="769"/>
        <v>2021</v>
      </c>
      <c r="AF1719" s="1044">
        <f t="shared" si="769"/>
        <v>2022</v>
      </c>
      <c r="AG1719" s="1044">
        <f t="shared" si="769"/>
        <v>2023</v>
      </c>
      <c r="AH1719" s="1044">
        <f t="shared" si="769"/>
        <v>2024</v>
      </c>
      <c r="AI1719" s="1044">
        <f t="shared" si="769"/>
        <v>2025</v>
      </c>
      <c r="AJ1719" s="2"/>
      <c r="AK1719" s="2"/>
      <c r="AL1719" s="2"/>
    </row>
    <row r="1720" spans="1:38" ht="12.75" customHeight="1" x14ac:dyDescent="0.25">
      <c r="A1720" s="2"/>
      <c r="B1720" s="178"/>
      <c r="C1720" s="779"/>
      <c r="D1720" s="416" t="s">
        <v>10</v>
      </c>
      <c r="E1720" s="2613" t="str">
        <f>Translations!$B$607</f>
        <v>Nettomängd importerad värme från massadelanläggningar</v>
      </c>
      <c r="F1720" s="1997"/>
      <c r="G1720" s="364" t="str">
        <f>EUconst_TJpa</f>
        <v>TJ / år</v>
      </c>
      <c r="H1720" s="1310"/>
      <c r="I1720" s="1311"/>
      <c r="J1720" s="1312"/>
      <c r="K1720" s="1310"/>
      <c r="L1720" s="1310"/>
      <c r="M1720" s="1310"/>
      <c r="N1720" s="1313"/>
      <c r="O1720" s="15"/>
      <c r="P1720" s="1362"/>
      <c r="Q1720" s="165" t="str">
        <f>EUconst_CNTR_HeatImportPulp &amp; I1523</f>
        <v>HeatImPulp_</v>
      </c>
      <c r="R1720" s="2"/>
      <c r="S1720" s="343"/>
      <c r="T1720" s="343"/>
      <c r="U1720" s="343"/>
      <c r="V1720" s="343"/>
      <c r="W1720" s="2"/>
      <c r="X1720" s="2"/>
      <c r="Y1720" s="2"/>
      <c r="Z1720" s="2"/>
      <c r="AA1720" s="2"/>
      <c r="AB1720" s="672" t="s">
        <v>782</v>
      </c>
      <c r="AC1720" s="108" t="b">
        <f>AC1593</f>
        <v>0</v>
      </c>
      <c r="AD1720" s="108" t="b">
        <f t="shared" ref="AD1720:AI1720" si="770">AD1593</f>
        <v>0</v>
      </c>
      <c r="AE1720" s="108" t="b">
        <f t="shared" si="770"/>
        <v>0</v>
      </c>
      <c r="AF1720" s="108" t="b">
        <f t="shared" si="770"/>
        <v>0</v>
      </c>
      <c r="AG1720" s="108" t="b">
        <f t="shared" si="770"/>
        <v>0</v>
      </c>
      <c r="AH1720" s="108" t="b">
        <f t="shared" si="770"/>
        <v>0</v>
      </c>
      <c r="AI1720" s="108" t="b">
        <f t="shared" si="770"/>
        <v>0</v>
      </c>
      <c r="AJ1720" s="553" t="s">
        <v>2248</v>
      </c>
      <c r="AK1720" s="663" t="str">
        <f>IF(AND(CNTR_ExistSubInstEntries,MSconst_RequireSubAttrEmissions,COUNTIFS(AC1720:AI1720,FALSE,H1720:N1720,"")&gt;0),EUconst_Error&amp;"BM"&amp;$Q1523,"")</f>
        <v/>
      </c>
      <c r="AL1720" s="2"/>
    </row>
    <row r="1721" spans="1:38" ht="25.5" customHeight="1" x14ac:dyDescent="0.25">
      <c r="A1721" s="2"/>
      <c r="B1721" s="178"/>
      <c r="C1721" s="779"/>
      <c r="D1721" s="416" t="s">
        <v>23</v>
      </c>
      <c r="E1721" s="2613" t="str">
        <f>Translations!$B$608</f>
        <v>Nettomängd importerad värme från delanläggningar för salpetersyra</v>
      </c>
      <c r="F1721" s="1997"/>
      <c r="G1721" s="364" t="str">
        <f>EUconst_TJpa</f>
        <v>TJ / år</v>
      </c>
      <c r="H1721" s="582"/>
      <c r="I1721" s="1105"/>
      <c r="J1721" s="1115"/>
      <c r="K1721" s="582"/>
      <c r="L1721" s="582"/>
      <c r="M1721" s="582"/>
      <c r="N1721" s="1146"/>
      <c r="O1721" s="15"/>
      <c r="P1721" s="1362"/>
      <c r="Q1721" s="165" t="str">
        <f>EUconst_CNTR_HeatImportNitric &amp; I1523</f>
        <v>HeatImNitric_</v>
      </c>
      <c r="R1721" s="2"/>
      <c r="S1721" s="343"/>
      <c r="T1721" s="343"/>
      <c r="U1721" s="343"/>
      <c r="V1721" s="343"/>
      <c r="W1721" s="2"/>
      <c r="X1721" s="2"/>
      <c r="Y1721" s="2"/>
      <c r="Z1721" s="2"/>
      <c r="AA1721" s="2"/>
      <c r="AB1721" s="2"/>
      <c r="AC1721" s="108" t="b">
        <f>AC1720</f>
        <v>0</v>
      </c>
      <c r="AD1721" s="108" t="b">
        <f t="shared" ref="AD1721:AI1721" si="771">AD1720</f>
        <v>0</v>
      </c>
      <c r="AE1721" s="108" t="b">
        <f t="shared" si="771"/>
        <v>0</v>
      </c>
      <c r="AF1721" s="108" t="b">
        <f t="shared" si="771"/>
        <v>0</v>
      </c>
      <c r="AG1721" s="108" t="b">
        <f t="shared" si="771"/>
        <v>0</v>
      </c>
      <c r="AH1721" s="108" t="b">
        <f t="shared" si="771"/>
        <v>0</v>
      </c>
      <c r="AI1721" s="108" t="b">
        <f t="shared" si="771"/>
        <v>0</v>
      </c>
      <c r="AJ1721" s="553" t="s">
        <v>2248</v>
      </c>
      <c r="AK1721" s="663" t="str">
        <f>IF(AND(CNTR_ExistSubInstEntries,MSconst_RequireSubAttrEmissions,COUNTIFS(AC1721:AI1721,FALSE,H1721:N1721,"")&gt;0),EUconst_Error&amp;"BM"&amp;$Q1523,"")</f>
        <v/>
      </c>
      <c r="AL1721" s="2"/>
    </row>
    <row r="1722" spans="1:38" ht="5.15" customHeight="1" thickBot="1" x14ac:dyDescent="0.3">
      <c r="A1722" s="2"/>
      <c r="B1722" s="178"/>
      <c r="C1722" s="779"/>
      <c r="D1722" s="780"/>
      <c r="E1722" s="780"/>
      <c r="F1722" s="780"/>
      <c r="G1722" s="780"/>
      <c r="H1722" s="780"/>
      <c r="I1722" s="780"/>
      <c r="J1722" s="780"/>
      <c r="K1722" s="780"/>
      <c r="L1722" s="780"/>
      <c r="M1722" s="780"/>
      <c r="N1722" s="519"/>
      <c r="O1722" s="15"/>
      <c r="P1722" s="15"/>
      <c r="Q1722" s="343"/>
      <c r="R1722" s="2"/>
      <c r="S1722" s="343"/>
      <c r="T1722" s="343"/>
      <c r="U1722" s="343"/>
      <c r="V1722" s="343"/>
      <c r="W1722" s="2"/>
      <c r="X1722" s="2"/>
      <c r="Y1722" s="2"/>
      <c r="Z1722" s="2"/>
      <c r="AA1722" s="2"/>
      <c r="AB1722" s="2"/>
      <c r="AC1722" s="2"/>
      <c r="AD1722" s="2"/>
      <c r="AE1722" s="2"/>
      <c r="AF1722" s="2"/>
      <c r="AG1722" s="2"/>
      <c r="AH1722" s="2"/>
      <c r="AI1722" s="2"/>
      <c r="AJ1722" s="2"/>
      <c r="AK1722" s="2"/>
      <c r="AL1722" s="2"/>
    </row>
    <row r="1723" spans="1:38" ht="12.75" customHeight="1" thickBot="1" x14ac:dyDescent="0.3">
      <c r="A1723" s="2"/>
      <c r="B1723" s="178"/>
      <c r="C1723" s="779"/>
      <c r="D1723" s="780"/>
      <c r="E1723" s="2605" t="str">
        <f>Translations!$B$609</f>
        <v>Total exporterad värme</v>
      </c>
      <c r="F1723" s="2497"/>
      <c r="G1723" s="361" t="str">
        <f>EUconst_Unit</f>
        <v>Enhet</v>
      </c>
      <c r="H1723" s="362">
        <f t="shared" ref="H1723:N1723" si="772">H$3042</f>
        <v>2019</v>
      </c>
      <c r="I1723" s="1103">
        <f t="shared" si="772"/>
        <v>2020</v>
      </c>
      <c r="J1723" s="1104">
        <f t="shared" si="772"/>
        <v>2021</v>
      </c>
      <c r="K1723" s="362">
        <f t="shared" si="772"/>
        <v>2022</v>
      </c>
      <c r="L1723" s="362">
        <f t="shared" si="772"/>
        <v>2023</v>
      </c>
      <c r="M1723" s="362">
        <f t="shared" si="772"/>
        <v>2024</v>
      </c>
      <c r="N1723" s="1141">
        <f t="shared" si="772"/>
        <v>2025</v>
      </c>
      <c r="O1723" s="15"/>
      <c r="P1723" s="15"/>
      <c r="Q1723" s="343"/>
      <c r="R1723" s="2"/>
      <c r="S1723" s="772"/>
      <c r="T1723" s="609">
        <f t="shared" ref="T1723:Z1723" si="773">H1723</f>
        <v>2019</v>
      </c>
      <c r="U1723" s="609">
        <f t="shared" si="773"/>
        <v>2020</v>
      </c>
      <c r="V1723" s="609">
        <f t="shared" si="773"/>
        <v>2021</v>
      </c>
      <c r="W1723" s="609">
        <f t="shared" si="773"/>
        <v>2022</v>
      </c>
      <c r="X1723" s="609">
        <f t="shared" si="773"/>
        <v>2023</v>
      </c>
      <c r="Y1723" s="609">
        <f t="shared" si="773"/>
        <v>2024</v>
      </c>
      <c r="Z1723" s="610">
        <f t="shared" si="773"/>
        <v>2025</v>
      </c>
      <c r="AA1723" s="2"/>
      <c r="AB1723" s="2"/>
      <c r="AC1723" s="1044">
        <f t="shared" ref="AC1723:AI1723" si="774">H$20</f>
        <v>2019</v>
      </c>
      <c r="AD1723" s="1044">
        <f t="shared" si="774"/>
        <v>2020</v>
      </c>
      <c r="AE1723" s="1044">
        <f t="shared" si="774"/>
        <v>2021</v>
      </c>
      <c r="AF1723" s="1044">
        <f t="shared" si="774"/>
        <v>2022</v>
      </c>
      <c r="AG1723" s="1044">
        <f t="shared" si="774"/>
        <v>2023</v>
      </c>
      <c r="AH1723" s="1044">
        <f t="shared" si="774"/>
        <v>2024</v>
      </c>
      <c r="AI1723" s="1044">
        <f t="shared" si="774"/>
        <v>2025</v>
      </c>
      <c r="AJ1723" s="2"/>
      <c r="AK1723" s="2"/>
      <c r="AL1723" s="2"/>
    </row>
    <row r="1724" spans="1:38" ht="12.75" customHeight="1" x14ac:dyDescent="0.25">
      <c r="A1724" s="2"/>
      <c r="B1724" s="178"/>
      <c r="C1724" s="779"/>
      <c r="D1724" s="416" t="s">
        <v>859</v>
      </c>
      <c r="E1724" s="2613" t="str">
        <f>Translations!$B$610</f>
        <v>Nettomängd exporterad värme</v>
      </c>
      <c r="F1724" s="1997"/>
      <c r="G1724" s="364" t="str">
        <f>EUconst_TJpa</f>
        <v>TJ / år</v>
      </c>
      <c r="H1724" s="582"/>
      <c r="I1724" s="1105"/>
      <c r="J1724" s="1115"/>
      <c r="K1724" s="582"/>
      <c r="L1724" s="582"/>
      <c r="M1724" s="582"/>
      <c r="N1724" s="1146"/>
      <c r="O1724" s="15"/>
      <c r="P1724" s="1362"/>
      <c r="Q1724" s="165" t="str">
        <f>EUconst_CNTR_HeatExport &amp; I1523</f>
        <v>HeatEx_</v>
      </c>
      <c r="R1724" s="2"/>
      <c r="S1724" s="1751" t="str">
        <f>EUconst_ERR_AttrEmBMapplied &amp; I1523</f>
        <v>ERR_AttrEmBM_</v>
      </c>
      <c r="T1724" s="108">
        <f t="shared" ref="T1724:Z1724" si="775">IF(AND(H1724&lt;&gt;0,H1725="",EUconst_StatusOfDataCollection=FALSE),1,0)</f>
        <v>0</v>
      </c>
      <c r="U1724" s="108">
        <f t="shared" si="775"/>
        <v>0</v>
      </c>
      <c r="V1724" s="108">
        <f t="shared" si="775"/>
        <v>0</v>
      </c>
      <c r="W1724" s="108">
        <f t="shared" si="775"/>
        <v>0</v>
      </c>
      <c r="X1724" s="108">
        <f t="shared" si="775"/>
        <v>0</v>
      </c>
      <c r="Y1724" s="108">
        <f t="shared" si="775"/>
        <v>0</v>
      </c>
      <c r="Z1724" s="109">
        <f t="shared" si="775"/>
        <v>0</v>
      </c>
      <c r="AA1724" s="2"/>
      <c r="AB1724" s="672" t="s">
        <v>782</v>
      </c>
      <c r="AC1724" s="108" t="b">
        <f>AC1720</f>
        <v>0</v>
      </c>
      <c r="AD1724" s="108" t="b">
        <f t="shared" ref="AD1724:AI1724" si="776">AD1720</f>
        <v>0</v>
      </c>
      <c r="AE1724" s="108" t="b">
        <f t="shared" si="776"/>
        <v>0</v>
      </c>
      <c r="AF1724" s="108" t="b">
        <f t="shared" si="776"/>
        <v>0</v>
      </c>
      <c r="AG1724" s="108" t="b">
        <f t="shared" si="776"/>
        <v>0</v>
      </c>
      <c r="AH1724" s="108" t="b">
        <f t="shared" si="776"/>
        <v>0</v>
      </c>
      <c r="AI1724" s="108" t="b">
        <f t="shared" si="776"/>
        <v>0</v>
      </c>
      <c r="AJ1724" s="553" t="s">
        <v>2248</v>
      </c>
      <c r="AK1724" s="663" t="str">
        <f>IF(AND(CNTR_ExistSubInstEntries,MSconst_RequireSubAttrEmissions,COUNTIFS(AC1724:AI1724,FALSE,H1724:N1724,"")&gt;0),EUconst_Error&amp;"BM"&amp;$Q1523,"")</f>
        <v/>
      </c>
      <c r="AL1724" s="2"/>
    </row>
    <row r="1725" spans="1:38" ht="12.75" customHeight="1" thickBot="1" x14ac:dyDescent="0.3">
      <c r="A1725" s="2"/>
      <c r="B1725" s="178"/>
      <c r="C1725" s="779"/>
      <c r="D1725" s="416" t="s">
        <v>860</v>
      </c>
      <c r="E1725" s="2613" t="str">
        <f>Translations!$B$611</f>
        <v>Särskild emissionsfaktor (exporterad värme)</v>
      </c>
      <c r="F1725" s="1997"/>
      <c r="G1725" s="364" t="str">
        <f>EUconst_tCO2pTJ</f>
        <v>t CO2 / TJ</v>
      </c>
      <c r="H1725" s="582"/>
      <c r="I1725" s="1105"/>
      <c r="J1725" s="1115"/>
      <c r="K1725" s="582"/>
      <c r="L1725" s="582"/>
      <c r="M1725" s="582"/>
      <c r="N1725" s="1146"/>
      <c r="O1725" s="15"/>
      <c r="P1725" s="1362"/>
      <c r="Q1725" s="165" t="str">
        <f>EUconst_CNTR_HeatExportEF &amp; I1523</f>
        <v>HeatExEF_</v>
      </c>
      <c r="R1725" s="2"/>
      <c r="S1725" s="773" t="str">
        <f>EUconst_CNTR_AttributedEmissions &amp; I1523</f>
        <v>AttrEmissions_</v>
      </c>
      <c r="T1725" s="111" t="str">
        <f t="shared" ref="T1725:Z1725" si="777">IF(T1531,-SUM(H1724)*IF(INDEX(EUconst_BMlistNumberOfBM,MATCH($I1523,EUconst_BMlistNames,0))=39,0,IF(ISNUMBER(H1725),H1725,EUconst_HeatBMvalue)),"")</f>
        <v/>
      </c>
      <c r="U1725" s="111" t="str">
        <f t="shared" si="777"/>
        <v/>
      </c>
      <c r="V1725" s="111" t="str">
        <f t="shared" si="777"/>
        <v/>
      </c>
      <c r="W1725" s="111" t="str">
        <f t="shared" si="777"/>
        <v/>
      </c>
      <c r="X1725" s="111" t="str">
        <f t="shared" si="777"/>
        <v/>
      </c>
      <c r="Y1725" s="111" t="str">
        <f t="shared" si="777"/>
        <v/>
      </c>
      <c r="Z1725" s="112" t="str">
        <f t="shared" si="777"/>
        <v/>
      </c>
      <c r="AA1725" s="2"/>
      <c r="AB1725" s="2"/>
      <c r="AC1725" s="108" t="b">
        <f>AC1724</f>
        <v>0</v>
      </c>
      <c r="AD1725" s="108" t="b">
        <f t="shared" ref="AD1725:AI1725" si="778">AD1724</f>
        <v>0</v>
      </c>
      <c r="AE1725" s="108" t="b">
        <f t="shared" si="778"/>
        <v>0</v>
      </c>
      <c r="AF1725" s="108" t="b">
        <f t="shared" si="778"/>
        <v>0</v>
      </c>
      <c r="AG1725" s="108" t="b">
        <f t="shared" si="778"/>
        <v>0</v>
      </c>
      <c r="AH1725" s="108" t="b">
        <f t="shared" si="778"/>
        <v>0</v>
      </c>
      <c r="AI1725" s="108" t="b">
        <f t="shared" si="778"/>
        <v>0</v>
      </c>
      <c r="AJ1725" s="2"/>
      <c r="AK1725" s="2"/>
      <c r="AL1725" s="2"/>
    </row>
    <row r="1726" spans="1:38" ht="12.75" customHeight="1" x14ac:dyDescent="0.25">
      <c r="A1726" s="2"/>
      <c r="B1726" s="178"/>
      <c r="C1726" s="779"/>
      <c r="D1726" s="780"/>
      <c r="E1726" s="780"/>
      <c r="F1726" s="780"/>
      <c r="G1726" s="780"/>
      <c r="H1726" s="780"/>
      <c r="I1726" s="780"/>
      <c r="J1726" s="780"/>
      <c r="K1726" s="780"/>
      <c r="L1726" s="780"/>
      <c r="M1726" s="623"/>
      <c r="N1726" s="519"/>
      <c r="O1726" s="15"/>
      <c r="P1726" s="15"/>
      <c r="Q1726" s="343"/>
      <c r="R1726" s="2"/>
      <c r="S1726" s="343"/>
      <c r="T1726" s="343"/>
      <c r="U1726" s="343"/>
      <c r="V1726" s="343"/>
      <c r="W1726" s="2"/>
      <c r="X1726" s="2"/>
      <c r="Y1726" s="2"/>
      <c r="Z1726" s="2"/>
      <c r="AA1726" s="2"/>
      <c r="AB1726" s="2"/>
      <c r="AC1726" s="2"/>
      <c r="AD1726" s="2"/>
      <c r="AE1726" s="2"/>
      <c r="AF1726" s="2"/>
      <c r="AG1726" s="2"/>
      <c r="AH1726" s="2"/>
      <c r="AI1726" s="2"/>
      <c r="AJ1726" s="2"/>
      <c r="AK1726" s="2"/>
      <c r="AL1726" s="2"/>
    </row>
    <row r="1727" spans="1:38" ht="12.75" customHeight="1" x14ac:dyDescent="0.25">
      <c r="A1727" s="2"/>
      <c r="B1727" s="178"/>
      <c r="C1727" s="779"/>
      <c r="D1727" s="373" t="s">
        <v>526</v>
      </c>
      <c r="E1727" s="2614" t="str">
        <f>Translations!$B$612</f>
        <v>Delanläggningens restgasbalans</v>
      </c>
      <c r="F1727" s="1960"/>
      <c r="G1727" s="1960"/>
      <c r="H1727" s="1960"/>
      <c r="I1727" s="1960"/>
      <c r="J1727" s="1960"/>
      <c r="K1727" s="1960"/>
      <c r="L1727" s="1960"/>
      <c r="M1727" s="1960"/>
      <c r="N1727" s="2597"/>
      <c r="O1727" s="15"/>
      <c r="P1727" s="15"/>
      <c r="Q1727" s="343"/>
      <c r="R1727" s="2"/>
      <c r="S1727" s="343"/>
      <c r="T1727" s="343"/>
      <c r="U1727" s="343"/>
      <c r="V1727" s="343"/>
      <c r="W1727" s="2"/>
      <c r="X1727" s="2"/>
      <c r="Y1727" s="2"/>
      <c r="Z1727" s="2"/>
      <c r="AA1727" s="2"/>
      <c r="AB1727" s="2"/>
      <c r="AC1727" s="2"/>
      <c r="AD1727" s="2"/>
      <c r="AE1727" s="2"/>
      <c r="AF1727" s="2"/>
      <c r="AG1727" s="2"/>
      <c r="AH1727" s="2"/>
      <c r="AI1727" s="2"/>
      <c r="AJ1727" s="2"/>
      <c r="AK1727" s="2"/>
      <c r="AL1727" s="2"/>
    </row>
    <row r="1728" spans="1:38" ht="5.15" customHeight="1" x14ac:dyDescent="0.25">
      <c r="A1728" s="2"/>
      <c r="B1728" s="178"/>
      <c r="C1728" s="779"/>
      <c r="D1728" s="780"/>
      <c r="E1728" s="1804"/>
      <c r="F1728" s="1804"/>
      <c r="G1728" s="1804"/>
      <c r="H1728" s="1804"/>
      <c r="I1728" s="1804"/>
      <c r="J1728" s="1804"/>
      <c r="K1728" s="1804"/>
      <c r="L1728" s="1804"/>
      <c r="M1728" s="1804"/>
      <c r="N1728" s="1810"/>
      <c r="O1728" s="15"/>
      <c r="P1728" s="15"/>
      <c r="Q1728" s="343"/>
      <c r="R1728" s="2"/>
      <c r="S1728" s="343"/>
      <c r="T1728" s="343"/>
      <c r="U1728" s="343"/>
      <c r="V1728" s="343"/>
      <c r="W1728" s="2"/>
      <c r="X1728" s="2"/>
      <c r="Y1728" s="2"/>
      <c r="Z1728" s="2"/>
      <c r="AA1728" s="2"/>
      <c r="AB1728" s="2"/>
      <c r="AC1728" s="2"/>
      <c r="AD1728" s="2"/>
      <c r="AE1728" s="2"/>
      <c r="AF1728" s="2"/>
      <c r="AG1728" s="2"/>
      <c r="AH1728" s="2"/>
      <c r="AI1728" s="2"/>
      <c r="AJ1728" s="2"/>
      <c r="AK1728" s="2"/>
      <c r="AL1728" s="2"/>
    </row>
    <row r="1729" spans="1:38" ht="12.75" customHeight="1" x14ac:dyDescent="0.25">
      <c r="A1729" s="2"/>
      <c r="B1729" s="178"/>
      <c r="C1729" s="779"/>
      <c r="D1729" s="416" t="s">
        <v>8</v>
      </c>
      <c r="E1729" s="2614" t="str">
        <f>Translations!$B$613</f>
        <v>Är restgaser relevanta för delanläggningen?</v>
      </c>
      <c r="F1729" s="1960"/>
      <c r="G1729" s="1960"/>
      <c r="H1729" s="1960"/>
      <c r="I1729" s="1960"/>
      <c r="J1729" s="1960"/>
      <c r="K1729" s="2520"/>
      <c r="L1729" s="749"/>
      <c r="M1729" s="1806"/>
      <c r="N1729" s="1807"/>
      <c r="O1729" s="15"/>
      <c r="P1729" s="1362"/>
      <c r="Q1729" s="343"/>
      <c r="R1729" s="2"/>
      <c r="S1729" s="343"/>
      <c r="T1729" s="2"/>
      <c r="U1729" s="2"/>
      <c r="V1729" s="2"/>
      <c r="W1729" s="2"/>
      <c r="X1729" s="2"/>
      <c r="Y1729" s="2"/>
      <c r="Z1729" s="2"/>
      <c r="AA1729" s="2"/>
      <c r="AB1729" s="2"/>
      <c r="AC1729" s="2"/>
      <c r="AD1729" s="2"/>
      <c r="AE1729" s="2"/>
      <c r="AF1729" s="672" t="s">
        <v>782</v>
      </c>
      <c r="AG1729" s="1196" t="b">
        <f>AND(CNTR_ExistSubInstEntries,I1523="")</f>
        <v>0</v>
      </c>
      <c r="AH1729" s="2"/>
      <c r="AI1729" s="2"/>
      <c r="AJ1729" s="2"/>
      <c r="AK1729" s="2"/>
      <c r="AL1729" s="2"/>
    </row>
    <row r="1730" spans="1:38" ht="12.75" customHeight="1" x14ac:dyDescent="0.25">
      <c r="A1730" s="2"/>
      <c r="B1730" s="178"/>
      <c r="C1730" s="779"/>
      <c r="D1730" s="780"/>
      <c r="E1730" s="2610" t="str">
        <f>Translations!$B$614</f>
        <v>Om svaret ”FALSKT” anges kommer hela avsnittet att gråmarkeras och ni kan gå vidare till nästa punkt nedan.</v>
      </c>
      <c r="F1730" s="1960"/>
      <c r="G1730" s="1960"/>
      <c r="H1730" s="1960"/>
      <c r="I1730" s="1960"/>
      <c r="J1730" s="1960"/>
      <c r="K1730" s="1960"/>
      <c r="L1730" s="1960"/>
      <c r="M1730" s="1960"/>
      <c r="N1730" s="2597"/>
      <c r="O1730" s="15"/>
      <c r="P1730" s="15"/>
      <c r="Q1730" s="343"/>
      <c r="R1730" s="2"/>
      <c r="S1730" s="343"/>
      <c r="T1730" s="2"/>
      <c r="U1730" s="2"/>
      <c r="V1730" s="2"/>
      <c r="W1730" s="2"/>
      <c r="X1730" s="2"/>
      <c r="Y1730" s="2"/>
      <c r="Z1730" s="2"/>
      <c r="AA1730" s="2"/>
      <c r="AB1730" s="2"/>
      <c r="AC1730" s="2"/>
      <c r="AD1730" s="2"/>
      <c r="AE1730" s="2"/>
      <c r="AF1730" s="2"/>
      <c r="AG1730" s="2"/>
      <c r="AH1730" s="2"/>
      <c r="AI1730" s="2"/>
      <c r="AJ1730" s="2"/>
      <c r="AK1730" s="2"/>
      <c r="AL1730" s="2"/>
    </row>
    <row r="1731" spans="1:38" ht="12.75" customHeight="1" x14ac:dyDescent="0.25">
      <c r="A1731" s="2"/>
      <c r="B1731" s="178"/>
      <c r="C1731" s="779"/>
      <c r="D1731" s="416" t="s">
        <v>9</v>
      </c>
      <c r="E1731" s="2614" t="str">
        <f>Translations!$B$615</f>
        <v>Typer av producerade restgaser:</v>
      </c>
      <c r="F1731" s="1960"/>
      <c r="G1731" s="1960"/>
      <c r="H1731" s="2520"/>
      <c r="I1731" s="2621"/>
      <c r="J1731" s="2510"/>
      <c r="K1731" s="2510"/>
      <c r="L1731" s="2510"/>
      <c r="M1731" s="2511"/>
      <c r="N1731" s="1807"/>
      <c r="O1731" s="15"/>
      <c r="P1731" s="1362"/>
      <c r="Q1731" s="343"/>
      <c r="R1731" s="2"/>
      <c r="S1731" s="343"/>
      <c r="T1731" s="2"/>
      <c r="U1731" s="2"/>
      <c r="V1731" s="2"/>
      <c r="W1731" s="2"/>
      <c r="X1731" s="2"/>
      <c r="Y1731" s="2"/>
      <c r="Z1731" s="2"/>
      <c r="AA1731" s="2"/>
      <c r="AB1731" s="2"/>
      <c r="AC1731" s="672" t="s">
        <v>782</v>
      </c>
      <c r="AD1731" s="1196" t="b">
        <f>OR(AG1729,AND($L1729&lt;&gt;"",$L1729=FALSE))</f>
        <v>0</v>
      </c>
      <c r="AE1731" s="2"/>
      <c r="AF1731" s="2"/>
      <c r="AG1731" s="2"/>
      <c r="AH1731" s="2"/>
      <c r="AI1731" s="2"/>
      <c r="AJ1731" s="2"/>
      <c r="AK1731" s="2"/>
      <c r="AL1731" s="2"/>
    </row>
    <row r="1732" spans="1:38" ht="12.75" customHeight="1" x14ac:dyDescent="0.25">
      <c r="A1732" s="2"/>
      <c r="B1732" s="178"/>
      <c r="C1732" s="779"/>
      <c r="D1732" s="780"/>
      <c r="E1732" s="2610" t="str">
        <f>Translations!$B$616</f>
        <v>Ni kan välja att rapportera i ton eller i 1 000 Nm3. Enheterna måste stämma överens med de som används för effektivt värmevärde och emissionsfaktorn nedan.</v>
      </c>
      <c r="F1732" s="1960"/>
      <c r="G1732" s="1960"/>
      <c r="H1732" s="1960"/>
      <c r="I1732" s="1960"/>
      <c r="J1732" s="1960"/>
      <c r="K1732" s="1960"/>
      <c r="L1732" s="1960"/>
      <c r="M1732" s="1960"/>
      <c r="N1732" s="2597"/>
      <c r="O1732" s="15"/>
      <c r="P1732" s="15"/>
      <c r="Q1732" s="343"/>
      <c r="R1732" s="2"/>
      <c r="S1732" s="343"/>
      <c r="T1732" s="343"/>
      <c r="U1732" s="343"/>
      <c r="V1732" s="343"/>
      <c r="W1732" s="2"/>
      <c r="X1732" s="2"/>
      <c r="Y1732" s="2"/>
      <c r="Z1732" s="2"/>
      <c r="AA1732" s="2"/>
      <c r="AB1732" s="2"/>
      <c r="AC1732" s="2"/>
      <c r="AD1732" s="2"/>
      <c r="AE1732" s="2"/>
      <c r="AF1732" s="2"/>
      <c r="AG1732" s="2"/>
      <c r="AH1732" s="2"/>
      <c r="AI1732" s="2"/>
      <c r="AJ1732" s="2"/>
      <c r="AK1732" s="2"/>
      <c r="AL1732" s="2"/>
    </row>
    <row r="1733" spans="1:38" ht="12.75" customHeight="1" x14ac:dyDescent="0.25">
      <c r="A1733" s="2"/>
      <c r="B1733" s="178"/>
      <c r="C1733" s="779"/>
      <c r="D1733" s="780"/>
      <c r="E1733" s="2596" t="str">
        <f>Translations!$B$570</f>
        <v>De uppgifter som anges här används bara för konsekvenskontroll och har ingen direkt inverkan på vare sig de utsläpp som kan tillskrivas eller tilldelningen.</v>
      </c>
      <c r="F1733" s="1960"/>
      <c r="G1733" s="1960"/>
      <c r="H1733" s="1960"/>
      <c r="I1733" s="1960"/>
      <c r="J1733" s="1960"/>
      <c r="K1733" s="1960"/>
      <c r="L1733" s="1960"/>
      <c r="M1733" s="1960"/>
      <c r="N1733" s="2597"/>
      <c r="O1733" s="15"/>
      <c r="P1733" s="15"/>
      <c r="Q1733" s="343"/>
      <c r="R1733" s="2"/>
      <c r="S1733" s="343"/>
      <c r="T1733" s="343"/>
      <c r="U1733" s="343"/>
      <c r="V1733" s="343"/>
      <c r="W1733" s="2"/>
      <c r="X1733" s="2"/>
      <c r="Y1733" s="2"/>
      <c r="Z1733" s="2"/>
      <c r="AA1733" s="2"/>
      <c r="AB1733" s="2"/>
      <c r="AC1733" s="2"/>
      <c r="AD1733" s="2"/>
      <c r="AE1733" s="2"/>
      <c r="AF1733" s="2"/>
      <c r="AG1733" s="2"/>
      <c r="AH1733" s="2"/>
      <c r="AI1733" s="2"/>
      <c r="AJ1733" s="2"/>
      <c r="AK1733" s="2"/>
      <c r="AL1733" s="2"/>
    </row>
    <row r="1734" spans="1:38" ht="12.75" customHeight="1" thickBot="1" x14ac:dyDescent="0.3">
      <c r="A1734" s="2"/>
      <c r="B1734" s="178"/>
      <c r="C1734" s="779"/>
      <c r="D1734" s="780"/>
      <c r="E1734" s="1716"/>
      <c r="F1734" s="1717"/>
      <c r="G1734" s="361" t="str">
        <f>EUconst_Unit</f>
        <v>Enhet</v>
      </c>
      <c r="H1734" s="362">
        <f t="shared" ref="H1734:N1734" si="779">H$3042</f>
        <v>2019</v>
      </c>
      <c r="I1734" s="1103">
        <f t="shared" si="779"/>
        <v>2020</v>
      </c>
      <c r="J1734" s="1104">
        <f t="shared" si="779"/>
        <v>2021</v>
      </c>
      <c r="K1734" s="362">
        <f t="shared" si="779"/>
        <v>2022</v>
      </c>
      <c r="L1734" s="362">
        <f t="shared" si="779"/>
        <v>2023</v>
      </c>
      <c r="M1734" s="362">
        <f t="shared" si="779"/>
        <v>2024</v>
      </c>
      <c r="N1734" s="1141">
        <f t="shared" si="779"/>
        <v>2025</v>
      </c>
      <c r="O1734" s="15"/>
      <c r="P1734" s="15"/>
      <c r="Q1734" s="343"/>
      <c r="R1734" s="2"/>
      <c r="S1734" s="343"/>
      <c r="T1734" s="343"/>
      <c r="U1734" s="343"/>
      <c r="V1734" s="343"/>
      <c r="W1734" s="2"/>
      <c r="X1734" s="2"/>
      <c r="Y1734" s="2"/>
      <c r="Z1734" s="2"/>
      <c r="AA1734" s="2"/>
      <c r="AB1734" s="2"/>
      <c r="AC1734" s="1044">
        <f t="shared" ref="AC1734:AI1734" si="780">H$20</f>
        <v>2019</v>
      </c>
      <c r="AD1734" s="1044">
        <f t="shared" si="780"/>
        <v>2020</v>
      </c>
      <c r="AE1734" s="1044">
        <f t="shared" si="780"/>
        <v>2021</v>
      </c>
      <c r="AF1734" s="1044">
        <f t="shared" si="780"/>
        <v>2022</v>
      </c>
      <c r="AG1734" s="1044">
        <f t="shared" si="780"/>
        <v>2023</v>
      </c>
      <c r="AH1734" s="1044">
        <f t="shared" si="780"/>
        <v>2024</v>
      </c>
      <c r="AI1734" s="1044">
        <f t="shared" si="780"/>
        <v>2025</v>
      </c>
      <c r="AJ1734" s="2"/>
      <c r="AK1734" s="2"/>
      <c r="AL1734" s="2"/>
    </row>
    <row r="1735" spans="1:38" ht="12.75" customHeight="1" x14ac:dyDescent="0.25">
      <c r="A1735" s="2"/>
      <c r="B1735" s="178"/>
      <c r="C1735" s="779"/>
      <c r="D1735" s="416" t="s">
        <v>10</v>
      </c>
      <c r="E1735" s="2611" t="str">
        <f>Translations!$B$617</f>
        <v>Producerade mängder</v>
      </c>
      <c r="F1735" s="2484"/>
      <c r="G1735" s="1314"/>
      <c r="H1735" s="1298"/>
      <c r="I1735" s="1299"/>
      <c r="J1735" s="1300"/>
      <c r="K1735" s="1298"/>
      <c r="L1735" s="1298"/>
      <c r="M1735" s="1298"/>
      <c r="N1735" s="1301"/>
      <c r="O1735" s="15"/>
      <c r="P1735" s="1362"/>
      <c r="Q1735" s="343"/>
      <c r="R1735" s="2"/>
      <c r="S1735" s="343"/>
      <c r="T1735" s="343"/>
      <c r="U1735" s="343"/>
      <c r="V1735" s="343"/>
      <c r="W1735" s="2"/>
      <c r="X1735" s="2"/>
      <c r="Y1735" s="2"/>
      <c r="Z1735" s="2"/>
      <c r="AA1735" s="2"/>
      <c r="AB1735" s="672" t="s">
        <v>782</v>
      </c>
      <c r="AC1735" s="1196" t="b">
        <f>OR(AND($L1729&lt;&gt;"",$L1729=FALSE),AC1593)</f>
        <v>0</v>
      </c>
      <c r="AD1735" s="108" t="b">
        <f t="shared" ref="AD1735:AI1735" si="781">OR(AND($L1729&lt;&gt;"",$L1729=FALSE),AD1593)</f>
        <v>0</v>
      </c>
      <c r="AE1735" s="108" t="b">
        <f t="shared" si="781"/>
        <v>0</v>
      </c>
      <c r="AF1735" s="108" t="b">
        <f t="shared" si="781"/>
        <v>0</v>
      </c>
      <c r="AG1735" s="108" t="b">
        <f t="shared" si="781"/>
        <v>0</v>
      </c>
      <c r="AH1735" s="108" t="b">
        <f t="shared" si="781"/>
        <v>0</v>
      </c>
      <c r="AI1735" s="108" t="b">
        <f t="shared" si="781"/>
        <v>0</v>
      </c>
      <c r="AJ1735" s="553" t="s">
        <v>2248</v>
      </c>
      <c r="AK1735" s="663" t="str">
        <f>IF(AND(CNTR_ExistSubInstEntries,MSconst_RequireSubAttrEmissions,COUNTIFS(AC1735:AI1735,FALSE,H1735:N1735,"")&gt;0),EUconst_Error&amp;"BM"&amp;$Q1523,"")</f>
        <v/>
      </c>
      <c r="AL1735" s="2"/>
    </row>
    <row r="1736" spans="1:38" ht="12.75" customHeight="1" x14ac:dyDescent="0.25">
      <c r="A1736" s="2"/>
      <c r="B1736" s="178"/>
      <c r="C1736" s="779"/>
      <c r="D1736" s="416" t="s">
        <v>23</v>
      </c>
      <c r="E1736" s="2612" t="str">
        <f>Translations!$B$318</f>
        <v>Effektivt värmevärde</v>
      </c>
      <c r="F1736" s="2487"/>
      <c r="G1736" s="51" t="str">
        <f>IF(ISBLANK(G1735),EUconst_GJperUnit,INDEX(EUconst_GJperTorKNm3,MATCH(G1735,EUconst_TonnesOrkNm3pa,0)))</f>
        <v>GJ / Enhet</v>
      </c>
      <c r="H1736" s="1306"/>
      <c r="I1736" s="1307"/>
      <c r="J1736" s="1308"/>
      <c r="K1736" s="1306"/>
      <c r="L1736" s="1306"/>
      <c r="M1736" s="1306"/>
      <c r="N1736" s="1309"/>
      <c r="O1736" s="15"/>
      <c r="P1736" s="1362"/>
      <c r="Q1736" s="2"/>
      <c r="R1736" s="2"/>
      <c r="S1736" s="343"/>
      <c r="T1736" s="343"/>
      <c r="U1736" s="343"/>
      <c r="V1736" s="343"/>
      <c r="W1736" s="343"/>
      <c r="X1736" s="343"/>
      <c r="Y1736" s="343"/>
      <c r="Z1736" s="343"/>
      <c r="AA1736" s="2"/>
      <c r="AB1736" s="2"/>
      <c r="AC1736" s="108" t="b">
        <f>AC1735</f>
        <v>0</v>
      </c>
      <c r="AD1736" s="108" t="b">
        <f t="shared" ref="AD1736:AI1736" si="782">AD1735</f>
        <v>0</v>
      </c>
      <c r="AE1736" s="108" t="b">
        <f t="shared" si="782"/>
        <v>0</v>
      </c>
      <c r="AF1736" s="108" t="b">
        <f t="shared" si="782"/>
        <v>0</v>
      </c>
      <c r="AG1736" s="108" t="b">
        <f t="shared" si="782"/>
        <v>0</v>
      </c>
      <c r="AH1736" s="108" t="b">
        <f t="shared" si="782"/>
        <v>0</v>
      </c>
      <c r="AI1736" s="108" t="b">
        <f t="shared" si="782"/>
        <v>0</v>
      </c>
      <c r="AJ1736" s="553" t="s">
        <v>2248</v>
      </c>
      <c r="AK1736" s="663" t="str">
        <f>IF(AND(CNTR_ExistSubInstEntries,MSconst_RequireSubAttrEmissions,COUNTIFS(AC1736:AI1736,FALSE,H1736:N1736,"")&gt;0),EUconst_Error&amp;"BM"&amp;$Q1523,"")</f>
        <v/>
      </c>
      <c r="AL1736" s="2"/>
    </row>
    <row r="1737" spans="1:38" ht="12.75" customHeight="1" x14ac:dyDescent="0.25">
      <c r="A1737" s="2"/>
      <c r="B1737" s="178"/>
      <c r="C1737" s="779"/>
      <c r="D1737" s="416" t="s">
        <v>859</v>
      </c>
      <c r="E1737" s="2613" t="str">
        <f>Translations!$B$618</f>
        <v>Producerad restgas</v>
      </c>
      <c r="F1737" s="1997"/>
      <c r="G1737" s="364" t="str">
        <f>EUconst_TJpa</f>
        <v>TJ / år</v>
      </c>
      <c r="H1737" s="414" t="str">
        <f t="shared" ref="H1737:N1737" si="783">IF(COUNT(H1735:H1736)=2,H1735*H1736/1000,"")</f>
        <v/>
      </c>
      <c r="I1737" s="1108" t="str">
        <f t="shared" si="783"/>
        <v/>
      </c>
      <c r="J1737" s="1114" t="str">
        <f t="shared" si="783"/>
        <v/>
      </c>
      <c r="K1737" s="414" t="str">
        <f t="shared" si="783"/>
        <v/>
      </c>
      <c r="L1737" s="414" t="str">
        <f t="shared" si="783"/>
        <v/>
      </c>
      <c r="M1737" s="414" t="str">
        <f t="shared" si="783"/>
        <v/>
      </c>
      <c r="N1737" s="1147" t="str">
        <f t="shared" si="783"/>
        <v/>
      </c>
      <c r="O1737" s="15"/>
      <c r="P1737" s="15"/>
      <c r="Q1737" s="165" t="str">
        <f>EUconst_CNTR_WGProduced &amp; I1523</f>
        <v>WasteGasProd_</v>
      </c>
      <c r="R1737" s="2"/>
      <c r="S1737" s="343"/>
      <c r="T1737" s="343"/>
      <c r="U1737" s="343"/>
      <c r="V1737" s="343"/>
      <c r="W1737" s="343"/>
      <c r="X1737" s="343"/>
      <c r="Y1737" s="343"/>
      <c r="Z1737" s="343"/>
      <c r="AA1737" s="2"/>
      <c r="AB1737" s="2"/>
      <c r="AC1737" s="2"/>
      <c r="AD1737" s="2"/>
      <c r="AE1737" s="2"/>
      <c r="AF1737" s="2"/>
      <c r="AG1737" s="2"/>
      <c r="AH1737" s="2"/>
      <c r="AI1737" s="2"/>
      <c r="AJ1737" s="2"/>
      <c r="AK1737" s="2"/>
      <c r="AL1737" s="2"/>
    </row>
    <row r="1738" spans="1:38" ht="12.75" customHeight="1" x14ac:dyDescent="0.25">
      <c r="A1738" s="2"/>
      <c r="B1738" s="178"/>
      <c r="C1738" s="779"/>
      <c r="D1738" s="416" t="s">
        <v>860</v>
      </c>
      <c r="E1738" s="2613" t="str">
        <f>Translations!$B$619</f>
        <v>Särskild emissionsfaktor (producerad restgas)</v>
      </c>
      <c r="F1738" s="1997"/>
      <c r="G1738" s="364" t="str">
        <f>EUconst_tCO2pTJ</f>
        <v>t CO2 / TJ</v>
      </c>
      <c r="H1738" s="582"/>
      <c r="I1738" s="1105"/>
      <c r="J1738" s="1115"/>
      <c r="K1738" s="582"/>
      <c r="L1738" s="582"/>
      <c r="M1738" s="582"/>
      <c r="N1738" s="1146"/>
      <c r="O1738" s="15"/>
      <c r="P1738" s="1362"/>
      <c r="Q1738" s="165" t="str">
        <f>EUconst_CNTR_WGProducedEF &amp; I1523</f>
        <v>WasteGasProdEF_</v>
      </c>
      <c r="R1738" s="2"/>
      <c r="S1738" s="343"/>
      <c r="T1738" s="343"/>
      <c r="U1738" s="343"/>
      <c r="V1738" s="343"/>
      <c r="W1738" s="343"/>
      <c r="X1738" s="343"/>
      <c r="Y1738" s="343"/>
      <c r="Z1738" s="343"/>
      <c r="AA1738" s="2"/>
      <c r="AB1738" s="672" t="s">
        <v>782</v>
      </c>
      <c r="AC1738" s="108" t="b">
        <f>AC1736</f>
        <v>0</v>
      </c>
      <c r="AD1738" s="108" t="b">
        <f t="shared" ref="AD1738:AI1738" si="784">AD1736</f>
        <v>0</v>
      </c>
      <c r="AE1738" s="108" t="b">
        <f t="shared" si="784"/>
        <v>0</v>
      </c>
      <c r="AF1738" s="108" t="b">
        <f t="shared" si="784"/>
        <v>0</v>
      </c>
      <c r="AG1738" s="108" t="b">
        <f t="shared" si="784"/>
        <v>0</v>
      </c>
      <c r="AH1738" s="108" t="b">
        <f t="shared" si="784"/>
        <v>0</v>
      </c>
      <c r="AI1738" s="108" t="b">
        <f t="shared" si="784"/>
        <v>0</v>
      </c>
      <c r="AJ1738" s="553" t="s">
        <v>2248</v>
      </c>
      <c r="AK1738" s="663" t="str">
        <f>IF(AND(CNTR_ExistSubInstEntries,MSconst_RequireSubAttrEmissions,COUNTIFS(AC1738:AI1738,FALSE,H1738:N1738,"")&gt;0),EUconst_Error&amp;"BM"&amp;$Q1523,"")</f>
        <v/>
      </c>
      <c r="AL1738" s="2"/>
    </row>
    <row r="1739" spans="1:38" ht="12.75" customHeight="1" x14ac:dyDescent="0.25">
      <c r="A1739" s="2"/>
      <c r="B1739" s="178"/>
      <c r="C1739" s="779"/>
      <c r="D1739" s="780"/>
      <c r="E1739" s="780"/>
      <c r="F1739" s="780"/>
      <c r="G1739" s="780"/>
      <c r="H1739" s="1805"/>
      <c r="I1739" s="780"/>
      <c r="J1739" s="780"/>
      <c r="K1739" s="780"/>
      <c r="L1739" s="780"/>
      <c r="M1739" s="623"/>
      <c r="N1739" s="519"/>
      <c r="O1739" s="15"/>
      <c r="P1739" s="15"/>
      <c r="Q1739" s="343"/>
      <c r="R1739" s="2"/>
      <c r="S1739" s="343"/>
      <c r="T1739" s="343"/>
      <c r="U1739" s="343"/>
      <c r="V1739" s="343"/>
      <c r="W1739" s="343"/>
      <c r="X1739" s="343"/>
      <c r="Y1739" s="343"/>
      <c r="Z1739" s="343"/>
      <c r="AA1739" s="2"/>
      <c r="AB1739" s="2"/>
      <c r="AC1739" s="2"/>
      <c r="AD1739" s="2"/>
      <c r="AE1739" s="2"/>
      <c r="AF1739" s="2"/>
      <c r="AG1739" s="2"/>
      <c r="AH1739" s="2"/>
      <c r="AI1739" s="2"/>
      <c r="AJ1739" s="2"/>
      <c r="AK1739" s="2"/>
      <c r="AL1739" s="2"/>
    </row>
    <row r="1740" spans="1:38" ht="12.75" customHeight="1" x14ac:dyDescent="0.25">
      <c r="A1740" s="2"/>
      <c r="B1740" s="178"/>
      <c r="C1740" s="779"/>
      <c r="D1740" s="416" t="s">
        <v>861</v>
      </c>
      <c r="E1740" s="2614" t="str">
        <f>Translations!$B$620</f>
        <v>Typer av restgaser som förbrukas:</v>
      </c>
      <c r="F1740" s="1960"/>
      <c r="G1740" s="1960"/>
      <c r="H1740" s="2520"/>
      <c r="I1740" s="2621"/>
      <c r="J1740" s="2510"/>
      <c r="K1740" s="2510"/>
      <c r="L1740" s="2510"/>
      <c r="M1740" s="2511"/>
      <c r="N1740" s="1807"/>
      <c r="O1740" s="15"/>
      <c r="P1740" s="1362"/>
      <c r="Q1740" s="343"/>
      <c r="R1740" s="2"/>
      <c r="S1740" s="343"/>
      <c r="T1740" s="343"/>
      <c r="U1740" s="343"/>
      <c r="V1740" s="343"/>
      <c r="W1740" s="343"/>
      <c r="X1740" s="343"/>
      <c r="Y1740" s="343"/>
      <c r="Z1740" s="343"/>
      <c r="AA1740" s="2"/>
      <c r="AB1740" s="2"/>
      <c r="AC1740" s="672" t="s">
        <v>782</v>
      </c>
      <c r="AD1740" s="108" t="b">
        <f>AD1731</f>
        <v>0</v>
      </c>
      <c r="AE1740" s="2"/>
      <c r="AF1740" s="2"/>
      <c r="AG1740" s="2"/>
      <c r="AH1740" s="2"/>
      <c r="AI1740" s="2"/>
      <c r="AJ1740" s="2"/>
      <c r="AK1740" s="2"/>
      <c r="AL1740" s="2"/>
    </row>
    <row r="1741" spans="1:38" ht="25.5" customHeight="1" x14ac:dyDescent="0.25">
      <c r="A1741" s="2"/>
      <c r="B1741" s="178"/>
      <c r="C1741" s="779"/>
      <c r="D1741" s="416"/>
      <c r="E1741" s="2610" t="str">
        <f>Translations!$B$621</f>
        <v>Detta innefattar alla restgastyper som förbrukas av delanläggningen för produktion av mätbar värme, icke-mätbar värme (inklusive för säkerhetsfackling) eller mekanisk energi (annan än för elproduktion). Mängden avgaser för fackling utom för säkerhetsfackling bör rapporteras i nästa punkt nedan.</v>
      </c>
      <c r="F1741" s="1960"/>
      <c r="G1741" s="1960"/>
      <c r="H1741" s="1960"/>
      <c r="I1741" s="1960"/>
      <c r="J1741" s="1960"/>
      <c r="K1741" s="1960"/>
      <c r="L1741" s="1960"/>
      <c r="M1741" s="1960"/>
      <c r="N1741" s="2597"/>
      <c r="O1741" s="15"/>
      <c r="P1741" s="15"/>
      <c r="Q1741" s="343"/>
      <c r="R1741" s="2"/>
      <c r="S1741" s="343"/>
      <c r="T1741" s="343"/>
      <c r="U1741" s="343"/>
      <c r="V1741" s="343"/>
      <c r="W1741" s="343"/>
      <c r="X1741" s="343"/>
      <c r="Y1741" s="343"/>
      <c r="Z1741" s="343"/>
      <c r="AA1741" s="2"/>
      <c r="AB1741" s="2"/>
      <c r="AC1741" s="2"/>
      <c r="AD1741" s="2"/>
      <c r="AE1741" s="2"/>
      <c r="AF1741" s="2"/>
      <c r="AG1741" s="2"/>
      <c r="AH1741" s="2"/>
      <c r="AI1741" s="2"/>
      <c r="AJ1741" s="2"/>
      <c r="AK1741" s="2"/>
      <c r="AL1741" s="2"/>
    </row>
    <row r="1742" spans="1:38" ht="12.75" customHeight="1" x14ac:dyDescent="0.25">
      <c r="A1742" s="2"/>
      <c r="B1742" s="178"/>
      <c r="C1742" s="779"/>
      <c r="D1742" s="780"/>
      <c r="E1742" s="2596" t="str">
        <f>Translations!$B$570</f>
        <v>De uppgifter som anges här används bara för konsekvenskontroll och har ingen direkt inverkan på vare sig de utsläpp som kan tillskrivas eller tilldelningen.</v>
      </c>
      <c r="F1742" s="1960"/>
      <c r="G1742" s="1960"/>
      <c r="H1742" s="1960"/>
      <c r="I1742" s="1960"/>
      <c r="J1742" s="1960"/>
      <c r="K1742" s="1960"/>
      <c r="L1742" s="1960"/>
      <c r="M1742" s="1960"/>
      <c r="N1742" s="2597"/>
      <c r="O1742" s="15"/>
      <c r="P1742" s="15"/>
      <c r="Q1742" s="343"/>
      <c r="R1742" s="2"/>
      <c r="S1742" s="343"/>
      <c r="T1742" s="343"/>
      <c r="U1742" s="343"/>
      <c r="V1742" s="343"/>
      <c r="W1742" s="343"/>
      <c r="X1742" s="343"/>
      <c r="Y1742" s="343"/>
      <c r="Z1742" s="343"/>
      <c r="AA1742" s="2"/>
      <c r="AB1742" s="2"/>
      <c r="AC1742" s="2"/>
      <c r="AD1742" s="2"/>
      <c r="AE1742" s="2"/>
      <c r="AF1742" s="2"/>
      <c r="AG1742" s="2"/>
      <c r="AH1742" s="2"/>
      <c r="AI1742" s="2"/>
      <c r="AJ1742" s="2"/>
      <c r="AK1742" s="2"/>
      <c r="AL1742" s="2"/>
    </row>
    <row r="1743" spans="1:38" ht="12.75" customHeight="1" thickBot="1" x14ac:dyDescent="0.3">
      <c r="A1743" s="2"/>
      <c r="B1743" s="178"/>
      <c r="C1743" s="779"/>
      <c r="D1743" s="780"/>
      <c r="E1743" s="1716"/>
      <c r="F1743" s="1717"/>
      <c r="G1743" s="361" t="str">
        <f>EUconst_Unit</f>
        <v>Enhet</v>
      </c>
      <c r="H1743" s="362">
        <f t="shared" ref="H1743:N1743" si="785">H$3042</f>
        <v>2019</v>
      </c>
      <c r="I1743" s="1103">
        <f t="shared" si="785"/>
        <v>2020</v>
      </c>
      <c r="J1743" s="1104">
        <f t="shared" si="785"/>
        <v>2021</v>
      </c>
      <c r="K1743" s="362">
        <f t="shared" si="785"/>
        <v>2022</v>
      </c>
      <c r="L1743" s="362">
        <f t="shared" si="785"/>
        <v>2023</v>
      </c>
      <c r="M1743" s="362">
        <f t="shared" si="785"/>
        <v>2024</v>
      </c>
      <c r="N1743" s="1141">
        <f t="shared" si="785"/>
        <v>2025</v>
      </c>
      <c r="O1743" s="15"/>
      <c r="P1743" s="15"/>
      <c r="Q1743" s="343"/>
      <c r="R1743" s="2"/>
      <c r="S1743" s="343"/>
      <c r="T1743" s="343"/>
      <c r="U1743" s="343"/>
      <c r="V1743" s="343"/>
      <c r="W1743" s="343"/>
      <c r="X1743" s="343"/>
      <c r="Y1743" s="343"/>
      <c r="Z1743" s="343"/>
      <c r="AA1743" s="2"/>
      <c r="AB1743" s="2"/>
      <c r="AC1743" s="1044">
        <f t="shared" ref="AC1743:AI1743" si="786">H$20</f>
        <v>2019</v>
      </c>
      <c r="AD1743" s="1044">
        <f t="shared" si="786"/>
        <v>2020</v>
      </c>
      <c r="AE1743" s="1044">
        <f t="shared" si="786"/>
        <v>2021</v>
      </c>
      <c r="AF1743" s="1044">
        <f t="shared" si="786"/>
        <v>2022</v>
      </c>
      <c r="AG1743" s="1044">
        <f t="shared" si="786"/>
        <v>2023</v>
      </c>
      <c r="AH1743" s="1044">
        <f t="shared" si="786"/>
        <v>2024</v>
      </c>
      <c r="AI1743" s="1044">
        <f t="shared" si="786"/>
        <v>2025</v>
      </c>
      <c r="AJ1743" s="2"/>
      <c r="AK1743" s="2"/>
      <c r="AL1743" s="2"/>
    </row>
    <row r="1744" spans="1:38" ht="12.75" customHeight="1" x14ac:dyDescent="0.25">
      <c r="A1744" s="2"/>
      <c r="B1744" s="178"/>
      <c r="C1744" s="779"/>
      <c r="D1744" s="416" t="s">
        <v>862</v>
      </c>
      <c r="E1744" s="2611" t="str">
        <f>Translations!$B$622</f>
        <v>Förbrukade mängder</v>
      </c>
      <c r="F1744" s="2484"/>
      <c r="G1744" s="1314"/>
      <c r="H1744" s="1298"/>
      <c r="I1744" s="1299"/>
      <c r="J1744" s="1300"/>
      <c r="K1744" s="1298"/>
      <c r="L1744" s="1298"/>
      <c r="M1744" s="1298"/>
      <c r="N1744" s="1301"/>
      <c r="O1744" s="15"/>
      <c r="P1744" s="1362"/>
      <c r="Q1744" s="343"/>
      <c r="R1744" s="2"/>
      <c r="S1744" s="343"/>
      <c r="T1744" s="343"/>
      <c r="U1744" s="343"/>
      <c r="V1744" s="343"/>
      <c r="W1744" s="343"/>
      <c r="X1744" s="343"/>
      <c r="Y1744" s="343"/>
      <c r="Z1744" s="343"/>
      <c r="AA1744" s="2"/>
      <c r="AB1744" s="672" t="s">
        <v>782</v>
      </c>
      <c r="AC1744" s="108" t="b">
        <f>AC1735</f>
        <v>0</v>
      </c>
      <c r="AD1744" s="108" t="b">
        <f t="shared" ref="AD1744:AI1744" si="787">AD1735</f>
        <v>0</v>
      </c>
      <c r="AE1744" s="108" t="b">
        <f t="shared" si="787"/>
        <v>0</v>
      </c>
      <c r="AF1744" s="108" t="b">
        <f t="shared" si="787"/>
        <v>0</v>
      </c>
      <c r="AG1744" s="108" t="b">
        <f t="shared" si="787"/>
        <v>0</v>
      </c>
      <c r="AH1744" s="108" t="b">
        <f t="shared" si="787"/>
        <v>0</v>
      </c>
      <c r="AI1744" s="108" t="b">
        <f t="shared" si="787"/>
        <v>0</v>
      </c>
      <c r="AJ1744" s="553" t="s">
        <v>2248</v>
      </c>
      <c r="AK1744" s="663" t="str">
        <f>IF(AND(CNTR_ExistSubInstEntries,MSconst_RequireSubAttrEmissions,COUNTIFS(AC1744:AI1744,FALSE,H1744:N1744,"")&gt;0),EUconst_Error&amp;"BM"&amp;$Q1523,"")</f>
        <v/>
      </c>
      <c r="AL1744" s="2"/>
    </row>
    <row r="1745" spans="1:38" ht="12.75" customHeight="1" x14ac:dyDescent="0.25">
      <c r="A1745" s="2"/>
      <c r="B1745" s="178"/>
      <c r="C1745" s="779"/>
      <c r="D1745" s="416" t="s">
        <v>863</v>
      </c>
      <c r="E1745" s="2612" t="str">
        <f>Translations!$B$318</f>
        <v>Effektivt värmevärde</v>
      </c>
      <c r="F1745" s="2487"/>
      <c r="G1745" s="51" t="str">
        <f>IF(ISBLANK(G1744),EUconst_GJperUnit,INDEX(EUconst_GJperTorKNm3,MATCH(G1744,EUconst_TonnesOrkNm3pa,0)))</f>
        <v>GJ / Enhet</v>
      </c>
      <c r="H1745" s="1306"/>
      <c r="I1745" s="1307"/>
      <c r="J1745" s="1308"/>
      <c r="K1745" s="1306"/>
      <c r="L1745" s="1306"/>
      <c r="M1745" s="1306"/>
      <c r="N1745" s="1309"/>
      <c r="O1745" s="15"/>
      <c r="P1745" s="1362"/>
      <c r="Q1745" s="2"/>
      <c r="R1745" s="2"/>
      <c r="S1745" s="343"/>
      <c r="T1745" s="343"/>
      <c r="U1745" s="343"/>
      <c r="V1745" s="343"/>
      <c r="W1745" s="343"/>
      <c r="X1745" s="343"/>
      <c r="Y1745" s="343"/>
      <c r="Z1745" s="343"/>
      <c r="AA1745" s="2"/>
      <c r="AB1745" s="2"/>
      <c r="AC1745" s="108" t="b">
        <f>AC1744</f>
        <v>0</v>
      </c>
      <c r="AD1745" s="108" t="b">
        <f t="shared" ref="AD1745:AI1745" si="788">AD1744</f>
        <v>0</v>
      </c>
      <c r="AE1745" s="108" t="b">
        <f t="shared" si="788"/>
        <v>0</v>
      </c>
      <c r="AF1745" s="108" t="b">
        <f t="shared" si="788"/>
        <v>0</v>
      </c>
      <c r="AG1745" s="108" t="b">
        <f t="shared" si="788"/>
        <v>0</v>
      </c>
      <c r="AH1745" s="108" t="b">
        <f t="shared" si="788"/>
        <v>0</v>
      </c>
      <c r="AI1745" s="108" t="b">
        <f t="shared" si="788"/>
        <v>0</v>
      </c>
      <c r="AJ1745" s="553" t="s">
        <v>2248</v>
      </c>
      <c r="AK1745" s="663" t="str">
        <f>IF(AND(CNTR_ExistSubInstEntries,MSconst_RequireSubAttrEmissions,COUNTIFS(AC1745:AI1745,FALSE,H1745:N1745,"")&gt;0),EUconst_Error&amp;"BM"&amp;$Q1523,"")</f>
        <v/>
      </c>
      <c r="AL1745" s="2"/>
    </row>
    <row r="1746" spans="1:38" ht="12.75" customHeight="1" x14ac:dyDescent="0.25">
      <c r="A1746" s="2"/>
      <c r="B1746" s="178"/>
      <c r="C1746" s="779"/>
      <c r="D1746" s="416" t="s">
        <v>72</v>
      </c>
      <c r="E1746" s="2613" t="str">
        <f>Translations!$B$623</f>
        <v>Förbrukad restgas</v>
      </c>
      <c r="F1746" s="1997"/>
      <c r="G1746" s="364" t="str">
        <f>EUconst_TJpa</f>
        <v>TJ / år</v>
      </c>
      <c r="H1746" s="414" t="str">
        <f t="shared" ref="H1746:N1746" si="789">IF(COUNT(H1744:H1745)=2,H1744*H1745/1000,"")</f>
        <v/>
      </c>
      <c r="I1746" s="1108" t="str">
        <f t="shared" si="789"/>
        <v/>
      </c>
      <c r="J1746" s="1114" t="str">
        <f t="shared" si="789"/>
        <v/>
      </c>
      <c r="K1746" s="414" t="str">
        <f t="shared" si="789"/>
        <v/>
      </c>
      <c r="L1746" s="414" t="str">
        <f t="shared" si="789"/>
        <v/>
      </c>
      <c r="M1746" s="414" t="str">
        <f t="shared" si="789"/>
        <v/>
      </c>
      <c r="N1746" s="1147" t="str">
        <f t="shared" si="789"/>
        <v/>
      </c>
      <c r="O1746" s="15"/>
      <c r="P1746" s="15"/>
      <c r="Q1746" s="165" t="str">
        <f>EUconst_CNTR_WGConsumed &amp; I1523</f>
        <v>WasteGasCons_</v>
      </c>
      <c r="R1746" s="2"/>
      <c r="S1746" s="343"/>
      <c r="T1746" s="343"/>
      <c r="U1746" s="343"/>
      <c r="V1746" s="343"/>
      <c r="W1746" s="343"/>
      <c r="X1746" s="343"/>
      <c r="Y1746" s="343"/>
      <c r="Z1746" s="343"/>
      <c r="AA1746" s="2"/>
      <c r="AB1746" s="2"/>
      <c r="AC1746" s="2"/>
      <c r="AD1746" s="2"/>
      <c r="AE1746" s="2"/>
      <c r="AF1746" s="2"/>
      <c r="AG1746" s="2"/>
      <c r="AH1746" s="2"/>
      <c r="AI1746" s="2"/>
      <c r="AJ1746" s="2"/>
      <c r="AK1746" s="2"/>
      <c r="AL1746" s="2"/>
    </row>
    <row r="1747" spans="1:38" ht="12.75" customHeight="1" x14ac:dyDescent="0.25">
      <c r="A1747" s="2"/>
      <c r="B1747" s="178"/>
      <c r="C1747" s="779"/>
      <c r="D1747" s="416" t="s">
        <v>73</v>
      </c>
      <c r="E1747" s="2613" t="str">
        <f>Translations!$B$624</f>
        <v>Särskild emissionsfaktor (förbrukad restgas)</v>
      </c>
      <c r="F1747" s="1997"/>
      <c r="G1747" s="364" t="str">
        <f>EUconst_tCO2pTJ</f>
        <v>t CO2 / TJ</v>
      </c>
      <c r="H1747" s="582"/>
      <c r="I1747" s="1105"/>
      <c r="J1747" s="1115"/>
      <c r="K1747" s="582"/>
      <c r="L1747" s="582"/>
      <c r="M1747" s="582"/>
      <c r="N1747" s="1146"/>
      <c r="O1747" s="15"/>
      <c r="P1747" s="1362"/>
      <c r="Q1747" s="165" t="str">
        <f>EUconst_CNTR_WGConsumedEF &amp; I1523</f>
        <v>WasteGasConsEF_</v>
      </c>
      <c r="R1747" s="2"/>
      <c r="S1747" s="343"/>
      <c r="T1747" s="343"/>
      <c r="U1747" s="343"/>
      <c r="V1747" s="343"/>
      <c r="W1747" s="343"/>
      <c r="X1747" s="343"/>
      <c r="Y1747" s="343"/>
      <c r="Z1747" s="343"/>
      <c r="AA1747" s="2"/>
      <c r="AB1747" s="672" t="s">
        <v>782</v>
      </c>
      <c r="AC1747" s="108" t="b">
        <f>AC1745</f>
        <v>0</v>
      </c>
      <c r="AD1747" s="108" t="b">
        <f t="shared" ref="AD1747:AI1747" si="790">AD1745</f>
        <v>0</v>
      </c>
      <c r="AE1747" s="108" t="b">
        <f t="shared" si="790"/>
        <v>0</v>
      </c>
      <c r="AF1747" s="108" t="b">
        <f t="shared" si="790"/>
        <v>0</v>
      </c>
      <c r="AG1747" s="108" t="b">
        <f t="shared" si="790"/>
        <v>0</v>
      </c>
      <c r="AH1747" s="108" t="b">
        <f t="shared" si="790"/>
        <v>0</v>
      </c>
      <c r="AI1747" s="108" t="b">
        <f t="shared" si="790"/>
        <v>0</v>
      </c>
      <c r="AJ1747" s="553" t="s">
        <v>2248</v>
      </c>
      <c r="AK1747" s="663" t="str">
        <f>IF(AND(CNTR_ExistSubInstEntries,MSconst_RequireSubAttrEmissions,COUNTIFS(AC1747:AI1747,FALSE,H1747:N1747,"")&gt;0),EUconst_Error&amp;"BM"&amp;$Q1523,"")</f>
        <v/>
      </c>
      <c r="AL1747" s="2"/>
    </row>
    <row r="1748" spans="1:38" ht="12.75" customHeight="1" x14ac:dyDescent="0.25">
      <c r="A1748" s="2"/>
      <c r="B1748" s="178"/>
      <c r="C1748" s="779"/>
      <c r="D1748" s="780"/>
      <c r="E1748" s="780"/>
      <c r="F1748" s="780"/>
      <c r="G1748" s="780"/>
      <c r="H1748" s="1805"/>
      <c r="I1748" s="780"/>
      <c r="J1748" s="780"/>
      <c r="K1748" s="780"/>
      <c r="L1748" s="780"/>
      <c r="M1748" s="623"/>
      <c r="N1748" s="519"/>
      <c r="O1748" s="15"/>
      <c r="P1748" s="15"/>
      <c r="Q1748" s="343"/>
      <c r="R1748" s="2"/>
      <c r="S1748" s="343"/>
      <c r="T1748" s="343"/>
      <c r="U1748" s="343"/>
      <c r="V1748" s="343"/>
      <c r="W1748" s="2"/>
      <c r="X1748" s="2"/>
      <c r="Y1748" s="2"/>
      <c r="Z1748" s="2"/>
      <c r="AA1748" s="2"/>
      <c r="AB1748" s="2"/>
      <c r="AC1748" s="2"/>
      <c r="AD1748" s="2"/>
      <c r="AE1748" s="2"/>
      <c r="AF1748" s="2"/>
      <c r="AG1748" s="2"/>
      <c r="AH1748" s="2"/>
      <c r="AI1748" s="2"/>
      <c r="AJ1748" s="2"/>
      <c r="AK1748" s="2"/>
      <c r="AL1748" s="2"/>
    </row>
    <row r="1749" spans="1:38" ht="12.75" customHeight="1" x14ac:dyDescent="0.25">
      <c r="A1749" s="2"/>
      <c r="B1749" s="178"/>
      <c r="C1749" s="779"/>
      <c r="D1749" s="416" t="s">
        <v>74</v>
      </c>
      <c r="E1749" s="2614" t="str">
        <f>Translations!$B$625</f>
        <v>Facklade restgastyper:</v>
      </c>
      <c r="F1749" s="1960"/>
      <c r="G1749" s="1960"/>
      <c r="H1749" s="2520"/>
      <c r="I1749" s="2621"/>
      <c r="J1749" s="2510"/>
      <c r="K1749" s="2510"/>
      <c r="L1749" s="2510"/>
      <c r="M1749" s="2511"/>
      <c r="N1749" s="1807"/>
      <c r="O1749" s="15"/>
      <c r="P1749" s="1362"/>
      <c r="Q1749" s="343"/>
      <c r="R1749" s="2"/>
      <c r="S1749" s="343"/>
      <c r="T1749" s="2"/>
      <c r="U1749" s="2"/>
      <c r="V1749" s="2"/>
      <c r="W1749" s="2"/>
      <c r="X1749" s="2"/>
      <c r="Y1749" s="2"/>
      <c r="Z1749" s="2"/>
      <c r="AA1749" s="2"/>
      <c r="AB1749" s="2"/>
      <c r="AC1749" s="672" t="s">
        <v>782</v>
      </c>
      <c r="AD1749" s="108" t="b">
        <f>AD1740</f>
        <v>0</v>
      </c>
      <c r="AE1749" s="2"/>
      <c r="AF1749" s="2"/>
      <c r="AG1749" s="2"/>
      <c r="AH1749" s="2"/>
      <c r="AI1749" s="2"/>
      <c r="AJ1749" s="2"/>
      <c r="AK1749" s="2"/>
      <c r="AL1749" s="2"/>
    </row>
    <row r="1750" spans="1:38" ht="12.75" customHeight="1" x14ac:dyDescent="0.25">
      <c r="A1750" s="2"/>
      <c r="B1750" s="178"/>
      <c r="C1750" s="779"/>
      <c r="D1750" s="416"/>
      <c r="E1750" s="2610" t="str">
        <f>Translations!$B$626</f>
        <v>Detta innefattar alla restgastyper som i slutändan blir föremål för annan fackling än säkerhetsfackling, antingen inom eller utanför delanläggningen.</v>
      </c>
      <c r="F1750" s="1960"/>
      <c r="G1750" s="1960"/>
      <c r="H1750" s="1960"/>
      <c r="I1750" s="1960"/>
      <c r="J1750" s="1960"/>
      <c r="K1750" s="1960"/>
      <c r="L1750" s="1960"/>
      <c r="M1750" s="1960"/>
      <c r="N1750" s="2597"/>
      <c r="O1750" s="15"/>
      <c r="P1750" s="15"/>
      <c r="Q1750" s="343"/>
      <c r="R1750" s="2"/>
      <c r="S1750" s="2"/>
      <c r="T1750" s="343"/>
      <c r="U1750" s="343"/>
      <c r="V1750" s="343"/>
      <c r="W1750" s="2"/>
      <c r="X1750" s="2"/>
      <c r="Y1750" s="2"/>
      <c r="Z1750" s="2"/>
      <c r="AA1750" s="2"/>
      <c r="AB1750" s="2"/>
      <c r="AC1750" s="2"/>
      <c r="AD1750" s="2"/>
      <c r="AE1750" s="2"/>
      <c r="AF1750" s="2"/>
      <c r="AG1750" s="2"/>
      <c r="AH1750" s="2"/>
      <c r="AI1750" s="2"/>
      <c r="AJ1750" s="2"/>
      <c r="AK1750" s="2"/>
      <c r="AL1750" s="2"/>
    </row>
    <row r="1751" spans="1:38" ht="12.75" customHeight="1" x14ac:dyDescent="0.25">
      <c r="A1751" s="2"/>
      <c r="B1751" s="178"/>
      <c r="C1751" s="779"/>
      <c r="D1751" s="780"/>
      <c r="E1751" s="2610" t="str">
        <f>Translations!$B$627</f>
        <v>De uppgifter som anges här används bara i konsekvenskontrollsyfte och får ingen direkt påverkan på de utsläpp som kan tillskrivas.</v>
      </c>
      <c r="F1751" s="1960"/>
      <c r="G1751" s="1960"/>
      <c r="H1751" s="1960"/>
      <c r="I1751" s="1960"/>
      <c r="J1751" s="1960"/>
      <c r="K1751" s="1960"/>
      <c r="L1751" s="1960"/>
      <c r="M1751" s="1960"/>
      <c r="N1751" s="2597"/>
      <c r="O1751" s="15"/>
      <c r="P1751" s="15"/>
      <c r="Q1751" s="343"/>
      <c r="R1751" s="2"/>
      <c r="S1751" s="343"/>
      <c r="T1751" s="343"/>
      <c r="U1751" s="343"/>
      <c r="V1751" s="343"/>
      <c r="W1751" s="2"/>
      <c r="X1751" s="2"/>
      <c r="Y1751" s="2"/>
      <c r="Z1751" s="2"/>
      <c r="AA1751" s="2"/>
      <c r="AB1751" s="2"/>
      <c r="AC1751" s="2"/>
      <c r="AD1751" s="2"/>
      <c r="AE1751" s="2"/>
      <c r="AF1751" s="2"/>
      <c r="AG1751" s="2"/>
      <c r="AH1751" s="2"/>
      <c r="AI1751" s="2"/>
      <c r="AJ1751" s="2"/>
      <c r="AK1751" s="2"/>
      <c r="AL1751" s="2"/>
    </row>
    <row r="1752" spans="1:38" ht="12.75" customHeight="1" x14ac:dyDescent="0.25">
      <c r="A1752" s="2"/>
      <c r="B1752" s="178"/>
      <c r="C1752" s="779"/>
      <c r="D1752" s="780"/>
      <c r="E1752" s="2596" t="str">
        <f>Translations!$B$628</f>
        <v>Från och med 2026 kommer dock tilldelningen att minskas med avseende på annan fackling av restgaser än säkerhetsfackling.</v>
      </c>
      <c r="F1752" s="1960"/>
      <c r="G1752" s="1960"/>
      <c r="H1752" s="1960"/>
      <c r="I1752" s="1960"/>
      <c r="J1752" s="1960"/>
      <c r="K1752" s="1960"/>
      <c r="L1752" s="1960"/>
      <c r="M1752" s="1960"/>
      <c r="N1752" s="2597"/>
      <c r="O1752" s="15"/>
      <c r="P1752" s="15"/>
      <c r="Q1752" s="343"/>
      <c r="R1752" s="2"/>
      <c r="S1752" s="343"/>
      <c r="T1752" s="343"/>
      <c r="U1752" s="343"/>
      <c r="V1752" s="343"/>
      <c r="W1752" s="343"/>
      <c r="X1752" s="343"/>
      <c r="Y1752" s="343"/>
      <c r="Z1752" s="343"/>
      <c r="AA1752" s="2"/>
      <c r="AB1752" s="2"/>
      <c r="AC1752" s="2"/>
      <c r="AD1752" s="2"/>
      <c r="AE1752" s="2"/>
      <c r="AF1752" s="2"/>
      <c r="AG1752" s="2"/>
      <c r="AH1752" s="2"/>
      <c r="AI1752" s="2"/>
      <c r="AJ1752" s="2"/>
      <c r="AK1752" s="2"/>
      <c r="AL1752" s="2"/>
    </row>
    <row r="1753" spans="1:38" ht="12.75" customHeight="1" thickBot="1" x14ac:dyDescent="0.3">
      <c r="A1753" s="2"/>
      <c r="B1753" s="178"/>
      <c r="C1753" s="779"/>
      <c r="D1753" s="780"/>
      <c r="E1753" s="1716"/>
      <c r="F1753" s="1717"/>
      <c r="G1753" s="361" t="str">
        <f>EUconst_Unit</f>
        <v>Enhet</v>
      </c>
      <c r="H1753" s="362">
        <f t="shared" ref="H1753:N1753" si="791">H$3042</f>
        <v>2019</v>
      </c>
      <c r="I1753" s="1103">
        <f t="shared" si="791"/>
        <v>2020</v>
      </c>
      <c r="J1753" s="1104">
        <f t="shared" si="791"/>
        <v>2021</v>
      </c>
      <c r="K1753" s="362">
        <f t="shared" si="791"/>
        <v>2022</v>
      </c>
      <c r="L1753" s="362">
        <f t="shared" si="791"/>
        <v>2023</v>
      </c>
      <c r="M1753" s="362">
        <f t="shared" si="791"/>
        <v>2024</v>
      </c>
      <c r="N1753" s="1141">
        <f t="shared" si="791"/>
        <v>2025</v>
      </c>
      <c r="O1753" s="15"/>
      <c r="P1753" s="15"/>
      <c r="Q1753" s="343"/>
      <c r="R1753" s="2"/>
      <c r="S1753" s="343"/>
      <c r="T1753" s="343"/>
      <c r="U1753" s="343"/>
      <c r="V1753" s="343"/>
      <c r="W1753" s="343"/>
      <c r="X1753" s="343"/>
      <c r="Y1753" s="343"/>
      <c r="Z1753" s="343"/>
      <c r="AA1753" s="2"/>
      <c r="AB1753" s="2"/>
      <c r="AC1753" s="1044">
        <f t="shared" ref="AC1753:AI1753" si="792">H$20</f>
        <v>2019</v>
      </c>
      <c r="AD1753" s="1044">
        <f t="shared" si="792"/>
        <v>2020</v>
      </c>
      <c r="AE1753" s="1044">
        <f t="shared" si="792"/>
        <v>2021</v>
      </c>
      <c r="AF1753" s="1044">
        <f t="shared" si="792"/>
        <v>2022</v>
      </c>
      <c r="AG1753" s="1044">
        <f t="shared" si="792"/>
        <v>2023</v>
      </c>
      <c r="AH1753" s="1044">
        <f t="shared" si="792"/>
        <v>2024</v>
      </c>
      <c r="AI1753" s="1044">
        <f t="shared" si="792"/>
        <v>2025</v>
      </c>
      <c r="AJ1753" s="2"/>
      <c r="AK1753" s="2"/>
      <c r="AL1753" s="2"/>
    </row>
    <row r="1754" spans="1:38" ht="12.75" customHeight="1" x14ac:dyDescent="0.25">
      <c r="A1754" s="2"/>
      <c r="B1754" s="178"/>
      <c r="C1754" s="779"/>
      <c r="D1754" s="416" t="s">
        <v>1201</v>
      </c>
      <c r="E1754" s="2611" t="str">
        <f>Translations!$B$629</f>
        <v>Facklade mängder</v>
      </c>
      <c r="F1754" s="2484"/>
      <c r="G1754" s="1314" t="s">
        <v>2202</v>
      </c>
      <c r="H1754" s="1298"/>
      <c r="I1754" s="1299"/>
      <c r="J1754" s="1300"/>
      <c r="K1754" s="1298"/>
      <c r="L1754" s="1298"/>
      <c r="M1754" s="1298"/>
      <c r="N1754" s="1301"/>
      <c r="O1754" s="15"/>
      <c r="P1754" s="1362"/>
      <c r="Q1754" s="343"/>
      <c r="R1754" s="2"/>
      <c r="S1754" s="343"/>
      <c r="T1754" s="343"/>
      <c r="U1754" s="343"/>
      <c r="V1754" s="343"/>
      <c r="W1754" s="343"/>
      <c r="X1754" s="343"/>
      <c r="Y1754" s="343"/>
      <c r="Z1754" s="343"/>
      <c r="AA1754" s="2"/>
      <c r="AB1754" s="672" t="s">
        <v>782</v>
      </c>
      <c r="AC1754" s="108" t="b">
        <f>AC1744</f>
        <v>0</v>
      </c>
      <c r="AD1754" s="108" t="b">
        <f t="shared" ref="AD1754:AI1754" si="793">AD1744</f>
        <v>0</v>
      </c>
      <c r="AE1754" s="108" t="b">
        <f t="shared" si="793"/>
        <v>0</v>
      </c>
      <c r="AF1754" s="108" t="b">
        <f t="shared" si="793"/>
        <v>0</v>
      </c>
      <c r="AG1754" s="108" t="b">
        <f t="shared" si="793"/>
        <v>0</v>
      </c>
      <c r="AH1754" s="108" t="b">
        <f t="shared" si="793"/>
        <v>0</v>
      </c>
      <c r="AI1754" s="108" t="b">
        <f t="shared" si="793"/>
        <v>0</v>
      </c>
      <c r="AJ1754" s="553" t="s">
        <v>2248</v>
      </c>
      <c r="AK1754" s="663" t="str">
        <f>IF(AND(CNTR_ExistSubInstEntries,MSconst_RequireSubAttrEmissions,COUNTIFS(AC1754:AI1754,FALSE,H1754:N1754,"")&gt;0),EUconst_Error&amp;"BM"&amp;$Q1523,"")</f>
        <v/>
      </c>
      <c r="AL1754" s="2"/>
    </row>
    <row r="1755" spans="1:38" ht="12.75" customHeight="1" x14ac:dyDescent="0.25">
      <c r="A1755" s="2"/>
      <c r="B1755" s="178"/>
      <c r="C1755" s="779"/>
      <c r="D1755" s="416" t="s">
        <v>1202</v>
      </c>
      <c r="E1755" s="2612" t="str">
        <f>Translations!$B$318</f>
        <v>Effektivt värmevärde</v>
      </c>
      <c r="F1755" s="2487"/>
      <c r="G1755" s="51" t="e">
        <f>IF(ISBLANK(G1754),EUconst_GJperUnit,INDEX(EUconst_GJperTorKNm3,MATCH(G1754,EUconst_TonnesOrkNm3pa,0)))</f>
        <v>#N/A</v>
      </c>
      <c r="H1755" s="1306"/>
      <c r="I1755" s="1307"/>
      <c r="J1755" s="1308"/>
      <c r="K1755" s="1306"/>
      <c r="L1755" s="1306"/>
      <c r="M1755" s="1306"/>
      <c r="N1755" s="1309"/>
      <c r="O1755" s="15"/>
      <c r="P1755" s="1362"/>
      <c r="Q1755" s="2"/>
      <c r="R1755" s="2"/>
      <c r="S1755" s="343"/>
      <c r="T1755" s="343"/>
      <c r="U1755" s="343"/>
      <c r="V1755" s="343"/>
      <c r="W1755" s="343"/>
      <c r="X1755" s="343"/>
      <c r="Y1755" s="343"/>
      <c r="Z1755" s="343"/>
      <c r="AA1755" s="2"/>
      <c r="AB1755" s="2"/>
      <c r="AC1755" s="108" t="b">
        <f>AC1754</f>
        <v>0</v>
      </c>
      <c r="AD1755" s="108" t="b">
        <f t="shared" ref="AD1755:AI1755" si="794">AD1754</f>
        <v>0</v>
      </c>
      <c r="AE1755" s="108" t="b">
        <f t="shared" si="794"/>
        <v>0</v>
      </c>
      <c r="AF1755" s="108" t="b">
        <f t="shared" si="794"/>
        <v>0</v>
      </c>
      <c r="AG1755" s="108" t="b">
        <f t="shared" si="794"/>
        <v>0</v>
      </c>
      <c r="AH1755" s="108" t="b">
        <f t="shared" si="794"/>
        <v>0</v>
      </c>
      <c r="AI1755" s="108" t="b">
        <f t="shared" si="794"/>
        <v>0</v>
      </c>
      <c r="AJ1755" s="553" t="s">
        <v>2248</v>
      </c>
      <c r="AK1755" s="663" t="str">
        <f>IF(AND(CNTR_ExistSubInstEntries,MSconst_RequireSubAttrEmissions,COUNTIFS(AC1755:AI1755,FALSE,H1755:N1755,"")&gt;0),EUconst_Error&amp;"BM"&amp;$Q1523,"")</f>
        <v/>
      </c>
      <c r="AL1755" s="2"/>
    </row>
    <row r="1756" spans="1:38" ht="12.75" customHeight="1" x14ac:dyDescent="0.25">
      <c r="A1756" s="2"/>
      <c r="B1756" s="178"/>
      <c r="C1756" s="779"/>
      <c r="D1756" s="416" t="s">
        <v>1203</v>
      </c>
      <c r="E1756" s="2613" t="str">
        <f>Translations!$B$630</f>
        <v>Facklad restgas</v>
      </c>
      <c r="F1756" s="1997"/>
      <c r="G1756" s="364" t="str">
        <f>EUconst_TJpa</f>
        <v>TJ / år</v>
      </c>
      <c r="H1756" s="414" t="str">
        <f t="shared" ref="H1756:N1756" si="795">IF(COUNT(H1754:H1755)=2,H1754*H1755/1000,"")</f>
        <v/>
      </c>
      <c r="I1756" s="1108" t="str">
        <f t="shared" si="795"/>
        <v/>
      </c>
      <c r="J1756" s="1114" t="str">
        <f t="shared" si="795"/>
        <v/>
      </c>
      <c r="K1756" s="414" t="str">
        <f t="shared" si="795"/>
        <v/>
      </c>
      <c r="L1756" s="414" t="str">
        <f t="shared" si="795"/>
        <v/>
      </c>
      <c r="M1756" s="414" t="str">
        <f t="shared" si="795"/>
        <v/>
      </c>
      <c r="N1756" s="1147" t="str">
        <f t="shared" si="795"/>
        <v/>
      </c>
      <c r="O1756" s="15"/>
      <c r="P1756" s="15"/>
      <c r="Q1756" s="165" t="str">
        <f>EUconst_CNTR_WGFlared &amp; I1523</f>
        <v>WasteGasFlare_</v>
      </c>
      <c r="R1756" s="2"/>
      <c r="S1756" s="343"/>
      <c r="T1756" s="343"/>
      <c r="U1756" s="343"/>
      <c r="V1756" s="343"/>
      <c r="W1756" s="343"/>
      <c r="X1756" s="343"/>
      <c r="Y1756" s="343"/>
      <c r="Z1756" s="343"/>
      <c r="AA1756" s="2"/>
      <c r="AB1756" s="2"/>
      <c r="AC1756" s="2"/>
      <c r="AD1756" s="2"/>
      <c r="AE1756" s="2"/>
      <c r="AF1756" s="2"/>
      <c r="AG1756" s="2"/>
      <c r="AH1756" s="2"/>
      <c r="AI1756" s="2"/>
      <c r="AJ1756" s="2"/>
      <c r="AK1756" s="2"/>
      <c r="AL1756" s="2"/>
    </row>
    <row r="1757" spans="1:38" ht="12.75" customHeight="1" x14ac:dyDescent="0.25">
      <c r="A1757" s="2"/>
      <c r="B1757" s="178"/>
      <c r="C1757" s="779"/>
      <c r="D1757" s="416" t="s">
        <v>1204</v>
      </c>
      <c r="E1757" s="2613" t="str">
        <f>Translations!$B$631</f>
        <v>Särskild emissionsfaktor (facklad restgas)</v>
      </c>
      <c r="F1757" s="1997"/>
      <c r="G1757" s="364" t="str">
        <f>EUconst_tCO2pTJ</f>
        <v>t CO2 / TJ</v>
      </c>
      <c r="H1757" s="582"/>
      <c r="I1757" s="1105"/>
      <c r="J1757" s="1115"/>
      <c r="K1757" s="582"/>
      <c r="L1757" s="582"/>
      <c r="M1757" s="582"/>
      <c r="N1757" s="1146"/>
      <c r="O1757" s="15"/>
      <c r="P1757" s="1362"/>
      <c r="Q1757" s="165" t="str">
        <f>EUconst_CNTR_WGFlaredEF &amp; I1523</f>
        <v>WasteGasFlareEF_</v>
      </c>
      <c r="R1757" s="2"/>
      <c r="S1757" s="343"/>
      <c r="T1757" s="343"/>
      <c r="U1757" s="343"/>
      <c r="V1757" s="343"/>
      <c r="W1757" s="343"/>
      <c r="X1757" s="343"/>
      <c r="Y1757" s="343"/>
      <c r="Z1757" s="343"/>
      <c r="AA1757" s="2"/>
      <c r="AB1757" s="672" t="s">
        <v>782</v>
      </c>
      <c r="AC1757" s="108" t="b">
        <f>AC1755</f>
        <v>0</v>
      </c>
      <c r="AD1757" s="108" t="b">
        <f t="shared" ref="AD1757:AI1757" si="796">AD1755</f>
        <v>0</v>
      </c>
      <c r="AE1757" s="108" t="b">
        <f t="shared" si="796"/>
        <v>0</v>
      </c>
      <c r="AF1757" s="108" t="b">
        <f t="shared" si="796"/>
        <v>0</v>
      </c>
      <c r="AG1757" s="108" t="b">
        <f t="shared" si="796"/>
        <v>0</v>
      </c>
      <c r="AH1757" s="108" t="b">
        <f t="shared" si="796"/>
        <v>0</v>
      </c>
      <c r="AI1757" s="108" t="b">
        <f t="shared" si="796"/>
        <v>0</v>
      </c>
      <c r="AJ1757" s="553" t="s">
        <v>2248</v>
      </c>
      <c r="AK1757" s="663" t="str">
        <f>IF(AND(CNTR_ExistSubInstEntries,MSconst_RequireSubAttrEmissions,COUNTIFS(AC1757:AI1757,FALSE,H1757:N1757,"")&gt;0),EUconst_Error&amp;"BM"&amp;$Q1523,"")</f>
        <v/>
      </c>
      <c r="AL1757" s="2"/>
    </row>
    <row r="1758" spans="1:38" ht="5.15" customHeight="1" thickBot="1" x14ac:dyDescent="0.3">
      <c r="A1758" s="2"/>
      <c r="B1758" s="178"/>
      <c r="C1758" s="779"/>
      <c r="D1758" s="780"/>
      <c r="E1758" s="780"/>
      <c r="F1758" s="780"/>
      <c r="G1758" s="780"/>
      <c r="H1758" s="1805"/>
      <c r="I1758" s="780"/>
      <c r="J1758" s="780"/>
      <c r="K1758" s="780"/>
      <c r="L1758" s="780"/>
      <c r="M1758" s="623"/>
      <c r="N1758" s="519"/>
      <c r="O1758" s="15"/>
      <c r="P1758" s="15"/>
      <c r="Q1758" s="343"/>
      <c r="R1758" s="2"/>
      <c r="S1758" s="343"/>
      <c r="T1758" s="343"/>
      <c r="U1758" s="343"/>
      <c r="V1758" s="343"/>
      <c r="W1758" s="2"/>
      <c r="X1758" s="2"/>
      <c r="Y1758" s="2"/>
      <c r="Z1758" s="2"/>
      <c r="AA1758" s="2"/>
      <c r="AB1758" s="2"/>
      <c r="AC1758" s="2"/>
      <c r="AD1758" s="2"/>
      <c r="AE1758" s="2"/>
      <c r="AF1758" s="2"/>
      <c r="AG1758" s="2"/>
      <c r="AH1758" s="2"/>
      <c r="AI1758" s="2"/>
      <c r="AJ1758" s="2"/>
      <c r="AK1758" s="2"/>
      <c r="AL1758" s="2"/>
    </row>
    <row r="1759" spans="1:38" ht="12.75" customHeight="1" thickBot="1" x14ac:dyDescent="0.3">
      <c r="A1759" s="2"/>
      <c r="B1759" s="178"/>
      <c r="C1759" s="779"/>
      <c r="D1759" s="780"/>
      <c r="E1759" s="2613" t="str">
        <f>Translations!$B$1484</f>
        <v>Mängd facklad restgas</v>
      </c>
      <c r="F1759" s="2613"/>
      <c r="G1759" s="1206" t="str">
        <f>EUconst_tCO2</f>
        <v>t CO2</v>
      </c>
      <c r="H1759" s="626" t="str">
        <f t="shared" ref="H1759:N1759" si="797">IF(T1531,SUM(H1756)*SUM(H1757),"")</f>
        <v/>
      </c>
      <c r="I1759" s="1364" t="str">
        <f t="shared" si="797"/>
        <v/>
      </c>
      <c r="J1759" s="1365" t="str">
        <f t="shared" si="797"/>
        <v/>
      </c>
      <c r="K1759" s="626" t="str">
        <f t="shared" si="797"/>
        <v/>
      </c>
      <c r="L1759" s="626" t="str">
        <f t="shared" si="797"/>
        <v/>
      </c>
      <c r="M1759" s="626" t="str">
        <f t="shared" si="797"/>
        <v/>
      </c>
      <c r="N1759" s="626" t="str">
        <f t="shared" si="797"/>
        <v/>
      </c>
      <c r="O1759" s="15"/>
      <c r="P1759" s="15"/>
      <c r="Q1759" s="165" t="str">
        <f>EUconst_CNTR_HAL &amp; EUconst_CNTR_WGFlared &amp; I1523</f>
        <v>HAL_WasteGasFlare_</v>
      </c>
      <c r="R1759" s="2"/>
      <c r="S1759" s="553" t="s">
        <v>1962</v>
      </c>
      <c r="T1759" s="445" t="b">
        <f>CNTR_SubPeriod=2</f>
        <v>1</v>
      </c>
      <c r="U1759" s="343"/>
      <c r="V1759" s="343"/>
      <c r="W1759" s="2"/>
      <c r="X1759" s="2"/>
      <c r="Y1759" s="2"/>
      <c r="Z1759" s="2"/>
      <c r="AA1759" s="2"/>
      <c r="AB1759" s="2"/>
      <c r="AC1759" s="2"/>
      <c r="AD1759" s="2"/>
      <c r="AE1759" s="2"/>
      <c r="AF1759" s="2"/>
      <c r="AG1759" s="2"/>
      <c r="AH1759" s="2"/>
      <c r="AI1759" s="2"/>
      <c r="AJ1759" s="2"/>
      <c r="AK1759" s="2"/>
      <c r="AL1759" s="2"/>
    </row>
    <row r="1760" spans="1:38" ht="5.15" customHeight="1" thickBot="1" x14ac:dyDescent="0.3">
      <c r="A1760" s="2"/>
      <c r="B1760" s="178"/>
      <c r="C1760" s="779"/>
      <c r="D1760" s="780"/>
      <c r="E1760" s="780"/>
      <c r="F1760" s="780"/>
      <c r="G1760" s="780"/>
      <c r="H1760" s="1805"/>
      <c r="I1760" s="780"/>
      <c r="J1760" s="780"/>
      <c r="K1760" s="780"/>
      <c r="L1760" s="780"/>
      <c r="M1760" s="623"/>
      <c r="N1760" s="519"/>
      <c r="O1760" s="15"/>
      <c r="P1760" s="15"/>
      <c r="Q1760" s="343"/>
      <c r="R1760" s="2"/>
      <c r="S1760" s="343"/>
      <c r="T1760" s="343"/>
      <c r="U1760" s="343"/>
      <c r="V1760" s="343"/>
      <c r="W1760" s="2"/>
      <c r="X1760" s="2"/>
      <c r="Y1760" s="2"/>
      <c r="Z1760" s="2"/>
      <c r="AA1760" s="2"/>
      <c r="AB1760" s="2"/>
      <c r="AC1760" s="2"/>
      <c r="AD1760" s="2"/>
      <c r="AE1760" s="2"/>
      <c r="AF1760" s="2"/>
      <c r="AG1760" s="2"/>
      <c r="AH1760" s="2"/>
      <c r="AI1760" s="2"/>
      <c r="AJ1760" s="2"/>
      <c r="AK1760" s="2"/>
      <c r="AL1760" s="2"/>
    </row>
    <row r="1761" spans="1:38" ht="5.15" customHeight="1" thickBot="1" x14ac:dyDescent="0.3">
      <c r="A1761" s="2"/>
      <c r="B1761" s="178"/>
      <c r="C1761" s="779"/>
      <c r="D1761" s="1263"/>
      <c r="E1761" s="1264"/>
      <c r="F1761" s="1264"/>
      <c r="G1761" s="1264"/>
      <c r="H1761" s="1265"/>
      <c r="I1761" s="1264"/>
      <c r="J1761" s="1264"/>
      <c r="K1761" s="1264"/>
      <c r="L1761" s="1264"/>
      <c r="M1761" s="1266"/>
      <c r="N1761" s="1267"/>
      <c r="O1761" s="15"/>
      <c r="P1761" s="15"/>
      <c r="Q1761" s="343"/>
      <c r="R1761" s="2"/>
      <c r="S1761" s="343"/>
      <c r="T1761" s="343"/>
      <c r="U1761" s="343"/>
      <c r="V1761" s="343"/>
      <c r="W1761" s="2"/>
      <c r="X1761" s="2"/>
      <c r="Y1761" s="2"/>
      <c r="Z1761" s="2"/>
      <c r="AA1761" s="2"/>
      <c r="AB1761" s="2"/>
      <c r="AC1761" s="2"/>
      <c r="AD1761" s="2"/>
      <c r="AE1761" s="2"/>
      <c r="AF1761" s="2"/>
      <c r="AG1761" s="2"/>
      <c r="AH1761" s="2"/>
      <c r="AI1761" s="2"/>
      <c r="AJ1761" s="2"/>
      <c r="AK1761" s="2"/>
      <c r="AL1761" s="2"/>
    </row>
    <row r="1762" spans="1:38" ht="12.75" customHeight="1" x14ac:dyDescent="0.25">
      <c r="A1762" s="2"/>
      <c r="B1762" s="178"/>
      <c r="C1762" s="779"/>
      <c r="D1762" s="1290" t="s">
        <v>2193</v>
      </c>
      <c r="E1762" s="2619" t="str">
        <f>Translations!$B$1485</f>
        <v>Justeringar: facklad restgas</v>
      </c>
      <c r="F1762" s="2497"/>
      <c r="G1762" s="2497"/>
      <c r="H1762" s="1228" t="str">
        <f>EUconst_Unit</f>
        <v>Enhet</v>
      </c>
      <c r="I1762" s="1229" t="str">
        <f>Translations!$B$1481</f>
        <v>Värde (NIMs)</v>
      </c>
      <c r="J1762" s="1268">
        <f>J$3042</f>
        <v>2021</v>
      </c>
      <c r="K1762" s="1230">
        <f>K$3042</f>
        <v>2022</v>
      </c>
      <c r="L1762" s="1230">
        <f>L$3042</f>
        <v>2023</v>
      </c>
      <c r="M1762" s="1230">
        <f>M$3042</f>
        <v>2024</v>
      </c>
      <c r="N1762" s="1258">
        <f>N$3042</f>
        <v>2025</v>
      </c>
      <c r="O1762" s="15"/>
      <c r="P1762" s="15"/>
      <c r="Q1762" s="343"/>
      <c r="R1762" s="2"/>
      <c r="S1762" s="2"/>
      <c r="T1762" s="2"/>
      <c r="U1762" s="772"/>
      <c r="V1762" s="1077">
        <f>J1762</f>
        <v>2021</v>
      </c>
      <c r="W1762" s="1077">
        <f>K1762</f>
        <v>2022</v>
      </c>
      <c r="X1762" s="1077">
        <f>L1762</f>
        <v>2023</v>
      </c>
      <c r="Y1762" s="1077">
        <f>M1762</f>
        <v>2024</v>
      </c>
      <c r="Z1762" s="1078">
        <f>N1762</f>
        <v>2025</v>
      </c>
      <c r="AA1762" s="2"/>
      <c r="AB1762" s="2"/>
      <c r="AC1762" s="2"/>
      <c r="AD1762" s="2"/>
      <c r="AE1762" s="2"/>
      <c r="AF1762" s="2"/>
      <c r="AG1762" s="2"/>
      <c r="AH1762" s="2"/>
      <c r="AI1762" s="2"/>
      <c r="AJ1762" s="2"/>
      <c r="AK1762" s="2"/>
      <c r="AL1762" s="2"/>
    </row>
    <row r="1763" spans="1:38" ht="12.75" customHeight="1" x14ac:dyDescent="0.25">
      <c r="A1763" s="2"/>
      <c r="B1763" s="178"/>
      <c r="C1763" s="779"/>
      <c r="D1763" s="1246" t="s">
        <v>8</v>
      </c>
      <c r="E1763" s="2618" t="str">
        <f>Translations!$B$1482</f>
        <v>Genomsnittligt årligt värde</v>
      </c>
      <c r="F1763" s="1997"/>
      <c r="G1763" s="1997"/>
      <c r="H1763" s="1232" t="str">
        <f>G1759</f>
        <v>t CO2</v>
      </c>
      <c r="I1763" s="990" t="str">
        <f>INDEX('B+C_SubInstallations'!$K:$K,MATCH(Q1763,'B+C_SubInstallations'!$V:$V,0))</f>
        <v/>
      </c>
      <c r="J1763" s="1215" t="str">
        <f>IF($T1759&lt;&gt;TRUE,"",IF(AND(V1763&gt;=3,CNTR_ReportingYear&gt;J1762-1),AVERAGE(SUM(H1759),SUM(I1759)),""))</f>
        <v/>
      </c>
      <c r="K1763" s="1216" t="str">
        <f>IF($T1759&lt;&gt;TRUE,"",IF(AND(W1763&gt;=3,CNTR_ReportingYear&gt;K1762-1),AVERAGE(SUM(I1759),SUM(J1759)),""))</f>
        <v/>
      </c>
      <c r="L1763" s="1216" t="str">
        <f>IF($T1759&lt;&gt;TRUE,"",IF(AND(X1763&gt;=3,CNTR_ReportingYear&gt;L1762-1),AVERAGE(SUM(J1759),SUM(K1759)),""))</f>
        <v/>
      </c>
      <c r="M1763" s="1216" t="str">
        <f>IF($T1759&lt;&gt;TRUE,"",IF(AND(Y1763&gt;=3,CNTR_ReportingYear&gt;M1762-1),AVERAGE(SUM(K1759),SUM(L1759)),""))</f>
        <v/>
      </c>
      <c r="N1763" s="1227" t="str">
        <f>IF($T1759&lt;&gt;TRUE,"",IF(AND(Z1763&gt;=3,CNTR_ReportingYear&gt;N1762-1),AVERAGE(SUM(L1759),SUM(M1759)),""))</f>
        <v/>
      </c>
      <c r="O1763" s="15"/>
      <c r="P1763" s="15"/>
      <c r="Q1763" s="165" t="str">
        <f>EUconst_CNTR_HALinitial &amp; EUconst_CNTR_WGFlared &amp; I1523</f>
        <v>HALini_WasteGasFlare_</v>
      </c>
      <c r="R1763" s="2"/>
      <c r="S1763" s="2"/>
      <c r="T1763" s="2"/>
      <c r="U1763" s="1079" t="s">
        <v>1850</v>
      </c>
      <c r="V1763" s="663">
        <f>V1545</f>
        <v>0</v>
      </c>
      <c r="W1763" s="663">
        <f>W1545</f>
        <v>0</v>
      </c>
      <c r="X1763" s="663">
        <f>X1545</f>
        <v>0</v>
      </c>
      <c r="Y1763" s="663">
        <f>Y1545</f>
        <v>0</v>
      </c>
      <c r="Z1763" s="1080">
        <f>Z1545</f>
        <v>0</v>
      </c>
      <c r="AA1763" s="2"/>
      <c r="AB1763" s="2"/>
      <c r="AC1763" s="2"/>
      <c r="AD1763" s="2"/>
      <c r="AE1763" s="2"/>
      <c r="AF1763" s="2"/>
      <c r="AG1763" s="2"/>
      <c r="AH1763" s="2"/>
      <c r="AI1763" s="2"/>
      <c r="AJ1763" s="2"/>
      <c r="AK1763" s="2"/>
      <c r="AL1763" s="2"/>
    </row>
    <row r="1764" spans="1:38" ht="12.75" hidden="1" customHeight="1" x14ac:dyDescent="0.25">
      <c r="A1764" s="343" t="s">
        <v>346</v>
      </c>
      <c r="B1764" s="178"/>
      <c r="C1764" s="779"/>
      <c r="D1764" s="1246"/>
      <c r="E1764" s="2618" t="s">
        <v>1980</v>
      </c>
      <c r="F1764" s="1997"/>
      <c r="G1764" s="1997"/>
      <c r="H1764" s="1233"/>
      <c r="I1764" s="1235"/>
      <c r="J1764" s="1013" t="str">
        <f>IF(J1763="","",IF($I1766=0,IF(J1763=0,0%,100%),J1763/$I1766-1))</f>
        <v/>
      </c>
      <c r="K1764" s="938" t="str">
        <f>IF(K1763="","",IF($I1766=0,IF(K1763=0,0%,100%),K1763/$I1766-1))</f>
        <v/>
      </c>
      <c r="L1764" s="938" t="str">
        <f>IF(L1763="","",IF($I1766=0,IF(L1763=0,0%,100%),L1763/$I1766-1))</f>
        <v/>
      </c>
      <c r="M1764" s="938" t="str">
        <f>IF(M1763="","",IF($I1766=0,IF(M1763=0,0%,100%),M1763/$I1766-1))</f>
        <v/>
      </c>
      <c r="N1764" s="1223" t="str">
        <f>IF(N1763="","",IF($I1766=0,IF(N1763=0,0%,100%),N1763/$I1766-1))</f>
        <v/>
      </c>
      <c r="O1764" s="15"/>
      <c r="P1764" s="15"/>
      <c r="Q1764" s="165" t="str">
        <f>EUconst_CNTR_RelThreshold &amp; Q1766</f>
        <v>RelThresh_HALprelim_WasteGasFlare_</v>
      </c>
      <c r="R1764" s="2"/>
      <c r="S1764" s="2"/>
      <c r="T1764" s="2"/>
      <c r="U1764" s="1079" t="s">
        <v>1855</v>
      </c>
      <c r="V1764" s="603" t="str">
        <f>IF(J1763="","",ABS(J1764)&gt;15%)</f>
        <v/>
      </c>
      <c r="W1764" s="603" t="str">
        <f>IF(K1763="","",ABS(K1764)&gt;15%)</f>
        <v/>
      </c>
      <c r="X1764" s="603" t="str">
        <f>IF(L1763="","",ABS(L1764)&gt;15%)</f>
        <v/>
      </c>
      <c r="Y1764" s="603" t="str">
        <f>IF(M1763="","",ABS(M1764)&gt;15%)</f>
        <v/>
      </c>
      <c r="Z1764" s="1756" t="str">
        <f>IF(N1763="","",ABS(N1764)&gt;15%)</f>
        <v/>
      </c>
      <c r="AA1764" s="2"/>
      <c r="AB1764" s="2"/>
      <c r="AC1764" s="2"/>
      <c r="AD1764" s="2"/>
      <c r="AE1764" s="2"/>
      <c r="AF1764" s="2"/>
      <c r="AG1764" s="2"/>
      <c r="AH1764" s="2"/>
      <c r="AI1764" s="2"/>
      <c r="AJ1764" s="2"/>
      <c r="AK1764" s="2"/>
      <c r="AL1764" s="2"/>
    </row>
    <row r="1765" spans="1:38" ht="12.75" customHeight="1" x14ac:dyDescent="0.25">
      <c r="A1765" s="343"/>
      <c r="B1765" s="178"/>
      <c r="C1765" s="779"/>
      <c r="D1765" s="1246" t="s">
        <v>9</v>
      </c>
      <c r="E1765" s="2618" t="str">
        <f>Translations!$B$1474</f>
        <v>Preliminär justering (om relativa tröskelvärden överskrids)</v>
      </c>
      <c r="F1765" s="1997"/>
      <c r="G1765" s="1997"/>
      <c r="H1765" s="1233"/>
      <c r="I1765" s="1235"/>
      <c r="J1765" s="992" t="str">
        <f>IF(J1763="","",IF(V1764=FALSE,0%,J1764))</f>
        <v/>
      </c>
      <c r="K1765" s="937" t="str">
        <f>IF(K1763="","",IF(W1764=FALSE,0%,K1764))</f>
        <v/>
      </c>
      <c r="L1765" s="937" t="str">
        <f>IF(L1763="","",IF(X1764=FALSE,0%,L1764))</f>
        <v/>
      </c>
      <c r="M1765" s="937" t="str">
        <f>IF(M1763="","",IF(Y1764=FALSE,0%,M1764))</f>
        <v/>
      </c>
      <c r="N1765" s="1220" t="str">
        <f>IF(N1763="","",IF(Z1764=FALSE,0%,N1764))</f>
        <v/>
      </c>
      <c r="O1765" s="15"/>
      <c r="P1765" s="15"/>
      <c r="Q1765" s="343"/>
      <c r="R1765" s="2"/>
      <c r="S1765" s="2"/>
      <c r="T1765" s="2"/>
      <c r="U1765" s="1081"/>
      <c r="V1765" s="2"/>
      <c r="W1765" s="2"/>
      <c r="X1765" s="2"/>
      <c r="Y1765" s="2"/>
      <c r="Z1765" s="228"/>
      <c r="AA1765" s="2"/>
      <c r="AB1765" s="2"/>
      <c r="AC1765" s="2"/>
      <c r="AD1765" s="2"/>
      <c r="AE1765" s="2"/>
      <c r="AF1765" s="2"/>
      <c r="AG1765" s="2"/>
      <c r="AH1765" s="2"/>
      <c r="AI1765" s="2"/>
      <c r="AJ1765" s="2"/>
      <c r="AK1765" s="2"/>
      <c r="AL1765" s="2"/>
    </row>
    <row r="1766" spans="1:38" ht="12.75" hidden="1" customHeight="1" x14ac:dyDescent="0.25">
      <c r="A1766" s="343" t="s">
        <v>346</v>
      </c>
      <c r="B1766" s="178"/>
      <c r="C1766" s="779"/>
      <c r="D1766" s="1246"/>
      <c r="E1766" s="2618" t="s">
        <v>1889</v>
      </c>
      <c r="F1766" s="1997"/>
      <c r="G1766" s="1997"/>
      <c r="H1766" s="1232" t="str">
        <f>H1763</f>
        <v>t CO2</v>
      </c>
      <c r="I1766" s="990" t="str">
        <f>IF($I1523="","",IF(AB1523=FALSE,EUconst_NA,IF(V1523&gt;($J$3042-3),INDEX(H1759:N1759,MATCH(V1523,H1753:N1753,0)),SUM(I1763))))</f>
        <v/>
      </c>
      <c r="J1766" s="993" t="str">
        <f>IF($I1523="","",IF(V1763&lt;2,SUM(J1759),IF(V1763&lt;3,SUM(I1759),IF(V1766="",I1766,V1766))))</f>
        <v/>
      </c>
      <c r="K1766" s="920" t="str">
        <f>IF($I1523="","",IF(W1763&lt;2,SUM(K1759),IF(W1763&lt;3,SUM(J1759),IF(W1766="",J1766,W1766))))</f>
        <v/>
      </c>
      <c r="L1766" s="920" t="str">
        <f>IF($I1523="","",IF(X1763&lt;2,SUM(L1759),IF(X1763&lt;3,SUM(K1759),IF(X1766="",K1766,X1766))))</f>
        <v/>
      </c>
      <c r="M1766" s="920" t="str">
        <f>IF($I1523="","",IF(Y1763&lt;2,SUM(M1759),IF(Y1763&lt;3,SUM(L1759),IF(Y1766="",L1766,Y1766))))</f>
        <v/>
      </c>
      <c r="N1766" s="1218" t="str">
        <f>IF($I1523="","",IF(Z1763&lt;2,SUM(N1759),IF(Z1763&lt;3,SUM(M1759),IF(Z1766="",M1766,Z1766))))</f>
        <v/>
      </c>
      <c r="O1766" s="15"/>
      <c r="P1766" s="15"/>
      <c r="Q1766" s="165" t="str">
        <f>EUconst_CNTR_HALprelim&amp;EUconst_CNTR_WGFlared &amp; I1523</f>
        <v>HALprelim_WasteGasFlare_</v>
      </c>
      <c r="R1766" s="2"/>
      <c r="S1766" s="2"/>
      <c r="T1766" s="2"/>
      <c r="U1766" s="1079" t="s">
        <v>1898</v>
      </c>
      <c r="V1766" s="1752" t="str">
        <f>IF(J1763="","",IF(CNTR_ReportingYear&lt;J1762,I1765,IF($I1766=0,J1763,$I1766*(1+J1765))))</f>
        <v/>
      </c>
      <c r="W1766" s="1752" t="str">
        <f>IF(K1763="","",IF(CNTR_ReportingYear&lt;K1762,J1765,IF($I1766=0,K1763,$I1766*(1+K1765))))</f>
        <v/>
      </c>
      <c r="X1766" s="1752" t="str">
        <f>IF(L1763="","",IF(CNTR_ReportingYear&lt;L1762,K1765,IF($I1766=0,L1763,$I1766*(1+L1765))))</f>
        <v/>
      </c>
      <c r="Y1766" s="1752" t="str">
        <f>IF(M1763="","",IF(CNTR_ReportingYear&lt;M1762,L1765,IF($I1766=0,M1763,$I1766*(1+M1765))))</f>
        <v/>
      </c>
      <c r="Z1766" s="1761" t="str">
        <f>IF(N1763="","",IF(CNTR_ReportingYear&lt;N1762,M1765,IF($I1766=0,N1763,$I1766*(1+N1765))))</f>
        <v/>
      </c>
      <c r="AA1766" s="2"/>
      <c r="AB1766" s="2"/>
      <c r="AC1766" s="2"/>
      <c r="AD1766" s="2"/>
      <c r="AE1766" s="2"/>
      <c r="AF1766" s="2"/>
      <c r="AG1766" s="2"/>
      <c r="AH1766" s="2"/>
      <c r="AI1766" s="2"/>
      <c r="AJ1766" s="2"/>
      <c r="AK1766" s="2"/>
      <c r="AL1766" s="2"/>
    </row>
    <row r="1767" spans="1:38" ht="5.15" customHeight="1" x14ac:dyDescent="0.25">
      <c r="A1767" s="343"/>
      <c r="B1767" s="178"/>
      <c r="C1767" s="779"/>
      <c r="D1767" s="1246"/>
      <c r="E1767" s="1244"/>
      <c r="F1767" s="1244"/>
      <c r="G1767" s="1244"/>
      <c r="H1767" s="1244"/>
      <c r="I1767" s="1244"/>
      <c r="J1767" s="1236"/>
      <c r="K1767" s="1236"/>
      <c r="L1767" s="1236"/>
      <c r="M1767" s="1236"/>
      <c r="N1767" s="1247"/>
      <c r="O1767" s="15"/>
      <c r="P1767" s="15"/>
      <c r="Q1767" s="343"/>
      <c r="R1767" s="2"/>
      <c r="S1767" s="2"/>
      <c r="T1767" s="2"/>
      <c r="U1767" s="1086"/>
      <c r="V1767" s="343"/>
      <c r="W1767" s="2"/>
      <c r="X1767" s="2"/>
      <c r="Y1767" s="2"/>
      <c r="Z1767" s="228"/>
      <c r="AA1767" s="2"/>
      <c r="AB1767" s="2"/>
      <c r="AC1767" s="2"/>
      <c r="AD1767" s="2"/>
      <c r="AE1767" s="2"/>
      <c r="AF1767" s="2"/>
      <c r="AG1767" s="2"/>
      <c r="AH1767" s="2"/>
      <c r="AI1767" s="2"/>
      <c r="AJ1767" s="2"/>
      <c r="AK1767" s="2"/>
      <c r="AL1767" s="2"/>
    </row>
    <row r="1768" spans="1:38" ht="12.75" customHeight="1" x14ac:dyDescent="0.25">
      <c r="A1768" s="343"/>
      <c r="B1768" s="178"/>
      <c r="C1768" s="779"/>
      <c r="D1768" s="1246"/>
      <c r="E1768" s="2619" t="str">
        <f>Translations!$B$1475</f>
        <v>Faktisk justering (grund för följande år)</v>
      </c>
      <c r="F1768" s="2497"/>
      <c r="G1768" s="2497"/>
      <c r="H1768" s="2497"/>
      <c r="I1768" s="2616"/>
      <c r="J1768" s="1268">
        <f>J$3042</f>
        <v>2021</v>
      </c>
      <c r="K1768" s="1230">
        <f>K$3042</f>
        <v>2022</v>
      </c>
      <c r="L1768" s="1230">
        <f>L$3042</f>
        <v>2023</v>
      </c>
      <c r="M1768" s="1230">
        <f>M$3042</f>
        <v>2024</v>
      </c>
      <c r="N1768" s="1258">
        <f>N$3042</f>
        <v>2025</v>
      </c>
      <c r="O1768" s="15"/>
      <c r="P1768" s="15"/>
      <c r="Q1768" s="343"/>
      <c r="R1768" s="2"/>
      <c r="S1768" s="2"/>
      <c r="T1768" s="2"/>
      <c r="U1768" s="584"/>
      <c r="V1768" s="2"/>
      <c r="W1768" s="2"/>
      <c r="X1768" s="2"/>
      <c r="Y1768" s="2"/>
      <c r="Z1768" s="228"/>
      <c r="AA1768" s="2"/>
      <c r="AB1768" s="2"/>
      <c r="AC1768" s="2"/>
      <c r="AD1768" s="2"/>
      <c r="AE1768" s="2"/>
      <c r="AF1768" s="2"/>
      <c r="AG1768" s="2"/>
      <c r="AH1768" s="2"/>
      <c r="AI1768" s="2"/>
      <c r="AJ1768" s="2"/>
      <c r="AK1768" s="2"/>
      <c r="AL1768" s="2"/>
    </row>
    <row r="1769" spans="1:38" ht="12.75" customHeight="1" x14ac:dyDescent="0.25">
      <c r="A1769" s="343"/>
      <c r="B1769" s="178"/>
      <c r="C1769" s="779"/>
      <c r="D1769" s="1246" t="s">
        <v>10</v>
      </c>
      <c r="E1769" s="2618" t="str">
        <f>Translations!$B$1476</f>
        <v>&gt;= 100 utsläppsrätter kriterium uppnått?</v>
      </c>
      <c r="F1769" s="1997"/>
      <c r="G1769" s="1997"/>
      <c r="H1769" s="1997"/>
      <c r="I1769" s="2620"/>
      <c r="J1769" s="994" t="str">
        <f>IF($I1523="","",INDEX(K_Summary!J:J,MATCH($Q1769,K_Summary!$P:$P,0)))</f>
        <v/>
      </c>
      <c r="K1769" s="912" t="str">
        <f>IF($I1523="","",INDEX(K_Summary!K:K,MATCH($Q1769,K_Summary!$P:$P,0)))</f>
        <v/>
      </c>
      <c r="L1769" s="912" t="str">
        <f>IF($I1523="","",INDEX(K_Summary!L:L,MATCH($Q1769,K_Summary!$P:$P,0)))</f>
        <v/>
      </c>
      <c r="M1769" s="912" t="str">
        <f>IF($I1523="","",INDEX(K_Summary!M:M,MATCH($Q1769,K_Summary!$P:$P,0)))</f>
        <v/>
      </c>
      <c r="N1769" s="1221" t="str">
        <f>IF($I1523="","",INDEX(K_Summary!N:N,MATCH($Q1769,K_Summary!$P:$P,0)))</f>
        <v/>
      </c>
      <c r="O1769" s="15"/>
      <c r="P1769" s="15"/>
      <c r="Q1769" s="165" t="str">
        <f>EUconst_CNTR_100EUA_WGFlare&amp;I1523</f>
        <v>EUA100WGFlare_</v>
      </c>
      <c r="R1769" s="2"/>
      <c r="S1769" s="2"/>
      <c r="T1769" s="2"/>
      <c r="U1769" s="584"/>
      <c r="V1769" s="2"/>
      <c r="W1769" s="2"/>
      <c r="X1769" s="2"/>
      <c r="Y1769" s="2"/>
      <c r="Z1769" s="228"/>
      <c r="AA1769" s="2"/>
      <c r="AB1769" s="2"/>
      <c r="AC1769" s="2"/>
      <c r="AD1769" s="2"/>
      <c r="AE1769" s="2"/>
      <c r="AF1769" s="2"/>
      <c r="AG1769" s="2"/>
      <c r="AH1769" s="2"/>
      <c r="AI1769" s="2"/>
      <c r="AJ1769" s="2"/>
      <c r="AK1769" s="2"/>
      <c r="AL1769" s="2"/>
    </row>
    <row r="1770" spans="1:38" ht="5.15" customHeight="1" thickBot="1" x14ac:dyDescent="0.3">
      <c r="A1770" s="343"/>
      <c r="B1770" s="178"/>
      <c r="C1770" s="779"/>
      <c r="D1770" s="1246"/>
      <c r="E1770" s="1244"/>
      <c r="F1770" s="1244"/>
      <c r="G1770" s="1244"/>
      <c r="H1770" s="1244"/>
      <c r="I1770" s="1244"/>
      <c r="J1770" s="1244"/>
      <c r="K1770" s="1244"/>
      <c r="L1770" s="1244"/>
      <c r="M1770" s="1244"/>
      <c r="N1770" s="1248"/>
      <c r="O1770" s="15"/>
      <c r="P1770" s="15"/>
      <c r="Q1770" s="343"/>
      <c r="R1770" s="2"/>
      <c r="S1770" s="2"/>
      <c r="T1770" s="2"/>
      <c r="U1770" s="1086"/>
      <c r="V1770" s="343"/>
      <c r="W1770" s="2"/>
      <c r="X1770" s="2"/>
      <c r="Y1770" s="2"/>
      <c r="Z1770" s="228"/>
      <c r="AA1770" s="2"/>
      <c r="AB1770" s="2"/>
      <c r="AC1770" s="2"/>
      <c r="AD1770" s="2"/>
      <c r="AE1770" s="2"/>
      <c r="AF1770" s="2"/>
      <c r="AG1770" s="2"/>
      <c r="AH1770" s="2"/>
      <c r="AI1770" s="2"/>
      <c r="AJ1770" s="2"/>
      <c r="AK1770" s="2"/>
      <c r="AL1770" s="2"/>
    </row>
    <row r="1771" spans="1:38" ht="12.75" customHeight="1" thickBot="1" x14ac:dyDescent="0.3">
      <c r="A1771" s="2"/>
      <c r="B1771" s="178"/>
      <c r="C1771" s="779"/>
      <c r="D1771" s="1246" t="s">
        <v>23</v>
      </c>
      <c r="E1771" s="2618" t="str">
        <f>Translations!$B$1477</f>
        <v>Faktisk justering (om alla tröskelvärden överskrids)</v>
      </c>
      <c r="F1771" s="1997"/>
      <c r="G1771" s="1997"/>
      <c r="H1771" s="1997"/>
      <c r="I1771" s="2620"/>
      <c r="J1771" s="1099" t="str">
        <f>IF(J1769="","",IF(OR(J1769,V1763&lt;1),J1765,I1771))</f>
        <v/>
      </c>
      <c r="K1771" s="1100" t="str">
        <f>IF(K1769="","",IF(OR(K1769,W1763&lt;1),K1765,J1771))</f>
        <v/>
      </c>
      <c r="L1771" s="1100" t="str">
        <f>IF(L1769="","",IF(OR(L1769,X1763&lt;1),L1765,K1771))</f>
        <v/>
      </c>
      <c r="M1771" s="1100" t="str">
        <f>IF(M1769="","",IF(OR(M1769,Y1763&lt;1),M1765,L1771))</f>
        <v/>
      </c>
      <c r="N1771" s="1101" t="str">
        <f>IF(N1769="","",IF(OR(N1769,Z1763&lt;1),N1765,M1771))</f>
        <v/>
      </c>
      <c r="O1771" s="15"/>
      <c r="P1771" s="15"/>
      <c r="Q1771" s="343"/>
      <c r="R1771" s="2"/>
      <c r="S1771" s="2"/>
      <c r="T1771" s="2"/>
      <c r="U1771" s="1086" t="s">
        <v>1858</v>
      </c>
      <c r="V1771" s="1068">
        <f>J1768</f>
        <v>2021</v>
      </c>
      <c r="W1771" s="1068">
        <f>K1768</f>
        <v>2022</v>
      </c>
      <c r="X1771" s="1068">
        <f>L1768</f>
        <v>2023</v>
      </c>
      <c r="Y1771" s="1068">
        <f>M1768</f>
        <v>2024</v>
      </c>
      <c r="Z1771" s="1087">
        <f>N1768</f>
        <v>2025</v>
      </c>
      <c r="AA1771" s="2"/>
      <c r="AB1771" s="2"/>
      <c r="AC1771" s="2"/>
      <c r="AD1771" s="2"/>
      <c r="AE1771" s="2"/>
      <c r="AF1771" s="2"/>
      <c r="AG1771" s="2"/>
      <c r="AH1771" s="2"/>
      <c r="AI1771" s="2"/>
      <c r="AJ1771" s="2"/>
      <c r="AK1771" s="2"/>
      <c r="AL1771" s="2"/>
    </row>
    <row r="1772" spans="1:38" ht="12.75" customHeight="1" thickBot="1" x14ac:dyDescent="0.3">
      <c r="A1772" s="343"/>
      <c r="B1772" s="178"/>
      <c r="C1772" s="779"/>
      <c r="D1772" s="1246" t="s">
        <v>859</v>
      </c>
      <c r="E1772" s="2618" t="str">
        <f>Translations!$B$1478</f>
        <v>Faktiskt värde</v>
      </c>
      <c r="F1772" s="1997"/>
      <c r="G1772" s="1997"/>
      <c r="H1772" s="1232" t="str">
        <f>H1763</f>
        <v>t CO2</v>
      </c>
      <c r="I1772" s="990" t="str">
        <f>I1766</f>
        <v/>
      </c>
      <c r="J1772" s="1072" t="str">
        <f>IF($I1523="","",IF(OR($I1772=0,$I1772=EUconst_NA),IF(OR(J1769=TRUE,J1768=$V1523),J1766,SUM(I1772)),IF(J1771="",J1766,$I1772*(1+SUM(J1771)))))</f>
        <v/>
      </c>
      <c r="K1772" s="1073" t="str">
        <f>IF($I1523="","",IF(OR($I1772=0,$I1772=EUconst_NA),IF(OR(K1769=TRUE,K1768=$V1523),K1766,SUM(J1772)),IF(K1771="",K1766,$I1772*(1+SUM(K1771)))))</f>
        <v/>
      </c>
      <c r="L1772" s="1073" t="str">
        <f>IF($I1523="","",IF(OR($I1772=0,$I1772=EUconst_NA),IF(OR(L1769=TRUE,L1768=$V1523),L1766,SUM(K1772)),IF(L1771="",L1766,$I1772*(1+SUM(L1771)))))</f>
        <v/>
      </c>
      <c r="M1772" s="1073" t="str">
        <f>IF($I1523="","",IF(OR($I1772=0,$I1772=EUconst_NA),IF(OR(M1769=TRUE,M1768=$V1523),M1766,SUM(L1772)),IF(M1771="",M1766,$I1772*(1+SUM(M1771)))))</f>
        <v/>
      </c>
      <c r="N1772" s="1074" t="str">
        <f>IF($I1523="","",IF(OR($I1772=0,$I1772=EUconst_NA),IF(OR(N1769=TRUE,N1768=$V1523),N1766,SUM(M1772)),IF(N1771="",N1766,$I1772*(1+SUM(N1771)))))</f>
        <v/>
      </c>
      <c r="O1772" s="15"/>
      <c r="P1772" s="15"/>
      <c r="Q1772" s="165" t="str">
        <f>EUconst_CNTR_HALfinal&amp;EUconst_CNTR_WGFlared &amp; I1523</f>
        <v>HALfinal_WasteGasFlare_</v>
      </c>
      <c r="R1772" s="2"/>
      <c r="S1772" s="2"/>
      <c r="T1772" s="2"/>
      <c r="U1772" s="1765" t="b">
        <v>0</v>
      </c>
      <c r="V1772" s="1757" t="str">
        <f>IF(V1722,IF(J1769=TRUE,V1531,U1772),"")</f>
        <v/>
      </c>
      <c r="W1772" s="1757" t="str">
        <f>IF(W1722,IF(K1769=TRUE,W1531,V1772),"")</f>
        <v/>
      </c>
      <c r="X1772" s="1757" t="str">
        <f>IF(X1722,IF(L1769=TRUE,X1531,W1772),"")</f>
        <v/>
      </c>
      <c r="Y1772" s="1757" t="str">
        <f>IF(Y1722,IF(M1769=TRUE,Y1531,X1772),"")</f>
        <v/>
      </c>
      <c r="Z1772" s="1758" t="str">
        <f>IF(Z1722,IF(N1769=TRUE,Z1531,Y1772),"")</f>
        <v/>
      </c>
      <c r="AA1772" s="2"/>
      <c r="AB1772" s="2"/>
      <c r="AC1772" s="2"/>
      <c r="AD1772" s="2"/>
      <c r="AE1772" s="2"/>
      <c r="AF1772" s="2"/>
      <c r="AG1772" s="2"/>
      <c r="AH1772" s="2"/>
      <c r="AI1772" s="2"/>
      <c r="AJ1772" s="553" t="s">
        <v>2242</v>
      </c>
      <c r="AK1772" s="108" t="str">
        <f>IF(OR(ISERROR(J1772),ISERROR(K1772),ISERROR(L1772),ISERROR(M1772),ISERROR(N1772)),EUconst_Error &amp; "BM" &amp; Q1523,"")</f>
        <v/>
      </c>
      <c r="AL1772" s="2"/>
    </row>
    <row r="1773" spans="1:38" ht="5.15" customHeight="1" thickBot="1" x14ac:dyDescent="0.3">
      <c r="A1773" s="2"/>
      <c r="B1773" s="178"/>
      <c r="C1773" s="779"/>
      <c r="D1773" s="1269"/>
      <c r="E1773" s="1270"/>
      <c r="F1773" s="1270"/>
      <c r="G1773" s="1270"/>
      <c r="H1773" s="1271"/>
      <c r="I1773" s="1270"/>
      <c r="J1773" s="1270"/>
      <c r="K1773" s="1270"/>
      <c r="L1773" s="1270"/>
      <c r="M1773" s="1272"/>
      <c r="N1773" s="1273"/>
      <c r="O1773" s="15"/>
      <c r="P1773" s="15"/>
      <c r="Q1773" s="343"/>
      <c r="R1773" s="2"/>
      <c r="S1773" s="343"/>
      <c r="T1773" s="343"/>
      <c r="U1773" s="343"/>
      <c r="V1773" s="343"/>
      <c r="W1773" s="2"/>
      <c r="X1773" s="2"/>
      <c r="Y1773" s="2"/>
      <c r="Z1773" s="2"/>
      <c r="AA1773" s="2"/>
      <c r="AB1773" s="2"/>
      <c r="AC1773" s="2"/>
      <c r="AD1773" s="2"/>
      <c r="AE1773" s="2"/>
      <c r="AF1773" s="2"/>
      <c r="AG1773" s="2"/>
      <c r="AH1773" s="2"/>
      <c r="AI1773" s="2"/>
      <c r="AJ1773" s="2"/>
      <c r="AK1773" s="2"/>
      <c r="AL1773" s="2"/>
    </row>
    <row r="1774" spans="1:38" ht="5.15" customHeight="1" x14ac:dyDescent="0.25">
      <c r="A1774" s="2"/>
      <c r="B1774" s="178"/>
      <c r="C1774" s="779"/>
      <c r="D1774" s="780"/>
      <c r="E1774" s="780"/>
      <c r="F1774" s="780"/>
      <c r="G1774" s="780"/>
      <c r="H1774" s="1805"/>
      <c r="I1774" s="780"/>
      <c r="J1774" s="780"/>
      <c r="K1774" s="780"/>
      <c r="L1774" s="780"/>
      <c r="M1774" s="623"/>
      <c r="N1774" s="519"/>
      <c r="O1774" s="15"/>
      <c r="P1774" s="15"/>
      <c r="Q1774" s="343"/>
      <c r="R1774" s="2"/>
      <c r="S1774" s="343"/>
      <c r="T1774" s="343"/>
      <c r="U1774" s="343"/>
      <c r="V1774" s="343"/>
      <c r="W1774" s="2"/>
      <c r="X1774" s="2"/>
      <c r="Y1774" s="2"/>
      <c r="Z1774" s="2"/>
      <c r="AA1774" s="2"/>
      <c r="AB1774" s="2"/>
      <c r="AC1774" s="2"/>
      <c r="AD1774" s="2"/>
      <c r="AE1774" s="2"/>
      <c r="AF1774" s="2"/>
      <c r="AG1774" s="2"/>
      <c r="AH1774" s="2"/>
      <c r="AI1774" s="2"/>
      <c r="AJ1774" s="2"/>
      <c r="AK1774" s="2"/>
      <c r="AL1774" s="2"/>
    </row>
    <row r="1775" spans="1:38" ht="12.75" customHeight="1" x14ac:dyDescent="0.25">
      <c r="A1775" s="2"/>
      <c r="B1775" s="178"/>
      <c r="C1775" s="779"/>
      <c r="D1775" s="416" t="s">
        <v>1205</v>
      </c>
      <c r="E1775" s="2614" t="str">
        <f>Translations!$B$632</f>
        <v>Importerade restgastyper:</v>
      </c>
      <c r="F1775" s="1960"/>
      <c r="G1775" s="1960"/>
      <c r="H1775" s="2520"/>
      <c r="I1775" s="2621"/>
      <c r="J1775" s="2510"/>
      <c r="K1775" s="2510"/>
      <c r="L1775" s="2510"/>
      <c r="M1775" s="2511"/>
      <c r="N1775" s="519"/>
      <c r="O1775" s="15"/>
      <c r="P1775" s="1362"/>
      <c r="Q1775" s="343"/>
      <c r="R1775" s="2"/>
      <c r="S1775" s="343"/>
      <c r="T1775" s="2"/>
      <c r="U1775" s="2"/>
      <c r="V1775" s="2"/>
      <c r="W1775" s="2"/>
      <c r="X1775" s="2"/>
      <c r="Y1775" s="2"/>
      <c r="Z1775" s="2"/>
      <c r="AA1775" s="2"/>
      <c r="AB1775" s="2"/>
      <c r="AC1775" s="672" t="s">
        <v>782</v>
      </c>
      <c r="AD1775" s="108" t="b">
        <f>AD1749</f>
        <v>0</v>
      </c>
      <c r="AE1775" s="2"/>
      <c r="AF1775" s="2"/>
      <c r="AG1775" s="2"/>
      <c r="AH1775" s="2"/>
      <c r="AI1775" s="2"/>
      <c r="AJ1775" s="2"/>
      <c r="AK1775" s="2"/>
      <c r="AL1775" s="2"/>
    </row>
    <row r="1776" spans="1:38" ht="12.75" customHeight="1" x14ac:dyDescent="0.25">
      <c r="A1776" s="2"/>
      <c r="B1776" s="178"/>
      <c r="C1776" s="779"/>
      <c r="D1776" s="416"/>
      <c r="E1776" s="2596" t="str">
        <f>Translations!$B$633</f>
        <v>De uppgifter som anges här påverkar de utsläpp som kan tillskrivas i enlighet med avsnitt 10.1.5 i bilaga VII till FAR.</v>
      </c>
      <c r="F1776" s="1960"/>
      <c r="G1776" s="1960"/>
      <c r="H1776" s="1960"/>
      <c r="I1776" s="1960"/>
      <c r="J1776" s="1960"/>
      <c r="K1776" s="1960"/>
      <c r="L1776" s="1960"/>
      <c r="M1776" s="1960"/>
      <c r="N1776" s="2597"/>
      <c r="O1776" s="15"/>
      <c r="P1776" s="15"/>
      <c r="Q1776" s="343"/>
      <c r="R1776" s="2"/>
      <c r="S1776" s="343"/>
      <c r="T1776" s="343"/>
      <c r="U1776" s="343"/>
      <c r="V1776" s="343"/>
      <c r="W1776" s="2"/>
      <c r="X1776" s="2"/>
      <c r="Y1776" s="2"/>
      <c r="Z1776" s="2"/>
      <c r="AA1776" s="2"/>
      <c r="AB1776" s="2"/>
      <c r="AC1776" s="2"/>
      <c r="AD1776" s="2"/>
      <c r="AE1776" s="2"/>
      <c r="AF1776" s="2"/>
      <c r="AG1776" s="2"/>
      <c r="AH1776" s="2"/>
      <c r="AI1776" s="2"/>
      <c r="AJ1776" s="2"/>
      <c r="AK1776" s="2"/>
      <c r="AL1776" s="2"/>
    </row>
    <row r="1777" spans="1:38" ht="25.5" customHeight="1" x14ac:dyDescent="0.25">
      <c r="A1777" s="2"/>
      <c r="B1777" s="178"/>
      <c r="C1777" s="779"/>
      <c r="D1777" s="416"/>
      <c r="E1777" s="2610" t="str">
        <f>Translations!$B$634</f>
        <v>Detta innefattar alla restgastyper som produceras utanför delanläggningens systemgränser men som importeras till delanläggningen och används för produktion av mätbar värme, icke-mätbar värme (inklusive för säkerhetsfackling) eller mekanisk energi (annat än för elproduktion).</v>
      </c>
      <c r="F1777" s="1960"/>
      <c r="G1777" s="1960"/>
      <c r="H1777" s="1960"/>
      <c r="I1777" s="1960"/>
      <c r="J1777" s="1960"/>
      <c r="K1777" s="1960"/>
      <c r="L1777" s="1960"/>
      <c r="M1777" s="1960"/>
      <c r="N1777" s="2597"/>
      <c r="O1777" s="15"/>
      <c r="P1777" s="15"/>
      <c r="Q1777" s="343"/>
      <c r="R1777" s="2"/>
      <c r="S1777" s="343"/>
      <c r="T1777" s="343"/>
      <c r="U1777" s="343"/>
      <c r="V1777" s="343"/>
      <c r="W1777" s="2"/>
      <c r="X1777" s="2"/>
      <c r="Y1777" s="2"/>
      <c r="Z1777" s="2"/>
      <c r="AA1777" s="2"/>
      <c r="AB1777" s="2"/>
      <c r="AC1777" s="2"/>
      <c r="AD1777" s="2"/>
      <c r="AE1777" s="2"/>
      <c r="AF1777" s="2"/>
      <c r="AG1777" s="2"/>
      <c r="AH1777" s="2"/>
      <c r="AI1777" s="2"/>
      <c r="AJ1777" s="2"/>
      <c r="AK1777" s="2"/>
      <c r="AL1777" s="2"/>
    </row>
    <row r="1778" spans="1:38" ht="12.75" customHeight="1" thickBot="1" x14ac:dyDescent="0.3">
      <c r="A1778" s="2"/>
      <c r="B1778" s="178"/>
      <c r="C1778" s="779"/>
      <c r="D1778" s="780"/>
      <c r="E1778" s="1716"/>
      <c r="F1778" s="1717"/>
      <c r="G1778" s="361" t="str">
        <f>EUconst_Unit</f>
        <v>Enhet</v>
      </c>
      <c r="H1778" s="362">
        <f t="shared" ref="H1778:N1778" si="798">H$3042</f>
        <v>2019</v>
      </c>
      <c r="I1778" s="1103">
        <f t="shared" si="798"/>
        <v>2020</v>
      </c>
      <c r="J1778" s="1104">
        <f t="shared" si="798"/>
        <v>2021</v>
      </c>
      <c r="K1778" s="362">
        <f t="shared" si="798"/>
        <v>2022</v>
      </c>
      <c r="L1778" s="362">
        <f t="shared" si="798"/>
        <v>2023</v>
      </c>
      <c r="M1778" s="362">
        <f t="shared" si="798"/>
        <v>2024</v>
      </c>
      <c r="N1778" s="1141">
        <f t="shared" si="798"/>
        <v>2025</v>
      </c>
      <c r="O1778" s="15"/>
      <c r="P1778" s="15"/>
      <c r="Q1778" s="343"/>
      <c r="R1778" s="2"/>
      <c r="S1778" s="343"/>
      <c r="T1778" s="343"/>
      <c r="U1778" s="343"/>
      <c r="V1778" s="343"/>
      <c r="W1778" s="2"/>
      <c r="X1778" s="2"/>
      <c r="Y1778" s="2"/>
      <c r="Z1778" s="2"/>
      <c r="AA1778" s="2"/>
      <c r="AB1778" s="2"/>
      <c r="AC1778" s="1044">
        <f t="shared" ref="AC1778:AI1778" si="799">H$20</f>
        <v>2019</v>
      </c>
      <c r="AD1778" s="1044">
        <f t="shared" si="799"/>
        <v>2020</v>
      </c>
      <c r="AE1778" s="1044">
        <f t="shared" si="799"/>
        <v>2021</v>
      </c>
      <c r="AF1778" s="1044">
        <f t="shared" si="799"/>
        <v>2022</v>
      </c>
      <c r="AG1778" s="1044">
        <f t="shared" si="799"/>
        <v>2023</v>
      </c>
      <c r="AH1778" s="1044">
        <f t="shared" si="799"/>
        <v>2024</v>
      </c>
      <c r="AI1778" s="1044">
        <f t="shared" si="799"/>
        <v>2025</v>
      </c>
      <c r="AJ1778" s="2"/>
      <c r="AK1778" s="2"/>
      <c r="AL1778" s="2"/>
    </row>
    <row r="1779" spans="1:38" ht="12.75" customHeight="1" thickBot="1" x14ac:dyDescent="0.3">
      <c r="A1779" s="2"/>
      <c r="B1779" s="178"/>
      <c r="C1779" s="779"/>
      <c r="D1779" s="416" t="s">
        <v>1206</v>
      </c>
      <c r="E1779" s="2611" t="str">
        <f>Translations!$B$635</f>
        <v>Importerade mängder</v>
      </c>
      <c r="F1779" s="2484"/>
      <c r="G1779" s="1314"/>
      <c r="H1779" s="1298"/>
      <c r="I1779" s="1299"/>
      <c r="J1779" s="1300"/>
      <c r="K1779" s="1298"/>
      <c r="L1779" s="1298"/>
      <c r="M1779" s="1298"/>
      <c r="N1779" s="1301"/>
      <c r="O1779" s="15"/>
      <c r="P1779" s="1362"/>
      <c r="Q1779" s="343"/>
      <c r="R1779" s="2"/>
      <c r="S1779" s="343"/>
      <c r="T1779" s="343"/>
      <c r="U1779" s="343"/>
      <c r="V1779" s="343"/>
      <c r="W1779" s="2"/>
      <c r="X1779" s="2"/>
      <c r="Y1779" s="2"/>
      <c r="Z1779" s="2"/>
      <c r="AA1779" s="2"/>
      <c r="AB1779" s="672" t="s">
        <v>782</v>
      </c>
      <c r="AC1779" s="108" t="b">
        <f t="shared" ref="AC1779:AI1779" si="800">AC1735</f>
        <v>0</v>
      </c>
      <c r="AD1779" s="108" t="b">
        <f t="shared" si="800"/>
        <v>0</v>
      </c>
      <c r="AE1779" s="108" t="b">
        <f t="shared" si="800"/>
        <v>0</v>
      </c>
      <c r="AF1779" s="108" t="b">
        <f t="shared" si="800"/>
        <v>0</v>
      </c>
      <c r="AG1779" s="108" t="b">
        <f t="shared" si="800"/>
        <v>0</v>
      </c>
      <c r="AH1779" s="108" t="b">
        <f t="shared" si="800"/>
        <v>0</v>
      </c>
      <c r="AI1779" s="108" t="b">
        <f t="shared" si="800"/>
        <v>0</v>
      </c>
      <c r="AJ1779" s="553" t="s">
        <v>2248</v>
      </c>
      <c r="AK1779" s="663" t="str">
        <f>IF(AND(CNTR_ExistSubInstEntries,MSconst_RequireSubAttrEmissions,COUNTIFS(AC1779:AI1779,FALSE,H1779:N1779,"")&gt;0),EUconst_Error&amp;"BM"&amp;$Q1523,"")</f>
        <v/>
      </c>
      <c r="AL1779" s="2"/>
    </row>
    <row r="1780" spans="1:38" ht="12.75" customHeight="1" x14ac:dyDescent="0.25">
      <c r="A1780" s="2"/>
      <c r="B1780" s="178"/>
      <c r="C1780" s="779"/>
      <c r="D1780" s="416" t="s">
        <v>1207</v>
      </c>
      <c r="E1780" s="2612" t="str">
        <f>Translations!$B$318</f>
        <v>Effektivt värmevärde</v>
      </c>
      <c r="F1780" s="2487"/>
      <c r="G1780" s="51" t="str">
        <f>IF(ISBLANK(G1779),EUconst_GJperUnit,INDEX(EUconst_GJperTorKNm3,MATCH(G1779,EUconst_TonnesOrkNm3pa,0)))</f>
        <v>GJ / Enhet</v>
      </c>
      <c r="H1780" s="1306"/>
      <c r="I1780" s="1307"/>
      <c r="J1780" s="1308"/>
      <c r="K1780" s="1306"/>
      <c r="L1780" s="1306"/>
      <c r="M1780" s="1306"/>
      <c r="N1780" s="1309"/>
      <c r="O1780" s="15"/>
      <c r="P1780" s="1362"/>
      <c r="Q1780" s="343"/>
      <c r="R1780" s="2"/>
      <c r="S1780" s="772"/>
      <c r="T1780" s="609">
        <f t="shared" ref="T1780:Z1780" si="801">H1778</f>
        <v>2019</v>
      </c>
      <c r="U1780" s="609">
        <f t="shared" si="801"/>
        <v>2020</v>
      </c>
      <c r="V1780" s="609">
        <f t="shared" si="801"/>
        <v>2021</v>
      </c>
      <c r="W1780" s="609">
        <f t="shared" si="801"/>
        <v>2022</v>
      </c>
      <c r="X1780" s="609">
        <f t="shared" si="801"/>
        <v>2023</v>
      </c>
      <c r="Y1780" s="609">
        <f t="shared" si="801"/>
        <v>2024</v>
      </c>
      <c r="Z1780" s="610">
        <f t="shared" si="801"/>
        <v>2025</v>
      </c>
      <c r="AA1780" s="2"/>
      <c r="AB1780" s="2"/>
      <c r="AC1780" s="108" t="b">
        <f>AC1779</f>
        <v>0</v>
      </c>
      <c r="AD1780" s="108" t="b">
        <f t="shared" ref="AD1780:AI1780" si="802">AD1779</f>
        <v>0</v>
      </c>
      <c r="AE1780" s="108" t="b">
        <f t="shared" si="802"/>
        <v>0</v>
      </c>
      <c r="AF1780" s="108" t="b">
        <f t="shared" si="802"/>
        <v>0</v>
      </c>
      <c r="AG1780" s="108" t="b">
        <f t="shared" si="802"/>
        <v>0</v>
      </c>
      <c r="AH1780" s="108" t="b">
        <f t="shared" si="802"/>
        <v>0</v>
      </c>
      <c r="AI1780" s="108" t="b">
        <f t="shared" si="802"/>
        <v>0</v>
      </c>
      <c r="AJ1780" s="553" t="s">
        <v>2248</v>
      </c>
      <c r="AK1780" s="663" t="str">
        <f>IF(AND(CNTR_ExistSubInstEntries,MSconst_RequireSubAttrEmissions,COUNTIFS(AC1780:AI1780,FALSE,H1780:N1780,"")&gt;0),EUconst_Error&amp;"BM"&amp;$Q1523,"")</f>
        <v/>
      </c>
      <c r="AL1780" s="2"/>
    </row>
    <row r="1781" spans="1:38" ht="12.75" customHeight="1" x14ac:dyDescent="0.25">
      <c r="A1781" s="2"/>
      <c r="B1781" s="178"/>
      <c r="C1781" s="779"/>
      <c r="D1781" s="416" t="s">
        <v>1208</v>
      </c>
      <c r="E1781" s="2613" t="str">
        <f>Translations!$B$636</f>
        <v>Importerad restgas</v>
      </c>
      <c r="F1781" s="1997"/>
      <c r="G1781" s="364" t="str">
        <f>EUconst_TJpa</f>
        <v>TJ / år</v>
      </c>
      <c r="H1781" s="351" t="str">
        <f t="shared" ref="H1781:N1781" si="803">IF(COUNT(H1779:H1780)=2,H1779*H1780/1000,"")</f>
        <v/>
      </c>
      <c r="I1781" s="1107" t="str">
        <f t="shared" si="803"/>
        <v/>
      </c>
      <c r="J1781" s="1113" t="str">
        <f t="shared" si="803"/>
        <v/>
      </c>
      <c r="K1781" s="351" t="str">
        <f t="shared" si="803"/>
        <v/>
      </c>
      <c r="L1781" s="351" t="str">
        <f t="shared" si="803"/>
        <v/>
      </c>
      <c r="M1781" s="351" t="str">
        <f t="shared" si="803"/>
        <v/>
      </c>
      <c r="N1781" s="1148" t="str">
        <f t="shared" si="803"/>
        <v/>
      </c>
      <c r="O1781" s="15"/>
      <c r="P1781" s="15"/>
      <c r="Q1781" s="165" t="str">
        <f>EUconst_CNTR_WGImport &amp; I1523</f>
        <v>WasteGasIm_</v>
      </c>
      <c r="R1781" s="2"/>
      <c r="S1781" s="1751" t="str">
        <f>EUconst_ERR_AttrEmBMapplied &amp; I1523</f>
        <v>ERR_AttrEmBM_</v>
      </c>
      <c r="T1781" s="108">
        <f t="shared" ref="T1781:Z1781" si="804">IF(AND(H1781&lt;&gt;"",EUconst_StatusOfDataCollection=FALSE),1,0)</f>
        <v>0</v>
      </c>
      <c r="U1781" s="108">
        <f t="shared" si="804"/>
        <v>0</v>
      </c>
      <c r="V1781" s="108">
        <f t="shared" si="804"/>
        <v>0</v>
      </c>
      <c r="W1781" s="108">
        <f t="shared" si="804"/>
        <v>0</v>
      </c>
      <c r="X1781" s="108">
        <f t="shared" si="804"/>
        <v>0</v>
      </c>
      <c r="Y1781" s="108">
        <f t="shared" si="804"/>
        <v>0</v>
      </c>
      <c r="Z1781" s="109">
        <f t="shared" si="804"/>
        <v>0</v>
      </c>
      <c r="AA1781" s="2"/>
      <c r="AB1781" s="2"/>
      <c r="AC1781" s="2"/>
      <c r="AD1781" s="2"/>
      <c r="AE1781" s="2"/>
      <c r="AF1781" s="2"/>
      <c r="AG1781" s="2"/>
      <c r="AH1781" s="2"/>
      <c r="AI1781" s="2"/>
      <c r="AJ1781" s="2"/>
      <c r="AK1781" s="2"/>
      <c r="AL1781" s="2"/>
    </row>
    <row r="1782" spans="1:38" s="534" customFormat="1" ht="12.75" customHeight="1" thickBot="1" x14ac:dyDescent="0.3">
      <c r="A1782" s="343"/>
      <c r="B1782" s="178"/>
      <c r="C1782" s="779"/>
      <c r="D1782" s="416" t="s">
        <v>1209</v>
      </c>
      <c r="E1782" s="2613" t="str">
        <f>Translations!$B$637</f>
        <v>Särskild emissionsfaktor (importerad restgas)</v>
      </c>
      <c r="F1782" s="1997"/>
      <c r="G1782" s="363" t="str">
        <f>EUconst_tCO2pTJ</f>
        <v>t CO2 / TJ</v>
      </c>
      <c r="H1782" s="1315"/>
      <c r="I1782" s="1316"/>
      <c r="J1782" s="1317"/>
      <c r="K1782" s="1315"/>
      <c r="L1782" s="1315"/>
      <c r="M1782" s="1315"/>
      <c r="N1782" s="1318"/>
      <c r="O1782" s="15"/>
      <c r="P1782" s="1362"/>
      <c r="Q1782" s="165" t="str">
        <f>EUconst_CNTR_WGImportEF &amp; I1523</f>
        <v>WasteGasImEF_</v>
      </c>
      <c r="R1782" s="343"/>
      <c r="S1782" s="773" t="str">
        <f>EUconst_CNTR_AttributedEmissions &amp; I1523</f>
        <v>AttrEmissions_</v>
      </c>
      <c r="T1782" s="111" t="str">
        <f t="shared" ref="T1782:Z1782" si="805">IF(T1531,SUM(H1781)*EUconst_FuelBMvalue,"")</f>
        <v/>
      </c>
      <c r="U1782" s="111" t="str">
        <f t="shared" si="805"/>
        <v/>
      </c>
      <c r="V1782" s="111" t="str">
        <f t="shared" si="805"/>
        <v/>
      </c>
      <c r="W1782" s="111" t="str">
        <f t="shared" si="805"/>
        <v/>
      </c>
      <c r="X1782" s="111" t="str">
        <f t="shared" si="805"/>
        <v/>
      </c>
      <c r="Y1782" s="111" t="str">
        <f t="shared" si="805"/>
        <v/>
      </c>
      <c r="Z1782" s="112" t="str">
        <f t="shared" si="805"/>
        <v/>
      </c>
      <c r="AA1782" s="343"/>
      <c r="AB1782" s="672" t="s">
        <v>782</v>
      </c>
      <c r="AC1782" s="108" t="b">
        <f>AC1780</f>
        <v>0</v>
      </c>
      <c r="AD1782" s="108" t="b">
        <f t="shared" ref="AD1782:AI1782" si="806">AD1780</f>
        <v>0</v>
      </c>
      <c r="AE1782" s="108" t="b">
        <f t="shared" si="806"/>
        <v>0</v>
      </c>
      <c r="AF1782" s="108" t="b">
        <f t="shared" si="806"/>
        <v>0</v>
      </c>
      <c r="AG1782" s="108" t="b">
        <f t="shared" si="806"/>
        <v>0</v>
      </c>
      <c r="AH1782" s="108" t="b">
        <f t="shared" si="806"/>
        <v>0</v>
      </c>
      <c r="AI1782" s="108" t="b">
        <f t="shared" si="806"/>
        <v>0</v>
      </c>
      <c r="AJ1782" s="553" t="s">
        <v>2248</v>
      </c>
      <c r="AK1782" s="663" t="str">
        <f>IF(AND(CNTR_ExistSubInstEntries,MSconst_RequireSubAttrEmissions,COUNTIFS(AC1782:AI1782,FALSE,H1782:N1782,"")&gt;0),EUconst_Error&amp;"BM"&amp;$Q1523,"")</f>
        <v/>
      </c>
      <c r="AL1782" s="2"/>
    </row>
    <row r="1783" spans="1:38" ht="12.75" customHeight="1" x14ac:dyDescent="0.25">
      <c r="A1783" s="2"/>
      <c r="B1783" s="178"/>
      <c r="C1783" s="779"/>
      <c r="D1783" s="780"/>
      <c r="E1783" s="780"/>
      <c r="F1783" s="780"/>
      <c r="G1783" s="780"/>
      <c r="H1783" s="1805"/>
      <c r="I1783" s="780"/>
      <c r="J1783" s="780"/>
      <c r="K1783" s="780"/>
      <c r="L1783" s="780"/>
      <c r="M1783" s="623"/>
      <c r="N1783" s="519"/>
      <c r="O1783" s="15"/>
      <c r="P1783" s="15"/>
      <c r="Q1783" s="343"/>
      <c r="R1783" s="2"/>
      <c r="S1783" s="343"/>
      <c r="T1783" s="343"/>
      <c r="U1783" s="343"/>
      <c r="V1783" s="343"/>
      <c r="W1783" s="2"/>
      <c r="X1783" s="2"/>
      <c r="Y1783" s="2"/>
      <c r="Z1783" s="2"/>
      <c r="AA1783" s="2"/>
      <c r="AB1783" s="2"/>
      <c r="AC1783" s="2"/>
      <c r="AD1783" s="2"/>
      <c r="AE1783" s="2"/>
      <c r="AF1783" s="2"/>
      <c r="AG1783" s="2"/>
      <c r="AH1783" s="2"/>
      <c r="AI1783" s="2"/>
      <c r="AJ1783" s="2"/>
      <c r="AK1783" s="2"/>
      <c r="AL1783" s="2"/>
    </row>
    <row r="1784" spans="1:38" ht="12.75" customHeight="1" x14ac:dyDescent="0.25">
      <c r="A1784" s="2"/>
      <c r="B1784" s="178"/>
      <c r="C1784" s="779"/>
      <c r="D1784" s="416" t="s">
        <v>1210</v>
      </c>
      <c r="E1784" s="2614" t="str">
        <f>Translations!$B$638</f>
        <v>Exporterade restgastyper:</v>
      </c>
      <c r="F1784" s="1960"/>
      <c r="G1784" s="1960"/>
      <c r="H1784" s="2520"/>
      <c r="I1784" s="2621"/>
      <c r="J1784" s="2510"/>
      <c r="K1784" s="2510"/>
      <c r="L1784" s="2510"/>
      <c r="M1784" s="2511"/>
      <c r="N1784" s="1807"/>
      <c r="O1784" s="15"/>
      <c r="P1784" s="1362"/>
      <c r="Q1784" s="343"/>
      <c r="R1784" s="2"/>
      <c r="S1784" s="343"/>
      <c r="T1784" s="2"/>
      <c r="U1784" s="2"/>
      <c r="V1784" s="2"/>
      <c r="W1784" s="2"/>
      <c r="X1784" s="2"/>
      <c r="Y1784" s="2"/>
      <c r="Z1784" s="2"/>
      <c r="AA1784" s="2"/>
      <c r="AB1784" s="2"/>
      <c r="AC1784" s="672" t="s">
        <v>782</v>
      </c>
      <c r="AD1784" s="108" t="b">
        <f>AD1775</f>
        <v>0</v>
      </c>
      <c r="AE1784" s="2"/>
      <c r="AF1784" s="2"/>
      <c r="AG1784" s="2"/>
      <c r="AH1784" s="2"/>
      <c r="AI1784" s="2"/>
      <c r="AJ1784" s="2"/>
      <c r="AK1784" s="2"/>
      <c r="AL1784" s="2"/>
    </row>
    <row r="1785" spans="1:38" ht="12.75" customHeight="1" x14ac:dyDescent="0.25">
      <c r="A1785" s="2"/>
      <c r="B1785" s="178"/>
      <c r="C1785" s="779"/>
      <c r="D1785" s="416"/>
      <c r="E1785" s="2596" t="str">
        <f>Translations!$B$633</f>
        <v>De uppgifter som anges här påverkar de utsläpp som kan tillskrivas i enlighet med avsnitt 10.1.5 i bilaga VII till FAR.</v>
      </c>
      <c r="F1785" s="1960"/>
      <c r="G1785" s="1960"/>
      <c r="H1785" s="1960"/>
      <c r="I1785" s="1960"/>
      <c r="J1785" s="1960"/>
      <c r="K1785" s="1960"/>
      <c r="L1785" s="1960"/>
      <c r="M1785" s="1960"/>
      <c r="N1785" s="2597"/>
      <c r="O1785" s="15"/>
      <c r="P1785" s="15"/>
      <c r="Q1785" s="343"/>
      <c r="R1785" s="2"/>
      <c r="S1785" s="343"/>
      <c r="T1785" s="343"/>
      <c r="U1785" s="343"/>
      <c r="V1785" s="343"/>
      <c r="W1785" s="2"/>
      <c r="X1785" s="2"/>
      <c r="Y1785" s="2"/>
      <c r="Z1785" s="2"/>
      <c r="AA1785" s="2"/>
      <c r="AB1785" s="2"/>
      <c r="AC1785" s="2"/>
      <c r="AD1785" s="2"/>
      <c r="AE1785" s="2"/>
      <c r="AF1785" s="2"/>
      <c r="AG1785" s="2"/>
      <c r="AH1785" s="2"/>
      <c r="AI1785" s="2"/>
      <c r="AJ1785" s="2"/>
      <c r="AK1785" s="2"/>
      <c r="AL1785" s="2"/>
    </row>
    <row r="1786" spans="1:38" ht="25.5" customHeight="1" x14ac:dyDescent="0.25">
      <c r="A1786" s="2"/>
      <c r="B1786" s="178"/>
      <c r="C1786" s="779"/>
      <c r="D1786" s="416"/>
      <c r="E1786" s="2610" t="str">
        <f>Translations!$B$639</f>
        <v>Detta innefattar alla restgastyper som produceras inom delanläggningens systemgränser och som exporteras från delanläggningen till en annan delanläggning samt till eventuella andra anläggningar eller enheter.</v>
      </c>
      <c r="F1786" s="1960"/>
      <c r="G1786" s="1960"/>
      <c r="H1786" s="1960"/>
      <c r="I1786" s="1960"/>
      <c r="J1786" s="1960"/>
      <c r="K1786" s="1960"/>
      <c r="L1786" s="1960"/>
      <c r="M1786" s="1960"/>
      <c r="N1786" s="2597"/>
      <c r="O1786" s="15"/>
      <c r="P1786" s="15"/>
      <c r="Q1786" s="343"/>
      <c r="R1786" s="2"/>
      <c r="S1786" s="343"/>
      <c r="T1786" s="343"/>
      <c r="U1786" s="343"/>
      <c r="V1786" s="343"/>
      <c r="W1786" s="2"/>
      <c r="X1786" s="2"/>
      <c r="Y1786" s="2"/>
      <c r="Z1786" s="2"/>
      <c r="AA1786" s="2"/>
      <c r="AB1786" s="2"/>
      <c r="AC1786" s="2"/>
      <c r="AD1786" s="2"/>
      <c r="AE1786" s="2"/>
      <c r="AF1786" s="2"/>
      <c r="AG1786" s="2"/>
      <c r="AH1786" s="2"/>
      <c r="AI1786" s="2"/>
      <c r="AJ1786" s="2"/>
      <c r="AK1786" s="2"/>
      <c r="AL1786" s="2"/>
    </row>
    <row r="1787" spans="1:38" ht="12.75" customHeight="1" thickBot="1" x14ac:dyDescent="0.3">
      <c r="A1787" s="2"/>
      <c r="B1787" s="178"/>
      <c r="C1787" s="779"/>
      <c r="D1787" s="780"/>
      <c r="E1787" s="1716"/>
      <c r="F1787" s="1717"/>
      <c r="G1787" s="361" t="str">
        <f>EUconst_Unit</f>
        <v>Enhet</v>
      </c>
      <c r="H1787" s="362">
        <f t="shared" ref="H1787:N1787" si="807">H$3042</f>
        <v>2019</v>
      </c>
      <c r="I1787" s="1103">
        <f t="shared" si="807"/>
        <v>2020</v>
      </c>
      <c r="J1787" s="1104">
        <f t="shared" si="807"/>
        <v>2021</v>
      </c>
      <c r="K1787" s="362">
        <f t="shared" si="807"/>
        <v>2022</v>
      </c>
      <c r="L1787" s="362">
        <f t="shared" si="807"/>
        <v>2023</v>
      </c>
      <c r="M1787" s="362">
        <f t="shared" si="807"/>
        <v>2024</v>
      </c>
      <c r="N1787" s="1141">
        <f t="shared" si="807"/>
        <v>2025</v>
      </c>
      <c r="O1787" s="15"/>
      <c r="P1787" s="15"/>
      <c r="Q1787" s="343"/>
      <c r="R1787" s="2"/>
      <c r="S1787" s="343"/>
      <c r="T1787" s="343"/>
      <c r="U1787" s="343"/>
      <c r="V1787" s="343"/>
      <c r="W1787" s="2"/>
      <c r="X1787" s="2"/>
      <c r="Y1787" s="2"/>
      <c r="Z1787" s="2"/>
      <c r="AA1787" s="2"/>
      <c r="AB1787" s="2"/>
      <c r="AC1787" s="1044">
        <f t="shared" ref="AC1787:AI1787" si="808">H$20</f>
        <v>2019</v>
      </c>
      <c r="AD1787" s="1044">
        <f t="shared" si="808"/>
        <v>2020</v>
      </c>
      <c r="AE1787" s="1044">
        <f t="shared" si="808"/>
        <v>2021</v>
      </c>
      <c r="AF1787" s="1044">
        <f t="shared" si="808"/>
        <v>2022</v>
      </c>
      <c r="AG1787" s="1044">
        <f t="shared" si="808"/>
        <v>2023</v>
      </c>
      <c r="AH1787" s="1044">
        <f t="shared" si="808"/>
        <v>2024</v>
      </c>
      <c r="AI1787" s="1044">
        <f t="shared" si="808"/>
        <v>2025</v>
      </c>
      <c r="AJ1787" s="2"/>
      <c r="AK1787" s="2"/>
      <c r="AL1787" s="2"/>
    </row>
    <row r="1788" spans="1:38" ht="12.75" customHeight="1" x14ac:dyDescent="0.25">
      <c r="A1788" s="2"/>
      <c r="B1788" s="178"/>
      <c r="C1788" s="779"/>
      <c r="D1788" s="416" t="s">
        <v>1211</v>
      </c>
      <c r="E1788" s="2611" t="str">
        <f>Translations!$B$640</f>
        <v>Exporterade mängder</v>
      </c>
      <c r="F1788" s="2484"/>
      <c r="G1788" s="1314"/>
      <c r="H1788" s="1298"/>
      <c r="I1788" s="1299"/>
      <c r="J1788" s="1300"/>
      <c r="K1788" s="1298"/>
      <c r="L1788" s="1298"/>
      <c r="M1788" s="1298"/>
      <c r="N1788" s="1301"/>
      <c r="O1788" s="15"/>
      <c r="P1788" s="1362"/>
      <c r="Q1788" s="343"/>
      <c r="R1788" s="2"/>
      <c r="S1788" s="343"/>
      <c r="T1788" s="343"/>
      <c r="U1788" s="343"/>
      <c r="V1788" s="343"/>
      <c r="W1788" s="2"/>
      <c r="X1788" s="2"/>
      <c r="Y1788" s="2"/>
      <c r="Z1788" s="2"/>
      <c r="AA1788" s="2"/>
      <c r="AB1788" s="672" t="s">
        <v>782</v>
      </c>
      <c r="AC1788" s="108" t="b">
        <f>AC1735</f>
        <v>0</v>
      </c>
      <c r="AD1788" s="108" t="b">
        <f t="shared" ref="AD1788:AI1788" si="809">AD1735</f>
        <v>0</v>
      </c>
      <c r="AE1788" s="108" t="b">
        <f t="shared" si="809"/>
        <v>0</v>
      </c>
      <c r="AF1788" s="108" t="b">
        <f t="shared" si="809"/>
        <v>0</v>
      </c>
      <c r="AG1788" s="108" t="b">
        <f t="shared" si="809"/>
        <v>0</v>
      </c>
      <c r="AH1788" s="108" t="b">
        <f t="shared" si="809"/>
        <v>0</v>
      </c>
      <c r="AI1788" s="108" t="b">
        <f t="shared" si="809"/>
        <v>0</v>
      </c>
      <c r="AJ1788" s="553" t="s">
        <v>2248</v>
      </c>
      <c r="AK1788" s="663" t="str">
        <f>IF(AND(CNTR_ExistSubInstEntries,MSconst_RequireSubAttrEmissions,COUNTIFS(AC1788:AI1788,FALSE,H1788:N1788,"")&gt;0),EUconst_Error&amp;"BM"&amp;$Q1523,"")</f>
        <v/>
      </c>
      <c r="AL1788" s="2"/>
    </row>
    <row r="1789" spans="1:38" ht="12.75" customHeight="1" thickBot="1" x14ac:dyDescent="0.3">
      <c r="A1789" s="2"/>
      <c r="B1789" s="178"/>
      <c r="C1789" s="779"/>
      <c r="D1789" s="416" t="s">
        <v>1733</v>
      </c>
      <c r="E1789" s="2612" t="str">
        <f>Translations!$B$318</f>
        <v>Effektivt värmevärde</v>
      </c>
      <c r="F1789" s="2487"/>
      <c r="G1789" s="51" t="str">
        <f>IF(ISBLANK(G1788),EUconst_GJperUnit,INDEX(EUconst_GJperTorKNm3,MATCH(G1788,EUconst_TonnesOrkNm3pa,0)))</f>
        <v>GJ / Enhet</v>
      </c>
      <c r="H1789" s="1306"/>
      <c r="I1789" s="1307"/>
      <c r="J1789" s="1308"/>
      <c r="K1789" s="1306"/>
      <c r="L1789" s="1306"/>
      <c r="M1789" s="1306"/>
      <c r="N1789" s="1309"/>
      <c r="O1789" s="15"/>
      <c r="P1789" s="1362"/>
      <c r="Q1789" s="343"/>
      <c r="R1789" s="2"/>
      <c r="S1789" s="343"/>
      <c r="T1789" s="343"/>
      <c r="U1789" s="343"/>
      <c r="V1789" s="343"/>
      <c r="W1789" s="2"/>
      <c r="X1789" s="2"/>
      <c r="Y1789" s="2"/>
      <c r="Z1789" s="2"/>
      <c r="AA1789" s="2"/>
      <c r="AB1789" s="2"/>
      <c r="AC1789" s="108" t="b">
        <f>AC1788</f>
        <v>0</v>
      </c>
      <c r="AD1789" s="108" t="b">
        <f t="shared" ref="AD1789:AI1789" si="810">AD1788</f>
        <v>0</v>
      </c>
      <c r="AE1789" s="108" t="b">
        <f t="shared" si="810"/>
        <v>0</v>
      </c>
      <c r="AF1789" s="108" t="b">
        <f t="shared" si="810"/>
        <v>0</v>
      </c>
      <c r="AG1789" s="108" t="b">
        <f t="shared" si="810"/>
        <v>0</v>
      </c>
      <c r="AH1789" s="108" t="b">
        <f t="shared" si="810"/>
        <v>0</v>
      </c>
      <c r="AI1789" s="108" t="b">
        <f t="shared" si="810"/>
        <v>0</v>
      </c>
      <c r="AJ1789" s="553" t="s">
        <v>2248</v>
      </c>
      <c r="AK1789" s="663" t="str">
        <f>IF(AND(CNTR_ExistSubInstEntries,MSconst_RequireSubAttrEmissions,COUNTIFS(AC1789:AI1789,FALSE,H1789:N1789,"")&gt;0),EUconst_Error&amp;"BM"&amp;$Q1523,"")</f>
        <v/>
      </c>
      <c r="AL1789" s="2"/>
    </row>
    <row r="1790" spans="1:38" ht="12.75" customHeight="1" x14ac:dyDescent="0.25">
      <c r="A1790" s="2"/>
      <c r="B1790" s="178"/>
      <c r="C1790" s="779"/>
      <c r="D1790" s="416" t="s">
        <v>1787</v>
      </c>
      <c r="E1790" s="2613" t="str">
        <f>Translations!$B$641</f>
        <v>Exporterad restgas</v>
      </c>
      <c r="F1790" s="1997"/>
      <c r="G1790" s="364" t="str">
        <f>EUconst_TJpa</f>
        <v>TJ / år</v>
      </c>
      <c r="H1790" s="351" t="str">
        <f t="shared" ref="H1790:N1790" si="811">IF(COUNT(H1788:H1789)=2,H1788*H1789/1000,"")</f>
        <v/>
      </c>
      <c r="I1790" s="1107" t="str">
        <f t="shared" si="811"/>
        <v/>
      </c>
      <c r="J1790" s="1113" t="str">
        <f t="shared" si="811"/>
        <v/>
      </c>
      <c r="K1790" s="351" t="str">
        <f t="shared" si="811"/>
        <v/>
      </c>
      <c r="L1790" s="351" t="str">
        <f t="shared" si="811"/>
        <v/>
      </c>
      <c r="M1790" s="351" t="str">
        <f t="shared" si="811"/>
        <v/>
      </c>
      <c r="N1790" s="1148" t="str">
        <f t="shared" si="811"/>
        <v/>
      </c>
      <c r="O1790" s="15"/>
      <c r="P1790" s="15"/>
      <c r="Q1790" s="165" t="str">
        <f>EUconst_CNTR_WGExport &amp; I1523</f>
        <v>WasteGasEx_</v>
      </c>
      <c r="R1790" s="2"/>
      <c r="S1790" s="772"/>
      <c r="T1790" s="609">
        <f t="shared" ref="T1790:Z1790" si="812">H1787</f>
        <v>2019</v>
      </c>
      <c r="U1790" s="609">
        <f t="shared" si="812"/>
        <v>2020</v>
      </c>
      <c r="V1790" s="609">
        <f t="shared" si="812"/>
        <v>2021</v>
      </c>
      <c r="W1790" s="609">
        <f t="shared" si="812"/>
        <v>2022</v>
      </c>
      <c r="X1790" s="609">
        <f t="shared" si="812"/>
        <v>2023</v>
      </c>
      <c r="Y1790" s="609">
        <f t="shared" si="812"/>
        <v>2024</v>
      </c>
      <c r="Z1790" s="610">
        <f t="shared" si="812"/>
        <v>2025</v>
      </c>
      <c r="AA1790" s="2"/>
      <c r="AB1790" s="2"/>
      <c r="AC1790" s="2"/>
      <c r="AD1790" s="2"/>
      <c r="AE1790" s="2"/>
      <c r="AF1790" s="2"/>
      <c r="AG1790" s="2"/>
      <c r="AH1790" s="2"/>
      <c r="AI1790" s="2"/>
      <c r="AJ1790" s="2"/>
      <c r="AK1790" s="2"/>
      <c r="AL1790" s="2"/>
    </row>
    <row r="1791" spans="1:38" s="534" customFormat="1" ht="12.75" customHeight="1" thickBot="1" x14ac:dyDescent="0.3">
      <c r="A1791" s="2"/>
      <c r="B1791" s="178"/>
      <c r="C1791" s="779"/>
      <c r="D1791" s="416" t="s">
        <v>1788</v>
      </c>
      <c r="E1791" s="2613" t="str">
        <f>Translations!$B$642</f>
        <v>Särskild emissionsfaktor (exporterad restgas)</v>
      </c>
      <c r="F1791" s="1997"/>
      <c r="G1791" s="363" t="str">
        <f>EUconst_tCO2pTJ</f>
        <v>t CO2 / TJ</v>
      </c>
      <c r="H1791" s="1315"/>
      <c r="I1791" s="1316"/>
      <c r="J1791" s="1317"/>
      <c r="K1791" s="1315"/>
      <c r="L1791" s="1315"/>
      <c r="M1791" s="1315"/>
      <c r="N1791" s="1318"/>
      <c r="O1791" s="15"/>
      <c r="P1791" s="1362"/>
      <c r="Q1791" s="165" t="str">
        <f>EUconst_CNTR_WGExportEF &amp; I1523</f>
        <v>WasteGasExEF_</v>
      </c>
      <c r="R1791" s="343"/>
      <c r="S1791" s="773" t="str">
        <f>EUconst_CNTR_AttributedEmissions &amp; I1523</f>
        <v>AttrEmissions_</v>
      </c>
      <c r="T1791" s="111" t="str">
        <f t="shared" ref="T1791:Z1791" si="813">IF(T1531,-SUM(H1790)*EUconst_NGEFvalue*EUconst_WasteGasCorrFactor,"")</f>
        <v/>
      </c>
      <c r="U1791" s="111" t="str">
        <f t="shared" si="813"/>
        <v/>
      </c>
      <c r="V1791" s="111" t="str">
        <f t="shared" si="813"/>
        <v/>
      </c>
      <c r="W1791" s="111" t="str">
        <f t="shared" si="813"/>
        <v/>
      </c>
      <c r="X1791" s="111" t="str">
        <f t="shared" si="813"/>
        <v/>
      </c>
      <c r="Y1791" s="111" t="str">
        <f t="shared" si="813"/>
        <v/>
      </c>
      <c r="Z1791" s="112" t="str">
        <f t="shared" si="813"/>
        <v/>
      </c>
      <c r="AA1791" s="343"/>
      <c r="AB1791" s="672" t="s">
        <v>782</v>
      </c>
      <c r="AC1791" s="108" t="b">
        <f t="shared" ref="AC1791:AI1791" si="814">AC1738</f>
        <v>0</v>
      </c>
      <c r="AD1791" s="108" t="b">
        <f t="shared" si="814"/>
        <v>0</v>
      </c>
      <c r="AE1791" s="108" t="b">
        <f t="shared" si="814"/>
        <v>0</v>
      </c>
      <c r="AF1791" s="108" t="b">
        <f t="shared" si="814"/>
        <v>0</v>
      </c>
      <c r="AG1791" s="108" t="b">
        <f t="shared" si="814"/>
        <v>0</v>
      </c>
      <c r="AH1791" s="108" t="b">
        <f t="shared" si="814"/>
        <v>0</v>
      </c>
      <c r="AI1791" s="108" t="b">
        <f t="shared" si="814"/>
        <v>0</v>
      </c>
      <c r="AJ1791" s="553" t="s">
        <v>2248</v>
      </c>
      <c r="AK1791" s="663" t="str">
        <f>IF(AND(CNTR_ExistSubInstEntries,MSconst_RequireSubAttrEmissions,COUNTIFS(AC1791:AI1791,FALSE,H1791:N1791,"")&gt;0),EUconst_Error&amp;"BM"&amp;$Q1523,"")</f>
        <v/>
      </c>
      <c r="AL1791" s="2"/>
    </row>
    <row r="1792" spans="1:38" ht="12.75" customHeight="1" x14ac:dyDescent="0.25">
      <c r="A1792" s="2"/>
      <c r="B1792" s="178"/>
      <c r="C1792" s="779"/>
      <c r="D1792" s="780"/>
      <c r="E1792" s="780"/>
      <c r="F1792" s="780"/>
      <c r="G1792" s="780"/>
      <c r="H1792" s="780"/>
      <c r="I1792" s="1805"/>
      <c r="J1792" s="780"/>
      <c r="K1792" s="780"/>
      <c r="L1792" s="780"/>
      <c r="M1792" s="780"/>
      <c r="N1792" s="519"/>
      <c r="O1792" s="15"/>
      <c r="P1792" s="15"/>
      <c r="Q1792" s="343"/>
      <c r="R1792" s="2"/>
      <c r="S1792" s="343"/>
      <c r="T1792" s="2"/>
      <c r="U1792" s="2"/>
      <c r="V1792" s="2"/>
      <c r="W1792" s="2"/>
      <c r="X1792" s="2"/>
      <c r="Y1792" s="2"/>
      <c r="Z1792" s="2"/>
      <c r="AA1792" s="2"/>
      <c r="AB1792" s="2"/>
      <c r="AC1792" s="2"/>
      <c r="AD1792" s="2"/>
      <c r="AE1792" s="2"/>
      <c r="AF1792" s="2"/>
      <c r="AG1792" s="2"/>
      <c r="AH1792" s="2"/>
      <c r="AI1792" s="2"/>
      <c r="AJ1792" s="2"/>
      <c r="AK1792" s="2"/>
      <c r="AL1792" s="2"/>
    </row>
    <row r="1793" spans="1:38" ht="12.75" customHeight="1" x14ac:dyDescent="0.25">
      <c r="A1793" s="2"/>
      <c r="B1793" s="178"/>
      <c r="C1793" s="779"/>
      <c r="D1793" s="373" t="s">
        <v>527</v>
      </c>
      <c r="E1793" s="2614" t="str">
        <f>Translations!$B$268</f>
        <v>Elproduktion</v>
      </c>
      <c r="F1793" s="1960"/>
      <c r="G1793" s="1960"/>
      <c r="H1793" s="1960"/>
      <c r="I1793" s="1960"/>
      <c r="J1793" s="1960"/>
      <c r="K1793" s="1960"/>
      <c r="L1793" s="1960"/>
      <c r="M1793" s="1960"/>
      <c r="N1793" s="2597"/>
      <c r="O1793" s="15"/>
      <c r="P1793" s="15"/>
      <c r="Q1793" s="343"/>
      <c r="R1793" s="2"/>
      <c r="S1793" s="343"/>
      <c r="T1793" s="2"/>
      <c r="U1793" s="2"/>
      <c r="V1793" s="2"/>
      <c r="W1793" s="2"/>
      <c r="X1793" s="2"/>
      <c r="Y1793" s="2"/>
      <c r="Z1793" s="2"/>
      <c r="AA1793" s="2"/>
      <c r="AB1793" s="2"/>
      <c r="AC1793" s="2"/>
      <c r="AD1793" s="2"/>
      <c r="AE1793" s="2"/>
      <c r="AF1793" s="2"/>
      <c r="AG1793" s="2"/>
      <c r="AH1793" s="2"/>
      <c r="AI1793" s="2"/>
      <c r="AJ1793" s="2"/>
      <c r="AK1793" s="2"/>
      <c r="AL1793" s="2"/>
    </row>
    <row r="1794" spans="1:38" ht="12.75" customHeight="1" x14ac:dyDescent="0.25">
      <c r="A1794" s="2"/>
      <c r="B1794" s="178"/>
      <c r="C1794" s="779"/>
      <c r="D1794" s="416"/>
      <c r="E1794" s="2596" t="str">
        <f>Translations!$B$643</f>
        <v>De uppgifter som anges här påverkar de utsläpp som kan tillskrivas i enlighet med kapitel 10 i bilaga VII till FAR.</v>
      </c>
      <c r="F1794" s="1960"/>
      <c r="G1794" s="1960"/>
      <c r="H1794" s="1960"/>
      <c r="I1794" s="1960"/>
      <c r="J1794" s="1960"/>
      <c r="K1794" s="1960"/>
      <c r="L1794" s="1960"/>
      <c r="M1794" s="1960"/>
      <c r="N1794" s="2597"/>
      <c r="O1794" s="15"/>
      <c r="P1794" s="15"/>
      <c r="Q1794" s="343"/>
      <c r="R1794" s="2"/>
      <c r="S1794" s="343"/>
      <c r="T1794" s="343"/>
      <c r="U1794" s="343"/>
      <c r="V1794" s="343"/>
      <c r="W1794" s="2"/>
      <c r="X1794" s="2"/>
      <c r="Y1794" s="2"/>
      <c r="Z1794" s="2"/>
      <c r="AA1794" s="2"/>
      <c r="AB1794" s="2"/>
      <c r="AC1794" s="2"/>
      <c r="AD1794" s="2"/>
      <c r="AE1794" s="2"/>
      <c r="AF1794" s="2"/>
      <c r="AG1794" s="2"/>
      <c r="AH1794" s="2"/>
      <c r="AI1794" s="2"/>
      <c r="AJ1794" s="2"/>
      <c r="AK1794" s="2"/>
      <c r="AL1794" s="2"/>
    </row>
    <row r="1795" spans="1:38" ht="25.5" customHeight="1" thickBot="1" x14ac:dyDescent="0.3">
      <c r="A1795" s="2"/>
      <c r="B1795" s="178"/>
      <c r="C1795" s="779"/>
      <c r="D1795" s="780"/>
      <c r="E1795" s="2610" t="str">
        <f>Translations!$B$644</f>
        <v>Detta innefattar el som produceras direkt från delanläggningen i enlighet med avsnitt 3.1 (i) i bilaga IV till FAR. El som produceras via intermediär mätbar värme bör inte anges här utan som export av mätbar värme i punkt k.v ovan.</v>
      </c>
      <c r="F1795" s="1960"/>
      <c r="G1795" s="1960"/>
      <c r="H1795" s="1960"/>
      <c r="I1795" s="1960"/>
      <c r="J1795" s="1960"/>
      <c r="K1795" s="1960"/>
      <c r="L1795" s="1960"/>
      <c r="M1795" s="1960"/>
      <c r="N1795" s="2597"/>
      <c r="O1795" s="15"/>
      <c r="P1795" s="15"/>
      <c r="Q1795" s="343"/>
      <c r="R1795" s="2"/>
      <c r="S1795" s="343"/>
      <c r="T1795" s="2"/>
      <c r="U1795" s="2"/>
      <c r="V1795" s="2"/>
      <c r="W1795" s="2"/>
      <c r="X1795" s="2"/>
      <c r="Y1795" s="2"/>
      <c r="Z1795" s="2"/>
      <c r="AA1795" s="2"/>
      <c r="AB1795" s="2"/>
      <c r="AC1795" s="2"/>
      <c r="AD1795" s="2"/>
      <c r="AE1795" s="2"/>
      <c r="AF1795" s="2"/>
      <c r="AG1795" s="2"/>
      <c r="AH1795" s="2"/>
      <c r="AI1795" s="2"/>
      <c r="AJ1795" s="2"/>
      <c r="AK1795" s="2"/>
      <c r="AL1795" s="2"/>
    </row>
    <row r="1796" spans="1:38" ht="12.75" customHeight="1" thickBot="1" x14ac:dyDescent="0.3">
      <c r="A1796" s="2"/>
      <c r="B1796" s="178"/>
      <c r="C1796" s="779"/>
      <c r="D1796" s="373"/>
      <c r="E1796" s="1716"/>
      <c r="F1796" s="1717"/>
      <c r="G1796" s="361" t="str">
        <f>EUconst_Unit</f>
        <v>Enhet</v>
      </c>
      <c r="H1796" s="362">
        <f t="shared" ref="H1796:N1796" si="815">H$3042</f>
        <v>2019</v>
      </c>
      <c r="I1796" s="1103">
        <f t="shared" si="815"/>
        <v>2020</v>
      </c>
      <c r="J1796" s="1104">
        <f t="shared" si="815"/>
        <v>2021</v>
      </c>
      <c r="K1796" s="362">
        <f t="shared" si="815"/>
        <v>2022</v>
      </c>
      <c r="L1796" s="362">
        <f t="shared" si="815"/>
        <v>2023</v>
      </c>
      <c r="M1796" s="362">
        <f t="shared" si="815"/>
        <v>2024</v>
      </c>
      <c r="N1796" s="1141">
        <f t="shared" si="815"/>
        <v>2025</v>
      </c>
      <c r="O1796" s="15"/>
      <c r="P1796" s="15"/>
      <c r="Q1796" s="343"/>
      <c r="R1796" s="2"/>
      <c r="S1796" s="772"/>
      <c r="T1796" s="609">
        <f t="shared" ref="T1796:Z1796" si="816">H1796</f>
        <v>2019</v>
      </c>
      <c r="U1796" s="609">
        <f t="shared" si="816"/>
        <v>2020</v>
      </c>
      <c r="V1796" s="609">
        <f t="shared" si="816"/>
        <v>2021</v>
      </c>
      <c r="W1796" s="609">
        <f t="shared" si="816"/>
        <v>2022</v>
      </c>
      <c r="X1796" s="609">
        <f t="shared" si="816"/>
        <v>2023</v>
      </c>
      <c r="Y1796" s="609">
        <f t="shared" si="816"/>
        <v>2024</v>
      </c>
      <c r="Z1796" s="610">
        <f t="shared" si="816"/>
        <v>2025</v>
      </c>
      <c r="AA1796" s="2"/>
      <c r="AB1796" s="2"/>
      <c r="AC1796" s="1044">
        <f t="shared" ref="AC1796:AI1796" si="817">H$20</f>
        <v>2019</v>
      </c>
      <c r="AD1796" s="1044">
        <f t="shared" si="817"/>
        <v>2020</v>
      </c>
      <c r="AE1796" s="1044">
        <f t="shared" si="817"/>
        <v>2021</v>
      </c>
      <c r="AF1796" s="1044">
        <f t="shared" si="817"/>
        <v>2022</v>
      </c>
      <c r="AG1796" s="1044">
        <f t="shared" si="817"/>
        <v>2023</v>
      </c>
      <c r="AH1796" s="1044">
        <f t="shared" si="817"/>
        <v>2024</v>
      </c>
      <c r="AI1796" s="1044">
        <f t="shared" si="817"/>
        <v>2025</v>
      </c>
      <c r="AJ1796" s="2"/>
      <c r="AK1796" s="2"/>
      <c r="AL1796" s="2"/>
    </row>
    <row r="1797" spans="1:38" ht="12.75" customHeight="1" thickBot="1" x14ac:dyDescent="0.3">
      <c r="A1797" s="2"/>
      <c r="B1797" s="178"/>
      <c r="C1797" s="779"/>
      <c r="D1797" s="416"/>
      <c r="E1797" s="2613" t="str">
        <f>Translations!$B$645</f>
        <v>Producerad el</v>
      </c>
      <c r="F1797" s="1997"/>
      <c r="G1797" s="364" t="str">
        <f>EUconst_MWhpa</f>
        <v>MWh / år</v>
      </c>
      <c r="H1797" s="582"/>
      <c r="I1797" s="1105"/>
      <c r="J1797" s="1115"/>
      <c r="K1797" s="582"/>
      <c r="L1797" s="582"/>
      <c r="M1797" s="582"/>
      <c r="N1797" s="1146"/>
      <c r="O1797" s="15"/>
      <c r="P1797" s="1362"/>
      <c r="Q1797" s="165" t="str">
        <f>EUconst_CNTR_ElectricityExported &amp; I1523</f>
        <v>ElecEx_</v>
      </c>
      <c r="R1797" s="2"/>
      <c r="S1797" s="773" t="str">
        <f>EUconst_CNTR_AttributedEmissions &amp; I1523</f>
        <v>AttrEmissions_</v>
      </c>
      <c r="T1797" s="111" t="str">
        <f t="shared" ref="T1797:Z1797" si="818">IF(T1531,-SUM(H1797)*EUconst_ElBM,"")</f>
        <v/>
      </c>
      <c r="U1797" s="111" t="str">
        <f t="shared" si="818"/>
        <v/>
      </c>
      <c r="V1797" s="111" t="str">
        <f t="shared" si="818"/>
        <v/>
      </c>
      <c r="W1797" s="111" t="str">
        <f t="shared" si="818"/>
        <v/>
      </c>
      <c r="X1797" s="111" t="str">
        <f t="shared" si="818"/>
        <v/>
      </c>
      <c r="Y1797" s="111" t="str">
        <f t="shared" si="818"/>
        <v/>
      </c>
      <c r="Z1797" s="112" t="str">
        <f t="shared" si="818"/>
        <v/>
      </c>
      <c r="AA1797" s="2"/>
      <c r="AB1797" s="672" t="s">
        <v>782</v>
      </c>
      <c r="AC1797" s="108" t="b">
        <f>AC1593</f>
        <v>0</v>
      </c>
      <c r="AD1797" s="108" t="b">
        <f t="shared" ref="AD1797:AI1797" si="819">AD1593</f>
        <v>0</v>
      </c>
      <c r="AE1797" s="108" t="b">
        <f t="shared" si="819"/>
        <v>0</v>
      </c>
      <c r="AF1797" s="108" t="b">
        <f t="shared" si="819"/>
        <v>0</v>
      </c>
      <c r="AG1797" s="108" t="b">
        <f t="shared" si="819"/>
        <v>0</v>
      </c>
      <c r="AH1797" s="108" t="b">
        <f t="shared" si="819"/>
        <v>0</v>
      </c>
      <c r="AI1797" s="108" t="b">
        <f t="shared" si="819"/>
        <v>0</v>
      </c>
      <c r="AJ1797" s="553" t="s">
        <v>2248</v>
      </c>
      <c r="AK1797" s="663" t="str">
        <f>IF(AND(CNTR_ExistSubInstEntries,MSconst_RequireSubAttrEmissions,COUNTIFS(AC1797:AI1797,FALSE,H1797:N1797,"")&gt;0),EUconst_Error&amp;"BM"&amp;$Q1523,"")</f>
        <v/>
      </c>
      <c r="AL1797" s="2"/>
    </row>
    <row r="1798" spans="1:38" ht="12.75" customHeight="1" x14ac:dyDescent="0.25">
      <c r="A1798" s="2"/>
      <c r="B1798" s="178"/>
      <c r="C1798" s="779"/>
      <c r="D1798" s="780"/>
      <c r="E1798" s="780"/>
      <c r="F1798" s="780"/>
      <c r="G1798" s="780"/>
      <c r="H1798" s="780"/>
      <c r="I1798" s="1805"/>
      <c r="J1798" s="780"/>
      <c r="K1798" s="780"/>
      <c r="L1798" s="780"/>
      <c r="M1798" s="780"/>
      <c r="N1798" s="519"/>
      <c r="O1798" s="15"/>
      <c r="P1798" s="15"/>
      <c r="Q1798" s="343"/>
      <c r="R1798" s="2"/>
      <c r="S1798" s="343"/>
      <c r="T1798" s="2"/>
      <c r="U1798" s="2"/>
      <c r="V1798" s="343"/>
      <c r="W1798" s="2"/>
      <c r="X1798" s="2"/>
      <c r="Y1798" s="2"/>
      <c r="Z1798" s="2"/>
      <c r="AA1798" s="2"/>
      <c r="AB1798" s="2"/>
      <c r="AC1798" s="2"/>
      <c r="AD1798" s="2"/>
      <c r="AE1798" s="2"/>
      <c r="AF1798" s="2"/>
      <c r="AG1798" s="2"/>
      <c r="AH1798" s="2"/>
      <c r="AI1798" s="2"/>
      <c r="AJ1798" s="2"/>
      <c r="AK1798" s="2"/>
      <c r="AL1798" s="2"/>
    </row>
    <row r="1799" spans="1:38" ht="12.75" customHeight="1" x14ac:dyDescent="0.25">
      <c r="A1799" s="2"/>
      <c r="B1799" s="178"/>
      <c r="C1799" s="779"/>
      <c r="D1799" s="373" t="s">
        <v>271</v>
      </c>
      <c r="E1799" s="2614" t="str">
        <f>Translations!$B$646</f>
        <v>Total producerad massamängd</v>
      </c>
      <c r="F1799" s="1960"/>
      <c r="G1799" s="1960"/>
      <c r="H1799" s="1960"/>
      <c r="I1799" s="1960"/>
      <c r="J1799" s="1960"/>
      <c r="K1799" s="1960"/>
      <c r="L1799" s="1960"/>
      <c r="M1799" s="1960"/>
      <c r="N1799" s="2597"/>
      <c r="O1799" s="15"/>
      <c r="P1799" s="15"/>
      <c r="Q1799" s="2"/>
      <c r="R1799" s="2"/>
      <c r="S1799" s="2"/>
      <c r="T1799" s="2"/>
      <c r="U1799" s="2"/>
      <c r="V1799" s="343"/>
      <c r="W1799" s="2"/>
      <c r="X1799" s="2"/>
      <c r="Y1799" s="2"/>
      <c r="Z1799" s="2"/>
      <c r="AA1799" s="2"/>
      <c r="AB1799" s="2"/>
      <c r="AC1799" s="2"/>
      <c r="AD1799" s="2"/>
      <c r="AE1799" s="2"/>
      <c r="AF1799" s="2"/>
      <c r="AG1799" s="2"/>
      <c r="AH1799" s="2"/>
      <c r="AI1799" s="2"/>
      <c r="AJ1799" s="2"/>
      <c r="AK1799" s="2"/>
      <c r="AL1799" s="2"/>
    </row>
    <row r="1800" spans="1:38" ht="25.5" customHeight="1" x14ac:dyDescent="0.25">
      <c r="A1800" s="2"/>
      <c r="B1800" s="178"/>
      <c r="C1800" s="779"/>
      <c r="D1800" s="780"/>
      <c r="E1800" s="2610" t="str">
        <f>Translations!$B$647</f>
        <v>Enligt avsnitt 2.7 k i bilaga IV till FAR ska det lämnas uppgift om den totala mängden massa som produceras för delanläggningar med produktriktmärke för kortfibrig sulfatmassa, långfibrig sulfatmassa, termomekanisk massa och mekanisk massa samt sulfitmassa.</v>
      </c>
      <c r="F1800" s="1960"/>
      <c r="G1800" s="1960"/>
      <c r="H1800" s="1960"/>
      <c r="I1800" s="1960"/>
      <c r="J1800" s="1960"/>
      <c r="K1800" s="1960"/>
      <c r="L1800" s="1960"/>
      <c r="M1800" s="1960"/>
      <c r="N1800" s="2597"/>
      <c r="O1800" s="15"/>
      <c r="P1800" s="15"/>
      <c r="Q1800" s="343"/>
      <c r="R1800" s="2"/>
      <c r="S1800" s="343"/>
      <c r="T1800" s="2"/>
      <c r="U1800" s="2"/>
      <c r="V1800" s="343"/>
      <c r="W1800" s="2"/>
      <c r="X1800" s="2"/>
      <c r="Y1800" s="2"/>
      <c r="Z1800" s="2"/>
      <c r="AA1800" s="2"/>
      <c r="AB1800" s="2"/>
      <c r="AC1800" s="2"/>
      <c r="AD1800" s="2"/>
      <c r="AE1800" s="2"/>
      <c r="AF1800" s="2"/>
      <c r="AG1800" s="2"/>
      <c r="AH1800" s="2"/>
      <c r="AI1800" s="2"/>
      <c r="AJ1800" s="2"/>
      <c r="AK1800" s="2"/>
      <c r="AL1800" s="2"/>
    </row>
    <row r="1801" spans="1:38" ht="12.75" customHeight="1" x14ac:dyDescent="0.25">
      <c r="A1801" s="2"/>
      <c r="B1801" s="178"/>
      <c r="C1801" s="779"/>
      <c r="D1801" s="780"/>
      <c r="E1801" s="2610" t="str">
        <f>Translations!$B$648</f>
        <v>Avsnittet kommer att gråmarkeras om det inte rör sig om någon massaproducerande delanläggning av dessa slag. Var god gå vidare till nedanstående punkter, i sådana fall.</v>
      </c>
      <c r="F1801" s="1960"/>
      <c r="G1801" s="1960"/>
      <c r="H1801" s="1960"/>
      <c r="I1801" s="1960"/>
      <c r="J1801" s="1960"/>
      <c r="K1801" s="1960"/>
      <c r="L1801" s="1960"/>
      <c r="M1801" s="1960"/>
      <c r="N1801" s="2597"/>
      <c r="O1801" s="15"/>
      <c r="P1801" s="15"/>
      <c r="Q1801" s="343"/>
      <c r="R1801" s="2"/>
      <c r="S1801" s="343"/>
      <c r="T1801" s="2"/>
      <c r="U1801" s="2"/>
      <c r="V1801" s="343"/>
      <c r="W1801" s="2"/>
      <c r="X1801" s="2"/>
      <c r="Y1801" s="2"/>
      <c r="Z1801" s="2"/>
      <c r="AA1801" s="2"/>
      <c r="AB1801" s="2"/>
      <c r="AC1801" s="2"/>
      <c r="AD1801" s="2"/>
      <c r="AE1801" s="2"/>
      <c r="AF1801" s="2"/>
      <c r="AG1801" s="2"/>
      <c r="AH1801" s="2"/>
      <c r="AI1801" s="2"/>
      <c r="AJ1801" s="2"/>
      <c r="AK1801" s="2"/>
      <c r="AL1801" s="2"/>
    </row>
    <row r="1802" spans="1:38" ht="12.75" customHeight="1" thickBot="1" x14ac:dyDescent="0.3">
      <c r="A1802" s="2"/>
      <c r="B1802" s="178"/>
      <c r="C1802" s="779"/>
      <c r="D1802" s="416"/>
      <c r="E1802" s="2615" t="str">
        <f>Translations!$B$649</f>
        <v>De uppgifter som anges här är relevanta för uppdateringen av det särskilda riktmärket för massa.</v>
      </c>
      <c r="F1802" s="2497"/>
      <c r="G1802" s="2497"/>
      <c r="H1802" s="2497"/>
      <c r="I1802" s="2497"/>
      <c r="J1802" s="2497"/>
      <c r="K1802" s="2497"/>
      <c r="L1802" s="2497"/>
      <c r="M1802" s="2497"/>
      <c r="N1802" s="2616"/>
      <c r="O1802" s="15"/>
      <c r="P1802" s="15"/>
      <c r="Q1802" s="343"/>
      <c r="R1802" s="2"/>
      <c r="S1802" s="343"/>
      <c r="T1802" s="2"/>
      <c r="U1802" s="2"/>
      <c r="V1802" s="343"/>
      <c r="W1802" s="2"/>
      <c r="X1802" s="2"/>
      <c r="Y1802" s="2"/>
      <c r="Z1802" s="2"/>
      <c r="AA1802" s="2"/>
      <c r="AB1802" s="2"/>
      <c r="AC1802" s="1044">
        <f t="shared" ref="AC1802:AI1802" si="820">H$20</f>
        <v>2019</v>
      </c>
      <c r="AD1802" s="1044">
        <f t="shared" si="820"/>
        <v>2020</v>
      </c>
      <c r="AE1802" s="1044">
        <f t="shared" si="820"/>
        <v>2021</v>
      </c>
      <c r="AF1802" s="1044">
        <f t="shared" si="820"/>
        <v>2022</v>
      </c>
      <c r="AG1802" s="1044">
        <f t="shared" si="820"/>
        <v>2023</v>
      </c>
      <c r="AH1802" s="1044">
        <f t="shared" si="820"/>
        <v>2024</v>
      </c>
      <c r="AI1802" s="1044">
        <f t="shared" si="820"/>
        <v>2025</v>
      </c>
      <c r="AJ1802" s="2"/>
      <c r="AK1802" s="2"/>
      <c r="AL1802" s="2"/>
    </row>
    <row r="1803" spans="1:38" ht="12.75" customHeight="1" x14ac:dyDescent="0.25">
      <c r="A1803" s="2"/>
      <c r="B1803" s="178"/>
      <c r="C1803" s="779"/>
      <c r="D1803" s="416"/>
      <c r="E1803" s="2617" t="str">
        <f>IF(I1523="","",IF(INDEX(EUconst_BMlistPulp,MATCH(I1523,EUconst_BMlistNames,0)),I1523,""))</f>
        <v/>
      </c>
      <c r="F1803" s="1997"/>
      <c r="G1803" s="364" t="str">
        <f>EUconst_Tons</f>
        <v>ton</v>
      </c>
      <c r="H1803" s="582"/>
      <c r="I1803" s="1105"/>
      <c r="J1803" s="1115"/>
      <c r="K1803" s="582"/>
      <c r="L1803" s="582"/>
      <c r="M1803" s="582"/>
      <c r="N1803" s="1146"/>
      <c r="O1803" s="15"/>
      <c r="P1803" s="1362"/>
      <c r="Q1803" s="165" t="str">
        <f>EUconst_CNTR_HALPulpTotal &amp; I1523</f>
        <v>HALPulpTotal_</v>
      </c>
      <c r="R1803" s="2"/>
      <c r="S1803" s="343"/>
      <c r="T1803" s="2"/>
      <c r="U1803" s="2"/>
      <c r="V1803" s="2"/>
      <c r="W1803" s="2"/>
      <c r="X1803" s="2"/>
      <c r="Y1803" s="2"/>
      <c r="Z1803" s="2"/>
      <c r="AA1803" s="2"/>
      <c r="AB1803" s="672" t="s">
        <v>782</v>
      </c>
      <c r="AC1803" s="1196" t="b">
        <f t="shared" ref="AC1803:AI1803" si="821">IF($I1523&lt;&gt;"",IF(INDEX(EUconst_BMlistPulp,MATCH($I1523,EUconst_BMlistNames,0))=TRUE,FALSE,TRUE),AC1593)</f>
        <v>0</v>
      </c>
      <c r="AD1803" s="108" t="b">
        <f t="shared" si="821"/>
        <v>0</v>
      </c>
      <c r="AE1803" s="108" t="b">
        <f t="shared" si="821"/>
        <v>0</v>
      </c>
      <c r="AF1803" s="108" t="b">
        <f t="shared" si="821"/>
        <v>0</v>
      </c>
      <c r="AG1803" s="108" t="b">
        <f t="shared" si="821"/>
        <v>0</v>
      </c>
      <c r="AH1803" s="108" t="b">
        <f t="shared" si="821"/>
        <v>0</v>
      </c>
      <c r="AI1803" s="108" t="b">
        <f t="shared" si="821"/>
        <v>0</v>
      </c>
      <c r="AJ1803" s="553" t="s">
        <v>2248</v>
      </c>
      <c r="AK1803" s="663" t="str">
        <f>IF(AND(CNTR_ExistSubInstEntries,MSconst_RequireSubAttrEmissions,COUNTIFS(AC1803:AI1803,FALSE,H1803:N1803,"")&gt;0),EUconst_Error&amp;"BM"&amp;$Q1523,"")</f>
        <v/>
      </c>
      <c r="AL1803" s="2"/>
    </row>
    <row r="1804" spans="1:38" ht="12.75" customHeight="1" x14ac:dyDescent="0.25">
      <c r="A1804" s="2"/>
      <c r="B1804" s="178"/>
      <c r="C1804" s="779"/>
      <c r="D1804" s="416"/>
      <c r="E1804" s="416"/>
      <c r="F1804" s="416"/>
      <c r="G1804" s="416"/>
      <c r="H1804" s="1805"/>
      <c r="I1804" s="416"/>
      <c r="J1804" s="416"/>
      <c r="K1804" s="416"/>
      <c r="L1804" s="416"/>
      <c r="M1804" s="416"/>
      <c r="N1804" s="1810"/>
      <c r="O1804" s="15"/>
      <c r="P1804" s="15"/>
      <c r="Q1804" s="343"/>
      <c r="R1804" s="2"/>
      <c r="S1804" s="343"/>
      <c r="T1804" s="2"/>
      <c r="U1804" s="2"/>
      <c r="V1804" s="343"/>
      <c r="W1804" s="2"/>
      <c r="X1804" s="2"/>
      <c r="Y1804" s="2"/>
      <c r="Z1804" s="2"/>
      <c r="AA1804" s="2"/>
      <c r="AB1804" s="2"/>
      <c r="AC1804" s="2"/>
      <c r="AD1804" s="2"/>
      <c r="AE1804" s="2"/>
      <c r="AF1804" s="2"/>
      <c r="AG1804" s="2"/>
      <c r="AH1804" s="2"/>
      <c r="AI1804" s="2"/>
      <c r="AJ1804" s="2"/>
      <c r="AK1804" s="2"/>
      <c r="AL1804" s="2"/>
    </row>
    <row r="1805" spans="1:38" ht="12.75" customHeight="1" x14ac:dyDescent="0.25">
      <c r="A1805" s="2"/>
      <c r="B1805" s="178"/>
      <c r="C1805" s="779"/>
      <c r="D1805" s="373" t="s">
        <v>906</v>
      </c>
      <c r="E1805" s="2614" t="str">
        <f>Translations!$B$650</f>
        <v>Import eller export av mellanprodukter som omfattas av produktriktmärken</v>
      </c>
      <c r="F1805" s="1960"/>
      <c r="G1805" s="1960"/>
      <c r="H1805" s="1960"/>
      <c r="I1805" s="1960"/>
      <c r="J1805" s="1960"/>
      <c r="K1805" s="1960"/>
      <c r="L1805" s="1960"/>
      <c r="M1805" s="1960"/>
      <c r="N1805" s="2597"/>
      <c r="O1805" s="15"/>
      <c r="P1805" s="15"/>
      <c r="Q1805" s="343"/>
      <c r="R1805" s="2"/>
      <c r="S1805" s="343"/>
      <c r="T1805" s="2"/>
      <c r="U1805" s="2"/>
      <c r="V1805" s="343"/>
      <c r="W1805" s="2"/>
      <c r="X1805" s="2"/>
      <c r="Y1805" s="2"/>
      <c r="Z1805" s="2"/>
      <c r="AA1805" s="2"/>
      <c r="AB1805" s="2"/>
      <c r="AC1805" s="2"/>
      <c r="AD1805" s="2"/>
      <c r="AE1805" s="2"/>
      <c r="AF1805" s="2"/>
      <c r="AG1805" s="2"/>
      <c r="AH1805" s="2"/>
      <c r="AI1805" s="2"/>
      <c r="AJ1805" s="2"/>
      <c r="AK1805" s="2"/>
      <c r="AL1805" s="2"/>
    </row>
    <row r="1806" spans="1:38" ht="25.5" customHeight="1" x14ac:dyDescent="0.25">
      <c r="A1806" s="2"/>
      <c r="B1806" s="178"/>
      <c r="C1806" s="779"/>
      <c r="D1806" s="780"/>
      <c r="E1806" s="2610" t="str">
        <f>Translations!$B$651</f>
        <v>För att undvika eventuell dubbelräkning eller luckor i tilldelade utsläpp vid fastställandet av de uppdaterade riktmärkena ska man enligt avsnitt 2.7 d i bilaga IV till FAR ange eventuell import eller export av mellanprodukter som omfattas av något av produktriktmärkena i bilaga I till FAR.</v>
      </c>
      <c r="F1806" s="1960"/>
      <c r="G1806" s="1960"/>
      <c r="H1806" s="1960"/>
      <c r="I1806" s="1960"/>
      <c r="J1806" s="1960"/>
      <c r="K1806" s="1960"/>
      <c r="L1806" s="1960"/>
      <c r="M1806" s="1960"/>
      <c r="N1806" s="2597"/>
      <c r="O1806" s="15"/>
      <c r="P1806" s="15"/>
      <c r="Q1806" s="343"/>
      <c r="R1806" s="2"/>
      <c r="S1806" s="343"/>
      <c r="T1806" s="2"/>
      <c r="U1806" s="2"/>
      <c r="V1806" s="343"/>
      <c r="W1806" s="2"/>
      <c r="X1806" s="2"/>
      <c r="Y1806" s="2"/>
      <c r="Z1806" s="2"/>
      <c r="AA1806" s="2"/>
      <c r="AB1806" s="2"/>
      <c r="AC1806" s="2"/>
      <c r="AD1806" s="2"/>
      <c r="AE1806" s="2"/>
      <c r="AF1806" s="2"/>
      <c r="AG1806" s="2"/>
      <c r="AH1806" s="2"/>
      <c r="AI1806" s="2"/>
      <c r="AJ1806" s="2"/>
      <c r="AK1806" s="2"/>
      <c r="AL1806" s="2"/>
    </row>
    <row r="1807" spans="1:38" ht="12.75" customHeight="1" x14ac:dyDescent="0.25">
      <c r="A1807" s="2"/>
      <c r="B1807" s="178"/>
      <c r="C1807" s="779"/>
      <c r="D1807" s="780"/>
      <c r="E1807" s="2596" t="str">
        <f>Translations!$B$652</f>
        <v>De uppgifter som anges här kan påverka uppdateringen av det särskilda riktmärket.</v>
      </c>
      <c r="F1807" s="1960"/>
      <c r="G1807" s="1960"/>
      <c r="H1807" s="1960"/>
      <c r="I1807" s="1960"/>
      <c r="J1807" s="1960"/>
      <c r="K1807" s="1960"/>
      <c r="L1807" s="1960"/>
      <c r="M1807" s="1960"/>
      <c r="N1807" s="2597"/>
      <c r="O1807" s="15"/>
      <c r="P1807" s="15"/>
      <c r="Q1807" s="343"/>
      <c r="R1807" s="2"/>
      <c r="S1807" s="343"/>
      <c r="T1807" s="2"/>
      <c r="U1807" s="2"/>
      <c r="V1807" s="343"/>
      <c r="W1807" s="2"/>
      <c r="X1807" s="2"/>
      <c r="Y1807" s="2"/>
      <c r="Z1807" s="2"/>
      <c r="AA1807" s="2"/>
      <c r="AB1807" s="2"/>
      <c r="AC1807" s="2"/>
      <c r="AD1807" s="2"/>
      <c r="AE1807" s="2"/>
      <c r="AF1807" s="2"/>
      <c r="AG1807" s="2"/>
      <c r="AH1807" s="2"/>
      <c r="AI1807" s="2"/>
      <c r="AJ1807" s="2"/>
      <c r="AK1807" s="2"/>
      <c r="AL1807" s="2"/>
    </row>
    <row r="1808" spans="1:38" ht="12.75" customHeight="1" x14ac:dyDescent="0.25">
      <c r="A1808" s="2"/>
      <c r="B1808" s="19"/>
      <c r="C1808" s="779"/>
      <c r="D1808" s="416" t="s">
        <v>8</v>
      </c>
      <c r="E1808" s="2598" t="str">
        <f>Translations!$B$653</f>
        <v>Förekommer import eller export av mellanprodukter som omfattas av produktriktmärken?</v>
      </c>
      <c r="F1808" s="1960"/>
      <c r="G1808" s="1960"/>
      <c r="H1808" s="1960"/>
      <c r="I1808" s="1960"/>
      <c r="J1808" s="1960"/>
      <c r="K1808" s="2520"/>
      <c r="L1808" s="749"/>
      <c r="M1808" s="360"/>
      <c r="N1808" s="535"/>
      <c r="O1808" s="15"/>
      <c r="P1808" s="1362"/>
      <c r="Q1808" s="2"/>
      <c r="R1808" s="2"/>
      <c r="S1808" s="2"/>
      <c r="T1808" s="2"/>
      <c r="U1808" s="2"/>
      <c r="V1808" s="2"/>
      <c r="W1808" s="2"/>
      <c r="X1808" s="2"/>
      <c r="Y1808" s="2"/>
      <c r="Z1808" s="2"/>
      <c r="AA1808" s="2"/>
      <c r="AB1808" s="2"/>
      <c r="AC1808" s="2"/>
      <c r="AD1808" s="2"/>
      <c r="AE1808" s="2"/>
      <c r="AF1808" s="672" t="s">
        <v>782</v>
      </c>
      <c r="AG1808" s="1196" t="b">
        <f>AND(CNTR_ExistSubInstEntries,I1523="")</f>
        <v>0</v>
      </c>
      <c r="AH1808" s="2"/>
      <c r="AI1808" s="2"/>
      <c r="AJ1808" s="2"/>
      <c r="AK1808" s="2"/>
      <c r="AL1808" s="2"/>
    </row>
    <row r="1809" spans="1:38" ht="5.15" customHeight="1" x14ac:dyDescent="0.25">
      <c r="A1809" s="2"/>
      <c r="B1809" s="178"/>
      <c r="C1809" s="779"/>
      <c r="D1809" s="416"/>
      <c r="E1809" s="416"/>
      <c r="F1809" s="416"/>
      <c r="G1809" s="416"/>
      <c r="H1809" s="1805"/>
      <c r="I1809" s="416"/>
      <c r="J1809" s="416"/>
      <c r="K1809" s="416"/>
      <c r="L1809" s="416"/>
      <c r="M1809" s="416"/>
      <c r="N1809" s="1810"/>
      <c r="O1809" s="15"/>
      <c r="P1809" s="15"/>
      <c r="Q1809" s="343"/>
      <c r="R1809" s="2"/>
      <c r="S1809" s="343"/>
      <c r="T1809" s="2"/>
      <c r="U1809" s="2"/>
      <c r="V1809" s="343"/>
      <c r="W1809" s="2"/>
      <c r="X1809" s="2"/>
      <c r="Y1809" s="2"/>
      <c r="Z1809" s="2"/>
      <c r="AA1809" s="2"/>
      <c r="AB1809" s="2"/>
      <c r="AC1809" s="2"/>
      <c r="AD1809" s="2"/>
      <c r="AE1809" s="2"/>
      <c r="AF1809" s="2"/>
      <c r="AG1809" s="2"/>
      <c r="AH1809" s="2"/>
      <c r="AI1809" s="2"/>
      <c r="AJ1809" s="2"/>
      <c r="AK1809" s="2"/>
      <c r="AL1809" s="2"/>
    </row>
    <row r="1810" spans="1:38" ht="12.75" customHeight="1" thickBot="1" x14ac:dyDescent="0.3">
      <c r="A1810" s="2"/>
      <c r="B1810" s="178"/>
      <c r="C1810" s="779"/>
      <c r="D1810" s="373"/>
      <c r="E1810" s="2605" t="str">
        <f>Translations!$B$654</f>
        <v>Importerade mängder:</v>
      </c>
      <c r="F1810" s="2497"/>
      <c r="G1810" s="415" t="str">
        <f>EUconst_Unit</f>
        <v>Enhet</v>
      </c>
      <c r="H1810" s="362">
        <f t="shared" ref="H1810:N1810" si="822">H$3042</f>
        <v>2019</v>
      </c>
      <c r="I1810" s="1103">
        <f t="shared" si="822"/>
        <v>2020</v>
      </c>
      <c r="J1810" s="1104">
        <f t="shared" si="822"/>
        <v>2021</v>
      </c>
      <c r="K1810" s="362">
        <f t="shared" si="822"/>
        <v>2022</v>
      </c>
      <c r="L1810" s="362">
        <f t="shared" si="822"/>
        <v>2023</v>
      </c>
      <c r="M1810" s="362">
        <f t="shared" si="822"/>
        <v>2024</v>
      </c>
      <c r="N1810" s="1141">
        <f t="shared" si="822"/>
        <v>2025</v>
      </c>
      <c r="O1810" s="15"/>
      <c r="P1810" s="15"/>
      <c r="Q1810" s="343"/>
      <c r="R1810" s="2"/>
      <c r="S1810" s="343"/>
      <c r="T1810" s="2"/>
      <c r="U1810" s="2"/>
      <c r="V1810" s="343"/>
      <c r="W1810" s="2"/>
      <c r="X1810" s="2"/>
      <c r="Y1810" s="2"/>
      <c r="Z1810" s="2"/>
      <c r="AA1810" s="2"/>
      <c r="AB1810" s="2"/>
      <c r="AC1810" s="1044">
        <f t="shared" ref="AC1810:AI1810" si="823">H$20</f>
        <v>2019</v>
      </c>
      <c r="AD1810" s="1044">
        <f t="shared" si="823"/>
        <v>2020</v>
      </c>
      <c r="AE1810" s="1044">
        <f t="shared" si="823"/>
        <v>2021</v>
      </c>
      <c r="AF1810" s="1044">
        <f t="shared" si="823"/>
        <v>2022</v>
      </c>
      <c r="AG1810" s="1044">
        <f t="shared" si="823"/>
        <v>2023</v>
      </c>
      <c r="AH1810" s="1044">
        <f t="shared" si="823"/>
        <v>2024</v>
      </c>
      <c r="AI1810" s="1044">
        <f t="shared" si="823"/>
        <v>2025</v>
      </c>
      <c r="AJ1810" s="2"/>
      <c r="AK1810" s="2"/>
      <c r="AL1810" s="2"/>
    </row>
    <row r="1811" spans="1:38" ht="12.75" customHeight="1" x14ac:dyDescent="0.25">
      <c r="A1811" s="2"/>
      <c r="B1811" s="178"/>
      <c r="C1811" s="779"/>
      <c r="D1811" s="416" t="s">
        <v>9</v>
      </c>
      <c r="E1811" s="2606"/>
      <c r="F1811" s="2607"/>
      <c r="G1811" s="59" t="str">
        <f>IF(E1811&lt;&gt;"",INDEX(EUconst_BMlistUnits,MATCH(E1811,EUconst_BMlistNames,0)),EUconst_Tons)</f>
        <v>ton</v>
      </c>
      <c r="H1811" s="1319"/>
      <c r="I1811" s="1320"/>
      <c r="J1811" s="1321"/>
      <c r="K1811" s="1319"/>
      <c r="L1811" s="1319"/>
      <c r="M1811" s="1319"/>
      <c r="N1811" s="1322"/>
      <c r="O1811" s="15"/>
      <c r="P1811" s="1362"/>
      <c r="Q1811" s="165" t="str">
        <f>EUconst_CNTR_IntermediateImport &amp; S1811 &amp; "_" &amp; I1523</f>
        <v>IntImp_1_</v>
      </c>
      <c r="R1811" s="2"/>
      <c r="S1811" s="165">
        <v>1</v>
      </c>
      <c r="T1811" s="2"/>
      <c r="U1811" s="2"/>
      <c r="V1811" s="343"/>
      <c r="W1811" s="2"/>
      <c r="X1811" s="2"/>
      <c r="Y1811" s="2"/>
      <c r="Z1811" s="2"/>
      <c r="AA1811" s="2"/>
      <c r="AB1811" s="672" t="s">
        <v>782</v>
      </c>
      <c r="AC1811" s="1196" t="b">
        <f>OR(AND($L1808&lt;&gt;"",$L1808=FALSE),AC1593)</f>
        <v>0</v>
      </c>
      <c r="AD1811" s="108" t="b">
        <f t="shared" ref="AD1811:AI1811" si="824">OR(AND($L1808&lt;&gt;"",$L1808=FALSE),AD1593)</f>
        <v>0</v>
      </c>
      <c r="AE1811" s="108" t="b">
        <f t="shared" si="824"/>
        <v>0</v>
      </c>
      <c r="AF1811" s="108" t="b">
        <f t="shared" si="824"/>
        <v>0</v>
      </c>
      <c r="AG1811" s="108" t="b">
        <f t="shared" si="824"/>
        <v>0</v>
      </c>
      <c r="AH1811" s="108" t="b">
        <f t="shared" si="824"/>
        <v>0</v>
      </c>
      <c r="AI1811" s="108" t="b">
        <f t="shared" si="824"/>
        <v>0</v>
      </c>
      <c r="AJ1811" s="553" t="s">
        <v>2248</v>
      </c>
      <c r="AK1811" s="663" t="str">
        <f>IF(AND(CNTR_ExistSubInstEntries,MSconst_RequireSubAttrEmissions,COUNTIFS(AC1811:AI1811,FALSE,H1811:N1811,"")&gt;0),EUconst_Error&amp;"BM"&amp;$Q1523,"")</f>
        <v/>
      </c>
      <c r="AL1811" s="2"/>
    </row>
    <row r="1812" spans="1:38" ht="12.75" customHeight="1" x14ac:dyDescent="0.25">
      <c r="A1812" s="2"/>
      <c r="B1812" s="178"/>
      <c r="C1812" s="779"/>
      <c r="D1812" s="416" t="s">
        <v>10</v>
      </c>
      <c r="E1812" s="2608"/>
      <c r="F1812" s="2609"/>
      <c r="G1812" s="51" t="str">
        <f>IF(E1812&lt;&gt;"",INDEX(EUconst_BMlistUnits,MATCH(E1812,EUconst_BMlistNames,0)),EUconst_Tons)</f>
        <v>ton</v>
      </c>
      <c r="H1812" s="1323"/>
      <c r="I1812" s="1324"/>
      <c r="J1812" s="1325"/>
      <c r="K1812" s="1323"/>
      <c r="L1812" s="1323"/>
      <c r="M1812" s="1323"/>
      <c r="N1812" s="1326"/>
      <c r="O1812" s="15"/>
      <c r="P1812" s="1362"/>
      <c r="Q1812" s="165" t="str">
        <f>EUconst_CNTR_IntermediateImport &amp; S1812 &amp; "_" &amp; I1523</f>
        <v>IntImp_2_</v>
      </c>
      <c r="R1812" s="2"/>
      <c r="S1812" s="165">
        <v>2</v>
      </c>
      <c r="T1812" s="2"/>
      <c r="U1812" s="2"/>
      <c r="V1812" s="343"/>
      <c r="W1812" s="2"/>
      <c r="X1812" s="2"/>
      <c r="Y1812" s="2"/>
      <c r="Z1812" s="2"/>
      <c r="AA1812" s="2"/>
      <c r="AB1812" s="2"/>
      <c r="AC1812" s="108" t="b">
        <f>AC1811</f>
        <v>0</v>
      </c>
      <c r="AD1812" s="108" t="b">
        <f t="shared" ref="AD1812:AI1812" si="825">AD1811</f>
        <v>0</v>
      </c>
      <c r="AE1812" s="108" t="b">
        <f t="shared" si="825"/>
        <v>0</v>
      </c>
      <c r="AF1812" s="108" t="b">
        <f t="shared" si="825"/>
        <v>0</v>
      </c>
      <c r="AG1812" s="108" t="b">
        <f t="shared" si="825"/>
        <v>0</v>
      </c>
      <c r="AH1812" s="108" t="b">
        <f t="shared" si="825"/>
        <v>0</v>
      </c>
      <c r="AI1812" s="108" t="b">
        <f t="shared" si="825"/>
        <v>0</v>
      </c>
      <c r="AJ1812" s="2"/>
      <c r="AK1812" s="2"/>
      <c r="AL1812" s="2"/>
    </row>
    <row r="1813" spans="1:38" ht="5.15" customHeight="1" x14ac:dyDescent="0.25">
      <c r="A1813" s="2"/>
      <c r="B1813" s="178"/>
      <c r="C1813" s="779"/>
      <c r="D1813" s="416"/>
      <c r="E1813" s="416"/>
      <c r="F1813" s="416"/>
      <c r="G1813" s="416"/>
      <c r="H1813" s="416"/>
      <c r="I1813" s="416"/>
      <c r="J1813" s="416"/>
      <c r="K1813" s="416"/>
      <c r="L1813" s="416"/>
      <c r="M1813" s="416"/>
      <c r="N1813" s="1149"/>
      <c r="O1813" s="15"/>
      <c r="P1813" s="15"/>
      <c r="Q1813" s="343"/>
      <c r="R1813" s="2"/>
      <c r="S1813" s="343"/>
      <c r="T1813" s="2"/>
      <c r="U1813" s="2"/>
      <c r="V1813" s="343"/>
      <c r="W1813" s="2"/>
      <c r="X1813" s="2"/>
      <c r="Y1813" s="2"/>
      <c r="Z1813" s="2"/>
      <c r="AA1813" s="2"/>
      <c r="AB1813" s="2"/>
      <c r="AC1813" s="2"/>
      <c r="AD1813" s="2"/>
      <c r="AE1813" s="2"/>
      <c r="AF1813" s="2"/>
      <c r="AG1813" s="2"/>
      <c r="AH1813" s="2"/>
      <c r="AI1813" s="2"/>
      <c r="AJ1813" s="2"/>
      <c r="AK1813" s="2"/>
      <c r="AL1813" s="2"/>
    </row>
    <row r="1814" spans="1:38" ht="12.75" customHeight="1" thickBot="1" x14ac:dyDescent="0.3">
      <c r="A1814" s="2"/>
      <c r="B1814" s="178"/>
      <c r="C1814" s="779"/>
      <c r="D1814" s="373"/>
      <c r="E1814" s="2605" t="str">
        <f>Translations!$B$655</f>
        <v>Exporterade mängder:</v>
      </c>
      <c r="F1814" s="2497"/>
      <c r="G1814" s="415" t="str">
        <f>EUconst_Unit</f>
        <v>Enhet</v>
      </c>
      <c r="H1814" s="362">
        <f t="shared" ref="H1814:N1814" si="826">H$3042</f>
        <v>2019</v>
      </c>
      <c r="I1814" s="1103">
        <f t="shared" si="826"/>
        <v>2020</v>
      </c>
      <c r="J1814" s="1104">
        <f t="shared" si="826"/>
        <v>2021</v>
      </c>
      <c r="K1814" s="362">
        <f t="shared" si="826"/>
        <v>2022</v>
      </c>
      <c r="L1814" s="362">
        <f t="shared" si="826"/>
        <v>2023</v>
      </c>
      <c r="M1814" s="362">
        <f t="shared" si="826"/>
        <v>2024</v>
      </c>
      <c r="N1814" s="1141">
        <f t="shared" si="826"/>
        <v>2025</v>
      </c>
      <c r="O1814" s="15"/>
      <c r="P1814" s="15"/>
      <c r="Q1814" s="343"/>
      <c r="R1814" s="2"/>
      <c r="S1814" s="343"/>
      <c r="T1814" s="2"/>
      <c r="U1814" s="2"/>
      <c r="V1814" s="343"/>
      <c r="W1814" s="2"/>
      <c r="X1814" s="2"/>
      <c r="Y1814" s="2"/>
      <c r="Z1814" s="2"/>
      <c r="AA1814" s="2"/>
      <c r="AB1814" s="2"/>
      <c r="AC1814" s="1044">
        <f t="shared" ref="AC1814:AI1814" si="827">H$20</f>
        <v>2019</v>
      </c>
      <c r="AD1814" s="1044">
        <f t="shared" si="827"/>
        <v>2020</v>
      </c>
      <c r="AE1814" s="1044">
        <f t="shared" si="827"/>
        <v>2021</v>
      </c>
      <c r="AF1814" s="1044">
        <f t="shared" si="827"/>
        <v>2022</v>
      </c>
      <c r="AG1814" s="1044">
        <f t="shared" si="827"/>
        <v>2023</v>
      </c>
      <c r="AH1814" s="1044">
        <f t="shared" si="827"/>
        <v>2024</v>
      </c>
      <c r="AI1814" s="1044">
        <f t="shared" si="827"/>
        <v>2025</v>
      </c>
      <c r="AJ1814" s="2"/>
      <c r="AK1814" s="2"/>
      <c r="AL1814" s="2"/>
    </row>
    <row r="1815" spans="1:38" ht="12.75" customHeight="1" x14ac:dyDescent="0.25">
      <c r="A1815" s="2"/>
      <c r="B1815" s="178"/>
      <c r="C1815" s="779"/>
      <c r="D1815" s="416" t="s">
        <v>23</v>
      </c>
      <c r="E1815" s="2606"/>
      <c r="F1815" s="2607"/>
      <c r="G1815" s="59" t="str">
        <f>IF(E1815&lt;&gt;"",INDEX(EUconst_BMlistUnits,MATCH(E1815,EUconst_BMlistNames,0)),EUconst_Tons)</f>
        <v>ton</v>
      </c>
      <c r="H1815" s="1319"/>
      <c r="I1815" s="1320"/>
      <c r="J1815" s="1321"/>
      <c r="K1815" s="1319"/>
      <c r="L1815" s="1319"/>
      <c r="M1815" s="1319"/>
      <c r="N1815" s="1322"/>
      <c r="O1815" s="15"/>
      <c r="P1815" s="1362"/>
      <c r="Q1815" s="165" t="str">
        <f>EUconst_CNTR_IntermediateExport &amp; S1811 &amp; "_" &amp; I1523</f>
        <v>IntExp_1_</v>
      </c>
      <c r="R1815" s="2"/>
      <c r="S1815" s="165">
        <v>1</v>
      </c>
      <c r="T1815" s="2"/>
      <c r="U1815" s="2"/>
      <c r="V1815" s="343"/>
      <c r="W1815" s="2"/>
      <c r="X1815" s="413"/>
      <c r="Y1815" s="413"/>
      <c r="Z1815" s="2"/>
      <c r="AA1815" s="2"/>
      <c r="AB1815" s="672" t="s">
        <v>782</v>
      </c>
      <c r="AC1815" s="108" t="b">
        <f>AC1811</f>
        <v>0</v>
      </c>
      <c r="AD1815" s="108" t="b">
        <f t="shared" ref="AD1815:AI1815" si="828">AD1811</f>
        <v>0</v>
      </c>
      <c r="AE1815" s="108" t="b">
        <f t="shared" si="828"/>
        <v>0</v>
      </c>
      <c r="AF1815" s="108" t="b">
        <f t="shared" si="828"/>
        <v>0</v>
      </c>
      <c r="AG1815" s="108" t="b">
        <f t="shared" si="828"/>
        <v>0</v>
      </c>
      <c r="AH1815" s="108" t="b">
        <f t="shared" si="828"/>
        <v>0</v>
      </c>
      <c r="AI1815" s="108" t="b">
        <f t="shared" si="828"/>
        <v>0</v>
      </c>
      <c r="AJ1815" s="553" t="s">
        <v>2248</v>
      </c>
      <c r="AK1815" s="663" t="str">
        <f>IF(AND(CNTR_ExistSubInstEntries,MSconst_RequireSubAttrEmissions,COUNTIFS(AC1815:AI1815,FALSE,H1815:N1815,"")&gt;0),EUconst_Error&amp;"BM"&amp;$Q1523,"")</f>
        <v/>
      </c>
      <c r="AL1815" s="2"/>
    </row>
    <row r="1816" spans="1:38" ht="12.75" customHeight="1" x14ac:dyDescent="0.25">
      <c r="A1816" s="2"/>
      <c r="B1816" s="178"/>
      <c r="C1816" s="779"/>
      <c r="D1816" s="416" t="s">
        <v>859</v>
      </c>
      <c r="E1816" s="2608"/>
      <c r="F1816" s="2609"/>
      <c r="G1816" s="51" t="str">
        <f>IF(E1816&lt;&gt;"",INDEX(EUconst_BMlistUnits,MATCH(E1816,EUconst_BMlistNames,0)),EUconst_Tons)</f>
        <v>ton</v>
      </c>
      <c r="H1816" s="1323"/>
      <c r="I1816" s="1324"/>
      <c r="J1816" s="1325"/>
      <c r="K1816" s="1323"/>
      <c r="L1816" s="1323"/>
      <c r="M1816" s="1323"/>
      <c r="N1816" s="1326"/>
      <c r="O1816" s="15"/>
      <c r="P1816" s="1362"/>
      <c r="Q1816" s="165" t="str">
        <f>EUconst_CNTR_IntermediateExport &amp; S1816 &amp; "_" &amp; I1523</f>
        <v>IntExp_2_</v>
      </c>
      <c r="R1816" s="2"/>
      <c r="S1816" s="165">
        <v>2</v>
      </c>
      <c r="T1816" s="2"/>
      <c r="U1816" s="2"/>
      <c r="V1816" s="343"/>
      <c r="W1816" s="2"/>
      <c r="X1816" s="413"/>
      <c r="Y1816" s="413"/>
      <c r="Z1816" s="2"/>
      <c r="AA1816" s="2"/>
      <c r="AB1816" s="2"/>
      <c r="AC1816" s="108" t="b">
        <f t="shared" ref="AC1816:AI1816" si="829">AC1812</f>
        <v>0</v>
      </c>
      <c r="AD1816" s="108" t="b">
        <f t="shared" si="829"/>
        <v>0</v>
      </c>
      <c r="AE1816" s="108" t="b">
        <f t="shared" si="829"/>
        <v>0</v>
      </c>
      <c r="AF1816" s="108" t="b">
        <f t="shared" si="829"/>
        <v>0</v>
      </c>
      <c r="AG1816" s="108" t="b">
        <f t="shared" si="829"/>
        <v>0</v>
      </c>
      <c r="AH1816" s="108" t="b">
        <f t="shared" si="829"/>
        <v>0</v>
      </c>
      <c r="AI1816" s="108" t="b">
        <f t="shared" si="829"/>
        <v>0</v>
      </c>
      <c r="AJ1816" s="2"/>
      <c r="AK1816" s="2"/>
      <c r="AL1816" s="2"/>
    </row>
    <row r="1817" spans="1:38" ht="5.15" customHeight="1" x14ac:dyDescent="0.25">
      <c r="A1817" s="2"/>
      <c r="B1817" s="178"/>
      <c r="C1817" s="779"/>
      <c r="D1817" s="416"/>
      <c r="E1817" s="416"/>
      <c r="F1817" s="416"/>
      <c r="G1817" s="416"/>
      <c r="H1817" s="416"/>
      <c r="I1817" s="416"/>
      <c r="J1817" s="416"/>
      <c r="K1817" s="416"/>
      <c r="L1817" s="416"/>
      <c r="M1817" s="416"/>
      <c r="N1817" s="1810"/>
      <c r="O1817" s="15"/>
      <c r="P1817" s="15"/>
      <c r="Q1817" s="343"/>
      <c r="R1817" s="2"/>
      <c r="S1817" s="343"/>
      <c r="T1817" s="2"/>
      <c r="U1817" s="2"/>
      <c r="V1817" s="343"/>
      <c r="W1817" s="2"/>
      <c r="X1817" s="413"/>
      <c r="Y1817" s="413"/>
      <c r="Z1817" s="2"/>
      <c r="AA1817" s="2"/>
      <c r="AB1817" s="2"/>
      <c r="AC1817" s="2"/>
      <c r="AD1817" s="2"/>
      <c r="AE1817" s="2"/>
      <c r="AF1817" s="2"/>
      <c r="AG1817" s="2"/>
      <c r="AH1817" s="2"/>
      <c r="AI1817" s="2"/>
      <c r="AJ1817" s="2"/>
      <c r="AK1817" s="2"/>
      <c r="AL1817" s="2"/>
    </row>
    <row r="1818" spans="1:38" ht="12.75" customHeight="1" x14ac:dyDescent="0.25">
      <c r="A1818" s="2"/>
      <c r="B1818" s="178"/>
      <c r="C1818" s="779"/>
      <c r="D1818" s="416" t="s">
        <v>860</v>
      </c>
      <c r="E1818" s="623" t="str">
        <f>Translations!$B$656</f>
        <v>Beskrivning av importerade eller exporterade mellanprodukter</v>
      </c>
      <c r="F1818" s="623"/>
      <c r="G1818" s="623"/>
      <c r="H1818" s="623"/>
      <c r="I1818" s="623"/>
      <c r="J1818" s="623"/>
      <c r="K1818" s="623"/>
      <c r="L1818" s="623"/>
      <c r="M1818" s="623"/>
      <c r="N1818" s="1810"/>
      <c r="O1818" s="15"/>
      <c r="P1818" s="15"/>
      <c r="Q1818" s="343"/>
      <c r="R1818" s="2"/>
      <c r="S1818" s="343"/>
      <c r="T1818" s="2"/>
      <c r="U1818" s="2"/>
      <c r="V1818" s="343"/>
      <c r="W1818" s="2"/>
      <c r="X1818" s="413"/>
      <c r="Y1818" s="413"/>
      <c r="Z1818" s="2"/>
      <c r="AA1818" s="2"/>
      <c r="AB1818" s="2"/>
      <c r="AC1818" s="2"/>
      <c r="AD1818" s="2"/>
      <c r="AE1818" s="2"/>
      <c r="AF1818" s="2"/>
      <c r="AG1818" s="2"/>
      <c r="AH1818" s="2"/>
      <c r="AI1818" s="2"/>
      <c r="AJ1818" s="2"/>
      <c r="AK1818" s="2"/>
      <c r="AL1818" s="2"/>
    </row>
    <row r="1819" spans="1:38" ht="12.75" customHeight="1" x14ac:dyDescent="0.25">
      <c r="A1819" s="2"/>
      <c r="B1819" s="178"/>
      <c r="C1819" s="779"/>
      <c r="D1819" s="416"/>
      <c r="E1819" s="1139" t="str">
        <f>Translations!$B$657</f>
        <v>Var god ge en kort beskrivning av produktionsprocessen för importerade eller exporterade mellanprodukter</v>
      </c>
      <c r="F1819" s="1806"/>
      <c r="G1819" s="1806"/>
      <c r="H1819" s="1806"/>
      <c r="I1819" s="1806"/>
      <c r="J1819" s="1806"/>
      <c r="K1819" s="1806"/>
      <c r="L1819" s="1806"/>
      <c r="M1819" s="1806"/>
      <c r="N1819" s="1807"/>
      <c r="O1819" s="15"/>
      <c r="P1819" s="15"/>
      <c r="Q1819" s="343"/>
      <c r="R1819" s="2"/>
      <c r="S1819" s="343"/>
      <c r="T1819" s="2"/>
      <c r="U1819" s="2"/>
      <c r="V1819" s="343"/>
      <c r="W1819" s="2"/>
      <c r="X1819" s="413"/>
      <c r="Y1819" s="413"/>
      <c r="Z1819" s="2"/>
      <c r="AA1819" s="2"/>
      <c r="AB1819" s="2"/>
      <c r="AC1819" s="2"/>
      <c r="AD1819" s="2"/>
      <c r="AE1819" s="2"/>
      <c r="AF1819" s="2"/>
      <c r="AG1819" s="2"/>
      <c r="AH1819" s="2"/>
      <c r="AI1819" s="2"/>
      <c r="AJ1819" s="2"/>
      <c r="AK1819" s="2"/>
      <c r="AL1819" s="2"/>
    </row>
    <row r="1820" spans="1:38" ht="12.75" customHeight="1" x14ac:dyDescent="0.25">
      <c r="A1820" s="2"/>
      <c r="B1820" s="178"/>
      <c r="C1820" s="779"/>
      <c r="D1820" s="416"/>
      <c r="E1820" s="2599"/>
      <c r="F1820" s="2600"/>
      <c r="G1820" s="2600"/>
      <c r="H1820" s="2600"/>
      <c r="I1820" s="2600"/>
      <c r="J1820" s="2600"/>
      <c r="K1820" s="2600"/>
      <c r="L1820" s="2600"/>
      <c r="M1820" s="2601"/>
      <c r="N1820" s="1810"/>
      <c r="O1820" s="15"/>
      <c r="P1820" s="1362"/>
      <c r="Q1820" s="343"/>
      <c r="R1820" s="2"/>
      <c r="S1820" s="343"/>
      <c r="T1820" s="2"/>
      <c r="U1820" s="2"/>
      <c r="V1820" s="343"/>
      <c r="W1820" s="2"/>
      <c r="X1820" s="413"/>
      <c r="Y1820" s="413"/>
      <c r="Z1820" s="2"/>
      <c r="AA1820" s="2"/>
      <c r="AB1820" s="672" t="s">
        <v>782</v>
      </c>
      <c r="AC1820" s="108" t="b">
        <f>AND(AC1815:AI1815)</f>
        <v>0</v>
      </c>
      <c r="AD1820" s="2"/>
      <c r="AE1820" s="2"/>
      <c r="AF1820" s="2"/>
      <c r="AG1820" s="2"/>
      <c r="AH1820" s="2"/>
      <c r="AI1820" s="2"/>
      <c r="AJ1820" s="2"/>
      <c r="AK1820" s="2"/>
      <c r="AL1820" s="2"/>
    </row>
    <row r="1821" spans="1:38" ht="12.75" customHeight="1" x14ac:dyDescent="0.25">
      <c r="A1821" s="2"/>
      <c r="B1821" s="178"/>
      <c r="C1821" s="779"/>
      <c r="D1821" s="416"/>
      <c r="E1821" s="2602"/>
      <c r="F1821" s="2603"/>
      <c r="G1821" s="2603"/>
      <c r="H1821" s="2603"/>
      <c r="I1821" s="2603"/>
      <c r="J1821" s="2603"/>
      <c r="K1821" s="2603"/>
      <c r="L1821" s="2603"/>
      <c r="M1821" s="2604"/>
      <c r="N1821" s="1810"/>
      <c r="O1821" s="15"/>
      <c r="P1821" s="15"/>
      <c r="Q1821" s="343"/>
      <c r="R1821" s="2"/>
      <c r="S1821" s="343"/>
      <c r="T1821" s="2"/>
      <c r="U1821" s="2"/>
      <c r="V1821" s="343"/>
      <c r="W1821" s="2"/>
      <c r="X1821" s="413"/>
      <c r="Y1821" s="413"/>
      <c r="Z1821" s="2"/>
      <c r="AA1821" s="2"/>
      <c r="AB1821" s="2"/>
      <c r="AC1821" s="108" t="b">
        <f>AC1820</f>
        <v>0</v>
      </c>
      <c r="AD1821" s="2"/>
      <c r="AE1821" s="2"/>
      <c r="AF1821" s="2"/>
      <c r="AG1821" s="2"/>
      <c r="AH1821" s="2"/>
      <c r="AI1821" s="2"/>
      <c r="AJ1821" s="2"/>
      <c r="AK1821" s="2"/>
      <c r="AL1821" s="2"/>
    </row>
    <row r="1822" spans="1:38" ht="12.75" customHeight="1" thickBot="1" x14ac:dyDescent="0.3">
      <c r="A1822" s="2"/>
      <c r="B1822" s="178"/>
      <c r="C1822" s="781"/>
      <c r="D1822" s="782"/>
      <c r="E1822" s="782"/>
      <c r="F1822" s="782"/>
      <c r="G1822" s="782"/>
      <c r="H1822" s="782"/>
      <c r="I1822" s="782"/>
      <c r="J1822" s="782"/>
      <c r="K1822" s="782"/>
      <c r="L1822" s="782"/>
      <c r="M1822" s="783"/>
      <c r="N1822" s="784"/>
      <c r="O1822" s="15"/>
      <c r="P1822" s="15"/>
      <c r="Q1822" s="343"/>
      <c r="R1822" s="2"/>
      <c r="S1822" s="343"/>
      <c r="T1822" s="2"/>
      <c r="U1822" s="2"/>
      <c r="V1822" s="343"/>
      <c r="W1822" s="2"/>
      <c r="X1822" s="2"/>
      <c r="Y1822" s="2"/>
      <c r="Z1822" s="2"/>
      <c r="AA1822" s="2"/>
      <c r="AB1822" s="2"/>
      <c r="AC1822" s="2"/>
      <c r="AD1822" s="2"/>
      <c r="AE1822" s="2"/>
      <c r="AF1822" s="2"/>
      <c r="AG1822" s="2"/>
      <c r="AH1822" s="2"/>
      <c r="AI1822" s="2"/>
      <c r="AJ1822" s="2"/>
      <c r="AK1822" s="2"/>
      <c r="AL1822" s="2"/>
    </row>
    <row r="1823" spans="1:38" ht="12.75" customHeight="1" thickBot="1" x14ac:dyDescent="0.3">
      <c r="A1823" s="343"/>
      <c r="B1823" s="3"/>
      <c r="C1823" s="3"/>
      <c r="D1823" s="3"/>
      <c r="E1823" s="3"/>
      <c r="F1823" s="3"/>
      <c r="G1823" s="3"/>
      <c r="H1823" s="3"/>
      <c r="I1823" s="3"/>
      <c r="J1823" s="3"/>
      <c r="K1823" s="3"/>
      <c r="L1823" s="3"/>
      <c r="M1823" s="6"/>
      <c r="N1823" s="6"/>
      <c r="O1823" s="6"/>
      <c r="P1823" s="6"/>
      <c r="Q1823" s="294" t="str">
        <f>IF(OR(AND(CNTR_ExistProductSubEntries=FALSE,Q1523=1),AND(I1523&lt;&gt;"",COUNTIF(Q1824:$Q3071,"PRINT")=0)),"PRINT","")</f>
        <v/>
      </c>
      <c r="R1823" s="7"/>
      <c r="S1823" s="7"/>
      <c r="T1823" s="7"/>
      <c r="U1823" s="7"/>
      <c r="V1823" s="7"/>
      <c r="W1823" s="7"/>
      <c r="X1823" s="7"/>
      <c r="Y1823" s="7"/>
      <c r="Z1823" s="2"/>
      <c r="AA1823" s="2"/>
      <c r="AB1823" s="2"/>
      <c r="AC1823" s="2"/>
      <c r="AD1823" s="2"/>
      <c r="AE1823" s="349"/>
      <c r="AF1823" s="349"/>
      <c r="AG1823" s="349"/>
      <c r="AH1823" s="349"/>
      <c r="AI1823" s="349"/>
      <c r="AJ1823" s="349"/>
      <c r="AK1823" s="349"/>
      <c r="AL1823" s="349"/>
    </row>
    <row r="1824" spans="1:38" ht="5.15" customHeight="1" thickBot="1" x14ac:dyDescent="0.3">
      <c r="A1824" s="2"/>
      <c r="B1824" s="178"/>
      <c r="C1824" s="785"/>
      <c r="D1824" s="785"/>
      <c r="E1824" s="785"/>
      <c r="F1824" s="785"/>
      <c r="G1824" s="785"/>
      <c r="H1824" s="785"/>
      <c r="I1824" s="785"/>
      <c r="J1824" s="785"/>
      <c r="K1824" s="785"/>
      <c r="L1824" s="785"/>
      <c r="M1824" s="785"/>
      <c r="N1824" s="785"/>
      <c r="O1824" s="15"/>
      <c r="P1824" s="15"/>
      <c r="Q1824" s="1723"/>
      <c r="R1824" s="1723"/>
      <c r="S1824" s="1723"/>
      <c r="T1824" s="1723"/>
      <c r="U1824" s="1723"/>
      <c r="V1824" s="1723"/>
      <c r="W1824" s="1723"/>
      <c r="X1824" s="1723"/>
      <c r="Y1824" s="1723"/>
      <c r="Z1824" s="1723"/>
      <c r="AA1824" s="1723"/>
      <c r="AB1824" s="1723"/>
      <c r="AC1824" s="1723"/>
      <c r="AD1824" s="1723"/>
      <c r="AE1824" s="1723"/>
      <c r="AF1824" s="1723"/>
      <c r="AG1824" s="1723"/>
      <c r="AH1824" s="1723"/>
      <c r="AI1824" s="1723"/>
      <c r="AJ1824" s="1723"/>
      <c r="AK1824" s="1723"/>
      <c r="AL1824" s="1723"/>
    </row>
    <row r="1825" spans="1:38" ht="14.5" thickBot="1" x14ac:dyDescent="0.3">
      <c r="A1825" s="2"/>
      <c r="B1825" s="178"/>
      <c r="C1825" s="771">
        <f>C1523+1</f>
        <v>7</v>
      </c>
      <c r="D1825" s="2053" t="str">
        <f>EUconst_BMSubinst &amp; ":"</f>
        <v>Delanläggning med produktriktmärke:</v>
      </c>
      <c r="E1825" s="1963"/>
      <c r="F1825" s="1963"/>
      <c r="G1825" s="1963"/>
      <c r="H1825" s="2060"/>
      <c r="I1825" s="2090" t="str">
        <f>IF(INDEX(CNTR_SubInstListIsProdBM,$C1825),INDEX(CNTR_SubInstListNames,$C1825),"")</f>
        <v/>
      </c>
      <c r="J1825" s="2120"/>
      <c r="K1825" s="2120"/>
      <c r="L1825" s="2120"/>
      <c r="M1825" s="2120"/>
      <c r="N1825" s="2154"/>
      <c r="O1825" s="15"/>
      <c r="P1825" s="15"/>
      <c r="Q1825" s="294">
        <f>C1825</f>
        <v>7</v>
      </c>
      <c r="R1825" s="2"/>
      <c r="S1825" s="553" t="s">
        <v>608</v>
      </c>
      <c r="T1825" s="979" t="str">
        <f>IF(I1825="","",MAX(INDEX(CNTR_SubInstStartDate,MATCH($I1825,CNTR_SubInstListNames,0)),DATE(2005,1,1)))</f>
        <v/>
      </c>
      <c r="U1825" s="343" t="s">
        <v>1873</v>
      </c>
      <c r="V1825" s="663">
        <f>IF(ISNUMBER(T1825),YEAR($T1825-IF(YEAR(T1825)&gt;=2022,0,1))+1,2005)</f>
        <v>2005</v>
      </c>
      <c r="W1825" s="553" t="s">
        <v>1876</v>
      </c>
      <c r="X1825" s="979" t="str">
        <f>IF(I1825="","",INDEX(CNTR_SubInstCessationDate,MATCH($I1825,CNTR_SubInstListNames,0)))</f>
        <v/>
      </c>
      <c r="Y1825" s="553" t="s">
        <v>1877</v>
      </c>
      <c r="Z1825" s="663">
        <f>IF(SUM(X1825)=0,2050,YEAR($X1825))</f>
        <v>2050</v>
      </c>
      <c r="AA1825" s="553" t="s">
        <v>2201</v>
      </c>
      <c r="AB1825" s="663" t="b">
        <f>CNTR_ReportingYear&gt;V1825</f>
        <v>1</v>
      </c>
      <c r="AC1825" s="2"/>
      <c r="AD1825" s="2"/>
      <c r="AE1825" s="2"/>
      <c r="AF1825" s="2"/>
      <c r="AG1825" s="2"/>
      <c r="AH1825" s="2"/>
      <c r="AI1825" s="2"/>
      <c r="AJ1825" s="2"/>
      <c r="AK1825" s="2"/>
      <c r="AL1825" s="555" t="b">
        <f>AND(CNTR_ExistSubInstEntries,I1825="")</f>
        <v>0</v>
      </c>
    </row>
    <row r="1826" spans="1:38" ht="12.75" customHeight="1" x14ac:dyDescent="0.25">
      <c r="A1826" s="2"/>
      <c r="B1826" s="178"/>
      <c r="C1826" s="178"/>
      <c r="D1826" s="15"/>
      <c r="E1826" s="2061" t="str">
        <f>Translations!$B$360</f>
        <v>Namnet på delanläggningen med produktriktmärke visas automatiskt i inmatningsfälten i blad ”A_InstallationData”.</v>
      </c>
      <c r="F1826" s="1963"/>
      <c r="G1826" s="1963"/>
      <c r="H1826" s="1963"/>
      <c r="I1826" s="1963"/>
      <c r="J1826" s="1963"/>
      <c r="K1826" s="1963"/>
      <c r="L1826" s="1963"/>
      <c r="M1826" s="1963"/>
      <c r="N1826" s="1963"/>
      <c r="O1826" s="15"/>
      <c r="P1826" s="15"/>
      <c r="Q1826" s="343"/>
      <c r="R1826" s="2"/>
      <c r="S1826" s="343"/>
      <c r="T1826" s="343"/>
      <c r="U1826" s="2"/>
      <c r="V1826" s="2"/>
      <c r="W1826" s="2"/>
      <c r="X1826" s="2"/>
      <c r="Y1826" s="2"/>
      <c r="Z1826" s="2"/>
      <c r="AA1826" s="2"/>
      <c r="AB1826" s="2"/>
      <c r="AC1826" s="2"/>
      <c r="AD1826" s="2"/>
      <c r="AE1826" s="2"/>
      <c r="AF1826" s="2"/>
      <c r="AG1826" s="2"/>
      <c r="AH1826" s="2"/>
      <c r="AI1826" s="2"/>
      <c r="AJ1826" s="2"/>
      <c r="AK1826" s="2"/>
      <c r="AL1826" s="2"/>
    </row>
    <row r="1827" spans="1:38" ht="5.15" customHeight="1" x14ac:dyDescent="0.25">
      <c r="A1827" s="2"/>
      <c r="B1827" s="178"/>
      <c r="C1827" s="178"/>
      <c r="D1827" s="178"/>
      <c r="E1827" s="178"/>
      <c r="F1827" s="178"/>
      <c r="G1827" s="178"/>
      <c r="H1827" s="178"/>
      <c r="I1827" s="178"/>
      <c r="J1827" s="178"/>
      <c r="K1827" s="178"/>
      <c r="L1827" s="178"/>
      <c r="M1827" s="15"/>
      <c r="N1827" s="15"/>
      <c r="O1827" s="15"/>
      <c r="P1827" s="15"/>
      <c r="Q1827" s="343"/>
      <c r="R1827" s="2"/>
      <c r="S1827" s="343"/>
      <c r="T1827" s="343"/>
      <c r="U1827" s="2"/>
      <c r="V1827" s="2"/>
      <c r="W1827" s="2"/>
      <c r="X1827" s="2"/>
      <c r="Y1827" s="2"/>
      <c r="Z1827" s="2"/>
      <c r="AA1827" s="2"/>
      <c r="AB1827" s="2"/>
      <c r="AC1827" s="2"/>
      <c r="AD1827" s="2"/>
      <c r="AE1827" s="2"/>
      <c r="AF1827" s="2"/>
      <c r="AG1827" s="2"/>
      <c r="AH1827" s="2"/>
      <c r="AI1827" s="2"/>
      <c r="AJ1827" s="2"/>
      <c r="AK1827" s="2"/>
      <c r="AL1827" s="2"/>
    </row>
    <row r="1828" spans="1:38" ht="13" x14ac:dyDescent="0.25">
      <c r="A1828" s="2"/>
      <c r="B1828" s="178"/>
      <c r="C1828" s="178"/>
      <c r="D1828" s="13" t="s">
        <v>442</v>
      </c>
      <c r="E1828" s="1943" t="str">
        <f>Translations!$B$1466</f>
        <v>Verksamhetsnivåer</v>
      </c>
      <c r="F1828" s="1963"/>
      <c r="G1828" s="1963"/>
      <c r="H1828" s="1963"/>
      <c r="I1828" s="1963"/>
      <c r="J1828" s="1963"/>
      <c r="K1828" s="1963"/>
      <c r="L1828" s="1963"/>
      <c r="M1828" s="1963"/>
      <c r="N1828" s="1963"/>
      <c r="O1828" s="15"/>
      <c r="P1828" s="15"/>
      <c r="Q1828" s="343"/>
      <c r="R1828" s="2"/>
      <c r="S1828" s="2"/>
      <c r="T1828" s="2"/>
      <c r="U1828" s="2"/>
      <c r="V1828" s="2"/>
      <c r="W1828" s="2"/>
      <c r="X1828" s="2"/>
      <c r="Y1828" s="2"/>
      <c r="Z1828" s="2"/>
      <c r="AA1828" s="2"/>
      <c r="AB1828" s="2"/>
      <c r="AC1828" s="2"/>
      <c r="AD1828" s="2"/>
      <c r="AE1828" s="2"/>
      <c r="AF1828" s="2"/>
      <c r="AG1828" s="2"/>
      <c r="AH1828" s="2"/>
      <c r="AI1828" s="2"/>
      <c r="AJ1828" s="2"/>
      <c r="AK1828" s="2"/>
      <c r="AL1828" s="2"/>
    </row>
    <row r="1829" spans="1:38" ht="12.75" customHeight="1" x14ac:dyDescent="0.25">
      <c r="A1829" s="2"/>
      <c r="B1829" s="178"/>
      <c r="C1829" s="178"/>
      <c r="D1829" s="15"/>
      <c r="E1829" s="2061" t="str">
        <f>Translations!$B$514</f>
        <v>I denna punkt ska de ”huvudsakliga verksamhetsnivåerna” anges, dvs. de uppgifter som är direkt tillämpliga för att beräkna tilldelningen.</v>
      </c>
      <c r="F1829" s="1963"/>
      <c r="G1829" s="1963"/>
      <c r="H1829" s="1963"/>
      <c r="I1829" s="1963"/>
      <c r="J1829" s="1963"/>
      <c r="K1829" s="1963"/>
      <c r="L1829" s="1963"/>
      <c r="M1829" s="1963"/>
      <c r="N1829" s="1963"/>
      <c r="O1829" s="15"/>
      <c r="P1829" s="15"/>
      <c r="Q1829" s="343"/>
      <c r="R1829" s="2"/>
      <c r="S1829" s="343"/>
      <c r="T1829" s="343"/>
      <c r="U1829" s="343"/>
      <c r="V1829" s="2"/>
      <c r="W1829" s="2"/>
      <c r="X1829" s="2"/>
      <c r="Y1829" s="2"/>
      <c r="Z1829" s="2"/>
      <c r="AA1829" s="2"/>
      <c r="AB1829" s="2"/>
      <c r="AC1829" s="2"/>
      <c r="AD1829" s="2"/>
      <c r="AE1829" s="2"/>
      <c r="AF1829" s="2"/>
      <c r="AG1829" s="2"/>
      <c r="AH1829" s="2"/>
      <c r="AI1829" s="2"/>
      <c r="AJ1829" s="2"/>
      <c r="AK1829" s="2"/>
      <c r="AL1829" s="2"/>
    </row>
    <row r="1830" spans="1:38" ht="12.75" customHeight="1" x14ac:dyDescent="0.25">
      <c r="A1830" s="2"/>
      <c r="B1830" s="178"/>
      <c r="C1830" s="178"/>
      <c r="D1830" s="15"/>
      <c r="E1830" s="2061" t="str">
        <f>Translations!$B$515</f>
        <v xml:space="preserve">Detta är i regel produktionsuppgifter för produkten, t.ex. grå cementklinker i ton eller glasflaskor i ton, i enlighet med bilaga I till FAR. </v>
      </c>
      <c r="F1830" s="1963"/>
      <c r="G1830" s="1963"/>
      <c r="H1830" s="1963"/>
      <c r="I1830" s="1963"/>
      <c r="J1830" s="1963"/>
      <c r="K1830" s="1963"/>
      <c r="L1830" s="1963"/>
      <c r="M1830" s="1963"/>
      <c r="N1830" s="1963"/>
      <c r="O1830" s="15"/>
      <c r="P1830" s="15"/>
      <c r="Q1830" s="343"/>
      <c r="R1830" s="2"/>
      <c r="S1830" s="343"/>
      <c r="T1830" s="343"/>
      <c r="U1830" s="343"/>
      <c r="V1830" s="2"/>
      <c r="W1830" s="2"/>
      <c r="X1830" s="2"/>
      <c r="Y1830" s="2"/>
      <c r="Z1830" s="2"/>
      <c r="AA1830" s="2"/>
      <c r="AB1830" s="2"/>
      <c r="AC1830" s="2"/>
      <c r="AD1830" s="2"/>
      <c r="AE1830" s="2"/>
      <c r="AF1830" s="2"/>
      <c r="AG1830" s="2"/>
      <c r="AH1830" s="2"/>
      <c r="AI1830" s="2"/>
      <c r="AJ1830" s="2"/>
      <c r="AK1830" s="2"/>
      <c r="AL1830" s="2"/>
    </row>
    <row r="1831" spans="1:38" ht="12.75" customHeight="1" x14ac:dyDescent="0.25">
      <c r="A1831" s="2"/>
      <c r="B1831" s="178"/>
      <c r="C1831" s="178"/>
      <c r="D1831" s="15"/>
      <c r="E1831" s="2061" t="str">
        <f>Translations!$B$516</f>
        <v>Om ett meddelande visas i punkt iv måste dock lämpligt beräkningsverktyg användas, och resultaten kopieras automatiskt in i tabellen i punkt ii.</v>
      </c>
      <c r="F1831" s="1963"/>
      <c r="G1831" s="1963"/>
      <c r="H1831" s="1963"/>
      <c r="I1831" s="1963"/>
      <c r="J1831" s="1963"/>
      <c r="K1831" s="1963"/>
      <c r="L1831" s="1963"/>
      <c r="M1831" s="1963"/>
      <c r="N1831" s="1963"/>
      <c r="O1831" s="15"/>
      <c r="P1831" s="15"/>
      <c r="Q1831" s="343"/>
      <c r="R1831" s="2"/>
      <c r="S1831" s="343"/>
      <c r="T1831" s="2"/>
      <c r="U1831" s="2"/>
      <c r="V1831" s="2"/>
      <c r="W1831" s="2"/>
      <c r="X1831" s="2"/>
      <c r="Y1831" s="2"/>
      <c r="Z1831" s="343"/>
      <c r="AA1831" s="2"/>
      <c r="AB1831" s="2"/>
      <c r="AC1831" s="2"/>
      <c r="AD1831" s="2"/>
      <c r="AE1831" s="2"/>
      <c r="AF1831" s="2"/>
      <c r="AG1831" s="2"/>
      <c r="AH1831" s="2"/>
      <c r="AI1831" s="2"/>
      <c r="AJ1831" s="2"/>
      <c r="AK1831" s="2"/>
      <c r="AL1831" s="2"/>
    </row>
    <row r="1832" spans="1:38" ht="13.5" customHeight="1" thickBot="1" x14ac:dyDescent="0.3">
      <c r="A1832" s="2"/>
      <c r="B1832" s="19"/>
      <c r="C1832" s="19"/>
      <c r="D1832" s="13"/>
      <c r="E1832" s="2062" t="str">
        <f>Translations!$B$517</f>
        <v>Årliga verksamhetsnivåer:</v>
      </c>
      <c r="F1832" s="2062"/>
      <c r="G1832" s="30" t="str">
        <f>EUconst_Unit</f>
        <v>Enhet</v>
      </c>
      <c r="H1832" s="320">
        <f t="shared" ref="H1832:N1832" si="830">H$3042</f>
        <v>2019</v>
      </c>
      <c r="I1832" s="342">
        <f t="shared" si="830"/>
        <v>2020</v>
      </c>
      <c r="J1832" s="987">
        <f t="shared" si="830"/>
        <v>2021</v>
      </c>
      <c r="K1832" s="320">
        <f t="shared" si="830"/>
        <v>2022</v>
      </c>
      <c r="L1832" s="320">
        <f t="shared" si="830"/>
        <v>2023</v>
      </c>
      <c r="M1832" s="320">
        <f t="shared" si="830"/>
        <v>2024</v>
      </c>
      <c r="N1832" s="350">
        <f t="shared" si="830"/>
        <v>2025</v>
      </c>
      <c r="O1832" s="15"/>
      <c r="P1832" s="15"/>
      <c r="Q1832" s="343"/>
      <c r="R1832" s="2"/>
      <c r="S1832" s="2"/>
      <c r="T1832" s="1044">
        <f t="shared" ref="T1832:Z1832" si="831">H1832</f>
        <v>2019</v>
      </c>
      <c r="U1832" s="1044">
        <f t="shared" si="831"/>
        <v>2020</v>
      </c>
      <c r="V1832" s="1044">
        <f t="shared" si="831"/>
        <v>2021</v>
      </c>
      <c r="W1832" s="1044">
        <f t="shared" si="831"/>
        <v>2022</v>
      </c>
      <c r="X1832" s="1044">
        <f t="shared" si="831"/>
        <v>2023</v>
      </c>
      <c r="Y1832" s="1044">
        <f t="shared" si="831"/>
        <v>2024</v>
      </c>
      <c r="Z1832" s="1044">
        <f t="shared" si="831"/>
        <v>2025</v>
      </c>
      <c r="AA1832" s="2"/>
      <c r="AB1832" s="2"/>
      <c r="AC1832" s="1044">
        <f t="shared" ref="AC1832:AI1832" si="832">H$20</f>
        <v>2019</v>
      </c>
      <c r="AD1832" s="1044">
        <f t="shared" si="832"/>
        <v>2020</v>
      </c>
      <c r="AE1832" s="1044">
        <f t="shared" si="832"/>
        <v>2021</v>
      </c>
      <c r="AF1832" s="1044">
        <f t="shared" si="832"/>
        <v>2022</v>
      </c>
      <c r="AG1832" s="1044">
        <f t="shared" si="832"/>
        <v>2023</v>
      </c>
      <c r="AH1832" s="1044">
        <f t="shared" si="832"/>
        <v>2024</v>
      </c>
      <c r="AI1832" s="1044">
        <f t="shared" si="832"/>
        <v>2025</v>
      </c>
      <c r="AJ1832" s="2"/>
      <c r="AK1832" s="2"/>
      <c r="AL1832" s="343"/>
    </row>
    <row r="1833" spans="1:38" ht="13" thickBot="1" x14ac:dyDescent="0.3">
      <c r="A1833" s="2"/>
      <c r="B1833" s="19"/>
      <c r="C1833" s="19"/>
      <c r="D1833" s="175" t="s">
        <v>8</v>
      </c>
      <c r="E1833" s="2655" t="str">
        <f>I1825</f>
        <v/>
      </c>
      <c r="F1833" s="2655"/>
      <c r="G1833" s="91" t="str">
        <f>IF(INDEX(CNTR_SubInstListIsProdBM,$C1825),INDEX(CNTR_SubInstListHALUnit,$C1825),EUconst_Tons)</f>
        <v>ton</v>
      </c>
      <c r="H1833" s="921"/>
      <c r="I1833" s="985"/>
      <c r="J1833" s="988"/>
      <c r="K1833" s="921"/>
      <c r="L1833" s="921"/>
      <c r="M1833" s="921"/>
      <c r="N1833" s="1124"/>
      <c r="O1833" s="15"/>
      <c r="P1833" s="1362"/>
      <c r="Q1833" s="2"/>
      <c r="R1833" s="2"/>
      <c r="S1833" s="343" t="s">
        <v>1874</v>
      </c>
      <c r="T1833" s="1762" t="b">
        <f t="shared" ref="T1833:Z1833" si="833">AND($I1825&lt;&gt;"",H1832&lt;CNTR_ReportingYear,H1832&gt;=$V1825-1)</f>
        <v>0</v>
      </c>
      <c r="U1833" s="1763" t="b">
        <f t="shared" si="833"/>
        <v>0</v>
      </c>
      <c r="V1833" s="1763" t="b">
        <f t="shared" si="833"/>
        <v>0</v>
      </c>
      <c r="W1833" s="1763" t="b">
        <f t="shared" si="833"/>
        <v>0</v>
      </c>
      <c r="X1833" s="1763" t="b">
        <f t="shared" si="833"/>
        <v>0</v>
      </c>
      <c r="Y1833" s="1763" t="b">
        <f t="shared" si="833"/>
        <v>0</v>
      </c>
      <c r="Z1833" s="1764" t="b">
        <f t="shared" si="833"/>
        <v>0</v>
      </c>
      <c r="AA1833" s="343"/>
      <c r="AB1833" s="672" t="s">
        <v>782</v>
      </c>
      <c r="AC1833" s="1755" t="b">
        <f t="shared" ref="AC1833:AI1833" si="834">IF(CNTR_ExistSubInstEntries,OR($I1825="",$R1837,H1832&gt;=CNTR_ReportingYear,AC1832&lt;$V1825-1),FALSE)</f>
        <v>0</v>
      </c>
      <c r="AD1833" s="1042" t="b">
        <f t="shared" si="834"/>
        <v>0</v>
      </c>
      <c r="AE1833" s="1042" t="b">
        <f t="shared" si="834"/>
        <v>0</v>
      </c>
      <c r="AF1833" s="1042" t="b">
        <f t="shared" si="834"/>
        <v>0</v>
      </c>
      <c r="AG1833" s="1042" t="b">
        <f t="shared" si="834"/>
        <v>0</v>
      </c>
      <c r="AH1833" s="1042" t="b">
        <f t="shared" si="834"/>
        <v>0</v>
      </c>
      <c r="AI1833" s="1043" t="b">
        <f t="shared" si="834"/>
        <v>0</v>
      </c>
      <c r="AJ1833" s="553" t="s">
        <v>2248</v>
      </c>
      <c r="AK1833" s="663" t="str">
        <f>IF(AND(CNTR_ExistSubInstEntries,COUNTIFS(AC1833:AI1833,FALSE,H1833:N1833,"")&gt;0),EUconst_Error&amp;"BM"&amp;$Q1825,"")</f>
        <v/>
      </c>
      <c r="AL1833" s="2"/>
    </row>
    <row r="1834" spans="1:38" ht="13" customHeight="1" thickBot="1" x14ac:dyDescent="0.3">
      <c r="A1834" s="2"/>
      <c r="B1834" s="19"/>
      <c r="C1834" s="19"/>
      <c r="D1834" s="175" t="s">
        <v>9</v>
      </c>
      <c r="E1834" s="2655" t="str">
        <f>Translations!$B$518</f>
        <v>Från blad ”H_SpecialBM”:</v>
      </c>
      <c r="F1834" s="2655"/>
      <c r="G1834" s="91" t="str">
        <f>G1833</f>
        <v>ton</v>
      </c>
      <c r="H1834" s="922" t="str">
        <f>IF(OR($I1825="",H1832&gt;=CNTR_ReportingYear),"",IF($R1837,SUMIF(H_SpecialBM!$Q$9:$Q$414,$Q1834,H_SpecialBM!H$9:H$414),""))</f>
        <v/>
      </c>
      <c r="I1834" s="986" t="str">
        <f>IF(OR($I1825="",I1832&gt;=CNTR_ReportingYear),"",IF($R1837,SUMIF(H_SpecialBM!$Q$9:$Q$414,$Q1834,H_SpecialBM!I$9:I$414),""))</f>
        <v/>
      </c>
      <c r="J1834" s="989" t="str">
        <f>IF(OR($I1825="",J1832&gt;=CNTR_ReportingYear),"",IF($R1837,SUMIF(H_SpecialBM!$Q$9:$Q$414,$Q1834,H_SpecialBM!J$9:J$414),""))</f>
        <v/>
      </c>
      <c r="K1834" s="922" t="str">
        <f>IF(OR($I1825="",K1832&gt;=CNTR_ReportingYear),"",IF($R1837,SUMIF(H_SpecialBM!$Q$9:$Q$414,$Q1834,H_SpecialBM!K$9:K$414),""))</f>
        <v/>
      </c>
      <c r="L1834" s="922" t="str">
        <f>IF(OR($I1825="",L1832&gt;=CNTR_ReportingYear),"",IF($R1837,SUMIF(H_SpecialBM!$Q$9:$Q$414,$Q1834,H_SpecialBM!L$9:L$414),""))</f>
        <v/>
      </c>
      <c r="M1834" s="922" t="str">
        <f>IF(OR($I1825="",M1832&gt;=CNTR_ReportingYear),"",IF($R1837,SUMIF(H_SpecialBM!$Q$9:$Q$414,$Q1834,H_SpecialBM!M$9:M$414),""))</f>
        <v/>
      </c>
      <c r="N1834" s="1125" t="str">
        <f>IF(OR($I1825="",N1832&gt;=CNTR_ReportingYear),"",IF($R1837,SUMIF(H_SpecialBM!$Q$9:$Q$414,$Q1834,H_SpecialBM!N$9:N$414),""))</f>
        <v/>
      </c>
      <c r="O1834" s="15"/>
      <c r="P1834" s="15"/>
      <c r="Q1834" s="165" t="str">
        <f>EUconst_CNTR_HALspecial&amp;I1825</f>
        <v>HALspecial_</v>
      </c>
      <c r="R1834" s="2"/>
      <c r="S1834" s="2"/>
      <c r="T1834" s="2"/>
      <c r="U1834" s="2"/>
      <c r="V1834" s="2"/>
      <c r="W1834" s="2"/>
      <c r="X1834" s="2"/>
      <c r="Y1834" s="2"/>
      <c r="Z1834" s="2"/>
      <c r="AA1834" s="2"/>
      <c r="AB1834" s="672" t="s">
        <v>782</v>
      </c>
      <c r="AC1834" s="1755" t="b">
        <f t="shared" ref="AC1834:AI1834" si="835">AND(CNTR_HasEntries_A_I,OR($R1837=FALSE,H1832&gt;=CNTR_ReportingYear))</f>
        <v>0</v>
      </c>
      <c r="AD1834" s="1042" t="b">
        <f t="shared" si="835"/>
        <v>0</v>
      </c>
      <c r="AE1834" s="1042" t="b">
        <f t="shared" si="835"/>
        <v>0</v>
      </c>
      <c r="AF1834" s="1042" t="b">
        <f t="shared" si="835"/>
        <v>0</v>
      </c>
      <c r="AG1834" s="1042" t="b">
        <f t="shared" si="835"/>
        <v>0</v>
      </c>
      <c r="AH1834" s="1042" t="b">
        <f t="shared" si="835"/>
        <v>0</v>
      </c>
      <c r="AI1834" s="1043" t="b">
        <f t="shared" si="835"/>
        <v>0</v>
      </c>
      <c r="AJ1834" s="766"/>
      <c r="AK1834" s="766"/>
      <c r="AL1834" s="343"/>
    </row>
    <row r="1835" spans="1:38" ht="13" customHeight="1" x14ac:dyDescent="0.25">
      <c r="A1835" s="2"/>
      <c r="B1835" s="19"/>
      <c r="C1835" s="19"/>
      <c r="D1835" s="175" t="s">
        <v>10</v>
      </c>
      <c r="E1835" s="2655" t="str">
        <f>Translations!$B$519</f>
        <v>Värden som används för beräkning:</v>
      </c>
      <c r="F1835" s="2655"/>
      <c r="G1835" s="91" t="str">
        <f>G1834</f>
        <v>ton</v>
      </c>
      <c r="H1835" s="922" t="str">
        <f t="shared" ref="H1835:N1835" si="836">IF(OR($I1825="",H1832&gt;=CNTR_ReportingYear),"",IF($R1837=TRUE,IF(ISNUMBER(H1834),H1834,0),IF(AND(H1832&gt;=$V1825-1,ISNUMBER(H1833)),H1833,0)))</f>
        <v/>
      </c>
      <c r="I1835" s="986" t="str">
        <f t="shared" si="836"/>
        <v/>
      </c>
      <c r="J1835" s="989" t="str">
        <f t="shared" si="836"/>
        <v/>
      </c>
      <c r="K1835" s="922" t="str">
        <f t="shared" si="836"/>
        <v/>
      </c>
      <c r="L1835" s="922" t="str">
        <f t="shared" si="836"/>
        <v/>
      </c>
      <c r="M1835" s="922" t="str">
        <f t="shared" si="836"/>
        <v/>
      </c>
      <c r="N1835" s="1125" t="str">
        <f t="shared" si="836"/>
        <v/>
      </c>
      <c r="O1835" s="15"/>
      <c r="P1835" s="918"/>
      <c r="Q1835" s="165" t="str">
        <f>EUconst_CNTR_HAL&amp;I1825</f>
        <v>HAL_</v>
      </c>
      <c r="R1835" s="2"/>
      <c r="S1835" s="2"/>
      <c r="T1835" s="2"/>
      <c r="U1835" s="2"/>
      <c r="V1835" s="2"/>
      <c r="W1835" s="2"/>
      <c r="X1835" s="2"/>
      <c r="Y1835" s="2"/>
      <c r="Z1835" s="2"/>
      <c r="AA1835" s="2"/>
      <c r="AB1835" s="2"/>
      <c r="AC1835" s="2"/>
      <c r="AD1835" s="2"/>
      <c r="AE1835" s="2"/>
      <c r="AF1835" s="2"/>
      <c r="AG1835" s="2"/>
      <c r="AH1835" s="2"/>
      <c r="AI1835" s="2"/>
      <c r="AJ1835" s="553" t="s">
        <v>2242</v>
      </c>
      <c r="AK1835" s="108" t="str">
        <f>IF(COUNTIFS(H1832:N1832,"&lt;"&amp;YEAR(SUM(T1825)),H1835:N1835,"&gt;"&amp;0)&gt;0,EUconst_Error&amp;"BM"&amp;Q1825,"")</f>
        <v/>
      </c>
      <c r="AL1835" s="343"/>
    </row>
    <row r="1836" spans="1:38" ht="5.15" customHeight="1" x14ac:dyDescent="0.25">
      <c r="A1836" s="2"/>
      <c r="B1836" s="178"/>
      <c r="C1836" s="178"/>
      <c r="D1836" s="178"/>
      <c r="E1836" s="178"/>
      <c r="F1836" s="178"/>
      <c r="G1836" s="178"/>
      <c r="H1836" s="178"/>
      <c r="I1836" s="178"/>
      <c r="J1836" s="178"/>
      <c r="K1836" s="178"/>
      <c r="L1836" s="178"/>
      <c r="M1836" s="15"/>
      <c r="N1836" s="15"/>
      <c r="O1836" s="15"/>
      <c r="P1836" s="15"/>
      <c r="Q1836" s="343"/>
      <c r="R1836" s="2"/>
      <c r="S1836" s="343"/>
      <c r="T1836" s="343"/>
      <c r="U1836" s="2"/>
      <c r="V1836" s="2"/>
      <c r="W1836" s="2"/>
      <c r="X1836" s="2"/>
      <c r="Y1836" s="2"/>
      <c r="Z1836" s="2"/>
      <c r="AA1836" s="2"/>
      <c r="AB1836" s="2"/>
      <c r="AC1836" s="2"/>
      <c r="AD1836" s="2"/>
      <c r="AE1836" s="2"/>
      <c r="AF1836" s="2"/>
      <c r="AG1836" s="2"/>
      <c r="AH1836" s="2"/>
      <c r="AI1836" s="2"/>
      <c r="AJ1836" s="2"/>
      <c r="AK1836" s="2"/>
      <c r="AL1836" s="2"/>
    </row>
    <row r="1837" spans="1:38" ht="12.75" customHeight="1" x14ac:dyDescent="0.25">
      <c r="A1837" s="2"/>
      <c r="B1837" s="178"/>
      <c r="C1837" s="178"/>
      <c r="D1837" s="289" t="s">
        <v>23</v>
      </c>
      <c r="E1837" s="1943" t="str">
        <f>Translations!$B$520</f>
        <v>Särskilda rapporteringskrav:</v>
      </c>
      <c r="F1837" s="1943"/>
      <c r="G1837" s="2067"/>
      <c r="H1837" s="2652" t="str">
        <f>IF(I1825="","",HYPERLINK(INDEX(EUconst_BMlistSpecialJumpTable,MATCH(I1825,EUconst_BMlistNames,0)),INDEX(EUconst_BMlistSpecialReporting,MATCH(I1825,EUconst_BMlistNames,0))))</f>
        <v/>
      </c>
      <c r="I1837" s="2656"/>
      <c r="J1837" s="2656"/>
      <c r="K1837" s="2656"/>
      <c r="L1837" s="2656"/>
      <c r="M1837" s="2656"/>
      <c r="N1837" s="2657"/>
      <c r="O1837" s="15"/>
      <c r="P1837" s="15"/>
      <c r="Q1837" s="553" t="s">
        <v>133</v>
      </c>
      <c r="R1837" s="108" t="str">
        <f>IF(I1825="","",IF(AND(INDEX(EUconst_BMlistSpecialJumpTable,MATCH(I1825,EUconst_BMlistNames,0))&lt;&gt;"",MATCH(I1825,EUconst_BMlistNames,0)&lt;&gt;47),TRUE,FALSE))</f>
        <v/>
      </c>
      <c r="S1837" s="343"/>
      <c r="T1837" s="343"/>
      <c r="U1837" s="2"/>
      <c r="V1837" s="2"/>
      <c r="W1837" s="2"/>
      <c r="X1837" s="2"/>
      <c r="Y1837" s="2"/>
      <c r="Z1837" s="2"/>
      <c r="AA1837" s="2"/>
      <c r="AB1837" s="2"/>
      <c r="AC1837" s="2"/>
      <c r="AD1837" s="2"/>
      <c r="AE1837" s="2"/>
      <c r="AF1837" s="2"/>
      <c r="AG1837" s="2"/>
      <c r="AH1837" s="2"/>
      <c r="AI1837" s="2"/>
      <c r="AJ1837" s="2"/>
      <c r="AK1837" s="2"/>
      <c r="AL1837" s="2"/>
    </row>
    <row r="1838" spans="1:38" ht="12.75" customHeight="1" x14ac:dyDescent="0.25">
      <c r="A1838" s="2"/>
      <c r="B1838" s="178"/>
      <c r="C1838" s="178"/>
      <c r="D1838" s="15"/>
      <c r="E1838" s="2061" t="str">
        <f>Translations!$B$521</f>
        <v>Särskild information måste ges när det gäller vissa produktriktmärken (t.ex. CWT-värden). Ett automatiskt meddelande kommer att visas här, i relevanta fall.</v>
      </c>
      <c r="F1838" s="1963"/>
      <c r="G1838" s="1963"/>
      <c r="H1838" s="1963"/>
      <c r="I1838" s="1963"/>
      <c r="J1838" s="1963"/>
      <c r="K1838" s="1963"/>
      <c r="L1838" s="1963"/>
      <c r="M1838" s="1963"/>
      <c r="N1838" s="1963"/>
      <c r="O1838" s="15"/>
      <c r="P1838" s="15"/>
      <c r="Q1838" s="343"/>
      <c r="R1838" s="2"/>
      <c r="S1838" s="343"/>
      <c r="T1838" s="343"/>
      <c r="U1838" s="2"/>
      <c r="V1838" s="2"/>
      <c r="W1838" s="2"/>
      <c r="X1838" s="2"/>
      <c r="Y1838" s="2"/>
      <c r="Z1838" s="2"/>
      <c r="AA1838" s="2"/>
      <c r="AB1838" s="2"/>
      <c r="AC1838" s="2"/>
      <c r="AD1838" s="2"/>
      <c r="AE1838" s="2"/>
      <c r="AF1838" s="2"/>
      <c r="AG1838" s="2"/>
      <c r="AH1838" s="2"/>
      <c r="AI1838" s="2"/>
      <c r="AJ1838" s="2"/>
      <c r="AK1838" s="2"/>
      <c r="AL1838" s="2"/>
    </row>
    <row r="1839" spans="1:38" ht="5.15" customHeight="1" x14ac:dyDescent="0.25">
      <c r="A1839" s="2"/>
      <c r="B1839" s="178"/>
      <c r="C1839" s="178"/>
      <c r="D1839" s="15"/>
      <c r="E1839" s="15"/>
      <c r="F1839" s="15"/>
      <c r="G1839" s="15"/>
      <c r="H1839" s="15"/>
      <c r="I1839" s="15"/>
      <c r="J1839" s="15"/>
      <c r="K1839" s="15"/>
      <c r="L1839" s="15"/>
      <c r="M1839" s="15"/>
      <c r="N1839" s="15"/>
      <c r="O1839" s="15"/>
      <c r="P1839" s="15"/>
      <c r="Q1839" s="343"/>
      <c r="R1839" s="2"/>
      <c r="S1839" s="343"/>
      <c r="T1839" s="343"/>
      <c r="U1839" s="2"/>
      <c r="V1839" s="2"/>
      <c r="W1839" s="2"/>
      <c r="X1839" s="2"/>
      <c r="Y1839" s="2"/>
      <c r="Z1839" s="343"/>
      <c r="AA1839" s="2"/>
      <c r="AB1839" s="2"/>
      <c r="AC1839" s="2"/>
      <c r="AD1839" s="2"/>
      <c r="AE1839" s="2"/>
      <c r="AF1839" s="2"/>
      <c r="AG1839" s="2"/>
      <c r="AH1839" s="2"/>
      <c r="AI1839" s="2"/>
      <c r="AJ1839" s="2"/>
      <c r="AK1839" s="2"/>
      <c r="AL1839" s="343"/>
    </row>
    <row r="1840" spans="1:38" ht="12.75" customHeight="1" x14ac:dyDescent="0.25">
      <c r="A1840" s="2"/>
      <c r="B1840" s="178"/>
      <c r="C1840" s="178"/>
      <c r="D1840" s="13" t="s">
        <v>955</v>
      </c>
      <c r="E1840" s="1943" t="str">
        <f>Translations!$B$1467</f>
        <v>Eventuella justeringar av verksamhetsnivå</v>
      </c>
      <c r="F1840" s="1963"/>
      <c r="G1840" s="1963"/>
      <c r="H1840" s="1963"/>
      <c r="I1840" s="1963"/>
      <c r="J1840" s="1963"/>
      <c r="K1840" s="1963"/>
      <c r="L1840" s="1963"/>
      <c r="M1840" s="1963"/>
      <c r="N1840" s="1963"/>
      <c r="O1840" s="15"/>
      <c r="P1840" s="15"/>
      <c r="Q1840" s="343"/>
      <c r="R1840" s="2"/>
      <c r="S1840" s="343"/>
      <c r="T1840" s="343"/>
      <c r="U1840" s="2"/>
      <c r="V1840" s="2"/>
      <c r="W1840" s="2"/>
      <c r="X1840" s="2"/>
      <c r="Y1840" s="2"/>
      <c r="Z1840" s="343"/>
      <c r="AA1840" s="2"/>
      <c r="AB1840" s="2"/>
      <c r="AC1840" s="2"/>
      <c r="AD1840" s="2"/>
      <c r="AE1840" s="2"/>
      <c r="AF1840" s="2"/>
      <c r="AG1840" s="2"/>
      <c r="AH1840" s="2"/>
      <c r="AI1840" s="2"/>
      <c r="AJ1840" s="2"/>
      <c r="AK1840" s="2"/>
      <c r="AL1840" s="343"/>
    </row>
    <row r="1841" spans="1:38" ht="12.75" customHeight="1" x14ac:dyDescent="0.25">
      <c r="A1841" s="2"/>
      <c r="B1841" s="178"/>
      <c r="C1841" s="178"/>
      <c r="D1841" s="15"/>
      <c r="E1841" s="2061" t="str">
        <f>Translations!$B$1468</f>
        <v>Den historiska verksamhetsnivån (HAL) kommer att bestämmas automatiskt baserat på uppgifter under punkt a) ovan och uppgifter i blad B+C_SubInstallations. För nya delanläggningar kommer HAL att visas under v) baserat på det första fullständiga verksamhetsåret.</v>
      </c>
      <c r="F1841" s="1963"/>
      <c r="G1841" s="1963"/>
      <c r="H1841" s="1963"/>
      <c r="I1841" s="1963"/>
      <c r="J1841" s="1963"/>
      <c r="K1841" s="1963"/>
      <c r="L1841" s="1963"/>
      <c r="M1841" s="1963"/>
      <c r="N1841" s="1963"/>
      <c r="O1841" s="15"/>
      <c r="P1841" s="15"/>
      <c r="Q1841" s="343"/>
      <c r="R1841" s="2"/>
      <c r="S1841" s="343"/>
      <c r="T1841" s="343"/>
      <c r="U1841" s="343"/>
      <c r="V1841" s="2"/>
      <c r="W1841" s="2"/>
      <c r="X1841" s="2"/>
      <c r="Y1841" s="2"/>
      <c r="Z1841" s="2"/>
      <c r="AA1841" s="2"/>
      <c r="AB1841" s="2"/>
      <c r="AC1841" s="2"/>
      <c r="AD1841" s="2"/>
      <c r="AE1841" s="2"/>
      <c r="AF1841" s="2"/>
      <c r="AG1841" s="2"/>
      <c r="AH1841" s="2"/>
      <c r="AI1841" s="2"/>
      <c r="AJ1841" s="2"/>
      <c r="AK1841" s="2"/>
      <c r="AL1841" s="2"/>
    </row>
    <row r="1842" spans="1:38" ht="25.5" customHeight="1" x14ac:dyDescent="0.25">
      <c r="A1842" s="2"/>
      <c r="B1842" s="178"/>
      <c r="C1842" s="178"/>
      <c r="D1842" s="15"/>
      <c r="E1842" s="2061" t="str">
        <f>Translations!$B$1469</f>
        <v>Baserat på värdena för HAL och värdena under punkt a) ovan bestäms de genomsnittliga verksamhetsnivåerna här. Tilldelningen kommer endast att ändras om alla följande tröskelvärden i artikel 5 i verksamhetsändringsförordningen överskrids:</v>
      </c>
      <c r="F1842" s="1963"/>
      <c r="G1842" s="1963"/>
      <c r="H1842" s="1963"/>
      <c r="I1842" s="1963"/>
      <c r="J1842" s="1963"/>
      <c r="K1842" s="1963"/>
      <c r="L1842" s="1963"/>
      <c r="M1842" s="1963"/>
      <c r="N1842" s="1963"/>
      <c r="O1842" s="15"/>
      <c r="P1842" s="15"/>
      <c r="Q1842" s="343"/>
      <c r="R1842" s="2"/>
      <c r="S1842" s="343"/>
      <c r="T1842" s="343"/>
      <c r="U1842" s="343"/>
      <c r="V1842" s="2"/>
      <c r="W1842" s="2"/>
      <c r="X1842" s="2"/>
      <c r="Y1842" s="2"/>
      <c r="Z1842" s="2"/>
      <c r="AA1842" s="2"/>
      <c r="AB1842" s="2"/>
      <c r="AC1842" s="2"/>
      <c r="AD1842" s="2"/>
      <c r="AE1842" s="2"/>
      <c r="AF1842" s="2"/>
      <c r="AG1842" s="2"/>
      <c r="AH1842" s="2"/>
      <c r="AI1842" s="2"/>
      <c r="AJ1842" s="2"/>
      <c r="AK1842" s="2"/>
      <c r="AL1842" s="2"/>
    </row>
    <row r="1843" spans="1:38" ht="12.75" customHeight="1" x14ac:dyDescent="0.25">
      <c r="A1843" s="2"/>
      <c r="B1843" s="178"/>
      <c r="C1843" s="178"/>
      <c r="D1843" s="15"/>
      <c r="E1843" s="1102" t="s">
        <v>1112</v>
      </c>
      <c r="F1843" s="2095" t="str">
        <f>Translations!$B$1470</f>
        <v>De relativa tröskelvärdena (15 % och 5 % för efterföljande ändringar) för de genomsnittliga verksamhetsnivåerna jämfört med HAL</v>
      </c>
      <c r="G1843" s="2159"/>
      <c r="H1843" s="2159"/>
      <c r="I1843" s="2159"/>
      <c r="J1843" s="2159"/>
      <c r="K1843" s="2159"/>
      <c r="L1843" s="2159"/>
      <c r="M1843" s="2159"/>
      <c r="N1843" s="2159"/>
      <c r="O1843" s="15"/>
      <c r="P1843" s="15"/>
      <c r="Q1843" s="343"/>
      <c r="R1843" s="2"/>
      <c r="S1843" s="343"/>
      <c r="T1843" s="343"/>
      <c r="U1843" s="343"/>
      <c r="V1843" s="2"/>
      <c r="W1843" s="2"/>
      <c r="X1843" s="2"/>
      <c r="Y1843" s="2"/>
      <c r="Z1843" s="2"/>
      <c r="AA1843" s="2"/>
      <c r="AB1843" s="2"/>
      <c r="AC1843" s="2"/>
      <c r="AD1843" s="2"/>
      <c r="AE1843" s="2"/>
      <c r="AF1843" s="2"/>
      <c r="AG1843" s="2"/>
      <c r="AH1843" s="2"/>
      <c r="AI1843" s="2"/>
      <c r="AJ1843" s="2"/>
      <c r="AK1843" s="2"/>
      <c r="AL1843" s="2"/>
    </row>
    <row r="1844" spans="1:38" ht="12.75" customHeight="1" thickBot="1" x14ac:dyDescent="0.3">
      <c r="A1844" s="2"/>
      <c r="B1844" s="178"/>
      <c r="C1844" s="178"/>
      <c r="D1844" s="15"/>
      <c r="E1844" s="1102" t="s">
        <v>1112</v>
      </c>
      <c r="F1844" s="2095" t="str">
        <f>Translations!$B$1471</f>
        <v>Det absoluta tröskelvärdet, dvs. en ändring skulle leda till en ändring av den preliminära tilldelningen på minst 100 utsläppsrätter</v>
      </c>
      <c r="G1844" s="2159"/>
      <c r="H1844" s="2159"/>
      <c r="I1844" s="2159"/>
      <c r="J1844" s="2159"/>
      <c r="K1844" s="2159"/>
      <c r="L1844" s="2159"/>
      <c r="M1844" s="2159"/>
      <c r="N1844" s="2159"/>
      <c r="O1844" s="15"/>
      <c r="P1844" s="15"/>
      <c r="Q1844" s="343"/>
      <c r="R1844" s="2"/>
      <c r="S1844" s="343"/>
      <c r="T1844" s="343"/>
      <c r="U1844" s="343"/>
      <c r="V1844" s="2"/>
      <c r="W1844" s="2"/>
      <c r="X1844" s="2"/>
      <c r="Y1844" s="2"/>
      <c r="Z1844" s="2"/>
      <c r="AA1844" s="2"/>
      <c r="AB1844" s="2"/>
      <c r="AC1844" s="2"/>
      <c r="AD1844" s="2"/>
      <c r="AE1844" s="2"/>
      <c r="AF1844" s="2"/>
      <c r="AG1844" s="2"/>
      <c r="AH1844" s="2"/>
      <c r="AI1844" s="2"/>
      <c r="AJ1844" s="2"/>
      <c r="AK1844" s="2"/>
      <c r="AL1844" s="2"/>
    </row>
    <row r="1845" spans="1:38" ht="5.15" customHeight="1" thickBot="1" x14ac:dyDescent="0.3">
      <c r="A1845" s="2"/>
      <c r="B1845" s="178"/>
      <c r="C1845" s="178"/>
      <c r="D1845" s="1238"/>
      <c r="E1845" s="1278"/>
      <c r="F1845" s="1239"/>
      <c r="G1845" s="1279"/>
      <c r="H1845" s="1279"/>
      <c r="I1845" s="1279"/>
      <c r="J1845" s="1279"/>
      <c r="K1845" s="1279"/>
      <c r="L1845" s="1279"/>
      <c r="M1845" s="1279"/>
      <c r="N1845" s="1280"/>
      <c r="O1845" s="15"/>
      <c r="P1845" s="15"/>
      <c r="Q1845" s="343"/>
      <c r="R1845" s="2"/>
      <c r="S1845" s="343"/>
      <c r="T1845" s="343"/>
      <c r="U1845" s="343"/>
      <c r="V1845" s="2"/>
      <c r="W1845" s="2"/>
      <c r="X1845" s="2"/>
      <c r="Y1845" s="2"/>
      <c r="Z1845" s="2"/>
      <c r="AA1845" s="2"/>
      <c r="AB1845" s="2"/>
      <c r="AC1845" s="2"/>
      <c r="AD1845" s="2"/>
      <c r="AE1845" s="2"/>
      <c r="AF1845" s="2"/>
      <c r="AG1845" s="2"/>
      <c r="AH1845" s="2"/>
      <c r="AI1845" s="2"/>
      <c r="AJ1845" s="2"/>
      <c r="AK1845" s="2"/>
      <c r="AL1845" s="2"/>
    </row>
    <row r="1846" spans="1:38" ht="12.75" customHeight="1" x14ac:dyDescent="0.25">
      <c r="A1846" s="2"/>
      <c r="B1846" s="178"/>
      <c r="C1846" s="178"/>
      <c r="D1846" s="1290"/>
      <c r="E1846" s="1243" t="str">
        <f>Translations!$B$1340</f>
        <v>Justeringar</v>
      </c>
      <c r="F1846" s="1244"/>
      <c r="G1846" s="1244"/>
      <c r="H1846" s="1228" t="str">
        <f>EUconst_Unit</f>
        <v>Enhet</v>
      </c>
      <c r="I1846" s="1229" t="str">
        <f>Translations!$B$1472</f>
        <v>HAL</v>
      </c>
      <c r="J1846" s="1268">
        <f>J$3042</f>
        <v>2021</v>
      </c>
      <c r="K1846" s="1230">
        <f>K$3042</f>
        <v>2022</v>
      </c>
      <c r="L1846" s="1230">
        <f>L$3042</f>
        <v>2023</v>
      </c>
      <c r="M1846" s="1230">
        <f>M$3042</f>
        <v>2024</v>
      </c>
      <c r="N1846" s="1258">
        <f>N$3042</f>
        <v>2025</v>
      </c>
      <c r="O1846" s="15"/>
      <c r="P1846" s="15"/>
      <c r="Q1846" s="343"/>
      <c r="R1846" s="2"/>
      <c r="S1846" s="2"/>
      <c r="T1846" s="2"/>
      <c r="U1846" s="772"/>
      <c r="V1846" s="1077">
        <f>J1846</f>
        <v>2021</v>
      </c>
      <c r="W1846" s="1077">
        <f>K1846</f>
        <v>2022</v>
      </c>
      <c r="X1846" s="1077">
        <f>L1846</f>
        <v>2023</v>
      </c>
      <c r="Y1846" s="1077">
        <f>M1846</f>
        <v>2024</v>
      </c>
      <c r="Z1846" s="1078">
        <f>N1846</f>
        <v>2025</v>
      </c>
      <c r="AA1846" s="2"/>
      <c r="AB1846" s="2"/>
      <c r="AC1846" s="2"/>
      <c r="AD1846" s="2"/>
      <c r="AE1846" s="2"/>
      <c r="AF1846" s="2"/>
      <c r="AG1846" s="2"/>
      <c r="AH1846" s="2"/>
      <c r="AI1846" s="2"/>
      <c r="AJ1846" s="2"/>
      <c r="AK1846" s="2"/>
      <c r="AL1846" s="2"/>
    </row>
    <row r="1847" spans="1:38" ht="12.75" customHeight="1" x14ac:dyDescent="0.25">
      <c r="A1847" s="2"/>
      <c r="B1847" s="178"/>
      <c r="C1847" s="178"/>
      <c r="D1847" s="1246" t="s">
        <v>8</v>
      </c>
      <c r="E1847" s="1231" t="str">
        <f>Translations!$B$1473</f>
        <v>Genomsnittlig årlig verksamhetsnivå</v>
      </c>
      <c r="F1847" s="1231"/>
      <c r="G1847" s="1231"/>
      <c r="H1847" s="917" t="str">
        <f>IF(INDEX(CNTR_SubInstListIsProdBM,$C1825),INDEX(CNTR_SubInstListHALUnit,$C1825),EUconst_Tons)</f>
        <v>ton</v>
      </c>
      <c r="I1847" s="990" t="str">
        <f>IF(V1825&gt;($J$3042-3),EUconst_NA,INDEX('B+C_SubInstallations'!$I:$I,MATCH(Q1847,'B+C_SubInstallations'!$T:$T,0)))</f>
        <v/>
      </c>
      <c r="J1847" s="993" t="str">
        <f>IF(AND(V1847&gt;=3,CNTR_ReportingYear&gt;J1846-1),AVERAGE(H1835:I1835),"")</f>
        <v/>
      </c>
      <c r="K1847" s="920" t="str">
        <f>IF(AND(W1847&gt;=3,CNTR_ReportingYear&gt;K1846-1),AVERAGE(I1835:J1835),"")</f>
        <v/>
      </c>
      <c r="L1847" s="920" t="str">
        <f>IF(AND(X1847&gt;=3,CNTR_ReportingYear&gt;L1846-1),AVERAGE(J1835:K1835),"")</f>
        <v/>
      </c>
      <c r="M1847" s="920" t="str">
        <f>IF(AND(Y1847&gt;=3,CNTR_ReportingYear&gt;M1846-1),AVERAGE(K1835:L1835),"")</f>
        <v/>
      </c>
      <c r="N1847" s="1218" t="str">
        <f>IF(AND(Z1847&gt;=3,CNTR_ReportingYear&gt;N1846-1),AVERAGE(L1835:M1835),"")</f>
        <v/>
      </c>
      <c r="O1847" s="15"/>
      <c r="P1847" s="15"/>
      <c r="Q1847" s="672" t="str">
        <f>EUconst_CNTR_HALinitial&amp;I1825</f>
        <v>HALini_</v>
      </c>
      <c r="R1847" s="2"/>
      <c r="S1847" s="2"/>
      <c r="T1847" s="2"/>
      <c r="U1847" s="1088" t="s">
        <v>1850</v>
      </c>
      <c r="V1847" s="663">
        <f>IF($I1825="",0,V1846-$V1825+1)</f>
        <v>0</v>
      </c>
      <c r="W1847" s="663">
        <f>IF($I1825="",0,W1846-$V1825+1)</f>
        <v>0</v>
      </c>
      <c r="X1847" s="663">
        <f>IF($I1825="",0,X1846-$V1825+1)</f>
        <v>0</v>
      </c>
      <c r="Y1847" s="663">
        <f>IF($I1825="",0,Y1846-$V1825+1)</f>
        <v>0</v>
      </c>
      <c r="Z1847" s="1080">
        <f>IF($I1825="",0,Z1846-$V1825+1)</f>
        <v>0</v>
      </c>
      <c r="AA1847" s="2"/>
      <c r="AB1847" s="2"/>
      <c r="AC1847" s="2"/>
      <c r="AD1847" s="2"/>
      <c r="AE1847" s="2"/>
      <c r="AF1847" s="2"/>
      <c r="AG1847" s="2"/>
      <c r="AH1847" s="2"/>
      <c r="AI1847" s="2"/>
      <c r="AJ1847" s="2"/>
      <c r="AK1847" s="2"/>
      <c r="AL1847" s="2"/>
    </row>
    <row r="1848" spans="1:38" ht="12.75" hidden="1" customHeight="1" x14ac:dyDescent="0.25">
      <c r="A1848" s="343" t="s">
        <v>346</v>
      </c>
      <c r="B1848" s="178"/>
      <c r="C1848" s="178"/>
      <c r="D1848" s="1242"/>
      <c r="E1848" s="1281" t="s">
        <v>1848</v>
      </c>
      <c r="F1848" s="1281"/>
      <c r="G1848" s="1281"/>
      <c r="H1848" s="1283"/>
      <c r="I1848" s="1284"/>
      <c r="J1848" s="991" t="str">
        <f>IF(J1847="","",IF($I1850=0,IF(J1847=0,0%,100%),J1847/$I1850-1))</f>
        <v/>
      </c>
      <c r="K1848" s="960" t="str">
        <f>IF(K1847="","",IF($I1850=0,IF(K1847=0,0%,100%),K1847/$I1850-1))</f>
        <v/>
      </c>
      <c r="L1848" s="960" t="str">
        <f>IF(L1847="","",IF($I1850=0,IF(L1847=0,0%,100%),L1847/$I1850-1))</f>
        <v/>
      </c>
      <c r="M1848" s="960" t="str">
        <f>IF(M1847="","",IF($I1850=0,IF(M1847=0,0%,100%),M1847/$I1850-1))</f>
        <v/>
      </c>
      <c r="N1848" s="1219" t="str">
        <f>IF(N1847="","",IF($I1850=0,IF(N1847=0,0%,100%),N1847/$I1850-1))</f>
        <v/>
      </c>
      <c r="O1848" s="15"/>
      <c r="P1848" s="15"/>
      <c r="Q1848" s="165" t="str">
        <f>EUconst_CNTR_RelThreshold &amp; Q1850</f>
        <v>RelThresh_HALprelim_</v>
      </c>
      <c r="R1848" s="2"/>
      <c r="S1848" s="2"/>
      <c r="T1848" s="2"/>
      <c r="U1848" s="1088" t="s">
        <v>1855</v>
      </c>
      <c r="V1848" s="603" t="str">
        <f>IF(J1847="","",ABS(J1848)&gt;15%)</f>
        <v/>
      </c>
      <c r="W1848" s="603" t="str">
        <f>IF(K1847="","",ABS(K1848)&gt;15%)</f>
        <v/>
      </c>
      <c r="X1848" s="603" t="str">
        <f>IF(L1847="","",ABS(L1848)&gt;15%)</f>
        <v/>
      </c>
      <c r="Y1848" s="603" t="str">
        <f>IF(M1847="","",ABS(M1848)&gt;15%)</f>
        <v/>
      </c>
      <c r="Z1848" s="1756" t="str">
        <f>IF(N1847="","",ABS(N1848)&gt;15%)</f>
        <v/>
      </c>
      <c r="AA1848" s="2"/>
      <c r="AB1848" s="2"/>
      <c r="AC1848" s="2"/>
      <c r="AD1848" s="2"/>
      <c r="AE1848" s="2"/>
      <c r="AF1848" s="2"/>
      <c r="AG1848" s="2"/>
      <c r="AH1848" s="2"/>
      <c r="AI1848" s="2"/>
      <c r="AJ1848" s="2"/>
      <c r="AK1848" s="2"/>
      <c r="AL1848" s="343"/>
    </row>
    <row r="1849" spans="1:38" ht="12.75" customHeight="1" x14ac:dyDescent="0.25">
      <c r="A1849" s="343"/>
      <c r="B1849" s="178"/>
      <c r="C1849" s="178"/>
      <c r="D1849" s="1246" t="s">
        <v>9</v>
      </c>
      <c r="E1849" s="1231" t="str">
        <f>Translations!$B$1474</f>
        <v>Preliminär justering (om relativa tröskelvärden överskrids)</v>
      </c>
      <c r="F1849" s="1231"/>
      <c r="G1849" s="1231"/>
      <c r="H1849" s="1233"/>
      <c r="I1849" s="1235"/>
      <c r="J1849" s="992" t="str">
        <f>IF(J1847="","",IF(V1848=FALSE,0%,IF(V1849,J1848,I1855)))</f>
        <v/>
      </c>
      <c r="K1849" s="937" t="str">
        <f>IF(K1847="","",IF(W1848=FALSE,0%,IF(W1849,K1848,J1855)))</f>
        <v/>
      </c>
      <c r="L1849" s="937" t="str">
        <f>IF(L1847="","",IF(X1848=FALSE,0%,IF(X1849,L1848,K1855)))</f>
        <v/>
      </c>
      <c r="M1849" s="937" t="str">
        <f>IF(M1847="","",IF(Y1848=FALSE,0%,IF(Y1849,M1848,L1855)))</f>
        <v/>
      </c>
      <c r="N1849" s="1220" t="str">
        <f>IF(N1847="","",IF(Z1848=FALSE,0%,IF(Z1849,N1848,M1855)))</f>
        <v/>
      </c>
      <c r="O1849" s="15"/>
      <c r="P1849" s="15"/>
      <c r="Q1849" s="2"/>
      <c r="R1849" s="2"/>
      <c r="S1849" s="2"/>
      <c r="T1849" s="2"/>
      <c r="U1849" s="1088" t="s">
        <v>1856</v>
      </c>
      <c r="V1849" s="603" t="str">
        <f>IF(J1847="","",AND(V1848,IF(SUM(I1855)&lt;0,OR(SUM(J1848)&lt;SUM(I1855)-MOD(SUM(I1855),5%),J1848&gt;=SUM(I1855)+5%-MOD(SUM(I1855),5%)),OR(SUM(J1848)&lt;=SUM(I1855)-MOD(SUM(I1855),5%),SUM(J1848)&gt;SUM(I1855)+5%-MOD(SUM(I1855),5%)))))</f>
        <v/>
      </c>
      <c r="W1849" s="603" t="str">
        <f>IF(K1847="","",AND(W1848,IF(SUM(J1855)&lt;0,OR(SUM(K1848)&lt;SUM(J1855)-MOD(SUM(J1855),5%),K1848&gt;=SUM(J1855)+5%-MOD(SUM(J1855),5%)),OR(SUM(K1848)&lt;=SUM(J1855)-MOD(SUM(J1855),5%),SUM(K1848)&gt;SUM(J1855)+5%-MOD(SUM(J1855),5%)))))</f>
        <v/>
      </c>
      <c r="X1849" s="603" t="str">
        <f>IF(L1847="","",AND(X1848,IF(SUM(K1855)&lt;0,OR(SUM(L1848)&lt;SUM(K1855)-MOD(SUM(K1855),5%),L1848&gt;=SUM(K1855)+5%-MOD(SUM(K1855),5%)),OR(SUM(L1848)&lt;=SUM(K1855)-MOD(SUM(K1855),5%),SUM(L1848)&gt;SUM(K1855)+5%-MOD(SUM(K1855),5%)))))</f>
        <v/>
      </c>
      <c r="Y1849" s="603" t="str">
        <f>IF(M1847="","",AND(Y1848,IF(SUM(L1855)&lt;0,OR(SUM(M1848)&lt;SUM(L1855)-MOD(SUM(L1855),5%),M1848&gt;=SUM(L1855)+5%-MOD(SUM(L1855),5%)),OR(SUM(M1848)&lt;=SUM(L1855)-MOD(SUM(L1855),5%),SUM(M1848)&gt;SUM(L1855)+5%-MOD(SUM(L1855),5%)))))</f>
        <v/>
      </c>
      <c r="Z1849" s="1756" t="str">
        <f>IF(N1847="","",AND(Z1848,IF(SUM(M1855)&lt;0,OR(SUM(N1848)&lt;SUM(M1855)-MOD(SUM(M1855),5%),N1848&gt;=SUM(M1855)+5%-MOD(SUM(M1855),5%)),OR(SUM(N1848)&lt;=SUM(M1855)-MOD(SUM(M1855),5%),SUM(N1848)&gt;SUM(M1855)+5%-MOD(SUM(M1855),5%)))))</f>
        <v/>
      </c>
      <c r="AA1849" s="2"/>
      <c r="AB1849" s="2"/>
      <c r="AC1849" s="2"/>
      <c r="AD1849" s="2"/>
      <c r="AE1849" s="2"/>
      <c r="AF1849" s="2"/>
      <c r="AG1849" s="2"/>
      <c r="AH1849" s="2"/>
      <c r="AI1849" s="2"/>
      <c r="AJ1849" s="2"/>
      <c r="AK1849" s="2"/>
      <c r="AL1849" s="343"/>
    </row>
    <row r="1850" spans="1:38" ht="12.75" hidden="1" customHeight="1" x14ac:dyDescent="0.25">
      <c r="A1850" s="343" t="s">
        <v>346</v>
      </c>
      <c r="B1850" s="178"/>
      <c r="C1850" s="178"/>
      <c r="D1850" s="1242"/>
      <c r="E1850" s="1231" t="s">
        <v>1889</v>
      </c>
      <c r="F1850" s="1231"/>
      <c r="G1850" s="1231"/>
      <c r="H1850" s="917" t="str">
        <f>H1847</f>
        <v>ton</v>
      </c>
      <c r="I1850" s="990" t="str">
        <f>IF(I1825="","",IF(AB1825=FALSE,EUconst_NA,IF(V1825&gt;($J$3042-3),INDEX(H1835:N1835,MATCH(V1825,H1832:N1832,0)),SUM(I1847))))</f>
        <v/>
      </c>
      <c r="J1850" s="993" t="str">
        <f>IF($I1825="","",IF(V1847&lt;2,SUM(J1835),IF(V1847&lt;3,SUM(I1835),IF(V1850="",I1850,V1850))))</f>
        <v/>
      </c>
      <c r="K1850" s="920" t="str">
        <f>IF($I1825="","",IF(W1847&lt;2,SUM(K1835),IF(W1847&lt;3,SUM(J1835),IF(W1850="",J1850,W1850))))</f>
        <v/>
      </c>
      <c r="L1850" s="920" t="str">
        <f>IF($I1825="","",IF(X1847&lt;2,SUM(L1835),IF(X1847&lt;3,SUM(K1835),IF(X1850="",K1850,X1850))))</f>
        <v/>
      </c>
      <c r="M1850" s="920" t="str">
        <f>IF($I1825="","",IF(Y1847&lt;2,SUM(M1835),IF(Y1847&lt;3,SUM(L1835),IF(Y1850="",L1850,Y1850))))</f>
        <v/>
      </c>
      <c r="N1850" s="1218" t="str">
        <f>IF($I1825="","",IF(Z1847&lt;2,SUM(N1835),IF(Z1847&lt;3,SUM(M1835),IF(Z1850="",M1850,Z1850))))</f>
        <v/>
      </c>
      <c r="O1850" s="15"/>
      <c r="P1850" s="15"/>
      <c r="Q1850" s="672" t="str">
        <f>EUconst_CNTR_HALprelim&amp;I1825</f>
        <v>HALprelim_</v>
      </c>
      <c r="R1850" s="2"/>
      <c r="S1850" s="2"/>
      <c r="T1850" s="2"/>
      <c r="U1850" s="1088" t="s">
        <v>1898</v>
      </c>
      <c r="V1850" s="1752" t="str">
        <f>IF(J1847="","",IF(CNTR_ReportingYear&lt;J1846,I1849,IF($I1850=0,J1847,$I1850*(1+J1849))))</f>
        <v/>
      </c>
      <c r="W1850" s="1752" t="str">
        <f>IF(K1847="","",IF(CNTR_ReportingYear&lt;K1846,J1849,IF($I1850=0,K1847,$I1850*(1+K1849))))</f>
        <v/>
      </c>
      <c r="X1850" s="1752" t="str">
        <f>IF(L1847="","",IF(CNTR_ReportingYear&lt;L1846,K1849,IF($I1850=0,L1847,$I1850*(1+L1849))))</f>
        <v/>
      </c>
      <c r="Y1850" s="1752" t="str">
        <f>IF(M1847="","",IF(CNTR_ReportingYear&lt;M1846,L1849,IF($I1850=0,M1847,$I1850*(1+M1849))))</f>
        <v/>
      </c>
      <c r="Z1850" s="1761" t="str">
        <f>IF(N1847="","",IF(CNTR_ReportingYear&lt;N1846,M1849,IF($I1850=0,N1847,$I1850*(1+N1849))))</f>
        <v/>
      </c>
      <c r="AA1850" s="2"/>
      <c r="AB1850" s="2"/>
      <c r="AC1850" s="2"/>
      <c r="AD1850" s="2"/>
      <c r="AE1850" s="2"/>
      <c r="AF1850" s="2"/>
      <c r="AG1850" s="2"/>
      <c r="AH1850" s="2"/>
      <c r="AI1850" s="2"/>
      <c r="AJ1850" s="2"/>
      <c r="AK1850" s="2"/>
      <c r="AL1850" s="343"/>
    </row>
    <row r="1851" spans="1:38" ht="5.15" customHeight="1" x14ac:dyDescent="0.25">
      <c r="A1851" s="343"/>
      <c r="B1851" s="178"/>
      <c r="C1851" s="178"/>
      <c r="D1851" s="1242"/>
      <c r="E1851" s="1244"/>
      <c r="F1851" s="1244"/>
      <c r="G1851" s="1244"/>
      <c r="H1851" s="1244"/>
      <c r="I1851" s="1244"/>
      <c r="J1851" s="1236"/>
      <c r="K1851" s="1236"/>
      <c r="L1851" s="1236"/>
      <c r="M1851" s="1236"/>
      <c r="N1851" s="1247"/>
      <c r="O1851" s="15"/>
      <c r="P1851" s="15"/>
      <c r="Q1851" s="343"/>
      <c r="R1851" s="2"/>
      <c r="S1851" s="2"/>
      <c r="T1851" s="2"/>
      <c r="U1851" s="1086"/>
      <c r="V1851" s="343"/>
      <c r="W1851" s="2"/>
      <c r="X1851" s="2"/>
      <c r="Y1851" s="2"/>
      <c r="Z1851" s="228"/>
      <c r="AA1851" s="2"/>
      <c r="AB1851" s="2"/>
      <c r="AC1851" s="2"/>
      <c r="AD1851" s="2"/>
      <c r="AE1851" s="2"/>
      <c r="AF1851" s="2"/>
      <c r="AG1851" s="2"/>
      <c r="AH1851" s="2"/>
      <c r="AI1851" s="2"/>
      <c r="AJ1851" s="2"/>
      <c r="AK1851" s="2"/>
      <c r="AL1851" s="343"/>
    </row>
    <row r="1852" spans="1:38" ht="12.75" customHeight="1" x14ac:dyDescent="0.25">
      <c r="A1852" s="343"/>
      <c r="B1852" s="178"/>
      <c r="C1852" s="178"/>
      <c r="D1852" s="1242"/>
      <c r="E1852" s="1234" t="str">
        <f>Translations!$B$1475</f>
        <v>Faktisk justering (grund för följande år)</v>
      </c>
      <c r="F1852" s="1234"/>
      <c r="G1852" s="1234"/>
      <c r="H1852" s="1234"/>
      <c r="I1852" s="1234"/>
      <c r="J1852" s="1268">
        <f>J$3042</f>
        <v>2021</v>
      </c>
      <c r="K1852" s="1230">
        <f>K$3042</f>
        <v>2022</v>
      </c>
      <c r="L1852" s="1230">
        <f>L$3042</f>
        <v>2023</v>
      </c>
      <c r="M1852" s="1230">
        <f>M$3042</f>
        <v>2024</v>
      </c>
      <c r="N1852" s="1258">
        <f>N$3042</f>
        <v>2025</v>
      </c>
      <c r="O1852" s="15"/>
      <c r="P1852" s="15"/>
      <c r="Q1852" s="343"/>
      <c r="R1852" s="2"/>
      <c r="S1852" s="2"/>
      <c r="T1852" s="2"/>
      <c r="U1852" s="584"/>
      <c r="V1852" s="2"/>
      <c r="W1852" s="2"/>
      <c r="X1852" s="2"/>
      <c r="Y1852" s="2"/>
      <c r="Z1852" s="228"/>
      <c r="AA1852" s="2"/>
      <c r="AB1852" s="2"/>
      <c r="AC1852" s="2"/>
      <c r="AD1852" s="2"/>
      <c r="AE1852" s="2"/>
      <c r="AF1852" s="2"/>
      <c r="AG1852" s="2"/>
      <c r="AH1852" s="2"/>
      <c r="AI1852" s="2"/>
      <c r="AJ1852" s="2"/>
      <c r="AK1852" s="2"/>
      <c r="AL1852" s="343"/>
    </row>
    <row r="1853" spans="1:38" ht="12.75" customHeight="1" x14ac:dyDescent="0.25">
      <c r="A1853" s="343"/>
      <c r="B1853" s="178"/>
      <c r="C1853" s="178"/>
      <c r="D1853" s="1246" t="s">
        <v>10</v>
      </c>
      <c r="E1853" s="1231" t="str">
        <f>Translations!$B$1476</f>
        <v>&gt;= 100 utsläppsrätter kriterium uppnått?</v>
      </c>
      <c r="F1853" s="1231"/>
      <c r="G1853" s="1231"/>
      <c r="H1853" s="1231"/>
      <c r="I1853" s="1231"/>
      <c r="J1853" s="994" t="str">
        <f>IF($I1825="","",INDEX(K_Summary!J:J,MATCH($Q1853,K_Summary!$P:$P,0)))</f>
        <v/>
      </c>
      <c r="K1853" s="912" t="str">
        <f>IF($I1825="","",INDEX(K_Summary!K:K,MATCH($Q1853,K_Summary!$P:$P,0)))</f>
        <v/>
      </c>
      <c r="L1853" s="912" t="str">
        <f>IF($I1825="","",INDEX(K_Summary!L:L,MATCH($Q1853,K_Summary!$P:$P,0)))</f>
        <v/>
      </c>
      <c r="M1853" s="912" t="str">
        <f>IF($I1825="","",INDEX(K_Summary!M:M,MATCH($Q1853,K_Summary!$P:$P,0)))</f>
        <v/>
      </c>
      <c r="N1853" s="1221" t="str">
        <f>IF($I1825="","",INDEX(K_Summary!N:N,MATCH($Q1853,K_Summary!$P:$P,0)))</f>
        <v/>
      </c>
      <c r="O1853" s="15"/>
      <c r="P1853" s="15"/>
      <c r="Q1853" s="672" t="str">
        <f>EUconst_CNTR_100EUA_ActivityLevel&amp;I1825</f>
        <v>EUA100AL_</v>
      </c>
      <c r="R1853" s="2"/>
      <c r="S1853" s="2"/>
      <c r="T1853" s="2"/>
      <c r="U1853" s="584"/>
      <c r="V1853" s="1123"/>
      <c r="W1853" s="1123"/>
      <c r="X1853" s="1123"/>
      <c r="Y1853" s="1123"/>
      <c r="Z1853" s="228"/>
      <c r="AA1853" s="2"/>
      <c r="AB1853" s="2"/>
      <c r="AC1853" s="2"/>
      <c r="AD1853" s="2"/>
      <c r="AE1853" s="2"/>
      <c r="AF1853" s="2"/>
      <c r="AG1853" s="2"/>
      <c r="AH1853" s="2"/>
      <c r="AI1853" s="2"/>
      <c r="AJ1853" s="2"/>
      <c r="AK1853" s="2"/>
      <c r="AL1853" s="343"/>
    </row>
    <row r="1854" spans="1:38" ht="5.15" customHeight="1" thickBot="1" x14ac:dyDescent="0.3">
      <c r="A1854" s="343"/>
      <c r="B1854" s="178"/>
      <c r="C1854" s="178"/>
      <c r="D1854" s="1242"/>
      <c r="E1854" s="1244"/>
      <c r="F1854" s="1244"/>
      <c r="G1854" s="1244"/>
      <c r="H1854" s="1244"/>
      <c r="I1854" s="1244"/>
      <c r="J1854" s="1244"/>
      <c r="K1854" s="1244"/>
      <c r="L1854" s="1244"/>
      <c r="M1854" s="1244"/>
      <c r="N1854" s="1248"/>
      <c r="O1854" s="15"/>
      <c r="P1854" s="15"/>
      <c r="Q1854" s="343"/>
      <c r="R1854" s="2"/>
      <c r="S1854" s="2"/>
      <c r="T1854" s="2"/>
      <c r="U1854" s="1086"/>
      <c r="V1854" s="343"/>
      <c r="W1854" s="2"/>
      <c r="X1854" s="2"/>
      <c r="Y1854" s="2"/>
      <c r="Z1854" s="228"/>
      <c r="AA1854" s="2"/>
      <c r="AB1854" s="2"/>
      <c r="AC1854" s="2"/>
      <c r="AD1854" s="2"/>
      <c r="AE1854" s="2"/>
      <c r="AF1854" s="2"/>
      <c r="AG1854" s="2"/>
      <c r="AH1854" s="2"/>
      <c r="AI1854" s="2"/>
      <c r="AJ1854" s="2"/>
      <c r="AK1854" s="2"/>
      <c r="AL1854" s="343"/>
    </row>
    <row r="1855" spans="1:38" ht="12.75" customHeight="1" thickBot="1" x14ac:dyDescent="0.3">
      <c r="A1855" s="2"/>
      <c r="B1855" s="178"/>
      <c r="C1855" s="178"/>
      <c r="D1855" s="1246" t="s">
        <v>23</v>
      </c>
      <c r="E1855" s="1231" t="str">
        <f>Translations!$B$1477</f>
        <v>Faktisk justering (om alla tröskelvärden överskrids)</v>
      </c>
      <c r="F1855" s="1231"/>
      <c r="G1855" s="1231"/>
      <c r="H1855" s="1233"/>
      <c r="I1855" s="1237"/>
      <c r="J1855" s="1099" t="str">
        <f>IF(J1853="","",IF(J1846&gt;$Z1825,-100%,IF(OR(J1853,V1847&lt;1),J1849,I1855)))</f>
        <v/>
      </c>
      <c r="K1855" s="1100" t="str">
        <f>IF(K1853="","",IF(K1846&gt;$Z1825,-100%,IF(OR(K1853,W1847&lt;1),K1849,J1855)))</f>
        <v/>
      </c>
      <c r="L1855" s="1100" t="str">
        <f>IF(L1853="","",IF(L1846&gt;$Z1825,-100%,IF(OR(L1853,X1847&lt;1),L1849,K1855)))</f>
        <v/>
      </c>
      <c r="M1855" s="1100" t="str">
        <f>IF(M1853="","",IF(M1846&gt;$Z1825,-100%,IF(OR(M1853,Y1847&lt;1),M1849,L1855)))</f>
        <v/>
      </c>
      <c r="N1855" s="1101" t="str">
        <f>IF(N1853="","",IF(N1846&gt;$Z1825,-100%,IF(OR(N1853,Z1847&lt;1),N1849,M1855)))</f>
        <v/>
      </c>
      <c r="O1855" s="15"/>
      <c r="P1855" s="918"/>
      <c r="Q1855" s="165" t="str">
        <f>EUconst_CNTR_HALAdjPct &amp; I1825</f>
        <v>HALAdjPct_</v>
      </c>
      <c r="R1855" s="2"/>
      <c r="S1855" s="2"/>
      <c r="T1855" s="2"/>
      <c r="U1855" s="1086" t="s">
        <v>1858</v>
      </c>
      <c r="V1855" s="1068">
        <f>J1852</f>
        <v>2021</v>
      </c>
      <c r="W1855" s="1068">
        <f>K1852</f>
        <v>2022</v>
      </c>
      <c r="X1855" s="1068">
        <f>L1852</f>
        <v>2023</v>
      </c>
      <c r="Y1855" s="1068">
        <f>M1852</f>
        <v>2024</v>
      </c>
      <c r="Z1855" s="1087">
        <f>N1852</f>
        <v>2025</v>
      </c>
      <c r="AA1855" s="2"/>
      <c r="AB1855" s="2"/>
      <c r="AC1855" s="2"/>
      <c r="AD1855" s="2"/>
      <c r="AE1855" s="2"/>
      <c r="AF1855" s="2"/>
      <c r="AG1855" s="2"/>
      <c r="AH1855" s="2"/>
      <c r="AI1855" s="2"/>
      <c r="AJ1855" s="2"/>
      <c r="AK1855" s="2"/>
      <c r="AL1855" s="343"/>
    </row>
    <row r="1856" spans="1:38" ht="12.75" customHeight="1" thickBot="1" x14ac:dyDescent="0.3">
      <c r="A1856" s="343"/>
      <c r="B1856" s="178"/>
      <c r="C1856" s="178"/>
      <c r="D1856" s="1246" t="s">
        <v>859</v>
      </c>
      <c r="E1856" s="1231" t="str">
        <f>Translations!$B$1478</f>
        <v>Faktiskt värde</v>
      </c>
      <c r="F1856" s="1231"/>
      <c r="G1856" s="1231"/>
      <c r="H1856" s="917" t="str">
        <f>H1847</f>
        <v>ton</v>
      </c>
      <c r="I1856" s="990" t="str">
        <f>I1850</f>
        <v/>
      </c>
      <c r="J1856" s="1072" t="str">
        <f>IF($I1825="","",IF(OR($I1856=0,J1855="",$I1856=EUconst_NA),IF(OR(J1853=TRUE,J1852&lt;=$V1825),J1850,SUM(I1856)),$I1856*(1+SUM(J1855))))</f>
        <v/>
      </c>
      <c r="K1856" s="1073" t="str">
        <f>IF($I1825="","",IF(OR($I1856=0,K1855="",$I1856=EUconst_NA),IF(OR(K1853=TRUE,K1852&lt;=$V1825),K1850,SUM(J1856)),$I1856*(1+SUM(K1855))))</f>
        <v/>
      </c>
      <c r="L1856" s="1073" t="str">
        <f>IF($I1825="","",IF(OR($I1856=0,L1855="",$I1856=EUconst_NA),IF(OR(L1853=TRUE,L1852&lt;=$V1825),L1850,SUM(K1856)),$I1856*(1+SUM(L1855))))</f>
        <v/>
      </c>
      <c r="M1856" s="1073" t="str">
        <f>IF($I1825="","",IF(OR($I1856=0,M1855="",$I1856=EUconst_NA),IF(OR(M1853=TRUE,M1852&lt;=$V1825),M1850,SUM(L1856)),$I1856*(1+SUM(M1855))))</f>
        <v/>
      </c>
      <c r="N1856" s="1074" t="str">
        <f>IF($I1825="","",IF(OR($I1856=0,N1855="",$I1856=EUconst_NA),IF(OR(N1853=TRUE,N1852&lt;=$V1825),N1850,SUM(M1856)),$I1856*(1+SUM(N1855))))</f>
        <v/>
      </c>
      <c r="O1856" s="15"/>
      <c r="P1856" s="15"/>
      <c r="Q1856" s="672" t="str">
        <f>EUconst_CNTR_HALfinal&amp;I1825</f>
        <v>HALfinal_</v>
      </c>
      <c r="R1856" s="2"/>
      <c r="S1856" s="2"/>
      <c r="T1856" s="2"/>
      <c r="U1856" s="1765" t="b">
        <v>0</v>
      </c>
      <c r="V1856" s="1757" t="str">
        <f>IF(V1833,IF(J1853=TRUE,V1848,U1856),"")</f>
        <v/>
      </c>
      <c r="W1856" s="1757" t="str">
        <f>IF(W1833,IF(K1853=TRUE,W1848,V1856),"")</f>
        <v/>
      </c>
      <c r="X1856" s="1757" t="str">
        <f>IF(X1833,IF(L1853=TRUE,X1848,W1856),"")</f>
        <v/>
      </c>
      <c r="Y1856" s="1757" t="str">
        <f>IF(Y1833,IF(M1853=TRUE,Y1848,X1856),"")</f>
        <v/>
      </c>
      <c r="Z1856" s="1758" t="str">
        <f>IF(Z1833,IF(N1853=TRUE,Z1848,Y1856),"")</f>
        <v/>
      </c>
      <c r="AA1856" s="2"/>
      <c r="AB1856" s="2"/>
      <c r="AC1856" s="2"/>
      <c r="AD1856" s="2"/>
      <c r="AE1856" s="2"/>
      <c r="AF1856" s="2"/>
      <c r="AG1856" s="2"/>
      <c r="AH1856" s="2"/>
      <c r="AI1856" s="2"/>
      <c r="AJ1856" s="553" t="s">
        <v>2242</v>
      </c>
      <c r="AK1856" s="108" t="str">
        <f>IF(OR(ISERROR(J1856),ISERROR(K1856),ISERROR(L1856),ISERROR(M1856),ISERROR(N1856)),EUconst_Error &amp; "BM" &amp; Q1825,"")</f>
        <v/>
      </c>
      <c r="AL1856" s="343"/>
    </row>
    <row r="1857" spans="1:38" ht="5.15" customHeight="1" thickBot="1" x14ac:dyDescent="0.3">
      <c r="A1857" s="2"/>
      <c r="B1857" s="178"/>
      <c r="C1857" s="178"/>
      <c r="D1857" s="1282"/>
      <c r="E1857" s="1272"/>
      <c r="F1857" s="1272"/>
      <c r="G1857" s="1272"/>
      <c r="H1857" s="1272"/>
      <c r="I1857" s="1272"/>
      <c r="J1857" s="1272"/>
      <c r="K1857" s="1272"/>
      <c r="L1857" s="1272"/>
      <c r="M1857" s="1272"/>
      <c r="N1857" s="1273"/>
      <c r="O1857" s="15"/>
      <c r="P1857" s="15"/>
      <c r="Q1857" s="343"/>
      <c r="R1857" s="2"/>
      <c r="S1857" s="2"/>
      <c r="T1857" s="2"/>
      <c r="U1857" s="343"/>
      <c r="V1857" s="343"/>
      <c r="W1857" s="2"/>
      <c r="X1857" s="2"/>
      <c r="Y1857" s="2"/>
      <c r="Z1857" s="2"/>
      <c r="AA1857" s="2"/>
      <c r="AB1857" s="2"/>
      <c r="AC1857" s="2"/>
      <c r="AD1857" s="2"/>
      <c r="AE1857" s="2"/>
      <c r="AF1857" s="2"/>
      <c r="AG1857" s="2"/>
      <c r="AH1857" s="2"/>
      <c r="AI1857" s="2"/>
      <c r="AJ1857" s="2"/>
      <c r="AK1857" s="2"/>
      <c r="AL1857" s="343"/>
    </row>
    <row r="1858" spans="1:38" ht="5.15" customHeight="1" x14ac:dyDescent="0.25">
      <c r="A1858" s="2"/>
      <c r="B1858" s="178"/>
      <c r="C1858" s="178"/>
      <c r="D1858" s="15"/>
      <c r="E1858" s="15"/>
      <c r="F1858" s="15"/>
      <c r="G1858" s="15"/>
      <c r="H1858" s="15"/>
      <c r="I1858" s="15"/>
      <c r="J1858" s="15"/>
      <c r="K1858" s="15"/>
      <c r="L1858" s="15"/>
      <c r="M1858" s="15"/>
      <c r="N1858" s="15"/>
      <c r="O1858" s="15"/>
      <c r="P1858" s="15"/>
      <c r="Q1858" s="343"/>
      <c r="R1858" s="2"/>
      <c r="S1858" s="2"/>
      <c r="T1858" s="2"/>
      <c r="U1858" s="343"/>
      <c r="V1858" s="343"/>
      <c r="W1858" s="2"/>
      <c r="X1858" s="2"/>
      <c r="Y1858" s="2"/>
      <c r="Z1858" s="2"/>
      <c r="AA1858" s="2"/>
      <c r="AB1858" s="2"/>
      <c r="AC1858" s="2"/>
      <c r="AD1858" s="2"/>
      <c r="AE1858" s="2"/>
      <c r="AF1858" s="2"/>
      <c r="AG1858" s="2"/>
      <c r="AH1858" s="2"/>
      <c r="AI1858" s="2"/>
      <c r="AJ1858" s="2"/>
      <c r="AK1858" s="2"/>
      <c r="AL1858" s="343"/>
    </row>
    <row r="1859" spans="1:38" ht="15" customHeight="1" x14ac:dyDescent="0.25">
      <c r="A1859" s="2"/>
      <c r="B1859" s="19"/>
      <c r="C1859" s="178"/>
      <c r="D1859" s="2053" t="str">
        <f>Translations!$B$522</f>
        <v>Andra korrigeringsfaktorer</v>
      </c>
      <c r="E1859" s="1963"/>
      <c r="F1859" s="1963"/>
      <c r="G1859" s="1963"/>
      <c r="H1859" s="1963"/>
      <c r="I1859" s="1963"/>
      <c r="J1859" s="1963"/>
      <c r="K1859" s="1963"/>
      <c r="L1859" s="1963"/>
      <c r="M1859" s="1963"/>
      <c r="N1859" s="1963"/>
      <c r="O1859" s="15"/>
      <c r="P1859" s="15"/>
      <c r="Q1859" s="2"/>
      <c r="R1859" s="2"/>
      <c r="S1859" s="2"/>
      <c r="T1859" s="2"/>
      <c r="U1859" s="343"/>
      <c r="V1859" s="343"/>
      <c r="W1859" s="2"/>
      <c r="X1859" s="2"/>
      <c r="Y1859" s="2"/>
      <c r="Z1859" s="2"/>
      <c r="AA1859" s="2"/>
      <c r="AB1859" s="2"/>
      <c r="AC1859" s="2"/>
      <c r="AD1859" s="2"/>
      <c r="AE1859" s="2"/>
      <c r="AF1859" s="2"/>
      <c r="AG1859" s="2"/>
      <c r="AH1859" s="2"/>
      <c r="AI1859" s="2"/>
      <c r="AJ1859" s="2"/>
      <c r="AK1859" s="2"/>
      <c r="AL1859" s="2"/>
    </row>
    <row r="1860" spans="1:38" ht="5.15" customHeight="1" x14ac:dyDescent="0.25">
      <c r="A1860" s="2"/>
      <c r="B1860" s="178"/>
      <c r="C1860" s="178"/>
      <c r="D1860" s="178"/>
      <c r="E1860" s="178"/>
      <c r="F1860" s="178"/>
      <c r="G1860" s="178"/>
      <c r="H1860" s="178"/>
      <c r="I1860" s="178"/>
      <c r="J1860" s="178"/>
      <c r="K1860" s="178"/>
      <c r="L1860" s="178"/>
      <c r="M1860" s="178"/>
      <c r="N1860" s="178"/>
      <c r="O1860" s="15"/>
      <c r="P1860" s="15"/>
      <c r="Q1860" s="343"/>
      <c r="R1860" s="2"/>
      <c r="S1860" s="2"/>
      <c r="T1860" s="2"/>
      <c r="U1860" s="343"/>
      <c r="V1860" s="343"/>
      <c r="W1860" s="2"/>
      <c r="X1860" s="2"/>
      <c r="Y1860" s="2"/>
      <c r="Z1860" s="2"/>
      <c r="AA1860" s="2"/>
      <c r="AB1860" s="2"/>
      <c r="AC1860" s="2"/>
      <c r="AD1860" s="2"/>
      <c r="AE1860" s="2"/>
      <c r="AF1860" s="2"/>
      <c r="AG1860" s="2"/>
      <c r="AH1860" s="2"/>
      <c r="AI1860" s="2"/>
      <c r="AJ1860" s="2"/>
      <c r="AK1860" s="2"/>
      <c r="AL1860" s="2"/>
    </row>
    <row r="1861" spans="1:38" ht="12.75" customHeight="1" x14ac:dyDescent="0.25">
      <c r="A1861" s="2"/>
      <c r="B1861" s="19"/>
      <c r="C1861" s="19"/>
      <c r="D1861" s="13" t="s">
        <v>55</v>
      </c>
      <c r="E1861" s="1943" t="str">
        <f>Translations!$B$523</f>
        <v>Utbytbarhet mellan bränsle och el:</v>
      </c>
      <c r="F1861" s="1963"/>
      <c r="G1861" s="1963"/>
      <c r="H1861" s="1963"/>
      <c r="I1861" s="2060"/>
      <c r="J1861" s="2652" t="str">
        <f>IF(I1825="","",IF(T1861,EUconst_MsgEnterThisSection,HYPERLINK(R1861,EUconst_MsgGoOn)))</f>
        <v/>
      </c>
      <c r="K1861" s="2653"/>
      <c r="L1861" s="2653"/>
      <c r="M1861" s="2653"/>
      <c r="N1861" s="2654"/>
      <c r="O1861" s="15"/>
      <c r="P1861" s="15"/>
      <c r="Q1861" s="2" t="s">
        <v>484</v>
      </c>
      <c r="R1861" s="294" t="str">
        <f>"#"&amp;ADDRESS(ROW(D1889),COLUMN(D1889))</f>
        <v>#$D$1889</v>
      </c>
      <c r="S1861" s="553" t="s">
        <v>1874</v>
      </c>
      <c r="T1861" s="165" t="str">
        <f>IF(I1825="","",INDEX(EUconst_BMlistElExchangability,MATCH(I1825,EUconst_BMlistNames,0)))</f>
        <v/>
      </c>
      <c r="U1861" s="343"/>
      <c r="V1861" s="343"/>
      <c r="W1861" s="2"/>
      <c r="X1861" s="2"/>
      <c r="Y1861" s="2"/>
      <c r="Z1861" s="2"/>
      <c r="AA1861" s="2"/>
      <c r="AB1861" s="2"/>
      <c r="AC1861" s="2"/>
      <c r="AD1861" s="2"/>
      <c r="AE1861" s="2"/>
      <c r="AF1861" s="2"/>
      <c r="AG1861" s="2"/>
      <c r="AH1861" s="2"/>
      <c r="AI1861" s="2"/>
      <c r="AJ1861" s="2"/>
      <c r="AK1861" s="2"/>
      <c r="AL1861" s="2"/>
    </row>
    <row r="1862" spans="1:38" ht="12.75" customHeight="1" x14ac:dyDescent="0.25">
      <c r="A1862" s="2"/>
      <c r="B1862" s="178"/>
      <c r="C1862" s="178"/>
      <c r="D1862" s="15"/>
      <c r="E1862" s="2061" t="str">
        <f>Translations!$B$524</f>
        <v>Ett automatiskt meddelande kommer att visas här, i relevanta fall, där ni ombeds göra den inmatning som krävs för att utbytbarheten mellan bränsle och el (ElExch-F) ska kunna beaktas.</v>
      </c>
      <c r="F1862" s="1963"/>
      <c r="G1862" s="1963"/>
      <c r="H1862" s="1963"/>
      <c r="I1862" s="1963"/>
      <c r="J1862" s="1963"/>
      <c r="K1862" s="1963"/>
      <c r="L1862" s="1963"/>
      <c r="M1862" s="1963"/>
      <c r="N1862" s="1963"/>
      <c r="O1862" s="15"/>
      <c r="P1862" s="15"/>
      <c r="Q1862" s="2"/>
      <c r="R1862" s="2"/>
      <c r="S1862" s="2"/>
      <c r="T1862" s="2"/>
      <c r="U1862" s="343"/>
      <c r="V1862" s="343"/>
      <c r="W1862" s="2"/>
      <c r="X1862" s="2"/>
      <c r="Y1862" s="2"/>
      <c r="Z1862" s="2"/>
      <c r="AA1862" s="2"/>
      <c r="AB1862" s="2"/>
      <c r="AC1862" s="2"/>
      <c r="AD1862" s="2"/>
      <c r="AE1862" s="2"/>
      <c r="AF1862" s="2"/>
      <c r="AG1862" s="2"/>
      <c r="AH1862" s="2"/>
      <c r="AI1862" s="2"/>
      <c r="AJ1862" s="2"/>
      <c r="AK1862" s="2"/>
      <c r="AL1862" s="2"/>
    </row>
    <row r="1863" spans="1:38" ht="12.75" customHeight="1" x14ac:dyDescent="0.25">
      <c r="A1863" s="2"/>
      <c r="B1863" s="178"/>
      <c r="C1863" s="178"/>
      <c r="D1863" s="15"/>
      <c r="E1863" s="2061" t="str">
        <f>Translations!$B$525</f>
        <v>Enligt artikel 22 i FAR krävs ”direkta utsläpp”, nettomängd ”importerad värme” och ”relevant elförbrukning”.</v>
      </c>
      <c r="F1863" s="1963"/>
      <c r="G1863" s="1963"/>
      <c r="H1863" s="1963"/>
      <c r="I1863" s="1963"/>
      <c r="J1863" s="1963"/>
      <c r="K1863" s="1963"/>
      <c r="L1863" s="1963"/>
      <c r="M1863" s="1963"/>
      <c r="N1863" s="1963"/>
      <c r="O1863" s="15"/>
      <c r="P1863" s="15"/>
      <c r="Q1863" s="343"/>
      <c r="R1863" s="2"/>
      <c r="S1863" s="2"/>
      <c r="T1863" s="2"/>
      <c r="U1863" s="343"/>
      <c r="V1863" s="343"/>
      <c r="W1863" s="343"/>
      <c r="X1863" s="343"/>
      <c r="Y1863" s="343"/>
      <c r="Z1863" s="343"/>
      <c r="AA1863" s="2"/>
      <c r="AB1863" s="2"/>
      <c r="AC1863" s="2"/>
      <c r="AD1863" s="2"/>
      <c r="AE1863" s="2"/>
      <c r="AF1863" s="2"/>
      <c r="AG1863" s="2"/>
      <c r="AH1863" s="2"/>
      <c r="AI1863" s="2"/>
      <c r="AJ1863" s="2"/>
      <c r="AK1863" s="2"/>
      <c r="AL1863" s="2"/>
    </row>
    <row r="1864" spans="1:38" ht="25.5" customHeight="1" x14ac:dyDescent="0.25">
      <c r="A1864" s="2"/>
      <c r="B1864" s="178"/>
      <c r="C1864" s="178"/>
      <c r="D1864" s="15"/>
      <c r="E1864" s="2061" t="str">
        <f>Translations!$B$526</f>
        <v>De totala direkta utsläppen är i regel identiska med de värden som anges i punkt g nedan. Ytterligare korrigeringar kan dock behöva göras, framför allt vid användning av restgaser. Var god se vägledningen i punkt g nedan. Uppgifter om nettomängd importerad värme hämtas automatiskt från punkt k.i nedan.</v>
      </c>
      <c r="F1864" s="1963"/>
      <c r="G1864" s="1963"/>
      <c r="H1864" s="1963"/>
      <c r="I1864" s="1963"/>
      <c r="J1864" s="1963"/>
      <c r="K1864" s="1963"/>
      <c r="L1864" s="1963"/>
      <c r="M1864" s="1963"/>
      <c r="N1864" s="1963"/>
      <c r="O1864" s="15"/>
      <c r="P1864" s="15"/>
      <c r="Q1864" s="343"/>
      <c r="R1864" s="2"/>
      <c r="S1864" s="2"/>
      <c r="T1864" s="2"/>
      <c r="U1864" s="343"/>
      <c r="V1864" s="343"/>
      <c r="W1864" s="343"/>
      <c r="X1864" s="343"/>
      <c r="Y1864" s="343"/>
      <c r="Z1864" s="343"/>
      <c r="AA1864" s="2"/>
      <c r="AB1864" s="2"/>
      <c r="AC1864" s="2"/>
      <c r="AD1864" s="2"/>
      <c r="AE1864" s="2"/>
      <c r="AF1864" s="2"/>
      <c r="AG1864" s="2"/>
      <c r="AH1864" s="2"/>
      <c r="AI1864" s="2"/>
      <c r="AJ1864" s="2"/>
      <c r="AK1864" s="2"/>
      <c r="AL1864" s="2"/>
    </row>
    <row r="1865" spans="1:38" s="534" customFormat="1" ht="13.5" thickBot="1" x14ac:dyDescent="0.3">
      <c r="A1865" s="343"/>
      <c r="B1865" s="15"/>
      <c r="C1865" s="15"/>
      <c r="D1865" s="13"/>
      <c r="E1865" s="914" t="str">
        <f>Translations!$B$527</f>
        <v>Parameter</v>
      </c>
      <c r="F1865" s="913"/>
      <c r="G1865" s="30" t="str">
        <f>EUconst_Unit</f>
        <v>Enhet</v>
      </c>
      <c r="H1865" s="320">
        <f>H$3042</f>
        <v>2019</v>
      </c>
      <c r="I1865" s="342">
        <f>I$3042</f>
        <v>2020</v>
      </c>
      <c r="J1865" s="987">
        <f>J$112</f>
        <v>2021</v>
      </c>
      <c r="K1865" s="1001">
        <f>K$112</f>
        <v>2022</v>
      </c>
      <c r="L1865" s="320">
        <f>L$112</f>
        <v>2023</v>
      </c>
      <c r="M1865" s="320">
        <f>M$112</f>
        <v>2024</v>
      </c>
      <c r="N1865" s="320">
        <f>N$112</f>
        <v>2025</v>
      </c>
      <c r="O1865" s="15"/>
      <c r="P1865" s="15"/>
      <c r="Q1865" s="343"/>
      <c r="R1865" s="343"/>
      <c r="S1865" s="2"/>
      <c r="T1865" s="2"/>
      <c r="U1865" s="343"/>
      <c r="V1865" s="343"/>
      <c r="W1865" s="343"/>
      <c r="X1865" s="343"/>
      <c r="Y1865" s="343"/>
      <c r="Z1865" s="343"/>
      <c r="AA1865" s="343"/>
      <c r="AB1865" s="2"/>
      <c r="AC1865" s="1044">
        <f t="shared" ref="AC1865:AI1865" si="837">H$20</f>
        <v>2019</v>
      </c>
      <c r="AD1865" s="1044">
        <f t="shared" si="837"/>
        <v>2020</v>
      </c>
      <c r="AE1865" s="1044">
        <f t="shared" si="837"/>
        <v>2021</v>
      </c>
      <c r="AF1865" s="1044">
        <f t="shared" si="837"/>
        <v>2022</v>
      </c>
      <c r="AG1865" s="1044">
        <f t="shared" si="837"/>
        <v>2023</v>
      </c>
      <c r="AH1865" s="1044">
        <f t="shared" si="837"/>
        <v>2024</v>
      </c>
      <c r="AI1865" s="1044">
        <f t="shared" si="837"/>
        <v>2025</v>
      </c>
      <c r="AJ1865" s="2"/>
      <c r="AK1865" s="2"/>
      <c r="AL1865" s="2"/>
    </row>
    <row r="1866" spans="1:38" s="534" customFormat="1" ht="13.5" customHeight="1" thickBot="1" x14ac:dyDescent="0.3">
      <c r="A1866" s="343"/>
      <c r="B1866" s="15"/>
      <c r="C1866" s="15"/>
      <c r="D1866" s="289" t="s">
        <v>8</v>
      </c>
      <c r="E1866" s="925" t="str">
        <f>Translations!$B$528</f>
        <v>Direkta utsläpp</v>
      </c>
      <c r="F1866" s="925"/>
      <c r="G1866" s="456" t="str">
        <f>EUconst_tCO2pa</f>
        <v>t CO2 / år</v>
      </c>
      <c r="H1866" s="614"/>
      <c r="I1866" s="995"/>
      <c r="J1866" s="1005"/>
      <c r="K1866" s="615"/>
      <c r="L1866" s="615"/>
      <c r="M1866" s="614"/>
      <c r="N1866" s="614"/>
      <c r="O1866" s="15"/>
      <c r="P1866" s="1362"/>
      <c r="Q1866" s="343"/>
      <c r="R1866" s="343"/>
      <c r="S1866" s="2"/>
      <c r="T1866" s="2"/>
      <c r="U1866" s="343"/>
      <c r="V1866" s="343"/>
      <c r="W1866" s="343"/>
      <c r="X1866" s="343"/>
      <c r="Y1866" s="343"/>
      <c r="Z1866" s="343"/>
      <c r="AA1866" s="343"/>
      <c r="AB1866" s="672" t="s">
        <v>782</v>
      </c>
      <c r="AC1866" s="1766" t="b">
        <f t="shared" ref="AC1866:AI1866" si="838">IF(CNTR_ExistSubInstEntries,IF($I1825="",TRUE,OR(H1865&gt;=CNTR_ReportingYear,AC1865&lt;$V1825-1,INDEX(EUconst_BMlistElExchangability,MATCH($I1825,EUconst_BMlistNames,0))=FALSE)),FALSE)</f>
        <v>0</v>
      </c>
      <c r="AD1866" s="1052" t="b">
        <f t="shared" si="838"/>
        <v>0</v>
      </c>
      <c r="AE1866" s="1052" t="b">
        <f t="shared" si="838"/>
        <v>0</v>
      </c>
      <c r="AF1866" s="1052" t="b">
        <f t="shared" si="838"/>
        <v>0</v>
      </c>
      <c r="AG1866" s="1052" t="b">
        <f t="shared" si="838"/>
        <v>0</v>
      </c>
      <c r="AH1866" s="1052" t="b">
        <f t="shared" si="838"/>
        <v>0</v>
      </c>
      <c r="AI1866" s="1053" t="b">
        <f t="shared" si="838"/>
        <v>0</v>
      </c>
      <c r="AJ1866" s="553" t="s">
        <v>2248</v>
      </c>
      <c r="AK1866" s="663" t="str">
        <f>IF(AND(CNTR_ExistSubInstEntries,COUNTIFS(AC1866:AI1866,FALSE,H1866:N1866,"")&gt;0),EUconst_Error&amp;"BM"&amp;$Q1825,"")</f>
        <v/>
      </c>
      <c r="AL1866" s="2"/>
    </row>
    <row r="1867" spans="1:38" s="534" customFormat="1" ht="12.75" customHeight="1" x14ac:dyDescent="0.25">
      <c r="A1867" s="343"/>
      <c r="B1867" s="15"/>
      <c r="C1867" s="15"/>
      <c r="D1867" s="289" t="s">
        <v>9</v>
      </c>
      <c r="E1867" s="923" t="str">
        <f>Translations!$B$529</f>
        <v>Nettomängd importerad värme</v>
      </c>
      <c r="F1867" s="923"/>
      <c r="G1867" s="459" t="str">
        <f>EUconst_TJpa</f>
        <v>TJ / år</v>
      </c>
      <c r="H1867" s="460" t="str">
        <f t="shared" ref="H1867:N1867" si="839">IF(AND($I1825&lt;&gt;"",H1865&lt;CNTR_ReportingYear),IF(INDEX(EUconst_BMlistElExchangability,MATCH($I1825,EUconst_BMlistNames,0)),SUM(H2018),""),"")</f>
        <v/>
      </c>
      <c r="I1867" s="996" t="str">
        <f t="shared" si="839"/>
        <v/>
      </c>
      <c r="J1867" s="1006" t="str">
        <f t="shared" si="839"/>
        <v/>
      </c>
      <c r="K1867" s="1002" t="str">
        <f t="shared" si="839"/>
        <v/>
      </c>
      <c r="L1867" s="460" t="str">
        <f t="shared" si="839"/>
        <v/>
      </c>
      <c r="M1867" s="460" t="str">
        <f t="shared" si="839"/>
        <v/>
      </c>
      <c r="N1867" s="460" t="str">
        <f t="shared" si="839"/>
        <v/>
      </c>
      <c r="O1867" s="15"/>
      <c r="P1867" s="15"/>
      <c r="Q1867" s="343"/>
      <c r="R1867" s="343"/>
      <c r="S1867" s="772"/>
      <c r="T1867" s="609">
        <f t="shared" ref="T1867:Z1867" si="840">H1865</f>
        <v>2019</v>
      </c>
      <c r="U1867" s="609">
        <f t="shared" si="840"/>
        <v>2020</v>
      </c>
      <c r="V1867" s="609">
        <f t="shared" si="840"/>
        <v>2021</v>
      </c>
      <c r="W1867" s="609">
        <f t="shared" si="840"/>
        <v>2022</v>
      </c>
      <c r="X1867" s="609">
        <f t="shared" si="840"/>
        <v>2023</v>
      </c>
      <c r="Y1867" s="609">
        <f t="shared" si="840"/>
        <v>2024</v>
      </c>
      <c r="Z1867" s="610">
        <f t="shared" si="840"/>
        <v>2025</v>
      </c>
      <c r="AA1867" s="343"/>
      <c r="AB1867" s="343"/>
      <c r="AC1867" s="584"/>
      <c r="AD1867" s="343"/>
      <c r="AE1867" s="343"/>
      <c r="AF1867" s="343"/>
      <c r="AG1867" s="343"/>
      <c r="AH1867" s="343"/>
      <c r="AI1867" s="1328"/>
      <c r="AJ1867" s="343"/>
      <c r="AK1867" s="343"/>
      <c r="AL1867" s="2"/>
    </row>
    <row r="1868" spans="1:38" s="534" customFormat="1" ht="12.75" customHeight="1" thickBot="1" x14ac:dyDescent="0.3">
      <c r="A1868" s="343"/>
      <c r="B1868" s="15"/>
      <c r="C1868" s="15"/>
      <c r="D1868" s="289" t="s">
        <v>10</v>
      </c>
      <c r="E1868" s="1778" t="str">
        <f>Translations!$B$530</f>
        <v>Relevant elförbrukning</v>
      </c>
      <c r="F1868" s="1520"/>
      <c r="G1868" s="473" t="str">
        <f>EUconst_MWhpa</f>
        <v>MWh / år</v>
      </c>
      <c r="H1868" s="474"/>
      <c r="I1868" s="997"/>
      <c r="J1868" s="669"/>
      <c r="K1868" s="1003"/>
      <c r="L1868" s="474"/>
      <c r="M1868" s="474"/>
      <c r="N1868" s="474"/>
      <c r="O1868" s="15"/>
      <c r="P1868" s="1362"/>
      <c r="Q1868" s="165" t="str">
        <f>EUconst_CNTR_HAL&amp;EUconst_CNTR_ELEXCH</f>
        <v>HAL_ELEXCH_</v>
      </c>
      <c r="R1868" s="165" t="str">
        <f>EUconst_CNTR_HAL&amp;EUconst_CNTR_ELEXCH &amp; I1825</f>
        <v>HAL_ELEXCH_</v>
      </c>
      <c r="S1868" s="1888" t="str">
        <f>EUconst_CNTR_AttributedEmissions &amp; I1825</f>
        <v>AttrEmissions_</v>
      </c>
      <c r="T1868" s="1330" t="str">
        <f t="shared" ref="T1868:Z1868" si="841">IF(T1833,SUM(H1868)*EUconst_ElBM,"")</f>
        <v/>
      </c>
      <c r="U1868" s="1330" t="str">
        <f t="shared" si="841"/>
        <v/>
      </c>
      <c r="V1868" s="1330" t="str">
        <f t="shared" si="841"/>
        <v/>
      </c>
      <c r="W1868" s="1330" t="str">
        <f t="shared" si="841"/>
        <v/>
      </c>
      <c r="X1868" s="1330" t="str">
        <f t="shared" si="841"/>
        <v/>
      </c>
      <c r="Y1868" s="1330" t="str">
        <f t="shared" si="841"/>
        <v/>
      </c>
      <c r="Z1868" s="1331" t="str">
        <f t="shared" si="841"/>
        <v/>
      </c>
      <c r="AA1868" s="343"/>
      <c r="AB1868" s="343"/>
      <c r="AC1868" s="1329" t="b">
        <f>AC1866</f>
        <v>0</v>
      </c>
      <c r="AD1868" s="1330" t="b">
        <f t="shared" ref="AD1868:AI1868" si="842">AD1866</f>
        <v>0</v>
      </c>
      <c r="AE1868" s="1330" t="b">
        <f t="shared" si="842"/>
        <v>0</v>
      </c>
      <c r="AF1868" s="1330" t="b">
        <f t="shared" si="842"/>
        <v>0</v>
      </c>
      <c r="AG1868" s="1330" t="b">
        <f t="shared" si="842"/>
        <v>0</v>
      </c>
      <c r="AH1868" s="1330" t="b">
        <f t="shared" si="842"/>
        <v>0</v>
      </c>
      <c r="AI1868" s="1331" t="b">
        <f t="shared" si="842"/>
        <v>0</v>
      </c>
      <c r="AJ1868" s="553" t="s">
        <v>2248</v>
      </c>
      <c r="AK1868" s="663" t="str">
        <f>IF(AND(CNTR_ExistSubInstEntries,COUNTIFS(AC1868:AI1868,FALSE,H1868:N1868,"")&gt;0),EUconst_Error&amp;"BM"&amp;$Q1825,"")</f>
        <v/>
      </c>
      <c r="AL1868" s="2"/>
    </row>
    <row r="1869" spans="1:38" s="534" customFormat="1" ht="13.5" customHeight="1" x14ac:dyDescent="0.25">
      <c r="A1869" s="343"/>
      <c r="B1869" s="15"/>
      <c r="C1869" s="15"/>
      <c r="D1869" s="289" t="s">
        <v>23</v>
      </c>
      <c r="E1869" s="925" t="str">
        <f>Translations!$B$531</f>
        <v>Totala direkta utsläpp</v>
      </c>
      <c r="F1869" s="925"/>
      <c r="G1869" s="456" t="str">
        <f>EUconst_tCO2pa</f>
        <v>t CO2 / år</v>
      </c>
      <c r="H1869" s="457" t="str">
        <f t="shared" ref="H1869:N1869" si="843">IF(ISNUMBER(H1866),H1866+SUM(H1867)*EUconst_HeatBMvalue,"")</f>
        <v/>
      </c>
      <c r="I1869" s="998" t="str">
        <f t="shared" si="843"/>
        <v/>
      </c>
      <c r="J1869" s="1007" t="str">
        <f t="shared" si="843"/>
        <v/>
      </c>
      <c r="K1869" s="458" t="str">
        <f t="shared" si="843"/>
        <v/>
      </c>
      <c r="L1869" s="458" t="str">
        <f t="shared" si="843"/>
        <v/>
      </c>
      <c r="M1869" s="457" t="str">
        <f t="shared" si="843"/>
        <v/>
      </c>
      <c r="N1869" s="457" t="str">
        <f t="shared" si="843"/>
        <v/>
      </c>
      <c r="O1869" s="15"/>
      <c r="P1869" s="15"/>
      <c r="Q1869" s="343"/>
      <c r="R1869" s="343"/>
      <c r="S1869" s="2"/>
      <c r="T1869" s="2"/>
      <c r="U1869" s="343"/>
      <c r="V1869" s="343"/>
      <c r="W1869" s="343"/>
      <c r="X1869" s="343"/>
      <c r="Y1869" s="343"/>
      <c r="Z1869" s="343"/>
      <c r="AA1869" s="343"/>
      <c r="AB1869" s="343"/>
      <c r="AC1869" s="343"/>
      <c r="AD1869" s="343"/>
      <c r="AE1869" s="343"/>
      <c r="AF1869" s="343"/>
      <c r="AG1869" s="343"/>
      <c r="AH1869" s="343"/>
      <c r="AI1869" s="343"/>
      <c r="AJ1869" s="343"/>
      <c r="AK1869" s="343"/>
      <c r="AL1869" s="2"/>
    </row>
    <row r="1870" spans="1:38" s="534" customFormat="1" ht="13.5" customHeight="1" x14ac:dyDescent="0.25">
      <c r="A1870" s="343"/>
      <c r="B1870" s="15"/>
      <c r="C1870" s="15"/>
      <c r="D1870" s="289" t="s">
        <v>859</v>
      </c>
      <c r="E1870" s="924" t="str">
        <f>Translations!$B$532</f>
        <v>Indirekta utsläpp</v>
      </c>
      <c r="F1870" s="924"/>
      <c r="G1870" s="461" t="str">
        <f>EUconst_tCO2pa</f>
        <v>t CO2 / år</v>
      </c>
      <c r="H1870" s="462" t="str">
        <f t="shared" ref="H1870:N1870" si="844">IF(ISNUMBER(H1868),H1868*EUconst_ElBM,"")</f>
        <v/>
      </c>
      <c r="I1870" s="999" t="str">
        <f t="shared" si="844"/>
        <v/>
      </c>
      <c r="J1870" s="1008" t="str">
        <f t="shared" si="844"/>
        <v/>
      </c>
      <c r="K1870" s="463" t="str">
        <f t="shared" si="844"/>
        <v/>
      </c>
      <c r="L1870" s="463" t="str">
        <f t="shared" si="844"/>
        <v/>
      </c>
      <c r="M1870" s="462" t="str">
        <f t="shared" si="844"/>
        <v/>
      </c>
      <c r="N1870" s="462" t="str">
        <f t="shared" si="844"/>
        <v/>
      </c>
      <c r="O1870" s="15"/>
      <c r="P1870" s="15"/>
      <c r="Q1870" s="343"/>
      <c r="R1870" s="343"/>
      <c r="S1870" s="2"/>
      <c r="T1870" s="2"/>
      <c r="U1870" s="343"/>
      <c r="V1870" s="343"/>
      <c r="W1870" s="343"/>
      <c r="X1870" s="343"/>
      <c r="Y1870" s="343"/>
      <c r="Z1870" s="343"/>
      <c r="AA1870" s="343"/>
      <c r="AB1870" s="343"/>
      <c r="AC1870" s="343"/>
      <c r="AD1870" s="343"/>
      <c r="AE1870" s="343"/>
      <c r="AF1870" s="343"/>
      <c r="AG1870" s="343"/>
      <c r="AH1870" s="343"/>
      <c r="AI1870" s="343"/>
      <c r="AJ1870" s="343"/>
      <c r="AK1870" s="343"/>
      <c r="AL1870" s="2"/>
    </row>
    <row r="1871" spans="1:38" ht="5.15" customHeight="1" x14ac:dyDescent="0.25">
      <c r="A1871" s="2"/>
      <c r="B1871" s="178"/>
      <c r="C1871" s="178"/>
      <c r="D1871" s="178"/>
      <c r="E1871" s="178"/>
      <c r="F1871" s="178"/>
      <c r="G1871" s="178"/>
      <c r="H1871" s="178"/>
      <c r="I1871" s="178"/>
      <c r="J1871" s="1009"/>
      <c r="K1871" s="178"/>
      <c r="L1871" s="178"/>
      <c r="M1871" s="15"/>
      <c r="N1871" s="15"/>
      <c r="O1871" s="15"/>
      <c r="P1871" s="15"/>
      <c r="Q1871" s="343"/>
      <c r="R1871" s="2"/>
      <c r="S1871" s="2"/>
      <c r="T1871" s="2"/>
      <c r="U1871" s="343"/>
      <c r="V1871" s="343"/>
      <c r="W1871" s="343"/>
      <c r="X1871" s="343"/>
      <c r="Y1871" s="343"/>
      <c r="Z1871" s="343"/>
      <c r="AA1871" s="2"/>
      <c r="AB1871" s="2"/>
      <c r="AC1871" s="2"/>
      <c r="AD1871" s="2"/>
      <c r="AE1871" s="2"/>
      <c r="AF1871" s="2"/>
      <c r="AG1871" s="2"/>
      <c r="AH1871" s="2"/>
      <c r="AI1871" s="2"/>
      <c r="AJ1871" s="2"/>
      <c r="AK1871" s="2"/>
      <c r="AL1871" s="2"/>
    </row>
    <row r="1872" spans="1:38" ht="12.75" customHeight="1" x14ac:dyDescent="0.25">
      <c r="A1872" s="2"/>
      <c r="B1872" s="178"/>
      <c r="C1872" s="178"/>
      <c r="D1872" s="289" t="s">
        <v>860</v>
      </c>
      <c r="E1872" s="514" t="s">
        <v>1526</v>
      </c>
      <c r="F1872" s="929"/>
      <c r="G1872" s="930" t="s">
        <v>1112</v>
      </c>
      <c r="H1872" s="926" t="str">
        <f t="shared" ref="H1872:N1872" si="845">IF(COUNT(H1869:H1870)&gt;0,SUM(H1869)/SUM(H1869:H1870),IF($T1861=TRUE,IF(H1865&gt;CNTR_ReportingYear,"",1),""))</f>
        <v/>
      </c>
      <c r="I1872" s="1000" t="str">
        <f t="shared" si="845"/>
        <v/>
      </c>
      <c r="J1872" s="1010" t="str">
        <f t="shared" si="845"/>
        <v/>
      </c>
      <c r="K1872" s="1004" t="str">
        <f t="shared" si="845"/>
        <v/>
      </c>
      <c r="L1872" s="926" t="str">
        <f t="shared" si="845"/>
        <v/>
      </c>
      <c r="M1872" s="926" t="str">
        <f t="shared" si="845"/>
        <v/>
      </c>
      <c r="N1872" s="926" t="str">
        <f t="shared" si="845"/>
        <v/>
      </c>
      <c r="O1872" s="15"/>
      <c r="P1872" s="15"/>
      <c r="Q1872" s="165" t="str">
        <f>EUconst_CNTR_ELEXCH &amp; I1825</f>
        <v>ELEXCH_</v>
      </c>
      <c r="R1872" s="2"/>
      <c r="S1872" s="2"/>
      <c r="T1872" s="2"/>
      <c r="U1872" s="2"/>
      <c r="V1872" s="2"/>
      <c r="W1872" s="2"/>
      <c r="X1872" s="2"/>
      <c r="Y1872" s="2"/>
      <c r="Z1872" s="2"/>
      <c r="AA1872" s="2"/>
      <c r="AB1872" s="2"/>
      <c r="AC1872" s="2"/>
      <c r="AD1872" s="2"/>
      <c r="AE1872" s="2"/>
      <c r="AF1872" s="2"/>
      <c r="AG1872" s="2"/>
      <c r="AH1872" s="2"/>
      <c r="AI1872" s="2"/>
      <c r="AJ1872" s="2"/>
      <c r="AK1872" s="2"/>
      <c r="AL1872" s="2"/>
    </row>
    <row r="1873" spans="1:38" ht="5.15" customHeight="1" x14ac:dyDescent="0.25">
      <c r="A1873" s="2"/>
      <c r="B1873" s="178"/>
      <c r="C1873" s="178"/>
      <c r="D1873" s="178"/>
      <c r="E1873" s="178"/>
      <c r="F1873" s="178"/>
      <c r="G1873" s="178"/>
      <c r="H1873" s="178"/>
      <c r="I1873" s="178"/>
      <c r="J1873" s="178"/>
      <c r="K1873" s="178"/>
      <c r="L1873" s="178"/>
      <c r="M1873" s="15"/>
      <c r="N1873" s="15"/>
      <c r="O1873" s="15"/>
      <c r="P1873" s="15"/>
      <c r="Q1873" s="343"/>
      <c r="R1873" s="2"/>
      <c r="S1873" s="2"/>
      <c r="T1873" s="2"/>
      <c r="U1873" s="2"/>
      <c r="V1873" s="2"/>
      <c r="W1873" s="2"/>
      <c r="X1873" s="2"/>
      <c r="Y1873" s="2"/>
      <c r="Z1873" s="2"/>
      <c r="AA1873" s="2"/>
      <c r="AB1873" s="2"/>
      <c r="AC1873" s="2"/>
      <c r="AD1873" s="2"/>
      <c r="AE1873" s="2"/>
      <c r="AF1873" s="2"/>
      <c r="AG1873" s="2"/>
      <c r="AH1873" s="2"/>
      <c r="AI1873" s="2"/>
      <c r="AJ1873" s="2"/>
      <c r="AK1873" s="2"/>
      <c r="AL1873" s="2"/>
    </row>
    <row r="1874" spans="1:38" ht="25.5" customHeight="1" thickBot="1" x14ac:dyDescent="0.3">
      <c r="A1874" s="2"/>
      <c r="B1874" s="178"/>
      <c r="C1874" s="178"/>
      <c r="D1874" s="15"/>
      <c r="E1874" s="2061" t="str">
        <f>Translations!$B$1479</f>
        <v>Baserat på uppgifterna ovan bestäms ett genomsnittligt årligt värde. Tilldelningen kommer endast att ändras om det relativa tröskelvärdet (15 % jämfört med värdet från de nationella genomförandeåtgärderna) och det absoluta tröskelvärdet (ändring leder till mer än 100 utsläppsrätter) överskrids, enligt artikel 6.4 i verksamhetsändringsförordningen.</v>
      </c>
      <c r="F1874" s="1963"/>
      <c r="G1874" s="1963"/>
      <c r="H1874" s="1963"/>
      <c r="I1874" s="1963"/>
      <c r="J1874" s="1963"/>
      <c r="K1874" s="1963"/>
      <c r="L1874" s="1963"/>
      <c r="M1874" s="1963"/>
      <c r="N1874" s="1963"/>
      <c r="O1874" s="15"/>
      <c r="P1874" s="15"/>
      <c r="Q1874" s="343"/>
      <c r="R1874" s="2"/>
      <c r="S1874" s="343"/>
      <c r="T1874" s="343"/>
      <c r="U1874" s="343"/>
      <c r="V1874" s="2"/>
      <c r="W1874" s="2"/>
      <c r="X1874" s="2"/>
      <c r="Y1874" s="2"/>
      <c r="Z1874" s="2"/>
      <c r="AA1874" s="2"/>
      <c r="AB1874" s="2"/>
      <c r="AC1874" s="2"/>
      <c r="AD1874" s="2"/>
      <c r="AE1874" s="2"/>
      <c r="AF1874" s="2"/>
      <c r="AG1874" s="2"/>
      <c r="AH1874" s="2"/>
      <c r="AI1874" s="2"/>
      <c r="AJ1874" s="2"/>
      <c r="AK1874" s="2"/>
      <c r="AL1874" s="2"/>
    </row>
    <row r="1875" spans="1:38" ht="5.15" customHeight="1" thickBot="1" x14ac:dyDescent="0.3">
      <c r="A1875" s="2"/>
      <c r="B1875" s="178"/>
      <c r="C1875" s="178"/>
      <c r="D1875" s="1238"/>
      <c r="E1875" s="1266"/>
      <c r="F1875" s="1266"/>
      <c r="G1875" s="1266"/>
      <c r="H1875" s="1266"/>
      <c r="I1875" s="1266"/>
      <c r="J1875" s="1266"/>
      <c r="K1875" s="1266"/>
      <c r="L1875" s="1266"/>
      <c r="M1875" s="1266"/>
      <c r="N1875" s="1267"/>
      <c r="O1875" s="15"/>
      <c r="P1875" s="15"/>
      <c r="Q1875" s="343"/>
      <c r="R1875" s="2"/>
      <c r="S1875" s="343"/>
      <c r="T1875" s="343"/>
      <c r="U1875" s="343"/>
      <c r="V1875" s="2"/>
      <c r="W1875" s="2"/>
      <c r="X1875" s="2"/>
      <c r="Y1875" s="2"/>
      <c r="Z1875" s="2"/>
      <c r="AA1875" s="2"/>
      <c r="AB1875" s="2"/>
      <c r="AC1875" s="2"/>
      <c r="AD1875" s="2"/>
      <c r="AE1875" s="2"/>
      <c r="AF1875" s="2"/>
      <c r="AG1875" s="2"/>
      <c r="AH1875" s="2"/>
      <c r="AI1875" s="2"/>
      <c r="AJ1875" s="2"/>
      <c r="AK1875" s="2"/>
      <c r="AL1875" s="2"/>
    </row>
    <row r="1876" spans="1:38" ht="12.75" customHeight="1" x14ac:dyDescent="0.25">
      <c r="A1876" s="2"/>
      <c r="B1876" s="178"/>
      <c r="C1876" s="178"/>
      <c r="D1876" s="1290" t="s">
        <v>2191</v>
      </c>
      <c r="E1876" s="1243" t="str">
        <f>Translations!$B$1480</f>
        <v>Justeringar: Elutbyte</v>
      </c>
      <c r="F1876" s="1244"/>
      <c r="G1876" s="1244"/>
      <c r="H1876" s="1228" t="str">
        <f>EUconst_Unit</f>
        <v>Enhet</v>
      </c>
      <c r="I1876" s="1229" t="str">
        <f>Translations!$B$1481</f>
        <v>Värde (NIMs)</v>
      </c>
      <c r="J1876" s="1268">
        <f>J$3042</f>
        <v>2021</v>
      </c>
      <c r="K1876" s="1230">
        <f>K$3042</f>
        <v>2022</v>
      </c>
      <c r="L1876" s="1230">
        <f>L$3042</f>
        <v>2023</v>
      </c>
      <c r="M1876" s="1230">
        <f>M$3042</f>
        <v>2024</v>
      </c>
      <c r="N1876" s="1258">
        <f>N$3042</f>
        <v>2025</v>
      </c>
      <c r="O1876" s="15"/>
      <c r="P1876" s="15"/>
      <c r="Q1876" s="343"/>
      <c r="R1876" s="2"/>
      <c r="S1876" s="2"/>
      <c r="T1876" s="2"/>
      <c r="U1876" s="772"/>
      <c r="V1876" s="1077">
        <f>J1876</f>
        <v>2021</v>
      </c>
      <c r="W1876" s="1077">
        <f>K1876</f>
        <v>2022</v>
      </c>
      <c r="X1876" s="1077">
        <f>L1876</f>
        <v>2023</v>
      </c>
      <c r="Y1876" s="1077">
        <f>M1876</f>
        <v>2024</v>
      </c>
      <c r="Z1876" s="1078">
        <f>N1876</f>
        <v>2025</v>
      </c>
      <c r="AA1876" s="2"/>
      <c r="AB1876" s="2"/>
      <c r="AC1876" s="2"/>
      <c r="AD1876" s="2"/>
      <c r="AE1876" s="2"/>
      <c r="AF1876" s="2"/>
      <c r="AG1876" s="2"/>
      <c r="AH1876" s="2"/>
      <c r="AI1876" s="2"/>
      <c r="AJ1876" s="2"/>
      <c r="AK1876" s="2"/>
      <c r="AL1876" s="343"/>
    </row>
    <row r="1877" spans="1:38" ht="12.75" customHeight="1" x14ac:dyDescent="0.25">
      <c r="A1877" s="2"/>
      <c r="B1877" s="178"/>
      <c r="C1877" s="178"/>
      <c r="D1877" s="1246" t="s">
        <v>8</v>
      </c>
      <c r="E1877" s="1231" t="str">
        <f>Translations!$B$1482</f>
        <v>Genomsnittligt årligt värde</v>
      </c>
      <c r="F1877" s="1231"/>
      <c r="G1877" s="1231"/>
      <c r="H1877" s="1232" t="str">
        <f>G1872</f>
        <v>-</v>
      </c>
      <c r="I1877" s="1011" t="str">
        <f>IF($T1861&lt;&gt;TRUE,"",INDEX('B+C_SubInstallations'!$L:$L,MATCH(Q1877,'B+C_SubInstallations'!$W:$W,0)))</f>
        <v/>
      </c>
      <c r="J1877" s="1012" t="str">
        <f>IF($T1861&lt;&gt;TRUE,"",IF(AND(V1877&gt;=3,CNTR_ReportingYear&gt;J1876-1),AVERAGE(SUM(H1872),SUM(I1872)),""))</f>
        <v/>
      </c>
      <c r="K1877" s="927" t="str">
        <f>IF($T1861&lt;&gt;TRUE,"",IF(AND(W1877&gt;=3,CNTR_ReportingYear&gt;K1876-1),AVERAGE(SUM(I1872),SUM(J1872)),""))</f>
        <v/>
      </c>
      <c r="L1877" s="927" t="str">
        <f>IF($T1861&lt;&gt;TRUE,"",IF(AND(X1877&gt;=3,CNTR_ReportingYear&gt;L1876-1),AVERAGE(SUM(J1872),SUM(K1872)),""))</f>
        <v/>
      </c>
      <c r="M1877" s="927" t="str">
        <f>IF($T1861&lt;&gt;TRUE,"",IF(AND(Y1877&gt;=3,CNTR_ReportingYear&gt;M1876-1),AVERAGE(SUM(K1872),SUM(L1872)),""))</f>
        <v/>
      </c>
      <c r="N1877" s="1222" t="str">
        <f>IF($T1861&lt;&gt;TRUE,"",IF(AND(Z1877&gt;=3,CNTR_ReportingYear&gt;N1876-1),AVERAGE(SUM(L1872),SUM(M1872)),""))</f>
        <v/>
      </c>
      <c r="O1877" s="15"/>
      <c r="P1877" s="15"/>
      <c r="Q1877" s="165" t="str">
        <f>EUconst_CNTR_HAL &amp; EUconst_CNTR_ELEXCHInitial &amp; I1825</f>
        <v>HAL_ELEXCHIni_</v>
      </c>
      <c r="R1877" s="2"/>
      <c r="S1877" s="2"/>
      <c r="T1877" s="2"/>
      <c r="U1877" s="1079" t="s">
        <v>1850</v>
      </c>
      <c r="V1877" s="663">
        <f>V1847</f>
        <v>0</v>
      </c>
      <c r="W1877" s="663">
        <f>W1847</f>
        <v>0</v>
      </c>
      <c r="X1877" s="663">
        <f>X1847</f>
        <v>0</v>
      </c>
      <c r="Y1877" s="663">
        <f>Y1847</f>
        <v>0</v>
      </c>
      <c r="Z1877" s="1080">
        <f>Z1847</f>
        <v>0</v>
      </c>
      <c r="AA1877" s="2"/>
      <c r="AB1877" s="2"/>
      <c r="AC1877" s="2"/>
      <c r="AD1877" s="2"/>
      <c r="AE1877" s="2"/>
      <c r="AF1877" s="2"/>
      <c r="AG1877" s="2"/>
      <c r="AH1877" s="2"/>
      <c r="AI1877" s="2"/>
      <c r="AJ1877" s="2"/>
      <c r="AK1877" s="2"/>
      <c r="AL1877" s="343"/>
    </row>
    <row r="1878" spans="1:38" ht="12.75" hidden="1" customHeight="1" x14ac:dyDescent="0.25">
      <c r="A1878" s="343" t="s">
        <v>346</v>
      </c>
      <c r="B1878" s="178"/>
      <c r="C1878" s="178"/>
      <c r="D1878" s="1246"/>
      <c r="E1878" s="1231" t="s">
        <v>1980</v>
      </c>
      <c r="F1878" s="1231"/>
      <c r="G1878" s="1231"/>
      <c r="H1878" s="1233"/>
      <c r="I1878" s="1235"/>
      <c r="J1878" s="1013" t="str">
        <f>IF(J1877="","",IF($I1880=0,IF(J1877=0,0%,100%),J1877/$I1880-1))</f>
        <v/>
      </c>
      <c r="K1878" s="938" t="str">
        <f>IF(K1877="","",IF($I1880=0,IF(K1877=0,0%,100%),K1877/$I1880-1))</f>
        <v/>
      </c>
      <c r="L1878" s="938" t="str">
        <f>IF(L1877="","",IF($I1880=0,IF(L1877=0,0%,100%),L1877/$I1880-1))</f>
        <v/>
      </c>
      <c r="M1878" s="938" t="str">
        <f>IF(M1877="","",IF($I1880=0,IF(M1877=0,0%,100%),M1877/$I1880-1))</f>
        <v/>
      </c>
      <c r="N1878" s="1223" t="str">
        <f>IF(N1877="","",IF($I1880=0,IF(N1877=0,0%,100%),N1877/$I1880-1))</f>
        <v/>
      </c>
      <c r="O1878" s="15"/>
      <c r="P1878" s="15"/>
      <c r="Q1878" s="165" t="str">
        <f>EUconst_CNTR_RelThreshold &amp; Q1880</f>
        <v>RelThresh_HALprelim_ELEXCH_</v>
      </c>
      <c r="R1878" s="2"/>
      <c r="S1878" s="2"/>
      <c r="T1878" s="2"/>
      <c r="U1878" s="1079" t="s">
        <v>1855</v>
      </c>
      <c r="V1878" s="603" t="str">
        <f>IF(J1877="","",ABS(J1878)&gt;15%)</f>
        <v/>
      </c>
      <c r="W1878" s="603" t="str">
        <f>IF(K1877="","",ABS(K1878)&gt;15%)</f>
        <v/>
      </c>
      <c r="X1878" s="603" t="str">
        <f>IF(L1877="","",ABS(L1878)&gt;15%)</f>
        <v/>
      </c>
      <c r="Y1878" s="603" t="str">
        <f>IF(M1877="","",ABS(M1878)&gt;15%)</f>
        <v/>
      </c>
      <c r="Z1878" s="1756" t="str">
        <f>IF(N1877="","",ABS(N1878)&gt;15%)</f>
        <v/>
      </c>
      <c r="AA1878" s="2"/>
      <c r="AB1878" s="2"/>
      <c r="AC1878" s="2"/>
      <c r="AD1878" s="2"/>
      <c r="AE1878" s="2"/>
      <c r="AF1878" s="2"/>
      <c r="AG1878" s="2"/>
      <c r="AH1878" s="2"/>
      <c r="AI1878" s="2"/>
      <c r="AJ1878" s="2"/>
      <c r="AK1878" s="2"/>
      <c r="AL1878" s="343"/>
    </row>
    <row r="1879" spans="1:38" ht="12.75" customHeight="1" x14ac:dyDescent="0.25">
      <c r="A1879" s="343"/>
      <c r="B1879" s="178"/>
      <c r="C1879" s="178"/>
      <c r="D1879" s="1246" t="s">
        <v>9</v>
      </c>
      <c r="E1879" s="1231" t="str">
        <f>Translations!$B$1474</f>
        <v>Preliminär justering (om relativa tröskelvärden överskrids)</v>
      </c>
      <c r="F1879" s="1231"/>
      <c r="G1879" s="1231"/>
      <c r="H1879" s="1233"/>
      <c r="I1879" s="1235"/>
      <c r="J1879" s="992" t="str">
        <f>IF(J1877="","",IF(V1878=FALSE,0%,J1878))</f>
        <v/>
      </c>
      <c r="K1879" s="937" t="str">
        <f>IF(K1877="","",IF(W1878=FALSE,0%,K1878))</f>
        <v/>
      </c>
      <c r="L1879" s="937" t="str">
        <f>IF(L1877="","",IF(X1878=FALSE,0%,L1878))</f>
        <v/>
      </c>
      <c r="M1879" s="937" t="str">
        <f>IF(M1877="","",IF(Y1878=FALSE,0%,M1878))</f>
        <v/>
      </c>
      <c r="N1879" s="1220" t="str">
        <f>IF(N1877="","",IF(Z1878=FALSE,0%,N1878))</f>
        <v/>
      </c>
      <c r="O1879" s="15"/>
      <c r="P1879" s="15"/>
      <c r="Q1879" s="343"/>
      <c r="R1879" s="2"/>
      <c r="S1879" s="2"/>
      <c r="T1879" s="2"/>
      <c r="U1879" s="1081"/>
      <c r="V1879" s="2"/>
      <c r="W1879" s="2"/>
      <c r="X1879" s="2"/>
      <c r="Y1879" s="2"/>
      <c r="Z1879" s="228"/>
      <c r="AA1879" s="2"/>
      <c r="AB1879" s="2"/>
      <c r="AC1879" s="2"/>
      <c r="AD1879" s="2"/>
      <c r="AE1879" s="2"/>
      <c r="AF1879" s="2"/>
      <c r="AG1879" s="2"/>
      <c r="AH1879" s="2"/>
      <c r="AI1879" s="2"/>
      <c r="AJ1879" s="2"/>
      <c r="AK1879" s="2"/>
      <c r="AL1879" s="343"/>
    </row>
    <row r="1880" spans="1:38" ht="12.75" hidden="1" customHeight="1" x14ac:dyDescent="0.25">
      <c r="A1880" s="343" t="s">
        <v>346</v>
      </c>
      <c r="B1880" s="178"/>
      <c r="C1880" s="178"/>
      <c r="D1880" s="1246"/>
      <c r="E1880" s="1231" t="s">
        <v>1889</v>
      </c>
      <c r="F1880" s="1231"/>
      <c r="G1880" s="1231"/>
      <c r="H1880" s="1232" t="str">
        <f>H1877</f>
        <v>-</v>
      </c>
      <c r="I1880" s="1011" t="str">
        <f>IF($T1861&lt;&gt;TRUE,"",IF(AB1825=FALSE,EUconst_NA,IF(V1825&gt;($J$3042-3),INDEX(H1872:N1872,MATCH(V1825,H1865:N1865,0)),SUM(I1877))))</f>
        <v/>
      </c>
      <c r="J1880" s="1014" t="str">
        <f>IF(OR($I1825="",$T1861=FALSE),"",IF(V1877&lt;2,SUM(J1872),IF(V1877&lt;3,SUM(I1872),IF(V1880="",I1880,V1880))))</f>
        <v/>
      </c>
      <c r="K1880" s="928" t="str">
        <f>IF(OR($I1825="",$T1861=FALSE),"",IF(W1877&lt;2,SUM(K1872),IF(W1877&lt;3,SUM(J1872),IF(W1880="",J1880,W1880))))</f>
        <v/>
      </c>
      <c r="L1880" s="928" t="str">
        <f>IF(OR($I1825="",$T1861=FALSE),"",IF(X1877&lt;2,SUM(L1872),IF(X1877&lt;3,SUM(K1872),IF(X1880="",K1880,X1880))))</f>
        <v/>
      </c>
      <c r="M1880" s="928" t="str">
        <f>IF(OR($I1825="",$T1861=FALSE),"",IF(Y1877&lt;2,SUM(M1872),IF(Y1877&lt;3,SUM(L1872),IF(Y1880="",L1880,Y1880))))</f>
        <v/>
      </c>
      <c r="N1880" s="1224" t="str">
        <f>IF(OR($I1825="",$T1861=FALSE),"",IF(Z1877&lt;2,SUM(N1872),IF(Z1877&lt;3,SUM(M1872),IF(Z1880="",M1880,Z1880))))</f>
        <v/>
      </c>
      <c r="O1880" s="15"/>
      <c r="P1880" s="15"/>
      <c r="Q1880" s="165" t="str">
        <f>EUconst_CNTR_HALprelim&amp;EUconst_CNTR_ELEXCH &amp; I1825</f>
        <v>HALprelim_ELEXCH_</v>
      </c>
      <c r="R1880" s="2"/>
      <c r="S1880" s="2"/>
      <c r="T1880" s="2"/>
      <c r="U1880" s="1079" t="s">
        <v>1898</v>
      </c>
      <c r="V1880" s="1753" t="str">
        <f>IF(J1877="","",IF(CNTR_ReportingYear&lt;J1876,I1879,IF($I1880=0,J1877,$I1880*(1+J1879))))</f>
        <v/>
      </c>
      <c r="W1880" s="1753" t="str">
        <f>IF(K1877="","",IF(CNTR_ReportingYear&lt;K1876,J1879,IF($I1880=0,K1877,$I1880*(1+K1879))))</f>
        <v/>
      </c>
      <c r="X1880" s="1753" t="str">
        <f>IF(L1877="","",IF(CNTR_ReportingYear&lt;L1876,K1879,IF($I1880=0,L1877,$I1880*(1+L1879))))</f>
        <v/>
      </c>
      <c r="Y1880" s="1753" t="str">
        <f>IF(M1877="","",IF(CNTR_ReportingYear&lt;M1876,L1879,IF($I1880=0,M1877,$I1880*(1+M1879))))</f>
        <v/>
      </c>
      <c r="Z1880" s="1760" t="str">
        <f>IF(N1877="","",IF(CNTR_ReportingYear&lt;N1876,M1879,IF($I1880=0,N1877,$I1880*(1+N1879))))</f>
        <v/>
      </c>
      <c r="AA1880" s="2"/>
      <c r="AB1880" s="2"/>
      <c r="AC1880" s="2"/>
      <c r="AD1880" s="2"/>
      <c r="AE1880" s="2"/>
      <c r="AF1880" s="2"/>
      <c r="AG1880" s="2"/>
      <c r="AH1880" s="2"/>
      <c r="AI1880" s="2"/>
      <c r="AJ1880" s="2"/>
      <c r="AK1880" s="2"/>
      <c r="AL1880" s="343"/>
    </row>
    <row r="1881" spans="1:38" ht="5.15" customHeight="1" x14ac:dyDescent="0.25">
      <c r="A1881" s="343"/>
      <c r="B1881" s="178"/>
      <c r="C1881" s="178"/>
      <c r="D1881" s="1246"/>
      <c r="E1881" s="1244"/>
      <c r="F1881" s="1244"/>
      <c r="G1881" s="1244"/>
      <c r="H1881" s="1244"/>
      <c r="I1881" s="1244"/>
      <c r="J1881" s="1236"/>
      <c r="K1881" s="1236"/>
      <c r="L1881" s="1236"/>
      <c r="M1881" s="1236"/>
      <c r="N1881" s="1247"/>
      <c r="O1881" s="15"/>
      <c r="P1881" s="15"/>
      <c r="Q1881" s="343"/>
      <c r="R1881" s="2"/>
      <c r="S1881" s="2"/>
      <c r="T1881" s="2"/>
      <c r="U1881" s="1086"/>
      <c r="V1881" s="343"/>
      <c r="W1881" s="2"/>
      <c r="X1881" s="2"/>
      <c r="Y1881" s="2"/>
      <c r="Z1881" s="228"/>
      <c r="AA1881" s="2"/>
      <c r="AB1881" s="2"/>
      <c r="AC1881" s="2"/>
      <c r="AD1881" s="2"/>
      <c r="AE1881" s="2"/>
      <c r="AF1881" s="2"/>
      <c r="AG1881" s="2"/>
      <c r="AH1881" s="2"/>
      <c r="AI1881" s="2"/>
      <c r="AJ1881" s="2"/>
      <c r="AK1881" s="2"/>
      <c r="AL1881" s="343"/>
    </row>
    <row r="1882" spans="1:38" ht="12.75" customHeight="1" x14ac:dyDescent="0.25">
      <c r="A1882" s="343"/>
      <c r="B1882" s="178"/>
      <c r="C1882" s="178"/>
      <c r="D1882" s="1246"/>
      <c r="E1882" s="1234" t="str">
        <f>Translations!$B$1475</f>
        <v>Faktisk justering (grund för följande år)</v>
      </c>
      <c r="F1882" s="1234"/>
      <c r="G1882" s="1234"/>
      <c r="H1882" s="1234"/>
      <c r="I1882" s="1234"/>
      <c r="J1882" s="1268">
        <f>J$3042</f>
        <v>2021</v>
      </c>
      <c r="K1882" s="1230">
        <f>K$3042</f>
        <v>2022</v>
      </c>
      <c r="L1882" s="1230">
        <f>L$3042</f>
        <v>2023</v>
      </c>
      <c r="M1882" s="1230">
        <f>M$3042</f>
        <v>2024</v>
      </c>
      <c r="N1882" s="1258">
        <f>N$3042</f>
        <v>2025</v>
      </c>
      <c r="O1882" s="15"/>
      <c r="P1882" s="15"/>
      <c r="Q1882" s="343"/>
      <c r="R1882" s="2"/>
      <c r="S1882" s="2"/>
      <c r="T1882" s="2"/>
      <c r="U1882" s="584"/>
      <c r="V1882" s="2"/>
      <c r="W1882" s="2"/>
      <c r="X1882" s="2"/>
      <c r="Y1882" s="2"/>
      <c r="Z1882" s="228"/>
      <c r="AA1882" s="2"/>
      <c r="AB1882" s="2"/>
      <c r="AC1882" s="2"/>
      <c r="AD1882" s="2"/>
      <c r="AE1882" s="2"/>
      <c r="AF1882" s="2"/>
      <c r="AG1882" s="2"/>
      <c r="AH1882" s="2"/>
      <c r="AI1882" s="2"/>
      <c r="AJ1882" s="2"/>
      <c r="AK1882" s="2"/>
      <c r="AL1882" s="343"/>
    </row>
    <row r="1883" spans="1:38" ht="12.75" customHeight="1" x14ac:dyDescent="0.25">
      <c r="A1883" s="343"/>
      <c r="B1883" s="178"/>
      <c r="C1883" s="178"/>
      <c r="D1883" s="1246" t="s">
        <v>10</v>
      </c>
      <c r="E1883" s="1231" t="str">
        <f>Translations!$B$1476</f>
        <v>&gt;= 100 utsläppsrätter kriterium uppnått?</v>
      </c>
      <c r="F1883" s="1231"/>
      <c r="G1883" s="1231"/>
      <c r="H1883" s="1231"/>
      <c r="I1883" s="1231"/>
      <c r="J1883" s="994" t="str">
        <f>IF(OR($I1825="",$T1861=FALSE),"",INDEX(K_Summary!J:J,MATCH($Q1883,K_Summary!$P:$P,0)))</f>
        <v/>
      </c>
      <c r="K1883" s="912" t="str">
        <f>IF(OR($I1825="",$T1861=FALSE),"",INDEX(K_Summary!K:K,MATCH($Q1883,K_Summary!$P:$P,0)))</f>
        <v/>
      </c>
      <c r="L1883" s="912" t="str">
        <f>IF(OR($I1825="",$T1861=FALSE),"",INDEX(K_Summary!L:L,MATCH($Q1883,K_Summary!$P:$P,0)))</f>
        <v/>
      </c>
      <c r="M1883" s="912" t="str">
        <f>IF(OR($I1825="",$T1861=FALSE),"",INDEX(K_Summary!M:M,MATCH($Q1883,K_Summary!$P:$P,0)))</f>
        <v/>
      </c>
      <c r="N1883" s="1221" t="str">
        <f>IF(OR($I1825="",$T1861=FALSE),"",INDEX(K_Summary!N:N,MATCH($Q1883,K_Summary!$P:$P,0)))</f>
        <v/>
      </c>
      <c r="O1883" s="15"/>
      <c r="P1883" s="15"/>
      <c r="Q1883" s="165" t="str">
        <f>EUconst_CNTR_100EUA_ElExch&amp;I1825</f>
        <v>EUA100ElExch_</v>
      </c>
      <c r="R1883" s="2"/>
      <c r="S1883" s="2"/>
      <c r="T1883" s="2"/>
      <c r="U1883" s="584"/>
      <c r="V1883" s="2"/>
      <c r="W1883" s="2"/>
      <c r="X1883" s="2"/>
      <c r="Y1883" s="2"/>
      <c r="Z1883" s="228"/>
      <c r="AA1883" s="2"/>
      <c r="AB1883" s="2"/>
      <c r="AC1883" s="2"/>
      <c r="AD1883" s="2"/>
      <c r="AE1883" s="2"/>
      <c r="AF1883" s="2"/>
      <c r="AG1883" s="2"/>
      <c r="AH1883" s="2"/>
      <c r="AI1883" s="2"/>
      <c r="AJ1883" s="2"/>
      <c r="AK1883" s="2"/>
      <c r="AL1883" s="343"/>
    </row>
    <row r="1884" spans="1:38" ht="5.15" customHeight="1" thickBot="1" x14ac:dyDescent="0.3">
      <c r="A1884" s="343"/>
      <c r="B1884" s="178"/>
      <c r="C1884" s="178"/>
      <c r="D1884" s="1246"/>
      <c r="E1884" s="1244"/>
      <c r="F1884" s="1244"/>
      <c r="G1884" s="1244"/>
      <c r="H1884" s="1244"/>
      <c r="I1884" s="1244"/>
      <c r="J1884" s="1244"/>
      <c r="K1884" s="1244"/>
      <c r="L1884" s="1244"/>
      <c r="M1884" s="1244"/>
      <c r="N1884" s="1248"/>
      <c r="O1884" s="15"/>
      <c r="P1884" s="15"/>
      <c r="Q1884" s="343"/>
      <c r="R1884" s="2"/>
      <c r="S1884" s="2"/>
      <c r="T1884" s="2"/>
      <c r="U1884" s="1086"/>
      <c r="V1884" s="343"/>
      <c r="W1884" s="2"/>
      <c r="X1884" s="2"/>
      <c r="Y1884" s="2"/>
      <c r="Z1884" s="228"/>
      <c r="AA1884" s="2"/>
      <c r="AB1884" s="2"/>
      <c r="AC1884" s="2"/>
      <c r="AD1884" s="2"/>
      <c r="AE1884" s="2"/>
      <c r="AF1884" s="2"/>
      <c r="AG1884" s="2"/>
      <c r="AH1884" s="2"/>
      <c r="AI1884" s="2"/>
      <c r="AJ1884" s="2"/>
      <c r="AK1884" s="2"/>
      <c r="AL1884" s="343"/>
    </row>
    <row r="1885" spans="1:38" ht="12.75" customHeight="1" thickBot="1" x14ac:dyDescent="0.3">
      <c r="A1885" s="2"/>
      <c r="B1885" s="178"/>
      <c r="C1885" s="178"/>
      <c r="D1885" s="1246" t="s">
        <v>23</v>
      </c>
      <c r="E1885" s="1231" t="str">
        <f>Translations!$B$1477</f>
        <v>Faktisk justering (om alla tröskelvärden överskrids)</v>
      </c>
      <c r="F1885" s="1231"/>
      <c r="G1885" s="1231"/>
      <c r="H1885" s="1233"/>
      <c r="I1885" s="1237"/>
      <c r="J1885" s="1099" t="str">
        <f>IF(J1883="","",IF(OR(J1883,V1877&lt;1),J1879,I1885))</f>
        <v/>
      </c>
      <c r="K1885" s="1100" t="str">
        <f>IF(K1883="","",IF(OR(K1883,W1877&lt;1),K1879,J1885))</f>
        <v/>
      </c>
      <c r="L1885" s="1100" t="str">
        <f>IF(L1883="","",IF(OR(L1883,X1877&lt;1),L1879,K1885))</f>
        <v/>
      </c>
      <c r="M1885" s="1100" t="str">
        <f>IF(M1883="","",IF(OR(M1883,Y1877&lt;1),M1879,L1885))</f>
        <v/>
      </c>
      <c r="N1885" s="1101" t="str">
        <f>IF(N1883="","",IF(OR(N1883,Z1877&lt;1),N1879,M1885))</f>
        <v/>
      </c>
      <c r="O1885" s="15"/>
      <c r="P1885" s="15"/>
      <c r="Q1885" s="343"/>
      <c r="R1885" s="2"/>
      <c r="S1885" s="2"/>
      <c r="T1885" s="2"/>
      <c r="U1885" s="1086" t="s">
        <v>1858</v>
      </c>
      <c r="V1885" s="1068">
        <f>J1882</f>
        <v>2021</v>
      </c>
      <c r="W1885" s="1068">
        <f>K1882</f>
        <v>2022</v>
      </c>
      <c r="X1885" s="1068">
        <f>L1882</f>
        <v>2023</v>
      </c>
      <c r="Y1885" s="1068">
        <f>M1882</f>
        <v>2024</v>
      </c>
      <c r="Z1885" s="1087">
        <f>N1882</f>
        <v>2025</v>
      </c>
      <c r="AA1885" s="2"/>
      <c r="AB1885" s="2"/>
      <c r="AC1885" s="2"/>
      <c r="AD1885" s="2"/>
      <c r="AE1885" s="2"/>
      <c r="AF1885" s="2"/>
      <c r="AG1885" s="2"/>
      <c r="AH1885" s="2"/>
      <c r="AI1885" s="2"/>
      <c r="AJ1885" s="2"/>
      <c r="AK1885" s="2"/>
      <c r="AL1885" s="343"/>
    </row>
    <row r="1886" spans="1:38" ht="12.75" customHeight="1" thickBot="1" x14ac:dyDescent="0.3">
      <c r="A1886" s="343"/>
      <c r="B1886" s="178"/>
      <c r="C1886" s="178"/>
      <c r="D1886" s="1246" t="s">
        <v>859</v>
      </c>
      <c r="E1886" s="1231" t="str">
        <f>Translations!$B$1478</f>
        <v>Faktiskt värde</v>
      </c>
      <c r="F1886" s="1231"/>
      <c r="G1886" s="1231"/>
      <c r="H1886" s="1232" t="str">
        <f>H1877</f>
        <v>-</v>
      </c>
      <c r="I1886" s="1011" t="str">
        <f>I1880</f>
        <v/>
      </c>
      <c r="J1886" s="1069" t="str">
        <f>IF(OR($I1825="",$T1861=FALSE),"",IF(OR($I1886=0,$I1886=EUconst_NA,J1885="",J1882&lt;=$V1825),J1880,$I1886*(1+SUM(J1885))))</f>
        <v/>
      </c>
      <c r="K1886" s="1070" t="str">
        <f>IF(OR($I1825="",$T1861=FALSE),"",IF(OR($I1886=0,$I1886=EUconst_NA,K1885="",K1882&lt;=$V1825),K1880,$I1886*(1+SUM(K1885))))</f>
        <v/>
      </c>
      <c r="L1886" s="1070" t="str">
        <f>IF(OR($I1825="",$T1861=FALSE),"",IF(OR($I1886=0,$I1886=EUconst_NA,L1885="",L1882&lt;=$V1825),L1880,$I1886*(1+SUM(L1885))))</f>
        <v/>
      </c>
      <c r="M1886" s="1070" t="str">
        <f>IF(OR($I1825="",$T1861=FALSE),"",IF(OR($I1886=0,$I1886=EUconst_NA,M1885="",M1882&lt;=$V1825),M1880,$I1886*(1+SUM(M1885))))</f>
        <v/>
      </c>
      <c r="N1886" s="1071" t="str">
        <f>IF(OR($I1825="",$T1861=FALSE),"",IF(OR($I1886=0,$I1886=EUconst_NA,N1885="",N1882&lt;=$V1825),N1880,$I1886*(1+SUM(N1885))))</f>
        <v/>
      </c>
      <c r="O1886" s="15"/>
      <c r="P1886" s="15"/>
      <c r="Q1886" s="165" t="str">
        <f>EUconst_CNTR_HALfinal&amp;EUconst_CNTR_ELEXCH &amp; I1825</f>
        <v>HALfinal_ELEXCH_</v>
      </c>
      <c r="R1886" s="2"/>
      <c r="S1886" s="2"/>
      <c r="T1886" s="2"/>
      <c r="U1886" s="1765" t="b">
        <v>0</v>
      </c>
      <c r="V1886" s="1757" t="str">
        <f>IF(V1833,IF(J1883=TRUE,V1878,U1886),"")</f>
        <v/>
      </c>
      <c r="W1886" s="1757" t="str">
        <f>IF(W1833,IF(K1883=TRUE,W1878,V1886),"")</f>
        <v/>
      </c>
      <c r="X1886" s="1757" t="str">
        <f>IF(X1833,IF(L1883=TRUE,X1878,W1886),"")</f>
        <v/>
      </c>
      <c r="Y1886" s="1757" t="str">
        <f>IF(Y1833,IF(M1883=TRUE,Y1878,X1886),"")</f>
        <v/>
      </c>
      <c r="Z1886" s="1758" t="str">
        <f>IF(Z1833,IF(N1883=TRUE,Z1878,Y1886),"")</f>
        <v/>
      </c>
      <c r="AA1886" s="2"/>
      <c r="AB1886" s="2"/>
      <c r="AC1886" s="2"/>
      <c r="AD1886" s="2"/>
      <c r="AE1886" s="2"/>
      <c r="AF1886" s="2"/>
      <c r="AG1886" s="2"/>
      <c r="AH1886" s="2"/>
      <c r="AI1886" s="2"/>
      <c r="AJ1886" s="553" t="s">
        <v>2242</v>
      </c>
      <c r="AK1886" s="108" t="str">
        <f>IF(OR(ISERROR(J1886),ISERROR(K1886),ISERROR(L1886),ISERROR(M1886),ISERROR(N1886)),EUconst_Error &amp; "BM" &amp; Q1825,"")</f>
        <v/>
      </c>
      <c r="AL1886" s="343"/>
    </row>
    <row r="1887" spans="1:38" ht="5.15" customHeight="1" thickBot="1" x14ac:dyDescent="0.3">
      <c r="A1887" s="2"/>
      <c r="B1887" s="178"/>
      <c r="C1887" s="178"/>
      <c r="D1887" s="1269"/>
      <c r="E1887" s="1270"/>
      <c r="F1887" s="1270"/>
      <c r="G1887" s="1270"/>
      <c r="H1887" s="1270"/>
      <c r="I1887" s="1270"/>
      <c r="J1887" s="1270"/>
      <c r="K1887" s="1270"/>
      <c r="L1887" s="1270"/>
      <c r="M1887" s="1272"/>
      <c r="N1887" s="1273"/>
      <c r="O1887" s="15"/>
      <c r="P1887" s="15"/>
      <c r="Q1887" s="343"/>
      <c r="R1887" s="2"/>
      <c r="S1887" s="2"/>
      <c r="T1887" s="2"/>
      <c r="U1887" s="2"/>
      <c r="V1887" s="2"/>
      <c r="W1887" s="2"/>
      <c r="X1887" s="2"/>
      <c r="Y1887" s="2"/>
      <c r="Z1887" s="2"/>
      <c r="AA1887" s="2"/>
      <c r="AB1887" s="2"/>
      <c r="AC1887" s="2"/>
      <c r="AD1887" s="2"/>
      <c r="AE1887" s="2"/>
      <c r="AF1887" s="2"/>
      <c r="AG1887" s="2"/>
      <c r="AH1887" s="2"/>
      <c r="AI1887" s="2"/>
      <c r="AJ1887" s="2"/>
      <c r="AK1887" s="2"/>
      <c r="AL1887" s="2"/>
    </row>
    <row r="1888" spans="1:38" ht="5.15" customHeight="1" x14ac:dyDescent="0.25">
      <c r="A1888" s="2"/>
      <c r="B1888" s="178"/>
      <c r="C1888" s="178"/>
      <c r="D1888" s="178"/>
      <c r="E1888" s="178"/>
      <c r="F1888" s="178"/>
      <c r="G1888" s="178"/>
      <c r="H1888" s="178"/>
      <c r="I1888" s="178"/>
      <c r="J1888" s="178"/>
      <c r="K1888" s="178"/>
      <c r="L1888" s="178"/>
      <c r="M1888" s="15"/>
      <c r="N1888" s="15"/>
      <c r="O1888" s="15"/>
      <c r="P1888" s="15"/>
      <c r="Q1888" s="343"/>
      <c r="R1888" s="2"/>
      <c r="S1888" s="2"/>
      <c r="T1888" s="2"/>
      <c r="U1888" s="2"/>
      <c r="V1888" s="2"/>
      <c r="W1888" s="2"/>
      <c r="X1888" s="2"/>
      <c r="Y1888" s="2"/>
      <c r="Z1888" s="2"/>
      <c r="AA1888" s="2"/>
      <c r="AB1888" s="2"/>
      <c r="AC1888" s="2"/>
      <c r="AD1888" s="2"/>
      <c r="AE1888" s="2"/>
      <c r="AF1888" s="2"/>
      <c r="AG1888" s="2"/>
      <c r="AH1888" s="2"/>
      <c r="AI1888" s="2"/>
      <c r="AJ1888" s="2"/>
      <c r="AK1888" s="2"/>
      <c r="AL1888" s="2"/>
    </row>
    <row r="1889" spans="1:38" ht="12.75" customHeight="1" x14ac:dyDescent="0.25">
      <c r="A1889" s="2"/>
      <c r="B1889" s="178"/>
      <c r="C1889" s="178"/>
      <c r="D1889" s="13" t="s">
        <v>960</v>
      </c>
      <c r="E1889" s="1943" t="str">
        <f>Translations!$B$533</f>
        <v>Värme som importeras från anläggningar eller enheter utanför ETS:</v>
      </c>
      <c r="F1889" s="1943"/>
      <c r="G1889" s="1943"/>
      <c r="H1889" s="1943"/>
      <c r="I1889" s="2067"/>
      <c r="J1889" s="2652" t="str">
        <f>IF(I1825="","",HYPERLINK(R1889,EUconst_MsgGoOnIfNotRelevant))</f>
        <v/>
      </c>
      <c r="K1889" s="2653"/>
      <c r="L1889" s="2653"/>
      <c r="M1889" s="2653"/>
      <c r="N1889" s="2654"/>
      <c r="O1889" s="15"/>
      <c r="P1889" s="15"/>
      <c r="Q1889" s="2" t="s">
        <v>484</v>
      </c>
      <c r="R1889" s="294" t="str">
        <f>"#"&amp;ADDRESS(ROW(D1914),COLUMN(D1914))</f>
        <v>#$D$1914</v>
      </c>
      <c r="S1889" s="2"/>
      <c r="T1889" s="2"/>
      <c r="U1889" s="2"/>
      <c r="V1889" s="2"/>
      <c r="W1889" s="2"/>
      <c r="X1889" s="2"/>
      <c r="Y1889" s="2"/>
      <c r="Z1889" s="2"/>
      <c r="AA1889" s="2"/>
      <c r="AB1889" s="2"/>
      <c r="AC1889" s="2"/>
      <c r="AD1889" s="2"/>
      <c r="AE1889" s="2"/>
      <c r="AF1889" s="2"/>
      <c r="AG1889" s="2"/>
      <c r="AH1889" s="2"/>
      <c r="AI1889" s="2"/>
      <c r="AJ1889" s="2"/>
      <c r="AK1889" s="2"/>
      <c r="AL1889" s="2"/>
    </row>
    <row r="1890" spans="1:38" ht="12.75" customHeight="1" x14ac:dyDescent="0.25">
      <c r="A1890" s="2"/>
      <c r="B1890" s="178"/>
      <c r="C1890" s="178"/>
      <c r="D1890" s="15"/>
      <c r="E1890" s="2061" t="str">
        <f>Translations!$B$534</f>
        <v>Enligt artikel 21 i FAR måste en utsläppsmängd dras av från det preliminära årsantalet utsläppsrätter från delanläggningar med produktriktmärke.</v>
      </c>
      <c r="F1890" s="1963"/>
      <c r="G1890" s="1963"/>
      <c r="H1890" s="1963"/>
      <c r="I1890" s="1963"/>
      <c r="J1890" s="1963"/>
      <c r="K1890" s="1963"/>
      <c r="L1890" s="1963"/>
      <c r="M1890" s="1963"/>
      <c r="N1890" s="1963"/>
      <c r="O1890" s="15"/>
      <c r="P1890" s="15"/>
      <c r="Q1890" s="343"/>
      <c r="R1890" s="2"/>
      <c r="S1890" s="2"/>
      <c r="T1890" s="2"/>
      <c r="U1890" s="343"/>
      <c r="V1890" s="343"/>
      <c r="W1890" s="2"/>
      <c r="X1890" s="2"/>
      <c r="Y1890" s="2"/>
      <c r="Z1890" s="2"/>
      <c r="AA1890" s="2"/>
      <c r="AB1890" s="2"/>
      <c r="AC1890" s="2"/>
      <c r="AD1890" s="2"/>
      <c r="AE1890" s="2"/>
      <c r="AF1890" s="2"/>
      <c r="AG1890" s="2"/>
      <c r="AH1890" s="2"/>
      <c r="AI1890" s="2"/>
      <c r="AJ1890" s="2"/>
      <c r="AK1890" s="2"/>
      <c r="AL1890" s="2"/>
    </row>
    <row r="1891" spans="1:38" ht="12.75" customHeight="1" x14ac:dyDescent="0.25">
      <c r="A1891" s="2"/>
      <c r="B1891" s="178"/>
      <c r="C1891" s="178"/>
      <c r="D1891" s="15"/>
      <c r="E1891" s="2061" t="str">
        <f>Translations!$B$535</f>
        <v>Detta är mängden mätbar värme som importeras från anläggningar utanför ETS (inklusive eventuell värme från delanläggningar för salpetersyra) eller enheter multiplicerat med värmeriktmärket.</v>
      </c>
      <c r="F1891" s="1963"/>
      <c r="G1891" s="1963"/>
      <c r="H1891" s="1963"/>
      <c r="I1891" s="1963"/>
      <c r="J1891" s="1963"/>
      <c r="K1891" s="1963"/>
      <c r="L1891" s="1963"/>
      <c r="M1891" s="1963"/>
      <c r="N1891" s="1963"/>
      <c r="O1891" s="15"/>
      <c r="P1891" s="15"/>
      <c r="Q1891" s="343"/>
      <c r="R1891" s="2"/>
      <c r="S1891" s="2"/>
      <c r="T1891" s="2"/>
      <c r="U1891" s="343"/>
      <c r="V1891" s="343"/>
      <c r="W1891" s="2"/>
      <c r="X1891" s="2"/>
      <c r="Y1891" s="2"/>
      <c r="Z1891" s="2"/>
      <c r="AA1891" s="2"/>
      <c r="AB1891" s="2"/>
      <c r="AC1891" s="2"/>
      <c r="AD1891" s="2"/>
      <c r="AE1891" s="2"/>
      <c r="AF1891" s="2"/>
      <c r="AG1891" s="2"/>
      <c r="AH1891" s="2"/>
      <c r="AI1891" s="2"/>
      <c r="AJ1891" s="2"/>
      <c r="AK1891" s="2"/>
      <c r="AL1891" s="2"/>
    </row>
    <row r="1892" spans="1:38" ht="12.75" customHeight="1" x14ac:dyDescent="0.25">
      <c r="A1892" s="2"/>
      <c r="B1892" s="178"/>
      <c r="C1892" s="178"/>
      <c r="D1892" s="15"/>
      <c r="E1892" s="2061" t="str">
        <f>Translations!$B$536</f>
        <v>Var god ange relevanta värden här. Notera att värdena måste överensstämma med delsummorna för import från anläggningar och enheter utanför ETS enligt punkt E.II.c i bladet ”E_Energy flows”.</v>
      </c>
      <c r="F1892" s="1963"/>
      <c r="G1892" s="1963"/>
      <c r="H1892" s="1963"/>
      <c r="I1892" s="1963"/>
      <c r="J1892" s="1963"/>
      <c r="K1892" s="1963"/>
      <c r="L1892" s="1963"/>
      <c r="M1892" s="1963"/>
      <c r="N1892" s="1963"/>
      <c r="O1892" s="15"/>
      <c r="P1892" s="15"/>
      <c r="Q1892" s="343"/>
      <c r="R1892" s="2"/>
      <c r="S1892" s="2"/>
      <c r="T1892" s="2"/>
      <c r="U1892" s="343"/>
      <c r="V1892" s="343"/>
      <c r="W1892" s="2"/>
      <c r="X1892" s="2"/>
      <c r="Y1892" s="2"/>
      <c r="Z1892" s="2"/>
      <c r="AA1892" s="2"/>
      <c r="AB1892" s="2"/>
      <c r="AC1892" s="2"/>
      <c r="AD1892" s="2"/>
      <c r="AE1892" s="2"/>
      <c r="AF1892" s="2"/>
      <c r="AG1892" s="2"/>
      <c r="AH1892" s="2"/>
      <c r="AI1892" s="2"/>
      <c r="AJ1892" s="2"/>
      <c r="AK1892" s="2"/>
      <c r="AL1892" s="2"/>
    </row>
    <row r="1893" spans="1:38" ht="12.75" customHeight="1" x14ac:dyDescent="0.25">
      <c r="A1893" s="2"/>
      <c r="B1893" s="178"/>
      <c r="C1893" s="178"/>
      <c r="D1893" s="15"/>
      <c r="E1893" s="2061" t="str">
        <f>Translations!$B$537</f>
        <v>Uppgifterna måste också överensstämma med den totala mätbara nettovärme som importeras, vilken anges i punkt k.i nedan.</v>
      </c>
      <c r="F1893" s="1963"/>
      <c r="G1893" s="1963"/>
      <c r="H1893" s="1963"/>
      <c r="I1893" s="1963"/>
      <c r="J1893" s="1963"/>
      <c r="K1893" s="1963"/>
      <c r="L1893" s="1963"/>
      <c r="M1893" s="1963"/>
      <c r="N1893" s="1963"/>
      <c r="O1893" s="15"/>
      <c r="P1893" s="15"/>
      <c r="Q1893" s="343"/>
      <c r="R1893" s="2"/>
      <c r="S1893" s="2"/>
      <c r="T1893" s="2"/>
      <c r="U1893" s="343"/>
      <c r="V1893" s="343"/>
      <c r="W1893" s="343"/>
      <c r="X1893" s="343"/>
      <c r="Y1893" s="343"/>
      <c r="Z1893" s="343"/>
      <c r="AA1893" s="2"/>
      <c r="AB1893" s="2"/>
      <c r="AC1893" s="2"/>
      <c r="AD1893" s="2"/>
      <c r="AE1893" s="2"/>
      <c r="AF1893" s="2"/>
      <c r="AG1893" s="2"/>
      <c r="AH1893" s="2"/>
      <c r="AI1893" s="2"/>
      <c r="AJ1893" s="2"/>
      <c r="AK1893" s="2"/>
      <c r="AL1893" s="2"/>
    </row>
    <row r="1894" spans="1:38" ht="13.5" thickBot="1" x14ac:dyDescent="0.3">
      <c r="A1894" s="2"/>
      <c r="B1894" s="19"/>
      <c r="C1894" s="19"/>
      <c r="D1894" s="13"/>
      <c r="E1894" s="914" t="str">
        <f>Translations!$B$527</f>
        <v>Parameter</v>
      </c>
      <c r="F1894" s="913"/>
      <c r="G1894" s="30" t="str">
        <f>EUconst_Unit</f>
        <v>Enhet</v>
      </c>
      <c r="H1894" s="320">
        <f>H$3042</f>
        <v>2019</v>
      </c>
      <c r="I1894" s="342">
        <f>I$3042</f>
        <v>2020</v>
      </c>
      <c r="J1894" s="987">
        <f>J$112</f>
        <v>2021</v>
      </c>
      <c r="K1894" s="320">
        <f>K$112</f>
        <v>2022</v>
      </c>
      <c r="L1894" s="320">
        <f>L$112</f>
        <v>2023</v>
      </c>
      <c r="M1894" s="320">
        <f>M$112</f>
        <v>2024</v>
      </c>
      <c r="N1894" s="320">
        <f>N$112</f>
        <v>2025</v>
      </c>
      <c r="O1894" s="15"/>
      <c r="P1894" s="15"/>
      <c r="Q1894" s="2"/>
      <c r="R1894" s="40"/>
      <c r="S1894" s="553" t="s">
        <v>2072</v>
      </c>
      <c r="T1894" s="1044">
        <f t="shared" ref="T1894:Z1894" si="846">H1894</f>
        <v>2019</v>
      </c>
      <c r="U1894" s="1044">
        <f t="shared" si="846"/>
        <v>2020</v>
      </c>
      <c r="V1894" s="1044">
        <f t="shared" si="846"/>
        <v>2021</v>
      </c>
      <c r="W1894" s="1044">
        <f t="shared" si="846"/>
        <v>2022</v>
      </c>
      <c r="X1894" s="1044">
        <f t="shared" si="846"/>
        <v>2023</v>
      </c>
      <c r="Y1894" s="1044">
        <f t="shared" si="846"/>
        <v>2024</v>
      </c>
      <c r="Z1894" s="1044">
        <f t="shared" si="846"/>
        <v>2025</v>
      </c>
      <c r="AA1894" s="40"/>
      <c r="AB1894" s="2"/>
      <c r="AC1894" s="1044">
        <f t="shared" ref="AC1894:AI1894" si="847">H$20</f>
        <v>2019</v>
      </c>
      <c r="AD1894" s="1044">
        <f t="shared" si="847"/>
        <v>2020</v>
      </c>
      <c r="AE1894" s="1044">
        <f t="shared" si="847"/>
        <v>2021</v>
      </c>
      <c r="AF1894" s="1044">
        <f t="shared" si="847"/>
        <v>2022</v>
      </c>
      <c r="AG1894" s="1044">
        <f t="shared" si="847"/>
        <v>2023</v>
      </c>
      <c r="AH1894" s="1044">
        <f t="shared" si="847"/>
        <v>2024</v>
      </c>
      <c r="AI1894" s="1044">
        <f t="shared" si="847"/>
        <v>2025</v>
      </c>
      <c r="AJ1894" s="2"/>
      <c r="AK1894" s="2"/>
      <c r="AL1894" s="2"/>
    </row>
    <row r="1895" spans="1:38" ht="13" customHeight="1" thickBot="1" x14ac:dyDescent="0.3">
      <c r="A1895" s="2"/>
      <c r="B1895" s="19"/>
      <c r="C1895" s="19"/>
      <c r="D1895" s="175" t="s">
        <v>8</v>
      </c>
      <c r="E1895" s="915" t="str">
        <f>Translations!$B$538</f>
        <v>Mätbar värme som importeras från anläggningar utanför ETS:</v>
      </c>
      <c r="F1895" s="915"/>
      <c r="G1895" s="43" t="str">
        <f>EUconst_TJpa</f>
        <v>TJ / år</v>
      </c>
      <c r="H1895" s="260"/>
      <c r="I1895" s="670"/>
      <c r="J1895" s="671"/>
      <c r="K1895" s="260"/>
      <c r="L1895" s="260"/>
      <c r="M1895" s="260"/>
      <c r="N1895" s="260"/>
      <c r="O1895" s="15"/>
      <c r="P1895" s="1362"/>
      <c r="Q1895" s="108" t="str">
        <f>EUconst_CNTR_HAL&amp;EUconst_CNTR_nonETSMeasHeat</f>
        <v>HAL_mätbar värme utanför ETS</v>
      </c>
      <c r="R1895" s="2"/>
      <c r="S1895" s="553"/>
      <c r="T1895" s="1551" t="str">
        <f t="shared" ref="T1895:Z1895" si="848">IF(H1895="","",SUM(H1895)*EUconst_HeatBMvalue)</f>
        <v/>
      </c>
      <c r="U1895" s="1551" t="str">
        <f t="shared" si="848"/>
        <v/>
      </c>
      <c r="V1895" s="1551" t="str">
        <f t="shared" si="848"/>
        <v/>
      </c>
      <c r="W1895" s="1551" t="str">
        <f t="shared" si="848"/>
        <v/>
      </c>
      <c r="X1895" s="1551" t="str">
        <f t="shared" si="848"/>
        <v/>
      </c>
      <c r="Y1895" s="1551" t="str">
        <f t="shared" si="848"/>
        <v/>
      </c>
      <c r="Z1895" s="1551" t="str">
        <f t="shared" si="848"/>
        <v/>
      </c>
      <c r="AA1895" s="2"/>
      <c r="AB1895" s="672" t="s">
        <v>782</v>
      </c>
      <c r="AC1895" s="1755" t="b">
        <f t="shared" ref="AC1895:AI1895" si="849">IF(CNTR_ExistSubInstEntries,OR($I1825="",H1832&gt;=CNTR_ReportingYear,AC1894&lt;$V1825-1),FALSE)</f>
        <v>0</v>
      </c>
      <c r="AD1895" s="1042" t="b">
        <f t="shared" si="849"/>
        <v>0</v>
      </c>
      <c r="AE1895" s="1042" t="b">
        <f t="shared" si="849"/>
        <v>0</v>
      </c>
      <c r="AF1895" s="1042" t="b">
        <f t="shared" si="849"/>
        <v>0</v>
      </c>
      <c r="AG1895" s="1042" t="b">
        <f t="shared" si="849"/>
        <v>0</v>
      </c>
      <c r="AH1895" s="1042" t="b">
        <f t="shared" si="849"/>
        <v>0</v>
      </c>
      <c r="AI1895" s="1043" t="b">
        <f t="shared" si="849"/>
        <v>0</v>
      </c>
      <c r="AJ1895" s="553" t="s">
        <v>2248</v>
      </c>
      <c r="AK1895" s="663" t="str">
        <f>IF(AND(CNTR_ExistSubInstEntries,COUNTIFS(AC1895:AI1895,FALSE,H1895:N1895,"")&gt;0),EUconst_Error&amp;"BM"&amp;$Q1825,"")</f>
        <v/>
      </c>
      <c r="AL1895" s="2"/>
    </row>
    <row r="1896" spans="1:38" ht="25.5" customHeight="1" x14ac:dyDescent="0.25">
      <c r="A1896" s="2"/>
      <c r="B1896" s="19"/>
      <c r="C1896" s="19"/>
      <c r="D1896" s="175" t="s">
        <v>9</v>
      </c>
      <c r="E1896" s="916" t="str">
        <f>Translations!$B$539</f>
        <v>Konsekvenskontroll mot blad ”E_Energy flows”:</v>
      </c>
      <c r="F1896" s="916"/>
      <c r="G1896" s="549" t="s">
        <v>1113</v>
      </c>
      <c r="H1896" s="247" t="str">
        <f>IF(AND(ISNUMBER(H1895),ISNUMBER(E_EnergyFlows!H$114)), H1895/E_EnergyFlows!H$114*100,"")</f>
        <v/>
      </c>
      <c r="I1896" s="1015" t="str">
        <f>IF(AND(ISNUMBER(I1895),ISNUMBER(E_EnergyFlows!I$114)), I1895/E_EnergyFlows!I$114*100,"")</f>
        <v/>
      </c>
      <c r="J1896" s="1017" t="str">
        <f>IF(AND(ISNUMBER(J1895),ISNUMBER(E_EnergyFlows!J$114)), J1895/E_EnergyFlows!J$114*100,"")</f>
        <v/>
      </c>
      <c r="K1896" s="247" t="str">
        <f>IF(AND(ISNUMBER(K1895),ISNUMBER(E_EnergyFlows!K$114)), K1895/E_EnergyFlows!K$114*100,"")</f>
        <v/>
      </c>
      <c r="L1896" s="247" t="str">
        <f>IF(AND(ISNUMBER(L1895),ISNUMBER(E_EnergyFlows!L$114)), L1895/E_EnergyFlows!L$114*100,"")</f>
        <v/>
      </c>
      <c r="M1896" s="247" t="str">
        <f>IF(AND(ISNUMBER(M1895),ISNUMBER(E_EnergyFlows!M$114)), M1895/E_EnergyFlows!M$114*100,"")</f>
        <v/>
      </c>
      <c r="N1896" s="247" t="str">
        <f>IF(AND(ISNUMBER(N1895),ISNUMBER(E_EnergyFlows!N$114)), N1895/E_EnergyFlows!N$114*100,"")</f>
        <v/>
      </c>
      <c r="O1896" s="15"/>
      <c r="P1896" s="15"/>
      <c r="Q1896" s="152" t="str">
        <f>EUconst_CNTR_HEAT &amp; I1825</f>
        <v>HEAT_</v>
      </c>
      <c r="R1896" s="343"/>
      <c r="S1896" s="2"/>
      <c r="T1896" s="2"/>
      <c r="U1896" s="343"/>
      <c r="V1896" s="343"/>
      <c r="W1896" s="2"/>
      <c r="X1896" s="2"/>
      <c r="Y1896" s="2"/>
      <c r="Z1896" s="2"/>
      <c r="AA1896" s="2"/>
      <c r="AB1896" s="2"/>
      <c r="AC1896" s="2"/>
      <c r="AD1896" s="2"/>
      <c r="AE1896" s="2"/>
      <c r="AF1896" s="2"/>
      <c r="AG1896" s="2"/>
      <c r="AH1896" s="2"/>
      <c r="AI1896" s="2"/>
      <c r="AJ1896" s="2"/>
      <c r="AK1896" s="2"/>
      <c r="AL1896" s="2"/>
    </row>
    <row r="1897" spans="1:38" ht="12.65" customHeight="1" x14ac:dyDescent="0.25">
      <c r="A1897" s="2"/>
      <c r="B1897" s="19"/>
      <c r="C1897" s="19"/>
      <c r="D1897" s="175" t="s">
        <v>10</v>
      </c>
      <c r="E1897" s="1783" t="str">
        <f>Translations!$B$540</f>
        <v>Konsekvenskontroll mot punkt k.i:</v>
      </c>
      <c r="F1897" s="1035"/>
      <c r="G1897" s="919" t="s">
        <v>1113</v>
      </c>
      <c r="H1897" s="246" t="str">
        <f t="shared" ref="H1897:N1897" si="850">IF(AND(H2018&gt;0,ISNUMBER(H1895)), H1895/H2018*100,"")</f>
        <v/>
      </c>
      <c r="I1897" s="1016" t="str">
        <f t="shared" si="850"/>
        <v/>
      </c>
      <c r="J1897" s="1018" t="str">
        <f t="shared" si="850"/>
        <v/>
      </c>
      <c r="K1897" s="246" t="str">
        <f t="shared" si="850"/>
        <v/>
      </c>
      <c r="L1897" s="246" t="str">
        <f t="shared" si="850"/>
        <v/>
      </c>
      <c r="M1897" s="246" t="str">
        <f t="shared" si="850"/>
        <v/>
      </c>
      <c r="N1897" s="246" t="str">
        <f t="shared" si="850"/>
        <v/>
      </c>
      <c r="O1897" s="15"/>
      <c r="P1897" s="15"/>
      <c r="Q1897" s="2"/>
      <c r="R1897" s="2"/>
      <c r="S1897" s="2"/>
      <c r="T1897" s="2"/>
      <c r="U1897" s="343"/>
      <c r="V1897" s="343"/>
      <c r="W1897" s="2"/>
      <c r="X1897" s="2"/>
      <c r="Y1897" s="2"/>
      <c r="Z1897" s="2"/>
      <c r="AA1897" s="2"/>
      <c r="AB1897" s="2"/>
      <c r="AC1897" s="2"/>
      <c r="AD1897" s="2"/>
      <c r="AE1897" s="2"/>
      <c r="AF1897" s="2"/>
      <c r="AG1897" s="2"/>
      <c r="AH1897" s="2"/>
      <c r="AI1897" s="2"/>
      <c r="AJ1897" s="2"/>
      <c r="AK1897" s="2"/>
      <c r="AL1897" s="2"/>
    </row>
    <row r="1898" spans="1:38" ht="5.15" customHeight="1" x14ac:dyDescent="0.25">
      <c r="A1898" s="2"/>
      <c r="B1898" s="19"/>
      <c r="C1898" s="19"/>
      <c r="D1898" s="19"/>
      <c r="E1898" s="19"/>
      <c r="F1898" s="19"/>
      <c r="G1898" s="19"/>
      <c r="H1898" s="19"/>
      <c r="I1898" s="99"/>
      <c r="J1898" s="19"/>
      <c r="K1898" s="19"/>
      <c r="L1898" s="19"/>
      <c r="M1898" s="19"/>
      <c r="N1898" s="19"/>
      <c r="O1898" s="15"/>
      <c r="P1898" s="15"/>
      <c r="Q1898" s="130"/>
      <c r="R1898" s="2"/>
      <c r="S1898" s="2"/>
      <c r="T1898" s="2"/>
      <c r="U1898" s="343"/>
      <c r="V1898" s="343"/>
      <c r="W1898" s="2"/>
      <c r="X1898" s="2"/>
      <c r="Y1898" s="2"/>
      <c r="Z1898" s="2"/>
      <c r="AA1898" s="2"/>
      <c r="AB1898" s="2"/>
      <c r="AC1898" s="2"/>
      <c r="AD1898" s="2"/>
      <c r="AE1898" s="2"/>
      <c r="AF1898" s="2"/>
      <c r="AG1898" s="2"/>
      <c r="AH1898" s="2"/>
      <c r="AI1898" s="2"/>
      <c r="AJ1898" s="2"/>
      <c r="AK1898" s="2"/>
      <c r="AL1898" s="2"/>
    </row>
    <row r="1899" spans="1:38" ht="25.5" customHeight="1" thickBot="1" x14ac:dyDescent="0.3">
      <c r="A1899" s="2"/>
      <c r="B1899" s="178"/>
      <c r="C1899" s="178"/>
      <c r="D1899" s="15"/>
      <c r="E1899" s="2061" t="str">
        <f>Translations!$B$1479</f>
        <v>Baserat på uppgifterna ovan bestäms ett genomsnittligt årligt värde. Tilldelningen kommer endast att ändras om det relativa tröskelvärdet (15 % jämfört med värdet från de nationella genomförandeåtgärderna) och det absoluta tröskelvärdet (ändring leder till mer än 100 utsläppsrätter) överskrids, enligt artikel 6.4 i verksamhetsändringsförordningen.</v>
      </c>
      <c r="F1899" s="1963"/>
      <c r="G1899" s="1963"/>
      <c r="H1899" s="1963"/>
      <c r="I1899" s="1963"/>
      <c r="J1899" s="1963"/>
      <c r="K1899" s="1963"/>
      <c r="L1899" s="1963"/>
      <c r="M1899" s="1963"/>
      <c r="N1899" s="1963"/>
      <c r="O1899" s="15"/>
      <c r="P1899" s="15"/>
      <c r="Q1899" s="343"/>
      <c r="R1899" s="2"/>
      <c r="S1899" s="343"/>
      <c r="T1899" s="343"/>
      <c r="U1899" s="343"/>
      <c r="V1899" s="2"/>
      <c r="W1899" s="2"/>
      <c r="X1899" s="2"/>
      <c r="Y1899" s="2"/>
      <c r="Z1899" s="2"/>
      <c r="AA1899" s="2"/>
      <c r="AB1899" s="2"/>
      <c r="AC1899" s="2"/>
      <c r="AD1899" s="2"/>
      <c r="AE1899" s="2"/>
      <c r="AF1899" s="2"/>
      <c r="AG1899" s="2"/>
      <c r="AH1899" s="2"/>
      <c r="AI1899" s="2"/>
      <c r="AJ1899" s="2"/>
      <c r="AK1899" s="2"/>
      <c r="AL1899" s="2"/>
    </row>
    <row r="1900" spans="1:38" ht="5.15" customHeight="1" thickBot="1" x14ac:dyDescent="0.3">
      <c r="A1900" s="2"/>
      <c r="B1900" s="178"/>
      <c r="C1900" s="178"/>
      <c r="D1900" s="1238"/>
      <c r="E1900" s="1239"/>
      <c r="F1900" s="1240"/>
      <c r="G1900" s="1240"/>
      <c r="H1900" s="1240"/>
      <c r="I1900" s="1240"/>
      <c r="J1900" s="1240"/>
      <c r="K1900" s="1240"/>
      <c r="L1900" s="1240"/>
      <c r="M1900" s="1240"/>
      <c r="N1900" s="1241"/>
      <c r="O1900" s="15"/>
      <c r="P1900" s="15"/>
      <c r="Q1900" s="343"/>
      <c r="R1900" s="2"/>
      <c r="S1900" s="343"/>
      <c r="T1900" s="343"/>
      <c r="U1900" s="343"/>
      <c r="V1900" s="2"/>
      <c r="W1900" s="2"/>
      <c r="X1900" s="2"/>
      <c r="Y1900" s="2"/>
      <c r="Z1900" s="2"/>
      <c r="AA1900" s="2"/>
      <c r="AB1900" s="2"/>
      <c r="AC1900" s="2"/>
      <c r="AD1900" s="2"/>
      <c r="AE1900" s="2"/>
      <c r="AF1900" s="2"/>
      <c r="AG1900" s="2"/>
      <c r="AH1900" s="2"/>
      <c r="AI1900" s="2"/>
      <c r="AJ1900" s="2"/>
      <c r="AK1900" s="2"/>
      <c r="AL1900" s="2"/>
    </row>
    <row r="1901" spans="1:38" ht="12.75" customHeight="1" x14ac:dyDescent="0.25">
      <c r="A1901" s="2"/>
      <c r="B1901" s="178"/>
      <c r="C1901" s="178"/>
      <c r="D1901" s="1290" t="s">
        <v>2192</v>
      </c>
      <c r="E1901" s="1243" t="str">
        <f>Translations!$B$1483</f>
        <v>Justeringar: Värme från icke-ETS</v>
      </c>
      <c r="F1901" s="1244"/>
      <c r="G1901" s="1244"/>
      <c r="H1901" s="1228" t="str">
        <f>EUconst_Unit</f>
        <v>Enhet</v>
      </c>
      <c r="I1901" s="1229" t="str">
        <f>Translations!$B$1481</f>
        <v>Värde (NIMs)</v>
      </c>
      <c r="J1901" s="1268">
        <f>J$3042</f>
        <v>2021</v>
      </c>
      <c r="K1901" s="1230">
        <f>K$3042</f>
        <v>2022</v>
      </c>
      <c r="L1901" s="1230">
        <f>L$3042</f>
        <v>2023</v>
      </c>
      <c r="M1901" s="1230">
        <f>M$3042</f>
        <v>2024</v>
      </c>
      <c r="N1901" s="1258">
        <f>N$3042</f>
        <v>2025</v>
      </c>
      <c r="O1901" s="15"/>
      <c r="P1901" s="15"/>
      <c r="Q1901" s="343"/>
      <c r="R1901" s="2"/>
      <c r="S1901" s="2"/>
      <c r="T1901" s="2"/>
      <c r="U1901" s="772"/>
      <c r="V1901" s="1077">
        <f>J1901</f>
        <v>2021</v>
      </c>
      <c r="W1901" s="1077">
        <f>K1901</f>
        <v>2022</v>
      </c>
      <c r="X1901" s="1077">
        <f>L1901</f>
        <v>2023</v>
      </c>
      <c r="Y1901" s="1077">
        <f>M1901</f>
        <v>2024</v>
      </c>
      <c r="Z1901" s="1078">
        <f>N1901</f>
        <v>2025</v>
      </c>
      <c r="AA1901" s="2"/>
      <c r="AB1901" s="2"/>
      <c r="AC1901" s="2"/>
      <c r="AD1901" s="2"/>
      <c r="AE1901" s="2"/>
      <c r="AF1901" s="2"/>
      <c r="AG1901" s="2"/>
      <c r="AH1901" s="2"/>
      <c r="AI1901" s="2"/>
      <c r="AJ1901" s="2"/>
      <c r="AK1901" s="2"/>
      <c r="AL1901" s="2"/>
    </row>
    <row r="1902" spans="1:38" ht="12.75" customHeight="1" x14ac:dyDescent="0.25">
      <c r="A1902" s="2"/>
      <c r="B1902" s="178"/>
      <c r="C1902" s="178"/>
      <c r="D1902" s="1246" t="s">
        <v>8</v>
      </c>
      <c r="E1902" s="1231" t="str">
        <f>Translations!$B$1482</f>
        <v>Genomsnittligt årligt värde</v>
      </c>
      <c r="F1902" s="1231"/>
      <c r="G1902" s="1231"/>
      <c r="H1902" s="1232" t="str">
        <f>EUconst_tCO2</f>
        <v>t CO2</v>
      </c>
      <c r="I1902" s="990" t="str">
        <f>INDEX('B+C_SubInstallations'!$J:$J,MATCH(Q1902,'B+C_SubInstallations'!$U:$U,0))</f>
        <v/>
      </c>
      <c r="J1902" s="1215" t="str">
        <f>IF(AND(V1902&gt;=3,CNTR_ReportingYear&gt;J1901-1),AVERAGE(SUM(T1895),SUM(U1895)),"")</f>
        <v/>
      </c>
      <c r="K1902" s="1216" t="str">
        <f>IF(AND(W1902&gt;=3,CNTR_ReportingYear&gt;K1901-1),AVERAGE(SUM(U1895),SUM(V1895)),"")</f>
        <v/>
      </c>
      <c r="L1902" s="1216" t="str">
        <f>IF(AND(X1902&gt;=3,CNTR_ReportingYear&gt;L1901-1),AVERAGE(SUM(V1895),SUM(W1895)),"")</f>
        <v/>
      </c>
      <c r="M1902" s="1216" t="str">
        <f>IF(AND(Y1902&gt;=3,CNTR_ReportingYear&gt;M1901-1),AVERAGE(SUM(W1895),SUM(X1895)),"")</f>
        <v/>
      </c>
      <c r="N1902" s="1227" t="str">
        <f>IF(AND(Z1902&gt;=3,CNTR_ReportingYear&gt;N1901-1),AVERAGE(SUM(X1895),SUM(Y1895)),"")</f>
        <v/>
      </c>
      <c r="O1902" s="15"/>
      <c r="P1902" s="15"/>
      <c r="Q1902" s="1217" t="str">
        <f>EUconst_CNTR_HEATInitial &amp; I1825</f>
        <v>HEATIni_</v>
      </c>
      <c r="R1902" s="2"/>
      <c r="S1902" s="2"/>
      <c r="T1902" s="2"/>
      <c r="U1902" s="1086" t="s">
        <v>1850</v>
      </c>
      <c r="V1902" s="663">
        <f>V1847</f>
        <v>0</v>
      </c>
      <c r="W1902" s="663">
        <f>W1847</f>
        <v>0</v>
      </c>
      <c r="X1902" s="663">
        <f>X1847</f>
        <v>0</v>
      </c>
      <c r="Y1902" s="663">
        <f>Y1847</f>
        <v>0</v>
      </c>
      <c r="Z1902" s="1080">
        <f>Z1847</f>
        <v>0</v>
      </c>
      <c r="AA1902" s="2"/>
      <c r="AB1902" s="2"/>
      <c r="AC1902" s="2"/>
      <c r="AD1902" s="2"/>
      <c r="AE1902" s="2"/>
      <c r="AF1902" s="2"/>
      <c r="AG1902" s="2"/>
      <c r="AH1902" s="2"/>
      <c r="AI1902" s="2"/>
      <c r="AJ1902" s="2"/>
      <c r="AK1902" s="2"/>
      <c r="AL1902" s="2"/>
    </row>
    <row r="1903" spans="1:38" ht="12.75" hidden="1" customHeight="1" x14ac:dyDescent="0.25">
      <c r="A1903" s="343" t="s">
        <v>346</v>
      </c>
      <c r="B1903" s="178"/>
      <c r="C1903" s="178"/>
      <c r="D1903" s="1246"/>
      <c r="E1903" s="1231" t="s">
        <v>1980</v>
      </c>
      <c r="F1903" s="1231"/>
      <c r="G1903" s="1231"/>
      <c r="H1903" s="1233"/>
      <c r="I1903" s="1235"/>
      <c r="J1903" s="1013" t="str">
        <f>IF(J1902="","",IF($I1905=0,IF(J1902=0,0%,100%),J1902/$I1905-1))</f>
        <v/>
      </c>
      <c r="K1903" s="938" t="str">
        <f>IF(K1902="","",IF($I1905=0,IF(K1902=0,0%,100%),K1902/$I1905-1))</f>
        <v/>
      </c>
      <c r="L1903" s="938" t="str">
        <f>IF(L1902="","",IF($I1905=0,IF(L1902=0,0%,100%),L1902/$I1905-1))</f>
        <v/>
      </c>
      <c r="M1903" s="938" t="str">
        <f>IF(M1902="","",IF($I1905=0,IF(M1902=0,0%,100%),M1902/$I1905-1))</f>
        <v/>
      </c>
      <c r="N1903" s="1223" t="str">
        <f>IF(N1902="","",IF($I1905=0,IF(N1902=0,0%,100%),N1902/$I1905-1))</f>
        <v/>
      </c>
      <c r="O1903" s="15"/>
      <c r="P1903" s="15"/>
      <c r="Q1903" s="165" t="str">
        <f>EUconst_CNTR_RelThreshold &amp; Q1905</f>
        <v>RelThresh_HEATprelim_</v>
      </c>
      <c r="R1903" s="2"/>
      <c r="S1903" s="2"/>
      <c r="T1903" s="2"/>
      <c r="U1903" s="1086" t="s">
        <v>1855</v>
      </c>
      <c r="V1903" s="603" t="str">
        <f>IF(J1902="","",ABS(J1903)&gt;15%)</f>
        <v/>
      </c>
      <c r="W1903" s="603" t="str">
        <f>IF(K1902="","",ABS(K1903)&gt;15%)</f>
        <v/>
      </c>
      <c r="X1903" s="603" t="str">
        <f>IF(L1902="","",ABS(L1903)&gt;15%)</f>
        <v/>
      </c>
      <c r="Y1903" s="603" t="str">
        <f>IF(M1902="","",ABS(M1903)&gt;15%)</f>
        <v/>
      </c>
      <c r="Z1903" s="1756" t="str">
        <f>IF(N1902="","",ABS(N1903)&gt;15%)</f>
        <v/>
      </c>
      <c r="AA1903" s="2"/>
      <c r="AB1903" s="2"/>
      <c r="AC1903" s="2"/>
      <c r="AD1903" s="2"/>
      <c r="AE1903" s="2"/>
      <c r="AF1903" s="2"/>
      <c r="AG1903" s="2"/>
      <c r="AH1903" s="2"/>
      <c r="AI1903" s="2"/>
      <c r="AJ1903" s="2"/>
      <c r="AK1903" s="2"/>
      <c r="AL1903" s="2"/>
    </row>
    <row r="1904" spans="1:38" ht="12.75" customHeight="1" x14ac:dyDescent="0.25">
      <c r="A1904" s="343"/>
      <c r="B1904" s="178"/>
      <c r="C1904" s="178"/>
      <c r="D1904" s="1246" t="s">
        <v>9</v>
      </c>
      <c r="E1904" s="1231" t="str">
        <f>Translations!$B$1474</f>
        <v>Preliminär justering (om relativa tröskelvärden överskrids)</v>
      </c>
      <c r="F1904" s="1231"/>
      <c r="G1904" s="1231"/>
      <c r="H1904" s="1233"/>
      <c r="I1904" s="1235"/>
      <c r="J1904" s="992" t="str">
        <f>IF(J1902="","",IF(V1903=FALSE,0%,J1903))</f>
        <v/>
      </c>
      <c r="K1904" s="937" t="str">
        <f>IF(K1902="","",IF(W1903=FALSE,0%,K1903))</f>
        <v/>
      </c>
      <c r="L1904" s="937" t="str">
        <f>IF(L1902="","",IF(X1903=FALSE,0%,L1903))</f>
        <v/>
      </c>
      <c r="M1904" s="937" t="str">
        <f>IF(M1902="","",IF(Y1903=FALSE,0%,M1903))</f>
        <v/>
      </c>
      <c r="N1904" s="1220" t="str">
        <f>IF(N1902="","",IF(Z1903=FALSE,0%,N1903))</f>
        <v/>
      </c>
      <c r="O1904" s="15"/>
      <c r="P1904" s="15"/>
      <c r="Q1904" s="343"/>
      <c r="R1904" s="2"/>
      <c r="S1904" s="2"/>
      <c r="T1904" s="2"/>
      <c r="U1904" s="584"/>
      <c r="V1904" s="2"/>
      <c r="W1904" s="2"/>
      <c r="X1904" s="2"/>
      <c r="Y1904" s="2"/>
      <c r="Z1904" s="228"/>
      <c r="AA1904" s="2"/>
      <c r="AB1904" s="2"/>
      <c r="AC1904" s="2"/>
      <c r="AD1904" s="2"/>
      <c r="AE1904" s="2"/>
      <c r="AF1904" s="2"/>
      <c r="AG1904" s="2"/>
      <c r="AH1904" s="2"/>
      <c r="AI1904" s="2"/>
      <c r="AJ1904" s="2"/>
      <c r="AK1904" s="2"/>
      <c r="AL1904" s="343"/>
    </row>
    <row r="1905" spans="1:38" ht="12.75" hidden="1" customHeight="1" x14ac:dyDescent="0.25">
      <c r="A1905" s="343" t="s">
        <v>346</v>
      </c>
      <c r="B1905" s="178"/>
      <c r="C1905" s="178"/>
      <c r="D1905" s="1246"/>
      <c r="E1905" s="1231" t="s">
        <v>1889</v>
      </c>
      <c r="F1905" s="1231"/>
      <c r="G1905" s="1231"/>
      <c r="H1905" s="1232" t="str">
        <f>H1902</f>
        <v>t CO2</v>
      </c>
      <c r="I1905" s="990" t="str">
        <f>IF($I1825="","",IF(AB1825=FALSE,EUconst_NA,IF(V1825&gt;($J$3042-3),SUM(INDEX(H1895:N1895,MATCH(V1825,H1894:N1894,0))*EUconst_HeatBMvalue),SUM(I1902))))</f>
        <v/>
      </c>
      <c r="J1905" s="993" t="str">
        <f>IF($I1825="","",IF(V1902&lt;2,SUM(V1895),IF(V1902&lt;3,SUM(U1895),IF(V1905="",I1905,V1905))))</f>
        <v/>
      </c>
      <c r="K1905" s="920" t="str">
        <f>IF($I1825="","",IF(W1902&lt;2,SUM(W1895),IF(W1902&lt;3,SUM(V1895),IF(W1905="",J1905,W1905))))</f>
        <v/>
      </c>
      <c r="L1905" s="920" t="str">
        <f>IF($I1825="","",IF(X1902&lt;2,SUM(X1895),IF(X1902&lt;3,SUM(W1895),IF(X1905="",K1905,X1905))))</f>
        <v/>
      </c>
      <c r="M1905" s="920" t="str">
        <f>IF($I1825="","",IF(Y1902&lt;2,SUM(Y1895),IF(Y1902&lt;3,SUM(X1895),IF(Y1905="",L1905,Y1905))))</f>
        <v/>
      </c>
      <c r="N1905" s="1218" t="str">
        <f>IF($I1825="","",IF(Z1902&lt;2,SUM(Z1895),IF(Z1902&lt;3,SUM(Y1895),IF(Z1905="",M1905,Z1905))))</f>
        <v/>
      </c>
      <c r="O1905" s="15"/>
      <c r="P1905" s="15"/>
      <c r="Q1905" s="165" t="str">
        <f>EUconst_CNTR_HEATprelim &amp; I1825</f>
        <v>HEATprelim_</v>
      </c>
      <c r="R1905" s="2"/>
      <c r="S1905" s="2"/>
      <c r="T1905" s="2"/>
      <c r="U1905" s="1086" t="s">
        <v>1898</v>
      </c>
      <c r="V1905" s="1754" t="str">
        <f>IF(J1902="","",IF(CNTR_ReportingYear&lt;J1901,I1904,IF($I1905=0,J1902,$I1905*(1+J1904))))</f>
        <v/>
      </c>
      <c r="W1905" s="1754" t="str">
        <f>IF(K1902="","",IF(CNTR_ReportingYear&lt;K1901,J1904,IF($I1905=0,K1902,$I1905*(1+K1904))))</f>
        <v/>
      </c>
      <c r="X1905" s="1754" t="str">
        <f>IF(L1902="","",IF(CNTR_ReportingYear&lt;L1901,K1904,IF($I1905=0,L1902,$I1905*(1+L1904))))</f>
        <v/>
      </c>
      <c r="Y1905" s="1754" t="str">
        <f>IF(M1902="","",IF(CNTR_ReportingYear&lt;M1901,L1904,IF($I1905=0,M1902,$I1905*(1+M1904))))</f>
        <v/>
      </c>
      <c r="Z1905" s="1759" t="str">
        <f>IF(N1902="","",IF(CNTR_ReportingYear&lt;N1901,M1904,IF($I1905=0,N1902,$I1905*(1+N1904))))</f>
        <v/>
      </c>
      <c r="AA1905" s="2"/>
      <c r="AB1905" s="2"/>
      <c r="AC1905" s="2"/>
      <c r="AD1905" s="2"/>
      <c r="AE1905" s="2"/>
      <c r="AF1905" s="2"/>
      <c r="AG1905" s="2"/>
      <c r="AH1905" s="2"/>
      <c r="AI1905" s="2"/>
      <c r="AJ1905" s="2"/>
      <c r="AK1905" s="2"/>
      <c r="AL1905" s="343"/>
    </row>
    <row r="1906" spans="1:38" ht="5.15" customHeight="1" x14ac:dyDescent="0.25">
      <c r="A1906" s="343"/>
      <c r="B1906" s="178"/>
      <c r="C1906" s="178"/>
      <c r="D1906" s="1246"/>
      <c r="E1906" s="1244"/>
      <c r="F1906" s="1244"/>
      <c r="G1906" s="1244"/>
      <c r="H1906" s="1244"/>
      <c r="I1906" s="1244"/>
      <c r="J1906" s="1236"/>
      <c r="K1906" s="1236"/>
      <c r="L1906" s="1236"/>
      <c r="M1906" s="1236"/>
      <c r="N1906" s="1247"/>
      <c r="O1906" s="15"/>
      <c r="P1906" s="15"/>
      <c r="Q1906" s="343"/>
      <c r="R1906" s="2"/>
      <c r="S1906" s="2"/>
      <c r="T1906" s="2"/>
      <c r="U1906" s="1086"/>
      <c r="V1906" s="343"/>
      <c r="W1906" s="2"/>
      <c r="X1906" s="2"/>
      <c r="Y1906" s="2"/>
      <c r="Z1906" s="228"/>
      <c r="AA1906" s="2"/>
      <c r="AB1906" s="2"/>
      <c r="AC1906" s="2"/>
      <c r="AD1906" s="2"/>
      <c r="AE1906" s="2"/>
      <c r="AF1906" s="2"/>
      <c r="AG1906" s="2"/>
      <c r="AH1906" s="2"/>
      <c r="AI1906" s="2"/>
      <c r="AJ1906" s="2"/>
      <c r="AK1906" s="2"/>
      <c r="AL1906" s="343"/>
    </row>
    <row r="1907" spans="1:38" ht="12.75" customHeight="1" x14ac:dyDescent="0.25">
      <c r="A1907" s="343"/>
      <c r="B1907" s="178"/>
      <c r="C1907" s="178"/>
      <c r="D1907" s="1246"/>
      <c r="E1907" s="1234" t="str">
        <f>Translations!$B$1475</f>
        <v>Faktisk justering (grund för följande år)</v>
      </c>
      <c r="F1907" s="1234"/>
      <c r="G1907" s="1234"/>
      <c r="H1907" s="1234"/>
      <c r="I1907" s="1234"/>
      <c r="J1907" s="1268">
        <f>J$3042</f>
        <v>2021</v>
      </c>
      <c r="K1907" s="1230">
        <f>K$3042</f>
        <v>2022</v>
      </c>
      <c r="L1907" s="1230">
        <f>L$3042</f>
        <v>2023</v>
      </c>
      <c r="M1907" s="1230">
        <f>M$3042</f>
        <v>2024</v>
      </c>
      <c r="N1907" s="1258">
        <f>N$3042</f>
        <v>2025</v>
      </c>
      <c r="O1907" s="15"/>
      <c r="P1907" s="15"/>
      <c r="Q1907" s="343"/>
      <c r="R1907" s="2"/>
      <c r="S1907" s="2"/>
      <c r="T1907" s="2"/>
      <c r="U1907" s="584"/>
      <c r="V1907" s="2"/>
      <c r="W1907" s="2"/>
      <c r="X1907" s="2"/>
      <c r="Y1907" s="2"/>
      <c r="Z1907" s="228"/>
      <c r="AA1907" s="2"/>
      <c r="AB1907" s="2"/>
      <c r="AC1907" s="2"/>
      <c r="AD1907" s="2"/>
      <c r="AE1907" s="2"/>
      <c r="AF1907" s="2"/>
      <c r="AG1907" s="2"/>
      <c r="AH1907" s="2"/>
      <c r="AI1907" s="2"/>
      <c r="AJ1907" s="2"/>
      <c r="AK1907" s="2"/>
      <c r="AL1907" s="343"/>
    </row>
    <row r="1908" spans="1:38" ht="12.75" customHeight="1" x14ac:dyDescent="0.25">
      <c r="A1908" s="343"/>
      <c r="B1908" s="178"/>
      <c r="C1908" s="178"/>
      <c r="D1908" s="1246" t="s">
        <v>10</v>
      </c>
      <c r="E1908" s="1231" t="str">
        <f>Translations!$B$1476</f>
        <v>&gt;= 100 utsläppsrätter kriterium uppnått?</v>
      </c>
      <c r="F1908" s="1231"/>
      <c r="G1908" s="1231"/>
      <c r="H1908" s="1231"/>
      <c r="I1908" s="1231"/>
      <c r="J1908" s="994" t="str">
        <f>IF($I1825="","",INDEX(K_Summary!J:J,MATCH($Q1908,K_Summary!$P:$P,0)))</f>
        <v/>
      </c>
      <c r="K1908" s="912" t="str">
        <f>IF($I1825="","",INDEX(K_Summary!K:K,MATCH($Q1908,K_Summary!$P:$P,0)))</f>
        <v/>
      </c>
      <c r="L1908" s="912" t="str">
        <f>IF($I1825="","",INDEX(K_Summary!L:L,MATCH($Q1908,K_Summary!$P:$P,0)))</f>
        <v/>
      </c>
      <c r="M1908" s="912" t="str">
        <f>IF($I1825="","",INDEX(K_Summary!M:M,MATCH($Q1908,K_Summary!$P:$P,0)))</f>
        <v/>
      </c>
      <c r="N1908" s="1221" t="str">
        <f>IF($I1825="","",INDEX(K_Summary!N:N,MATCH($Q1908,K_Summary!$P:$P,0)))</f>
        <v/>
      </c>
      <c r="O1908" s="15"/>
      <c r="P1908" s="15"/>
      <c r="Q1908" s="165" t="str">
        <f>EUconst_CNTR_100EUA_HEAT&amp;I1825</f>
        <v>EUA100HEAT_</v>
      </c>
      <c r="R1908" s="2"/>
      <c r="S1908" s="2"/>
      <c r="T1908" s="2"/>
      <c r="U1908" s="584"/>
      <c r="V1908" s="2"/>
      <c r="W1908" s="2"/>
      <c r="X1908" s="2"/>
      <c r="Y1908" s="2"/>
      <c r="Z1908" s="228"/>
      <c r="AA1908" s="2"/>
      <c r="AB1908" s="2"/>
      <c r="AC1908" s="2"/>
      <c r="AD1908" s="2"/>
      <c r="AE1908" s="2"/>
      <c r="AF1908" s="2"/>
      <c r="AG1908" s="2"/>
      <c r="AH1908" s="2"/>
      <c r="AI1908" s="2"/>
      <c r="AJ1908" s="2"/>
      <c r="AK1908" s="2"/>
      <c r="AL1908" s="343"/>
    </row>
    <row r="1909" spans="1:38" ht="5.15" customHeight="1" thickBot="1" x14ac:dyDescent="0.3">
      <c r="A1909" s="343"/>
      <c r="B1909" s="178"/>
      <c r="C1909" s="178"/>
      <c r="D1909" s="1246"/>
      <c r="E1909" s="1244"/>
      <c r="F1909" s="1244"/>
      <c r="G1909" s="1244"/>
      <c r="H1909" s="1244"/>
      <c r="I1909" s="1244"/>
      <c r="J1909" s="1244"/>
      <c r="K1909" s="1244"/>
      <c r="L1909" s="1244"/>
      <c r="M1909" s="1244"/>
      <c r="N1909" s="1248"/>
      <c r="O1909" s="15"/>
      <c r="P1909" s="15"/>
      <c r="Q1909" s="343"/>
      <c r="R1909" s="2"/>
      <c r="S1909" s="2"/>
      <c r="T1909" s="2"/>
      <c r="U1909" s="1086"/>
      <c r="V1909" s="343"/>
      <c r="W1909" s="2"/>
      <c r="X1909" s="2"/>
      <c r="Y1909" s="2"/>
      <c r="Z1909" s="228"/>
      <c r="AA1909" s="2"/>
      <c r="AB1909" s="2"/>
      <c r="AC1909" s="2"/>
      <c r="AD1909" s="2"/>
      <c r="AE1909" s="2"/>
      <c r="AF1909" s="2"/>
      <c r="AG1909" s="2"/>
      <c r="AH1909" s="2"/>
      <c r="AI1909" s="2"/>
      <c r="AJ1909" s="2"/>
      <c r="AK1909" s="2"/>
      <c r="AL1909" s="343"/>
    </row>
    <row r="1910" spans="1:38" ht="12.75" customHeight="1" thickBot="1" x14ac:dyDescent="0.3">
      <c r="A1910" s="2"/>
      <c r="B1910" s="178"/>
      <c r="C1910" s="178"/>
      <c r="D1910" s="1246" t="s">
        <v>23</v>
      </c>
      <c r="E1910" s="1231" t="str">
        <f>Translations!$B$1477</f>
        <v>Faktisk justering (om alla tröskelvärden överskrids)</v>
      </c>
      <c r="F1910" s="1231"/>
      <c r="G1910" s="1231"/>
      <c r="H1910" s="1233"/>
      <c r="I1910" s="1237"/>
      <c r="J1910" s="1099" t="str">
        <f>IF(J1908="","",IF(OR(J1908,V1902&lt;1),J1904,I1910))</f>
        <v/>
      </c>
      <c r="K1910" s="1100" t="str">
        <f>IF(K1908="","",IF(OR(K1908,W1902&lt;1),K1904,J1910))</f>
        <v/>
      </c>
      <c r="L1910" s="1100" t="str">
        <f>IF(L1908="","",IF(OR(L1908,X1902&lt;1),L1904,K1910))</f>
        <v/>
      </c>
      <c r="M1910" s="1100" t="str">
        <f>IF(M1908="","",IF(OR(M1908,Y1902&lt;1),M1904,L1910))</f>
        <v/>
      </c>
      <c r="N1910" s="1101" t="str">
        <f>IF(N1908="","",IF(OR(N1908,Z1902&lt;1),N1904,M1910))</f>
        <v/>
      </c>
      <c r="O1910" s="15"/>
      <c r="P1910" s="15"/>
      <c r="Q1910" s="343"/>
      <c r="R1910" s="2"/>
      <c r="S1910" s="2"/>
      <c r="T1910" s="2"/>
      <c r="U1910" s="1086" t="s">
        <v>1858</v>
      </c>
      <c r="V1910" s="1068">
        <f>J1907</f>
        <v>2021</v>
      </c>
      <c r="W1910" s="1068">
        <f>K1907</f>
        <v>2022</v>
      </c>
      <c r="X1910" s="1068">
        <f>L1907</f>
        <v>2023</v>
      </c>
      <c r="Y1910" s="1068">
        <f>M1907</f>
        <v>2024</v>
      </c>
      <c r="Z1910" s="1087">
        <f>N1907</f>
        <v>2025</v>
      </c>
      <c r="AA1910" s="2"/>
      <c r="AB1910" s="2"/>
      <c r="AC1910" s="2"/>
      <c r="AD1910" s="2"/>
      <c r="AE1910" s="2"/>
      <c r="AF1910" s="2"/>
      <c r="AG1910" s="2"/>
      <c r="AH1910" s="2"/>
      <c r="AI1910" s="2"/>
      <c r="AJ1910" s="2"/>
      <c r="AK1910" s="2"/>
      <c r="AL1910" s="343"/>
    </row>
    <row r="1911" spans="1:38" ht="12.75" customHeight="1" thickBot="1" x14ac:dyDescent="0.3">
      <c r="A1911" s="343"/>
      <c r="B1911" s="178"/>
      <c r="C1911" s="178"/>
      <c r="D1911" s="1246" t="s">
        <v>859</v>
      </c>
      <c r="E1911" s="1231" t="str">
        <f>Translations!$B$1478</f>
        <v>Faktiskt värde</v>
      </c>
      <c r="F1911" s="1231"/>
      <c r="G1911" s="1231"/>
      <c r="H1911" s="1232" t="str">
        <f>H1902</f>
        <v>t CO2</v>
      </c>
      <c r="I1911" s="990" t="str">
        <f>I1905</f>
        <v/>
      </c>
      <c r="J1911" s="1072" t="str">
        <f>IF($I1825="","",IF(OR($I1911=0,$I1911=EUconst_NA,J1910=""),IF(OR(J1908=TRUE,J1907&lt;=$V1825),J1905,SUM(I1911)),$I1911*(1+SUM(J1910))))</f>
        <v/>
      </c>
      <c r="K1911" s="1073" t="str">
        <f>IF($I1825="","",IF(OR($I1911=0,$I1911=EUconst_NA,K1910=""),IF(OR(K1908=TRUE,K1907&lt;=$V1825),K1905,SUM(J1911)),$I1911*(1+SUM(K1910))))</f>
        <v/>
      </c>
      <c r="L1911" s="1073" t="str">
        <f>IF($I1825="","",IF(OR($I1911=0,$I1911=EUconst_NA,L1910=""),IF(OR(L1908=TRUE,L1907&lt;=$V1825),L1905,SUM(K1911)),$I1911*(1+SUM(L1910))))</f>
        <v/>
      </c>
      <c r="M1911" s="1073" t="str">
        <f>IF($I1825="","",IF(OR($I1911=0,$I1911=EUconst_NA,M1910=""),IF(OR(M1908=TRUE,M1907&lt;=$V1825),M1905,SUM(L1911)),$I1911*(1+SUM(M1910))))</f>
        <v/>
      </c>
      <c r="N1911" s="1074" t="str">
        <f>IF($I1825="","",IF(OR($I1911=0,$I1911=EUconst_NA,N1910=""),IF(OR(N1908=TRUE,N1907&lt;=$V1825),N1905,SUM(M1911)),$I1911*(1+SUM(N1910))))</f>
        <v/>
      </c>
      <c r="O1911" s="15"/>
      <c r="P1911" s="15"/>
      <c r="Q1911" s="165" t="str">
        <f>EUconst_CNTR_HEATfinal &amp; I1825</f>
        <v>HEATfinal_</v>
      </c>
      <c r="R1911" s="2"/>
      <c r="S1911" s="2"/>
      <c r="T1911" s="2"/>
      <c r="U1911" s="1765" t="b">
        <v>0</v>
      </c>
      <c r="V1911" s="1757" t="str">
        <f>IF(V1833,IF(J1908=TRUE,V1903,U1911),"")</f>
        <v/>
      </c>
      <c r="W1911" s="1757" t="str">
        <f>IF(W1833,IF(K1908=TRUE,W1903,V1911),"")</f>
        <v/>
      </c>
      <c r="X1911" s="1757" t="str">
        <f>IF(X1833,IF(L1908=TRUE,X1903,W1911),"")</f>
        <v/>
      </c>
      <c r="Y1911" s="1757" t="str">
        <f>IF(Y1833,IF(M1908=TRUE,Y1903,X1911),"")</f>
        <v/>
      </c>
      <c r="Z1911" s="1758" t="str">
        <f>IF(Z1833,IF(N1908=TRUE,Z1903,Y1911),"")</f>
        <v/>
      </c>
      <c r="AA1911" s="2"/>
      <c r="AB1911" s="2"/>
      <c r="AC1911" s="2"/>
      <c r="AD1911" s="2"/>
      <c r="AE1911" s="2"/>
      <c r="AF1911" s="2"/>
      <c r="AG1911" s="2"/>
      <c r="AH1911" s="2"/>
      <c r="AI1911" s="2"/>
      <c r="AJ1911" s="553" t="s">
        <v>2242</v>
      </c>
      <c r="AK1911" s="108" t="str">
        <f>IF(OR(ISERROR(J1911),ISERROR(K1911),ISERROR(L1911),ISERROR(M1911),ISERROR(N1911)),EUconst_Error &amp; "BM" &amp; Q1825,"")</f>
        <v/>
      </c>
      <c r="AL1911" s="2"/>
    </row>
    <row r="1912" spans="1:38" ht="5.15" customHeight="1" thickBot="1" x14ac:dyDescent="0.3">
      <c r="A1912" s="2"/>
      <c r="B1912" s="19"/>
      <c r="C1912" s="19"/>
      <c r="D1912" s="1274"/>
      <c r="E1912" s="1275"/>
      <c r="F1912" s="1275"/>
      <c r="G1912" s="1275"/>
      <c r="H1912" s="1275"/>
      <c r="I1912" s="1276"/>
      <c r="J1912" s="1275"/>
      <c r="K1912" s="1275"/>
      <c r="L1912" s="1275"/>
      <c r="M1912" s="1275"/>
      <c r="N1912" s="1277"/>
      <c r="O1912" s="15"/>
      <c r="P1912" s="15"/>
      <c r="Q1912" s="130"/>
      <c r="R1912" s="2"/>
      <c r="S1912" s="343"/>
      <c r="T1912" s="343"/>
      <c r="U1912" s="2"/>
      <c r="V1912" s="2"/>
      <c r="W1912" s="2"/>
      <c r="X1912" s="2"/>
      <c r="Y1912" s="2"/>
      <c r="Z1912" s="2"/>
      <c r="AA1912" s="2"/>
      <c r="AB1912" s="2"/>
      <c r="AC1912" s="2"/>
      <c r="AD1912" s="2"/>
      <c r="AE1912" s="2"/>
      <c r="AF1912" s="2"/>
      <c r="AG1912" s="2"/>
      <c r="AH1912" s="2"/>
      <c r="AI1912" s="2"/>
      <c r="AJ1912" s="2"/>
      <c r="AK1912" s="2"/>
      <c r="AL1912" s="2"/>
    </row>
    <row r="1913" spans="1:38" ht="5.15" customHeight="1" x14ac:dyDescent="0.25">
      <c r="A1913" s="2"/>
      <c r="B1913" s="19"/>
      <c r="C1913" s="19"/>
      <c r="D1913" s="19"/>
      <c r="E1913" s="19"/>
      <c r="F1913" s="19"/>
      <c r="G1913" s="19"/>
      <c r="H1913" s="19"/>
      <c r="I1913" s="99"/>
      <c r="J1913" s="19"/>
      <c r="K1913" s="19"/>
      <c r="L1913" s="19"/>
      <c r="M1913" s="19"/>
      <c r="N1913" s="19"/>
      <c r="O1913" s="15"/>
      <c r="P1913" s="15"/>
      <c r="Q1913" s="130"/>
      <c r="R1913" s="2"/>
      <c r="S1913" s="343"/>
      <c r="T1913" s="343"/>
      <c r="U1913" s="2"/>
      <c r="V1913" s="2"/>
      <c r="W1913" s="2"/>
      <c r="X1913" s="2"/>
      <c r="Y1913" s="2"/>
      <c r="Z1913" s="2"/>
      <c r="AA1913" s="2"/>
      <c r="AB1913" s="2"/>
      <c r="AC1913" s="2"/>
      <c r="AD1913" s="2"/>
      <c r="AE1913" s="2"/>
      <c r="AF1913" s="2"/>
      <c r="AG1913" s="2"/>
      <c r="AH1913" s="2"/>
      <c r="AI1913" s="2"/>
      <c r="AJ1913" s="2"/>
      <c r="AK1913" s="2"/>
      <c r="AL1913" s="2"/>
    </row>
    <row r="1914" spans="1:38" ht="15" customHeight="1" x14ac:dyDescent="0.25">
      <c r="A1914" s="2"/>
      <c r="B1914" s="19"/>
      <c r="C1914" s="619"/>
      <c r="D1914" s="2053" t="str">
        <f>Translations!$B$541</f>
        <v>Produktionsuppgifter</v>
      </c>
      <c r="E1914" s="1963"/>
      <c r="F1914" s="1963"/>
      <c r="G1914" s="1963"/>
      <c r="H1914" s="1963"/>
      <c r="I1914" s="1963"/>
      <c r="J1914" s="1963"/>
      <c r="K1914" s="1963"/>
      <c r="L1914" s="1963"/>
      <c r="M1914" s="1963"/>
      <c r="N1914" s="1963"/>
      <c r="O1914" s="15"/>
      <c r="P1914" s="15"/>
      <c r="Q1914" s="2"/>
      <c r="R1914" s="2"/>
      <c r="S1914" s="343"/>
      <c r="T1914" s="343"/>
      <c r="U1914" s="2"/>
      <c r="V1914" s="2"/>
      <c r="W1914" s="2"/>
      <c r="X1914" s="2"/>
      <c r="Y1914" s="2"/>
      <c r="Z1914" s="2"/>
      <c r="AA1914" s="2"/>
      <c r="AB1914" s="2"/>
      <c r="AC1914" s="2"/>
      <c r="AD1914" s="2"/>
      <c r="AE1914" s="2"/>
      <c r="AF1914" s="2"/>
      <c r="AG1914" s="2"/>
      <c r="AH1914" s="2"/>
      <c r="AI1914" s="2"/>
      <c r="AJ1914" s="2"/>
      <c r="AK1914" s="2"/>
      <c r="AL1914" s="2"/>
    </row>
    <row r="1915" spans="1:38" ht="5.15" customHeight="1" x14ac:dyDescent="0.25">
      <c r="A1915" s="2"/>
      <c r="B1915" s="178"/>
      <c r="C1915" s="178"/>
      <c r="D1915" s="178"/>
      <c r="E1915" s="178"/>
      <c r="F1915" s="178"/>
      <c r="G1915" s="178"/>
      <c r="H1915" s="178"/>
      <c r="I1915" s="178"/>
      <c r="J1915" s="178"/>
      <c r="K1915" s="178"/>
      <c r="L1915" s="178"/>
      <c r="M1915" s="178"/>
      <c r="N1915" s="178"/>
      <c r="O1915" s="15"/>
      <c r="P1915" s="15"/>
      <c r="Q1915" s="343"/>
      <c r="R1915" s="343"/>
      <c r="S1915" s="343"/>
      <c r="T1915" s="343"/>
      <c r="U1915" s="2"/>
      <c r="V1915" s="2"/>
      <c r="W1915" s="2"/>
      <c r="X1915" s="2"/>
      <c r="Y1915" s="2"/>
      <c r="Z1915" s="2"/>
      <c r="AA1915" s="2"/>
      <c r="AB1915" s="2"/>
      <c r="AC1915" s="2"/>
      <c r="AD1915" s="2"/>
      <c r="AE1915" s="2"/>
      <c r="AF1915" s="2"/>
      <c r="AG1915" s="2"/>
      <c r="AH1915" s="2"/>
      <c r="AI1915" s="2"/>
      <c r="AJ1915" s="2"/>
      <c r="AK1915" s="2"/>
      <c r="AL1915" s="2"/>
    </row>
    <row r="1916" spans="1:38" ht="12.75" customHeight="1" x14ac:dyDescent="0.25">
      <c r="A1916" s="2"/>
      <c r="B1916" s="178"/>
      <c r="C1916" s="13"/>
      <c r="D1916" s="13" t="s">
        <v>65</v>
      </c>
      <c r="E1916" s="1943" t="str">
        <f>Translations!$B$542</f>
        <v>Identifiering av produkter som ingår i delanläggningen med produktriktmärke</v>
      </c>
      <c r="F1916" s="1963"/>
      <c r="G1916" s="1963"/>
      <c r="H1916" s="1963"/>
      <c r="I1916" s="1963"/>
      <c r="J1916" s="1963"/>
      <c r="K1916" s="1963"/>
      <c r="L1916" s="1963"/>
      <c r="M1916" s="1963"/>
      <c r="N1916" s="1963"/>
      <c r="O1916" s="15"/>
      <c r="P1916" s="15"/>
      <c r="Q1916" s="343"/>
      <c r="R1916" s="2"/>
      <c r="S1916" s="343"/>
      <c r="T1916" s="343"/>
      <c r="U1916" s="2"/>
      <c r="V1916" s="2"/>
      <c r="W1916" s="2"/>
      <c r="X1916" s="2"/>
      <c r="Y1916" s="2"/>
      <c r="Z1916" s="2"/>
      <c r="AA1916" s="2"/>
      <c r="AB1916" s="2"/>
      <c r="AC1916" s="2"/>
      <c r="AD1916" s="2"/>
      <c r="AE1916" s="2"/>
      <c r="AF1916" s="2"/>
      <c r="AG1916" s="2"/>
      <c r="AH1916" s="2"/>
      <c r="AI1916" s="2"/>
      <c r="AJ1916" s="2"/>
      <c r="AK1916" s="2"/>
      <c r="AL1916" s="2"/>
    </row>
    <row r="1917" spans="1:38" ht="25.5" customHeight="1" x14ac:dyDescent="0.25">
      <c r="A1917" s="2"/>
      <c r="B1917" s="178"/>
      <c r="C1917" s="15"/>
      <c r="D1917" s="15"/>
      <c r="E1917" s="2061" t="s">
        <v>2215</v>
      </c>
      <c r="F1917" s="1963"/>
      <c r="G1917" s="1963"/>
      <c r="H1917" s="1963"/>
      <c r="I1917" s="1963"/>
      <c r="J1917" s="1963"/>
      <c r="K1917" s="1963"/>
      <c r="L1917" s="1963"/>
      <c r="M1917" s="1963"/>
      <c r="N1917" s="1963"/>
      <c r="O1917" s="15"/>
      <c r="P1917" s="15"/>
      <c r="Q1917" s="343"/>
      <c r="R1917" s="2"/>
      <c r="S1917" s="343"/>
      <c r="T1917" s="343"/>
      <c r="U1917" s="2"/>
      <c r="V1917" s="2"/>
      <c r="W1917" s="2"/>
      <c r="X1917" s="2"/>
      <c r="Y1917" s="2"/>
      <c r="Z1917" s="2"/>
      <c r="AA1917" s="2"/>
      <c r="AB1917" s="2"/>
      <c r="AC1917" s="2"/>
      <c r="AD1917" s="2"/>
      <c r="AE1917" s="2"/>
      <c r="AF1917" s="2"/>
      <c r="AG1917" s="2"/>
      <c r="AH1917" s="2"/>
      <c r="AI1917" s="2"/>
      <c r="AJ1917" s="2"/>
      <c r="AK1917" s="2"/>
      <c r="AL1917" s="2"/>
    </row>
    <row r="1918" spans="1:38" ht="25.5" customHeight="1" x14ac:dyDescent="0.25">
      <c r="A1918" s="2"/>
      <c r="B1918" s="178"/>
      <c r="C1918" s="15"/>
      <c r="D1918" s="15"/>
      <c r="E1918" s="2061" t="str">
        <f>Translations!$B$543</f>
        <v>Prodcom-koder ska anges i formatet ”nnnnnnnn”, dvs. utan punkter eller andra avgränsare. Endast om Prodcom-koder inte finns ska en Nace-kod på fyra siffror anges i formatet ”nnnn”.</v>
      </c>
      <c r="F1918" s="1963"/>
      <c r="G1918" s="1963"/>
      <c r="H1918" s="1963"/>
      <c r="I1918" s="1963"/>
      <c r="J1918" s="1963"/>
      <c r="K1918" s="1963"/>
      <c r="L1918" s="1963"/>
      <c r="M1918" s="1963"/>
      <c r="N1918" s="1963"/>
      <c r="O1918" s="15"/>
      <c r="P1918" s="15"/>
      <c r="Q1918" s="343"/>
      <c r="R1918" s="2"/>
      <c r="S1918" s="343"/>
      <c r="T1918" s="343"/>
      <c r="U1918" s="2"/>
      <c r="V1918" s="2"/>
      <c r="W1918" s="2"/>
      <c r="X1918" s="2"/>
      <c r="Y1918" s="2"/>
      <c r="Z1918" s="2"/>
      <c r="AA1918" s="2"/>
      <c r="AB1918" s="2"/>
      <c r="AC1918" s="2"/>
      <c r="AD1918" s="2"/>
      <c r="AE1918" s="2"/>
      <c r="AF1918" s="2"/>
      <c r="AG1918" s="2"/>
      <c r="AH1918" s="2"/>
      <c r="AI1918" s="2"/>
      <c r="AJ1918" s="2"/>
      <c r="AK1918" s="2"/>
      <c r="AL1918" s="2"/>
    </row>
    <row r="1919" spans="1:38" ht="12.75" customHeight="1" x14ac:dyDescent="0.25">
      <c r="A1919" s="2"/>
      <c r="B1919" s="178"/>
      <c r="C1919" s="15"/>
      <c r="D1919" s="15"/>
      <c r="E1919" s="2061" t="str">
        <f>Translations!$B$544</f>
        <v>En förteckning över 2010 års Prodcom-koder finns här:</v>
      </c>
      <c r="F1919" s="1963"/>
      <c r="G1919" s="1963"/>
      <c r="H1919" s="1963"/>
      <c r="I1919" s="1963"/>
      <c r="J1919" s="1963"/>
      <c r="K1919" s="1963"/>
      <c r="L1919" s="1963"/>
      <c r="M1919" s="1963"/>
      <c r="N1919" s="1963"/>
      <c r="O1919" s="15"/>
      <c r="P1919" s="15"/>
      <c r="Q1919" s="343"/>
      <c r="R1919" s="2"/>
      <c r="S1919" s="343"/>
      <c r="T1919" s="343"/>
      <c r="U1919" s="2"/>
      <c r="V1919" s="2"/>
      <c r="W1919" s="2"/>
      <c r="X1919" s="2"/>
      <c r="Y1919" s="2"/>
      <c r="Z1919" s="2"/>
      <c r="AA1919" s="2"/>
      <c r="AB1919" s="2"/>
      <c r="AC1919" s="2"/>
      <c r="AD1919" s="2"/>
      <c r="AE1919" s="2"/>
      <c r="AF1919" s="2"/>
      <c r="AG1919" s="2"/>
      <c r="AH1919" s="2"/>
      <c r="AI1919" s="2"/>
      <c r="AJ1919" s="2"/>
      <c r="AK1919" s="2"/>
      <c r="AL1919" s="2"/>
    </row>
    <row r="1920" spans="1:38" x14ac:dyDescent="0.25">
      <c r="A1920" s="2"/>
      <c r="B1920" s="178"/>
      <c r="C1920" s="15"/>
      <c r="D1920" s="15"/>
      <c r="E1920" s="2644" t="str">
        <f>Translations!$B$545</f>
        <v>http://ec.europa.eu/eurostat/ramon/nomenclatures/index.cfm?TargetUrl=LST_CLS_DLD&amp;StrNom=PRD_2010&amp;StrLanguageCode=EN&amp;StrLayoutCode=HIERARCHIC</v>
      </c>
      <c r="F1920" s="1940"/>
      <c r="G1920" s="1940"/>
      <c r="H1920" s="1940"/>
      <c r="I1920" s="1940"/>
      <c r="J1920" s="1940"/>
      <c r="K1920" s="1940"/>
      <c r="L1920" s="1940"/>
      <c r="M1920" s="1940"/>
      <c r="N1920" s="1940"/>
      <c r="O1920" s="15"/>
      <c r="P1920" s="15"/>
      <c r="Q1920" s="343"/>
      <c r="R1920" s="2"/>
      <c r="S1920" s="343"/>
      <c r="T1920" s="343"/>
      <c r="U1920" s="2"/>
      <c r="V1920" s="2"/>
      <c r="W1920" s="2"/>
      <c r="X1920" s="2"/>
      <c r="Y1920" s="2"/>
      <c r="Z1920" s="2"/>
      <c r="AA1920" s="2"/>
      <c r="AB1920" s="2"/>
      <c r="AC1920" s="2"/>
      <c r="AD1920" s="2"/>
      <c r="AE1920" s="2"/>
      <c r="AF1920" s="2"/>
      <c r="AG1920" s="2"/>
      <c r="AH1920" s="2"/>
      <c r="AI1920" s="2"/>
      <c r="AJ1920" s="2"/>
      <c r="AK1920" s="2"/>
      <c r="AL1920" s="2"/>
    </row>
    <row r="1921" spans="1:38" ht="5.15" customHeight="1" x14ac:dyDescent="0.25">
      <c r="A1921" s="2"/>
      <c r="B1921" s="178"/>
      <c r="C1921" s="178"/>
      <c r="D1921" s="178"/>
      <c r="E1921" s="178"/>
      <c r="F1921" s="178"/>
      <c r="G1921" s="178"/>
      <c r="H1921" s="178"/>
      <c r="I1921" s="178"/>
      <c r="J1921" s="178"/>
      <c r="K1921" s="178"/>
      <c r="L1921" s="178"/>
      <c r="M1921" s="178"/>
      <c r="N1921" s="178"/>
      <c r="O1921" s="15"/>
      <c r="P1921" s="15"/>
      <c r="Q1921" s="343"/>
      <c r="R1921" s="343"/>
      <c r="S1921" s="343"/>
      <c r="T1921" s="343"/>
      <c r="U1921" s="2"/>
      <c r="V1921" s="2"/>
      <c r="W1921" s="2"/>
      <c r="X1921" s="2"/>
      <c r="Y1921" s="2"/>
      <c r="Z1921" s="2"/>
      <c r="AA1921" s="2"/>
      <c r="AB1921" s="2"/>
      <c r="AC1921" s="2"/>
      <c r="AD1921" s="2"/>
      <c r="AE1921" s="2"/>
      <c r="AF1921" s="2"/>
      <c r="AG1921" s="2"/>
      <c r="AH1921" s="2"/>
      <c r="AI1921" s="2"/>
      <c r="AJ1921" s="2"/>
      <c r="AK1921" s="2"/>
      <c r="AL1921" s="2"/>
    </row>
    <row r="1922" spans="1:38" ht="12.75" customHeight="1" x14ac:dyDescent="0.25">
      <c r="A1922" s="2"/>
      <c r="B1922" s="178"/>
      <c r="C1922" s="13"/>
      <c r="D1922" s="13" t="s">
        <v>66</v>
      </c>
      <c r="E1922" s="1943" t="str">
        <f>Translations!$B$546</f>
        <v>Individuella produktionsnivåer för produkter som ingår i delanläggningen med produktriktmärke</v>
      </c>
      <c r="F1922" s="1963"/>
      <c r="G1922" s="1963"/>
      <c r="H1922" s="1963"/>
      <c r="I1922" s="1963"/>
      <c r="J1922" s="1963"/>
      <c r="K1922" s="1963"/>
      <c r="L1922" s="1963"/>
      <c r="M1922" s="1963"/>
      <c r="N1922" s="1963"/>
      <c r="O1922" s="15"/>
      <c r="P1922" s="15"/>
      <c r="Q1922" s="343"/>
      <c r="R1922" s="2"/>
      <c r="S1922" s="343"/>
      <c r="T1922" s="343"/>
      <c r="U1922" s="2"/>
      <c r="V1922" s="2"/>
      <c r="W1922" s="2"/>
      <c r="X1922" s="2"/>
      <c r="Y1922" s="2"/>
      <c r="Z1922" s="2"/>
      <c r="AA1922" s="2"/>
      <c r="AB1922" s="2"/>
      <c r="AC1922" s="2"/>
      <c r="AD1922" s="2"/>
      <c r="AE1922" s="2"/>
      <c r="AF1922" s="2"/>
      <c r="AG1922" s="2"/>
      <c r="AH1922" s="2"/>
      <c r="AI1922" s="2"/>
      <c r="AJ1922" s="2"/>
      <c r="AK1922" s="2"/>
      <c r="AL1922" s="2"/>
    </row>
    <row r="1923" spans="1:38" ht="5.15" customHeight="1" x14ac:dyDescent="0.25">
      <c r="A1923" s="2"/>
      <c r="B1923" s="178"/>
      <c r="C1923" s="178"/>
      <c r="D1923" s="15"/>
      <c r="E1923" s="16"/>
      <c r="F1923" s="16"/>
      <c r="G1923" s="16"/>
      <c r="H1923" s="16"/>
      <c r="I1923" s="16"/>
      <c r="J1923" s="20"/>
      <c r="K1923" s="20"/>
      <c r="L1923" s="20"/>
      <c r="M1923" s="15"/>
      <c r="N1923" s="15"/>
      <c r="O1923" s="15"/>
      <c r="P1923" s="15"/>
      <c r="Q1923" s="343"/>
      <c r="R1923" s="2"/>
      <c r="S1923" s="343"/>
      <c r="T1923" s="343"/>
      <c r="U1923" s="2"/>
      <c r="V1923" s="2"/>
      <c r="W1923" s="2"/>
      <c r="X1923" s="2"/>
      <c r="Y1923" s="2"/>
      <c r="Z1923" s="2"/>
      <c r="AA1923" s="2"/>
      <c r="AB1923" s="2"/>
      <c r="AC1923" s="2"/>
      <c r="AD1923" s="2"/>
      <c r="AE1923" s="2"/>
      <c r="AF1923" s="2"/>
      <c r="AG1923" s="2"/>
      <c r="AH1923" s="2"/>
      <c r="AI1923" s="2"/>
      <c r="AJ1923" s="2"/>
      <c r="AK1923" s="2"/>
      <c r="AL1923" s="2"/>
    </row>
    <row r="1924" spans="1:38" ht="25.5" customHeight="1" thickBot="1" x14ac:dyDescent="0.3">
      <c r="A1924" s="2"/>
      <c r="B1924" s="19"/>
      <c r="C1924" s="19"/>
      <c r="D1924" s="38"/>
      <c r="E1924" s="321" t="s">
        <v>1030</v>
      </c>
      <c r="F1924" s="1027" t="str">
        <f>Translations!$B$547</f>
        <v>Namn på produkt eller produktgrupp</v>
      </c>
      <c r="G1924" s="774" t="str">
        <f>EUconst_Unit</f>
        <v>Enhet</v>
      </c>
      <c r="H1924" s="320">
        <f t="shared" ref="H1924:N1924" si="851">H$3042</f>
        <v>2019</v>
      </c>
      <c r="I1924" s="342">
        <f t="shared" si="851"/>
        <v>2020</v>
      </c>
      <c r="J1924" s="987">
        <f t="shared" si="851"/>
        <v>2021</v>
      </c>
      <c r="K1924" s="320">
        <f t="shared" si="851"/>
        <v>2022</v>
      </c>
      <c r="L1924" s="320">
        <f t="shared" si="851"/>
        <v>2023</v>
      </c>
      <c r="M1924" s="320">
        <f t="shared" si="851"/>
        <v>2024</v>
      </c>
      <c r="N1924" s="320">
        <f t="shared" si="851"/>
        <v>2025</v>
      </c>
      <c r="O1924" s="15"/>
      <c r="P1924" s="15"/>
      <c r="Q1924" s="2"/>
      <c r="R1924" s="2"/>
      <c r="S1924" s="343"/>
      <c r="T1924" s="343"/>
      <c r="U1924" s="2"/>
      <c r="V1924" s="2"/>
      <c r="W1924" s="2"/>
      <c r="X1924" s="2"/>
      <c r="Y1924" s="2"/>
      <c r="Z1924" s="1055" t="s">
        <v>782</v>
      </c>
      <c r="AA1924" s="2"/>
      <c r="AB1924" s="2"/>
      <c r="AC1924" s="1044">
        <f t="shared" ref="AC1924:AI1924" si="852">H$20</f>
        <v>2019</v>
      </c>
      <c r="AD1924" s="1044">
        <f t="shared" si="852"/>
        <v>2020</v>
      </c>
      <c r="AE1924" s="1044">
        <f t="shared" si="852"/>
        <v>2021</v>
      </c>
      <c r="AF1924" s="1044">
        <f t="shared" si="852"/>
        <v>2022</v>
      </c>
      <c r="AG1924" s="1044">
        <f t="shared" si="852"/>
        <v>2023</v>
      </c>
      <c r="AH1924" s="1044">
        <f t="shared" si="852"/>
        <v>2024</v>
      </c>
      <c r="AI1924" s="1044">
        <f t="shared" si="852"/>
        <v>2025</v>
      </c>
      <c r="AJ1924" s="2"/>
      <c r="AK1924" s="2"/>
      <c r="AL1924" s="2"/>
    </row>
    <row r="1925" spans="1:38" x14ac:dyDescent="0.25">
      <c r="A1925" s="2"/>
      <c r="B1925" s="19"/>
      <c r="C1925" s="19"/>
      <c r="D1925" s="32">
        <v>1</v>
      </c>
      <c r="E1925" s="1787"/>
      <c r="F1925" s="1047"/>
      <c r="G1925" s="602"/>
      <c r="H1925" s="383"/>
      <c r="I1925" s="467"/>
      <c r="J1925" s="1106"/>
      <c r="K1925" s="383"/>
      <c r="L1925" s="383"/>
      <c r="M1925" s="383"/>
      <c r="N1925" s="383"/>
      <c r="O1925" s="15"/>
      <c r="P1925" s="1362"/>
      <c r="Q1925" s="2"/>
      <c r="R1925" s="2"/>
      <c r="S1925" s="343"/>
      <c r="T1925" s="343"/>
      <c r="U1925" s="2"/>
      <c r="V1925" s="2"/>
      <c r="W1925" s="2"/>
      <c r="X1925" s="2"/>
      <c r="Y1925" s="2"/>
      <c r="Z1925" s="1056" t="b">
        <f t="shared" ref="Z1925:Z1934" si="853">AA1925</f>
        <v>0</v>
      </c>
      <c r="AA1925" s="1057" t="b">
        <f t="shared" ref="AA1925:AA1934" si="854">AB1925</f>
        <v>0</v>
      </c>
      <c r="AB1925" s="1363" t="b">
        <f>AND(AC1925:AI1925)</f>
        <v>0</v>
      </c>
      <c r="AC1925" s="1054" t="b">
        <f t="shared" ref="AC1925:AI1925" si="855">AC1895</f>
        <v>0</v>
      </c>
      <c r="AD1925" s="1052" t="b">
        <f t="shared" si="855"/>
        <v>0</v>
      </c>
      <c r="AE1925" s="1052" t="b">
        <f t="shared" si="855"/>
        <v>0</v>
      </c>
      <c r="AF1925" s="1052" t="b">
        <f t="shared" si="855"/>
        <v>0</v>
      </c>
      <c r="AG1925" s="1052" t="b">
        <f t="shared" si="855"/>
        <v>0</v>
      </c>
      <c r="AH1925" s="1052" t="b">
        <f t="shared" si="855"/>
        <v>0</v>
      </c>
      <c r="AI1925" s="1053" t="b">
        <f t="shared" si="855"/>
        <v>0</v>
      </c>
      <c r="AJ1925" s="553" t="s">
        <v>2248</v>
      </c>
      <c r="AK1925" s="663" t="str">
        <f>IF(AND(CNTR_ExistSubInstEntries,COUNTIFS(AC1925:AI1925,FALSE,H1925:N1925,"")&gt;0),EUconst_Error&amp;"BM"&amp;$Q1825,"")</f>
        <v/>
      </c>
      <c r="AL1925" s="2"/>
    </row>
    <row r="1926" spans="1:38" x14ac:dyDescent="0.25">
      <c r="A1926" s="2"/>
      <c r="B1926" s="19"/>
      <c r="C1926" s="19"/>
      <c r="D1926" s="33">
        <f>D1925+1</f>
        <v>2</v>
      </c>
      <c r="E1926" s="1788"/>
      <c r="F1926" s="1048"/>
      <c r="G1926" s="446"/>
      <c r="H1926" s="431"/>
      <c r="I1926" s="468"/>
      <c r="J1926" s="1120"/>
      <c r="K1926" s="431"/>
      <c r="L1926" s="431"/>
      <c r="M1926" s="431"/>
      <c r="N1926" s="431"/>
      <c r="O1926" s="15"/>
      <c r="P1926" s="1362"/>
      <c r="Q1926" s="2"/>
      <c r="R1926" s="2"/>
      <c r="S1926" s="343"/>
      <c r="T1926" s="343"/>
      <c r="U1926" s="2"/>
      <c r="V1926" s="2"/>
      <c r="W1926" s="2"/>
      <c r="X1926" s="2"/>
      <c r="Y1926" s="2"/>
      <c r="Z1926" s="583" t="b">
        <f t="shared" si="853"/>
        <v>0</v>
      </c>
      <c r="AA1926" s="108" t="b">
        <f t="shared" si="854"/>
        <v>0</v>
      </c>
      <c r="AB1926" s="109" t="b">
        <f t="shared" ref="AB1926:AB1934" si="856">AND(AC1926:AI1926)</f>
        <v>0</v>
      </c>
      <c r="AC1926" s="153" t="b">
        <f>AC1925</f>
        <v>0</v>
      </c>
      <c r="AD1926" s="108" t="b">
        <f t="shared" ref="AD1926:AI1926" si="857">AD1925</f>
        <v>0</v>
      </c>
      <c r="AE1926" s="108" t="b">
        <f t="shared" si="857"/>
        <v>0</v>
      </c>
      <c r="AF1926" s="108" t="b">
        <f t="shared" si="857"/>
        <v>0</v>
      </c>
      <c r="AG1926" s="108" t="b">
        <f t="shared" si="857"/>
        <v>0</v>
      </c>
      <c r="AH1926" s="108" t="b">
        <f t="shared" si="857"/>
        <v>0</v>
      </c>
      <c r="AI1926" s="109" t="b">
        <f t="shared" si="857"/>
        <v>0</v>
      </c>
      <c r="AJ1926" s="2"/>
      <c r="AK1926" s="2"/>
      <c r="AL1926" s="2"/>
    </row>
    <row r="1927" spans="1:38" x14ac:dyDescent="0.25">
      <c r="A1927" s="2"/>
      <c r="B1927" s="19"/>
      <c r="C1927" s="19"/>
      <c r="D1927" s="33">
        <f t="shared" ref="D1927:D1934" si="858">D1926+1</f>
        <v>3</v>
      </c>
      <c r="E1927" s="1788"/>
      <c r="F1927" s="1049"/>
      <c r="G1927" s="446"/>
      <c r="H1927" s="431"/>
      <c r="I1927" s="468"/>
      <c r="J1927" s="1120"/>
      <c r="K1927" s="431"/>
      <c r="L1927" s="431"/>
      <c r="M1927" s="431"/>
      <c r="N1927" s="431"/>
      <c r="O1927" s="15"/>
      <c r="P1927" s="1362"/>
      <c r="Q1927" s="2"/>
      <c r="R1927" s="2"/>
      <c r="S1927" s="343"/>
      <c r="T1927" s="343"/>
      <c r="U1927" s="2"/>
      <c r="V1927" s="2"/>
      <c r="W1927" s="2"/>
      <c r="X1927" s="2"/>
      <c r="Y1927" s="2"/>
      <c r="Z1927" s="583" t="b">
        <f t="shared" si="853"/>
        <v>0</v>
      </c>
      <c r="AA1927" s="108" t="b">
        <f t="shared" si="854"/>
        <v>0</v>
      </c>
      <c r="AB1927" s="109" t="b">
        <f t="shared" si="856"/>
        <v>0</v>
      </c>
      <c r="AC1927" s="153" t="b">
        <f t="shared" ref="AC1927:AI1934" si="859">AC1926</f>
        <v>0</v>
      </c>
      <c r="AD1927" s="108" t="b">
        <f t="shared" si="859"/>
        <v>0</v>
      </c>
      <c r="AE1927" s="108" t="b">
        <f t="shared" si="859"/>
        <v>0</v>
      </c>
      <c r="AF1927" s="108" t="b">
        <f t="shared" si="859"/>
        <v>0</v>
      </c>
      <c r="AG1927" s="108" t="b">
        <f t="shared" si="859"/>
        <v>0</v>
      </c>
      <c r="AH1927" s="108" t="b">
        <f t="shared" si="859"/>
        <v>0</v>
      </c>
      <c r="AI1927" s="109" t="b">
        <f t="shared" si="859"/>
        <v>0</v>
      </c>
      <c r="AJ1927" s="2"/>
      <c r="AK1927" s="2"/>
      <c r="AL1927" s="2"/>
    </row>
    <row r="1928" spans="1:38" x14ac:dyDescent="0.25">
      <c r="A1928" s="2"/>
      <c r="B1928" s="19"/>
      <c r="C1928" s="19"/>
      <c r="D1928" s="33">
        <f t="shared" si="858"/>
        <v>4</v>
      </c>
      <c r="E1928" s="1788"/>
      <c r="F1928" s="1049"/>
      <c r="G1928" s="446"/>
      <c r="H1928" s="431"/>
      <c r="I1928" s="468"/>
      <c r="J1928" s="1120"/>
      <c r="K1928" s="431"/>
      <c r="L1928" s="431"/>
      <c r="M1928" s="431"/>
      <c r="N1928" s="431"/>
      <c r="O1928" s="15"/>
      <c r="P1928" s="1362"/>
      <c r="Q1928" s="2"/>
      <c r="R1928" s="2"/>
      <c r="S1928" s="343"/>
      <c r="T1928" s="343"/>
      <c r="U1928" s="2"/>
      <c r="V1928" s="2"/>
      <c r="W1928" s="2"/>
      <c r="X1928" s="2"/>
      <c r="Y1928" s="2"/>
      <c r="Z1928" s="583" t="b">
        <f t="shared" si="853"/>
        <v>0</v>
      </c>
      <c r="AA1928" s="108" t="b">
        <f t="shared" si="854"/>
        <v>0</v>
      </c>
      <c r="AB1928" s="109" t="b">
        <f t="shared" si="856"/>
        <v>0</v>
      </c>
      <c r="AC1928" s="153" t="b">
        <f t="shared" si="859"/>
        <v>0</v>
      </c>
      <c r="AD1928" s="108" t="b">
        <f t="shared" si="859"/>
        <v>0</v>
      </c>
      <c r="AE1928" s="108" t="b">
        <f t="shared" si="859"/>
        <v>0</v>
      </c>
      <c r="AF1928" s="108" t="b">
        <f t="shared" si="859"/>
        <v>0</v>
      </c>
      <c r="AG1928" s="108" t="b">
        <f t="shared" si="859"/>
        <v>0</v>
      </c>
      <c r="AH1928" s="108" t="b">
        <f t="shared" si="859"/>
        <v>0</v>
      </c>
      <c r="AI1928" s="109" t="b">
        <f t="shared" si="859"/>
        <v>0</v>
      </c>
      <c r="AJ1928" s="2"/>
      <c r="AK1928" s="2"/>
      <c r="AL1928" s="2"/>
    </row>
    <row r="1929" spans="1:38" x14ac:dyDescent="0.25">
      <c r="A1929" s="2"/>
      <c r="B1929" s="19"/>
      <c r="C1929" s="19"/>
      <c r="D1929" s="33">
        <f t="shared" si="858"/>
        <v>5</v>
      </c>
      <c r="E1929" s="1788"/>
      <c r="F1929" s="1049"/>
      <c r="G1929" s="446"/>
      <c r="H1929" s="431"/>
      <c r="I1929" s="468"/>
      <c r="J1929" s="1120"/>
      <c r="K1929" s="431"/>
      <c r="L1929" s="431"/>
      <c r="M1929" s="431"/>
      <c r="N1929" s="431"/>
      <c r="O1929" s="15"/>
      <c r="P1929" s="1362"/>
      <c r="Q1929" s="2"/>
      <c r="R1929" s="2"/>
      <c r="S1929" s="343"/>
      <c r="T1929" s="343"/>
      <c r="U1929" s="2"/>
      <c r="V1929" s="2"/>
      <c r="W1929" s="2"/>
      <c r="X1929" s="2"/>
      <c r="Y1929" s="2"/>
      <c r="Z1929" s="583" t="b">
        <f t="shared" si="853"/>
        <v>0</v>
      </c>
      <c r="AA1929" s="108" t="b">
        <f t="shared" si="854"/>
        <v>0</v>
      </c>
      <c r="AB1929" s="109" t="b">
        <f t="shared" si="856"/>
        <v>0</v>
      </c>
      <c r="AC1929" s="153" t="b">
        <f t="shared" si="859"/>
        <v>0</v>
      </c>
      <c r="AD1929" s="108" t="b">
        <f t="shared" si="859"/>
        <v>0</v>
      </c>
      <c r="AE1929" s="108" t="b">
        <f t="shared" si="859"/>
        <v>0</v>
      </c>
      <c r="AF1929" s="108" t="b">
        <f t="shared" si="859"/>
        <v>0</v>
      </c>
      <c r="AG1929" s="108" t="b">
        <f t="shared" si="859"/>
        <v>0</v>
      </c>
      <c r="AH1929" s="108" t="b">
        <f t="shared" si="859"/>
        <v>0</v>
      </c>
      <c r="AI1929" s="109" t="b">
        <f t="shared" si="859"/>
        <v>0</v>
      </c>
      <c r="AJ1929" s="2"/>
      <c r="AK1929" s="2"/>
      <c r="AL1929" s="2"/>
    </row>
    <row r="1930" spans="1:38" x14ac:dyDescent="0.25">
      <c r="A1930" s="2"/>
      <c r="B1930" s="19"/>
      <c r="C1930" s="19"/>
      <c r="D1930" s="33">
        <f t="shared" si="858"/>
        <v>6</v>
      </c>
      <c r="E1930" s="1788"/>
      <c r="F1930" s="1049"/>
      <c r="G1930" s="446"/>
      <c r="H1930" s="431"/>
      <c r="I1930" s="468"/>
      <c r="J1930" s="1120"/>
      <c r="K1930" s="431"/>
      <c r="L1930" s="431"/>
      <c r="M1930" s="431"/>
      <c r="N1930" s="431"/>
      <c r="O1930" s="15"/>
      <c r="P1930" s="1362"/>
      <c r="Q1930" s="2"/>
      <c r="R1930" s="2"/>
      <c r="S1930" s="343"/>
      <c r="T1930" s="343"/>
      <c r="U1930" s="2"/>
      <c r="V1930" s="2"/>
      <c r="W1930" s="2"/>
      <c r="X1930" s="2"/>
      <c r="Y1930" s="2"/>
      <c r="Z1930" s="583" t="b">
        <f t="shared" si="853"/>
        <v>0</v>
      </c>
      <c r="AA1930" s="108" t="b">
        <f t="shared" si="854"/>
        <v>0</v>
      </c>
      <c r="AB1930" s="109" t="b">
        <f t="shared" si="856"/>
        <v>0</v>
      </c>
      <c r="AC1930" s="153" t="b">
        <f t="shared" si="859"/>
        <v>0</v>
      </c>
      <c r="AD1930" s="108" t="b">
        <f t="shared" si="859"/>
        <v>0</v>
      </c>
      <c r="AE1930" s="108" t="b">
        <f t="shared" si="859"/>
        <v>0</v>
      </c>
      <c r="AF1930" s="108" t="b">
        <f t="shared" si="859"/>
        <v>0</v>
      </c>
      <c r="AG1930" s="108" t="b">
        <f t="shared" si="859"/>
        <v>0</v>
      </c>
      <c r="AH1930" s="108" t="b">
        <f t="shared" si="859"/>
        <v>0</v>
      </c>
      <c r="AI1930" s="109" t="b">
        <f t="shared" si="859"/>
        <v>0</v>
      </c>
      <c r="AJ1930" s="2"/>
      <c r="AK1930" s="2"/>
      <c r="AL1930" s="2"/>
    </row>
    <row r="1931" spans="1:38" x14ac:dyDescent="0.25">
      <c r="A1931" s="2"/>
      <c r="B1931" s="19"/>
      <c r="C1931" s="19"/>
      <c r="D1931" s="33">
        <f t="shared" si="858"/>
        <v>7</v>
      </c>
      <c r="E1931" s="1788"/>
      <c r="F1931" s="1049"/>
      <c r="G1931" s="446"/>
      <c r="H1931" s="431"/>
      <c r="I1931" s="468"/>
      <c r="J1931" s="1120"/>
      <c r="K1931" s="431"/>
      <c r="L1931" s="431"/>
      <c r="M1931" s="431"/>
      <c r="N1931" s="431"/>
      <c r="O1931" s="15"/>
      <c r="P1931" s="1362"/>
      <c r="Q1931" s="2"/>
      <c r="R1931" s="2"/>
      <c r="S1931" s="343"/>
      <c r="T1931" s="343"/>
      <c r="U1931" s="2"/>
      <c r="V1931" s="2"/>
      <c r="W1931" s="2"/>
      <c r="X1931" s="2"/>
      <c r="Y1931" s="2"/>
      <c r="Z1931" s="583" t="b">
        <f t="shared" si="853"/>
        <v>0</v>
      </c>
      <c r="AA1931" s="108" t="b">
        <f t="shared" si="854"/>
        <v>0</v>
      </c>
      <c r="AB1931" s="109" t="b">
        <f t="shared" si="856"/>
        <v>0</v>
      </c>
      <c r="AC1931" s="153" t="b">
        <f t="shared" si="859"/>
        <v>0</v>
      </c>
      <c r="AD1931" s="108" t="b">
        <f t="shared" si="859"/>
        <v>0</v>
      </c>
      <c r="AE1931" s="108" t="b">
        <f t="shared" si="859"/>
        <v>0</v>
      </c>
      <c r="AF1931" s="108" t="b">
        <f t="shared" si="859"/>
        <v>0</v>
      </c>
      <c r="AG1931" s="108" t="b">
        <f t="shared" si="859"/>
        <v>0</v>
      </c>
      <c r="AH1931" s="108" t="b">
        <f t="shared" si="859"/>
        <v>0</v>
      </c>
      <c r="AI1931" s="109" t="b">
        <f t="shared" si="859"/>
        <v>0</v>
      </c>
      <c r="AJ1931" s="2"/>
      <c r="AK1931" s="2"/>
      <c r="AL1931" s="2"/>
    </row>
    <row r="1932" spans="1:38" x14ac:dyDescent="0.25">
      <c r="A1932" s="2"/>
      <c r="B1932" s="19"/>
      <c r="C1932" s="19"/>
      <c r="D1932" s="33">
        <f t="shared" si="858"/>
        <v>8</v>
      </c>
      <c r="E1932" s="1788"/>
      <c r="F1932" s="1049"/>
      <c r="G1932" s="446"/>
      <c r="H1932" s="431"/>
      <c r="I1932" s="468"/>
      <c r="J1932" s="1120"/>
      <c r="K1932" s="431"/>
      <c r="L1932" s="431"/>
      <c r="M1932" s="431"/>
      <c r="N1932" s="431"/>
      <c r="O1932" s="15"/>
      <c r="P1932" s="1362"/>
      <c r="Q1932" s="2"/>
      <c r="R1932" s="2"/>
      <c r="S1932" s="343"/>
      <c r="T1932" s="343"/>
      <c r="U1932" s="2"/>
      <c r="V1932" s="2"/>
      <c r="W1932" s="2"/>
      <c r="X1932" s="2"/>
      <c r="Y1932" s="2"/>
      <c r="Z1932" s="583" t="b">
        <f t="shared" si="853"/>
        <v>0</v>
      </c>
      <c r="AA1932" s="108" t="b">
        <f t="shared" si="854"/>
        <v>0</v>
      </c>
      <c r="AB1932" s="109" t="b">
        <f t="shared" si="856"/>
        <v>0</v>
      </c>
      <c r="AC1932" s="153" t="b">
        <f t="shared" si="859"/>
        <v>0</v>
      </c>
      <c r="AD1932" s="108" t="b">
        <f t="shared" si="859"/>
        <v>0</v>
      </c>
      <c r="AE1932" s="108" t="b">
        <f t="shared" si="859"/>
        <v>0</v>
      </c>
      <c r="AF1932" s="108" t="b">
        <f t="shared" si="859"/>
        <v>0</v>
      </c>
      <c r="AG1932" s="108" t="b">
        <f t="shared" si="859"/>
        <v>0</v>
      </c>
      <c r="AH1932" s="108" t="b">
        <f t="shared" si="859"/>
        <v>0</v>
      </c>
      <c r="AI1932" s="109" t="b">
        <f t="shared" si="859"/>
        <v>0</v>
      </c>
      <c r="AJ1932" s="2"/>
      <c r="AK1932" s="2"/>
      <c r="AL1932" s="2"/>
    </row>
    <row r="1933" spans="1:38" x14ac:dyDescent="0.25">
      <c r="A1933" s="2"/>
      <c r="B1933" s="19"/>
      <c r="C1933" s="19"/>
      <c r="D1933" s="33">
        <f t="shared" si="858"/>
        <v>9</v>
      </c>
      <c r="E1933" s="1788"/>
      <c r="F1933" s="1049"/>
      <c r="G1933" s="446"/>
      <c r="H1933" s="431"/>
      <c r="I1933" s="468"/>
      <c r="J1933" s="1120"/>
      <c r="K1933" s="431"/>
      <c r="L1933" s="431"/>
      <c r="M1933" s="431"/>
      <c r="N1933" s="431"/>
      <c r="O1933" s="15"/>
      <c r="P1933" s="1362"/>
      <c r="Q1933" s="2"/>
      <c r="R1933" s="2"/>
      <c r="S1933" s="343"/>
      <c r="T1933" s="343"/>
      <c r="U1933" s="2"/>
      <c r="V1933" s="2"/>
      <c r="W1933" s="2"/>
      <c r="X1933" s="2"/>
      <c r="Y1933" s="2"/>
      <c r="Z1933" s="583" t="b">
        <f t="shared" si="853"/>
        <v>0</v>
      </c>
      <c r="AA1933" s="108" t="b">
        <f t="shared" si="854"/>
        <v>0</v>
      </c>
      <c r="AB1933" s="109" t="b">
        <f t="shared" si="856"/>
        <v>0</v>
      </c>
      <c r="AC1933" s="153" t="b">
        <f t="shared" si="859"/>
        <v>0</v>
      </c>
      <c r="AD1933" s="108" t="b">
        <f t="shared" si="859"/>
        <v>0</v>
      </c>
      <c r="AE1933" s="108" t="b">
        <f t="shared" si="859"/>
        <v>0</v>
      </c>
      <c r="AF1933" s="108" t="b">
        <f t="shared" si="859"/>
        <v>0</v>
      </c>
      <c r="AG1933" s="108" t="b">
        <f t="shared" si="859"/>
        <v>0</v>
      </c>
      <c r="AH1933" s="108" t="b">
        <f t="shared" si="859"/>
        <v>0</v>
      </c>
      <c r="AI1933" s="109" t="b">
        <f t="shared" si="859"/>
        <v>0</v>
      </c>
      <c r="AJ1933" s="2"/>
      <c r="AK1933" s="2"/>
      <c r="AL1933" s="2"/>
    </row>
    <row r="1934" spans="1:38" ht="13" thickBot="1" x14ac:dyDescent="0.3">
      <c r="A1934" s="2"/>
      <c r="B1934" s="19"/>
      <c r="C1934" s="19"/>
      <c r="D1934" s="36">
        <f t="shared" si="858"/>
        <v>10</v>
      </c>
      <c r="E1934" s="1790"/>
      <c r="F1934" s="1050"/>
      <c r="G1934" s="447"/>
      <c r="H1934" s="357"/>
      <c r="I1934" s="469"/>
      <c r="J1934" s="1112"/>
      <c r="K1934" s="357"/>
      <c r="L1934" s="357"/>
      <c r="M1934" s="357"/>
      <c r="N1934" s="357"/>
      <c r="O1934" s="15"/>
      <c r="P1934" s="1362"/>
      <c r="Q1934" s="2"/>
      <c r="R1934" s="2"/>
      <c r="S1934" s="343"/>
      <c r="T1934" s="343"/>
      <c r="U1934" s="2"/>
      <c r="V1934" s="2"/>
      <c r="W1934" s="2"/>
      <c r="X1934" s="2"/>
      <c r="Y1934" s="2"/>
      <c r="Z1934" s="110" t="b">
        <f t="shared" si="853"/>
        <v>0</v>
      </c>
      <c r="AA1934" s="111" t="b">
        <f t="shared" si="854"/>
        <v>0</v>
      </c>
      <c r="AB1934" s="112" t="b">
        <f t="shared" si="856"/>
        <v>0</v>
      </c>
      <c r="AC1934" s="156" t="b">
        <f t="shared" si="859"/>
        <v>0</v>
      </c>
      <c r="AD1934" s="111" t="b">
        <f t="shared" si="859"/>
        <v>0</v>
      </c>
      <c r="AE1934" s="111" t="b">
        <f t="shared" si="859"/>
        <v>0</v>
      </c>
      <c r="AF1934" s="111" t="b">
        <f t="shared" si="859"/>
        <v>0</v>
      </c>
      <c r="AG1934" s="111" t="b">
        <f t="shared" si="859"/>
        <v>0</v>
      </c>
      <c r="AH1934" s="111" t="b">
        <f t="shared" si="859"/>
        <v>0</v>
      </c>
      <c r="AI1934" s="112" t="b">
        <f t="shared" si="859"/>
        <v>0</v>
      </c>
      <c r="AJ1934" s="2"/>
      <c r="AK1934" s="2"/>
      <c r="AL1934" s="2"/>
    </row>
    <row r="1935" spans="1:38" ht="12.75" customHeight="1" thickBot="1" x14ac:dyDescent="0.3">
      <c r="A1935" s="2"/>
      <c r="B1935" s="19"/>
      <c r="C1935" s="19"/>
      <c r="D1935" s="90"/>
      <c r="E1935" s="1026" t="str">
        <f>Translations!$B$548</f>
        <v>Summa av produktionsnivåer</v>
      </c>
      <c r="F1935" s="915"/>
      <c r="G1935" s="554"/>
      <c r="H1935" s="275" t="str">
        <f t="shared" ref="H1935:N1935" si="860">IF(COUNT(H1925:H1934)&gt;0,SUM(H1925:H1934),"")</f>
        <v/>
      </c>
      <c r="I1935" s="281" t="str">
        <f t="shared" si="860"/>
        <v/>
      </c>
      <c r="J1935" s="1118" t="str">
        <f t="shared" si="860"/>
        <v/>
      </c>
      <c r="K1935" s="275" t="str">
        <f t="shared" si="860"/>
        <v/>
      </c>
      <c r="L1935" s="275" t="str">
        <f t="shared" si="860"/>
        <v/>
      </c>
      <c r="M1935" s="275" t="str">
        <f t="shared" si="860"/>
        <v/>
      </c>
      <c r="N1935" s="275" t="str">
        <f t="shared" si="860"/>
        <v/>
      </c>
      <c r="O1935" s="15"/>
      <c r="P1935" s="15"/>
      <c r="Q1935" s="2"/>
      <c r="R1935" s="2"/>
      <c r="S1935" s="343"/>
      <c r="T1935" s="343"/>
      <c r="U1935" s="2"/>
      <c r="V1935" s="2"/>
      <c r="W1935" s="2"/>
      <c r="X1935" s="2"/>
      <c r="Y1935" s="2"/>
      <c r="Z1935" s="2"/>
      <c r="AA1935" s="2"/>
      <c r="AB1935" s="555" t="b">
        <f>AND(AB1925:AB1934)</f>
        <v>0</v>
      </c>
      <c r="AC1935" s="2"/>
      <c r="AD1935" s="2"/>
      <c r="AE1935" s="2"/>
      <c r="AF1935" s="2"/>
      <c r="AG1935" s="2"/>
      <c r="AH1935" s="2"/>
      <c r="AI1935" s="2"/>
      <c r="AJ1935" s="2"/>
      <c r="AK1935" s="2"/>
      <c r="AL1935" s="2"/>
    </row>
    <row r="1936" spans="1:38" ht="12.75" customHeight="1" thickBot="1" x14ac:dyDescent="0.3">
      <c r="A1936" s="2"/>
      <c r="B1936" s="178"/>
      <c r="C1936" s="178"/>
      <c r="D1936" s="178"/>
      <c r="E1936" s="178"/>
      <c r="F1936" s="178"/>
      <c r="G1936" s="178"/>
      <c r="H1936" s="178"/>
      <c r="I1936" s="178"/>
      <c r="J1936" s="178"/>
      <c r="K1936" s="178"/>
      <c r="L1936" s="178"/>
      <c r="M1936" s="15"/>
      <c r="N1936" s="15"/>
      <c r="O1936" s="15"/>
      <c r="P1936" s="15"/>
      <c r="Q1936" s="343"/>
      <c r="R1936" s="2"/>
      <c r="S1936" s="343"/>
      <c r="T1936" s="343"/>
      <c r="U1936" s="2"/>
      <c r="V1936" s="2"/>
      <c r="W1936" s="2"/>
      <c r="X1936" s="2"/>
      <c r="Y1936" s="2"/>
      <c r="Z1936" s="2"/>
      <c r="AA1936" s="2"/>
      <c r="AB1936" s="2"/>
      <c r="AC1936" s="2"/>
      <c r="AD1936" s="2"/>
      <c r="AE1936" s="2"/>
      <c r="AF1936" s="2"/>
      <c r="AG1936" s="2"/>
      <c r="AH1936" s="2"/>
      <c r="AI1936" s="2"/>
      <c r="AJ1936" s="2"/>
      <c r="AK1936" s="2"/>
      <c r="AL1936" s="2"/>
    </row>
    <row r="1937" spans="1:38" ht="5.15" customHeight="1" x14ac:dyDescent="0.25">
      <c r="A1937" s="2"/>
      <c r="B1937" s="178"/>
      <c r="C1937" s="775"/>
      <c r="D1937" s="776"/>
      <c r="E1937" s="776"/>
      <c r="F1937" s="776"/>
      <c r="G1937" s="776"/>
      <c r="H1937" s="776"/>
      <c r="I1937" s="776"/>
      <c r="J1937" s="776"/>
      <c r="K1937" s="776"/>
      <c r="L1937" s="776"/>
      <c r="M1937" s="777"/>
      <c r="N1937" s="778"/>
      <c r="O1937" s="15"/>
      <c r="P1937" s="15"/>
      <c r="Q1937" s="343"/>
      <c r="R1937" s="2"/>
      <c r="S1937" s="343"/>
      <c r="T1937" s="343"/>
      <c r="U1937" s="2"/>
      <c r="V1937" s="2"/>
      <c r="W1937" s="2"/>
      <c r="X1937" s="2"/>
      <c r="Y1937" s="2"/>
      <c r="Z1937" s="2"/>
      <c r="AA1937" s="2"/>
      <c r="AB1937" s="2"/>
      <c r="AC1937" s="2"/>
      <c r="AD1937" s="2"/>
      <c r="AE1937" s="2"/>
      <c r="AF1937" s="2"/>
      <c r="AG1937" s="2"/>
      <c r="AH1937" s="2"/>
      <c r="AI1937" s="2"/>
      <c r="AJ1937" s="2"/>
      <c r="AK1937" s="2"/>
      <c r="AL1937" s="2"/>
    </row>
    <row r="1938" spans="1:38" ht="15" customHeight="1" x14ac:dyDescent="0.25">
      <c r="A1938" s="2"/>
      <c r="B1938" s="19"/>
      <c r="C1938" s="779"/>
      <c r="D1938" s="2645" t="str">
        <f>Translations!$B$549</f>
        <v>Uppgifter som krävs för att fastställa den riktmärkesrelaterade förbättringsfaktorn enligt artikel 10a.2 i ETS-direktivet</v>
      </c>
      <c r="E1938" s="2635"/>
      <c r="F1938" s="2635"/>
      <c r="G1938" s="2635"/>
      <c r="H1938" s="2635"/>
      <c r="I1938" s="2635"/>
      <c r="J1938" s="2635"/>
      <c r="K1938" s="2635"/>
      <c r="L1938" s="2635"/>
      <c r="M1938" s="2635"/>
      <c r="N1938" s="2636"/>
      <c r="O1938" s="15"/>
      <c r="P1938" s="15"/>
      <c r="Q1938" s="2"/>
      <c r="R1938" s="2"/>
      <c r="S1938" s="343"/>
      <c r="T1938" s="343"/>
      <c r="U1938" s="2"/>
      <c r="V1938" s="2"/>
      <c r="W1938" s="2"/>
      <c r="X1938" s="2"/>
      <c r="Y1938" s="2"/>
      <c r="Z1938" s="2"/>
      <c r="AA1938" s="2"/>
      <c r="AB1938" s="2"/>
      <c r="AC1938" s="2"/>
      <c r="AD1938" s="2"/>
      <c r="AE1938" s="2"/>
      <c r="AF1938" s="2"/>
      <c r="AG1938" s="2"/>
      <c r="AH1938" s="2"/>
      <c r="AI1938" s="2"/>
      <c r="AJ1938" s="2"/>
      <c r="AK1938" s="2"/>
      <c r="AL1938" s="2"/>
    </row>
    <row r="1939" spans="1:38" ht="5.15" customHeight="1" x14ac:dyDescent="0.25">
      <c r="A1939" s="2"/>
      <c r="B1939" s="19"/>
      <c r="C1939" s="371"/>
      <c r="D1939" s="360"/>
      <c r="E1939" s="360"/>
      <c r="F1939" s="360"/>
      <c r="G1939" s="360"/>
      <c r="H1939" s="360"/>
      <c r="I1939" s="360"/>
      <c r="J1939" s="360"/>
      <c r="K1939" s="360"/>
      <c r="L1939" s="360"/>
      <c r="M1939" s="360"/>
      <c r="N1939" s="372"/>
      <c r="O1939" s="15"/>
      <c r="P1939" s="15"/>
      <c r="Q1939" s="2"/>
      <c r="R1939" s="2"/>
      <c r="S1939" s="343"/>
      <c r="T1939" s="343"/>
      <c r="U1939" s="2"/>
      <c r="V1939" s="2"/>
      <c r="W1939" s="2"/>
      <c r="X1939" s="2"/>
      <c r="Y1939" s="2"/>
      <c r="Z1939" s="2"/>
      <c r="AA1939" s="2"/>
      <c r="AB1939" s="2"/>
      <c r="AC1939" s="2"/>
      <c r="AD1939" s="2"/>
      <c r="AE1939" s="2"/>
      <c r="AF1939" s="2"/>
      <c r="AG1939" s="2"/>
      <c r="AH1939" s="2"/>
      <c r="AI1939" s="2"/>
      <c r="AJ1939" s="2"/>
      <c r="AK1939" s="2"/>
      <c r="AL1939" s="2"/>
    </row>
    <row r="1940" spans="1:38" ht="15" customHeight="1" x14ac:dyDescent="0.25">
      <c r="A1940" s="2"/>
      <c r="B1940" s="19"/>
      <c r="C1940" s="371"/>
      <c r="D1940" s="2646" t="str">
        <f>EUconst_BMSubinst &amp; ":"</f>
        <v>Delanläggning med produktriktmärke:</v>
      </c>
      <c r="E1940" s="2642"/>
      <c r="F1940" s="2642"/>
      <c r="G1940" s="2642"/>
      <c r="H1940" s="2647"/>
      <c r="I1940" s="2090" t="str">
        <f>I1825</f>
        <v/>
      </c>
      <c r="J1940" s="2120"/>
      <c r="K1940" s="2120"/>
      <c r="L1940" s="2120"/>
      <c r="M1940" s="2120"/>
      <c r="N1940" s="2648"/>
      <c r="O1940" s="15"/>
      <c r="P1940" s="15"/>
      <c r="Q1940" s="2"/>
      <c r="R1940" s="2"/>
      <c r="S1940" s="343"/>
      <c r="T1940" s="343"/>
      <c r="U1940" s="2"/>
      <c r="V1940" s="2"/>
      <c r="W1940" s="2"/>
      <c r="X1940" s="2"/>
      <c r="Y1940" s="2"/>
      <c r="Z1940" s="2"/>
      <c r="AA1940" s="2"/>
      <c r="AB1940" s="2"/>
      <c r="AC1940" s="2"/>
      <c r="AD1940" s="2"/>
      <c r="AE1940" s="2"/>
      <c r="AF1940" s="2"/>
      <c r="AG1940" s="2"/>
      <c r="AH1940" s="2"/>
      <c r="AI1940" s="2"/>
      <c r="AJ1940" s="2"/>
      <c r="AK1940" s="2"/>
      <c r="AL1940" s="2"/>
    </row>
    <row r="1941" spans="1:38" ht="5.15" customHeight="1" x14ac:dyDescent="0.25">
      <c r="A1941" s="2"/>
      <c r="B1941" s="19"/>
      <c r="C1941" s="371"/>
      <c r="D1941" s="360"/>
      <c r="E1941" s="360"/>
      <c r="F1941" s="360"/>
      <c r="G1941" s="360"/>
      <c r="H1941" s="360"/>
      <c r="I1941" s="360"/>
      <c r="J1941" s="360"/>
      <c r="K1941" s="360"/>
      <c r="L1941" s="360"/>
      <c r="M1941" s="360"/>
      <c r="N1941" s="372"/>
      <c r="O1941" s="15"/>
      <c r="P1941" s="15"/>
      <c r="Q1941" s="2"/>
      <c r="R1941" s="2"/>
      <c r="S1941" s="343"/>
      <c r="T1941" s="343"/>
      <c r="U1941" s="2"/>
      <c r="V1941" s="2"/>
      <c r="W1941" s="2"/>
      <c r="X1941" s="2"/>
      <c r="Y1941" s="2"/>
      <c r="Z1941" s="2"/>
      <c r="AA1941" s="2"/>
      <c r="AB1941" s="2"/>
      <c r="AC1941" s="2"/>
      <c r="AD1941" s="2"/>
      <c r="AE1941" s="2"/>
      <c r="AF1941" s="2"/>
      <c r="AG1941" s="2"/>
      <c r="AH1941" s="2"/>
      <c r="AI1941" s="2"/>
      <c r="AJ1941" s="2"/>
      <c r="AK1941" s="2"/>
      <c r="AL1941" s="2"/>
    </row>
    <row r="1942" spans="1:38" ht="30" customHeight="1" x14ac:dyDescent="0.25">
      <c r="A1942" s="2"/>
      <c r="B1942" s="178"/>
      <c r="C1942" s="779"/>
      <c r="D1942" s="780"/>
      <c r="E1942" s="2649" t="str">
        <f>Translations!$B$550</f>
        <v>Detta underavsnitt avser tillskrivning av utsläpp från bränsle-/materialmängder, utsläppskällor, import och export av mätbar värme och restgaser inklusive värmeförluster i enlighet med avsnitt 10 i bilaga VII till FAR.</v>
      </c>
      <c r="F1942" s="2649"/>
      <c r="G1942" s="2649"/>
      <c r="H1942" s="2649"/>
      <c r="I1942" s="2649"/>
      <c r="J1942" s="2649"/>
      <c r="K1942" s="2649"/>
      <c r="L1942" s="2649"/>
      <c r="M1942" s="2649"/>
      <c r="N1942" s="2650"/>
      <c r="O1942" s="15"/>
      <c r="P1942" s="15"/>
      <c r="Q1942" s="343"/>
      <c r="R1942" s="2"/>
      <c r="S1942" s="2"/>
      <c r="T1942" s="2"/>
      <c r="U1942" s="2"/>
      <c r="V1942" s="2"/>
      <c r="W1942" s="2"/>
      <c r="X1942" s="2"/>
      <c r="Y1942" s="2"/>
      <c r="Z1942" s="2"/>
      <c r="AA1942" s="2"/>
      <c r="AB1942" s="2"/>
      <c r="AC1942" s="2"/>
      <c r="AD1942" s="2"/>
      <c r="AE1942" s="2"/>
      <c r="AF1942" s="2"/>
      <c r="AG1942" s="2"/>
      <c r="AH1942" s="2"/>
      <c r="AI1942" s="2"/>
      <c r="AJ1942" s="2"/>
      <c r="AK1942" s="2"/>
      <c r="AL1942" s="2"/>
    </row>
    <row r="1943" spans="1:38" ht="30" customHeight="1" x14ac:dyDescent="0.25">
      <c r="A1943" s="2"/>
      <c r="B1943" s="178"/>
      <c r="C1943" s="779"/>
      <c r="D1943" s="780"/>
      <c r="E1943" s="2649" t="str">
        <f>Translations!$B$551</f>
        <v xml:space="preserve">Var god notera att även om viss vägledning ges för varje punkt nedan bör ytterligare information inhämtas från vägledning 5 (”Monitoring and Reporting in relation to the FAR”), som också innehåller exempel. </v>
      </c>
      <c r="F1943" s="2649"/>
      <c r="G1943" s="2649"/>
      <c r="H1943" s="2649"/>
      <c r="I1943" s="2649"/>
      <c r="J1943" s="2649"/>
      <c r="K1943" s="2649"/>
      <c r="L1943" s="2649"/>
      <c r="M1943" s="2649"/>
      <c r="N1943" s="2597"/>
      <c r="O1943" s="15"/>
      <c r="P1943" s="15"/>
      <c r="Q1943" s="343"/>
      <c r="R1943" s="2"/>
      <c r="S1943" s="2"/>
      <c r="T1943" s="2"/>
      <c r="U1943" s="2"/>
      <c r="V1943" s="2"/>
      <c r="W1943" s="2"/>
      <c r="X1943" s="2"/>
      <c r="Y1943" s="2"/>
      <c r="Z1943" s="2"/>
      <c r="AA1943" s="2"/>
      <c r="AB1943" s="2"/>
      <c r="AC1943" s="2"/>
      <c r="AD1943" s="2"/>
      <c r="AE1943" s="2"/>
      <c r="AF1943" s="2"/>
      <c r="AG1943" s="2"/>
      <c r="AH1943" s="2"/>
      <c r="AI1943" s="2"/>
      <c r="AJ1943" s="2"/>
      <c r="AK1943" s="2"/>
      <c r="AL1943" s="2"/>
    </row>
    <row r="1944" spans="1:38" ht="12.75" customHeight="1" x14ac:dyDescent="0.25">
      <c r="A1944" s="2"/>
      <c r="B1944" s="178"/>
      <c r="C1944" s="779"/>
      <c r="D1944" s="780"/>
      <c r="E1944" s="2649" t="str">
        <f>Translations!$B$552</f>
        <v xml:space="preserve">Vägledningen kan laddas ner via följande länk: </v>
      </c>
      <c r="F1944" s="1960"/>
      <c r="G1944" s="1960"/>
      <c r="H1944" s="1960"/>
      <c r="I1944" s="1960"/>
      <c r="J1944" s="1960"/>
      <c r="K1944" s="1960"/>
      <c r="L1944" s="1960"/>
      <c r="M1944" s="1960"/>
      <c r="N1944" s="2597"/>
      <c r="O1944" s="15"/>
      <c r="P1944" s="15"/>
      <c r="Q1944" s="343"/>
      <c r="R1944" s="2"/>
      <c r="S1944" s="2"/>
      <c r="T1944" s="2"/>
      <c r="U1944" s="2"/>
      <c r="V1944" s="2"/>
      <c r="W1944" s="2"/>
      <c r="X1944" s="2"/>
      <c r="Y1944" s="2"/>
      <c r="Z1944" s="2"/>
      <c r="AA1944" s="2"/>
      <c r="AB1944" s="2"/>
      <c r="AC1944" s="2"/>
      <c r="AD1944" s="2"/>
      <c r="AE1944" s="2"/>
      <c r="AF1944" s="2"/>
      <c r="AG1944" s="2"/>
      <c r="AH1944" s="2"/>
      <c r="AI1944" s="2"/>
      <c r="AJ1944" s="2"/>
      <c r="AK1944" s="2"/>
      <c r="AL1944" s="2"/>
    </row>
    <row r="1945" spans="1:38" ht="15" customHeight="1" x14ac:dyDescent="0.25">
      <c r="A1945" s="2"/>
      <c r="B1945" s="178"/>
      <c r="C1945" s="779"/>
      <c r="D1945" s="780"/>
      <c r="E1945" s="2651" t="str">
        <f>Translations!$B$553</f>
        <v>https://ec.europa.eu/clima/policies/ets/allowances_en#tab-0-1</v>
      </c>
      <c r="F1945" s="2651"/>
      <c r="G1945" s="2651"/>
      <c r="H1945" s="2651"/>
      <c r="I1945" s="2651"/>
      <c r="J1945" s="2651"/>
      <c r="K1945" s="2651"/>
      <c r="L1945" s="2651"/>
      <c r="M1945" s="2651"/>
      <c r="N1945" s="2624"/>
      <c r="O1945" s="15"/>
      <c r="P1945" s="15"/>
      <c r="Q1945" s="343"/>
      <c r="R1945" s="2"/>
      <c r="S1945" s="2"/>
      <c r="T1945" s="2"/>
      <c r="U1945" s="2"/>
      <c r="V1945" s="2"/>
      <c r="W1945" s="2"/>
      <c r="X1945" s="2"/>
      <c r="Y1945" s="2"/>
      <c r="Z1945" s="2"/>
      <c r="AA1945" s="2"/>
      <c r="AB1945" s="2"/>
      <c r="AC1945" s="2"/>
      <c r="AD1945" s="2"/>
      <c r="AE1945" s="2"/>
      <c r="AF1945" s="2"/>
      <c r="AG1945" s="2"/>
      <c r="AH1945" s="2"/>
      <c r="AI1945" s="2"/>
      <c r="AJ1945" s="2"/>
      <c r="AK1945" s="2"/>
      <c r="AL1945" s="2"/>
    </row>
    <row r="1946" spans="1:38" ht="5.15" customHeight="1" x14ac:dyDescent="0.25">
      <c r="A1946" s="2"/>
      <c r="B1946" s="19"/>
      <c r="C1946" s="371"/>
      <c r="D1946" s="360"/>
      <c r="E1946" s="360"/>
      <c r="F1946" s="360"/>
      <c r="G1946" s="360"/>
      <c r="H1946" s="360"/>
      <c r="I1946" s="360"/>
      <c r="J1946" s="360"/>
      <c r="K1946" s="360"/>
      <c r="L1946" s="360"/>
      <c r="M1946" s="360"/>
      <c r="N1946" s="372"/>
      <c r="O1946" s="15"/>
      <c r="P1946" s="15"/>
      <c r="Q1946" s="2"/>
      <c r="R1946" s="2"/>
      <c r="S1946" s="343"/>
      <c r="T1946" s="343"/>
      <c r="U1946" s="2"/>
      <c r="V1946" s="2"/>
      <c r="W1946" s="2"/>
      <c r="X1946" s="2"/>
      <c r="Y1946" s="2"/>
      <c r="Z1946" s="2"/>
      <c r="AA1946" s="2"/>
      <c r="AB1946" s="2"/>
      <c r="AC1946" s="2"/>
      <c r="AD1946" s="2"/>
      <c r="AE1946" s="2"/>
      <c r="AF1946" s="2"/>
      <c r="AG1946" s="2"/>
      <c r="AH1946" s="2"/>
      <c r="AI1946" s="2"/>
      <c r="AJ1946" s="2"/>
      <c r="AK1946" s="2"/>
      <c r="AL1946" s="2"/>
    </row>
    <row r="1947" spans="1:38" ht="15" customHeight="1" x14ac:dyDescent="0.25">
      <c r="A1947" s="2"/>
      <c r="B1947" s="178"/>
      <c r="C1947" s="779"/>
      <c r="D1947" s="780"/>
      <c r="E1947" s="2633" t="str">
        <f>Translations!$B$554</f>
        <v>Utifrån de uppgifter som anges nedan beräknas de tillskrivna utsläppen i avsnitt K.III.2 i det sammanfattande bladet "K_Summary".</v>
      </c>
      <c r="F1947" s="2633"/>
      <c r="G1947" s="2633"/>
      <c r="H1947" s="2633"/>
      <c r="I1947" s="2633"/>
      <c r="J1947" s="2633"/>
      <c r="K1947" s="2633"/>
      <c r="L1947" s="2633"/>
      <c r="M1947" s="2633"/>
      <c r="N1947" s="2624"/>
      <c r="O1947" s="15"/>
      <c r="P1947" s="15"/>
      <c r="Q1947" s="343"/>
      <c r="R1947" s="2"/>
      <c r="S1947" s="2"/>
      <c r="T1947" s="2"/>
      <c r="U1947" s="2"/>
      <c r="V1947" s="2"/>
      <c r="W1947" s="2"/>
      <c r="X1947" s="2"/>
      <c r="Y1947" s="2"/>
      <c r="Z1947" s="2"/>
      <c r="AA1947" s="2"/>
      <c r="AB1947" s="2"/>
      <c r="AC1947" s="2"/>
      <c r="AD1947" s="2"/>
      <c r="AE1947" s="2"/>
      <c r="AF1947" s="2"/>
      <c r="AG1947" s="2"/>
      <c r="AH1947" s="2"/>
      <c r="AI1947" s="2"/>
      <c r="AJ1947" s="2"/>
      <c r="AK1947" s="2"/>
      <c r="AL1947" s="2"/>
    </row>
    <row r="1948" spans="1:38" ht="5.15" customHeight="1" x14ac:dyDescent="0.25">
      <c r="A1948" s="2"/>
      <c r="B1948" s="19"/>
      <c r="C1948" s="371"/>
      <c r="D1948" s="360"/>
      <c r="E1948" s="360"/>
      <c r="F1948" s="360"/>
      <c r="G1948" s="360"/>
      <c r="H1948" s="360"/>
      <c r="I1948" s="360"/>
      <c r="J1948" s="360"/>
      <c r="K1948" s="360"/>
      <c r="L1948" s="360"/>
      <c r="M1948" s="360"/>
      <c r="N1948" s="372"/>
      <c r="O1948" s="15"/>
      <c r="P1948" s="15"/>
      <c r="Q1948" s="2"/>
      <c r="R1948" s="2"/>
      <c r="S1948" s="343"/>
      <c r="T1948" s="343"/>
      <c r="U1948" s="2"/>
      <c r="V1948" s="2"/>
      <c r="W1948" s="2"/>
      <c r="X1948" s="2"/>
      <c r="Y1948" s="2"/>
      <c r="Z1948" s="2"/>
      <c r="AA1948" s="2"/>
      <c r="AB1948" s="2"/>
      <c r="AC1948" s="2"/>
      <c r="AD1948" s="2"/>
      <c r="AE1948" s="2"/>
      <c r="AF1948" s="2"/>
      <c r="AG1948" s="2"/>
      <c r="AH1948" s="2"/>
      <c r="AI1948" s="2"/>
      <c r="AJ1948" s="2"/>
      <c r="AK1948" s="2"/>
      <c r="AL1948" s="2"/>
    </row>
    <row r="1949" spans="1:38" ht="12.75" customHeight="1" x14ac:dyDescent="0.25">
      <c r="A1949" s="2"/>
      <c r="B1949" s="178"/>
      <c r="C1949" s="779"/>
      <c r="D1949" s="373" t="s">
        <v>299</v>
      </c>
      <c r="E1949" s="2634" t="str">
        <f>Translations!$B$555</f>
        <v>Utsläpp som direkt kan tillskrivas (DirEm* (bränsle-/materialmängder enligt övervakningsplan)) delanläggningen</v>
      </c>
      <c r="F1949" s="2635"/>
      <c r="G1949" s="2635"/>
      <c r="H1949" s="2635"/>
      <c r="I1949" s="2635"/>
      <c r="J1949" s="2635"/>
      <c r="K1949" s="2635"/>
      <c r="L1949" s="2635"/>
      <c r="M1949" s="2635"/>
      <c r="N1949" s="2636"/>
      <c r="O1949" s="15"/>
      <c r="P1949" s="15"/>
      <c r="Q1949" s="343"/>
      <c r="R1949" s="2"/>
      <c r="S1949" s="343"/>
      <c r="T1949" s="343"/>
      <c r="U1949" s="2"/>
      <c r="V1949" s="2"/>
      <c r="W1949" s="2"/>
      <c r="X1949" s="2"/>
      <c r="Y1949" s="2"/>
      <c r="Z1949" s="2"/>
      <c r="AA1949" s="2"/>
      <c r="AB1949" s="2"/>
      <c r="AC1949" s="2"/>
      <c r="AD1949" s="2"/>
      <c r="AE1949" s="2"/>
      <c r="AF1949" s="2"/>
      <c r="AG1949" s="2"/>
      <c r="AH1949" s="2"/>
      <c r="AI1949" s="2"/>
      <c r="AJ1949" s="2"/>
      <c r="AK1949" s="2"/>
      <c r="AL1949" s="2"/>
    </row>
    <row r="1950" spans="1:38" ht="12.75" customHeight="1" x14ac:dyDescent="0.25">
      <c r="A1950" s="2"/>
      <c r="B1950" s="178"/>
      <c r="C1950" s="779"/>
      <c r="D1950" s="416"/>
      <c r="E1950" s="2637" t="str">
        <f>Translations!$B$556</f>
        <v>De uppgifter som anges här påverkar de utsläpp som kan tillskrivas i enlighet med avsnitt 10.1.1 i bilaga VII till FAR.</v>
      </c>
      <c r="F1950" s="2634"/>
      <c r="G1950" s="2634"/>
      <c r="H1950" s="2634"/>
      <c r="I1950" s="2634"/>
      <c r="J1950" s="2634"/>
      <c r="K1950" s="2634"/>
      <c r="L1950" s="2634"/>
      <c r="M1950" s="2634"/>
      <c r="N1950" s="2638"/>
      <c r="O1950" s="15"/>
      <c r="P1950" s="15"/>
      <c r="Q1950" s="343"/>
      <c r="R1950" s="2"/>
      <c r="S1950" s="343"/>
      <c r="T1950" s="343"/>
      <c r="U1950" s="2"/>
      <c r="V1950" s="2"/>
      <c r="W1950" s="2"/>
      <c r="X1950" s="2"/>
      <c r="Y1950" s="2"/>
      <c r="Z1950" s="2"/>
      <c r="AA1950" s="2"/>
      <c r="AB1950" s="2"/>
      <c r="AC1950" s="2"/>
      <c r="AD1950" s="2"/>
      <c r="AE1950" s="2"/>
      <c r="AF1950" s="2"/>
      <c r="AG1950" s="2"/>
      <c r="AH1950" s="2"/>
      <c r="AI1950" s="2"/>
      <c r="AJ1950" s="2"/>
      <c r="AK1950" s="2"/>
      <c r="AL1950" s="2"/>
    </row>
    <row r="1951" spans="1:38" ht="12.75" customHeight="1" x14ac:dyDescent="0.25">
      <c r="A1951" s="2"/>
      <c r="B1951" s="178"/>
      <c r="C1951" s="779"/>
      <c r="D1951" s="780"/>
      <c r="E1951" s="2639" t="str">
        <f>Translations!$B$557</f>
        <v>Var god ange utsläpp som direkt kan tillskrivas (DirEm* (bränsle-/materialmängder enligt övervakningsplan)) delanläggningen med beaktande av följande bestämmelser:</v>
      </c>
      <c r="F1951" s="2639"/>
      <c r="G1951" s="2639"/>
      <c r="H1951" s="2639"/>
      <c r="I1951" s="2639"/>
      <c r="J1951" s="2639"/>
      <c r="K1951" s="2639"/>
      <c r="L1951" s="2639"/>
      <c r="M1951" s="2639"/>
      <c r="N1951" s="2640"/>
      <c r="O1951" s="15"/>
      <c r="P1951" s="15"/>
      <c r="Q1951" s="343"/>
      <c r="R1951" s="2"/>
      <c r="S1951" s="343"/>
      <c r="T1951" s="2"/>
      <c r="U1951" s="2"/>
      <c r="V1951" s="2"/>
      <c r="W1951" s="2"/>
      <c r="X1951" s="2"/>
      <c r="Y1951" s="2"/>
      <c r="Z1951" s="2"/>
      <c r="AA1951" s="2"/>
      <c r="AB1951" s="2"/>
      <c r="AC1951" s="2"/>
      <c r="AD1951" s="2"/>
      <c r="AE1951" s="2"/>
      <c r="AF1951" s="2"/>
      <c r="AG1951" s="2"/>
      <c r="AH1951" s="2"/>
      <c r="AI1951" s="2"/>
      <c r="AJ1951" s="2"/>
      <c r="AK1951" s="2"/>
      <c r="AL1951" s="2"/>
    </row>
    <row r="1952" spans="1:38" ht="25.5" customHeight="1" x14ac:dyDescent="0.25">
      <c r="A1952" s="2"/>
      <c r="B1952" s="178"/>
      <c r="C1952" s="779"/>
      <c r="D1952" s="780"/>
      <c r="E1952" s="1140" t="s">
        <v>1112</v>
      </c>
      <c r="F1952" s="2641" t="str">
        <f>Translations!$B$558</f>
        <v>”Utsläpp som direkt kan tillskrivas” övervakas enligt den övervakningsplan som ska godkännas enligt M&amp;R-förordningen, dvs. med hänsyn tagen till de utsläpp som fastställts utifrån beräkningsbaserade metoder (med hjälp av bränsle-/materialmängder), mätbaserade metoder (Cems) och nivålösa metoder (”alternativa övervakningsmetoder”/”fall-back”).</v>
      </c>
      <c r="G1952" s="2642"/>
      <c r="H1952" s="2642"/>
      <c r="I1952" s="2642"/>
      <c r="J1952" s="2642"/>
      <c r="K1952" s="2642"/>
      <c r="L1952" s="2642"/>
      <c r="M1952" s="2642"/>
      <c r="N1952" s="2643"/>
      <c r="O1952" s="15"/>
      <c r="P1952" s="15"/>
      <c r="Q1952" s="343"/>
      <c r="R1952" s="2"/>
      <c r="S1952" s="343"/>
      <c r="T1952" s="2"/>
      <c r="U1952" s="2"/>
      <c r="V1952" s="2"/>
      <c r="W1952" s="2"/>
      <c r="X1952" s="2"/>
      <c r="Y1952" s="2"/>
      <c r="Z1952" s="2"/>
      <c r="AA1952" s="2"/>
      <c r="AB1952" s="2"/>
      <c r="AC1952" s="2"/>
      <c r="AD1952" s="2"/>
      <c r="AE1952" s="2"/>
      <c r="AF1952" s="2"/>
      <c r="AG1952" s="2"/>
      <c r="AH1952" s="2"/>
      <c r="AI1952" s="2"/>
      <c r="AJ1952" s="2"/>
      <c r="AK1952" s="2"/>
      <c r="AL1952" s="2"/>
    </row>
    <row r="1953" spans="1:38" ht="38.25" customHeight="1" x14ac:dyDescent="0.25">
      <c r="A1953" s="2"/>
      <c r="B1953" s="178"/>
      <c r="C1953" s="779"/>
      <c r="D1953" s="780"/>
      <c r="E1953" s="1140"/>
      <c r="F1953" s="2610" t="str">
        <f>Translations!$B$559</f>
        <v>I flera situationer är ”utsläppen som direkt kan tillskrivas” i detta avsnitt dock inte identiska med de som ska rapporteras enligt M&amp;R-förordningen. Sådana situationer är bland annat när bränsle-/materialmängder används för produktion av mätbar värme, restgaser osv. Med andra ord måste man därför vara uppmärksam när man fyller i avsnitten nedan, så att man följer instruktionerna noggrant för att undvika dubbelräkning eller utelämnanden.</v>
      </c>
      <c r="G1953" s="1960"/>
      <c r="H1953" s="1960"/>
      <c r="I1953" s="1960"/>
      <c r="J1953" s="1960"/>
      <c r="K1953" s="1960"/>
      <c r="L1953" s="1960"/>
      <c r="M1953" s="1960"/>
      <c r="N1953" s="2597"/>
      <c r="O1953" s="15"/>
      <c r="P1953" s="15"/>
      <c r="Q1953" s="343"/>
      <c r="R1953" s="2"/>
      <c r="S1953" s="343"/>
      <c r="T1953" s="2"/>
      <c r="U1953" s="2"/>
      <c r="V1953" s="2"/>
      <c r="W1953" s="2"/>
      <c r="X1953" s="2"/>
      <c r="Y1953" s="2"/>
      <c r="Z1953" s="2"/>
      <c r="AA1953" s="2"/>
      <c r="AB1953" s="2"/>
      <c r="AC1953" s="2"/>
      <c r="AD1953" s="2"/>
      <c r="AE1953" s="2"/>
      <c r="AF1953" s="2"/>
      <c r="AG1953" s="2"/>
      <c r="AH1953" s="2"/>
      <c r="AI1953" s="2"/>
      <c r="AJ1953" s="2"/>
      <c r="AK1953" s="2"/>
      <c r="AL1953" s="2"/>
    </row>
    <row r="1954" spans="1:38" ht="12.75" customHeight="1" x14ac:dyDescent="0.25">
      <c r="A1954" s="2"/>
      <c r="B1954" s="178"/>
      <c r="C1954" s="779"/>
      <c r="D1954" s="780"/>
      <c r="E1954" s="1140" t="s">
        <v>1112</v>
      </c>
      <c r="F1954" s="2641" t="str">
        <f>Translations!$B$560</f>
        <v xml:space="preserve">Mätbar värme: om värmen enbart produceras för en delanläggning kan utsläppen tillskrivas direkt här via bränslets utsläpp. </v>
      </c>
      <c r="G1954" s="2642"/>
      <c r="H1954" s="2642"/>
      <c r="I1954" s="2642"/>
      <c r="J1954" s="2642"/>
      <c r="K1954" s="2642"/>
      <c r="L1954" s="2642"/>
      <c r="M1954" s="2642"/>
      <c r="N1954" s="2643"/>
      <c r="O1954" s="15"/>
      <c r="P1954" s="15"/>
      <c r="Q1954" s="343"/>
      <c r="R1954" s="2"/>
      <c r="S1954" s="343"/>
      <c r="T1954" s="2"/>
      <c r="U1954" s="2"/>
      <c r="V1954" s="2"/>
      <c r="W1954" s="2"/>
      <c r="X1954" s="2"/>
      <c r="Y1954" s="2"/>
      <c r="Z1954" s="2"/>
      <c r="AA1954" s="2"/>
      <c r="AB1954" s="2"/>
      <c r="AC1954" s="2"/>
      <c r="AD1954" s="2"/>
      <c r="AE1954" s="2"/>
      <c r="AF1954" s="2"/>
      <c r="AG1954" s="2"/>
      <c r="AH1954" s="2"/>
      <c r="AI1954" s="2"/>
      <c r="AJ1954" s="2"/>
      <c r="AK1954" s="2"/>
      <c r="AL1954" s="2"/>
    </row>
    <row r="1955" spans="1:38" ht="38.9" customHeight="1" x14ac:dyDescent="0.25">
      <c r="A1955" s="2"/>
      <c r="B1955" s="178"/>
      <c r="C1955" s="779"/>
      <c r="D1955" s="780"/>
      <c r="E1955" s="1140"/>
      <c r="F1955" s="2641" t="str">
        <f>Translations!$B$561</f>
        <v>I samtliga fall där bränslen används för att producera mätbar värme som används i mer än en delanläggning där värmen förbrukas (vilket innefattar situationer med import från och export till andra anläggningar), bör bränslena inte räknas med i de ”utsläpp som direkt kan tillskrivas” delanläggningen utan tas med i punkt k nedan.</v>
      </c>
      <c r="G1955" s="2642"/>
      <c r="H1955" s="2642"/>
      <c r="I1955" s="2642"/>
      <c r="J1955" s="2642"/>
      <c r="K1955" s="2642"/>
      <c r="L1955" s="2642"/>
      <c r="M1955" s="2642"/>
      <c r="N1955" s="2643"/>
      <c r="O1955" s="15"/>
      <c r="P1955" s="15"/>
      <c r="Q1955" s="343"/>
      <c r="R1955" s="2"/>
      <c r="S1955" s="343"/>
      <c r="T1955" s="2"/>
      <c r="U1955" s="2"/>
      <c r="V1955" s="2"/>
      <c r="W1955" s="2"/>
      <c r="X1955" s="2"/>
      <c r="Y1955" s="2"/>
      <c r="Z1955" s="2"/>
      <c r="AA1955" s="2"/>
      <c r="AB1955" s="2"/>
      <c r="AC1955" s="2"/>
      <c r="AD1955" s="2"/>
      <c r="AE1955" s="2"/>
      <c r="AF1955" s="2"/>
      <c r="AG1955" s="2"/>
      <c r="AH1955" s="2"/>
      <c r="AI1955" s="2"/>
      <c r="AJ1955" s="2"/>
      <c r="AK1955" s="2"/>
      <c r="AL1955" s="2"/>
    </row>
    <row r="1956" spans="1:38" ht="25.5" customHeight="1" x14ac:dyDescent="0.25">
      <c r="A1956" s="2"/>
      <c r="B1956" s="178"/>
      <c r="C1956" s="779"/>
      <c r="D1956" s="780"/>
      <c r="E1956" s="1140"/>
      <c r="F1956" s="2641" t="str">
        <f>Translations!$B$562</f>
        <v>Detta innefattar mätbar värme från en enhet på platsen (t.ex. en energicentral vid anläggningen eller ett mer komplext ångnätverk med flera värmeproducerande enheter) som ger värme till mer än en delanläggning. I ett sådant fall bör utsläppen inte heller tillskrivas här utan i punkt k.i nedan.</v>
      </c>
      <c r="G1956" s="2642"/>
      <c r="H1956" s="2642"/>
      <c r="I1956" s="2642"/>
      <c r="J1956" s="2642"/>
      <c r="K1956" s="2642"/>
      <c r="L1956" s="2642"/>
      <c r="M1956" s="2642"/>
      <c r="N1956" s="2643"/>
      <c r="O1956" s="15"/>
      <c r="P1956" s="15"/>
      <c r="Q1956" s="343"/>
      <c r="R1956" s="2"/>
      <c r="S1956" s="343"/>
      <c r="T1956" s="2"/>
      <c r="U1956" s="2"/>
      <c r="V1956" s="2"/>
      <c r="W1956" s="2"/>
      <c r="X1956" s="2"/>
      <c r="Y1956" s="2"/>
      <c r="Z1956" s="2"/>
      <c r="AA1956" s="2"/>
      <c r="AB1956" s="2"/>
      <c r="AC1956" s="2"/>
      <c r="AD1956" s="2"/>
      <c r="AE1956" s="2"/>
      <c r="AF1956" s="2"/>
      <c r="AG1956" s="2"/>
      <c r="AH1956" s="2"/>
      <c r="AI1956" s="2"/>
      <c r="AJ1956" s="2"/>
      <c r="AK1956" s="2"/>
      <c r="AL1956" s="2"/>
    </row>
    <row r="1957" spans="1:38" ht="25.5" customHeight="1" x14ac:dyDescent="0.25">
      <c r="A1957" s="2"/>
      <c r="B1957" s="178"/>
      <c r="C1957" s="779"/>
      <c r="D1957" s="780"/>
      <c r="E1957" s="1140" t="s">
        <v>1112</v>
      </c>
      <c r="F1957" s="2641" t="str">
        <f>Translations!$B$563</f>
        <v>Exporterad mätbar värme: inga korrigeringar bör göras här om sådan värme återvinns från processen och exporteras. Avdrag för tillhörande utsläpp görs utifrån de uppgifter som ges i punkt k.v nedan.</v>
      </c>
      <c r="G1957" s="2642"/>
      <c r="H1957" s="2642"/>
      <c r="I1957" s="2642"/>
      <c r="J1957" s="2642"/>
      <c r="K1957" s="2642"/>
      <c r="L1957" s="2642"/>
      <c r="M1957" s="2642"/>
      <c r="N1957" s="2643"/>
      <c r="O1957" s="15"/>
      <c r="P1957" s="15"/>
      <c r="Q1957" s="343"/>
      <c r="R1957" s="2"/>
      <c r="S1957" s="343"/>
      <c r="T1957" s="2"/>
      <c r="U1957" s="2"/>
      <c r="V1957" s="2"/>
      <c r="W1957" s="2"/>
      <c r="X1957" s="2"/>
      <c r="Y1957" s="2"/>
      <c r="Z1957" s="2"/>
      <c r="AA1957" s="2"/>
      <c r="AB1957" s="2"/>
      <c r="AC1957" s="2"/>
      <c r="AD1957" s="2"/>
      <c r="AE1957" s="2"/>
      <c r="AF1957" s="2"/>
      <c r="AG1957" s="2"/>
      <c r="AH1957" s="2"/>
      <c r="AI1957" s="2"/>
      <c r="AJ1957" s="2"/>
      <c r="AK1957" s="2"/>
      <c r="AL1957" s="2"/>
    </row>
    <row r="1958" spans="1:38" ht="25.5" customHeight="1" thickBot="1" x14ac:dyDescent="0.3">
      <c r="A1958" s="2"/>
      <c r="B1958" s="178"/>
      <c r="C1958" s="779"/>
      <c r="D1958" s="780"/>
      <c r="E1958" s="1140" t="s">
        <v>1112</v>
      </c>
      <c r="F1958" s="2641" t="str">
        <f>Translations!$B$564</f>
        <v>Restgaser: utsläpp från restgaser som IMPORTERAS från andra anläggningar eller delanläggningar och förbrukas i denna delanläggning bör inte tas med här utan i punkt l nedan.</v>
      </c>
      <c r="G1958" s="2642"/>
      <c r="H1958" s="2642"/>
      <c r="I1958" s="2642"/>
      <c r="J1958" s="2642"/>
      <c r="K1958" s="2642"/>
      <c r="L1958" s="2642"/>
      <c r="M1958" s="2642"/>
      <c r="N1958" s="2643"/>
      <c r="O1958" s="15"/>
      <c r="P1958" s="15"/>
      <c r="Q1958" s="343"/>
      <c r="R1958" s="2"/>
      <c r="S1958" s="343"/>
      <c r="T1958" s="2"/>
      <c r="U1958" s="2"/>
      <c r="V1958" s="2"/>
      <c r="W1958" s="2"/>
      <c r="X1958" s="2"/>
      <c r="Y1958" s="2"/>
      <c r="Z1958" s="2"/>
      <c r="AA1958" s="2"/>
      <c r="AB1958" s="2"/>
      <c r="AC1958" s="2"/>
      <c r="AD1958" s="2"/>
      <c r="AE1958" s="2"/>
      <c r="AF1958" s="2"/>
      <c r="AG1958" s="2"/>
      <c r="AH1958" s="2"/>
      <c r="AI1958" s="2"/>
      <c r="AJ1958" s="2"/>
      <c r="AK1958" s="2"/>
      <c r="AL1958" s="2"/>
    </row>
    <row r="1959" spans="1:38" ht="12.75" customHeight="1" thickBot="1" x14ac:dyDescent="0.3">
      <c r="A1959" s="2"/>
      <c r="B1959" s="178"/>
      <c r="C1959" s="779"/>
      <c r="D1959" s="373"/>
      <c r="E1959" s="2605" t="str">
        <f>Translations!$B$565</f>
        <v>Utsläpp som direkt kan tillskrivas (DirEm*)</v>
      </c>
      <c r="F1959" s="2605"/>
      <c r="G1959" s="361" t="str">
        <f>EUconst_Unit</f>
        <v>Enhet</v>
      </c>
      <c r="H1959" s="362">
        <f t="shared" ref="H1959:N1959" si="861">H$3042</f>
        <v>2019</v>
      </c>
      <c r="I1959" s="1103">
        <f t="shared" si="861"/>
        <v>2020</v>
      </c>
      <c r="J1959" s="1104">
        <f t="shared" si="861"/>
        <v>2021</v>
      </c>
      <c r="K1959" s="362">
        <f t="shared" si="861"/>
        <v>2022</v>
      </c>
      <c r="L1959" s="362">
        <f t="shared" si="861"/>
        <v>2023</v>
      </c>
      <c r="M1959" s="362">
        <f t="shared" si="861"/>
        <v>2024</v>
      </c>
      <c r="N1959" s="1141">
        <f t="shared" si="861"/>
        <v>2025</v>
      </c>
      <c r="O1959" s="15"/>
      <c r="P1959" s="15"/>
      <c r="Q1959" s="343"/>
      <c r="R1959" s="2"/>
      <c r="S1959" s="772"/>
      <c r="T1959" s="609">
        <f t="shared" ref="T1959:Z1959" si="862">H1959</f>
        <v>2019</v>
      </c>
      <c r="U1959" s="609">
        <f t="shared" si="862"/>
        <v>2020</v>
      </c>
      <c r="V1959" s="609">
        <f t="shared" si="862"/>
        <v>2021</v>
      </c>
      <c r="W1959" s="609">
        <f t="shared" si="862"/>
        <v>2022</v>
      </c>
      <c r="X1959" s="609">
        <f t="shared" si="862"/>
        <v>2023</v>
      </c>
      <c r="Y1959" s="609">
        <f t="shared" si="862"/>
        <v>2024</v>
      </c>
      <c r="Z1959" s="610">
        <f t="shared" si="862"/>
        <v>2025</v>
      </c>
      <c r="AA1959" s="2"/>
      <c r="AB1959" s="2"/>
      <c r="AC1959" s="1044">
        <f t="shared" ref="AC1959:AI1959" si="863">H$20</f>
        <v>2019</v>
      </c>
      <c r="AD1959" s="1044">
        <f t="shared" si="863"/>
        <v>2020</v>
      </c>
      <c r="AE1959" s="1044">
        <f t="shared" si="863"/>
        <v>2021</v>
      </c>
      <c r="AF1959" s="1044">
        <f t="shared" si="863"/>
        <v>2022</v>
      </c>
      <c r="AG1959" s="1044">
        <f t="shared" si="863"/>
        <v>2023</v>
      </c>
      <c r="AH1959" s="1044">
        <f t="shared" si="863"/>
        <v>2024</v>
      </c>
      <c r="AI1959" s="1044">
        <f t="shared" si="863"/>
        <v>2025</v>
      </c>
      <c r="AJ1959" s="2"/>
      <c r="AK1959" s="2"/>
      <c r="AL1959" s="2"/>
    </row>
    <row r="1960" spans="1:38" ht="12.75" customHeight="1" thickBot="1" x14ac:dyDescent="0.3">
      <c r="A1960" s="2"/>
      <c r="B1960" s="178"/>
      <c r="C1960" s="779"/>
      <c r="D1960" s="780"/>
      <c r="E1960" s="2617" t="str">
        <f>I1825</f>
        <v/>
      </c>
      <c r="F1960" s="1997"/>
      <c r="G1960" s="363" t="str">
        <f>EUconst_tCO2epa</f>
        <v>t CO2e/år</v>
      </c>
      <c r="H1960" s="582"/>
      <c r="I1960" s="1105"/>
      <c r="J1960" s="1115"/>
      <c r="K1960" s="582"/>
      <c r="L1960" s="582"/>
      <c r="M1960" s="582"/>
      <c r="N1960" s="1146"/>
      <c r="O1960" s="15"/>
      <c r="P1960" s="1362"/>
      <c r="Q1960" s="165" t="str">
        <f>EUconst_CNTR_Emissions &amp; I1825</f>
        <v>DirEmissions_</v>
      </c>
      <c r="R1960" s="2"/>
      <c r="S1960" s="773" t="str">
        <f>EUconst_CNTR_AttributedEmissions &amp; I1825</f>
        <v>AttrEmissions_</v>
      </c>
      <c r="T1960" s="111" t="str">
        <f t="shared" ref="T1960:Z1960" si="864">IF(T1833,SUM(H1960),"")</f>
        <v/>
      </c>
      <c r="U1960" s="111" t="str">
        <f t="shared" si="864"/>
        <v/>
      </c>
      <c r="V1960" s="111" t="str">
        <f t="shared" si="864"/>
        <v/>
      </c>
      <c r="W1960" s="111" t="str">
        <f t="shared" si="864"/>
        <v/>
      </c>
      <c r="X1960" s="111" t="str">
        <f t="shared" si="864"/>
        <v/>
      </c>
      <c r="Y1960" s="111" t="str">
        <f t="shared" si="864"/>
        <v/>
      </c>
      <c r="Z1960" s="112" t="str">
        <f t="shared" si="864"/>
        <v/>
      </c>
      <c r="AA1960" s="2"/>
      <c r="AB1960" s="672" t="s">
        <v>782</v>
      </c>
      <c r="AC1960" s="108" t="b">
        <f>AC1895</f>
        <v>0</v>
      </c>
      <c r="AD1960" s="108" t="b">
        <f t="shared" ref="AD1960:AI1960" si="865">AD1895</f>
        <v>0</v>
      </c>
      <c r="AE1960" s="108" t="b">
        <f t="shared" si="865"/>
        <v>0</v>
      </c>
      <c r="AF1960" s="108" t="b">
        <f t="shared" si="865"/>
        <v>0</v>
      </c>
      <c r="AG1960" s="108" t="b">
        <f t="shared" si="865"/>
        <v>0</v>
      </c>
      <c r="AH1960" s="108" t="b">
        <f t="shared" si="865"/>
        <v>0</v>
      </c>
      <c r="AI1960" s="108" t="b">
        <f t="shared" si="865"/>
        <v>0</v>
      </c>
      <c r="AJ1960" s="553" t="s">
        <v>2248</v>
      </c>
      <c r="AK1960" s="663" t="str">
        <f>IF(AND(CNTR_ExistSubInstEntries,MSconst_RequireSubAttrEmissions,COUNTIFS(AC1960:AI1960,FALSE,H1960:N1960,"")&gt;0),EUconst_Error&amp;"BM"&amp;$Q1825,"")</f>
        <v/>
      </c>
      <c r="AL1960" s="2"/>
    </row>
    <row r="1961" spans="1:38" ht="12.75" customHeight="1" x14ac:dyDescent="0.25">
      <c r="A1961" s="2"/>
      <c r="B1961" s="178"/>
      <c r="C1961" s="779"/>
      <c r="D1961" s="780"/>
      <c r="E1961" s="780"/>
      <c r="F1961" s="780"/>
      <c r="G1961" s="780"/>
      <c r="H1961" s="780"/>
      <c r="I1961" s="780"/>
      <c r="J1961" s="780"/>
      <c r="K1961" s="780"/>
      <c r="L1961" s="780"/>
      <c r="M1961" s="623"/>
      <c r="N1961" s="519"/>
      <c r="O1961" s="15"/>
      <c r="P1961" s="15"/>
      <c r="Q1961" s="343"/>
      <c r="R1961" s="2"/>
      <c r="S1961" s="343"/>
      <c r="T1961" s="2"/>
      <c r="U1961" s="2"/>
      <c r="V1961" s="2"/>
      <c r="W1961" s="2"/>
      <c r="X1961" s="2"/>
      <c r="Y1961" s="2"/>
      <c r="Z1961" s="2"/>
      <c r="AA1961" s="2"/>
      <c r="AB1961" s="2"/>
      <c r="AC1961" s="2"/>
      <c r="AD1961" s="2"/>
      <c r="AE1961" s="2"/>
      <c r="AF1961" s="2"/>
      <c r="AG1961" s="2"/>
      <c r="AH1961" s="2"/>
      <c r="AI1961" s="2"/>
      <c r="AJ1961" s="2"/>
      <c r="AK1961" s="2"/>
      <c r="AL1961" s="2"/>
    </row>
    <row r="1962" spans="1:38" ht="12.75" customHeight="1" x14ac:dyDescent="0.25">
      <c r="A1962" s="2"/>
      <c r="B1962" s="178"/>
      <c r="C1962" s="779"/>
      <c r="D1962" s="373" t="s">
        <v>303</v>
      </c>
      <c r="E1962" s="2614" t="str">
        <f>Translations!$B$566</f>
        <v>Insatsbränsle till delanläggningen och relevant emissionsfaktor</v>
      </c>
      <c r="F1962" s="1960"/>
      <c r="G1962" s="1960"/>
      <c r="H1962" s="1960"/>
      <c r="I1962" s="1960"/>
      <c r="J1962" s="1960"/>
      <c r="K1962" s="1960"/>
      <c r="L1962" s="1960"/>
      <c r="M1962" s="1960"/>
      <c r="N1962" s="2597"/>
      <c r="O1962" s="15"/>
      <c r="P1962" s="15"/>
      <c r="Q1962" s="343"/>
      <c r="R1962" s="343"/>
      <c r="S1962" s="343"/>
      <c r="T1962" s="2"/>
      <c r="U1962" s="2"/>
      <c r="V1962" s="2"/>
      <c r="W1962" s="2"/>
      <c r="X1962" s="2"/>
      <c r="Y1962" s="2"/>
      <c r="Z1962" s="2"/>
      <c r="AA1962" s="2"/>
      <c r="AB1962" s="2"/>
      <c r="AC1962" s="2"/>
      <c r="AD1962" s="2"/>
      <c r="AE1962" s="2"/>
      <c r="AF1962" s="2"/>
      <c r="AG1962" s="2"/>
      <c r="AH1962" s="2"/>
      <c r="AI1962" s="2"/>
      <c r="AJ1962" s="2"/>
      <c r="AK1962" s="2"/>
      <c r="AL1962" s="2"/>
    </row>
    <row r="1963" spans="1:38" ht="25.5" customHeight="1" x14ac:dyDescent="0.25">
      <c r="A1963" s="2"/>
      <c r="B1963" s="178"/>
      <c r="C1963" s="779"/>
      <c r="D1963" s="780"/>
      <c r="E1963" s="2639" t="str">
        <f>Translations!$B$567</f>
        <v>I enlighet med kravet i avsnitt 2.4 a i bilaga IV till FAR, var god ange den totala bränsletillförseln till delanläggningen och motsvarande viktad emissionsfaktor, med beaktande av energiinnehållet hos varje bränsle som finns med under punkt g och med tillämpning av samma systemgränser som för punkt g.</v>
      </c>
      <c r="F1963" s="2639"/>
      <c r="G1963" s="2639"/>
      <c r="H1963" s="2639"/>
      <c r="I1963" s="2639"/>
      <c r="J1963" s="2639"/>
      <c r="K1963" s="2639"/>
      <c r="L1963" s="2639"/>
      <c r="M1963" s="2639"/>
      <c r="N1963" s="2640"/>
      <c r="O1963" s="15"/>
      <c r="P1963" s="15"/>
      <c r="Q1963" s="343"/>
      <c r="R1963" s="343"/>
      <c r="S1963" s="343"/>
      <c r="T1963" s="2"/>
      <c r="U1963" s="2"/>
      <c r="V1963" s="2"/>
      <c r="W1963" s="2"/>
      <c r="X1963" s="2"/>
      <c r="Y1963" s="2"/>
      <c r="Z1963" s="2"/>
      <c r="AA1963" s="2"/>
      <c r="AB1963" s="2"/>
      <c r="AC1963" s="2"/>
      <c r="AD1963" s="2"/>
      <c r="AE1963" s="2"/>
      <c r="AF1963" s="2"/>
      <c r="AG1963" s="2"/>
      <c r="AH1963" s="2"/>
      <c r="AI1963" s="2"/>
      <c r="AJ1963" s="2"/>
      <c r="AK1963" s="2"/>
      <c r="AL1963" s="2"/>
    </row>
    <row r="1964" spans="1:38" ht="25.5" customHeight="1" x14ac:dyDescent="0.25">
      <c r="A1964" s="2"/>
      <c r="B1964" s="178"/>
      <c r="C1964" s="779"/>
      <c r="D1964" s="780"/>
      <c r="E1964" s="2639" t="str">
        <f>Translations!$B$568</f>
        <v>Med ”bränsle” avses varje bränsle-/materialmängd enligt M&amp;R-förordningen som är brännbar och för vilken ett effektivt värmevärde kan fastställas. Den viktade emissionsfaktorn motsvarar de ackumulerade bränsleutsläppen delat med det totala energiinnehållet.</v>
      </c>
      <c r="F1964" s="2639"/>
      <c r="G1964" s="2639"/>
      <c r="H1964" s="2639"/>
      <c r="I1964" s="2639"/>
      <c r="J1964" s="2639"/>
      <c r="K1964" s="2639"/>
      <c r="L1964" s="2639"/>
      <c r="M1964" s="2639"/>
      <c r="N1964" s="2640"/>
      <c r="O1964" s="15"/>
      <c r="P1964" s="15"/>
      <c r="Q1964" s="343"/>
      <c r="R1964" s="2"/>
      <c r="S1964" s="343"/>
      <c r="T1964" s="2"/>
      <c r="U1964" s="2"/>
      <c r="V1964" s="2"/>
      <c r="W1964" s="2"/>
      <c r="X1964" s="2"/>
      <c r="Y1964" s="2"/>
      <c r="Z1964" s="2"/>
      <c r="AA1964" s="2"/>
      <c r="AB1964" s="2"/>
      <c r="AC1964" s="2"/>
      <c r="AD1964" s="2"/>
      <c r="AE1964" s="2"/>
      <c r="AF1964" s="2"/>
      <c r="AG1964" s="2"/>
      <c r="AH1964" s="2"/>
      <c r="AI1964" s="2"/>
      <c r="AJ1964" s="2"/>
      <c r="AK1964" s="2"/>
      <c r="AL1964" s="2"/>
    </row>
    <row r="1965" spans="1:38" ht="12.75" customHeight="1" x14ac:dyDescent="0.25">
      <c r="A1965" s="2"/>
      <c r="B1965" s="178"/>
      <c r="C1965" s="779"/>
      <c r="D1965" s="780"/>
      <c r="E1965" s="2639" t="str">
        <f>Translations!$B$569</f>
        <v>Den viktade emissionsfaktorn bör dessutom innefatta utsläpp från motsvarande rökgasrening, i tillämpliga fall.</v>
      </c>
      <c r="F1965" s="2639"/>
      <c r="G1965" s="2639"/>
      <c r="H1965" s="2639"/>
      <c r="I1965" s="2639"/>
      <c r="J1965" s="2639"/>
      <c r="K1965" s="2639"/>
      <c r="L1965" s="2639"/>
      <c r="M1965" s="2639"/>
      <c r="N1965" s="2640"/>
      <c r="O1965" s="15"/>
      <c r="P1965" s="15"/>
      <c r="Q1965" s="343"/>
      <c r="R1965" s="2"/>
      <c r="S1965" s="343"/>
      <c r="T1965" s="2"/>
      <c r="U1965" s="2"/>
      <c r="V1965" s="2"/>
      <c r="W1965" s="2"/>
      <c r="X1965" s="2"/>
      <c r="Y1965" s="2"/>
      <c r="Z1965" s="2"/>
      <c r="AA1965" s="2"/>
      <c r="AB1965" s="2"/>
      <c r="AC1965" s="2"/>
      <c r="AD1965" s="2"/>
      <c r="AE1965" s="2"/>
      <c r="AF1965" s="2"/>
      <c r="AG1965" s="2"/>
      <c r="AH1965" s="2"/>
      <c r="AI1965" s="2"/>
      <c r="AJ1965" s="2"/>
      <c r="AK1965" s="2"/>
      <c r="AL1965" s="2"/>
    </row>
    <row r="1966" spans="1:38" ht="12.75" customHeight="1" x14ac:dyDescent="0.25">
      <c r="A1966" s="2"/>
      <c r="B1966" s="178"/>
      <c r="C1966" s="779"/>
      <c r="D1966" s="780"/>
      <c r="E1966" s="2596" t="str">
        <f>Translations!$B$570</f>
        <v>De uppgifter som anges här används bara för konsekvenskontroll och har ingen direkt inverkan på vare sig de utsläpp som kan tillskrivas eller tilldelningen.</v>
      </c>
      <c r="F1966" s="1960"/>
      <c r="G1966" s="1960"/>
      <c r="H1966" s="1960"/>
      <c r="I1966" s="1960"/>
      <c r="J1966" s="1960"/>
      <c r="K1966" s="1960"/>
      <c r="L1966" s="1960"/>
      <c r="M1966" s="1960"/>
      <c r="N1966" s="2597"/>
      <c r="O1966" s="15"/>
      <c r="P1966" s="15"/>
      <c r="Q1966" s="343"/>
      <c r="R1966" s="2"/>
      <c r="S1966" s="343"/>
      <c r="T1966" s="2"/>
      <c r="U1966" s="2"/>
      <c r="V1966" s="2"/>
      <c r="W1966" s="2"/>
      <c r="X1966" s="2"/>
      <c r="Y1966" s="2"/>
      <c r="Z1966" s="2"/>
      <c r="AA1966" s="2"/>
      <c r="AB1966" s="2"/>
      <c r="AC1966" s="2"/>
      <c r="AD1966" s="2"/>
      <c r="AE1966" s="2"/>
      <c r="AF1966" s="2"/>
      <c r="AG1966" s="2"/>
      <c r="AH1966" s="2"/>
      <c r="AI1966" s="2"/>
      <c r="AJ1966" s="2"/>
      <c r="AK1966" s="2"/>
      <c r="AL1966" s="2"/>
    </row>
    <row r="1967" spans="1:38" ht="12.75" customHeight="1" thickBot="1" x14ac:dyDescent="0.3">
      <c r="A1967" s="2"/>
      <c r="B1967" s="178"/>
      <c r="C1967" s="779"/>
      <c r="D1967" s="373"/>
      <c r="E1967" s="1716"/>
      <c r="F1967" s="1717"/>
      <c r="G1967" s="361" t="str">
        <f>EUconst_Unit</f>
        <v>Enhet</v>
      </c>
      <c r="H1967" s="362">
        <f t="shared" ref="H1967:N1967" si="866">H$3042</f>
        <v>2019</v>
      </c>
      <c r="I1967" s="1103">
        <f t="shared" si="866"/>
        <v>2020</v>
      </c>
      <c r="J1967" s="1104">
        <f t="shared" si="866"/>
        <v>2021</v>
      </c>
      <c r="K1967" s="362">
        <f t="shared" si="866"/>
        <v>2022</v>
      </c>
      <c r="L1967" s="362">
        <f t="shared" si="866"/>
        <v>2023</v>
      </c>
      <c r="M1967" s="362">
        <f t="shared" si="866"/>
        <v>2024</v>
      </c>
      <c r="N1967" s="1141">
        <f t="shared" si="866"/>
        <v>2025</v>
      </c>
      <c r="O1967" s="15"/>
      <c r="P1967" s="15"/>
      <c r="Q1967" s="343"/>
      <c r="R1967" s="2"/>
      <c r="S1967" s="343"/>
      <c r="T1967" s="2"/>
      <c r="U1967" s="2"/>
      <c r="V1967" s="2"/>
      <c r="W1967" s="2"/>
      <c r="X1967" s="2"/>
      <c r="Y1967" s="2"/>
      <c r="Z1967" s="2"/>
      <c r="AA1967" s="2"/>
      <c r="AB1967" s="2"/>
      <c r="AC1967" s="1044">
        <f t="shared" ref="AC1967:AI1967" si="867">H$20</f>
        <v>2019</v>
      </c>
      <c r="AD1967" s="1044">
        <f t="shared" si="867"/>
        <v>2020</v>
      </c>
      <c r="AE1967" s="1044">
        <f t="shared" si="867"/>
        <v>2021</v>
      </c>
      <c r="AF1967" s="1044">
        <f t="shared" si="867"/>
        <v>2022</v>
      </c>
      <c r="AG1967" s="1044">
        <f t="shared" si="867"/>
        <v>2023</v>
      </c>
      <c r="AH1967" s="1044">
        <f t="shared" si="867"/>
        <v>2024</v>
      </c>
      <c r="AI1967" s="1044">
        <f t="shared" si="867"/>
        <v>2025</v>
      </c>
      <c r="AJ1967" s="2"/>
      <c r="AK1967" s="2"/>
      <c r="AL1967" s="2"/>
    </row>
    <row r="1968" spans="1:38" ht="12.75" customHeight="1" x14ac:dyDescent="0.25">
      <c r="A1968" s="2"/>
      <c r="B1968" s="178"/>
      <c r="C1968" s="779"/>
      <c r="D1968" s="416" t="s">
        <v>8</v>
      </c>
      <c r="E1968" s="2613" t="str">
        <f>Translations!$B$571</f>
        <v>Insatsbränsle</v>
      </c>
      <c r="F1968" s="1997"/>
      <c r="G1968" s="364" t="str">
        <f>EUconst_TJpa</f>
        <v>TJ / år</v>
      </c>
      <c r="H1968" s="582"/>
      <c r="I1968" s="1105"/>
      <c r="J1968" s="1115"/>
      <c r="K1968" s="582"/>
      <c r="L1968" s="582"/>
      <c r="M1968" s="582"/>
      <c r="N1968" s="1146"/>
      <c r="O1968" s="15"/>
      <c r="P1968" s="1362"/>
      <c r="Q1968" s="165" t="str">
        <f>EUconst_CNTR_FuelInput &amp; I1825</f>
        <v>FuelInput_</v>
      </c>
      <c r="R1968" s="2"/>
      <c r="S1968" s="343"/>
      <c r="T1968" s="2"/>
      <c r="U1968" s="2"/>
      <c r="V1968" s="2"/>
      <c r="W1968" s="2"/>
      <c r="X1968" s="2"/>
      <c r="Y1968" s="2"/>
      <c r="Z1968" s="2"/>
      <c r="AA1968" s="2"/>
      <c r="AB1968" s="672" t="s">
        <v>782</v>
      </c>
      <c r="AC1968" s="108" t="b">
        <f>AC1895</f>
        <v>0</v>
      </c>
      <c r="AD1968" s="108" t="b">
        <f t="shared" ref="AD1968:AI1968" si="868">AD1895</f>
        <v>0</v>
      </c>
      <c r="AE1968" s="108" t="b">
        <f t="shared" si="868"/>
        <v>0</v>
      </c>
      <c r="AF1968" s="108" t="b">
        <f t="shared" si="868"/>
        <v>0</v>
      </c>
      <c r="AG1968" s="108" t="b">
        <f t="shared" si="868"/>
        <v>0</v>
      </c>
      <c r="AH1968" s="108" t="b">
        <f t="shared" si="868"/>
        <v>0</v>
      </c>
      <c r="AI1968" s="108" t="b">
        <f t="shared" si="868"/>
        <v>0</v>
      </c>
      <c r="AJ1968" s="553" t="s">
        <v>2248</v>
      </c>
      <c r="AK1968" s="663" t="str">
        <f>IF(AND(CNTR_ExistSubInstEntries,MSconst_RequireSubAttrEmissions,COUNTIFS(AC1968:AI1968,FALSE,H1968:N1968,"")&gt;0),EUconst_Error&amp;"BM"&amp;$Q1825,"")</f>
        <v/>
      </c>
      <c r="AL1968" s="2"/>
    </row>
    <row r="1969" spans="1:38" ht="12.75" customHeight="1" x14ac:dyDescent="0.25">
      <c r="A1969" s="2"/>
      <c r="B1969" s="178"/>
      <c r="C1969" s="779"/>
      <c r="D1969" s="416" t="s">
        <v>9</v>
      </c>
      <c r="E1969" s="2613" t="str">
        <f>Translations!$B$572</f>
        <v>Viktad emissionsfaktor</v>
      </c>
      <c r="F1969" s="1997"/>
      <c r="G1969" s="449" t="str">
        <f>EUconst_tCO2pTJ</f>
        <v>t CO2 / TJ</v>
      </c>
      <c r="H1969" s="747"/>
      <c r="I1969" s="1295"/>
      <c r="J1969" s="1296"/>
      <c r="K1969" s="747"/>
      <c r="L1969" s="747"/>
      <c r="M1969" s="747"/>
      <c r="N1969" s="1297"/>
      <c r="O1969" s="15"/>
      <c r="P1969" s="1362"/>
      <c r="Q1969" s="165" t="str">
        <f>EUconst_CNTR_FuelEF &amp; I1825</f>
        <v>FuelEF_</v>
      </c>
      <c r="R1969" s="2"/>
      <c r="S1969" s="343"/>
      <c r="T1969" s="2"/>
      <c r="U1969" s="2"/>
      <c r="V1969" s="2"/>
      <c r="W1969" s="2"/>
      <c r="X1969" s="2"/>
      <c r="Y1969" s="2"/>
      <c r="Z1969" s="2"/>
      <c r="AA1969" s="2"/>
      <c r="AB1969" s="2"/>
      <c r="AC1969" s="108" t="b">
        <f>AC1968</f>
        <v>0</v>
      </c>
      <c r="AD1969" s="108" t="b">
        <f t="shared" ref="AD1969:AI1969" si="869">AD1968</f>
        <v>0</v>
      </c>
      <c r="AE1969" s="108" t="b">
        <f t="shared" si="869"/>
        <v>0</v>
      </c>
      <c r="AF1969" s="108" t="b">
        <f t="shared" si="869"/>
        <v>0</v>
      </c>
      <c r="AG1969" s="108" t="b">
        <f t="shared" si="869"/>
        <v>0</v>
      </c>
      <c r="AH1969" s="108" t="b">
        <f t="shared" si="869"/>
        <v>0</v>
      </c>
      <c r="AI1969" s="108" t="b">
        <f t="shared" si="869"/>
        <v>0</v>
      </c>
      <c r="AJ1969" s="553" t="s">
        <v>2248</v>
      </c>
      <c r="AK1969" s="663" t="str">
        <f>IF(AND(CNTR_ExistSubInstEntries,MSconst_RequireSubAttrEmissions,COUNTIFS(AC1969:AI1969,FALSE,H1969:N1969,"")&gt;0),EUconst_Error&amp;"BM"&amp;$Q1825,"")</f>
        <v/>
      </c>
      <c r="AL1969" s="2"/>
    </row>
    <row r="1970" spans="1:38" ht="12.75" customHeight="1" x14ac:dyDescent="0.25">
      <c r="A1970" s="2"/>
      <c r="B1970" s="178"/>
      <c r="C1970" s="779"/>
      <c r="D1970" s="780"/>
      <c r="E1970" s="780"/>
      <c r="F1970" s="780"/>
      <c r="G1970" s="780"/>
      <c r="H1970" s="780"/>
      <c r="I1970" s="780"/>
      <c r="J1970" s="780"/>
      <c r="K1970" s="780"/>
      <c r="L1970" s="780"/>
      <c r="M1970" s="623"/>
      <c r="N1970" s="519"/>
      <c r="O1970" s="15"/>
      <c r="P1970" s="15"/>
      <c r="Q1970" s="343"/>
      <c r="R1970" s="2"/>
      <c r="S1970" s="343"/>
      <c r="T1970" s="2"/>
      <c r="U1970" s="2"/>
      <c r="V1970" s="2"/>
      <c r="W1970" s="2"/>
      <c r="X1970" s="2"/>
      <c r="Y1970" s="2"/>
      <c r="Z1970" s="2"/>
      <c r="AA1970" s="2"/>
      <c r="AB1970" s="2"/>
      <c r="AC1970" s="2"/>
      <c r="AD1970" s="2"/>
      <c r="AE1970" s="2"/>
      <c r="AF1970" s="2"/>
      <c r="AG1970" s="2"/>
      <c r="AH1970" s="2"/>
      <c r="AI1970" s="2"/>
      <c r="AJ1970" s="2"/>
      <c r="AK1970" s="2"/>
      <c r="AL1970" s="2"/>
    </row>
    <row r="1971" spans="1:38" ht="12.75" customHeight="1" x14ac:dyDescent="0.25">
      <c r="A1971" s="2"/>
      <c r="B1971" s="178"/>
      <c r="C1971" s="779"/>
      <c r="D1971" s="373" t="s">
        <v>305</v>
      </c>
      <c r="E1971" s="2614" t="str">
        <f>Translations!$B$573</f>
        <v>Andra interna bränsle-/materialmängder som importeras till eller exporteras från delanläggningen</v>
      </c>
      <c r="F1971" s="1960"/>
      <c r="G1971" s="1960"/>
      <c r="H1971" s="1960"/>
      <c r="I1971" s="1960"/>
      <c r="J1971" s="1960"/>
      <c r="K1971" s="1960"/>
      <c r="L1971" s="1960"/>
      <c r="M1971" s="1960"/>
      <c r="N1971" s="2597"/>
      <c r="O1971" s="15"/>
      <c r="P1971" s="15"/>
      <c r="Q1971" s="343"/>
      <c r="R1971" s="343"/>
      <c r="S1971" s="343"/>
      <c r="T1971" s="2"/>
      <c r="U1971" s="2"/>
      <c r="V1971" s="2"/>
      <c r="W1971" s="2"/>
      <c r="X1971" s="2"/>
      <c r="Y1971" s="2"/>
      <c r="Z1971" s="2"/>
      <c r="AA1971" s="2"/>
      <c r="AB1971" s="2"/>
      <c r="AC1971" s="2"/>
      <c r="AD1971" s="2"/>
      <c r="AE1971" s="2"/>
      <c r="AF1971" s="2"/>
      <c r="AG1971" s="2"/>
      <c r="AH1971" s="2"/>
      <c r="AI1971" s="2"/>
      <c r="AJ1971" s="2"/>
      <c r="AK1971" s="2"/>
      <c r="AL1971" s="2"/>
    </row>
    <row r="1972" spans="1:38" ht="12.75" customHeight="1" x14ac:dyDescent="0.25">
      <c r="A1972" s="2"/>
      <c r="B1972" s="178"/>
      <c r="C1972" s="779"/>
      <c r="D1972" s="416"/>
      <c r="E1972" s="2596" t="str">
        <f>Translations!$B$556</f>
        <v>De uppgifter som anges här påverkar de utsläpp som kan tillskrivas i enlighet med avsnitt 10.1.1 i bilaga VII till FAR.</v>
      </c>
      <c r="F1972" s="1960"/>
      <c r="G1972" s="1960"/>
      <c r="H1972" s="1960"/>
      <c r="I1972" s="1960"/>
      <c r="J1972" s="1960"/>
      <c r="K1972" s="1960"/>
      <c r="L1972" s="1960"/>
      <c r="M1972" s="1960"/>
      <c r="N1972" s="2597"/>
      <c r="O1972" s="15"/>
      <c r="P1972" s="15"/>
      <c r="Q1972" s="343"/>
      <c r="R1972" s="2"/>
      <c r="S1972" s="343"/>
      <c r="T1972" s="343"/>
      <c r="U1972" s="343"/>
      <c r="V1972" s="343"/>
      <c r="W1972" s="2"/>
      <c r="X1972" s="2"/>
      <c r="Y1972" s="2"/>
      <c r="Z1972" s="2"/>
      <c r="AA1972" s="2"/>
      <c r="AB1972" s="2"/>
      <c r="AC1972" s="2"/>
      <c r="AD1972" s="2"/>
      <c r="AE1972" s="2"/>
      <c r="AF1972" s="2"/>
      <c r="AG1972" s="2"/>
      <c r="AH1972" s="2"/>
      <c r="AI1972" s="2"/>
      <c r="AJ1972" s="2"/>
      <c r="AK1972" s="2"/>
      <c r="AL1972" s="2"/>
    </row>
    <row r="1973" spans="1:38" ht="25.5" customHeight="1" x14ac:dyDescent="0.25">
      <c r="A1973" s="2"/>
      <c r="B1973" s="178"/>
      <c r="C1973" s="779"/>
      <c r="D1973" s="780"/>
      <c r="E1973" s="2596" t="str">
        <f>Translations!$B$574</f>
        <v>Det bör noteras att alla bränsle-/materialmängder endast bör anges här om de inte redan omfattas av de direkta utsläppen i punkt g ovan, i syfte att undvika eventuella dataluckor eller eventuell dubbelräkning. Utsläpp i samband med restgaser bör INTE anges här utan i punkt l nedan.</v>
      </c>
      <c r="F1973" s="1960"/>
      <c r="G1973" s="1960"/>
      <c r="H1973" s="1960"/>
      <c r="I1973" s="1960"/>
      <c r="J1973" s="1960"/>
      <c r="K1973" s="1960"/>
      <c r="L1973" s="1960"/>
      <c r="M1973" s="1960"/>
      <c r="N1973" s="2597"/>
      <c r="O1973" s="15"/>
      <c r="P1973" s="15"/>
      <c r="Q1973" s="343"/>
      <c r="R1973" s="343"/>
      <c r="S1973" s="343"/>
      <c r="T1973" s="2"/>
      <c r="U1973" s="2"/>
      <c r="V1973" s="2"/>
      <c r="W1973" s="2"/>
      <c r="X1973" s="2"/>
      <c r="Y1973" s="2"/>
      <c r="Z1973" s="2"/>
      <c r="AA1973" s="2"/>
      <c r="AB1973" s="2"/>
      <c r="AC1973" s="2"/>
      <c r="AD1973" s="2"/>
      <c r="AE1973" s="2"/>
      <c r="AF1973" s="2"/>
      <c r="AG1973" s="2"/>
      <c r="AH1973" s="2"/>
      <c r="AI1973" s="2"/>
      <c r="AJ1973" s="2"/>
      <c r="AK1973" s="2"/>
      <c r="AL1973" s="2"/>
    </row>
    <row r="1974" spans="1:38" ht="12.75" customHeight="1" x14ac:dyDescent="0.25">
      <c r="A1974" s="2"/>
      <c r="B1974" s="178"/>
      <c r="C1974" s="779"/>
      <c r="D1974" s="780"/>
      <c r="E1974" s="2610" t="str">
        <f>Translations!$B$575</f>
        <v>Var god ange information om de så kallade interna bränsle-/materialmängderna som överförs mellan delanläggningar, dvs. importeras till eller exporteras från delanläggningen.</v>
      </c>
      <c r="F1974" s="1960"/>
      <c r="G1974" s="1960"/>
      <c r="H1974" s="1960"/>
      <c r="I1974" s="1960"/>
      <c r="J1974" s="1960"/>
      <c r="K1974" s="1960"/>
      <c r="L1974" s="1960"/>
      <c r="M1974" s="1960"/>
      <c r="N1974" s="2597"/>
      <c r="O1974" s="15"/>
      <c r="P1974" s="15"/>
      <c r="Q1974" s="343"/>
      <c r="R1974" s="343"/>
      <c r="S1974" s="343"/>
      <c r="T1974" s="2"/>
      <c r="U1974" s="2"/>
      <c r="V1974" s="2"/>
      <c r="W1974" s="2"/>
      <c r="X1974" s="2"/>
      <c r="Y1974" s="2"/>
      <c r="Z1974" s="2"/>
      <c r="AA1974" s="2"/>
      <c r="AB1974" s="2"/>
      <c r="AC1974" s="2"/>
      <c r="AD1974" s="2"/>
      <c r="AE1974" s="2"/>
      <c r="AF1974" s="2"/>
      <c r="AG1974" s="2"/>
      <c r="AH1974" s="2"/>
      <c r="AI1974" s="2"/>
      <c r="AJ1974" s="2"/>
      <c r="AK1974" s="2"/>
      <c r="AL1974" s="2"/>
    </row>
    <row r="1975" spans="1:38" ht="38.9" customHeight="1" x14ac:dyDescent="0.25">
      <c r="A1975" s="2"/>
      <c r="B1975" s="178"/>
      <c r="C1975" s="779"/>
      <c r="D1975" s="780"/>
      <c r="E1975" s="2610" t="str">
        <f>Translations!$B$576</f>
        <v>Om det rör sig om en koksdelanläggning vid en integrerad järn- och stålanläggning förekommer utsläppen i samband med förbrukningen av koks i masugnen och bör därför inte tillskrivas delanläggningen (dvs. koksdelanläggningen). En del av utsläppen ska dock tas med i punkt g ovan, eftersom det kol som förs in i koksugnen kommer att vara en av de bränsle-/materialmängder som tillskrivs i ett första steg.</v>
      </c>
      <c r="F1975" s="1960"/>
      <c r="G1975" s="1960"/>
      <c r="H1975" s="1960"/>
      <c r="I1975" s="1960"/>
      <c r="J1975" s="1960"/>
      <c r="K1975" s="1960"/>
      <c r="L1975" s="1960"/>
      <c r="M1975" s="1960"/>
      <c r="N1975" s="2597"/>
      <c r="O1975" s="15"/>
      <c r="P1975" s="15"/>
      <c r="Q1975" s="343"/>
      <c r="R1975" s="2"/>
      <c r="S1975" s="343"/>
      <c r="T1975" s="2"/>
      <c r="U1975" s="2"/>
      <c r="V1975" s="2"/>
      <c r="W1975" s="2"/>
      <c r="X1975" s="2"/>
      <c r="Y1975" s="2"/>
      <c r="Z1975" s="2"/>
      <c r="AA1975" s="2"/>
      <c r="AB1975" s="2"/>
      <c r="AC1975" s="2"/>
      <c r="AD1975" s="2"/>
      <c r="AE1975" s="2"/>
      <c r="AF1975" s="2"/>
      <c r="AG1975" s="2"/>
      <c r="AH1975" s="2"/>
      <c r="AI1975" s="2"/>
      <c r="AJ1975" s="2"/>
      <c r="AK1975" s="2"/>
      <c r="AL1975" s="2"/>
    </row>
    <row r="1976" spans="1:38" ht="51" customHeight="1" x14ac:dyDescent="0.25">
      <c r="A1976" s="2"/>
      <c r="B1976" s="178"/>
      <c r="C1976" s="779"/>
      <c r="D1976" s="780"/>
      <c r="E1976" s="2610" t="str">
        <f>Translations!$B$577</f>
        <v>För att undvika dubbelräkning måste korrigering göras för den koks som lämnar koksdelanläggningen som utgående ”intern bränsle-/materialmängd”. Detta görs genom ett negativt värde på mängden koks i händelse av ”export”. För att få en komplett balans i utsläppen från den kol som kommer in till koksdelanläggningen omfattas utsläppen i samband med användningen av koksugnsgas (= en restgas) redan av punkt g ovan (eftersom de ingår i kolutsläppen) i den mån som gasen används inom delanläggningen. Korrigeringar för att beakta exporterade mängder av restgasen bör inte göras här utan i punkt l.xx nedan.</v>
      </c>
      <c r="F1976" s="1960"/>
      <c r="G1976" s="1960"/>
      <c r="H1976" s="1960"/>
      <c r="I1976" s="1960"/>
      <c r="J1976" s="1960"/>
      <c r="K1976" s="1960"/>
      <c r="L1976" s="1960"/>
      <c r="M1976" s="1960"/>
      <c r="N1976" s="2597"/>
      <c r="O1976" s="15"/>
      <c r="P1976" s="15"/>
      <c r="Q1976" s="343"/>
      <c r="R1976" s="2"/>
      <c r="S1976" s="343"/>
      <c r="T1976" s="2"/>
      <c r="U1976" s="2"/>
      <c r="V1976" s="2"/>
      <c r="W1976" s="2"/>
      <c r="X1976" s="2"/>
      <c r="Y1976" s="2"/>
      <c r="Z1976" s="2"/>
      <c r="AA1976" s="2"/>
      <c r="AB1976" s="2"/>
      <c r="AC1976" s="2"/>
      <c r="AD1976" s="2"/>
      <c r="AE1976" s="2"/>
      <c r="AF1976" s="2"/>
      <c r="AG1976" s="2"/>
      <c r="AH1976" s="2"/>
      <c r="AI1976" s="2"/>
      <c r="AJ1976" s="2"/>
      <c r="AK1976" s="2"/>
      <c r="AL1976" s="2"/>
    </row>
    <row r="1977" spans="1:38" ht="25.5" customHeight="1" x14ac:dyDescent="0.25">
      <c r="A1977" s="2"/>
      <c r="B1977" s="178"/>
      <c r="C1977" s="779"/>
      <c r="D1977" s="780"/>
      <c r="E1977" s="2610" t="str">
        <f>Translations!$B$578</f>
        <v>Omvänt innebär detta att om det rör sig om en delanläggning med råjärnsriktmärke vid en integrerad järn- och stålanläggning måste koksen anges här som en ingående/importerad ”intern” bränsle/materialmängd med positiva siffror.</v>
      </c>
      <c r="F1977" s="1960"/>
      <c r="G1977" s="1960"/>
      <c r="H1977" s="1960"/>
      <c r="I1977" s="1960"/>
      <c r="J1977" s="1960"/>
      <c r="K1977" s="1960"/>
      <c r="L1977" s="1960"/>
      <c r="M1977" s="1960"/>
      <c r="N1977" s="2597"/>
      <c r="O1977" s="15"/>
      <c r="P1977" s="15"/>
      <c r="Q1977" s="343"/>
      <c r="R1977" s="2"/>
      <c r="S1977" s="343"/>
      <c r="T1977" s="2"/>
      <c r="U1977" s="2"/>
      <c r="V1977" s="2"/>
      <c r="W1977" s="2"/>
      <c r="X1977" s="2"/>
      <c r="Y1977" s="2"/>
      <c r="Z1977" s="2"/>
      <c r="AA1977" s="2"/>
      <c r="AB1977" s="2"/>
      <c r="AC1977" s="2"/>
      <c r="AD1977" s="2"/>
      <c r="AE1977" s="2"/>
      <c r="AF1977" s="2"/>
      <c r="AG1977" s="2"/>
      <c r="AH1977" s="2"/>
      <c r="AI1977" s="2"/>
      <c r="AJ1977" s="2"/>
      <c r="AK1977" s="2"/>
      <c r="AL1977" s="2"/>
    </row>
    <row r="1978" spans="1:38" ht="12.75" customHeight="1" x14ac:dyDescent="0.25">
      <c r="A1978" s="2"/>
      <c r="B1978" s="178"/>
      <c r="C1978" s="779"/>
      <c r="D1978" s="416" t="s">
        <v>8</v>
      </c>
      <c r="E1978" s="2598" t="str">
        <f>Translations!$B$579</f>
        <v>Är andra importerade eller exporterade interna bränsle-/materialmängder relevanta för delanläggningen?</v>
      </c>
      <c r="F1978" s="1960"/>
      <c r="G1978" s="1960"/>
      <c r="H1978" s="1960"/>
      <c r="I1978" s="1960"/>
      <c r="J1978" s="1960"/>
      <c r="K1978" s="2520"/>
      <c r="L1978" s="749"/>
      <c r="M1978" s="1806"/>
      <c r="N1978" s="1807"/>
      <c r="O1978" s="15"/>
      <c r="P1978" s="1362"/>
      <c r="Q1978" s="343"/>
      <c r="R1978" s="2"/>
      <c r="S1978" s="343"/>
      <c r="T1978" s="2"/>
      <c r="U1978" s="2"/>
      <c r="V1978" s="2"/>
      <c r="W1978" s="2"/>
      <c r="X1978" s="2"/>
      <c r="Y1978" s="2"/>
      <c r="Z1978" s="2"/>
      <c r="AA1978" s="2"/>
      <c r="AB1978" s="2"/>
      <c r="AC1978" s="2"/>
      <c r="AD1978" s="2"/>
      <c r="AE1978" s="2"/>
      <c r="AF1978" s="672" t="s">
        <v>782</v>
      </c>
      <c r="AG1978" s="1196" t="b">
        <f>AND(CNTR_ExistSubInstEntries,I1825="")</f>
        <v>0</v>
      </c>
      <c r="AH1978" s="2"/>
      <c r="AI1978" s="2"/>
      <c r="AJ1978" s="2"/>
      <c r="AK1978" s="2"/>
      <c r="AL1978" s="2"/>
    </row>
    <row r="1979" spans="1:38" ht="12.75" customHeight="1" x14ac:dyDescent="0.25">
      <c r="A1979" s="2"/>
      <c r="B1979" s="178"/>
      <c r="C1979" s="779"/>
      <c r="D1979" s="780"/>
      <c r="E1979" s="2610" t="str">
        <f>Translations!$B$580</f>
        <v>Om det finns mer än två importerade eller exporterade bränsle-/materialmängder bör de olika bränsle-/materialmängderna slås samman och namnen på var och en av dessa anges.</v>
      </c>
      <c r="F1979" s="1960"/>
      <c r="G1979" s="1960"/>
      <c r="H1979" s="1960"/>
      <c r="I1979" s="1960"/>
      <c r="J1979" s="1960"/>
      <c r="K1979" s="1960"/>
      <c r="L1979" s="1960"/>
      <c r="M1979" s="1960"/>
      <c r="N1979" s="2597"/>
      <c r="O1979" s="15"/>
      <c r="P1979" s="15"/>
      <c r="Q1979" s="343"/>
      <c r="R1979" s="2"/>
      <c r="S1979" s="343"/>
      <c r="T1979" s="2"/>
      <c r="U1979" s="2"/>
      <c r="V1979" s="2"/>
      <c r="W1979" s="2"/>
      <c r="X1979" s="2"/>
      <c r="Y1979" s="2"/>
      <c r="Z1979" s="2"/>
      <c r="AA1979" s="2"/>
      <c r="AB1979" s="2"/>
      <c r="AC1979" s="2"/>
      <c r="AD1979" s="2"/>
      <c r="AE1979" s="2"/>
      <c r="AF1979" s="2"/>
      <c r="AG1979" s="2"/>
      <c r="AH1979" s="2"/>
      <c r="AI1979" s="2"/>
      <c r="AJ1979" s="2"/>
      <c r="AK1979" s="2"/>
      <c r="AL1979" s="2"/>
    </row>
    <row r="1980" spans="1:38" ht="12.75" customHeight="1" x14ac:dyDescent="0.25">
      <c r="A1980" s="2"/>
      <c r="B1980" s="178"/>
      <c r="C1980" s="779"/>
      <c r="D1980" s="416" t="s">
        <v>9</v>
      </c>
      <c r="E1980" s="2614" t="str">
        <f>Translations!$B$581</f>
        <v>Namn på andra bränsle-/materialmängder – 1:</v>
      </c>
      <c r="F1980" s="1960"/>
      <c r="G1980" s="1960"/>
      <c r="H1980" s="2520"/>
      <c r="I1980" s="2621"/>
      <c r="J1980" s="2631"/>
      <c r="K1980" s="2631"/>
      <c r="L1980" s="2631"/>
      <c r="M1980" s="2632"/>
      <c r="N1980" s="518"/>
      <c r="O1980" s="15"/>
      <c r="P1980" s="1362"/>
      <c r="Q1980" s="343"/>
      <c r="R1980" s="2"/>
      <c r="S1980" s="343"/>
      <c r="T1980" s="2"/>
      <c r="U1980" s="2"/>
      <c r="V1980" s="2"/>
      <c r="W1980" s="2"/>
      <c r="X1980" s="2"/>
      <c r="Y1980" s="2"/>
      <c r="Z1980" s="2"/>
      <c r="AA1980" s="2"/>
      <c r="AB1980" s="2"/>
      <c r="AC1980" s="672" t="s">
        <v>782</v>
      </c>
      <c r="AD1980" s="1196" t="b">
        <f>OR(AG1978,AND($L1978&lt;&gt;"",$L1978=FALSE))</f>
        <v>0</v>
      </c>
      <c r="AE1980" s="2"/>
      <c r="AF1980" s="2"/>
      <c r="AG1980" s="2"/>
      <c r="AH1980" s="2"/>
      <c r="AI1980" s="2"/>
      <c r="AJ1980" s="2"/>
      <c r="AK1980" s="2"/>
      <c r="AL1980" s="2"/>
    </row>
    <row r="1981" spans="1:38" ht="5.15" customHeight="1" x14ac:dyDescent="0.25">
      <c r="A1981" s="2"/>
      <c r="B1981" s="178"/>
      <c r="C1981" s="779"/>
      <c r="D1981" s="780"/>
      <c r="E1981" s="1804"/>
      <c r="F1981" s="1806"/>
      <c r="G1981" s="1806"/>
      <c r="H1981" s="1806"/>
      <c r="I1981" s="1806"/>
      <c r="J1981" s="1806"/>
      <c r="K1981" s="1806"/>
      <c r="L1981" s="1806"/>
      <c r="M1981" s="1806"/>
      <c r="N1981" s="1807"/>
      <c r="O1981" s="15"/>
      <c r="P1981" s="15"/>
      <c r="Q1981" s="343"/>
      <c r="R1981" s="2"/>
      <c r="S1981" s="343"/>
      <c r="T1981" s="2"/>
      <c r="U1981" s="2"/>
      <c r="V1981" s="2"/>
      <c r="W1981" s="2"/>
      <c r="X1981" s="2"/>
      <c r="Y1981" s="2"/>
      <c r="Z1981" s="2"/>
      <c r="AA1981" s="2"/>
      <c r="AB1981" s="2"/>
      <c r="AC1981" s="2"/>
      <c r="AD1981" s="2"/>
      <c r="AE1981" s="2"/>
      <c r="AF1981" s="2"/>
      <c r="AG1981" s="2"/>
      <c r="AH1981" s="2"/>
      <c r="AI1981" s="2"/>
      <c r="AJ1981" s="2"/>
      <c r="AK1981" s="2"/>
      <c r="AL1981" s="2"/>
    </row>
    <row r="1982" spans="1:38" ht="12.75" customHeight="1" thickBot="1" x14ac:dyDescent="0.3">
      <c r="A1982" s="2"/>
      <c r="B1982" s="178"/>
      <c r="C1982" s="779"/>
      <c r="D1982" s="780"/>
      <c r="E1982" s="2605" t="str">
        <f>Translations!$B$582</f>
        <v>Andra bränsle-/materialmängder – 1</v>
      </c>
      <c r="F1982" s="2497"/>
      <c r="G1982" s="361" t="str">
        <f>EUconst_Unit</f>
        <v>Enhet</v>
      </c>
      <c r="H1982" s="362">
        <f t="shared" ref="H1982:N1982" si="870">H$3042</f>
        <v>2019</v>
      </c>
      <c r="I1982" s="1103">
        <f t="shared" si="870"/>
        <v>2020</v>
      </c>
      <c r="J1982" s="1104">
        <f t="shared" si="870"/>
        <v>2021</v>
      </c>
      <c r="K1982" s="362">
        <f t="shared" si="870"/>
        <v>2022</v>
      </c>
      <c r="L1982" s="362">
        <f t="shared" si="870"/>
        <v>2023</v>
      </c>
      <c r="M1982" s="362">
        <f t="shared" si="870"/>
        <v>2024</v>
      </c>
      <c r="N1982" s="1141">
        <f t="shared" si="870"/>
        <v>2025</v>
      </c>
      <c r="O1982" s="15"/>
      <c r="P1982" s="15"/>
      <c r="Q1982" s="343"/>
      <c r="R1982" s="2"/>
      <c r="S1982" s="343"/>
      <c r="T1982" s="2"/>
      <c r="U1982" s="2"/>
      <c r="V1982" s="2"/>
      <c r="W1982" s="2"/>
      <c r="X1982" s="2"/>
      <c r="Y1982" s="2"/>
      <c r="Z1982" s="2"/>
      <c r="AA1982" s="2"/>
      <c r="AB1982" s="2"/>
      <c r="AC1982" s="1044">
        <f t="shared" ref="AC1982:AI1982" si="871">H$20</f>
        <v>2019</v>
      </c>
      <c r="AD1982" s="1044">
        <f t="shared" si="871"/>
        <v>2020</v>
      </c>
      <c r="AE1982" s="1044">
        <f t="shared" si="871"/>
        <v>2021</v>
      </c>
      <c r="AF1982" s="1044">
        <f t="shared" si="871"/>
        <v>2022</v>
      </c>
      <c r="AG1982" s="1044">
        <f t="shared" si="871"/>
        <v>2023</v>
      </c>
      <c r="AH1982" s="1044">
        <f t="shared" si="871"/>
        <v>2024</v>
      </c>
      <c r="AI1982" s="1044">
        <f t="shared" si="871"/>
        <v>2025</v>
      </c>
      <c r="AJ1982" s="2"/>
      <c r="AK1982" s="2"/>
      <c r="AL1982" s="2"/>
    </row>
    <row r="1983" spans="1:38" ht="12.75" customHeight="1" x14ac:dyDescent="0.25">
      <c r="A1983" s="2"/>
      <c r="B1983" s="178"/>
      <c r="C1983" s="779"/>
      <c r="D1983" s="416" t="s">
        <v>10</v>
      </c>
      <c r="E1983" s="2611" t="str">
        <f>Translations!$B$583</f>
        <v>Importerad eller exporterad mängd</v>
      </c>
      <c r="F1983" s="2484"/>
      <c r="G1983" s="365" t="str">
        <f>EUconst_tpa</f>
        <v>t / år</v>
      </c>
      <c r="H1983" s="1298"/>
      <c r="I1983" s="1299"/>
      <c r="J1983" s="1300"/>
      <c r="K1983" s="1298"/>
      <c r="L1983" s="1298"/>
      <c r="M1983" s="1298"/>
      <c r="N1983" s="1301"/>
      <c r="O1983" s="15"/>
      <c r="P1983" s="1362"/>
      <c r="Q1983" s="343"/>
      <c r="R1983" s="2"/>
      <c r="S1983" s="343"/>
      <c r="T1983" s="2"/>
      <c r="U1983" s="2"/>
      <c r="V1983" s="2"/>
      <c r="W1983" s="2"/>
      <c r="X1983" s="2"/>
      <c r="Y1983" s="2"/>
      <c r="Z1983" s="2"/>
      <c r="AA1983" s="2"/>
      <c r="AB1983" s="672" t="s">
        <v>782</v>
      </c>
      <c r="AC1983" s="1196" t="b">
        <f>OR(AND($L1978&lt;&gt;"",$L1978=FALSE),AC1895)</f>
        <v>0</v>
      </c>
      <c r="AD1983" s="108" t="b">
        <f t="shared" ref="AD1983:AI1983" si="872">OR(AND($L1978&lt;&gt;"",$L1978=FALSE),AD1895)</f>
        <v>0</v>
      </c>
      <c r="AE1983" s="108" t="b">
        <f t="shared" si="872"/>
        <v>0</v>
      </c>
      <c r="AF1983" s="108" t="b">
        <f t="shared" si="872"/>
        <v>0</v>
      </c>
      <c r="AG1983" s="108" t="b">
        <f t="shared" si="872"/>
        <v>0</v>
      </c>
      <c r="AH1983" s="108" t="b">
        <f t="shared" si="872"/>
        <v>0</v>
      </c>
      <c r="AI1983" s="108" t="b">
        <f t="shared" si="872"/>
        <v>0</v>
      </c>
      <c r="AJ1983" s="553" t="s">
        <v>2248</v>
      </c>
      <c r="AK1983" s="663" t="str">
        <f>IF(AND(CNTR_ExistSubInstEntries,MSconst_RequireSubAttrEmissions,COUNTIFS(AC1983:AI1983,FALSE,H1983:N1983,"")&gt;0),EUconst_Error&amp;"BM"&amp;$Q1825,"")</f>
        <v/>
      </c>
      <c r="AL1983" s="2"/>
    </row>
    <row r="1984" spans="1:38" ht="12.75" customHeight="1" x14ac:dyDescent="0.25">
      <c r="A1984" s="2"/>
      <c r="B1984" s="178"/>
      <c r="C1984" s="779"/>
      <c r="D1984" s="416" t="s">
        <v>23</v>
      </c>
      <c r="E1984" s="2625" t="str">
        <f>Translations!$B$584</f>
        <v>Effektivt värmevärde, i tillämpliga fall</v>
      </c>
      <c r="F1984" s="2476"/>
      <c r="G1984" s="424" t="str">
        <f>EUconst_GJpt</f>
        <v>GJ / t</v>
      </c>
      <c r="H1984" s="1302"/>
      <c r="I1984" s="1303"/>
      <c r="J1984" s="1304"/>
      <c r="K1984" s="1302"/>
      <c r="L1984" s="1302"/>
      <c r="M1984" s="1302"/>
      <c r="N1984" s="1305"/>
      <c r="O1984" s="15"/>
      <c r="P1984" s="1362"/>
      <c r="Q1984" s="343"/>
      <c r="R1984" s="2"/>
      <c r="S1984" s="343"/>
      <c r="T1984" s="2"/>
      <c r="U1984" s="2"/>
      <c r="V1984" s="2"/>
      <c r="W1984" s="2"/>
      <c r="X1984" s="2"/>
      <c r="Y1984" s="2"/>
      <c r="Z1984" s="2"/>
      <c r="AA1984" s="2"/>
      <c r="AB1984" s="2"/>
      <c r="AC1984" s="108" t="b">
        <f t="shared" ref="AC1984:AI1984" si="873">AC1983</f>
        <v>0</v>
      </c>
      <c r="AD1984" s="108" t="b">
        <f t="shared" si="873"/>
        <v>0</v>
      </c>
      <c r="AE1984" s="108" t="b">
        <f t="shared" si="873"/>
        <v>0</v>
      </c>
      <c r="AF1984" s="108" t="b">
        <f t="shared" si="873"/>
        <v>0</v>
      </c>
      <c r="AG1984" s="108" t="b">
        <f t="shared" si="873"/>
        <v>0</v>
      </c>
      <c r="AH1984" s="108" t="b">
        <f t="shared" si="873"/>
        <v>0</v>
      </c>
      <c r="AI1984" s="108" t="b">
        <f t="shared" si="873"/>
        <v>0</v>
      </c>
      <c r="AJ1984" s="553" t="s">
        <v>2248</v>
      </c>
      <c r="AK1984" s="663" t="str">
        <f>IF(AND(CNTR_ExistSubInstEntries,MSconst_RequireSubAttrEmissions,COUNTIFS(AC1984:AI1984,FALSE,H1984:N1984,"")&gt;0),EUconst_Error&amp;"BM"&amp;$Q1825,"")</f>
        <v/>
      </c>
      <c r="AL1984" s="2"/>
    </row>
    <row r="1985" spans="1:38" ht="12.75" customHeight="1" thickBot="1" x14ac:dyDescent="0.3">
      <c r="A1985" s="2"/>
      <c r="B1985" s="178"/>
      <c r="C1985" s="779"/>
      <c r="D1985" s="416" t="s">
        <v>859</v>
      </c>
      <c r="E1985" s="2625" t="str">
        <f>Translations!$B$585</f>
        <v>Kolinnehåll (viktprocent)</v>
      </c>
      <c r="F1985" s="2476"/>
      <c r="G1985" s="425" t="s">
        <v>957</v>
      </c>
      <c r="H1985" s="1302"/>
      <c r="I1985" s="1303"/>
      <c r="J1985" s="1304"/>
      <c r="K1985" s="1302"/>
      <c r="L1985" s="1302"/>
      <c r="M1985" s="1302"/>
      <c r="N1985" s="1305"/>
      <c r="O1985" s="15"/>
      <c r="P1985" s="1362"/>
      <c r="Q1985" s="343"/>
      <c r="R1985" s="2"/>
      <c r="S1985" s="343"/>
      <c r="T1985" s="2"/>
      <c r="U1985" s="2"/>
      <c r="V1985" s="2"/>
      <c r="W1985" s="2"/>
      <c r="X1985" s="2"/>
      <c r="Y1985" s="2"/>
      <c r="Z1985" s="2"/>
      <c r="AA1985" s="2"/>
      <c r="AB1985" s="2"/>
      <c r="AC1985" s="108" t="b">
        <f t="shared" ref="AC1985:AI1985" si="874">AC1984</f>
        <v>0</v>
      </c>
      <c r="AD1985" s="108" t="b">
        <f t="shared" si="874"/>
        <v>0</v>
      </c>
      <c r="AE1985" s="108" t="b">
        <f t="shared" si="874"/>
        <v>0</v>
      </c>
      <c r="AF1985" s="108" t="b">
        <f t="shared" si="874"/>
        <v>0</v>
      </c>
      <c r="AG1985" s="108" t="b">
        <f t="shared" si="874"/>
        <v>0</v>
      </c>
      <c r="AH1985" s="108" t="b">
        <f t="shared" si="874"/>
        <v>0</v>
      </c>
      <c r="AI1985" s="108" t="b">
        <f t="shared" si="874"/>
        <v>0</v>
      </c>
      <c r="AJ1985" s="553" t="s">
        <v>2248</v>
      </c>
      <c r="AK1985" s="663" t="str">
        <f>IF(AND(CNTR_ExistSubInstEntries,MSconst_RequireSubAttrEmissions,COUNTIFS(AC1985:AI1985,FALSE,H1985:N1985,"")&gt;0),EUconst_Error&amp;"BM"&amp;$Q1825,"")</f>
        <v/>
      </c>
      <c r="AL1985" s="2"/>
    </row>
    <row r="1986" spans="1:38" ht="12.75" customHeight="1" x14ac:dyDescent="0.25">
      <c r="A1986" s="2"/>
      <c r="B1986" s="178"/>
      <c r="C1986" s="779"/>
      <c r="D1986" s="416" t="s">
        <v>860</v>
      </c>
      <c r="E1986" s="2626" t="str">
        <f>Translations!$B$586</f>
        <v>Biomassahalt (som kolfraktion)</v>
      </c>
      <c r="F1986" s="2487"/>
      <c r="G1986" s="384" t="s">
        <v>957</v>
      </c>
      <c r="H1986" s="1306"/>
      <c r="I1986" s="1307"/>
      <c r="J1986" s="1308"/>
      <c r="K1986" s="1306"/>
      <c r="L1986" s="1306"/>
      <c r="M1986" s="1306"/>
      <c r="N1986" s="1309"/>
      <c r="O1986" s="15"/>
      <c r="P1986" s="1362"/>
      <c r="Q1986" s="343"/>
      <c r="R1986" s="2"/>
      <c r="S1986" s="772"/>
      <c r="T1986" s="609">
        <f t="shared" ref="T1986:Z1986" si="875">H1982</f>
        <v>2019</v>
      </c>
      <c r="U1986" s="609">
        <f t="shared" si="875"/>
        <v>2020</v>
      </c>
      <c r="V1986" s="609">
        <f t="shared" si="875"/>
        <v>2021</v>
      </c>
      <c r="W1986" s="609">
        <f t="shared" si="875"/>
        <v>2022</v>
      </c>
      <c r="X1986" s="609">
        <f t="shared" si="875"/>
        <v>2023</v>
      </c>
      <c r="Y1986" s="609">
        <f t="shared" si="875"/>
        <v>2024</v>
      </c>
      <c r="Z1986" s="610">
        <f t="shared" si="875"/>
        <v>2025</v>
      </c>
      <c r="AA1986" s="2"/>
      <c r="AB1986" s="2"/>
      <c r="AC1986" s="108" t="b">
        <f t="shared" ref="AC1986:AI1986" si="876">AC1985</f>
        <v>0</v>
      </c>
      <c r="AD1986" s="108" t="b">
        <f t="shared" si="876"/>
        <v>0</v>
      </c>
      <c r="AE1986" s="108" t="b">
        <f t="shared" si="876"/>
        <v>0</v>
      </c>
      <c r="AF1986" s="108" t="b">
        <f t="shared" si="876"/>
        <v>0</v>
      </c>
      <c r="AG1986" s="108" t="b">
        <f t="shared" si="876"/>
        <v>0</v>
      </c>
      <c r="AH1986" s="108" t="b">
        <f t="shared" si="876"/>
        <v>0</v>
      </c>
      <c r="AI1986" s="108" t="b">
        <f t="shared" si="876"/>
        <v>0</v>
      </c>
      <c r="AJ1986" s="553" t="s">
        <v>2248</v>
      </c>
      <c r="AK1986" s="663" t="str">
        <f>IF(AND(CNTR_ExistSubInstEntries,MSconst_RequireSubAttrEmissions,COUNTIFS(AC1986:AI1986,FALSE,H1986:N1986,"")&gt;0),EUconst_Error&amp;"BM"&amp;$Q1825,"")</f>
        <v/>
      </c>
      <c r="AL1986" s="2"/>
    </row>
    <row r="1987" spans="1:38" ht="12.75" customHeight="1" thickBot="1" x14ac:dyDescent="0.3">
      <c r="A1987" s="2"/>
      <c r="B1987" s="178"/>
      <c r="C1987" s="779"/>
      <c r="D1987" s="416" t="s">
        <v>861</v>
      </c>
      <c r="E1987" s="2627" t="str">
        <f>Translations!$B$587</f>
        <v>Utsläpp (fossila, beräknade)</v>
      </c>
      <c r="F1987" s="2484"/>
      <c r="G1987" s="426" t="str">
        <f>EUconst_tCO2pa</f>
        <v>t CO2 / år</v>
      </c>
      <c r="H1987" s="273" t="str">
        <f t="shared" ref="H1987:N1987" si="877">IF(AND(COUNT(H1983:H1986)&gt;0,H1990=""),3.664*H1983*(H1985/100)*(1-H1986/100),"")</f>
        <v/>
      </c>
      <c r="I1987" s="1109" t="str">
        <f t="shared" si="877"/>
        <v/>
      </c>
      <c r="J1987" s="1116" t="str">
        <f t="shared" si="877"/>
        <v/>
      </c>
      <c r="K1987" s="273" t="str">
        <f t="shared" si="877"/>
        <v/>
      </c>
      <c r="L1987" s="273" t="str">
        <f t="shared" si="877"/>
        <v/>
      </c>
      <c r="M1987" s="273" t="str">
        <f t="shared" si="877"/>
        <v/>
      </c>
      <c r="N1987" s="1142" t="str">
        <f t="shared" si="877"/>
        <v/>
      </c>
      <c r="O1987" s="15"/>
      <c r="P1987" s="15"/>
      <c r="Q1987" s="165" t="str">
        <f>EUconst_CNTR_EmissionsIntSource1 &amp; I1825</f>
        <v>EmInternalSource1_</v>
      </c>
      <c r="R1987" s="2"/>
      <c r="S1987" s="773" t="str">
        <f>EUconst_CNTR_AttributedEmissions &amp; I1825</f>
        <v>AttrEmissions_</v>
      </c>
      <c r="T1987" s="111" t="str">
        <f t="shared" ref="T1987:Z1987" si="878">IF(T1833,SUM(H1987),"")</f>
        <v/>
      </c>
      <c r="U1987" s="111" t="str">
        <f t="shared" si="878"/>
        <v/>
      </c>
      <c r="V1987" s="111" t="str">
        <f t="shared" si="878"/>
        <v/>
      </c>
      <c r="W1987" s="111" t="str">
        <f t="shared" si="878"/>
        <v/>
      </c>
      <c r="X1987" s="111" t="str">
        <f t="shared" si="878"/>
        <v/>
      </c>
      <c r="Y1987" s="111" t="str">
        <f t="shared" si="878"/>
        <v/>
      </c>
      <c r="Z1987" s="112" t="str">
        <f t="shared" si="878"/>
        <v/>
      </c>
      <c r="AA1987" s="2"/>
      <c r="AB1987" s="2"/>
      <c r="AC1987" s="2"/>
      <c r="AD1987" s="2"/>
      <c r="AE1987" s="2"/>
      <c r="AF1987" s="2"/>
      <c r="AG1987" s="2"/>
      <c r="AH1987" s="2"/>
      <c r="AI1987" s="2"/>
      <c r="AJ1987" s="2"/>
      <c r="AK1987" s="2"/>
      <c r="AL1987" s="2"/>
    </row>
    <row r="1988" spans="1:38" ht="12.75" customHeight="1" x14ac:dyDescent="0.25">
      <c r="A1988" s="2"/>
      <c r="B1988" s="178"/>
      <c r="C1988" s="779"/>
      <c r="D1988" s="416" t="s">
        <v>862</v>
      </c>
      <c r="E1988" s="2628" t="str">
        <f>Translations!$B$588</f>
        <v>Memorandumpost: Utsläpp biomassa</v>
      </c>
      <c r="F1988" s="2476"/>
      <c r="G1988" s="427" t="str">
        <f>EUconst_tCO2pa</f>
        <v>t CO2 / år</v>
      </c>
      <c r="H1988" s="272" t="str">
        <f t="shared" ref="H1988:N1988" si="879">IF(ISNUMBER(H1987),3.664*H1983*(H1985/100)*(H1986/100),"")</f>
        <v/>
      </c>
      <c r="I1988" s="1110" t="str">
        <f t="shared" si="879"/>
        <v/>
      </c>
      <c r="J1988" s="1117" t="str">
        <f t="shared" si="879"/>
        <v/>
      </c>
      <c r="K1988" s="272" t="str">
        <f t="shared" si="879"/>
        <v/>
      </c>
      <c r="L1988" s="272" t="str">
        <f t="shared" si="879"/>
        <v/>
      </c>
      <c r="M1988" s="272" t="str">
        <f t="shared" si="879"/>
        <v/>
      </c>
      <c r="N1988" s="1143" t="str">
        <f t="shared" si="879"/>
        <v/>
      </c>
      <c r="O1988" s="15"/>
      <c r="P1988" s="15"/>
      <c r="Q1988" s="343"/>
      <c r="R1988" s="2"/>
      <c r="S1988" s="343"/>
      <c r="T1988" s="2"/>
      <c r="U1988" s="2"/>
      <c r="V1988" s="2"/>
      <c r="W1988" s="2"/>
      <c r="X1988" s="2"/>
      <c r="Y1988" s="2"/>
      <c r="Z1988" s="2"/>
      <c r="AA1988" s="2"/>
      <c r="AB1988" s="2"/>
      <c r="AC1988" s="2"/>
      <c r="AD1988" s="2"/>
      <c r="AE1988" s="2"/>
      <c r="AF1988" s="2"/>
      <c r="AG1988" s="2"/>
      <c r="AH1988" s="2"/>
      <c r="AI1988" s="2"/>
      <c r="AJ1988" s="2"/>
      <c r="AK1988" s="2"/>
      <c r="AL1988" s="2"/>
    </row>
    <row r="1989" spans="1:38" ht="12.75" customHeight="1" x14ac:dyDescent="0.25">
      <c r="A1989" s="2"/>
      <c r="B1989" s="178"/>
      <c r="C1989" s="779"/>
      <c r="D1989" s="416" t="s">
        <v>863</v>
      </c>
      <c r="E1989" s="2626" t="str">
        <f>Translations!$B$589</f>
        <v>Energiinnehåll (beräknat)</v>
      </c>
      <c r="F1989" s="2487"/>
      <c r="G1989" s="428" t="str">
        <f>EUconst_TJpa</f>
        <v>TJ / år</v>
      </c>
      <c r="H1989" s="275" t="str">
        <f t="shared" ref="H1989:N1989" si="880">IF(COUNT(H1983:H1984)=2,H1983*H1984/1000,"")</f>
        <v/>
      </c>
      <c r="I1989" s="281" t="str">
        <f t="shared" si="880"/>
        <v/>
      </c>
      <c r="J1989" s="1118" t="str">
        <f t="shared" si="880"/>
        <v/>
      </c>
      <c r="K1989" s="275" t="str">
        <f t="shared" si="880"/>
        <v/>
      </c>
      <c r="L1989" s="275" t="str">
        <f t="shared" si="880"/>
        <v/>
      </c>
      <c r="M1989" s="275" t="str">
        <f t="shared" si="880"/>
        <v/>
      </c>
      <c r="N1989" s="1144" t="str">
        <f t="shared" si="880"/>
        <v/>
      </c>
      <c r="O1989" s="15"/>
      <c r="P1989" s="15"/>
      <c r="Q1989" s="343"/>
      <c r="R1989" s="2"/>
      <c r="S1989" s="343"/>
      <c r="T1989" s="2"/>
      <c r="U1989" s="2"/>
      <c r="V1989" s="2"/>
      <c r="W1989" s="2"/>
      <c r="X1989" s="2"/>
      <c r="Y1989" s="2"/>
      <c r="Z1989" s="2"/>
      <c r="AA1989" s="2"/>
      <c r="AB1989" s="2"/>
      <c r="AC1989" s="2"/>
      <c r="AD1989" s="2"/>
      <c r="AE1989" s="2"/>
      <c r="AF1989" s="2"/>
      <c r="AG1989" s="2"/>
      <c r="AH1989" s="2"/>
      <c r="AI1989" s="2"/>
      <c r="AJ1989" s="2"/>
      <c r="AK1989" s="2"/>
      <c r="AL1989" s="2"/>
    </row>
    <row r="1990" spans="1:38" ht="12.75" customHeight="1" x14ac:dyDescent="0.25">
      <c r="A1990" s="2"/>
      <c r="B1990" s="178"/>
      <c r="C1990" s="779"/>
      <c r="D1990" s="416" t="s">
        <v>72</v>
      </c>
      <c r="E1990" s="2629" t="str">
        <f>Translations!$B$590</f>
        <v>Felmeddelanden (utsläpp)</v>
      </c>
      <c r="F1990" s="2630"/>
      <c r="G1990" s="429"/>
      <c r="H1990" s="520" t="str">
        <f t="shared" ref="H1990:N1990" si="881">IF(COUNT(H1983,H1985:H1986)&gt;0,IF(COUNTIF(H1984:H1986,"&lt;0")&gt;0,EUconst_Negative,IF(COUNT(H1983,H1985:H1986)&lt;3,EUconst_Incomplete,"")),"")</f>
        <v/>
      </c>
      <c r="I1990" s="1111" t="str">
        <f t="shared" si="881"/>
        <v/>
      </c>
      <c r="J1990" s="1119" t="str">
        <f t="shared" si="881"/>
        <v/>
      </c>
      <c r="K1990" s="520" t="str">
        <f t="shared" si="881"/>
        <v/>
      </c>
      <c r="L1990" s="520" t="str">
        <f t="shared" si="881"/>
        <v/>
      </c>
      <c r="M1990" s="520" t="str">
        <f t="shared" si="881"/>
        <v/>
      </c>
      <c r="N1990" s="1145" t="str">
        <f t="shared" si="881"/>
        <v/>
      </c>
      <c r="O1990" s="15"/>
      <c r="P1990" s="15"/>
      <c r="Q1990" s="343"/>
      <c r="R1990" s="2"/>
      <c r="S1990" s="343"/>
      <c r="T1990" s="2"/>
      <c r="U1990" s="2"/>
      <c r="V1990" s="2"/>
      <c r="W1990" s="2"/>
      <c r="X1990" s="2"/>
      <c r="Y1990" s="2"/>
      <c r="Z1990" s="2"/>
      <c r="AA1990" s="2"/>
      <c r="AB1990" s="2"/>
      <c r="AC1990" s="2"/>
      <c r="AD1990" s="2"/>
      <c r="AE1990" s="2"/>
      <c r="AF1990" s="2"/>
      <c r="AG1990" s="2"/>
      <c r="AH1990" s="2"/>
      <c r="AI1990" s="2"/>
      <c r="AJ1990" s="2"/>
      <c r="AK1990" s="2"/>
      <c r="AL1990" s="2"/>
    </row>
    <row r="1991" spans="1:38" ht="12.75" customHeight="1" x14ac:dyDescent="0.25">
      <c r="A1991" s="2"/>
      <c r="B1991" s="178"/>
      <c r="C1991" s="779"/>
      <c r="D1991" s="416"/>
      <c r="E1991" s="780"/>
      <c r="F1991" s="780"/>
      <c r="G1991" s="780"/>
      <c r="H1991" s="780"/>
      <c r="I1991" s="780"/>
      <c r="J1991" s="780"/>
      <c r="K1991" s="780"/>
      <c r="L1991" s="780"/>
      <c r="M1991" s="623"/>
      <c r="N1991" s="519"/>
      <c r="O1991" s="15"/>
      <c r="P1991" s="15"/>
      <c r="Q1991" s="343"/>
      <c r="R1991" s="2"/>
      <c r="S1991" s="343"/>
      <c r="T1991" s="2"/>
      <c r="U1991" s="2"/>
      <c r="V1991" s="2"/>
      <c r="W1991" s="2"/>
      <c r="X1991" s="2"/>
      <c r="Y1991" s="2"/>
      <c r="Z1991" s="2"/>
      <c r="AA1991" s="2"/>
      <c r="AB1991" s="2"/>
      <c r="AC1991" s="2"/>
      <c r="AD1991" s="2"/>
      <c r="AE1991" s="2"/>
      <c r="AF1991" s="2"/>
      <c r="AG1991" s="2"/>
      <c r="AH1991" s="2"/>
      <c r="AI1991" s="2"/>
      <c r="AJ1991" s="2"/>
      <c r="AK1991" s="2"/>
      <c r="AL1991" s="2"/>
    </row>
    <row r="1992" spans="1:38" ht="12.75" customHeight="1" x14ac:dyDescent="0.25">
      <c r="A1992" s="2"/>
      <c r="B1992" s="178"/>
      <c r="C1992" s="779"/>
      <c r="D1992" s="416" t="s">
        <v>73</v>
      </c>
      <c r="E1992" s="2614" t="str">
        <f>Translations!$B$591</f>
        <v>Namn på andra bränsle-/materialmängder – 2:</v>
      </c>
      <c r="F1992" s="1960"/>
      <c r="G1992" s="1960"/>
      <c r="H1992" s="2520"/>
      <c r="I1992" s="2621"/>
      <c r="J1992" s="2510"/>
      <c r="K1992" s="2510"/>
      <c r="L1992" s="2510"/>
      <c r="M1992" s="2511"/>
      <c r="N1992" s="1807"/>
      <c r="O1992" s="15"/>
      <c r="P1992" s="1362"/>
      <c r="Q1992" s="343"/>
      <c r="R1992" s="2"/>
      <c r="S1992" s="343"/>
      <c r="T1992" s="2"/>
      <c r="U1992" s="2"/>
      <c r="V1992" s="2"/>
      <c r="W1992" s="2"/>
      <c r="X1992" s="2"/>
      <c r="Y1992" s="2"/>
      <c r="Z1992" s="2"/>
      <c r="AA1992" s="2"/>
      <c r="AB1992" s="2"/>
      <c r="AC1992" s="672" t="s">
        <v>782</v>
      </c>
      <c r="AD1992" s="108" t="b">
        <f>AD1980</f>
        <v>0</v>
      </c>
      <c r="AE1992" s="2"/>
      <c r="AF1992" s="2"/>
      <c r="AG1992" s="2"/>
      <c r="AH1992" s="2"/>
      <c r="AI1992" s="2"/>
      <c r="AJ1992" s="2"/>
      <c r="AK1992" s="2"/>
      <c r="AL1992" s="2"/>
    </row>
    <row r="1993" spans="1:38" ht="5.15" customHeight="1" x14ac:dyDescent="0.25">
      <c r="A1993" s="2"/>
      <c r="B1993" s="178"/>
      <c r="C1993" s="779"/>
      <c r="D1993" s="780"/>
      <c r="E1993" s="1804"/>
      <c r="F1993" s="1806"/>
      <c r="G1993" s="780"/>
      <c r="H1993" s="780"/>
      <c r="I1993" s="1806"/>
      <c r="J1993" s="1806"/>
      <c r="K1993" s="1806"/>
      <c r="L1993" s="1806"/>
      <c r="M1993" s="1806"/>
      <c r="N1993" s="1807"/>
      <c r="O1993" s="15"/>
      <c r="P1993" s="15"/>
      <c r="Q1993" s="343"/>
      <c r="R1993" s="2"/>
      <c r="S1993" s="343"/>
      <c r="T1993" s="2"/>
      <c r="U1993" s="2"/>
      <c r="V1993" s="2"/>
      <c r="W1993" s="2"/>
      <c r="X1993" s="2"/>
      <c r="Y1993" s="2"/>
      <c r="Z1993" s="2"/>
      <c r="AA1993" s="2"/>
      <c r="AB1993" s="2"/>
      <c r="AC1993" s="2"/>
      <c r="AD1993" s="2"/>
      <c r="AE1993" s="2"/>
      <c r="AF1993" s="2"/>
      <c r="AG1993" s="2"/>
      <c r="AH1993" s="2"/>
      <c r="AI1993" s="2"/>
      <c r="AJ1993" s="2"/>
      <c r="AK1993" s="2"/>
      <c r="AL1993" s="2"/>
    </row>
    <row r="1994" spans="1:38" ht="12.75" customHeight="1" thickBot="1" x14ac:dyDescent="0.3">
      <c r="A1994" s="2"/>
      <c r="B1994" s="178"/>
      <c r="C1994" s="779"/>
      <c r="D1994" s="416"/>
      <c r="E1994" s="2605" t="str">
        <f>Translations!$B$592</f>
        <v>Andra bränsle-/materialmängder – 2</v>
      </c>
      <c r="F1994" s="2497"/>
      <c r="G1994" s="361" t="str">
        <f>EUconst_Unit</f>
        <v>Enhet</v>
      </c>
      <c r="H1994" s="362">
        <f t="shared" ref="H1994:N1994" si="882">H$3042</f>
        <v>2019</v>
      </c>
      <c r="I1994" s="1103">
        <f t="shared" si="882"/>
        <v>2020</v>
      </c>
      <c r="J1994" s="1104">
        <f t="shared" si="882"/>
        <v>2021</v>
      </c>
      <c r="K1994" s="362">
        <f t="shared" si="882"/>
        <v>2022</v>
      </c>
      <c r="L1994" s="362">
        <f t="shared" si="882"/>
        <v>2023</v>
      </c>
      <c r="M1994" s="362">
        <f t="shared" si="882"/>
        <v>2024</v>
      </c>
      <c r="N1994" s="1141">
        <f t="shared" si="882"/>
        <v>2025</v>
      </c>
      <c r="O1994" s="15"/>
      <c r="P1994" s="15"/>
      <c r="Q1994" s="343"/>
      <c r="R1994" s="2"/>
      <c r="S1994" s="343"/>
      <c r="T1994" s="2"/>
      <c r="U1994" s="2"/>
      <c r="V1994" s="2"/>
      <c r="W1994" s="2"/>
      <c r="X1994" s="2"/>
      <c r="Y1994" s="2"/>
      <c r="Z1994" s="2"/>
      <c r="AA1994" s="2"/>
      <c r="AB1994" s="2"/>
      <c r="AC1994" s="1044">
        <f t="shared" ref="AC1994:AI1994" si="883">H$20</f>
        <v>2019</v>
      </c>
      <c r="AD1994" s="1044">
        <f t="shared" si="883"/>
        <v>2020</v>
      </c>
      <c r="AE1994" s="1044">
        <f t="shared" si="883"/>
        <v>2021</v>
      </c>
      <c r="AF1994" s="1044">
        <f t="shared" si="883"/>
        <v>2022</v>
      </c>
      <c r="AG1994" s="1044">
        <f t="shared" si="883"/>
        <v>2023</v>
      </c>
      <c r="AH1994" s="1044">
        <f t="shared" si="883"/>
        <v>2024</v>
      </c>
      <c r="AI1994" s="1044">
        <f t="shared" si="883"/>
        <v>2025</v>
      </c>
      <c r="AJ1994" s="2"/>
      <c r="AK1994" s="2"/>
      <c r="AL1994" s="2"/>
    </row>
    <row r="1995" spans="1:38" ht="12.75" customHeight="1" x14ac:dyDescent="0.25">
      <c r="A1995" s="2"/>
      <c r="B1995" s="178"/>
      <c r="C1995" s="779"/>
      <c r="D1995" s="416" t="s">
        <v>74</v>
      </c>
      <c r="E1995" s="2611" t="str">
        <f>Translations!$B$583</f>
        <v>Importerad eller exporterad mängd</v>
      </c>
      <c r="F1995" s="2484"/>
      <c r="G1995" s="365" t="str">
        <f>EUconst_tpa</f>
        <v>t / år</v>
      </c>
      <c r="H1995" s="1298"/>
      <c r="I1995" s="1299"/>
      <c r="J1995" s="1300"/>
      <c r="K1995" s="1298"/>
      <c r="L1995" s="1298"/>
      <c r="M1995" s="1298"/>
      <c r="N1995" s="1301"/>
      <c r="O1995" s="15"/>
      <c r="P1995" s="1362"/>
      <c r="Q1995" s="343"/>
      <c r="R1995" s="2"/>
      <c r="S1995" s="343"/>
      <c r="T1995" s="2"/>
      <c r="U1995" s="2"/>
      <c r="V1995" s="2"/>
      <c r="W1995" s="2"/>
      <c r="X1995" s="2"/>
      <c r="Y1995" s="2"/>
      <c r="Z1995" s="2"/>
      <c r="AA1995" s="2"/>
      <c r="AB1995" s="672" t="s">
        <v>782</v>
      </c>
      <c r="AC1995" s="108" t="b">
        <f>AC1983</f>
        <v>0</v>
      </c>
      <c r="AD1995" s="108" t="b">
        <f t="shared" ref="AD1995:AI1995" si="884">AD1983</f>
        <v>0</v>
      </c>
      <c r="AE1995" s="108" t="b">
        <f t="shared" si="884"/>
        <v>0</v>
      </c>
      <c r="AF1995" s="108" t="b">
        <f t="shared" si="884"/>
        <v>0</v>
      </c>
      <c r="AG1995" s="108" t="b">
        <f t="shared" si="884"/>
        <v>0</v>
      </c>
      <c r="AH1995" s="108" t="b">
        <f t="shared" si="884"/>
        <v>0</v>
      </c>
      <c r="AI1995" s="108" t="b">
        <f t="shared" si="884"/>
        <v>0</v>
      </c>
      <c r="AJ1995" s="553" t="s">
        <v>2248</v>
      </c>
      <c r="AK1995" s="663" t="str">
        <f>IF(AND(CNTR_ExistSubInstEntries,MSconst_RequireSubAttrEmissions,COUNTIFS(AC1995:AI1995,FALSE,H1995:N1995,"")&gt;0),EUconst_Error&amp;"BM"&amp;$Q1825,"")</f>
        <v/>
      </c>
      <c r="AL1995" s="2"/>
    </row>
    <row r="1996" spans="1:38" ht="12.75" customHeight="1" x14ac:dyDescent="0.25">
      <c r="A1996" s="2"/>
      <c r="B1996" s="178"/>
      <c r="C1996" s="779"/>
      <c r="D1996" s="416" t="s">
        <v>1201</v>
      </c>
      <c r="E1996" s="2625" t="str">
        <f>Translations!$B$584</f>
        <v>Effektivt värmevärde, i tillämpliga fall</v>
      </c>
      <c r="F1996" s="2476"/>
      <c r="G1996" s="424" t="str">
        <f>EUconst_GJpt</f>
        <v>GJ / t</v>
      </c>
      <c r="H1996" s="1302"/>
      <c r="I1996" s="1303"/>
      <c r="J1996" s="1304"/>
      <c r="K1996" s="1302"/>
      <c r="L1996" s="1302"/>
      <c r="M1996" s="1302"/>
      <c r="N1996" s="1305"/>
      <c r="O1996" s="15"/>
      <c r="P1996" s="1362"/>
      <c r="Q1996" s="343"/>
      <c r="R1996" s="2"/>
      <c r="S1996" s="343"/>
      <c r="T1996" s="2"/>
      <c r="U1996" s="2"/>
      <c r="V1996" s="2"/>
      <c r="W1996" s="2"/>
      <c r="X1996" s="2"/>
      <c r="Y1996" s="2"/>
      <c r="Z1996" s="2"/>
      <c r="AA1996" s="2"/>
      <c r="AB1996" s="2"/>
      <c r="AC1996" s="108" t="b">
        <f t="shared" ref="AC1996:AI1996" si="885">AC1984</f>
        <v>0</v>
      </c>
      <c r="AD1996" s="108" t="b">
        <f t="shared" si="885"/>
        <v>0</v>
      </c>
      <c r="AE1996" s="108" t="b">
        <f t="shared" si="885"/>
        <v>0</v>
      </c>
      <c r="AF1996" s="108" t="b">
        <f t="shared" si="885"/>
        <v>0</v>
      </c>
      <c r="AG1996" s="108" t="b">
        <f t="shared" si="885"/>
        <v>0</v>
      </c>
      <c r="AH1996" s="108" t="b">
        <f t="shared" si="885"/>
        <v>0</v>
      </c>
      <c r="AI1996" s="108" t="b">
        <f t="shared" si="885"/>
        <v>0</v>
      </c>
      <c r="AJ1996" s="553" t="s">
        <v>2248</v>
      </c>
      <c r="AK1996" s="663" t="str">
        <f>IF(AND(CNTR_ExistSubInstEntries,MSconst_RequireSubAttrEmissions,COUNTIFS(AC1996:AI1996,FALSE,H1996:N1996,"")&gt;0),EUconst_Error&amp;"BM"&amp;$Q1825,"")</f>
        <v/>
      </c>
      <c r="AL1996" s="2"/>
    </row>
    <row r="1997" spans="1:38" ht="12.75" customHeight="1" thickBot="1" x14ac:dyDescent="0.3">
      <c r="A1997" s="2"/>
      <c r="B1997" s="178"/>
      <c r="C1997" s="779"/>
      <c r="D1997" s="416" t="s">
        <v>1202</v>
      </c>
      <c r="E1997" s="2625" t="str">
        <f>Translations!$B$585</f>
        <v>Kolinnehåll (viktprocent)</v>
      </c>
      <c r="F1997" s="2476"/>
      <c r="G1997" s="425" t="s">
        <v>957</v>
      </c>
      <c r="H1997" s="1302"/>
      <c r="I1997" s="1303"/>
      <c r="J1997" s="1304"/>
      <c r="K1997" s="1302"/>
      <c r="L1997" s="1302"/>
      <c r="M1997" s="1302"/>
      <c r="N1997" s="1305"/>
      <c r="O1997" s="15"/>
      <c r="P1997" s="1362"/>
      <c r="Q1997" s="343"/>
      <c r="R1997" s="2"/>
      <c r="S1997" s="343"/>
      <c r="T1997" s="2"/>
      <c r="U1997" s="2"/>
      <c r="V1997" s="2"/>
      <c r="W1997" s="2"/>
      <c r="X1997" s="2"/>
      <c r="Y1997" s="2"/>
      <c r="Z1997" s="2"/>
      <c r="AA1997" s="2"/>
      <c r="AB1997" s="2"/>
      <c r="AC1997" s="108" t="b">
        <f t="shared" ref="AC1997:AI1997" si="886">AC1985</f>
        <v>0</v>
      </c>
      <c r="AD1997" s="108" t="b">
        <f t="shared" si="886"/>
        <v>0</v>
      </c>
      <c r="AE1997" s="108" t="b">
        <f t="shared" si="886"/>
        <v>0</v>
      </c>
      <c r="AF1997" s="108" t="b">
        <f t="shared" si="886"/>
        <v>0</v>
      </c>
      <c r="AG1997" s="108" t="b">
        <f t="shared" si="886"/>
        <v>0</v>
      </c>
      <c r="AH1997" s="108" t="b">
        <f t="shared" si="886"/>
        <v>0</v>
      </c>
      <c r="AI1997" s="108" t="b">
        <f t="shared" si="886"/>
        <v>0</v>
      </c>
      <c r="AJ1997" s="553" t="s">
        <v>2248</v>
      </c>
      <c r="AK1997" s="663" t="str">
        <f>IF(AND(CNTR_ExistSubInstEntries,MSconst_RequireSubAttrEmissions,COUNTIFS(AC1997:AI1997,FALSE,H1997:N1997,"")&gt;0),EUconst_Error&amp;"BM"&amp;$Q1825,"")</f>
        <v/>
      </c>
      <c r="AL1997" s="2"/>
    </row>
    <row r="1998" spans="1:38" ht="12.75" customHeight="1" x14ac:dyDescent="0.25">
      <c r="A1998" s="2"/>
      <c r="B1998" s="178"/>
      <c r="C1998" s="779"/>
      <c r="D1998" s="416" t="s">
        <v>1203</v>
      </c>
      <c r="E1998" s="2626" t="str">
        <f>Translations!$B$586</f>
        <v>Biomassahalt (som kolfraktion)</v>
      </c>
      <c r="F1998" s="2487"/>
      <c r="G1998" s="384" t="s">
        <v>957</v>
      </c>
      <c r="H1998" s="1306"/>
      <c r="I1998" s="1307"/>
      <c r="J1998" s="1308"/>
      <c r="K1998" s="1306"/>
      <c r="L1998" s="1306"/>
      <c r="M1998" s="1306"/>
      <c r="N1998" s="1309"/>
      <c r="O1998" s="15"/>
      <c r="P1998" s="1362"/>
      <c r="Q1998" s="343"/>
      <c r="R1998" s="2"/>
      <c r="S1998" s="772"/>
      <c r="T1998" s="609">
        <f t="shared" ref="T1998:Z1998" si="887">H1994</f>
        <v>2019</v>
      </c>
      <c r="U1998" s="609">
        <f t="shared" si="887"/>
        <v>2020</v>
      </c>
      <c r="V1998" s="609">
        <f t="shared" si="887"/>
        <v>2021</v>
      </c>
      <c r="W1998" s="609">
        <f t="shared" si="887"/>
        <v>2022</v>
      </c>
      <c r="X1998" s="609">
        <f t="shared" si="887"/>
        <v>2023</v>
      </c>
      <c r="Y1998" s="609">
        <f t="shared" si="887"/>
        <v>2024</v>
      </c>
      <c r="Z1998" s="610">
        <f t="shared" si="887"/>
        <v>2025</v>
      </c>
      <c r="AA1998" s="2"/>
      <c r="AB1998" s="2"/>
      <c r="AC1998" s="108" t="b">
        <f t="shared" ref="AC1998:AI1998" si="888">AC1986</f>
        <v>0</v>
      </c>
      <c r="AD1998" s="108" t="b">
        <f t="shared" si="888"/>
        <v>0</v>
      </c>
      <c r="AE1998" s="108" t="b">
        <f t="shared" si="888"/>
        <v>0</v>
      </c>
      <c r="AF1998" s="108" t="b">
        <f t="shared" si="888"/>
        <v>0</v>
      </c>
      <c r="AG1998" s="108" t="b">
        <f t="shared" si="888"/>
        <v>0</v>
      </c>
      <c r="AH1998" s="108" t="b">
        <f t="shared" si="888"/>
        <v>0</v>
      </c>
      <c r="AI1998" s="108" t="b">
        <f t="shared" si="888"/>
        <v>0</v>
      </c>
      <c r="AJ1998" s="553" t="s">
        <v>2248</v>
      </c>
      <c r="AK1998" s="663" t="str">
        <f>IF(AND(CNTR_ExistSubInstEntries,MSconst_RequireSubAttrEmissions,COUNTIFS(AC1998:AI1998,FALSE,H1998:N1998,"")&gt;0),EUconst_Error&amp;"BM"&amp;$Q1825,"")</f>
        <v/>
      </c>
      <c r="AL1998" s="2"/>
    </row>
    <row r="1999" spans="1:38" ht="12.75" customHeight="1" thickBot="1" x14ac:dyDescent="0.3">
      <c r="A1999" s="2"/>
      <c r="B1999" s="178"/>
      <c r="C1999" s="779"/>
      <c r="D1999" s="416" t="s">
        <v>1204</v>
      </c>
      <c r="E1999" s="2627" t="str">
        <f>Translations!$B$587</f>
        <v>Utsläpp (fossila, beräknade)</v>
      </c>
      <c r="F1999" s="2484"/>
      <c r="G1999" s="426" t="str">
        <f>EUconst_tCO2pa</f>
        <v>t CO2 / år</v>
      </c>
      <c r="H1999" s="273" t="str">
        <f t="shared" ref="H1999:N1999" si="889">IF(AND(COUNT(H1995:H1998)&gt;0,H2002=""),3.664*H1995*(H1997/100)*(1-H1998/100),"")</f>
        <v/>
      </c>
      <c r="I1999" s="1109" t="str">
        <f t="shared" si="889"/>
        <v/>
      </c>
      <c r="J1999" s="1116" t="str">
        <f t="shared" si="889"/>
        <v/>
      </c>
      <c r="K1999" s="273" t="str">
        <f t="shared" si="889"/>
        <v/>
      </c>
      <c r="L1999" s="273" t="str">
        <f t="shared" si="889"/>
        <v/>
      </c>
      <c r="M1999" s="273" t="str">
        <f t="shared" si="889"/>
        <v/>
      </c>
      <c r="N1999" s="1142" t="str">
        <f t="shared" si="889"/>
        <v/>
      </c>
      <c r="O1999" s="15"/>
      <c r="P1999" s="15"/>
      <c r="Q1999" s="165" t="str">
        <f>EUconst_CNTR_EmissionsIntSource2 &amp; I1825</f>
        <v>EmInternalSource2_</v>
      </c>
      <c r="R1999" s="2"/>
      <c r="S1999" s="773" t="str">
        <f>EUconst_CNTR_AttributedEmissions &amp; I1825</f>
        <v>AttrEmissions_</v>
      </c>
      <c r="T1999" s="111" t="str">
        <f t="shared" ref="T1999:Z1999" si="890">IF(T1833,SUM(H1999),"")</f>
        <v/>
      </c>
      <c r="U1999" s="111" t="str">
        <f t="shared" si="890"/>
        <v/>
      </c>
      <c r="V1999" s="111" t="str">
        <f t="shared" si="890"/>
        <v/>
      </c>
      <c r="W1999" s="111" t="str">
        <f t="shared" si="890"/>
        <v/>
      </c>
      <c r="X1999" s="111" t="str">
        <f t="shared" si="890"/>
        <v/>
      </c>
      <c r="Y1999" s="111" t="str">
        <f t="shared" si="890"/>
        <v/>
      </c>
      <c r="Z1999" s="112" t="str">
        <f t="shared" si="890"/>
        <v/>
      </c>
      <c r="AA1999" s="2"/>
      <c r="AB1999" s="2"/>
      <c r="AC1999" s="2"/>
      <c r="AD1999" s="2"/>
      <c r="AE1999" s="2"/>
      <c r="AF1999" s="2"/>
      <c r="AG1999" s="2"/>
      <c r="AH1999" s="2"/>
      <c r="AI1999" s="2"/>
      <c r="AJ1999" s="2"/>
      <c r="AK1999" s="2"/>
      <c r="AL1999" s="2"/>
    </row>
    <row r="2000" spans="1:38" ht="12.75" customHeight="1" x14ac:dyDescent="0.25">
      <c r="A2000" s="2"/>
      <c r="B2000" s="178"/>
      <c r="C2000" s="779"/>
      <c r="D2000" s="416" t="s">
        <v>1205</v>
      </c>
      <c r="E2000" s="2628" t="str">
        <f>Translations!$B$588</f>
        <v>Memorandumpost: Utsläpp biomassa</v>
      </c>
      <c r="F2000" s="2476"/>
      <c r="G2000" s="427" t="str">
        <f>EUconst_tCO2pa</f>
        <v>t CO2 / år</v>
      </c>
      <c r="H2000" s="272" t="str">
        <f t="shared" ref="H2000:N2000" si="891">IF(ISNUMBER(H1999),3.664*H1995*(H1997/100)*(H1998/100),"")</f>
        <v/>
      </c>
      <c r="I2000" s="1110" t="str">
        <f t="shared" si="891"/>
        <v/>
      </c>
      <c r="J2000" s="1117" t="str">
        <f t="shared" si="891"/>
        <v/>
      </c>
      <c r="K2000" s="272" t="str">
        <f t="shared" si="891"/>
        <v/>
      </c>
      <c r="L2000" s="272" t="str">
        <f t="shared" si="891"/>
        <v/>
      </c>
      <c r="M2000" s="272" t="str">
        <f t="shared" si="891"/>
        <v/>
      </c>
      <c r="N2000" s="1143" t="str">
        <f t="shared" si="891"/>
        <v/>
      </c>
      <c r="O2000" s="15"/>
      <c r="P2000" s="15"/>
      <c r="Q2000" s="343"/>
      <c r="R2000" s="2"/>
      <c r="S2000" s="343"/>
      <c r="T2000" s="2"/>
      <c r="U2000" s="2"/>
      <c r="V2000" s="2"/>
      <c r="W2000" s="2"/>
      <c r="X2000" s="2"/>
      <c r="Y2000" s="2"/>
      <c r="Z2000" s="2"/>
      <c r="AA2000" s="2"/>
      <c r="AB2000" s="2"/>
      <c r="AC2000" s="2"/>
      <c r="AD2000" s="2"/>
      <c r="AE2000" s="2"/>
      <c r="AF2000" s="2"/>
      <c r="AG2000" s="2"/>
      <c r="AH2000" s="2"/>
      <c r="AI2000" s="2"/>
      <c r="AJ2000" s="2"/>
      <c r="AK2000" s="2"/>
      <c r="AL2000" s="2"/>
    </row>
    <row r="2001" spans="1:38" ht="12.75" customHeight="1" x14ac:dyDescent="0.25">
      <c r="A2001" s="2"/>
      <c r="B2001" s="178"/>
      <c r="C2001" s="779"/>
      <c r="D2001" s="416" t="s">
        <v>1206</v>
      </c>
      <c r="E2001" s="2626" t="str">
        <f>Translations!$B$589</f>
        <v>Energiinnehåll (beräknat)</v>
      </c>
      <c r="F2001" s="2487"/>
      <c r="G2001" s="428" t="str">
        <f>EUconst_TJpa</f>
        <v>TJ / år</v>
      </c>
      <c r="H2001" s="275" t="str">
        <f t="shared" ref="H2001:N2001" si="892">IF(COUNT(H1995:H1996)=2,H1995*H1996/1000,"")</f>
        <v/>
      </c>
      <c r="I2001" s="281" t="str">
        <f t="shared" si="892"/>
        <v/>
      </c>
      <c r="J2001" s="1118" t="str">
        <f t="shared" si="892"/>
        <v/>
      </c>
      <c r="K2001" s="275" t="str">
        <f t="shared" si="892"/>
        <v/>
      </c>
      <c r="L2001" s="275" t="str">
        <f t="shared" si="892"/>
        <v/>
      </c>
      <c r="M2001" s="275" t="str">
        <f t="shared" si="892"/>
        <v/>
      </c>
      <c r="N2001" s="1144" t="str">
        <f t="shared" si="892"/>
        <v/>
      </c>
      <c r="O2001" s="15"/>
      <c r="P2001" s="15"/>
      <c r="Q2001" s="343"/>
      <c r="R2001" s="2"/>
      <c r="S2001" s="343"/>
      <c r="T2001" s="2"/>
      <c r="U2001" s="2"/>
      <c r="V2001" s="2"/>
      <c r="W2001" s="2"/>
      <c r="X2001" s="2"/>
      <c r="Y2001" s="2"/>
      <c r="Z2001" s="2"/>
      <c r="AA2001" s="2"/>
      <c r="AB2001" s="2"/>
      <c r="AC2001" s="2"/>
      <c r="AD2001" s="2"/>
      <c r="AE2001" s="2"/>
      <c r="AF2001" s="2"/>
      <c r="AG2001" s="2"/>
      <c r="AH2001" s="2"/>
      <c r="AI2001" s="2"/>
      <c r="AJ2001" s="2"/>
      <c r="AK2001" s="2"/>
      <c r="AL2001" s="2"/>
    </row>
    <row r="2002" spans="1:38" ht="12.75" customHeight="1" x14ac:dyDescent="0.25">
      <c r="A2002" s="2"/>
      <c r="B2002" s="178"/>
      <c r="C2002" s="779"/>
      <c r="D2002" s="416" t="s">
        <v>1202</v>
      </c>
      <c r="E2002" s="2629" t="str">
        <f>Translations!$B$590</f>
        <v>Felmeddelanden (utsläpp)</v>
      </c>
      <c r="F2002" s="2630"/>
      <c r="G2002" s="429"/>
      <c r="H2002" s="520" t="str">
        <f t="shared" ref="H2002:N2002" si="893">IF(COUNT(H1995,H1997:H1998)&gt;0,IF(COUNTIF(H1996:H1998,"&lt;0")&gt;0,EUconst_Negative,IF(COUNT(H1995,H1997:H1998)&lt;3,EUconst_Incomplete,"")),"")</f>
        <v/>
      </c>
      <c r="I2002" s="1111" t="str">
        <f t="shared" si="893"/>
        <v/>
      </c>
      <c r="J2002" s="1119" t="str">
        <f t="shared" si="893"/>
        <v/>
      </c>
      <c r="K2002" s="520" t="str">
        <f t="shared" si="893"/>
        <v/>
      </c>
      <c r="L2002" s="520" t="str">
        <f t="shared" si="893"/>
        <v/>
      </c>
      <c r="M2002" s="520" t="str">
        <f t="shared" si="893"/>
        <v/>
      </c>
      <c r="N2002" s="1145" t="str">
        <f t="shared" si="893"/>
        <v/>
      </c>
      <c r="O2002" s="15"/>
      <c r="P2002" s="15"/>
      <c r="Q2002" s="343"/>
      <c r="R2002" s="2"/>
      <c r="S2002" s="343"/>
      <c r="T2002" s="2"/>
      <c r="U2002" s="2"/>
      <c r="V2002" s="2"/>
      <c r="W2002" s="2"/>
      <c r="X2002" s="2"/>
      <c r="Y2002" s="2"/>
      <c r="Z2002" s="2"/>
      <c r="AA2002" s="2"/>
      <c r="AB2002" s="2"/>
      <c r="AC2002" s="2"/>
      <c r="AD2002" s="2"/>
      <c r="AE2002" s="2"/>
      <c r="AF2002" s="2"/>
      <c r="AG2002" s="2"/>
      <c r="AH2002" s="2"/>
      <c r="AI2002" s="2"/>
      <c r="AJ2002" s="2"/>
      <c r="AK2002" s="2"/>
      <c r="AL2002" s="2"/>
    </row>
    <row r="2003" spans="1:38" ht="12.75" customHeight="1" x14ac:dyDescent="0.25">
      <c r="A2003" s="2"/>
      <c r="B2003" s="178"/>
      <c r="C2003" s="779"/>
      <c r="D2003" s="780"/>
      <c r="E2003" s="780"/>
      <c r="F2003" s="780"/>
      <c r="G2003" s="780"/>
      <c r="H2003" s="780"/>
      <c r="I2003" s="780"/>
      <c r="J2003" s="780"/>
      <c r="K2003" s="780"/>
      <c r="L2003" s="780"/>
      <c r="M2003" s="623"/>
      <c r="N2003" s="519"/>
      <c r="O2003" s="15"/>
      <c r="P2003" s="15"/>
      <c r="Q2003" s="343"/>
      <c r="R2003" s="2"/>
      <c r="S2003" s="343"/>
      <c r="T2003" s="2"/>
      <c r="U2003" s="2"/>
      <c r="V2003" s="2"/>
      <c r="W2003" s="2"/>
      <c r="X2003" s="2"/>
      <c r="Y2003" s="2"/>
      <c r="Z2003" s="2"/>
      <c r="AA2003" s="2"/>
      <c r="AB2003" s="2"/>
      <c r="AC2003" s="2"/>
      <c r="AD2003" s="2"/>
      <c r="AE2003" s="2"/>
      <c r="AF2003" s="2"/>
      <c r="AG2003" s="2"/>
      <c r="AH2003" s="2"/>
      <c r="AI2003" s="2"/>
      <c r="AJ2003" s="2"/>
      <c r="AK2003" s="2"/>
      <c r="AL2003" s="2"/>
    </row>
    <row r="2004" spans="1:38" ht="12.75" customHeight="1" x14ac:dyDescent="0.25">
      <c r="A2004" s="2"/>
      <c r="B2004" s="178"/>
      <c r="C2004" s="779"/>
      <c r="D2004" s="373" t="s">
        <v>523</v>
      </c>
      <c r="E2004" s="2614" t="str">
        <f>Translations!$B$593</f>
        <v>Mängd växthusgaser som importerats eller exporterats som råvaror</v>
      </c>
      <c r="F2004" s="1960"/>
      <c r="G2004" s="1960"/>
      <c r="H2004" s="1960"/>
      <c r="I2004" s="1960"/>
      <c r="J2004" s="1960"/>
      <c r="K2004" s="1960"/>
      <c r="L2004" s="1960"/>
      <c r="M2004" s="1960"/>
      <c r="N2004" s="2597"/>
      <c r="O2004" s="15"/>
      <c r="P2004" s="15"/>
      <c r="Q2004" s="343"/>
      <c r="R2004" s="2"/>
      <c r="S2004" s="343"/>
      <c r="T2004" s="2"/>
      <c r="U2004" s="2"/>
      <c r="V2004" s="2"/>
      <c r="W2004" s="2"/>
      <c r="X2004" s="2"/>
      <c r="Y2004" s="2"/>
      <c r="Z2004" s="2"/>
      <c r="AA2004" s="2"/>
      <c r="AB2004" s="2"/>
      <c r="AC2004" s="2"/>
      <c r="AD2004" s="2"/>
      <c r="AE2004" s="2"/>
      <c r="AF2004" s="2"/>
      <c r="AG2004" s="2"/>
      <c r="AH2004" s="2"/>
      <c r="AI2004" s="2"/>
      <c r="AJ2004" s="2"/>
      <c r="AK2004" s="2"/>
      <c r="AL2004" s="2"/>
    </row>
    <row r="2005" spans="1:38" ht="12.75" customHeight="1" x14ac:dyDescent="0.25">
      <c r="A2005" s="2"/>
      <c r="B2005" s="178"/>
      <c r="C2005" s="779"/>
      <c r="D2005" s="416"/>
      <c r="E2005" s="2596" t="str">
        <f>Translations!$B$556</f>
        <v>De uppgifter som anges här påverkar de utsläpp som kan tillskrivas i enlighet med avsnitt 10.1.1 i bilaga VII till FAR.</v>
      </c>
      <c r="F2005" s="1960"/>
      <c r="G2005" s="1960"/>
      <c r="H2005" s="1960"/>
      <c r="I2005" s="1960"/>
      <c r="J2005" s="1960"/>
      <c r="K2005" s="1960"/>
      <c r="L2005" s="1960"/>
      <c r="M2005" s="1960"/>
      <c r="N2005" s="2597"/>
      <c r="O2005" s="15"/>
      <c r="P2005" s="15"/>
      <c r="Q2005" s="343"/>
      <c r="R2005" s="2"/>
      <c r="S2005" s="343"/>
      <c r="T2005" s="343"/>
      <c r="U2005" s="343"/>
      <c r="V2005" s="343"/>
      <c r="W2005" s="2"/>
      <c r="X2005" s="2"/>
      <c r="Y2005" s="2"/>
      <c r="Z2005" s="2"/>
      <c r="AA2005" s="2"/>
      <c r="AB2005" s="2"/>
      <c r="AC2005" s="2"/>
      <c r="AD2005" s="2"/>
      <c r="AE2005" s="2"/>
      <c r="AF2005" s="2"/>
      <c r="AG2005" s="2"/>
      <c r="AH2005" s="2"/>
      <c r="AI2005" s="2"/>
      <c r="AJ2005" s="2"/>
      <c r="AK2005" s="2"/>
      <c r="AL2005" s="2"/>
    </row>
    <row r="2006" spans="1:38" ht="25.5" customHeight="1" x14ac:dyDescent="0.25">
      <c r="A2006" s="2"/>
      <c r="B2006" s="178"/>
      <c r="C2006" s="779"/>
      <c r="D2006" s="780"/>
      <c r="E2006" s="2610" t="str">
        <f>Translations!$B$594</f>
        <v>I enlighet med kravet i avsnitt 3.1 k och 3.1 l i bilaga IV till FAR, var god ange mängden överförd koldioxid som importeras från eller exporteras till andra delanläggningar, anläggningar eller andra enheter, i enlighet med M&amp;R-förordningens regler.</v>
      </c>
      <c r="F2006" s="1960"/>
      <c r="G2006" s="1960"/>
      <c r="H2006" s="1960"/>
      <c r="I2006" s="1960"/>
      <c r="J2006" s="1960"/>
      <c r="K2006" s="1960"/>
      <c r="L2006" s="1960"/>
      <c r="M2006" s="1960"/>
      <c r="N2006" s="2597"/>
      <c r="O2006" s="15"/>
      <c r="P2006" s="15"/>
      <c r="Q2006" s="343"/>
      <c r="R2006" s="2"/>
      <c r="S2006" s="343"/>
      <c r="T2006" s="2"/>
      <c r="U2006" s="2"/>
      <c r="V2006" s="2"/>
      <c r="W2006" s="2"/>
      <c r="X2006" s="2"/>
      <c r="Y2006" s="2"/>
      <c r="Z2006" s="2"/>
      <c r="AA2006" s="2"/>
      <c r="AB2006" s="2"/>
      <c r="AC2006" s="2"/>
      <c r="AD2006" s="2"/>
      <c r="AE2006" s="2"/>
      <c r="AF2006" s="2"/>
      <c r="AG2006" s="2"/>
      <c r="AH2006" s="2"/>
      <c r="AI2006" s="2"/>
      <c r="AJ2006" s="2"/>
      <c r="AK2006" s="2"/>
      <c r="AL2006" s="2"/>
    </row>
    <row r="2007" spans="1:38" ht="12.75" customHeight="1" thickBot="1" x14ac:dyDescent="0.3">
      <c r="A2007" s="2"/>
      <c r="B2007" s="178"/>
      <c r="C2007" s="779"/>
      <c r="D2007" s="780"/>
      <c r="E2007" s="2610" t="str">
        <f>Translations!$B$595</f>
        <v>Exporterade mängder bör anges i negativa värden och motsvara den koldioxid som exporteras och som inte släpps ut i atmosfären av delanläggningen.</v>
      </c>
      <c r="F2007" s="1960"/>
      <c r="G2007" s="1960"/>
      <c r="H2007" s="1960"/>
      <c r="I2007" s="1960"/>
      <c r="J2007" s="1960"/>
      <c r="K2007" s="1960"/>
      <c r="L2007" s="1960"/>
      <c r="M2007" s="1960"/>
      <c r="N2007" s="2597"/>
      <c r="O2007" s="15"/>
      <c r="P2007" s="15"/>
      <c r="Q2007" s="343"/>
      <c r="R2007" s="2"/>
      <c r="S2007" s="343"/>
      <c r="T2007" s="2"/>
      <c r="U2007" s="2"/>
      <c r="V2007" s="2"/>
      <c r="W2007" s="2"/>
      <c r="X2007" s="2"/>
      <c r="Y2007" s="2"/>
      <c r="Z2007" s="2"/>
      <c r="AA2007" s="2"/>
      <c r="AB2007" s="2"/>
      <c r="AC2007" s="2"/>
      <c r="AD2007" s="2"/>
      <c r="AE2007" s="2"/>
      <c r="AF2007" s="2"/>
      <c r="AG2007" s="2"/>
      <c r="AH2007" s="2"/>
      <c r="AI2007" s="2"/>
      <c r="AJ2007" s="2"/>
      <c r="AK2007" s="2"/>
      <c r="AL2007" s="2"/>
    </row>
    <row r="2008" spans="1:38" ht="12.75" customHeight="1" thickBot="1" x14ac:dyDescent="0.3">
      <c r="A2008" s="2"/>
      <c r="B2008" s="178"/>
      <c r="C2008" s="779"/>
      <c r="D2008" s="373"/>
      <c r="E2008" s="1716"/>
      <c r="F2008" s="1717"/>
      <c r="G2008" s="361" t="str">
        <f>EUconst_Unit</f>
        <v>Enhet</v>
      </c>
      <c r="H2008" s="362">
        <f t="shared" ref="H2008:N2008" si="894">H$3042</f>
        <v>2019</v>
      </c>
      <c r="I2008" s="1103">
        <f t="shared" si="894"/>
        <v>2020</v>
      </c>
      <c r="J2008" s="1104">
        <f t="shared" si="894"/>
        <v>2021</v>
      </c>
      <c r="K2008" s="362">
        <f t="shared" si="894"/>
        <v>2022</v>
      </c>
      <c r="L2008" s="362">
        <f t="shared" si="894"/>
        <v>2023</v>
      </c>
      <c r="M2008" s="362">
        <f t="shared" si="894"/>
        <v>2024</v>
      </c>
      <c r="N2008" s="1141">
        <f t="shared" si="894"/>
        <v>2025</v>
      </c>
      <c r="O2008" s="15"/>
      <c r="P2008" s="15"/>
      <c r="Q2008" s="343"/>
      <c r="R2008" s="2"/>
      <c r="S2008" s="772"/>
      <c r="T2008" s="609">
        <f t="shared" ref="T2008:Z2008" si="895">H2008</f>
        <v>2019</v>
      </c>
      <c r="U2008" s="609">
        <f t="shared" si="895"/>
        <v>2020</v>
      </c>
      <c r="V2008" s="609">
        <f t="shared" si="895"/>
        <v>2021</v>
      </c>
      <c r="W2008" s="609">
        <f t="shared" si="895"/>
        <v>2022</v>
      </c>
      <c r="X2008" s="609">
        <f t="shared" si="895"/>
        <v>2023</v>
      </c>
      <c r="Y2008" s="609">
        <f t="shared" si="895"/>
        <v>2024</v>
      </c>
      <c r="Z2008" s="610">
        <f t="shared" si="895"/>
        <v>2025</v>
      </c>
      <c r="AA2008" s="2"/>
      <c r="AB2008" s="2"/>
      <c r="AC2008" s="1044">
        <f t="shared" ref="AC2008:AI2008" si="896">H$20</f>
        <v>2019</v>
      </c>
      <c r="AD2008" s="1044">
        <f t="shared" si="896"/>
        <v>2020</v>
      </c>
      <c r="AE2008" s="1044">
        <f t="shared" si="896"/>
        <v>2021</v>
      </c>
      <c r="AF2008" s="1044">
        <f t="shared" si="896"/>
        <v>2022</v>
      </c>
      <c r="AG2008" s="1044">
        <f t="shared" si="896"/>
        <v>2023</v>
      </c>
      <c r="AH2008" s="1044">
        <f t="shared" si="896"/>
        <v>2024</v>
      </c>
      <c r="AI2008" s="1044">
        <f t="shared" si="896"/>
        <v>2025</v>
      </c>
      <c r="AJ2008" s="2"/>
      <c r="AK2008" s="2"/>
      <c r="AL2008" s="2"/>
    </row>
    <row r="2009" spans="1:38" ht="12.75" customHeight="1" thickBot="1" x14ac:dyDescent="0.3">
      <c r="A2009" s="2"/>
      <c r="B2009" s="178"/>
      <c r="C2009" s="779"/>
      <c r="D2009" s="416"/>
      <c r="E2009" s="2613" t="str">
        <f>Translations!$B$596</f>
        <v>Importerade eller exporterade växthusgaser</v>
      </c>
      <c r="F2009" s="1997"/>
      <c r="G2009" s="364" t="str">
        <f>EUconst_tCO2epa</f>
        <v>t CO2e/år</v>
      </c>
      <c r="H2009" s="582"/>
      <c r="I2009" s="1105"/>
      <c r="J2009" s="1115"/>
      <c r="K2009" s="582"/>
      <c r="L2009" s="582"/>
      <c r="M2009" s="582"/>
      <c r="N2009" s="1146"/>
      <c r="O2009" s="15"/>
      <c r="P2009" s="1362"/>
      <c r="Q2009" s="165" t="str">
        <f>EUconst_CNTR_CO2Feedstock &amp; I1825</f>
        <v>EmCO2Feedstock_</v>
      </c>
      <c r="R2009" s="2"/>
      <c r="S2009" s="773" t="str">
        <f>EUconst_CNTR_AttributedEmissions &amp; I1825</f>
        <v>AttrEmissions_</v>
      </c>
      <c r="T2009" s="111" t="str">
        <f t="shared" ref="T2009:Z2009" si="897">IF(T1833,SUM(H2009),"")</f>
        <v/>
      </c>
      <c r="U2009" s="111" t="str">
        <f t="shared" si="897"/>
        <v/>
      </c>
      <c r="V2009" s="111" t="str">
        <f t="shared" si="897"/>
        <v/>
      </c>
      <c r="W2009" s="111" t="str">
        <f t="shared" si="897"/>
        <v/>
      </c>
      <c r="X2009" s="111" t="str">
        <f t="shared" si="897"/>
        <v/>
      </c>
      <c r="Y2009" s="111" t="str">
        <f t="shared" si="897"/>
        <v/>
      </c>
      <c r="Z2009" s="112" t="str">
        <f t="shared" si="897"/>
        <v/>
      </c>
      <c r="AA2009" s="2"/>
      <c r="AB2009" s="672" t="s">
        <v>782</v>
      </c>
      <c r="AC2009" s="108" t="b">
        <f>AC1895</f>
        <v>0</v>
      </c>
      <c r="AD2009" s="108" t="b">
        <f t="shared" ref="AD2009:AI2009" si="898">AD1895</f>
        <v>0</v>
      </c>
      <c r="AE2009" s="108" t="b">
        <f t="shared" si="898"/>
        <v>0</v>
      </c>
      <c r="AF2009" s="108" t="b">
        <f t="shared" si="898"/>
        <v>0</v>
      </c>
      <c r="AG2009" s="108" t="b">
        <f t="shared" si="898"/>
        <v>0</v>
      </c>
      <c r="AH2009" s="108" t="b">
        <f t="shared" si="898"/>
        <v>0</v>
      </c>
      <c r="AI2009" s="108" t="b">
        <f t="shared" si="898"/>
        <v>0</v>
      </c>
      <c r="AJ2009" s="553" t="s">
        <v>2248</v>
      </c>
      <c r="AK2009" s="663" t="str">
        <f>IF(AND(CNTR_ExistSubInstEntries,MSconst_RequireSubAttrEmissions,COUNTIFS(AC2009:AI2009,FALSE,H2009:N2009,"")&gt;0),EUconst_Error&amp;"BM"&amp;$Q1825,"")</f>
        <v/>
      </c>
      <c r="AL2009" s="2"/>
    </row>
    <row r="2010" spans="1:38" ht="12.75" customHeight="1" x14ac:dyDescent="0.25">
      <c r="A2010" s="2"/>
      <c r="B2010" s="178"/>
      <c r="C2010" s="779"/>
      <c r="D2010" s="780"/>
      <c r="E2010" s="780"/>
      <c r="F2010" s="780"/>
      <c r="G2010" s="780"/>
      <c r="H2010" s="780"/>
      <c r="I2010" s="780"/>
      <c r="J2010" s="780"/>
      <c r="K2010" s="780"/>
      <c r="L2010" s="780"/>
      <c r="M2010" s="623"/>
      <c r="N2010" s="519"/>
      <c r="O2010" s="15"/>
      <c r="P2010" s="15"/>
      <c r="Q2010" s="343"/>
      <c r="R2010" s="2"/>
      <c r="S2010" s="343"/>
      <c r="T2010" s="2"/>
      <c r="U2010" s="2"/>
      <c r="V2010" s="2"/>
      <c r="W2010" s="2"/>
      <c r="X2010" s="2"/>
      <c r="Y2010" s="2"/>
      <c r="Z2010" s="2"/>
      <c r="AA2010" s="2"/>
      <c r="AB2010" s="2"/>
      <c r="AC2010" s="2"/>
      <c r="AD2010" s="2"/>
      <c r="AE2010" s="2"/>
      <c r="AF2010" s="2"/>
      <c r="AG2010" s="2"/>
      <c r="AH2010" s="2"/>
      <c r="AI2010" s="2"/>
      <c r="AJ2010" s="2"/>
      <c r="AK2010" s="2"/>
      <c r="AL2010" s="2"/>
    </row>
    <row r="2011" spans="1:38" ht="12.75" customHeight="1" x14ac:dyDescent="0.25">
      <c r="A2011" s="2"/>
      <c r="B2011" s="178"/>
      <c r="C2011" s="779"/>
      <c r="D2011" s="373" t="s">
        <v>524</v>
      </c>
      <c r="E2011" s="2614" t="str">
        <f>Translations!$B$597</f>
        <v>Import till och export från delanläggningen av mätbar värme</v>
      </c>
      <c r="F2011" s="1960"/>
      <c r="G2011" s="1960"/>
      <c r="H2011" s="1960"/>
      <c r="I2011" s="1960"/>
      <c r="J2011" s="1960"/>
      <c r="K2011" s="1960"/>
      <c r="L2011" s="1960"/>
      <c r="M2011" s="1960"/>
      <c r="N2011" s="2597"/>
      <c r="O2011" s="15"/>
      <c r="P2011" s="15"/>
      <c r="Q2011" s="343"/>
      <c r="R2011" s="2"/>
      <c r="S2011" s="343"/>
      <c r="T2011" s="2"/>
      <c r="U2011" s="2"/>
      <c r="V2011" s="2"/>
      <c r="W2011" s="2"/>
      <c r="X2011" s="2"/>
      <c r="Y2011" s="2"/>
      <c r="Z2011" s="2"/>
      <c r="AA2011" s="2"/>
      <c r="AB2011" s="2"/>
      <c r="AC2011" s="2"/>
      <c r="AD2011" s="2"/>
      <c r="AE2011" s="2"/>
      <c r="AF2011" s="2"/>
      <c r="AG2011" s="2"/>
      <c r="AH2011" s="2"/>
      <c r="AI2011" s="2"/>
      <c r="AJ2011" s="2"/>
      <c r="AK2011" s="2"/>
      <c r="AL2011" s="2"/>
    </row>
    <row r="2012" spans="1:38" ht="12.75" customHeight="1" x14ac:dyDescent="0.25">
      <c r="A2012" s="2"/>
      <c r="B2012" s="178"/>
      <c r="C2012" s="779"/>
      <c r="D2012" s="416"/>
      <c r="E2012" s="2596" t="str">
        <f>Translations!$B$598</f>
        <v>De uppgifter som anges här påverkar de utsläpp som kan tillskrivas i enlighet med avsnitt 10.1.2 och 10.1.3 i bilaga VII till FAR.</v>
      </c>
      <c r="F2012" s="1960"/>
      <c r="G2012" s="1960"/>
      <c r="H2012" s="1960"/>
      <c r="I2012" s="1960"/>
      <c r="J2012" s="1960"/>
      <c r="K2012" s="1960"/>
      <c r="L2012" s="1960"/>
      <c r="M2012" s="1960"/>
      <c r="N2012" s="2597"/>
      <c r="O2012" s="15"/>
      <c r="P2012" s="15"/>
      <c r="Q2012" s="343"/>
      <c r="R2012" s="2"/>
      <c r="S2012" s="343"/>
      <c r="T2012" s="343"/>
      <c r="U2012" s="343"/>
      <c r="V2012" s="343"/>
      <c r="W2012" s="2"/>
      <c r="X2012" s="2"/>
      <c r="Y2012" s="2"/>
      <c r="Z2012" s="2"/>
      <c r="AA2012" s="2"/>
      <c r="AB2012" s="2"/>
      <c r="AC2012" s="2"/>
      <c r="AD2012" s="2"/>
      <c r="AE2012" s="2"/>
      <c r="AF2012" s="2"/>
      <c r="AG2012" s="2"/>
      <c r="AH2012" s="2"/>
      <c r="AI2012" s="2"/>
      <c r="AJ2012" s="2"/>
      <c r="AK2012" s="2"/>
      <c r="AL2012" s="2"/>
    </row>
    <row r="2013" spans="1:38" ht="38.9" customHeight="1" x14ac:dyDescent="0.25">
      <c r="A2013" s="2"/>
      <c r="B2013" s="178"/>
      <c r="C2013" s="779"/>
      <c r="D2013" s="780"/>
      <c r="E2013" s="2610" t="str">
        <f>Translations!$B$599</f>
        <v>Detta innefattar den totala mängd värme som produceras i, importeras från eller exporteras till (del)anläggningar inom ETS eller anläggningar eller enheter utanför ETS. De särskilda emissionsfaktorerna för värmen bör vara förenliga med bestämmelserna i avsnitten 8 och 10 i bilaga VII till FAR, särskilt avsnitt 10.1.2 och 10.1.3.</v>
      </c>
      <c r="F2013" s="1960"/>
      <c r="G2013" s="1960"/>
      <c r="H2013" s="1960"/>
      <c r="I2013" s="1960"/>
      <c r="J2013" s="1960"/>
      <c r="K2013" s="1960"/>
      <c r="L2013" s="1960"/>
      <c r="M2013" s="1960"/>
      <c r="N2013" s="2597"/>
      <c r="O2013" s="15"/>
      <c r="P2013" s="15"/>
      <c r="Q2013" s="343"/>
      <c r="R2013" s="2"/>
      <c r="S2013" s="343"/>
      <c r="T2013" s="2"/>
      <c r="U2013" s="2"/>
      <c r="V2013" s="2"/>
      <c r="W2013" s="2"/>
      <c r="X2013" s="2"/>
      <c r="Y2013" s="2"/>
      <c r="Z2013" s="2"/>
      <c r="AA2013" s="2"/>
      <c r="AB2013" s="2"/>
      <c r="AC2013" s="2"/>
      <c r="AD2013" s="2"/>
      <c r="AE2013" s="2"/>
      <c r="AF2013" s="2"/>
      <c r="AG2013" s="2"/>
      <c r="AH2013" s="2"/>
      <c r="AI2013" s="2"/>
      <c r="AJ2013" s="2"/>
      <c r="AK2013" s="2"/>
      <c r="AL2013" s="2"/>
    </row>
    <row r="2014" spans="1:38" ht="25.5" customHeight="1" x14ac:dyDescent="0.25">
      <c r="A2014" s="2"/>
      <c r="B2014" s="178"/>
      <c r="C2014" s="779"/>
      <c r="D2014" s="780"/>
      <c r="E2014" s="2610" t="str">
        <f>Translations!$B$600</f>
        <v>Utsläpp avseende mätbar värme som produceras på platsen från enheter som tjänar mer än en delanläggning bör också anges här under ”import” i stället för att utsläppen direkt tillskrivs genom bränslets emissionsfaktor i punkt g ovan. Detsamma gäller för all värme som ”importeras” från andra delanläggningar.</v>
      </c>
      <c r="F2014" s="1960"/>
      <c r="G2014" s="1960"/>
      <c r="H2014" s="1960"/>
      <c r="I2014" s="1960"/>
      <c r="J2014" s="1960"/>
      <c r="K2014" s="1960"/>
      <c r="L2014" s="1960"/>
      <c r="M2014" s="1960"/>
      <c r="N2014" s="2597"/>
      <c r="O2014" s="15"/>
      <c r="P2014" s="15"/>
      <c r="Q2014" s="343"/>
      <c r="R2014" s="2"/>
      <c r="S2014" s="343"/>
      <c r="T2014" s="2"/>
      <c r="U2014" s="2"/>
      <c r="V2014" s="2"/>
      <c r="W2014" s="2"/>
      <c r="X2014" s="2"/>
      <c r="Y2014" s="2"/>
      <c r="Z2014" s="2"/>
      <c r="AA2014" s="2"/>
      <c r="AB2014" s="2"/>
      <c r="AC2014" s="2"/>
      <c r="AD2014" s="2"/>
      <c r="AE2014" s="2"/>
      <c r="AF2014" s="2"/>
      <c r="AG2014" s="2"/>
      <c r="AH2014" s="2"/>
      <c r="AI2014" s="2"/>
      <c r="AJ2014" s="2"/>
      <c r="AK2014" s="2"/>
      <c r="AL2014" s="2"/>
    </row>
    <row r="2015" spans="1:38" ht="25.5" customHeight="1" x14ac:dyDescent="0.25">
      <c r="A2015" s="2"/>
      <c r="B2015" s="178"/>
      <c r="C2015" s="779"/>
      <c r="D2015" s="780"/>
      <c r="E2015" s="2610" t="str">
        <f>Translations!$B$601</f>
        <v xml:space="preserve">Om värmen endast produceras för en delanläggning och de motsvarande utsläppen därför anges i punkt g ovan, bör mängderna inte anges här som import för att undvika dubbelräkning. </v>
      </c>
      <c r="F2015" s="1960"/>
      <c r="G2015" s="1960"/>
      <c r="H2015" s="1960"/>
      <c r="I2015" s="1960"/>
      <c r="J2015" s="1960"/>
      <c r="K2015" s="1960"/>
      <c r="L2015" s="1960"/>
      <c r="M2015" s="1960"/>
      <c r="N2015" s="2597"/>
      <c r="O2015" s="15"/>
      <c r="P2015" s="15"/>
      <c r="Q2015" s="343"/>
      <c r="R2015" s="2"/>
      <c r="S2015" s="343"/>
      <c r="T2015" s="2"/>
      <c r="U2015" s="2"/>
      <c r="V2015" s="2"/>
      <c r="W2015" s="2"/>
      <c r="X2015" s="2"/>
      <c r="Y2015" s="2"/>
      <c r="Z2015" s="2"/>
      <c r="AA2015" s="2"/>
      <c r="AB2015" s="2"/>
      <c r="AC2015" s="2"/>
      <c r="AD2015" s="2"/>
      <c r="AE2015" s="2"/>
      <c r="AF2015" s="2"/>
      <c r="AG2015" s="2"/>
      <c r="AH2015" s="2"/>
      <c r="AI2015" s="2"/>
      <c r="AJ2015" s="2"/>
      <c r="AK2015" s="2"/>
      <c r="AL2015" s="2"/>
    </row>
    <row r="2016" spans="1:38" ht="12.75" customHeight="1" thickBot="1" x14ac:dyDescent="0.3">
      <c r="A2016" s="2"/>
      <c r="B2016" s="178"/>
      <c r="C2016" s="779"/>
      <c r="D2016" s="780"/>
      <c r="E2016" s="2622" t="str">
        <f>Translations!$B$602</f>
        <v>Kraftvärmeverktyget i avsnitt D.III i bladet "D_Emissions" måste användas för att tillskriva utsläpp från kraftvärme till produktion av mätbar värme.</v>
      </c>
      <c r="F2016" s="2623"/>
      <c r="G2016" s="2623"/>
      <c r="H2016" s="2623"/>
      <c r="I2016" s="2623"/>
      <c r="J2016" s="2623"/>
      <c r="K2016" s="2623"/>
      <c r="L2016" s="2623"/>
      <c r="M2016" s="2623"/>
      <c r="N2016" s="2624"/>
      <c r="O2016" s="15"/>
      <c r="P2016" s="15"/>
      <c r="Q2016" s="343"/>
      <c r="R2016" s="2"/>
      <c r="S2016" s="2"/>
      <c r="T2016" s="2"/>
      <c r="U2016" s="2"/>
      <c r="V2016" s="2"/>
      <c r="W2016" s="2"/>
      <c r="X2016" s="2"/>
      <c r="Y2016" s="2"/>
      <c r="Z2016" s="2"/>
      <c r="AA2016" s="2"/>
      <c r="AB2016" s="2"/>
      <c r="AC2016" s="2"/>
      <c r="AD2016" s="2"/>
      <c r="AE2016" s="2"/>
      <c r="AF2016" s="2"/>
      <c r="AG2016" s="2"/>
      <c r="AH2016" s="2"/>
      <c r="AI2016" s="2"/>
      <c r="AJ2016" s="2"/>
      <c r="AK2016" s="2"/>
      <c r="AL2016" s="2"/>
    </row>
    <row r="2017" spans="1:38" ht="12.75" customHeight="1" thickBot="1" x14ac:dyDescent="0.3">
      <c r="A2017" s="2"/>
      <c r="B2017" s="178"/>
      <c r="C2017" s="779"/>
      <c r="D2017" s="780"/>
      <c r="E2017" s="2605" t="str">
        <f>Translations!$B$603</f>
        <v>Total importerad värme</v>
      </c>
      <c r="F2017" s="2497"/>
      <c r="G2017" s="361" t="str">
        <f>EUconst_Unit</f>
        <v>Enhet</v>
      </c>
      <c r="H2017" s="362">
        <f t="shared" ref="H2017:N2017" si="899">H$3042</f>
        <v>2019</v>
      </c>
      <c r="I2017" s="1103">
        <f t="shared" si="899"/>
        <v>2020</v>
      </c>
      <c r="J2017" s="1104">
        <f t="shared" si="899"/>
        <v>2021</v>
      </c>
      <c r="K2017" s="362">
        <f t="shared" si="899"/>
        <v>2022</v>
      </c>
      <c r="L2017" s="362">
        <f t="shared" si="899"/>
        <v>2023</v>
      </c>
      <c r="M2017" s="362">
        <f t="shared" si="899"/>
        <v>2024</v>
      </c>
      <c r="N2017" s="1141">
        <f t="shared" si="899"/>
        <v>2025</v>
      </c>
      <c r="O2017" s="15"/>
      <c r="P2017" s="15"/>
      <c r="Q2017" s="343"/>
      <c r="R2017" s="2"/>
      <c r="S2017" s="772"/>
      <c r="T2017" s="609">
        <f t="shared" ref="T2017:Z2017" si="900">H2017</f>
        <v>2019</v>
      </c>
      <c r="U2017" s="609">
        <f t="shared" si="900"/>
        <v>2020</v>
      </c>
      <c r="V2017" s="609">
        <f t="shared" si="900"/>
        <v>2021</v>
      </c>
      <c r="W2017" s="609">
        <f t="shared" si="900"/>
        <v>2022</v>
      </c>
      <c r="X2017" s="609">
        <f t="shared" si="900"/>
        <v>2023</v>
      </c>
      <c r="Y2017" s="609">
        <f t="shared" si="900"/>
        <v>2024</v>
      </c>
      <c r="Z2017" s="610">
        <f t="shared" si="900"/>
        <v>2025</v>
      </c>
      <c r="AA2017" s="2"/>
      <c r="AB2017" s="2"/>
      <c r="AC2017" s="1044">
        <f t="shared" ref="AC2017:AI2017" si="901">H$20</f>
        <v>2019</v>
      </c>
      <c r="AD2017" s="1044">
        <f t="shared" si="901"/>
        <v>2020</v>
      </c>
      <c r="AE2017" s="1044">
        <f t="shared" si="901"/>
        <v>2021</v>
      </c>
      <c r="AF2017" s="1044">
        <f t="shared" si="901"/>
        <v>2022</v>
      </c>
      <c r="AG2017" s="1044">
        <f t="shared" si="901"/>
        <v>2023</v>
      </c>
      <c r="AH2017" s="1044">
        <f t="shared" si="901"/>
        <v>2024</v>
      </c>
      <c r="AI2017" s="1044">
        <f t="shared" si="901"/>
        <v>2025</v>
      </c>
      <c r="AJ2017" s="2"/>
      <c r="AK2017" s="2"/>
      <c r="AL2017" s="2"/>
    </row>
    <row r="2018" spans="1:38" ht="12.75" customHeight="1" x14ac:dyDescent="0.25">
      <c r="A2018" s="2"/>
      <c r="B2018" s="178"/>
      <c r="C2018" s="779"/>
      <c r="D2018" s="416" t="s">
        <v>8</v>
      </c>
      <c r="E2018" s="2613" t="str">
        <f>Translations!$B$604</f>
        <v>Nettomängd importerad värme</v>
      </c>
      <c r="F2018" s="1997"/>
      <c r="G2018" s="364" t="str">
        <f>EUconst_TJpa</f>
        <v>TJ / år</v>
      </c>
      <c r="H2018" s="582"/>
      <c r="I2018" s="1105"/>
      <c r="J2018" s="1115"/>
      <c r="K2018" s="582"/>
      <c r="L2018" s="582"/>
      <c r="M2018" s="582"/>
      <c r="N2018" s="1146"/>
      <c r="O2018" s="15"/>
      <c r="P2018" s="1362"/>
      <c r="Q2018" s="165" t="str">
        <f>EUconst_CNTR_HeatImport &amp; I1825</f>
        <v>HeatIm_</v>
      </c>
      <c r="R2018" s="2"/>
      <c r="S2018" s="1751" t="str">
        <f>EUconst_ERR_AttrEmBMapplied &amp; I1825</f>
        <v>ERR_AttrEmBM_</v>
      </c>
      <c r="T2018" s="108">
        <f t="shared" ref="T2018:Z2018" si="902">IF(AND(H2018&lt;&gt;0,H2019="",EUconst_StatusOfDataCollection=FALSE),1,0)</f>
        <v>0</v>
      </c>
      <c r="U2018" s="108">
        <f t="shared" si="902"/>
        <v>0</v>
      </c>
      <c r="V2018" s="108">
        <f t="shared" si="902"/>
        <v>0</v>
      </c>
      <c r="W2018" s="108">
        <f t="shared" si="902"/>
        <v>0</v>
      </c>
      <c r="X2018" s="108">
        <f t="shared" si="902"/>
        <v>0</v>
      </c>
      <c r="Y2018" s="108">
        <f t="shared" si="902"/>
        <v>0</v>
      </c>
      <c r="Z2018" s="109">
        <f t="shared" si="902"/>
        <v>0</v>
      </c>
      <c r="AA2018" s="40"/>
      <c r="AB2018" s="672" t="s">
        <v>782</v>
      </c>
      <c r="AC2018" s="108" t="b">
        <f t="shared" ref="AC2018:AI2018" si="903">AC1895</f>
        <v>0</v>
      </c>
      <c r="AD2018" s="108" t="b">
        <f t="shared" si="903"/>
        <v>0</v>
      </c>
      <c r="AE2018" s="108" t="b">
        <f t="shared" si="903"/>
        <v>0</v>
      </c>
      <c r="AF2018" s="108" t="b">
        <f t="shared" si="903"/>
        <v>0</v>
      </c>
      <c r="AG2018" s="108" t="b">
        <f t="shared" si="903"/>
        <v>0</v>
      </c>
      <c r="AH2018" s="108" t="b">
        <f t="shared" si="903"/>
        <v>0</v>
      </c>
      <c r="AI2018" s="108" t="b">
        <f t="shared" si="903"/>
        <v>0</v>
      </c>
      <c r="AJ2018" s="553" t="s">
        <v>2248</v>
      </c>
      <c r="AK2018" s="663" t="str">
        <f>IF(AND(CNTR_ExistSubInstEntries,MSconst_RequireSubAttrEmissions,COUNTIFS(AC2018:AI2018,FALSE,H2018:N2018,"")&gt;0),EUconst_Error&amp;"BM"&amp;$Q1825,"")</f>
        <v/>
      </c>
      <c r="AL2018" s="2"/>
    </row>
    <row r="2019" spans="1:38" ht="12.75" customHeight="1" thickBot="1" x14ac:dyDescent="0.3">
      <c r="A2019" s="2"/>
      <c r="B2019" s="178"/>
      <c r="C2019" s="779"/>
      <c r="D2019" s="416" t="s">
        <v>9</v>
      </c>
      <c r="E2019" s="2613" t="str">
        <f>Translations!$B$605</f>
        <v>Särskild emissionsfaktor (importerad värme)</v>
      </c>
      <c r="F2019" s="1997"/>
      <c r="G2019" s="364" t="str">
        <f>EUconst_tCO2pTJ</f>
        <v>t CO2 / TJ</v>
      </c>
      <c r="H2019" s="582"/>
      <c r="I2019" s="1105"/>
      <c r="J2019" s="1115"/>
      <c r="K2019" s="582"/>
      <c r="L2019" s="582"/>
      <c r="M2019" s="582"/>
      <c r="N2019" s="1146"/>
      <c r="O2019" s="15"/>
      <c r="P2019" s="1362"/>
      <c r="Q2019" s="165" t="str">
        <f>EUconst_CNTR_HeatImportEF &amp; I1825</f>
        <v>HeatImEF_</v>
      </c>
      <c r="R2019" s="2"/>
      <c r="S2019" s="773" t="str">
        <f>EUconst_CNTR_AttributedEmissions &amp; I1825</f>
        <v>AttrEmissions_</v>
      </c>
      <c r="T2019" s="111" t="str">
        <f t="shared" ref="T2019:Z2019" si="904">IF(T1833,SUM(H2018)*IF(ISNUMBER(H2019),H2019,EUconst_HeatBMvalue),"")</f>
        <v/>
      </c>
      <c r="U2019" s="111" t="str">
        <f t="shared" si="904"/>
        <v/>
      </c>
      <c r="V2019" s="111" t="str">
        <f t="shared" si="904"/>
        <v/>
      </c>
      <c r="W2019" s="111" t="str">
        <f t="shared" si="904"/>
        <v/>
      </c>
      <c r="X2019" s="111" t="str">
        <f t="shared" si="904"/>
        <v/>
      </c>
      <c r="Y2019" s="111" t="str">
        <f t="shared" si="904"/>
        <v/>
      </c>
      <c r="Z2019" s="112" t="str">
        <f t="shared" si="904"/>
        <v/>
      </c>
      <c r="AA2019" s="2"/>
      <c r="AB2019" s="2"/>
      <c r="AC2019" s="108" t="b">
        <f>AC2018</f>
        <v>0</v>
      </c>
      <c r="AD2019" s="108" t="b">
        <f t="shared" ref="AD2019:AI2019" si="905">AD2018</f>
        <v>0</v>
      </c>
      <c r="AE2019" s="108" t="b">
        <f t="shared" si="905"/>
        <v>0</v>
      </c>
      <c r="AF2019" s="108" t="b">
        <f t="shared" si="905"/>
        <v>0</v>
      </c>
      <c r="AG2019" s="108" t="b">
        <f t="shared" si="905"/>
        <v>0</v>
      </c>
      <c r="AH2019" s="108" t="b">
        <f t="shared" si="905"/>
        <v>0</v>
      </c>
      <c r="AI2019" s="108" t="b">
        <f t="shared" si="905"/>
        <v>0</v>
      </c>
      <c r="AJ2019" s="2"/>
      <c r="AK2019" s="2"/>
      <c r="AL2019" s="2"/>
    </row>
    <row r="2020" spans="1:38" ht="5.15" customHeight="1" x14ac:dyDescent="0.25">
      <c r="A2020" s="2"/>
      <c r="B2020" s="178"/>
      <c r="C2020" s="779"/>
      <c r="D2020" s="780"/>
      <c r="E2020" s="780"/>
      <c r="F2020" s="780"/>
      <c r="G2020" s="780"/>
      <c r="H2020" s="780"/>
      <c r="I2020" s="780"/>
      <c r="J2020" s="780"/>
      <c r="K2020" s="780"/>
      <c r="L2020" s="780"/>
      <c r="M2020" s="780"/>
      <c r="N2020" s="519"/>
      <c r="O2020" s="15"/>
      <c r="P2020" s="15"/>
      <c r="Q2020" s="343"/>
      <c r="R2020" s="2"/>
      <c r="S2020" s="343"/>
      <c r="T2020" s="343"/>
      <c r="U2020" s="343"/>
      <c r="V2020" s="343"/>
      <c r="W2020" s="2"/>
      <c r="X2020" s="2"/>
      <c r="Y2020" s="2"/>
      <c r="Z2020" s="2"/>
      <c r="AA2020" s="2"/>
      <c r="AB2020" s="2"/>
      <c r="AC2020" s="2"/>
      <c r="AD2020" s="2"/>
      <c r="AE2020" s="2"/>
      <c r="AF2020" s="2"/>
      <c r="AG2020" s="2"/>
      <c r="AH2020" s="2"/>
      <c r="AI2020" s="2"/>
      <c r="AJ2020" s="2"/>
      <c r="AK2020" s="2"/>
      <c r="AL2020" s="2"/>
    </row>
    <row r="2021" spans="1:38" ht="12.75" customHeight="1" thickBot="1" x14ac:dyDescent="0.3">
      <c r="A2021" s="2"/>
      <c r="B2021" s="178"/>
      <c r="C2021" s="779"/>
      <c r="D2021" s="780"/>
      <c r="E2021" s="2605" t="str">
        <f>Translations!$B$606</f>
        <v>Särskild värmeimport</v>
      </c>
      <c r="F2021" s="2497"/>
      <c r="G2021" s="361" t="str">
        <f>EUconst_Unit</f>
        <v>Enhet</v>
      </c>
      <c r="H2021" s="362">
        <f t="shared" ref="H2021:N2021" si="906">H$3042</f>
        <v>2019</v>
      </c>
      <c r="I2021" s="1103">
        <f t="shared" si="906"/>
        <v>2020</v>
      </c>
      <c r="J2021" s="1104">
        <f t="shared" si="906"/>
        <v>2021</v>
      </c>
      <c r="K2021" s="362">
        <f t="shared" si="906"/>
        <v>2022</v>
      </c>
      <c r="L2021" s="362">
        <f t="shared" si="906"/>
        <v>2023</v>
      </c>
      <c r="M2021" s="362">
        <f t="shared" si="906"/>
        <v>2024</v>
      </c>
      <c r="N2021" s="1141">
        <f t="shared" si="906"/>
        <v>2025</v>
      </c>
      <c r="O2021" s="15"/>
      <c r="P2021" s="15"/>
      <c r="Q2021" s="343"/>
      <c r="R2021" s="2"/>
      <c r="S2021" s="343"/>
      <c r="T2021" s="343"/>
      <c r="U2021" s="343"/>
      <c r="V2021" s="343"/>
      <c r="W2021" s="2"/>
      <c r="X2021" s="2"/>
      <c r="Y2021" s="2"/>
      <c r="Z2021" s="2"/>
      <c r="AA2021" s="2"/>
      <c r="AB2021" s="2"/>
      <c r="AC2021" s="1044">
        <f t="shared" ref="AC2021:AI2021" si="907">H$20</f>
        <v>2019</v>
      </c>
      <c r="AD2021" s="1044">
        <f t="shared" si="907"/>
        <v>2020</v>
      </c>
      <c r="AE2021" s="1044">
        <f t="shared" si="907"/>
        <v>2021</v>
      </c>
      <c r="AF2021" s="1044">
        <f t="shared" si="907"/>
        <v>2022</v>
      </c>
      <c r="AG2021" s="1044">
        <f t="shared" si="907"/>
        <v>2023</v>
      </c>
      <c r="AH2021" s="1044">
        <f t="shared" si="907"/>
        <v>2024</v>
      </c>
      <c r="AI2021" s="1044">
        <f t="shared" si="907"/>
        <v>2025</v>
      </c>
      <c r="AJ2021" s="2"/>
      <c r="AK2021" s="2"/>
      <c r="AL2021" s="2"/>
    </row>
    <row r="2022" spans="1:38" ht="12.75" customHeight="1" x14ac:dyDescent="0.25">
      <c r="A2022" s="2"/>
      <c r="B2022" s="178"/>
      <c r="C2022" s="779"/>
      <c r="D2022" s="416" t="s">
        <v>10</v>
      </c>
      <c r="E2022" s="2613" t="str">
        <f>Translations!$B$607</f>
        <v>Nettomängd importerad värme från massadelanläggningar</v>
      </c>
      <c r="F2022" s="1997"/>
      <c r="G2022" s="364" t="str">
        <f>EUconst_TJpa</f>
        <v>TJ / år</v>
      </c>
      <c r="H2022" s="1310"/>
      <c r="I2022" s="1311"/>
      <c r="J2022" s="1312"/>
      <c r="K2022" s="1310"/>
      <c r="L2022" s="1310"/>
      <c r="M2022" s="1310"/>
      <c r="N2022" s="1313"/>
      <c r="O2022" s="15"/>
      <c r="P2022" s="1362"/>
      <c r="Q2022" s="165" t="str">
        <f>EUconst_CNTR_HeatImportPulp &amp; I1825</f>
        <v>HeatImPulp_</v>
      </c>
      <c r="R2022" s="2"/>
      <c r="S2022" s="343"/>
      <c r="T2022" s="343"/>
      <c r="U2022" s="343"/>
      <c r="V2022" s="343"/>
      <c r="W2022" s="2"/>
      <c r="X2022" s="2"/>
      <c r="Y2022" s="2"/>
      <c r="Z2022" s="2"/>
      <c r="AA2022" s="2"/>
      <c r="AB2022" s="672" t="s">
        <v>782</v>
      </c>
      <c r="AC2022" s="108" t="b">
        <f>AC1895</f>
        <v>0</v>
      </c>
      <c r="AD2022" s="108" t="b">
        <f t="shared" ref="AD2022:AI2022" si="908">AD1895</f>
        <v>0</v>
      </c>
      <c r="AE2022" s="108" t="b">
        <f t="shared" si="908"/>
        <v>0</v>
      </c>
      <c r="AF2022" s="108" t="b">
        <f t="shared" si="908"/>
        <v>0</v>
      </c>
      <c r="AG2022" s="108" t="b">
        <f t="shared" si="908"/>
        <v>0</v>
      </c>
      <c r="AH2022" s="108" t="b">
        <f t="shared" si="908"/>
        <v>0</v>
      </c>
      <c r="AI2022" s="108" t="b">
        <f t="shared" si="908"/>
        <v>0</v>
      </c>
      <c r="AJ2022" s="553" t="s">
        <v>2248</v>
      </c>
      <c r="AK2022" s="663" t="str">
        <f>IF(AND(CNTR_ExistSubInstEntries,MSconst_RequireSubAttrEmissions,COUNTIFS(AC2022:AI2022,FALSE,H2022:N2022,"")&gt;0),EUconst_Error&amp;"BM"&amp;$Q1825,"")</f>
        <v/>
      </c>
      <c r="AL2022" s="2"/>
    </row>
    <row r="2023" spans="1:38" ht="25.5" customHeight="1" x14ac:dyDescent="0.25">
      <c r="A2023" s="2"/>
      <c r="B2023" s="178"/>
      <c r="C2023" s="779"/>
      <c r="D2023" s="416" t="s">
        <v>23</v>
      </c>
      <c r="E2023" s="2613" t="str">
        <f>Translations!$B$608</f>
        <v>Nettomängd importerad värme från delanläggningar för salpetersyra</v>
      </c>
      <c r="F2023" s="1997"/>
      <c r="G2023" s="364" t="str">
        <f>EUconst_TJpa</f>
        <v>TJ / år</v>
      </c>
      <c r="H2023" s="582"/>
      <c r="I2023" s="1105"/>
      <c r="J2023" s="1115"/>
      <c r="K2023" s="582"/>
      <c r="L2023" s="582"/>
      <c r="M2023" s="582"/>
      <c r="N2023" s="1146"/>
      <c r="O2023" s="15"/>
      <c r="P2023" s="1362"/>
      <c r="Q2023" s="165" t="str">
        <f>EUconst_CNTR_HeatImportNitric &amp; I1825</f>
        <v>HeatImNitric_</v>
      </c>
      <c r="R2023" s="2"/>
      <c r="S2023" s="343"/>
      <c r="T2023" s="343"/>
      <c r="U2023" s="343"/>
      <c r="V2023" s="343"/>
      <c r="W2023" s="2"/>
      <c r="X2023" s="2"/>
      <c r="Y2023" s="2"/>
      <c r="Z2023" s="2"/>
      <c r="AA2023" s="2"/>
      <c r="AB2023" s="2"/>
      <c r="AC2023" s="108" t="b">
        <f>AC2022</f>
        <v>0</v>
      </c>
      <c r="AD2023" s="108" t="b">
        <f t="shared" ref="AD2023:AI2023" si="909">AD2022</f>
        <v>0</v>
      </c>
      <c r="AE2023" s="108" t="b">
        <f t="shared" si="909"/>
        <v>0</v>
      </c>
      <c r="AF2023" s="108" t="b">
        <f t="shared" si="909"/>
        <v>0</v>
      </c>
      <c r="AG2023" s="108" t="b">
        <f t="shared" si="909"/>
        <v>0</v>
      </c>
      <c r="AH2023" s="108" t="b">
        <f t="shared" si="909"/>
        <v>0</v>
      </c>
      <c r="AI2023" s="108" t="b">
        <f t="shared" si="909"/>
        <v>0</v>
      </c>
      <c r="AJ2023" s="553" t="s">
        <v>2248</v>
      </c>
      <c r="AK2023" s="663" t="str">
        <f>IF(AND(CNTR_ExistSubInstEntries,MSconst_RequireSubAttrEmissions,COUNTIFS(AC2023:AI2023,FALSE,H2023:N2023,"")&gt;0),EUconst_Error&amp;"BM"&amp;$Q1825,"")</f>
        <v/>
      </c>
      <c r="AL2023" s="2"/>
    </row>
    <row r="2024" spans="1:38" ht="5.15" customHeight="1" thickBot="1" x14ac:dyDescent="0.3">
      <c r="A2024" s="2"/>
      <c r="B2024" s="178"/>
      <c r="C2024" s="779"/>
      <c r="D2024" s="780"/>
      <c r="E2024" s="780"/>
      <c r="F2024" s="780"/>
      <c r="G2024" s="780"/>
      <c r="H2024" s="780"/>
      <c r="I2024" s="780"/>
      <c r="J2024" s="780"/>
      <c r="K2024" s="780"/>
      <c r="L2024" s="780"/>
      <c r="M2024" s="780"/>
      <c r="N2024" s="519"/>
      <c r="O2024" s="15"/>
      <c r="P2024" s="15"/>
      <c r="Q2024" s="343"/>
      <c r="R2024" s="2"/>
      <c r="S2024" s="343"/>
      <c r="T2024" s="343"/>
      <c r="U2024" s="343"/>
      <c r="V2024" s="343"/>
      <c r="W2024" s="2"/>
      <c r="X2024" s="2"/>
      <c r="Y2024" s="2"/>
      <c r="Z2024" s="2"/>
      <c r="AA2024" s="2"/>
      <c r="AB2024" s="2"/>
      <c r="AC2024" s="2"/>
      <c r="AD2024" s="2"/>
      <c r="AE2024" s="2"/>
      <c r="AF2024" s="2"/>
      <c r="AG2024" s="2"/>
      <c r="AH2024" s="2"/>
      <c r="AI2024" s="2"/>
      <c r="AJ2024" s="2"/>
      <c r="AK2024" s="2"/>
      <c r="AL2024" s="2"/>
    </row>
    <row r="2025" spans="1:38" ht="12.75" customHeight="1" thickBot="1" x14ac:dyDescent="0.3">
      <c r="A2025" s="2"/>
      <c r="B2025" s="178"/>
      <c r="C2025" s="779"/>
      <c r="D2025" s="780"/>
      <c r="E2025" s="2605" t="str">
        <f>Translations!$B$609</f>
        <v>Total exporterad värme</v>
      </c>
      <c r="F2025" s="2497"/>
      <c r="G2025" s="361" t="str">
        <f>EUconst_Unit</f>
        <v>Enhet</v>
      </c>
      <c r="H2025" s="362">
        <f t="shared" ref="H2025:N2025" si="910">H$3042</f>
        <v>2019</v>
      </c>
      <c r="I2025" s="1103">
        <f t="shared" si="910"/>
        <v>2020</v>
      </c>
      <c r="J2025" s="1104">
        <f t="shared" si="910"/>
        <v>2021</v>
      </c>
      <c r="K2025" s="362">
        <f t="shared" si="910"/>
        <v>2022</v>
      </c>
      <c r="L2025" s="362">
        <f t="shared" si="910"/>
        <v>2023</v>
      </c>
      <c r="M2025" s="362">
        <f t="shared" si="910"/>
        <v>2024</v>
      </c>
      <c r="N2025" s="1141">
        <f t="shared" si="910"/>
        <v>2025</v>
      </c>
      <c r="O2025" s="15"/>
      <c r="P2025" s="15"/>
      <c r="Q2025" s="343"/>
      <c r="R2025" s="2"/>
      <c r="S2025" s="772"/>
      <c r="T2025" s="609">
        <f t="shared" ref="T2025:Z2025" si="911">H2025</f>
        <v>2019</v>
      </c>
      <c r="U2025" s="609">
        <f t="shared" si="911"/>
        <v>2020</v>
      </c>
      <c r="V2025" s="609">
        <f t="shared" si="911"/>
        <v>2021</v>
      </c>
      <c r="W2025" s="609">
        <f t="shared" si="911"/>
        <v>2022</v>
      </c>
      <c r="X2025" s="609">
        <f t="shared" si="911"/>
        <v>2023</v>
      </c>
      <c r="Y2025" s="609">
        <f t="shared" si="911"/>
        <v>2024</v>
      </c>
      <c r="Z2025" s="610">
        <f t="shared" si="911"/>
        <v>2025</v>
      </c>
      <c r="AA2025" s="2"/>
      <c r="AB2025" s="2"/>
      <c r="AC2025" s="1044">
        <f t="shared" ref="AC2025:AI2025" si="912">H$20</f>
        <v>2019</v>
      </c>
      <c r="AD2025" s="1044">
        <f t="shared" si="912"/>
        <v>2020</v>
      </c>
      <c r="AE2025" s="1044">
        <f t="shared" si="912"/>
        <v>2021</v>
      </c>
      <c r="AF2025" s="1044">
        <f t="shared" si="912"/>
        <v>2022</v>
      </c>
      <c r="AG2025" s="1044">
        <f t="shared" si="912"/>
        <v>2023</v>
      </c>
      <c r="AH2025" s="1044">
        <f t="shared" si="912"/>
        <v>2024</v>
      </c>
      <c r="AI2025" s="1044">
        <f t="shared" si="912"/>
        <v>2025</v>
      </c>
      <c r="AJ2025" s="2"/>
      <c r="AK2025" s="2"/>
      <c r="AL2025" s="2"/>
    </row>
    <row r="2026" spans="1:38" ht="12.75" customHeight="1" x14ac:dyDescent="0.25">
      <c r="A2026" s="2"/>
      <c r="B2026" s="178"/>
      <c r="C2026" s="779"/>
      <c r="D2026" s="416" t="s">
        <v>859</v>
      </c>
      <c r="E2026" s="2613" t="str">
        <f>Translations!$B$610</f>
        <v>Nettomängd exporterad värme</v>
      </c>
      <c r="F2026" s="1997"/>
      <c r="G2026" s="364" t="str">
        <f>EUconst_TJpa</f>
        <v>TJ / år</v>
      </c>
      <c r="H2026" s="582"/>
      <c r="I2026" s="1105"/>
      <c r="J2026" s="1115"/>
      <c r="K2026" s="582"/>
      <c r="L2026" s="582"/>
      <c r="M2026" s="582"/>
      <c r="N2026" s="1146"/>
      <c r="O2026" s="15"/>
      <c r="P2026" s="1362"/>
      <c r="Q2026" s="165" t="str">
        <f>EUconst_CNTR_HeatExport &amp; I1825</f>
        <v>HeatEx_</v>
      </c>
      <c r="R2026" s="2"/>
      <c r="S2026" s="1751" t="str">
        <f>EUconst_ERR_AttrEmBMapplied &amp; I1825</f>
        <v>ERR_AttrEmBM_</v>
      </c>
      <c r="T2026" s="108">
        <f t="shared" ref="T2026:Z2026" si="913">IF(AND(H2026&lt;&gt;0,H2027="",EUconst_StatusOfDataCollection=FALSE),1,0)</f>
        <v>0</v>
      </c>
      <c r="U2026" s="108">
        <f t="shared" si="913"/>
        <v>0</v>
      </c>
      <c r="V2026" s="108">
        <f t="shared" si="913"/>
        <v>0</v>
      </c>
      <c r="W2026" s="108">
        <f t="shared" si="913"/>
        <v>0</v>
      </c>
      <c r="X2026" s="108">
        <f t="shared" si="913"/>
        <v>0</v>
      </c>
      <c r="Y2026" s="108">
        <f t="shared" si="913"/>
        <v>0</v>
      </c>
      <c r="Z2026" s="109">
        <f t="shared" si="913"/>
        <v>0</v>
      </c>
      <c r="AA2026" s="2"/>
      <c r="AB2026" s="672" t="s">
        <v>782</v>
      </c>
      <c r="AC2026" s="108" t="b">
        <f>AC2022</f>
        <v>0</v>
      </c>
      <c r="AD2026" s="108" t="b">
        <f t="shared" ref="AD2026:AI2026" si="914">AD2022</f>
        <v>0</v>
      </c>
      <c r="AE2026" s="108" t="b">
        <f t="shared" si="914"/>
        <v>0</v>
      </c>
      <c r="AF2026" s="108" t="b">
        <f t="shared" si="914"/>
        <v>0</v>
      </c>
      <c r="AG2026" s="108" t="b">
        <f t="shared" si="914"/>
        <v>0</v>
      </c>
      <c r="AH2026" s="108" t="b">
        <f t="shared" si="914"/>
        <v>0</v>
      </c>
      <c r="AI2026" s="108" t="b">
        <f t="shared" si="914"/>
        <v>0</v>
      </c>
      <c r="AJ2026" s="553" t="s">
        <v>2248</v>
      </c>
      <c r="AK2026" s="663" t="str">
        <f>IF(AND(CNTR_ExistSubInstEntries,MSconst_RequireSubAttrEmissions,COUNTIFS(AC2026:AI2026,FALSE,H2026:N2026,"")&gt;0),EUconst_Error&amp;"BM"&amp;$Q1825,"")</f>
        <v/>
      </c>
      <c r="AL2026" s="2"/>
    </row>
    <row r="2027" spans="1:38" ht="12.75" customHeight="1" thickBot="1" x14ac:dyDescent="0.3">
      <c r="A2027" s="2"/>
      <c r="B2027" s="178"/>
      <c r="C2027" s="779"/>
      <c r="D2027" s="416" t="s">
        <v>860</v>
      </c>
      <c r="E2027" s="2613" t="str">
        <f>Translations!$B$611</f>
        <v>Särskild emissionsfaktor (exporterad värme)</v>
      </c>
      <c r="F2027" s="1997"/>
      <c r="G2027" s="364" t="str">
        <f>EUconst_tCO2pTJ</f>
        <v>t CO2 / TJ</v>
      </c>
      <c r="H2027" s="582"/>
      <c r="I2027" s="1105"/>
      <c r="J2027" s="1115"/>
      <c r="K2027" s="582"/>
      <c r="L2027" s="582"/>
      <c r="M2027" s="582"/>
      <c r="N2027" s="1146"/>
      <c r="O2027" s="15"/>
      <c r="P2027" s="1362"/>
      <c r="Q2027" s="165" t="str">
        <f>EUconst_CNTR_HeatExportEF &amp; I1825</f>
        <v>HeatExEF_</v>
      </c>
      <c r="R2027" s="2"/>
      <c r="S2027" s="773" t="str">
        <f>EUconst_CNTR_AttributedEmissions &amp; I1825</f>
        <v>AttrEmissions_</v>
      </c>
      <c r="T2027" s="111" t="str">
        <f t="shared" ref="T2027:Z2027" si="915">IF(T1833,-SUM(H2026)*IF(INDEX(EUconst_BMlistNumberOfBM,MATCH($I1825,EUconst_BMlistNames,0))=39,0,IF(ISNUMBER(H2027),H2027,EUconst_HeatBMvalue)),"")</f>
        <v/>
      </c>
      <c r="U2027" s="111" t="str">
        <f t="shared" si="915"/>
        <v/>
      </c>
      <c r="V2027" s="111" t="str">
        <f t="shared" si="915"/>
        <v/>
      </c>
      <c r="W2027" s="111" t="str">
        <f t="shared" si="915"/>
        <v/>
      </c>
      <c r="X2027" s="111" t="str">
        <f t="shared" si="915"/>
        <v/>
      </c>
      <c r="Y2027" s="111" t="str">
        <f t="shared" si="915"/>
        <v/>
      </c>
      <c r="Z2027" s="112" t="str">
        <f t="shared" si="915"/>
        <v/>
      </c>
      <c r="AA2027" s="2"/>
      <c r="AB2027" s="2"/>
      <c r="AC2027" s="108" t="b">
        <f>AC2026</f>
        <v>0</v>
      </c>
      <c r="AD2027" s="108" t="b">
        <f t="shared" ref="AD2027:AI2027" si="916">AD2026</f>
        <v>0</v>
      </c>
      <c r="AE2027" s="108" t="b">
        <f t="shared" si="916"/>
        <v>0</v>
      </c>
      <c r="AF2027" s="108" t="b">
        <f t="shared" si="916"/>
        <v>0</v>
      </c>
      <c r="AG2027" s="108" t="b">
        <f t="shared" si="916"/>
        <v>0</v>
      </c>
      <c r="AH2027" s="108" t="b">
        <f t="shared" si="916"/>
        <v>0</v>
      </c>
      <c r="AI2027" s="108" t="b">
        <f t="shared" si="916"/>
        <v>0</v>
      </c>
      <c r="AJ2027" s="2"/>
      <c r="AK2027" s="2"/>
      <c r="AL2027" s="2"/>
    </row>
    <row r="2028" spans="1:38" ht="12.75" customHeight="1" x14ac:dyDescent="0.25">
      <c r="A2028" s="2"/>
      <c r="B2028" s="178"/>
      <c r="C2028" s="779"/>
      <c r="D2028" s="780"/>
      <c r="E2028" s="780"/>
      <c r="F2028" s="780"/>
      <c r="G2028" s="780"/>
      <c r="H2028" s="780"/>
      <c r="I2028" s="780"/>
      <c r="J2028" s="780"/>
      <c r="K2028" s="780"/>
      <c r="L2028" s="780"/>
      <c r="M2028" s="623"/>
      <c r="N2028" s="519"/>
      <c r="O2028" s="15"/>
      <c r="P2028" s="15"/>
      <c r="Q2028" s="343"/>
      <c r="R2028" s="2"/>
      <c r="S2028" s="343"/>
      <c r="T2028" s="343"/>
      <c r="U2028" s="343"/>
      <c r="V2028" s="343"/>
      <c r="W2028" s="2"/>
      <c r="X2028" s="2"/>
      <c r="Y2028" s="2"/>
      <c r="Z2028" s="2"/>
      <c r="AA2028" s="2"/>
      <c r="AB2028" s="2"/>
      <c r="AC2028" s="2"/>
      <c r="AD2028" s="2"/>
      <c r="AE2028" s="2"/>
      <c r="AF2028" s="2"/>
      <c r="AG2028" s="2"/>
      <c r="AH2028" s="2"/>
      <c r="AI2028" s="2"/>
      <c r="AJ2028" s="2"/>
      <c r="AK2028" s="2"/>
      <c r="AL2028" s="2"/>
    </row>
    <row r="2029" spans="1:38" ht="12.75" customHeight="1" x14ac:dyDescent="0.25">
      <c r="A2029" s="2"/>
      <c r="B2029" s="178"/>
      <c r="C2029" s="779"/>
      <c r="D2029" s="373" t="s">
        <v>526</v>
      </c>
      <c r="E2029" s="2614" t="str">
        <f>Translations!$B$612</f>
        <v>Delanläggningens restgasbalans</v>
      </c>
      <c r="F2029" s="1960"/>
      <c r="G2029" s="1960"/>
      <c r="H2029" s="1960"/>
      <c r="I2029" s="1960"/>
      <c r="J2029" s="1960"/>
      <c r="K2029" s="1960"/>
      <c r="L2029" s="1960"/>
      <c r="M2029" s="1960"/>
      <c r="N2029" s="2597"/>
      <c r="O2029" s="15"/>
      <c r="P2029" s="15"/>
      <c r="Q2029" s="343"/>
      <c r="R2029" s="2"/>
      <c r="S2029" s="343"/>
      <c r="T2029" s="343"/>
      <c r="U2029" s="343"/>
      <c r="V2029" s="343"/>
      <c r="W2029" s="2"/>
      <c r="X2029" s="2"/>
      <c r="Y2029" s="2"/>
      <c r="Z2029" s="2"/>
      <c r="AA2029" s="2"/>
      <c r="AB2029" s="2"/>
      <c r="AC2029" s="2"/>
      <c r="AD2029" s="2"/>
      <c r="AE2029" s="2"/>
      <c r="AF2029" s="2"/>
      <c r="AG2029" s="2"/>
      <c r="AH2029" s="2"/>
      <c r="AI2029" s="2"/>
      <c r="AJ2029" s="2"/>
      <c r="AK2029" s="2"/>
      <c r="AL2029" s="2"/>
    </row>
    <row r="2030" spans="1:38" ht="5.15" customHeight="1" x14ac:dyDescent="0.25">
      <c r="A2030" s="2"/>
      <c r="B2030" s="178"/>
      <c r="C2030" s="779"/>
      <c r="D2030" s="780"/>
      <c r="E2030" s="1804"/>
      <c r="F2030" s="1804"/>
      <c r="G2030" s="1804"/>
      <c r="H2030" s="1804"/>
      <c r="I2030" s="1804"/>
      <c r="J2030" s="1804"/>
      <c r="K2030" s="1804"/>
      <c r="L2030" s="1804"/>
      <c r="M2030" s="1804"/>
      <c r="N2030" s="1810"/>
      <c r="O2030" s="15"/>
      <c r="P2030" s="15"/>
      <c r="Q2030" s="343"/>
      <c r="R2030" s="2"/>
      <c r="S2030" s="343"/>
      <c r="T2030" s="343"/>
      <c r="U2030" s="343"/>
      <c r="V2030" s="343"/>
      <c r="W2030" s="2"/>
      <c r="X2030" s="2"/>
      <c r="Y2030" s="2"/>
      <c r="Z2030" s="2"/>
      <c r="AA2030" s="2"/>
      <c r="AB2030" s="2"/>
      <c r="AC2030" s="2"/>
      <c r="AD2030" s="2"/>
      <c r="AE2030" s="2"/>
      <c r="AF2030" s="2"/>
      <c r="AG2030" s="2"/>
      <c r="AH2030" s="2"/>
      <c r="AI2030" s="2"/>
      <c r="AJ2030" s="2"/>
      <c r="AK2030" s="2"/>
      <c r="AL2030" s="2"/>
    </row>
    <row r="2031" spans="1:38" ht="12.75" customHeight="1" x14ac:dyDescent="0.25">
      <c r="A2031" s="2"/>
      <c r="B2031" s="178"/>
      <c r="C2031" s="779"/>
      <c r="D2031" s="416" t="s">
        <v>8</v>
      </c>
      <c r="E2031" s="2614" t="str">
        <f>Translations!$B$613</f>
        <v>Är restgaser relevanta för delanläggningen?</v>
      </c>
      <c r="F2031" s="1960"/>
      <c r="G2031" s="1960"/>
      <c r="H2031" s="1960"/>
      <c r="I2031" s="1960"/>
      <c r="J2031" s="1960"/>
      <c r="K2031" s="2520"/>
      <c r="L2031" s="749"/>
      <c r="M2031" s="1806"/>
      <c r="N2031" s="1807"/>
      <c r="O2031" s="15"/>
      <c r="P2031" s="1362"/>
      <c r="Q2031" s="343"/>
      <c r="R2031" s="2"/>
      <c r="S2031" s="343"/>
      <c r="T2031" s="2"/>
      <c r="U2031" s="2"/>
      <c r="V2031" s="2"/>
      <c r="W2031" s="2"/>
      <c r="X2031" s="2"/>
      <c r="Y2031" s="2"/>
      <c r="Z2031" s="2"/>
      <c r="AA2031" s="2"/>
      <c r="AB2031" s="2"/>
      <c r="AC2031" s="2"/>
      <c r="AD2031" s="2"/>
      <c r="AE2031" s="2"/>
      <c r="AF2031" s="672" t="s">
        <v>782</v>
      </c>
      <c r="AG2031" s="1196" t="b">
        <f>AND(CNTR_ExistSubInstEntries,I1825="")</f>
        <v>0</v>
      </c>
      <c r="AH2031" s="2"/>
      <c r="AI2031" s="2"/>
      <c r="AJ2031" s="2"/>
      <c r="AK2031" s="2"/>
      <c r="AL2031" s="2"/>
    </row>
    <row r="2032" spans="1:38" ht="12.75" customHeight="1" x14ac:dyDescent="0.25">
      <c r="A2032" s="2"/>
      <c r="B2032" s="178"/>
      <c r="C2032" s="779"/>
      <c r="D2032" s="780"/>
      <c r="E2032" s="2610" t="str">
        <f>Translations!$B$614</f>
        <v>Om svaret ”FALSKT” anges kommer hela avsnittet att gråmarkeras och ni kan gå vidare till nästa punkt nedan.</v>
      </c>
      <c r="F2032" s="1960"/>
      <c r="G2032" s="1960"/>
      <c r="H2032" s="1960"/>
      <c r="I2032" s="1960"/>
      <c r="J2032" s="1960"/>
      <c r="K2032" s="1960"/>
      <c r="L2032" s="1960"/>
      <c r="M2032" s="1960"/>
      <c r="N2032" s="2597"/>
      <c r="O2032" s="15"/>
      <c r="P2032" s="15"/>
      <c r="Q2032" s="343"/>
      <c r="R2032" s="2"/>
      <c r="S2032" s="343"/>
      <c r="T2032" s="2"/>
      <c r="U2032" s="2"/>
      <c r="V2032" s="2"/>
      <c r="W2032" s="2"/>
      <c r="X2032" s="2"/>
      <c r="Y2032" s="2"/>
      <c r="Z2032" s="2"/>
      <c r="AA2032" s="2"/>
      <c r="AB2032" s="2"/>
      <c r="AC2032" s="2"/>
      <c r="AD2032" s="2"/>
      <c r="AE2032" s="2"/>
      <c r="AF2032" s="2"/>
      <c r="AG2032" s="2"/>
      <c r="AH2032" s="2"/>
      <c r="AI2032" s="2"/>
      <c r="AJ2032" s="2"/>
      <c r="AK2032" s="2"/>
      <c r="AL2032" s="2"/>
    </row>
    <row r="2033" spans="1:38" ht="12.75" customHeight="1" x14ac:dyDescent="0.25">
      <c r="A2033" s="2"/>
      <c r="B2033" s="178"/>
      <c r="C2033" s="779"/>
      <c r="D2033" s="416" t="s">
        <v>9</v>
      </c>
      <c r="E2033" s="2614" t="str">
        <f>Translations!$B$615</f>
        <v>Typer av producerade restgaser:</v>
      </c>
      <c r="F2033" s="1960"/>
      <c r="G2033" s="1960"/>
      <c r="H2033" s="2520"/>
      <c r="I2033" s="2621"/>
      <c r="J2033" s="2510"/>
      <c r="K2033" s="2510"/>
      <c r="L2033" s="2510"/>
      <c r="M2033" s="2511"/>
      <c r="N2033" s="1807"/>
      <c r="O2033" s="15"/>
      <c r="P2033" s="1362"/>
      <c r="Q2033" s="343"/>
      <c r="R2033" s="2"/>
      <c r="S2033" s="343"/>
      <c r="T2033" s="2"/>
      <c r="U2033" s="2"/>
      <c r="V2033" s="2"/>
      <c r="W2033" s="2"/>
      <c r="X2033" s="2"/>
      <c r="Y2033" s="2"/>
      <c r="Z2033" s="2"/>
      <c r="AA2033" s="2"/>
      <c r="AB2033" s="2"/>
      <c r="AC2033" s="672" t="s">
        <v>782</v>
      </c>
      <c r="AD2033" s="1196" t="b">
        <f>OR(AG2031,AND($L2031&lt;&gt;"",$L2031=FALSE))</f>
        <v>0</v>
      </c>
      <c r="AE2033" s="2"/>
      <c r="AF2033" s="2"/>
      <c r="AG2033" s="2"/>
      <c r="AH2033" s="2"/>
      <c r="AI2033" s="2"/>
      <c r="AJ2033" s="2"/>
      <c r="AK2033" s="2"/>
      <c r="AL2033" s="2"/>
    </row>
    <row r="2034" spans="1:38" ht="12.75" customHeight="1" x14ac:dyDescent="0.25">
      <c r="A2034" s="2"/>
      <c r="B2034" s="178"/>
      <c r="C2034" s="779"/>
      <c r="D2034" s="780"/>
      <c r="E2034" s="2610" t="str">
        <f>Translations!$B$616</f>
        <v>Ni kan välja att rapportera i ton eller i 1 000 Nm3. Enheterna måste stämma överens med de som används för effektivt värmevärde och emissionsfaktorn nedan.</v>
      </c>
      <c r="F2034" s="1960"/>
      <c r="G2034" s="1960"/>
      <c r="H2034" s="1960"/>
      <c r="I2034" s="1960"/>
      <c r="J2034" s="1960"/>
      <c r="K2034" s="1960"/>
      <c r="L2034" s="1960"/>
      <c r="M2034" s="1960"/>
      <c r="N2034" s="2597"/>
      <c r="O2034" s="15"/>
      <c r="P2034" s="15"/>
      <c r="Q2034" s="343"/>
      <c r="R2034" s="2"/>
      <c r="S2034" s="343"/>
      <c r="T2034" s="343"/>
      <c r="U2034" s="343"/>
      <c r="V2034" s="343"/>
      <c r="W2034" s="2"/>
      <c r="X2034" s="2"/>
      <c r="Y2034" s="2"/>
      <c r="Z2034" s="2"/>
      <c r="AA2034" s="2"/>
      <c r="AB2034" s="2"/>
      <c r="AC2034" s="2"/>
      <c r="AD2034" s="2"/>
      <c r="AE2034" s="2"/>
      <c r="AF2034" s="2"/>
      <c r="AG2034" s="2"/>
      <c r="AH2034" s="2"/>
      <c r="AI2034" s="2"/>
      <c r="AJ2034" s="2"/>
      <c r="AK2034" s="2"/>
      <c r="AL2034" s="2"/>
    </row>
    <row r="2035" spans="1:38" ht="12.75" customHeight="1" x14ac:dyDescent="0.25">
      <c r="A2035" s="2"/>
      <c r="B2035" s="178"/>
      <c r="C2035" s="779"/>
      <c r="D2035" s="780"/>
      <c r="E2035" s="2596" t="str">
        <f>Translations!$B$570</f>
        <v>De uppgifter som anges här används bara för konsekvenskontroll och har ingen direkt inverkan på vare sig de utsläpp som kan tillskrivas eller tilldelningen.</v>
      </c>
      <c r="F2035" s="1960"/>
      <c r="G2035" s="1960"/>
      <c r="H2035" s="1960"/>
      <c r="I2035" s="1960"/>
      <c r="J2035" s="1960"/>
      <c r="K2035" s="1960"/>
      <c r="L2035" s="1960"/>
      <c r="M2035" s="1960"/>
      <c r="N2035" s="2597"/>
      <c r="O2035" s="15"/>
      <c r="P2035" s="15"/>
      <c r="Q2035" s="343"/>
      <c r="R2035" s="2"/>
      <c r="S2035" s="343"/>
      <c r="T2035" s="343"/>
      <c r="U2035" s="343"/>
      <c r="V2035" s="343"/>
      <c r="W2035" s="2"/>
      <c r="X2035" s="2"/>
      <c r="Y2035" s="2"/>
      <c r="Z2035" s="2"/>
      <c r="AA2035" s="2"/>
      <c r="AB2035" s="2"/>
      <c r="AC2035" s="2"/>
      <c r="AD2035" s="2"/>
      <c r="AE2035" s="2"/>
      <c r="AF2035" s="2"/>
      <c r="AG2035" s="2"/>
      <c r="AH2035" s="2"/>
      <c r="AI2035" s="2"/>
      <c r="AJ2035" s="2"/>
      <c r="AK2035" s="2"/>
      <c r="AL2035" s="2"/>
    </row>
    <row r="2036" spans="1:38" ht="12.75" customHeight="1" thickBot="1" x14ac:dyDescent="0.3">
      <c r="A2036" s="2"/>
      <c r="B2036" s="178"/>
      <c r="C2036" s="779"/>
      <c r="D2036" s="780"/>
      <c r="E2036" s="1716"/>
      <c r="F2036" s="1717"/>
      <c r="G2036" s="361" t="str">
        <f>EUconst_Unit</f>
        <v>Enhet</v>
      </c>
      <c r="H2036" s="362">
        <f t="shared" ref="H2036:N2036" si="917">H$3042</f>
        <v>2019</v>
      </c>
      <c r="I2036" s="1103">
        <f t="shared" si="917"/>
        <v>2020</v>
      </c>
      <c r="J2036" s="1104">
        <f t="shared" si="917"/>
        <v>2021</v>
      </c>
      <c r="K2036" s="362">
        <f t="shared" si="917"/>
        <v>2022</v>
      </c>
      <c r="L2036" s="362">
        <f t="shared" si="917"/>
        <v>2023</v>
      </c>
      <c r="M2036" s="362">
        <f t="shared" si="917"/>
        <v>2024</v>
      </c>
      <c r="N2036" s="1141">
        <f t="shared" si="917"/>
        <v>2025</v>
      </c>
      <c r="O2036" s="15"/>
      <c r="P2036" s="15"/>
      <c r="Q2036" s="343"/>
      <c r="R2036" s="2"/>
      <c r="S2036" s="343"/>
      <c r="T2036" s="343"/>
      <c r="U2036" s="343"/>
      <c r="V2036" s="343"/>
      <c r="W2036" s="2"/>
      <c r="X2036" s="2"/>
      <c r="Y2036" s="2"/>
      <c r="Z2036" s="2"/>
      <c r="AA2036" s="2"/>
      <c r="AB2036" s="2"/>
      <c r="AC2036" s="1044">
        <f t="shared" ref="AC2036:AI2036" si="918">H$20</f>
        <v>2019</v>
      </c>
      <c r="AD2036" s="1044">
        <f t="shared" si="918"/>
        <v>2020</v>
      </c>
      <c r="AE2036" s="1044">
        <f t="shared" si="918"/>
        <v>2021</v>
      </c>
      <c r="AF2036" s="1044">
        <f t="shared" si="918"/>
        <v>2022</v>
      </c>
      <c r="AG2036" s="1044">
        <f t="shared" si="918"/>
        <v>2023</v>
      </c>
      <c r="AH2036" s="1044">
        <f t="shared" si="918"/>
        <v>2024</v>
      </c>
      <c r="AI2036" s="1044">
        <f t="shared" si="918"/>
        <v>2025</v>
      </c>
      <c r="AJ2036" s="2"/>
      <c r="AK2036" s="2"/>
      <c r="AL2036" s="2"/>
    </row>
    <row r="2037" spans="1:38" ht="12.75" customHeight="1" x14ac:dyDescent="0.25">
      <c r="A2037" s="2"/>
      <c r="B2037" s="178"/>
      <c r="C2037" s="779"/>
      <c r="D2037" s="416" t="s">
        <v>10</v>
      </c>
      <c r="E2037" s="2611" t="str">
        <f>Translations!$B$617</f>
        <v>Producerade mängder</v>
      </c>
      <c r="F2037" s="2484"/>
      <c r="G2037" s="1314"/>
      <c r="H2037" s="1298"/>
      <c r="I2037" s="1299"/>
      <c r="J2037" s="1300"/>
      <c r="K2037" s="1298"/>
      <c r="L2037" s="1298"/>
      <c r="M2037" s="1298"/>
      <c r="N2037" s="1301"/>
      <c r="O2037" s="15"/>
      <c r="P2037" s="1362"/>
      <c r="Q2037" s="343"/>
      <c r="R2037" s="2"/>
      <c r="S2037" s="343"/>
      <c r="T2037" s="343"/>
      <c r="U2037" s="343"/>
      <c r="V2037" s="343"/>
      <c r="W2037" s="2"/>
      <c r="X2037" s="2"/>
      <c r="Y2037" s="2"/>
      <c r="Z2037" s="2"/>
      <c r="AA2037" s="2"/>
      <c r="AB2037" s="672" t="s">
        <v>782</v>
      </c>
      <c r="AC2037" s="1196" t="b">
        <f>OR(AND($L2031&lt;&gt;"",$L2031=FALSE),AC1895)</f>
        <v>0</v>
      </c>
      <c r="AD2037" s="108" t="b">
        <f t="shared" ref="AD2037:AI2037" si="919">OR(AND($L2031&lt;&gt;"",$L2031=FALSE),AD1895)</f>
        <v>0</v>
      </c>
      <c r="AE2037" s="108" t="b">
        <f t="shared" si="919"/>
        <v>0</v>
      </c>
      <c r="AF2037" s="108" t="b">
        <f t="shared" si="919"/>
        <v>0</v>
      </c>
      <c r="AG2037" s="108" t="b">
        <f t="shared" si="919"/>
        <v>0</v>
      </c>
      <c r="AH2037" s="108" t="b">
        <f t="shared" si="919"/>
        <v>0</v>
      </c>
      <c r="AI2037" s="108" t="b">
        <f t="shared" si="919"/>
        <v>0</v>
      </c>
      <c r="AJ2037" s="553" t="s">
        <v>2248</v>
      </c>
      <c r="AK2037" s="663" t="str">
        <f>IF(AND(CNTR_ExistSubInstEntries,MSconst_RequireSubAttrEmissions,COUNTIFS(AC2037:AI2037,FALSE,H2037:N2037,"")&gt;0),EUconst_Error&amp;"BM"&amp;$Q1825,"")</f>
        <v/>
      </c>
      <c r="AL2037" s="2"/>
    </row>
    <row r="2038" spans="1:38" ht="12.75" customHeight="1" x14ac:dyDescent="0.25">
      <c r="A2038" s="2"/>
      <c r="B2038" s="178"/>
      <c r="C2038" s="779"/>
      <c r="D2038" s="416" t="s">
        <v>23</v>
      </c>
      <c r="E2038" s="2612" t="str">
        <f>Translations!$B$318</f>
        <v>Effektivt värmevärde</v>
      </c>
      <c r="F2038" s="2487"/>
      <c r="G2038" s="51" t="str">
        <f>IF(ISBLANK(G2037),EUconst_GJperUnit,INDEX(EUconst_GJperTorKNm3,MATCH(G2037,EUconst_TonnesOrkNm3pa,0)))</f>
        <v>GJ / Enhet</v>
      </c>
      <c r="H2038" s="1306"/>
      <c r="I2038" s="1307"/>
      <c r="J2038" s="1308"/>
      <c r="K2038" s="1306"/>
      <c r="L2038" s="1306"/>
      <c r="M2038" s="1306"/>
      <c r="N2038" s="1309"/>
      <c r="O2038" s="15"/>
      <c r="P2038" s="1362"/>
      <c r="Q2038" s="2"/>
      <c r="R2038" s="2"/>
      <c r="S2038" s="343"/>
      <c r="T2038" s="343"/>
      <c r="U2038" s="343"/>
      <c r="V2038" s="343"/>
      <c r="W2038" s="343"/>
      <c r="X2038" s="343"/>
      <c r="Y2038" s="343"/>
      <c r="Z2038" s="343"/>
      <c r="AA2038" s="2"/>
      <c r="AB2038" s="2"/>
      <c r="AC2038" s="108" t="b">
        <f>AC2037</f>
        <v>0</v>
      </c>
      <c r="AD2038" s="108" t="b">
        <f t="shared" ref="AD2038:AI2038" si="920">AD2037</f>
        <v>0</v>
      </c>
      <c r="AE2038" s="108" t="b">
        <f t="shared" si="920"/>
        <v>0</v>
      </c>
      <c r="AF2038" s="108" t="b">
        <f t="shared" si="920"/>
        <v>0</v>
      </c>
      <c r="AG2038" s="108" t="b">
        <f t="shared" si="920"/>
        <v>0</v>
      </c>
      <c r="AH2038" s="108" t="b">
        <f t="shared" si="920"/>
        <v>0</v>
      </c>
      <c r="AI2038" s="108" t="b">
        <f t="shared" si="920"/>
        <v>0</v>
      </c>
      <c r="AJ2038" s="553" t="s">
        <v>2248</v>
      </c>
      <c r="AK2038" s="663" t="str">
        <f>IF(AND(CNTR_ExistSubInstEntries,MSconst_RequireSubAttrEmissions,COUNTIFS(AC2038:AI2038,FALSE,H2038:N2038,"")&gt;0),EUconst_Error&amp;"BM"&amp;$Q1825,"")</f>
        <v/>
      </c>
      <c r="AL2038" s="2"/>
    </row>
    <row r="2039" spans="1:38" ht="12.75" customHeight="1" x14ac:dyDescent="0.25">
      <c r="A2039" s="2"/>
      <c r="B2039" s="178"/>
      <c r="C2039" s="779"/>
      <c r="D2039" s="416" t="s">
        <v>859</v>
      </c>
      <c r="E2039" s="2613" t="str">
        <f>Translations!$B$618</f>
        <v>Producerad restgas</v>
      </c>
      <c r="F2039" s="1997"/>
      <c r="G2039" s="364" t="str">
        <f>EUconst_TJpa</f>
        <v>TJ / år</v>
      </c>
      <c r="H2039" s="414" t="str">
        <f t="shared" ref="H2039:N2039" si="921">IF(COUNT(H2037:H2038)=2,H2037*H2038/1000,"")</f>
        <v/>
      </c>
      <c r="I2039" s="1108" t="str">
        <f t="shared" si="921"/>
        <v/>
      </c>
      <c r="J2039" s="1114" t="str">
        <f t="shared" si="921"/>
        <v/>
      </c>
      <c r="K2039" s="414" t="str">
        <f t="shared" si="921"/>
        <v/>
      </c>
      <c r="L2039" s="414" t="str">
        <f t="shared" si="921"/>
        <v/>
      </c>
      <c r="M2039" s="414" t="str">
        <f t="shared" si="921"/>
        <v/>
      </c>
      <c r="N2039" s="1147" t="str">
        <f t="shared" si="921"/>
        <v/>
      </c>
      <c r="O2039" s="15"/>
      <c r="P2039" s="15"/>
      <c r="Q2039" s="165" t="str">
        <f>EUconst_CNTR_WGProduced &amp; I1825</f>
        <v>WasteGasProd_</v>
      </c>
      <c r="R2039" s="2"/>
      <c r="S2039" s="343"/>
      <c r="T2039" s="343"/>
      <c r="U2039" s="343"/>
      <c r="V2039" s="343"/>
      <c r="W2039" s="343"/>
      <c r="X2039" s="343"/>
      <c r="Y2039" s="343"/>
      <c r="Z2039" s="343"/>
      <c r="AA2039" s="2"/>
      <c r="AB2039" s="2"/>
      <c r="AC2039" s="2"/>
      <c r="AD2039" s="2"/>
      <c r="AE2039" s="2"/>
      <c r="AF2039" s="2"/>
      <c r="AG2039" s="2"/>
      <c r="AH2039" s="2"/>
      <c r="AI2039" s="2"/>
      <c r="AJ2039" s="2"/>
      <c r="AK2039" s="2"/>
      <c r="AL2039" s="2"/>
    </row>
    <row r="2040" spans="1:38" ht="12.75" customHeight="1" x14ac:dyDescent="0.25">
      <c r="A2040" s="2"/>
      <c r="B2040" s="178"/>
      <c r="C2040" s="779"/>
      <c r="D2040" s="416" t="s">
        <v>860</v>
      </c>
      <c r="E2040" s="2613" t="str">
        <f>Translations!$B$619</f>
        <v>Särskild emissionsfaktor (producerad restgas)</v>
      </c>
      <c r="F2040" s="1997"/>
      <c r="G2040" s="364" t="str">
        <f>EUconst_tCO2pTJ</f>
        <v>t CO2 / TJ</v>
      </c>
      <c r="H2040" s="582"/>
      <c r="I2040" s="1105"/>
      <c r="J2040" s="1115"/>
      <c r="K2040" s="582"/>
      <c r="L2040" s="582"/>
      <c r="M2040" s="582"/>
      <c r="N2040" s="1146"/>
      <c r="O2040" s="15"/>
      <c r="P2040" s="1362"/>
      <c r="Q2040" s="165" t="str">
        <f>EUconst_CNTR_WGProducedEF &amp; I1825</f>
        <v>WasteGasProdEF_</v>
      </c>
      <c r="R2040" s="2"/>
      <c r="S2040" s="343"/>
      <c r="T2040" s="343"/>
      <c r="U2040" s="343"/>
      <c r="V2040" s="343"/>
      <c r="W2040" s="343"/>
      <c r="X2040" s="343"/>
      <c r="Y2040" s="343"/>
      <c r="Z2040" s="343"/>
      <c r="AA2040" s="2"/>
      <c r="AB2040" s="672" t="s">
        <v>782</v>
      </c>
      <c r="AC2040" s="108" t="b">
        <f>AC2038</f>
        <v>0</v>
      </c>
      <c r="AD2040" s="108" t="b">
        <f t="shared" ref="AD2040:AI2040" si="922">AD2038</f>
        <v>0</v>
      </c>
      <c r="AE2040" s="108" t="b">
        <f t="shared" si="922"/>
        <v>0</v>
      </c>
      <c r="AF2040" s="108" t="b">
        <f t="shared" si="922"/>
        <v>0</v>
      </c>
      <c r="AG2040" s="108" t="b">
        <f t="shared" si="922"/>
        <v>0</v>
      </c>
      <c r="AH2040" s="108" t="b">
        <f t="shared" si="922"/>
        <v>0</v>
      </c>
      <c r="AI2040" s="108" t="b">
        <f t="shared" si="922"/>
        <v>0</v>
      </c>
      <c r="AJ2040" s="553" t="s">
        <v>2248</v>
      </c>
      <c r="AK2040" s="663" t="str">
        <f>IF(AND(CNTR_ExistSubInstEntries,MSconst_RequireSubAttrEmissions,COUNTIFS(AC2040:AI2040,FALSE,H2040:N2040,"")&gt;0),EUconst_Error&amp;"BM"&amp;$Q1825,"")</f>
        <v/>
      </c>
      <c r="AL2040" s="2"/>
    </row>
    <row r="2041" spans="1:38" ht="12.75" customHeight="1" x14ac:dyDescent="0.25">
      <c r="A2041" s="2"/>
      <c r="B2041" s="178"/>
      <c r="C2041" s="779"/>
      <c r="D2041" s="780"/>
      <c r="E2041" s="780"/>
      <c r="F2041" s="780"/>
      <c r="G2041" s="780"/>
      <c r="H2041" s="1805"/>
      <c r="I2041" s="780"/>
      <c r="J2041" s="780"/>
      <c r="K2041" s="780"/>
      <c r="L2041" s="780"/>
      <c r="M2041" s="623"/>
      <c r="N2041" s="519"/>
      <c r="O2041" s="15"/>
      <c r="P2041" s="15"/>
      <c r="Q2041" s="343"/>
      <c r="R2041" s="2"/>
      <c r="S2041" s="343"/>
      <c r="T2041" s="343"/>
      <c r="U2041" s="343"/>
      <c r="V2041" s="343"/>
      <c r="W2041" s="343"/>
      <c r="X2041" s="343"/>
      <c r="Y2041" s="343"/>
      <c r="Z2041" s="343"/>
      <c r="AA2041" s="2"/>
      <c r="AB2041" s="2"/>
      <c r="AC2041" s="2"/>
      <c r="AD2041" s="2"/>
      <c r="AE2041" s="2"/>
      <c r="AF2041" s="2"/>
      <c r="AG2041" s="2"/>
      <c r="AH2041" s="2"/>
      <c r="AI2041" s="2"/>
      <c r="AJ2041" s="2"/>
      <c r="AK2041" s="2"/>
      <c r="AL2041" s="2"/>
    </row>
    <row r="2042" spans="1:38" ht="12.75" customHeight="1" x14ac:dyDescent="0.25">
      <c r="A2042" s="2"/>
      <c r="B2042" s="178"/>
      <c r="C2042" s="779"/>
      <c r="D2042" s="416" t="s">
        <v>861</v>
      </c>
      <c r="E2042" s="2614" t="str">
        <f>Translations!$B$620</f>
        <v>Typer av restgaser som förbrukas:</v>
      </c>
      <c r="F2042" s="1960"/>
      <c r="G2042" s="1960"/>
      <c r="H2042" s="2520"/>
      <c r="I2042" s="2621"/>
      <c r="J2042" s="2510"/>
      <c r="K2042" s="2510"/>
      <c r="L2042" s="2510"/>
      <c r="M2042" s="2511"/>
      <c r="N2042" s="1807"/>
      <c r="O2042" s="15"/>
      <c r="P2042" s="1362"/>
      <c r="Q2042" s="343"/>
      <c r="R2042" s="2"/>
      <c r="S2042" s="343"/>
      <c r="T2042" s="343"/>
      <c r="U2042" s="343"/>
      <c r="V2042" s="343"/>
      <c r="W2042" s="343"/>
      <c r="X2042" s="343"/>
      <c r="Y2042" s="343"/>
      <c r="Z2042" s="343"/>
      <c r="AA2042" s="2"/>
      <c r="AB2042" s="2"/>
      <c r="AC2042" s="672" t="s">
        <v>782</v>
      </c>
      <c r="AD2042" s="108" t="b">
        <f>AD2033</f>
        <v>0</v>
      </c>
      <c r="AE2042" s="2"/>
      <c r="AF2042" s="2"/>
      <c r="AG2042" s="2"/>
      <c r="AH2042" s="2"/>
      <c r="AI2042" s="2"/>
      <c r="AJ2042" s="2"/>
      <c r="AK2042" s="2"/>
      <c r="AL2042" s="2"/>
    </row>
    <row r="2043" spans="1:38" ht="25.5" customHeight="1" x14ac:dyDescent="0.25">
      <c r="A2043" s="2"/>
      <c r="B2043" s="178"/>
      <c r="C2043" s="779"/>
      <c r="D2043" s="416"/>
      <c r="E2043" s="2610" t="str">
        <f>Translations!$B$621</f>
        <v>Detta innefattar alla restgastyper som förbrukas av delanläggningen för produktion av mätbar värme, icke-mätbar värme (inklusive för säkerhetsfackling) eller mekanisk energi (annan än för elproduktion). Mängden avgaser för fackling utom för säkerhetsfackling bör rapporteras i nästa punkt nedan.</v>
      </c>
      <c r="F2043" s="1960"/>
      <c r="G2043" s="1960"/>
      <c r="H2043" s="1960"/>
      <c r="I2043" s="1960"/>
      <c r="J2043" s="1960"/>
      <c r="K2043" s="1960"/>
      <c r="L2043" s="1960"/>
      <c r="M2043" s="1960"/>
      <c r="N2043" s="2597"/>
      <c r="O2043" s="15"/>
      <c r="P2043" s="15"/>
      <c r="Q2043" s="343"/>
      <c r="R2043" s="2"/>
      <c r="S2043" s="343"/>
      <c r="T2043" s="343"/>
      <c r="U2043" s="343"/>
      <c r="V2043" s="343"/>
      <c r="W2043" s="343"/>
      <c r="X2043" s="343"/>
      <c r="Y2043" s="343"/>
      <c r="Z2043" s="343"/>
      <c r="AA2043" s="2"/>
      <c r="AB2043" s="2"/>
      <c r="AC2043" s="2"/>
      <c r="AD2043" s="2"/>
      <c r="AE2043" s="2"/>
      <c r="AF2043" s="2"/>
      <c r="AG2043" s="2"/>
      <c r="AH2043" s="2"/>
      <c r="AI2043" s="2"/>
      <c r="AJ2043" s="2"/>
      <c r="AK2043" s="2"/>
      <c r="AL2043" s="2"/>
    </row>
    <row r="2044" spans="1:38" ht="12.75" customHeight="1" x14ac:dyDescent="0.25">
      <c r="A2044" s="2"/>
      <c r="B2044" s="178"/>
      <c r="C2044" s="779"/>
      <c r="D2044" s="780"/>
      <c r="E2044" s="2596" t="str">
        <f>Translations!$B$570</f>
        <v>De uppgifter som anges här används bara för konsekvenskontroll och har ingen direkt inverkan på vare sig de utsläpp som kan tillskrivas eller tilldelningen.</v>
      </c>
      <c r="F2044" s="1960"/>
      <c r="G2044" s="1960"/>
      <c r="H2044" s="1960"/>
      <c r="I2044" s="1960"/>
      <c r="J2044" s="1960"/>
      <c r="K2044" s="1960"/>
      <c r="L2044" s="1960"/>
      <c r="M2044" s="1960"/>
      <c r="N2044" s="2597"/>
      <c r="O2044" s="15"/>
      <c r="P2044" s="15"/>
      <c r="Q2044" s="343"/>
      <c r="R2044" s="2"/>
      <c r="S2044" s="343"/>
      <c r="T2044" s="343"/>
      <c r="U2044" s="343"/>
      <c r="V2044" s="343"/>
      <c r="W2044" s="343"/>
      <c r="X2044" s="343"/>
      <c r="Y2044" s="343"/>
      <c r="Z2044" s="343"/>
      <c r="AA2044" s="2"/>
      <c r="AB2044" s="2"/>
      <c r="AC2044" s="2"/>
      <c r="AD2044" s="2"/>
      <c r="AE2044" s="2"/>
      <c r="AF2044" s="2"/>
      <c r="AG2044" s="2"/>
      <c r="AH2044" s="2"/>
      <c r="AI2044" s="2"/>
      <c r="AJ2044" s="2"/>
      <c r="AK2044" s="2"/>
      <c r="AL2044" s="2"/>
    </row>
    <row r="2045" spans="1:38" ht="12.75" customHeight="1" thickBot="1" x14ac:dyDescent="0.3">
      <c r="A2045" s="2"/>
      <c r="B2045" s="178"/>
      <c r="C2045" s="779"/>
      <c r="D2045" s="780"/>
      <c r="E2045" s="1716"/>
      <c r="F2045" s="1717"/>
      <c r="G2045" s="361" t="str">
        <f>EUconst_Unit</f>
        <v>Enhet</v>
      </c>
      <c r="H2045" s="362">
        <f t="shared" ref="H2045:N2045" si="923">H$3042</f>
        <v>2019</v>
      </c>
      <c r="I2045" s="1103">
        <f t="shared" si="923"/>
        <v>2020</v>
      </c>
      <c r="J2045" s="1104">
        <f t="shared" si="923"/>
        <v>2021</v>
      </c>
      <c r="K2045" s="362">
        <f t="shared" si="923"/>
        <v>2022</v>
      </c>
      <c r="L2045" s="362">
        <f t="shared" si="923"/>
        <v>2023</v>
      </c>
      <c r="M2045" s="362">
        <f t="shared" si="923"/>
        <v>2024</v>
      </c>
      <c r="N2045" s="1141">
        <f t="shared" si="923"/>
        <v>2025</v>
      </c>
      <c r="O2045" s="15"/>
      <c r="P2045" s="15"/>
      <c r="Q2045" s="343"/>
      <c r="R2045" s="2"/>
      <c r="S2045" s="343"/>
      <c r="T2045" s="343"/>
      <c r="U2045" s="343"/>
      <c r="V2045" s="343"/>
      <c r="W2045" s="343"/>
      <c r="X2045" s="343"/>
      <c r="Y2045" s="343"/>
      <c r="Z2045" s="343"/>
      <c r="AA2045" s="2"/>
      <c r="AB2045" s="2"/>
      <c r="AC2045" s="1044">
        <f t="shared" ref="AC2045:AI2045" si="924">H$20</f>
        <v>2019</v>
      </c>
      <c r="AD2045" s="1044">
        <f t="shared" si="924"/>
        <v>2020</v>
      </c>
      <c r="AE2045" s="1044">
        <f t="shared" si="924"/>
        <v>2021</v>
      </c>
      <c r="AF2045" s="1044">
        <f t="shared" si="924"/>
        <v>2022</v>
      </c>
      <c r="AG2045" s="1044">
        <f t="shared" si="924"/>
        <v>2023</v>
      </c>
      <c r="AH2045" s="1044">
        <f t="shared" si="924"/>
        <v>2024</v>
      </c>
      <c r="AI2045" s="1044">
        <f t="shared" si="924"/>
        <v>2025</v>
      </c>
      <c r="AJ2045" s="2"/>
      <c r="AK2045" s="2"/>
      <c r="AL2045" s="2"/>
    </row>
    <row r="2046" spans="1:38" ht="12.75" customHeight="1" x14ac:dyDescent="0.25">
      <c r="A2046" s="2"/>
      <c r="B2046" s="178"/>
      <c r="C2046" s="779"/>
      <c r="D2046" s="416" t="s">
        <v>862</v>
      </c>
      <c r="E2046" s="2611" t="str">
        <f>Translations!$B$622</f>
        <v>Förbrukade mängder</v>
      </c>
      <c r="F2046" s="2484"/>
      <c r="G2046" s="1314"/>
      <c r="H2046" s="1298"/>
      <c r="I2046" s="1299"/>
      <c r="J2046" s="1300"/>
      <c r="K2046" s="1298"/>
      <c r="L2046" s="1298"/>
      <c r="M2046" s="1298"/>
      <c r="N2046" s="1301"/>
      <c r="O2046" s="15"/>
      <c r="P2046" s="1362"/>
      <c r="Q2046" s="343"/>
      <c r="R2046" s="2"/>
      <c r="S2046" s="343"/>
      <c r="T2046" s="343"/>
      <c r="U2046" s="343"/>
      <c r="V2046" s="343"/>
      <c r="W2046" s="343"/>
      <c r="X2046" s="343"/>
      <c r="Y2046" s="343"/>
      <c r="Z2046" s="343"/>
      <c r="AA2046" s="2"/>
      <c r="AB2046" s="672" t="s">
        <v>782</v>
      </c>
      <c r="AC2046" s="108" t="b">
        <f>AC2037</f>
        <v>0</v>
      </c>
      <c r="AD2046" s="108" t="b">
        <f t="shared" ref="AD2046:AI2046" si="925">AD2037</f>
        <v>0</v>
      </c>
      <c r="AE2046" s="108" t="b">
        <f t="shared" si="925"/>
        <v>0</v>
      </c>
      <c r="AF2046" s="108" t="b">
        <f t="shared" si="925"/>
        <v>0</v>
      </c>
      <c r="AG2046" s="108" t="b">
        <f t="shared" si="925"/>
        <v>0</v>
      </c>
      <c r="AH2046" s="108" t="b">
        <f t="shared" si="925"/>
        <v>0</v>
      </c>
      <c r="AI2046" s="108" t="b">
        <f t="shared" si="925"/>
        <v>0</v>
      </c>
      <c r="AJ2046" s="553" t="s">
        <v>2248</v>
      </c>
      <c r="AK2046" s="663" t="str">
        <f>IF(AND(CNTR_ExistSubInstEntries,MSconst_RequireSubAttrEmissions,COUNTIFS(AC2046:AI2046,FALSE,H2046:N2046,"")&gt;0),EUconst_Error&amp;"BM"&amp;$Q1825,"")</f>
        <v/>
      </c>
      <c r="AL2046" s="2"/>
    </row>
    <row r="2047" spans="1:38" ht="12.75" customHeight="1" x14ac:dyDescent="0.25">
      <c r="A2047" s="2"/>
      <c r="B2047" s="178"/>
      <c r="C2047" s="779"/>
      <c r="D2047" s="416" t="s">
        <v>863</v>
      </c>
      <c r="E2047" s="2612" t="str">
        <f>Translations!$B$318</f>
        <v>Effektivt värmevärde</v>
      </c>
      <c r="F2047" s="2487"/>
      <c r="G2047" s="51" t="str">
        <f>IF(ISBLANK(G2046),EUconst_GJperUnit,INDEX(EUconst_GJperTorKNm3,MATCH(G2046,EUconst_TonnesOrkNm3pa,0)))</f>
        <v>GJ / Enhet</v>
      </c>
      <c r="H2047" s="1306"/>
      <c r="I2047" s="1307"/>
      <c r="J2047" s="1308"/>
      <c r="K2047" s="1306"/>
      <c r="L2047" s="1306"/>
      <c r="M2047" s="1306"/>
      <c r="N2047" s="1309"/>
      <c r="O2047" s="15"/>
      <c r="P2047" s="1362"/>
      <c r="Q2047" s="2"/>
      <c r="R2047" s="2"/>
      <c r="S2047" s="343"/>
      <c r="T2047" s="343"/>
      <c r="U2047" s="343"/>
      <c r="V2047" s="343"/>
      <c r="W2047" s="343"/>
      <c r="X2047" s="343"/>
      <c r="Y2047" s="343"/>
      <c r="Z2047" s="343"/>
      <c r="AA2047" s="2"/>
      <c r="AB2047" s="2"/>
      <c r="AC2047" s="108" t="b">
        <f>AC2046</f>
        <v>0</v>
      </c>
      <c r="AD2047" s="108" t="b">
        <f t="shared" ref="AD2047:AI2047" si="926">AD2046</f>
        <v>0</v>
      </c>
      <c r="AE2047" s="108" t="b">
        <f t="shared" si="926"/>
        <v>0</v>
      </c>
      <c r="AF2047" s="108" t="b">
        <f t="shared" si="926"/>
        <v>0</v>
      </c>
      <c r="AG2047" s="108" t="b">
        <f t="shared" si="926"/>
        <v>0</v>
      </c>
      <c r="AH2047" s="108" t="b">
        <f t="shared" si="926"/>
        <v>0</v>
      </c>
      <c r="AI2047" s="108" t="b">
        <f t="shared" si="926"/>
        <v>0</v>
      </c>
      <c r="AJ2047" s="553" t="s">
        <v>2248</v>
      </c>
      <c r="AK2047" s="663" t="str">
        <f>IF(AND(CNTR_ExistSubInstEntries,MSconst_RequireSubAttrEmissions,COUNTIFS(AC2047:AI2047,FALSE,H2047:N2047,"")&gt;0),EUconst_Error&amp;"BM"&amp;$Q1825,"")</f>
        <v/>
      </c>
      <c r="AL2047" s="2"/>
    </row>
    <row r="2048" spans="1:38" ht="12.75" customHeight="1" x14ac:dyDescent="0.25">
      <c r="A2048" s="2"/>
      <c r="B2048" s="178"/>
      <c r="C2048" s="779"/>
      <c r="D2048" s="416" t="s">
        <v>72</v>
      </c>
      <c r="E2048" s="2613" t="str">
        <f>Translations!$B$623</f>
        <v>Förbrukad restgas</v>
      </c>
      <c r="F2048" s="1997"/>
      <c r="G2048" s="364" t="str">
        <f>EUconst_TJpa</f>
        <v>TJ / år</v>
      </c>
      <c r="H2048" s="414" t="str">
        <f t="shared" ref="H2048:N2048" si="927">IF(COUNT(H2046:H2047)=2,H2046*H2047/1000,"")</f>
        <v/>
      </c>
      <c r="I2048" s="1108" t="str">
        <f t="shared" si="927"/>
        <v/>
      </c>
      <c r="J2048" s="1114" t="str">
        <f t="shared" si="927"/>
        <v/>
      </c>
      <c r="K2048" s="414" t="str">
        <f t="shared" si="927"/>
        <v/>
      </c>
      <c r="L2048" s="414" t="str">
        <f t="shared" si="927"/>
        <v/>
      </c>
      <c r="M2048" s="414" t="str">
        <f t="shared" si="927"/>
        <v/>
      </c>
      <c r="N2048" s="1147" t="str">
        <f t="shared" si="927"/>
        <v/>
      </c>
      <c r="O2048" s="15"/>
      <c r="P2048" s="15"/>
      <c r="Q2048" s="165" t="str">
        <f>EUconst_CNTR_WGConsumed &amp; I1825</f>
        <v>WasteGasCons_</v>
      </c>
      <c r="R2048" s="2"/>
      <c r="S2048" s="343"/>
      <c r="T2048" s="343"/>
      <c r="U2048" s="343"/>
      <c r="V2048" s="343"/>
      <c r="W2048" s="343"/>
      <c r="X2048" s="343"/>
      <c r="Y2048" s="343"/>
      <c r="Z2048" s="343"/>
      <c r="AA2048" s="2"/>
      <c r="AB2048" s="2"/>
      <c r="AC2048" s="2"/>
      <c r="AD2048" s="2"/>
      <c r="AE2048" s="2"/>
      <c r="AF2048" s="2"/>
      <c r="AG2048" s="2"/>
      <c r="AH2048" s="2"/>
      <c r="AI2048" s="2"/>
      <c r="AJ2048" s="2"/>
      <c r="AK2048" s="2"/>
      <c r="AL2048" s="2"/>
    </row>
    <row r="2049" spans="1:38" ht="12.75" customHeight="1" x14ac:dyDescent="0.25">
      <c r="A2049" s="2"/>
      <c r="B2049" s="178"/>
      <c r="C2049" s="779"/>
      <c r="D2049" s="416" t="s">
        <v>73</v>
      </c>
      <c r="E2049" s="2613" t="str">
        <f>Translations!$B$624</f>
        <v>Särskild emissionsfaktor (förbrukad restgas)</v>
      </c>
      <c r="F2049" s="1997"/>
      <c r="G2049" s="364" t="str">
        <f>EUconst_tCO2pTJ</f>
        <v>t CO2 / TJ</v>
      </c>
      <c r="H2049" s="582"/>
      <c r="I2049" s="1105"/>
      <c r="J2049" s="1115"/>
      <c r="K2049" s="582"/>
      <c r="L2049" s="582"/>
      <c r="M2049" s="582"/>
      <c r="N2049" s="1146"/>
      <c r="O2049" s="15"/>
      <c r="P2049" s="1362"/>
      <c r="Q2049" s="165" t="str">
        <f>EUconst_CNTR_WGConsumedEF &amp; I1825</f>
        <v>WasteGasConsEF_</v>
      </c>
      <c r="R2049" s="2"/>
      <c r="S2049" s="343"/>
      <c r="T2049" s="343"/>
      <c r="U2049" s="343"/>
      <c r="V2049" s="343"/>
      <c r="W2049" s="343"/>
      <c r="X2049" s="343"/>
      <c r="Y2049" s="343"/>
      <c r="Z2049" s="343"/>
      <c r="AA2049" s="2"/>
      <c r="AB2049" s="672" t="s">
        <v>782</v>
      </c>
      <c r="AC2049" s="108" t="b">
        <f>AC2047</f>
        <v>0</v>
      </c>
      <c r="AD2049" s="108" t="b">
        <f t="shared" ref="AD2049:AI2049" si="928">AD2047</f>
        <v>0</v>
      </c>
      <c r="AE2049" s="108" t="b">
        <f t="shared" si="928"/>
        <v>0</v>
      </c>
      <c r="AF2049" s="108" t="b">
        <f t="shared" si="928"/>
        <v>0</v>
      </c>
      <c r="AG2049" s="108" t="b">
        <f t="shared" si="928"/>
        <v>0</v>
      </c>
      <c r="AH2049" s="108" t="b">
        <f t="shared" si="928"/>
        <v>0</v>
      </c>
      <c r="AI2049" s="108" t="b">
        <f t="shared" si="928"/>
        <v>0</v>
      </c>
      <c r="AJ2049" s="553" t="s">
        <v>2248</v>
      </c>
      <c r="AK2049" s="663" t="str">
        <f>IF(AND(CNTR_ExistSubInstEntries,MSconst_RequireSubAttrEmissions,COUNTIFS(AC2049:AI2049,FALSE,H2049:N2049,"")&gt;0),EUconst_Error&amp;"BM"&amp;$Q1825,"")</f>
        <v/>
      </c>
      <c r="AL2049" s="2"/>
    </row>
    <row r="2050" spans="1:38" ht="12.75" customHeight="1" x14ac:dyDescent="0.25">
      <c r="A2050" s="2"/>
      <c r="B2050" s="178"/>
      <c r="C2050" s="779"/>
      <c r="D2050" s="780"/>
      <c r="E2050" s="780"/>
      <c r="F2050" s="780"/>
      <c r="G2050" s="780"/>
      <c r="H2050" s="1805"/>
      <c r="I2050" s="780"/>
      <c r="J2050" s="780"/>
      <c r="K2050" s="780"/>
      <c r="L2050" s="780"/>
      <c r="M2050" s="623"/>
      <c r="N2050" s="519"/>
      <c r="O2050" s="15"/>
      <c r="P2050" s="15"/>
      <c r="Q2050" s="343"/>
      <c r="R2050" s="2"/>
      <c r="S2050" s="343"/>
      <c r="T2050" s="343"/>
      <c r="U2050" s="343"/>
      <c r="V2050" s="343"/>
      <c r="W2050" s="2"/>
      <c r="X2050" s="2"/>
      <c r="Y2050" s="2"/>
      <c r="Z2050" s="2"/>
      <c r="AA2050" s="2"/>
      <c r="AB2050" s="2"/>
      <c r="AC2050" s="2"/>
      <c r="AD2050" s="2"/>
      <c r="AE2050" s="2"/>
      <c r="AF2050" s="2"/>
      <c r="AG2050" s="2"/>
      <c r="AH2050" s="2"/>
      <c r="AI2050" s="2"/>
      <c r="AJ2050" s="2"/>
      <c r="AK2050" s="2"/>
      <c r="AL2050" s="2"/>
    </row>
    <row r="2051" spans="1:38" ht="12.75" customHeight="1" x14ac:dyDescent="0.25">
      <c r="A2051" s="2"/>
      <c r="B2051" s="178"/>
      <c r="C2051" s="779"/>
      <c r="D2051" s="416" t="s">
        <v>74</v>
      </c>
      <c r="E2051" s="2614" t="str">
        <f>Translations!$B$625</f>
        <v>Facklade restgastyper:</v>
      </c>
      <c r="F2051" s="1960"/>
      <c r="G2051" s="1960"/>
      <c r="H2051" s="2520"/>
      <c r="I2051" s="2621"/>
      <c r="J2051" s="2510"/>
      <c r="K2051" s="2510"/>
      <c r="L2051" s="2510"/>
      <c r="M2051" s="2511"/>
      <c r="N2051" s="1807"/>
      <c r="O2051" s="15"/>
      <c r="P2051" s="1362"/>
      <c r="Q2051" s="343"/>
      <c r="R2051" s="2"/>
      <c r="S2051" s="343"/>
      <c r="T2051" s="2"/>
      <c r="U2051" s="2"/>
      <c r="V2051" s="2"/>
      <c r="W2051" s="2"/>
      <c r="X2051" s="2"/>
      <c r="Y2051" s="2"/>
      <c r="Z2051" s="2"/>
      <c r="AA2051" s="2"/>
      <c r="AB2051" s="2"/>
      <c r="AC2051" s="672" t="s">
        <v>782</v>
      </c>
      <c r="AD2051" s="108" t="b">
        <f>AD2042</f>
        <v>0</v>
      </c>
      <c r="AE2051" s="2"/>
      <c r="AF2051" s="2"/>
      <c r="AG2051" s="2"/>
      <c r="AH2051" s="2"/>
      <c r="AI2051" s="2"/>
      <c r="AJ2051" s="2"/>
      <c r="AK2051" s="2"/>
      <c r="AL2051" s="2"/>
    </row>
    <row r="2052" spans="1:38" ht="12.75" customHeight="1" x14ac:dyDescent="0.25">
      <c r="A2052" s="2"/>
      <c r="B2052" s="178"/>
      <c r="C2052" s="779"/>
      <c r="D2052" s="416"/>
      <c r="E2052" s="2610" t="str">
        <f>Translations!$B$626</f>
        <v>Detta innefattar alla restgastyper som i slutändan blir föremål för annan fackling än säkerhetsfackling, antingen inom eller utanför delanläggningen.</v>
      </c>
      <c r="F2052" s="1960"/>
      <c r="G2052" s="1960"/>
      <c r="H2052" s="1960"/>
      <c r="I2052" s="1960"/>
      <c r="J2052" s="1960"/>
      <c r="K2052" s="1960"/>
      <c r="L2052" s="1960"/>
      <c r="M2052" s="1960"/>
      <c r="N2052" s="2597"/>
      <c r="O2052" s="15"/>
      <c r="P2052" s="15"/>
      <c r="Q2052" s="343"/>
      <c r="R2052" s="2"/>
      <c r="S2052" s="2"/>
      <c r="T2052" s="343"/>
      <c r="U2052" s="343"/>
      <c r="V2052" s="343"/>
      <c r="W2052" s="2"/>
      <c r="X2052" s="2"/>
      <c r="Y2052" s="2"/>
      <c r="Z2052" s="2"/>
      <c r="AA2052" s="2"/>
      <c r="AB2052" s="2"/>
      <c r="AC2052" s="2"/>
      <c r="AD2052" s="2"/>
      <c r="AE2052" s="2"/>
      <c r="AF2052" s="2"/>
      <c r="AG2052" s="2"/>
      <c r="AH2052" s="2"/>
      <c r="AI2052" s="2"/>
      <c r="AJ2052" s="2"/>
      <c r="AK2052" s="2"/>
      <c r="AL2052" s="2"/>
    </row>
    <row r="2053" spans="1:38" ht="12.75" customHeight="1" x14ac:dyDescent="0.25">
      <c r="A2053" s="2"/>
      <c r="B2053" s="178"/>
      <c r="C2053" s="779"/>
      <c r="D2053" s="780"/>
      <c r="E2053" s="2610" t="str">
        <f>Translations!$B$627</f>
        <v>De uppgifter som anges här används bara i konsekvenskontrollsyfte och får ingen direkt påverkan på de utsläpp som kan tillskrivas.</v>
      </c>
      <c r="F2053" s="1960"/>
      <c r="G2053" s="1960"/>
      <c r="H2053" s="1960"/>
      <c r="I2053" s="1960"/>
      <c r="J2053" s="1960"/>
      <c r="K2053" s="1960"/>
      <c r="L2053" s="1960"/>
      <c r="M2053" s="1960"/>
      <c r="N2053" s="2597"/>
      <c r="O2053" s="15"/>
      <c r="P2053" s="15"/>
      <c r="Q2053" s="343"/>
      <c r="R2053" s="2"/>
      <c r="S2053" s="343"/>
      <c r="T2053" s="343"/>
      <c r="U2053" s="343"/>
      <c r="V2053" s="343"/>
      <c r="W2053" s="2"/>
      <c r="X2053" s="2"/>
      <c r="Y2053" s="2"/>
      <c r="Z2053" s="2"/>
      <c r="AA2053" s="2"/>
      <c r="AB2053" s="2"/>
      <c r="AC2053" s="2"/>
      <c r="AD2053" s="2"/>
      <c r="AE2053" s="2"/>
      <c r="AF2053" s="2"/>
      <c r="AG2053" s="2"/>
      <c r="AH2053" s="2"/>
      <c r="AI2053" s="2"/>
      <c r="AJ2053" s="2"/>
      <c r="AK2053" s="2"/>
      <c r="AL2053" s="2"/>
    </row>
    <row r="2054" spans="1:38" ht="12.75" customHeight="1" x14ac:dyDescent="0.25">
      <c r="A2054" s="2"/>
      <c r="B2054" s="178"/>
      <c r="C2054" s="779"/>
      <c r="D2054" s="780"/>
      <c r="E2054" s="2596" t="str">
        <f>Translations!$B$628</f>
        <v>Från och med 2026 kommer dock tilldelningen att minskas med avseende på annan fackling av restgaser än säkerhetsfackling.</v>
      </c>
      <c r="F2054" s="1960"/>
      <c r="G2054" s="1960"/>
      <c r="H2054" s="1960"/>
      <c r="I2054" s="1960"/>
      <c r="J2054" s="1960"/>
      <c r="K2054" s="1960"/>
      <c r="L2054" s="1960"/>
      <c r="M2054" s="1960"/>
      <c r="N2054" s="2597"/>
      <c r="O2054" s="15"/>
      <c r="P2054" s="15"/>
      <c r="Q2054" s="343"/>
      <c r="R2054" s="2"/>
      <c r="S2054" s="343"/>
      <c r="T2054" s="343"/>
      <c r="U2054" s="343"/>
      <c r="V2054" s="343"/>
      <c r="W2054" s="343"/>
      <c r="X2054" s="343"/>
      <c r="Y2054" s="343"/>
      <c r="Z2054" s="343"/>
      <c r="AA2054" s="2"/>
      <c r="AB2054" s="2"/>
      <c r="AC2054" s="2"/>
      <c r="AD2054" s="2"/>
      <c r="AE2054" s="2"/>
      <c r="AF2054" s="2"/>
      <c r="AG2054" s="2"/>
      <c r="AH2054" s="2"/>
      <c r="AI2054" s="2"/>
      <c r="AJ2054" s="2"/>
      <c r="AK2054" s="2"/>
      <c r="AL2054" s="2"/>
    </row>
    <row r="2055" spans="1:38" ht="12.75" customHeight="1" thickBot="1" x14ac:dyDescent="0.3">
      <c r="A2055" s="2"/>
      <c r="B2055" s="178"/>
      <c r="C2055" s="779"/>
      <c r="D2055" s="780"/>
      <c r="E2055" s="1716"/>
      <c r="F2055" s="1717"/>
      <c r="G2055" s="361" t="str">
        <f>EUconst_Unit</f>
        <v>Enhet</v>
      </c>
      <c r="H2055" s="362">
        <f t="shared" ref="H2055:N2055" si="929">H$3042</f>
        <v>2019</v>
      </c>
      <c r="I2055" s="1103">
        <f t="shared" si="929"/>
        <v>2020</v>
      </c>
      <c r="J2055" s="1104">
        <f t="shared" si="929"/>
        <v>2021</v>
      </c>
      <c r="K2055" s="362">
        <f t="shared" si="929"/>
        <v>2022</v>
      </c>
      <c r="L2055" s="362">
        <f t="shared" si="929"/>
        <v>2023</v>
      </c>
      <c r="M2055" s="362">
        <f t="shared" si="929"/>
        <v>2024</v>
      </c>
      <c r="N2055" s="1141">
        <f t="shared" si="929"/>
        <v>2025</v>
      </c>
      <c r="O2055" s="15"/>
      <c r="P2055" s="15"/>
      <c r="Q2055" s="343"/>
      <c r="R2055" s="2"/>
      <c r="S2055" s="343"/>
      <c r="T2055" s="343"/>
      <c r="U2055" s="343"/>
      <c r="V2055" s="343"/>
      <c r="W2055" s="343"/>
      <c r="X2055" s="343"/>
      <c r="Y2055" s="343"/>
      <c r="Z2055" s="343"/>
      <c r="AA2055" s="2"/>
      <c r="AB2055" s="2"/>
      <c r="AC2055" s="1044">
        <f t="shared" ref="AC2055:AI2055" si="930">H$20</f>
        <v>2019</v>
      </c>
      <c r="AD2055" s="1044">
        <f t="shared" si="930"/>
        <v>2020</v>
      </c>
      <c r="AE2055" s="1044">
        <f t="shared" si="930"/>
        <v>2021</v>
      </c>
      <c r="AF2055" s="1044">
        <f t="shared" si="930"/>
        <v>2022</v>
      </c>
      <c r="AG2055" s="1044">
        <f t="shared" si="930"/>
        <v>2023</v>
      </c>
      <c r="AH2055" s="1044">
        <f t="shared" si="930"/>
        <v>2024</v>
      </c>
      <c r="AI2055" s="1044">
        <f t="shared" si="930"/>
        <v>2025</v>
      </c>
      <c r="AJ2055" s="2"/>
      <c r="AK2055" s="2"/>
      <c r="AL2055" s="2"/>
    </row>
    <row r="2056" spans="1:38" ht="12.75" customHeight="1" x14ac:dyDescent="0.25">
      <c r="A2056" s="2"/>
      <c r="B2056" s="178"/>
      <c r="C2056" s="779"/>
      <c r="D2056" s="416" t="s">
        <v>1201</v>
      </c>
      <c r="E2056" s="2611" t="str">
        <f>Translations!$B$629</f>
        <v>Facklade mängder</v>
      </c>
      <c r="F2056" s="2484"/>
      <c r="G2056" s="1314" t="s">
        <v>2202</v>
      </c>
      <c r="H2056" s="1298"/>
      <c r="I2056" s="1299"/>
      <c r="J2056" s="1300"/>
      <c r="K2056" s="1298"/>
      <c r="L2056" s="1298"/>
      <c r="M2056" s="1298"/>
      <c r="N2056" s="1301"/>
      <c r="O2056" s="15"/>
      <c r="P2056" s="1362"/>
      <c r="Q2056" s="343"/>
      <c r="R2056" s="2"/>
      <c r="S2056" s="343"/>
      <c r="T2056" s="343"/>
      <c r="U2056" s="343"/>
      <c r="V2056" s="343"/>
      <c r="W2056" s="343"/>
      <c r="X2056" s="343"/>
      <c r="Y2056" s="343"/>
      <c r="Z2056" s="343"/>
      <c r="AA2056" s="2"/>
      <c r="AB2056" s="672" t="s">
        <v>782</v>
      </c>
      <c r="AC2056" s="108" t="b">
        <f>AC2046</f>
        <v>0</v>
      </c>
      <c r="AD2056" s="108" t="b">
        <f t="shared" ref="AD2056:AI2056" si="931">AD2046</f>
        <v>0</v>
      </c>
      <c r="AE2056" s="108" t="b">
        <f t="shared" si="931"/>
        <v>0</v>
      </c>
      <c r="AF2056" s="108" t="b">
        <f t="shared" si="931"/>
        <v>0</v>
      </c>
      <c r="AG2056" s="108" t="b">
        <f t="shared" si="931"/>
        <v>0</v>
      </c>
      <c r="AH2056" s="108" t="b">
        <f t="shared" si="931"/>
        <v>0</v>
      </c>
      <c r="AI2056" s="108" t="b">
        <f t="shared" si="931"/>
        <v>0</v>
      </c>
      <c r="AJ2056" s="553" t="s">
        <v>2248</v>
      </c>
      <c r="AK2056" s="663" t="str">
        <f>IF(AND(CNTR_ExistSubInstEntries,MSconst_RequireSubAttrEmissions,COUNTIFS(AC2056:AI2056,FALSE,H2056:N2056,"")&gt;0),EUconst_Error&amp;"BM"&amp;$Q1825,"")</f>
        <v/>
      </c>
      <c r="AL2056" s="2"/>
    </row>
    <row r="2057" spans="1:38" ht="12.75" customHeight="1" x14ac:dyDescent="0.25">
      <c r="A2057" s="2"/>
      <c r="B2057" s="178"/>
      <c r="C2057" s="779"/>
      <c r="D2057" s="416" t="s">
        <v>1202</v>
      </c>
      <c r="E2057" s="2612" t="str">
        <f>Translations!$B$318</f>
        <v>Effektivt värmevärde</v>
      </c>
      <c r="F2057" s="2487"/>
      <c r="G2057" s="51" t="e">
        <f>IF(ISBLANK(G2056),EUconst_GJperUnit,INDEX(EUconst_GJperTorKNm3,MATCH(G2056,EUconst_TonnesOrkNm3pa,0)))</f>
        <v>#N/A</v>
      </c>
      <c r="H2057" s="1306"/>
      <c r="I2057" s="1307"/>
      <c r="J2057" s="1308"/>
      <c r="K2057" s="1306"/>
      <c r="L2057" s="1306"/>
      <c r="M2057" s="1306"/>
      <c r="N2057" s="1309"/>
      <c r="O2057" s="15"/>
      <c r="P2057" s="1362"/>
      <c r="Q2057" s="2"/>
      <c r="R2057" s="2"/>
      <c r="S2057" s="343"/>
      <c r="T2057" s="343"/>
      <c r="U2057" s="343"/>
      <c r="V2057" s="343"/>
      <c r="W2057" s="343"/>
      <c r="X2057" s="343"/>
      <c r="Y2057" s="343"/>
      <c r="Z2057" s="343"/>
      <c r="AA2057" s="2"/>
      <c r="AB2057" s="2"/>
      <c r="AC2057" s="108" t="b">
        <f>AC2056</f>
        <v>0</v>
      </c>
      <c r="AD2057" s="108" t="b">
        <f t="shared" ref="AD2057:AI2057" si="932">AD2056</f>
        <v>0</v>
      </c>
      <c r="AE2057" s="108" t="b">
        <f t="shared" si="932"/>
        <v>0</v>
      </c>
      <c r="AF2057" s="108" t="b">
        <f t="shared" si="932"/>
        <v>0</v>
      </c>
      <c r="AG2057" s="108" t="b">
        <f t="shared" si="932"/>
        <v>0</v>
      </c>
      <c r="AH2057" s="108" t="b">
        <f t="shared" si="932"/>
        <v>0</v>
      </c>
      <c r="AI2057" s="108" t="b">
        <f t="shared" si="932"/>
        <v>0</v>
      </c>
      <c r="AJ2057" s="553" t="s">
        <v>2248</v>
      </c>
      <c r="AK2057" s="663" t="str">
        <f>IF(AND(CNTR_ExistSubInstEntries,MSconst_RequireSubAttrEmissions,COUNTIFS(AC2057:AI2057,FALSE,H2057:N2057,"")&gt;0),EUconst_Error&amp;"BM"&amp;$Q1825,"")</f>
        <v/>
      </c>
      <c r="AL2057" s="2"/>
    </row>
    <row r="2058" spans="1:38" ht="12.75" customHeight="1" x14ac:dyDescent="0.25">
      <c r="A2058" s="2"/>
      <c r="B2058" s="178"/>
      <c r="C2058" s="779"/>
      <c r="D2058" s="416" t="s">
        <v>1203</v>
      </c>
      <c r="E2058" s="2613" t="str">
        <f>Translations!$B$630</f>
        <v>Facklad restgas</v>
      </c>
      <c r="F2058" s="1997"/>
      <c r="G2058" s="364" t="str">
        <f>EUconst_TJpa</f>
        <v>TJ / år</v>
      </c>
      <c r="H2058" s="414" t="str">
        <f t="shared" ref="H2058:N2058" si="933">IF(COUNT(H2056:H2057)=2,H2056*H2057/1000,"")</f>
        <v/>
      </c>
      <c r="I2058" s="1108" t="str">
        <f t="shared" si="933"/>
        <v/>
      </c>
      <c r="J2058" s="1114" t="str">
        <f t="shared" si="933"/>
        <v/>
      </c>
      <c r="K2058" s="414" t="str">
        <f t="shared" si="933"/>
        <v/>
      </c>
      <c r="L2058" s="414" t="str">
        <f t="shared" si="933"/>
        <v/>
      </c>
      <c r="M2058" s="414" t="str">
        <f t="shared" si="933"/>
        <v/>
      </c>
      <c r="N2058" s="1147" t="str">
        <f t="shared" si="933"/>
        <v/>
      </c>
      <c r="O2058" s="15"/>
      <c r="P2058" s="15"/>
      <c r="Q2058" s="165" t="str">
        <f>EUconst_CNTR_WGFlared &amp; I1825</f>
        <v>WasteGasFlare_</v>
      </c>
      <c r="R2058" s="2"/>
      <c r="S2058" s="343"/>
      <c r="T2058" s="343"/>
      <c r="U2058" s="343"/>
      <c r="V2058" s="343"/>
      <c r="W2058" s="343"/>
      <c r="X2058" s="343"/>
      <c r="Y2058" s="343"/>
      <c r="Z2058" s="343"/>
      <c r="AA2058" s="2"/>
      <c r="AB2058" s="2"/>
      <c r="AC2058" s="2"/>
      <c r="AD2058" s="2"/>
      <c r="AE2058" s="2"/>
      <c r="AF2058" s="2"/>
      <c r="AG2058" s="2"/>
      <c r="AH2058" s="2"/>
      <c r="AI2058" s="2"/>
      <c r="AJ2058" s="2"/>
      <c r="AK2058" s="2"/>
      <c r="AL2058" s="2"/>
    </row>
    <row r="2059" spans="1:38" ht="12.75" customHeight="1" x14ac:dyDescent="0.25">
      <c r="A2059" s="2"/>
      <c r="B2059" s="178"/>
      <c r="C2059" s="779"/>
      <c r="D2059" s="416" t="s">
        <v>1204</v>
      </c>
      <c r="E2059" s="2613" t="str">
        <f>Translations!$B$631</f>
        <v>Särskild emissionsfaktor (facklad restgas)</v>
      </c>
      <c r="F2059" s="1997"/>
      <c r="G2059" s="364" t="str">
        <f>EUconst_tCO2pTJ</f>
        <v>t CO2 / TJ</v>
      </c>
      <c r="H2059" s="582"/>
      <c r="I2059" s="1105"/>
      <c r="J2059" s="1115"/>
      <c r="K2059" s="582"/>
      <c r="L2059" s="582"/>
      <c r="M2059" s="582"/>
      <c r="N2059" s="1146"/>
      <c r="O2059" s="15"/>
      <c r="P2059" s="1362"/>
      <c r="Q2059" s="165" t="str">
        <f>EUconst_CNTR_WGFlaredEF &amp; I1825</f>
        <v>WasteGasFlareEF_</v>
      </c>
      <c r="R2059" s="2"/>
      <c r="S2059" s="343"/>
      <c r="T2059" s="343"/>
      <c r="U2059" s="343"/>
      <c r="V2059" s="343"/>
      <c r="W2059" s="343"/>
      <c r="X2059" s="343"/>
      <c r="Y2059" s="343"/>
      <c r="Z2059" s="343"/>
      <c r="AA2059" s="2"/>
      <c r="AB2059" s="672" t="s">
        <v>782</v>
      </c>
      <c r="AC2059" s="108" t="b">
        <f>AC2057</f>
        <v>0</v>
      </c>
      <c r="AD2059" s="108" t="b">
        <f t="shared" ref="AD2059:AI2059" si="934">AD2057</f>
        <v>0</v>
      </c>
      <c r="AE2059" s="108" t="b">
        <f t="shared" si="934"/>
        <v>0</v>
      </c>
      <c r="AF2059" s="108" t="b">
        <f t="shared" si="934"/>
        <v>0</v>
      </c>
      <c r="AG2059" s="108" t="b">
        <f t="shared" si="934"/>
        <v>0</v>
      </c>
      <c r="AH2059" s="108" t="b">
        <f t="shared" si="934"/>
        <v>0</v>
      </c>
      <c r="AI2059" s="108" t="b">
        <f t="shared" si="934"/>
        <v>0</v>
      </c>
      <c r="AJ2059" s="553" t="s">
        <v>2248</v>
      </c>
      <c r="AK2059" s="663" t="str">
        <f>IF(AND(CNTR_ExistSubInstEntries,MSconst_RequireSubAttrEmissions,COUNTIFS(AC2059:AI2059,FALSE,H2059:N2059,"")&gt;0),EUconst_Error&amp;"BM"&amp;$Q1825,"")</f>
        <v/>
      </c>
      <c r="AL2059" s="2"/>
    </row>
    <row r="2060" spans="1:38" ht="5.15" customHeight="1" thickBot="1" x14ac:dyDescent="0.3">
      <c r="A2060" s="2"/>
      <c r="B2060" s="178"/>
      <c r="C2060" s="779"/>
      <c r="D2060" s="780"/>
      <c r="E2060" s="780"/>
      <c r="F2060" s="780"/>
      <c r="G2060" s="780"/>
      <c r="H2060" s="1805"/>
      <c r="I2060" s="780"/>
      <c r="J2060" s="780"/>
      <c r="K2060" s="780"/>
      <c r="L2060" s="780"/>
      <c r="M2060" s="623"/>
      <c r="N2060" s="519"/>
      <c r="O2060" s="15"/>
      <c r="P2060" s="15"/>
      <c r="Q2060" s="343"/>
      <c r="R2060" s="2"/>
      <c r="S2060" s="343"/>
      <c r="T2060" s="343"/>
      <c r="U2060" s="343"/>
      <c r="V2060" s="343"/>
      <c r="W2060" s="2"/>
      <c r="X2060" s="2"/>
      <c r="Y2060" s="2"/>
      <c r="Z2060" s="2"/>
      <c r="AA2060" s="2"/>
      <c r="AB2060" s="2"/>
      <c r="AC2060" s="2"/>
      <c r="AD2060" s="2"/>
      <c r="AE2060" s="2"/>
      <c r="AF2060" s="2"/>
      <c r="AG2060" s="2"/>
      <c r="AH2060" s="2"/>
      <c r="AI2060" s="2"/>
      <c r="AJ2060" s="2"/>
      <c r="AK2060" s="2"/>
      <c r="AL2060" s="2"/>
    </row>
    <row r="2061" spans="1:38" ht="12.75" customHeight="1" thickBot="1" x14ac:dyDescent="0.3">
      <c r="A2061" s="2"/>
      <c r="B2061" s="178"/>
      <c r="C2061" s="779"/>
      <c r="D2061" s="780"/>
      <c r="E2061" s="2613" t="str">
        <f>Translations!$B$1484</f>
        <v>Mängd facklad restgas</v>
      </c>
      <c r="F2061" s="2613"/>
      <c r="G2061" s="1206" t="str">
        <f>EUconst_tCO2</f>
        <v>t CO2</v>
      </c>
      <c r="H2061" s="626" t="str">
        <f t="shared" ref="H2061:N2061" si="935">IF(T1833,SUM(H2058)*SUM(H2059),"")</f>
        <v/>
      </c>
      <c r="I2061" s="1364" t="str">
        <f t="shared" si="935"/>
        <v/>
      </c>
      <c r="J2061" s="1365" t="str">
        <f t="shared" si="935"/>
        <v/>
      </c>
      <c r="K2061" s="626" t="str">
        <f t="shared" si="935"/>
        <v/>
      </c>
      <c r="L2061" s="626" t="str">
        <f t="shared" si="935"/>
        <v/>
      </c>
      <c r="M2061" s="626" t="str">
        <f t="shared" si="935"/>
        <v/>
      </c>
      <c r="N2061" s="626" t="str">
        <f t="shared" si="935"/>
        <v/>
      </c>
      <c r="O2061" s="15"/>
      <c r="P2061" s="15"/>
      <c r="Q2061" s="165" t="str">
        <f>EUconst_CNTR_HAL &amp; EUconst_CNTR_WGFlared &amp; I1825</f>
        <v>HAL_WasteGasFlare_</v>
      </c>
      <c r="R2061" s="2"/>
      <c r="S2061" s="553" t="s">
        <v>1962</v>
      </c>
      <c r="T2061" s="445" t="b">
        <f>CNTR_SubPeriod=2</f>
        <v>1</v>
      </c>
      <c r="U2061" s="343"/>
      <c r="V2061" s="343"/>
      <c r="W2061" s="2"/>
      <c r="X2061" s="2"/>
      <c r="Y2061" s="2"/>
      <c r="Z2061" s="2"/>
      <c r="AA2061" s="2"/>
      <c r="AB2061" s="2"/>
      <c r="AC2061" s="2"/>
      <c r="AD2061" s="2"/>
      <c r="AE2061" s="2"/>
      <c r="AF2061" s="2"/>
      <c r="AG2061" s="2"/>
      <c r="AH2061" s="2"/>
      <c r="AI2061" s="2"/>
      <c r="AJ2061" s="2"/>
      <c r="AK2061" s="2"/>
      <c r="AL2061" s="2"/>
    </row>
    <row r="2062" spans="1:38" ht="5.15" customHeight="1" thickBot="1" x14ac:dyDescent="0.3">
      <c r="A2062" s="2"/>
      <c r="B2062" s="178"/>
      <c r="C2062" s="779"/>
      <c r="D2062" s="780"/>
      <c r="E2062" s="780"/>
      <c r="F2062" s="780"/>
      <c r="G2062" s="780"/>
      <c r="H2062" s="1805"/>
      <c r="I2062" s="780"/>
      <c r="J2062" s="780"/>
      <c r="K2062" s="780"/>
      <c r="L2062" s="780"/>
      <c r="M2062" s="623"/>
      <c r="N2062" s="519"/>
      <c r="O2062" s="15"/>
      <c r="P2062" s="15"/>
      <c r="Q2062" s="343"/>
      <c r="R2062" s="2"/>
      <c r="S2062" s="343"/>
      <c r="T2062" s="343"/>
      <c r="U2062" s="343"/>
      <c r="V2062" s="343"/>
      <c r="W2062" s="2"/>
      <c r="X2062" s="2"/>
      <c r="Y2062" s="2"/>
      <c r="Z2062" s="2"/>
      <c r="AA2062" s="2"/>
      <c r="AB2062" s="2"/>
      <c r="AC2062" s="2"/>
      <c r="AD2062" s="2"/>
      <c r="AE2062" s="2"/>
      <c r="AF2062" s="2"/>
      <c r="AG2062" s="2"/>
      <c r="AH2062" s="2"/>
      <c r="AI2062" s="2"/>
      <c r="AJ2062" s="2"/>
      <c r="AK2062" s="2"/>
      <c r="AL2062" s="2"/>
    </row>
    <row r="2063" spans="1:38" ht="5.15" customHeight="1" thickBot="1" x14ac:dyDescent="0.3">
      <c r="A2063" s="2"/>
      <c r="B2063" s="178"/>
      <c r="C2063" s="779"/>
      <c r="D2063" s="1263"/>
      <c r="E2063" s="1264"/>
      <c r="F2063" s="1264"/>
      <c r="G2063" s="1264"/>
      <c r="H2063" s="1265"/>
      <c r="I2063" s="1264"/>
      <c r="J2063" s="1264"/>
      <c r="K2063" s="1264"/>
      <c r="L2063" s="1264"/>
      <c r="M2063" s="1266"/>
      <c r="N2063" s="1267"/>
      <c r="O2063" s="15"/>
      <c r="P2063" s="15"/>
      <c r="Q2063" s="343"/>
      <c r="R2063" s="2"/>
      <c r="S2063" s="343"/>
      <c r="T2063" s="343"/>
      <c r="U2063" s="343"/>
      <c r="V2063" s="343"/>
      <c r="W2063" s="2"/>
      <c r="X2063" s="2"/>
      <c r="Y2063" s="2"/>
      <c r="Z2063" s="2"/>
      <c r="AA2063" s="2"/>
      <c r="AB2063" s="2"/>
      <c r="AC2063" s="2"/>
      <c r="AD2063" s="2"/>
      <c r="AE2063" s="2"/>
      <c r="AF2063" s="2"/>
      <c r="AG2063" s="2"/>
      <c r="AH2063" s="2"/>
      <c r="AI2063" s="2"/>
      <c r="AJ2063" s="2"/>
      <c r="AK2063" s="2"/>
      <c r="AL2063" s="2"/>
    </row>
    <row r="2064" spans="1:38" ht="12.75" customHeight="1" x14ac:dyDescent="0.25">
      <c r="A2064" s="2"/>
      <c r="B2064" s="178"/>
      <c r="C2064" s="779"/>
      <c r="D2064" s="1290" t="s">
        <v>2193</v>
      </c>
      <c r="E2064" s="2619" t="str">
        <f>Translations!$B$1485</f>
        <v>Justeringar: facklad restgas</v>
      </c>
      <c r="F2064" s="2497"/>
      <c r="G2064" s="2497"/>
      <c r="H2064" s="1228" t="str">
        <f>EUconst_Unit</f>
        <v>Enhet</v>
      </c>
      <c r="I2064" s="1229" t="str">
        <f>Translations!$B$1481</f>
        <v>Värde (NIMs)</v>
      </c>
      <c r="J2064" s="1268">
        <f>J$3042</f>
        <v>2021</v>
      </c>
      <c r="K2064" s="1230">
        <f>K$3042</f>
        <v>2022</v>
      </c>
      <c r="L2064" s="1230">
        <f>L$3042</f>
        <v>2023</v>
      </c>
      <c r="M2064" s="1230">
        <f>M$3042</f>
        <v>2024</v>
      </c>
      <c r="N2064" s="1258">
        <f>N$3042</f>
        <v>2025</v>
      </c>
      <c r="O2064" s="15"/>
      <c r="P2064" s="15"/>
      <c r="Q2064" s="343"/>
      <c r="R2064" s="2"/>
      <c r="S2064" s="2"/>
      <c r="T2064" s="2"/>
      <c r="U2064" s="772"/>
      <c r="V2064" s="1077">
        <f>J2064</f>
        <v>2021</v>
      </c>
      <c r="W2064" s="1077">
        <f>K2064</f>
        <v>2022</v>
      </c>
      <c r="X2064" s="1077">
        <f>L2064</f>
        <v>2023</v>
      </c>
      <c r="Y2064" s="1077">
        <f>M2064</f>
        <v>2024</v>
      </c>
      <c r="Z2064" s="1078">
        <f>N2064</f>
        <v>2025</v>
      </c>
      <c r="AA2064" s="2"/>
      <c r="AB2064" s="2"/>
      <c r="AC2064" s="2"/>
      <c r="AD2064" s="2"/>
      <c r="AE2064" s="2"/>
      <c r="AF2064" s="2"/>
      <c r="AG2064" s="2"/>
      <c r="AH2064" s="2"/>
      <c r="AI2064" s="2"/>
      <c r="AJ2064" s="2"/>
      <c r="AK2064" s="2"/>
      <c r="AL2064" s="2"/>
    </row>
    <row r="2065" spans="1:38" ht="12.75" customHeight="1" x14ac:dyDescent="0.25">
      <c r="A2065" s="2"/>
      <c r="B2065" s="178"/>
      <c r="C2065" s="779"/>
      <c r="D2065" s="1246" t="s">
        <v>8</v>
      </c>
      <c r="E2065" s="2618" t="str">
        <f>Translations!$B$1482</f>
        <v>Genomsnittligt årligt värde</v>
      </c>
      <c r="F2065" s="1997"/>
      <c r="G2065" s="1997"/>
      <c r="H2065" s="1232" t="str">
        <f>G2061</f>
        <v>t CO2</v>
      </c>
      <c r="I2065" s="990" t="str">
        <f>INDEX('B+C_SubInstallations'!$K:$K,MATCH(Q2065,'B+C_SubInstallations'!$V:$V,0))</f>
        <v/>
      </c>
      <c r="J2065" s="1215" t="str">
        <f>IF($T2061&lt;&gt;TRUE,"",IF(AND(V2065&gt;=3,CNTR_ReportingYear&gt;J2064-1),AVERAGE(SUM(H2061),SUM(I2061)),""))</f>
        <v/>
      </c>
      <c r="K2065" s="1216" t="str">
        <f>IF($T2061&lt;&gt;TRUE,"",IF(AND(W2065&gt;=3,CNTR_ReportingYear&gt;K2064-1),AVERAGE(SUM(I2061),SUM(J2061)),""))</f>
        <v/>
      </c>
      <c r="L2065" s="1216" t="str">
        <f>IF($T2061&lt;&gt;TRUE,"",IF(AND(X2065&gt;=3,CNTR_ReportingYear&gt;L2064-1),AVERAGE(SUM(J2061),SUM(K2061)),""))</f>
        <v/>
      </c>
      <c r="M2065" s="1216" t="str">
        <f>IF($T2061&lt;&gt;TRUE,"",IF(AND(Y2065&gt;=3,CNTR_ReportingYear&gt;M2064-1),AVERAGE(SUM(K2061),SUM(L2061)),""))</f>
        <v/>
      </c>
      <c r="N2065" s="1227" t="str">
        <f>IF($T2061&lt;&gt;TRUE,"",IF(AND(Z2065&gt;=3,CNTR_ReportingYear&gt;N2064-1),AVERAGE(SUM(L2061),SUM(M2061)),""))</f>
        <v/>
      </c>
      <c r="O2065" s="15"/>
      <c r="P2065" s="15"/>
      <c r="Q2065" s="165" t="str">
        <f>EUconst_CNTR_HALinitial &amp; EUconst_CNTR_WGFlared &amp; I1825</f>
        <v>HALini_WasteGasFlare_</v>
      </c>
      <c r="R2065" s="2"/>
      <c r="S2065" s="2"/>
      <c r="T2065" s="2"/>
      <c r="U2065" s="1079" t="s">
        <v>1850</v>
      </c>
      <c r="V2065" s="663">
        <f>V1847</f>
        <v>0</v>
      </c>
      <c r="W2065" s="663">
        <f>W1847</f>
        <v>0</v>
      </c>
      <c r="X2065" s="663">
        <f>X1847</f>
        <v>0</v>
      </c>
      <c r="Y2065" s="663">
        <f>Y1847</f>
        <v>0</v>
      </c>
      <c r="Z2065" s="1080">
        <f>Z1847</f>
        <v>0</v>
      </c>
      <c r="AA2065" s="2"/>
      <c r="AB2065" s="2"/>
      <c r="AC2065" s="2"/>
      <c r="AD2065" s="2"/>
      <c r="AE2065" s="2"/>
      <c r="AF2065" s="2"/>
      <c r="AG2065" s="2"/>
      <c r="AH2065" s="2"/>
      <c r="AI2065" s="2"/>
      <c r="AJ2065" s="2"/>
      <c r="AK2065" s="2"/>
      <c r="AL2065" s="2"/>
    </row>
    <row r="2066" spans="1:38" ht="12.75" hidden="1" customHeight="1" x14ac:dyDescent="0.25">
      <c r="A2066" s="343" t="s">
        <v>346</v>
      </c>
      <c r="B2066" s="178"/>
      <c r="C2066" s="779"/>
      <c r="D2066" s="1246"/>
      <c r="E2066" s="2618" t="s">
        <v>1980</v>
      </c>
      <c r="F2066" s="1997"/>
      <c r="G2066" s="1997"/>
      <c r="H2066" s="1233"/>
      <c r="I2066" s="1235"/>
      <c r="J2066" s="1013" t="str">
        <f>IF(J2065="","",IF($I2068=0,IF(J2065=0,0%,100%),J2065/$I2068-1))</f>
        <v/>
      </c>
      <c r="K2066" s="938" t="str">
        <f>IF(K2065="","",IF($I2068=0,IF(K2065=0,0%,100%),K2065/$I2068-1))</f>
        <v/>
      </c>
      <c r="L2066" s="938" t="str">
        <f>IF(L2065="","",IF($I2068=0,IF(L2065=0,0%,100%),L2065/$I2068-1))</f>
        <v/>
      </c>
      <c r="M2066" s="938" t="str">
        <f>IF(M2065="","",IF($I2068=0,IF(M2065=0,0%,100%),M2065/$I2068-1))</f>
        <v/>
      </c>
      <c r="N2066" s="1223" t="str">
        <f>IF(N2065="","",IF($I2068=0,IF(N2065=0,0%,100%),N2065/$I2068-1))</f>
        <v/>
      </c>
      <c r="O2066" s="15"/>
      <c r="P2066" s="15"/>
      <c r="Q2066" s="165" t="str">
        <f>EUconst_CNTR_RelThreshold &amp; Q2068</f>
        <v>RelThresh_HALprelim_WasteGasFlare_</v>
      </c>
      <c r="R2066" s="2"/>
      <c r="S2066" s="2"/>
      <c r="T2066" s="2"/>
      <c r="U2066" s="1079" t="s">
        <v>1855</v>
      </c>
      <c r="V2066" s="603" t="str">
        <f>IF(J2065="","",ABS(J2066)&gt;15%)</f>
        <v/>
      </c>
      <c r="W2066" s="603" t="str">
        <f>IF(K2065="","",ABS(K2066)&gt;15%)</f>
        <v/>
      </c>
      <c r="X2066" s="603" t="str">
        <f>IF(L2065="","",ABS(L2066)&gt;15%)</f>
        <v/>
      </c>
      <c r="Y2066" s="603" t="str">
        <f>IF(M2065="","",ABS(M2066)&gt;15%)</f>
        <v/>
      </c>
      <c r="Z2066" s="1756" t="str">
        <f>IF(N2065="","",ABS(N2066)&gt;15%)</f>
        <v/>
      </c>
      <c r="AA2066" s="2"/>
      <c r="AB2066" s="2"/>
      <c r="AC2066" s="2"/>
      <c r="AD2066" s="2"/>
      <c r="AE2066" s="2"/>
      <c r="AF2066" s="2"/>
      <c r="AG2066" s="2"/>
      <c r="AH2066" s="2"/>
      <c r="AI2066" s="2"/>
      <c r="AJ2066" s="2"/>
      <c r="AK2066" s="2"/>
      <c r="AL2066" s="2"/>
    </row>
    <row r="2067" spans="1:38" ht="12.75" customHeight="1" x14ac:dyDescent="0.25">
      <c r="A2067" s="343"/>
      <c r="B2067" s="178"/>
      <c r="C2067" s="779"/>
      <c r="D2067" s="1246" t="s">
        <v>9</v>
      </c>
      <c r="E2067" s="2618" t="str">
        <f>Translations!$B$1474</f>
        <v>Preliminär justering (om relativa tröskelvärden överskrids)</v>
      </c>
      <c r="F2067" s="1997"/>
      <c r="G2067" s="1997"/>
      <c r="H2067" s="1233"/>
      <c r="I2067" s="1235"/>
      <c r="J2067" s="992" t="str">
        <f>IF(J2065="","",IF(V2066=FALSE,0%,J2066))</f>
        <v/>
      </c>
      <c r="K2067" s="937" t="str">
        <f>IF(K2065="","",IF(W2066=FALSE,0%,K2066))</f>
        <v/>
      </c>
      <c r="L2067" s="937" t="str">
        <f>IF(L2065="","",IF(X2066=FALSE,0%,L2066))</f>
        <v/>
      </c>
      <c r="M2067" s="937" t="str">
        <f>IF(M2065="","",IF(Y2066=FALSE,0%,M2066))</f>
        <v/>
      </c>
      <c r="N2067" s="1220" t="str">
        <f>IF(N2065="","",IF(Z2066=FALSE,0%,N2066))</f>
        <v/>
      </c>
      <c r="O2067" s="15"/>
      <c r="P2067" s="15"/>
      <c r="Q2067" s="343"/>
      <c r="R2067" s="2"/>
      <c r="S2067" s="2"/>
      <c r="T2067" s="2"/>
      <c r="U2067" s="1081"/>
      <c r="V2067" s="2"/>
      <c r="W2067" s="2"/>
      <c r="X2067" s="2"/>
      <c r="Y2067" s="2"/>
      <c r="Z2067" s="228"/>
      <c r="AA2067" s="2"/>
      <c r="AB2067" s="2"/>
      <c r="AC2067" s="2"/>
      <c r="AD2067" s="2"/>
      <c r="AE2067" s="2"/>
      <c r="AF2067" s="2"/>
      <c r="AG2067" s="2"/>
      <c r="AH2067" s="2"/>
      <c r="AI2067" s="2"/>
      <c r="AJ2067" s="2"/>
      <c r="AK2067" s="2"/>
      <c r="AL2067" s="2"/>
    </row>
    <row r="2068" spans="1:38" ht="12.75" hidden="1" customHeight="1" x14ac:dyDescent="0.25">
      <c r="A2068" s="343" t="s">
        <v>346</v>
      </c>
      <c r="B2068" s="178"/>
      <c r="C2068" s="779"/>
      <c r="D2068" s="1246"/>
      <c r="E2068" s="2618" t="s">
        <v>1889</v>
      </c>
      <c r="F2068" s="1997"/>
      <c r="G2068" s="1997"/>
      <c r="H2068" s="1232" t="str">
        <f>H2065</f>
        <v>t CO2</v>
      </c>
      <c r="I2068" s="990" t="str">
        <f>IF($I1825="","",IF(AB1825=FALSE,EUconst_NA,IF(V1825&gt;($J$3042-3),INDEX(H2061:N2061,MATCH(V1825,H2055:N2055,0)),SUM(I2065))))</f>
        <v/>
      </c>
      <c r="J2068" s="993" t="str">
        <f>IF($I1825="","",IF(V2065&lt;2,SUM(J2061),IF(V2065&lt;3,SUM(I2061),IF(V2068="",I2068,V2068))))</f>
        <v/>
      </c>
      <c r="K2068" s="920" t="str">
        <f>IF($I1825="","",IF(W2065&lt;2,SUM(K2061),IF(W2065&lt;3,SUM(J2061),IF(W2068="",J2068,W2068))))</f>
        <v/>
      </c>
      <c r="L2068" s="920" t="str">
        <f>IF($I1825="","",IF(X2065&lt;2,SUM(L2061),IF(X2065&lt;3,SUM(K2061),IF(X2068="",K2068,X2068))))</f>
        <v/>
      </c>
      <c r="M2068" s="920" t="str">
        <f>IF($I1825="","",IF(Y2065&lt;2,SUM(M2061),IF(Y2065&lt;3,SUM(L2061),IF(Y2068="",L2068,Y2068))))</f>
        <v/>
      </c>
      <c r="N2068" s="1218" t="str">
        <f>IF($I1825="","",IF(Z2065&lt;2,SUM(N2061),IF(Z2065&lt;3,SUM(M2061),IF(Z2068="",M2068,Z2068))))</f>
        <v/>
      </c>
      <c r="O2068" s="15"/>
      <c r="P2068" s="15"/>
      <c r="Q2068" s="165" t="str">
        <f>EUconst_CNTR_HALprelim&amp;EUconst_CNTR_WGFlared &amp; I1825</f>
        <v>HALprelim_WasteGasFlare_</v>
      </c>
      <c r="R2068" s="2"/>
      <c r="S2068" s="2"/>
      <c r="T2068" s="2"/>
      <c r="U2068" s="1079" t="s">
        <v>1898</v>
      </c>
      <c r="V2068" s="1752" t="str">
        <f>IF(J2065="","",IF(CNTR_ReportingYear&lt;J2064,I2067,IF($I2068=0,J2065,$I2068*(1+J2067))))</f>
        <v/>
      </c>
      <c r="W2068" s="1752" t="str">
        <f>IF(K2065="","",IF(CNTR_ReportingYear&lt;K2064,J2067,IF($I2068=0,K2065,$I2068*(1+K2067))))</f>
        <v/>
      </c>
      <c r="X2068" s="1752" t="str">
        <f>IF(L2065="","",IF(CNTR_ReportingYear&lt;L2064,K2067,IF($I2068=0,L2065,$I2068*(1+L2067))))</f>
        <v/>
      </c>
      <c r="Y2068" s="1752" t="str">
        <f>IF(M2065="","",IF(CNTR_ReportingYear&lt;M2064,L2067,IF($I2068=0,M2065,$I2068*(1+M2067))))</f>
        <v/>
      </c>
      <c r="Z2068" s="1761" t="str">
        <f>IF(N2065="","",IF(CNTR_ReportingYear&lt;N2064,M2067,IF($I2068=0,N2065,$I2068*(1+N2067))))</f>
        <v/>
      </c>
      <c r="AA2068" s="2"/>
      <c r="AB2068" s="2"/>
      <c r="AC2068" s="2"/>
      <c r="AD2068" s="2"/>
      <c r="AE2068" s="2"/>
      <c r="AF2068" s="2"/>
      <c r="AG2068" s="2"/>
      <c r="AH2068" s="2"/>
      <c r="AI2068" s="2"/>
      <c r="AJ2068" s="2"/>
      <c r="AK2068" s="2"/>
      <c r="AL2068" s="2"/>
    </row>
    <row r="2069" spans="1:38" ht="5.15" customHeight="1" x14ac:dyDescent="0.25">
      <c r="A2069" s="343"/>
      <c r="B2069" s="178"/>
      <c r="C2069" s="779"/>
      <c r="D2069" s="1246"/>
      <c r="E2069" s="1244"/>
      <c r="F2069" s="1244"/>
      <c r="G2069" s="1244"/>
      <c r="H2069" s="1244"/>
      <c r="I2069" s="1244"/>
      <c r="J2069" s="1236"/>
      <c r="K2069" s="1236"/>
      <c r="L2069" s="1236"/>
      <c r="M2069" s="1236"/>
      <c r="N2069" s="1247"/>
      <c r="O2069" s="15"/>
      <c r="P2069" s="15"/>
      <c r="Q2069" s="343"/>
      <c r="R2069" s="2"/>
      <c r="S2069" s="2"/>
      <c r="T2069" s="2"/>
      <c r="U2069" s="1086"/>
      <c r="V2069" s="343"/>
      <c r="W2069" s="2"/>
      <c r="X2069" s="2"/>
      <c r="Y2069" s="2"/>
      <c r="Z2069" s="228"/>
      <c r="AA2069" s="2"/>
      <c r="AB2069" s="2"/>
      <c r="AC2069" s="2"/>
      <c r="AD2069" s="2"/>
      <c r="AE2069" s="2"/>
      <c r="AF2069" s="2"/>
      <c r="AG2069" s="2"/>
      <c r="AH2069" s="2"/>
      <c r="AI2069" s="2"/>
      <c r="AJ2069" s="2"/>
      <c r="AK2069" s="2"/>
      <c r="AL2069" s="2"/>
    </row>
    <row r="2070" spans="1:38" ht="12.75" customHeight="1" x14ac:dyDescent="0.25">
      <c r="A2070" s="343"/>
      <c r="B2070" s="178"/>
      <c r="C2070" s="779"/>
      <c r="D2070" s="1246"/>
      <c r="E2070" s="2619" t="str">
        <f>Translations!$B$1475</f>
        <v>Faktisk justering (grund för följande år)</v>
      </c>
      <c r="F2070" s="2497"/>
      <c r="G2070" s="2497"/>
      <c r="H2070" s="2497"/>
      <c r="I2070" s="2616"/>
      <c r="J2070" s="1268">
        <f>J$3042</f>
        <v>2021</v>
      </c>
      <c r="K2070" s="1230">
        <f>K$3042</f>
        <v>2022</v>
      </c>
      <c r="L2070" s="1230">
        <f>L$3042</f>
        <v>2023</v>
      </c>
      <c r="M2070" s="1230">
        <f>M$3042</f>
        <v>2024</v>
      </c>
      <c r="N2070" s="1258">
        <f>N$3042</f>
        <v>2025</v>
      </c>
      <c r="O2070" s="15"/>
      <c r="P2070" s="15"/>
      <c r="Q2070" s="343"/>
      <c r="R2070" s="2"/>
      <c r="S2070" s="2"/>
      <c r="T2070" s="2"/>
      <c r="U2070" s="584"/>
      <c r="V2070" s="2"/>
      <c r="W2070" s="2"/>
      <c r="X2070" s="2"/>
      <c r="Y2070" s="2"/>
      <c r="Z2070" s="228"/>
      <c r="AA2070" s="2"/>
      <c r="AB2070" s="2"/>
      <c r="AC2070" s="2"/>
      <c r="AD2070" s="2"/>
      <c r="AE2070" s="2"/>
      <c r="AF2070" s="2"/>
      <c r="AG2070" s="2"/>
      <c r="AH2070" s="2"/>
      <c r="AI2070" s="2"/>
      <c r="AJ2070" s="2"/>
      <c r="AK2070" s="2"/>
      <c r="AL2070" s="2"/>
    </row>
    <row r="2071" spans="1:38" ht="12.75" customHeight="1" x14ac:dyDescent="0.25">
      <c r="A2071" s="343"/>
      <c r="B2071" s="178"/>
      <c r="C2071" s="779"/>
      <c r="D2071" s="1246" t="s">
        <v>10</v>
      </c>
      <c r="E2071" s="2618" t="str">
        <f>Translations!$B$1476</f>
        <v>&gt;= 100 utsläppsrätter kriterium uppnått?</v>
      </c>
      <c r="F2071" s="1997"/>
      <c r="G2071" s="1997"/>
      <c r="H2071" s="1997"/>
      <c r="I2071" s="2620"/>
      <c r="J2071" s="994" t="str">
        <f>IF($I1825="","",INDEX(K_Summary!J:J,MATCH($Q2071,K_Summary!$P:$P,0)))</f>
        <v/>
      </c>
      <c r="K2071" s="912" t="str">
        <f>IF($I1825="","",INDEX(K_Summary!K:K,MATCH($Q2071,K_Summary!$P:$P,0)))</f>
        <v/>
      </c>
      <c r="L2071" s="912" t="str">
        <f>IF($I1825="","",INDEX(K_Summary!L:L,MATCH($Q2071,K_Summary!$P:$P,0)))</f>
        <v/>
      </c>
      <c r="M2071" s="912" t="str">
        <f>IF($I1825="","",INDEX(K_Summary!M:M,MATCH($Q2071,K_Summary!$P:$P,0)))</f>
        <v/>
      </c>
      <c r="N2071" s="1221" t="str">
        <f>IF($I1825="","",INDEX(K_Summary!N:N,MATCH($Q2071,K_Summary!$P:$P,0)))</f>
        <v/>
      </c>
      <c r="O2071" s="15"/>
      <c r="P2071" s="15"/>
      <c r="Q2071" s="165" t="str">
        <f>EUconst_CNTR_100EUA_WGFlare&amp;I1825</f>
        <v>EUA100WGFlare_</v>
      </c>
      <c r="R2071" s="2"/>
      <c r="S2071" s="2"/>
      <c r="T2071" s="2"/>
      <c r="U2071" s="584"/>
      <c r="V2071" s="2"/>
      <c r="W2071" s="2"/>
      <c r="X2071" s="2"/>
      <c r="Y2071" s="2"/>
      <c r="Z2071" s="228"/>
      <c r="AA2071" s="2"/>
      <c r="AB2071" s="2"/>
      <c r="AC2071" s="2"/>
      <c r="AD2071" s="2"/>
      <c r="AE2071" s="2"/>
      <c r="AF2071" s="2"/>
      <c r="AG2071" s="2"/>
      <c r="AH2071" s="2"/>
      <c r="AI2071" s="2"/>
      <c r="AJ2071" s="2"/>
      <c r="AK2071" s="2"/>
      <c r="AL2071" s="2"/>
    </row>
    <row r="2072" spans="1:38" ht="5.15" customHeight="1" thickBot="1" x14ac:dyDescent="0.3">
      <c r="A2072" s="343"/>
      <c r="B2072" s="178"/>
      <c r="C2072" s="779"/>
      <c r="D2072" s="1246"/>
      <c r="E2072" s="1244"/>
      <c r="F2072" s="1244"/>
      <c r="G2072" s="1244"/>
      <c r="H2072" s="1244"/>
      <c r="I2072" s="1244"/>
      <c r="J2072" s="1244"/>
      <c r="K2072" s="1244"/>
      <c r="L2072" s="1244"/>
      <c r="M2072" s="1244"/>
      <c r="N2072" s="1248"/>
      <c r="O2072" s="15"/>
      <c r="P2072" s="15"/>
      <c r="Q2072" s="343"/>
      <c r="R2072" s="2"/>
      <c r="S2072" s="2"/>
      <c r="T2072" s="2"/>
      <c r="U2072" s="1086"/>
      <c r="V2072" s="343"/>
      <c r="W2072" s="2"/>
      <c r="X2072" s="2"/>
      <c r="Y2072" s="2"/>
      <c r="Z2072" s="228"/>
      <c r="AA2072" s="2"/>
      <c r="AB2072" s="2"/>
      <c r="AC2072" s="2"/>
      <c r="AD2072" s="2"/>
      <c r="AE2072" s="2"/>
      <c r="AF2072" s="2"/>
      <c r="AG2072" s="2"/>
      <c r="AH2072" s="2"/>
      <c r="AI2072" s="2"/>
      <c r="AJ2072" s="2"/>
      <c r="AK2072" s="2"/>
      <c r="AL2072" s="2"/>
    </row>
    <row r="2073" spans="1:38" ht="12.75" customHeight="1" thickBot="1" x14ac:dyDescent="0.3">
      <c r="A2073" s="2"/>
      <c r="B2073" s="178"/>
      <c r="C2073" s="779"/>
      <c r="D2073" s="1246" t="s">
        <v>23</v>
      </c>
      <c r="E2073" s="2618" t="str">
        <f>Translations!$B$1477</f>
        <v>Faktisk justering (om alla tröskelvärden överskrids)</v>
      </c>
      <c r="F2073" s="1997"/>
      <c r="G2073" s="1997"/>
      <c r="H2073" s="1997"/>
      <c r="I2073" s="2620"/>
      <c r="J2073" s="1099" t="str">
        <f>IF(J2071="","",IF(OR(J2071,V2065&lt;1),J2067,I2073))</f>
        <v/>
      </c>
      <c r="K2073" s="1100" t="str">
        <f>IF(K2071="","",IF(OR(K2071,W2065&lt;1),K2067,J2073))</f>
        <v/>
      </c>
      <c r="L2073" s="1100" t="str">
        <f>IF(L2071="","",IF(OR(L2071,X2065&lt;1),L2067,K2073))</f>
        <v/>
      </c>
      <c r="M2073" s="1100" t="str">
        <f>IF(M2071="","",IF(OR(M2071,Y2065&lt;1),M2067,L2073))</f>
        <v/>
      </c>
      <c r="N2073" s="1101" t="str">
        <f>IF(N2071="","",IF(OR(N2071,Z2065&lt;1),N2067,M2073))</f>
        <v/>
      </c>
      <c r="O2073" s="15"/>
      <c r="P2073" s="15"/>
      <c r="Q2073" s="343"/>
      <c r="R2073" s="2"/>
      <c r="S2073" s="2"/>
      <c r="T2073" s="2"/>
      <c r="U2073" s="1086" t="s">
        <v>1858</v>
      </c>
      <c r="V2073" s="1068">
        <f>J2070</f>
        <v>2021</v>
      </c>
      <c r="W2073" s="1068">
        <f>K2070</f>
        <v>2022</v>
      </c>
      <c r="X2073" s="1068">
        <f>L2070</f>
        <v>2023</v>
      </c>
      <c r="Y2073" s="1068">
        <f>M2070</f>
        <v>2024</v>
      </c>
      <c r="Z2073" s="1087">
        <f>N2070</f>
        <v>2025</v>
      </c>
      <c r="AA2073" s="2"/>
      <c r="AB2073" s="2"/>
      <c r="AC2073" s="2"/>
      <c r="AD2073" s="2"/>
      <c r="AE2073" s="2"/>
      <c r="AF2073" s="2"/>
      <c r="AG2073" s="2"/>
      <c r="AH2073" s="2"/>
      <c r="AI2073" s="2"/>
      <c r="AJ2073" s="2"/>
      <c r="AK2073" s="2"/>
      <c r="AL2073" s="2"/>
    </row>
    <row r="2074" spans="1:38" ht="12.75" customHeight="1" thickBot="1" x14ac:dyDescent="0.3">
      <c r="A2074" s="343"/>
      <c r="B2074" s="178"/>
      <c r="C2074" s="779"/>
      <c r="D2074" s="1246" t="s">
        <v>859</v>
      </c>
      <c r="E2074" s="2618" t="str">
        <f>Translations!$B$1478</f>
        <v>Faktiskt värde</v>
      </c>
      <c r="F2074" s="1997"/>
      <c r="G2074" s="1997"/>
      <c r="H2074" s="1232" t="str">
        <f>H2065</f>
        <v>t CO2</v>
      </c>
      <c r="I2074" s="990" t="str">
        <f>I2068</f>
        <v/>
      </c>
      <c r="J2074" s="1072" t="str">
        <f>IF($I1825="","",IF(OR($I2074=0,$I2074=EUconst_NA),IF(OR(J2071=TRUE,J2070=$V1825),J2068,SUM(I2074)),IF(J2073="",J2068,$I2074*(1+SUM(J2073)))))</f>
        <v/>
      </c>
      <c r="K2074" s="1073" t="str">
        <f>IF($I1825="","",IF(OR($I2074=0,$I2074=EUconst_NA),IF(OR(K2071=TRUE,K2070=$V1825),K2068,SUM(J2074)),IF(K2073="",K2068,$I2074*(1+SUM(K2073)))))</f>
        <v/>
      </c>
      <c r="L2074" s="1073" t="str">
        <f>IF($I1825="","",IF(OR($I2074=0,$I2074=EUconst_NA),IF(OR(L2071=TRUE,L2070=$V1825),L2068,SUM(K2074)),IF(L2073="",L2068,$I2074*(1+SUM(L2073)))))</f>
        <v/>
      </c>
      <c r="M2074" s="1073" t="str">
        <f>IF($I1825="","",IF(OR($I2074=0,$I2074=EUconst_NA),IF(OR(M2071=TRUE,M2070=$V1825),M2068,SUM(L2074)),IF(M2073="",M2068,$I2074*(1+SUM(M2073)))))</f>
        <v/>
      </c>
      <c r="N2074" s="1074" t="str">
        <f>IF($I1825="","",IF(OR($I2074=0,$I2074=EUconst_NA),IF(OR(N2071=TRUE,N2070=$V1825),N2068,SUM(M2074)),IF(N2073="",N2068,$I2074*(1+SUM(N2073)))))</f>
        <v/>
      </c>
      <c r="O2074" s="15"/>
      <c r="P2074" s="15"/>
      <c r="Q2074" s="165" t="str">
        <f>EUconst_CNTR_HALfinal&amp;EUconst_CNTR_WGFlared &amp; I1825</f>
        <v>HALfinal_WasteGasFlare_</v>
      </c>
      <c r="R2074" s="2"/>
      <c r="S2074" s="2"/>
      <c r="T2074" s="2"/>
      <c r="U2074" s="1765" t="b">
        <v>0</v>
      </c>
      <c r="V2074" s="1757" t="str">
        <f>IF(V2024,IF(J2071=TRUE,V1833,U2074),"")</f>
        <v/>
      </c>
      <c r="W2074" s="1757" t="str">
        <f>IF(W2024,IF(K2071=TRUE,W1833,V2074),"")</f>
        <v/>
      </c>
      <c r="X2074" s="1757" t="str">
        <f>IF(X2024,IF(L2071=TRUE,X1833,W2074),"")</f>
        <v/>
      </c>
      <c r="Y2074" s="1757" t="str">
        <f>IF(Y2024,IF(M2071=TRUE,Y1833,X2074),"")</f>
        <v/>
      </c>
      <c r="Z2074" s="1758" t="str">
        <f>IF(Z2024,IF(N2071=TRUE,Z1833,Y2074),"")</f>
        <v/>
      </c>
      <c r="AA2074" s="2"/>
      <c r="AB2074" s="2"/>
      <c r="AC2074" s="2"/>
      <c r="AD2074" s="2"/>
      <c r="AE2074" s="2"/>
      <c r="AF2074" s="2"/>
      <c r="AG2074" s="2"/>
      <c r="AH2074" s="2"/>
      <c r="AI2074" s="2"/>
      <c r="AJ2074" s="553" t="s">
        <v>2242</v>
      </c>
      <c r="AK2074" s="108" t="str">
        <f>IF(OR(ISERROR(J2074),ISERROR(K2074),ISERROR(L2074),ISERROR(M2074),ISERROR(N2074)),EUconst_Error &amp; "BM" &amp; Q1825,"")</f>
        <v/>
      </c>
      <c r="AL2074" s="2"/>
    </row>
    <row r="2075" spans="1:38" ht="5.15" customHeight="1" thickBot="1" x14ac:dyDescent="0.3">
      <c r="A2075" s="2"/>
      <c r="B2075" s="178"/>
      <c r="C2075" s="779"/>
      <c r="D2075" s="1269"/>
      <c r="E2075" s="1270"/>
      <c r="F2075" s="1270"/>
      <c r="G2075" s="1270"/>
      <c r="H2075" s="1271"/>
      <c r="I2075" s="1270"/>
      <c r="J2075" s="1270"/>
      <c r="K2075" s="1270"/>
      <c r="L2075" s="1270"/>
      <c r="M2075" s="1272"/>
      <c r="N2075" s="1273"/>
      <c r="O2075" s="15"/>
      <c r="P2075" s="15"/>
      <c r="Q2075" s="343"/>
      <c r="R2075" s="2"/>
      <c r="S2075" s="343"/>
      <c r="T2075" s="343"/>
      <c r="U2075" s="343"/>
      <c r="V2075" s="343"/>
      <c r="W2075" s="2"/>
      <c r="X2075" s="2"/>
      <c r="Y2075" s="2"/>
      <c r="Z2075" s="2"/>
      <c r="AA2075" s="2"/>
      <c r="AB2075" s="2"/>
      <c r="AC2075" s="2"/>
      <c r="AD2075" s="2"/>
      <c r="AE2075" s="2"/>
      <c r="AF2075" s="2"/>
      <c r="AG2075" s="2"/>
      <c r="AH2075" s="2"/>
      <c r="AI2075" s="2"/>
      <c r="AJ2075" s="2"/>
      <c r="AK2075" s="2"/>
      <c r="AL2075" s="2"/>
    </row>
    <row r="2076" spans="1:38" ht="5.15" customHeight="1" x14ac:dyDescent="0.25">
      <c r="A2076" s="2"/>
      <c r="B2076" s="178"/>
      <c r="C2076" s="779"/>
      <c r="D2076" s="780"/>
      <c r="E2076" s="780"/>
      <c r="F2076" s="780"/>
      <c r="G2076" s="780"/>
      <c r="H2076" s="1805"/>
      <c r="I2076" s="780"/>
      <c r="J2076" s="780"/>
      <c r="K2076" s="780"/>
      <c r="L2076" s="780"/>
      <c r="M2076" s="623"/>
      <c r="N2076" s="519"/>
      <c r="O2076" s="15"/>
      <c r="P2076" s="15"/>
      <c r="Q2076" s="343"/>
      <c r="R2076" s="2"/>
      <c r="S2076" s="343"/>
      <c r="T2076" s="343"/>
      <c r="U2076" s="343"/>
      <c r="V2076" s="343"/>
      <c r="W2076" s="2"/>
      <c r="X2076" s="2"/>
      <c r="Y2076" s="2"/>
      <c r="Z2076" s="2"/>
      <c r="AA2076" s="2"/>
      <c r="AB2076" s="2"/>
      <c r="AC2076" s="2"/>
      <c r="AD2076" s="2"/>
      <c r="AE2076" s="2"/>
      <c r="AF2076" s="2"/>
      <c r="AG2076" s="2"/>
      <c r="AH2076" s="2"/>
      <c r="AI2076" s="2"/>
      <c r="AJ2076" s="2"/>
      <c r="AK2076" s="2"/>
      <c r="AL2076" s="2"/>
    </row>
    <row r="2077" spans="1:38" ht="12.75" customHeight="1" x14ac:dyDescent="0.25">
      <c r="A2077" s="2"/>
      <c r="B2077" s="178"/>
      <c r="C2077" s="779"/>
      <c r="D2077" s="416" t="s">
        <v>1205</v>
      </c>
      <c r="E2077" s="2614" t="str">
        <f>Translations!$B$632</f>
        <v>Importerade restgastyper:</v>
      </c>
      <c r="F2077" s="1960"/>
      <c r="G2077" s="1960"/>
      <c r="H2077" s="2520"/>
      <c r="I2077" s="2621"/>
      <c r="J2077" s="2510"/>
      <c r="K2077" s="2510"/>
      <c r="L2077" s="2510"/>
      <c r="M2077" s="2511"/>
      <c r="N2077" s="519"/>
      <c r="O2077" s="15"/>
      <c r="P2077" s="1362"/>
      <c r="Q2077" s="343"/>
      <c r="R2077" s="2"/>
      <c r="S2077" s="343"/>
      <c r="T2077" s="2"/>
      <c r="U2077" s="2"/>
      <c r="V2077" s="2"/>
      <c r="W2077" s="2"/>
      <c r="X2077" s="2"/>
      <c r="Y2077" s="2"/>
      <c r="Z2077" s="2"/>
      <c r="AA2077" s="2"/>
      <c r="AB2077" s="2"/>
      <c r="AC2077" s="672" t="s">
        <v>782</v>
      </c>
      <c r="AD2077" s="108" t="b">
        <f>AD2051</f>
        <v>0</v>
      </c>
      <c r="AE2077" s="2"/>
      <c r="AF2077" s="2"/>
      <c r="AG2077" s="2"/>
      <c r="AH2077" s="2"/>
      <c r="AI2077" s="2"/>
      <c r="AJ2077" s="2"/>
      <c r="AK2077" s="2"/>
      <c r="AL2077" s="2"/>
    </row>
    <row r="2078" spans="1:38" ht="12.75" customHeight="1" x14ac:dyDescent="0.25">
      <c r="A2078" s="2"/>
      <c r="B2078" s="178"/>
      <c r="C2078" s="779"/>
      <c r="D2078" s="416"/>
      <c r="E2078" s="2596" t="str">
        <f>Translations!$B$633</f>
        <v>De uppgifter som anges här påverkar de utsläpp som kan tillskrivas i enlighet med avsnitt 10.1.5 i bilaga VII till FAR.</v>
      </c>
      <c r="F2078" s="1960"/>
      <c r="G2078" s="1960"/>
      <c r="H2078" s="1960"/>
      <c r="I2078" s="1960"/>
      <c r="J2078" s="1960"/>
      <c r="K2078" s="1960"/>
      <c r="L2078" s="1960"/>
      <c r="M2078" s="1960"/>
      <c r="N2078" s="2597"/>
      <c r="O2078" s="15"/>
      <c r="P2078" s="15"/>
      <c r="Q2078" s="343"/>
      <c r="R2078" s="2"/>
      <c r="S2078" s="343"/>
      <c r="T2078" s="343"/>
      <c r="U2078" s="343"/>
      <c r="V2078" s="343"/>
      <c r="W2078" s="2"/>
      <c r="X2078" s="2"/>
      <c r="Y2078" s="2"/>
      <c r="Z2078" s="2"/>
      <c r="AA2078" s="2"/>
      <c r="AB2078" s="2"/>
      <c r="AC2078" s="2"/>
      <c r="AD2078" s="2"/>
      <c r="AE2078" s="2"/>
      <c r="AF2078" s="2"/>
      <c r="AG2078" s="2"/>
      <c r="AH2078" s="2"/>
      <c r="AI2078" s="2"/>
      <c r="AJ2078" s="2"/>
      <c r="AK2078" s="2"/>
      <c r="AL2078" s="2"/>
    </row>
    <row r="2079" spans="1:38" ht="25.5" customHeight="1" x14ac:dyDescent="0.25">
      <c r="A2079" s="2"/>
      <c r="B2079" s="178"/>
      <c r="C2079" s="779"/>
      <c r="D2079" s="416"/>
      <c r="E2079" s="2610" t="str">
        <f>Translations!$B$634</f>
        <v>Detta innefattar alla restgastyper som produceras utanför delanläggningens systemgränser men som importeras till delanläggningen och används för produktion av mätbar värme, icke-mätbar värme (inklusive för säkerhetsfackling) eller mekanisk energi (annat än för elproduktion).</v>
      </c>
      <c r="F2079" s="1960"/>
      <c r="G2079" s="1960"/>
      <c r="H2079" s="1960"/>
      <c r="I2079" s="1960"/>
      <c r="J2079" s="1960"/>
      <c r="K2079" s="1960"/>
      <c r="L2079" s="1960"/>
      <c r="M2079" s="1960"/>
      <c r="N2079" s="2597"/>
      <c r="O2079" s="15"/>
      <c r="P2079" s="15"/>
      <c r="Q2079" s="343"/>
      <c r="R2079" s="2"/>
      <c r="S2079" s="343"/>
      <c r="T2079" s="343"/>
      <c r="U2079" s="343"/>
      <c r="V2079" s="343"/>
      <c r="W2079" s="2"/>
      <c r="X2079" s="2"/>
      <c r="Y2079" s="2"/>
      <c r="Z2079" s="2"/>
      <c r="AA2079" s="2"/>
      <c r="AB2079" s="2"/>
      <c r="AC2079" s="2"/>
      <c r="AD2079" s="2"/>
      <c r="AE2079" s="2"/>
      <c r="AF2079" s="2"/>
      <c r="AG2079" s="2"/>
      <c r="AH2079" s="2"/>
      <c r="AI2079" s="2"/>
      <c r="AJ2079" s="2"/>
      <c r="AK2079" s="2"/>
      <c r="AL2079" s="2"/>
    </row>
    <row r="2080" spans="1:38" ht="12.75" customHeight="1" thickBot="1" x14ac:dyDescent="0.3">
      <c r="A2080" s="2"/>
      <c r="B2080" s="178"/>
      <c r="C2080" s="779"/>
      <c r="D2080" s="780"/>
      <c r="E2080" s="1716"/>
      <c r="F2080" s="1717"/>
      <c r="G2080" s="361" t="str">
        <f>EUconst_Unit</f>
        <v>Enhet</v>
      </c>
      <c r="H2080" s="362">
        <f t="shared" ref="H2080:N2080" si="936">H$3042</f>
        <v>2019</v>
      </c>
      <c r="I2080" s="1103">
        <f t="shared" si="936"/>
        <v>2020</v>
      </c>
      <c r="J2080" s="1104">
        <f t="shared" si="936"/>
        <v>2021</v>
      </c>
      <c r="K2080" s="362">
        <f t="shared" si="936"/>
        <v>2022</v>
      </c>
      <c r="L2080" s="362">
        <f t="shared" si="936"/>
        <v>2023</v>
      </c>
      <c r="M2080" s="362">
        <f t="shared" si="936"/>
        <v>2024</v>
      </c>
      <c r="N2080" s="1141">
        <f t="shared" si="936"/>
        <v>2025</v>
      </c>
      <c r="O2080" s="15"/>
      <c r="P2080" s="15"/>
      <c r="Q2080" s="343"/>
      <c r="R2080" s="2"/>
      <c r="S2080" s="343"/>
      <c r="T2080" s="343"/>
      <c r="U2080" s="343"/>
      <c r="V2080" s="343"/>
      <c r="W2080" s="2"/>
      <c r="X2080" s="2"/>
      <c r="Y2080" s="2"/>
      <c r="Z2080" s="2"/>
      <c r="AA2080" s="2"/>
      <c r="AB2080" s="2"/>
      <c r="AC2080" s="1044">
        <f t="shared" ref="AC2080:AI2080" si="937">H$20</f>
        <v>2019</v>
      </c>
      <c r="AD2080" s="1044">
        <f t="shared" si="937"/>
        <v>2020</v>
      </c>
      <c r="AE2080" s="1044">
        <f t="shared" si="937"/>
        <v>2021</v>
      </c>
      <c r="AF2080" s="1044">
        <f t="shared" si="937"/>
        <v>2022</v>
      </c>
      <c r="AG2080" s="1044">
        <f t="shared" si="937"/>
        <v>2023</v>
      </c>
      <c r="AH2080" s="1044">
        <f t="shared" si="937"/>
        <v>2024</v>
      </c>
      <c r="AI2080" s="1044">
        <f t="shared" si="937"/>
        <v>2025</v>
      </c>
      <c r="AJ2080" s="2"/>
      <c r="AK2080" s="2"/>
      <c r="AL2080" s="2"/>
    </row>
    <row r="2081" spans="1:38" ht="12.75" customHeight="1" thickBot="1" x14ac:dyDescent="0.3">
      <c r="A2081" s="2"/>
      <c r="B2081" s="178"/>
      <c r="C2081" s="779"/>
      <c r="D2081" s="416" t="s">
        <v>1206</v>
      </c>
      <c r="E2081" s="2611" t="str">
        <f>Translations!$B$635</f>
        <v>Importerade mängder</v>
      </c>
      <c r="F2081" s="2484"/>
      <c r="G2081" s="1314"/>
      <c r="H2081" s="1298"/>
      <c r="I2081" s="1299"/>
      <c r="J2081" s="1300"/>
      <c r="K2081" s="1298"/>
      <c r="L2081" s="1298"/>
      <c r="M2081" s="1298"/>
      <c r="N2081" s="1301"/>
      <c r="O2081" s="15"/>
      <c r="P2081" s="1362"/>
      <c r="Q2081" s="343"/>
      <c r="R2081" s="2"/>
      <c r="S2081" s="343"/>
      <c r="T2081" s="343"/>
      <c r="U2081" s="343"/>
      <c r="V2081" s="343"/>
      <c r="W2081" s="2"/>
      <c r="X2081" s="2"/>
      <c r="Y2081" s="2"/>
      <c r="Z2081" s="2"/>
      <c r="AA2081" s="2"/>
      <c r="AB2081" s="672" t="s">
        <v>782</v>
      </c>
      <c r="AC2081" s="108" t="b">
        <f t="shared" ref="AC2081:AI2081" si="938">AC2037</f>
        <v>0</v>
      </c>
      <c r="AD2081" s="108" t="b">
        <f t="shared" si="938"/>
        <v>0</v>
      </c>
      <c r="AE2081" s="108" t="b">
        <f t="shared" si="938"/>
        <v>0</v>
      </c>
      <c r="AF2081" s="108" t="b">
        <f t="shared" si="938"/>
        <v>0</v>
      </c>
      <c r="AG2081" s="108" t="b">
        <f t="shared" si="938"/>
        <v>0</v>
      </c>
      <c r="AH2081" s="108" t="b">
        <f t="shared" si="938"/>
        <v>0</v>
      </c>
      <c r="AI2081" s="108" t="b">
        <f t="shared" si="938"/>
        <v>0</v>
      </c>
      <c r="AJ2081" s="553" t="s">
        <v>2248</v>
      </c>
      <c r="AK2081" s="663" t="str">
        <f>IF(AND(CNTR_ExistSubInstEntries,MSconst_RequireSubAttrEmissions,COUNTIFS(AC2081:AI2081,FALSE,H2081:N2081,"")&gt;0),EUconst_Error&amp;"BM"&amp;$Q1825,"")</f>
        <v/>
      </c>
      <c r="AL2081" s="2"/>
    </row>
    <row r="2082" spans="1:38" ht="12.75" customHeight="1" x14ac:dyDescent="0.25">
      <c r="A2082" s="2"/>
      <c r="B2082" s="178"/>
      <c r="C2082" s="779"/>
      <c r="D2082" s="416" t="s">
        <v>1207</v>
      </c>
      <c r="E2082" s="2612" t="str">
        <f>Translations!$B$318</f>
        <v>Effektivt värmevärde</v>
      </c>
      <c r="F2082" s="2487"/>
      <c r="G2082" s="51" t="str">
        <f>IF(ISBLANK(G2081),EUconst_GJperUnit,INDEX(EUconst_GJperTorKNm3,MATCH(G2081,EUconst_TonnesOrkNm3pa,0)))</f>
        <v>GJ / Enhet</v>
      </c>
      <c r="H2082" s="1306"/>
      <c r="I2082" s="1307"/>
      <c r="J2082" s="1308"/>
      <c r="K2082" s="1306"/>
      <c r="L2082" s="1306"/>
      <c r="M2082" s="1306"/>
      <c r="N2082" s="1309"/>
      <c r="O2082" s="15"/>
      <c r="P2082" s="1362"/>
      <c r="Q2082" s="343"/>
      <c r="R2082" s="2"/>
      <c r="S2082" s="772"/>
      <c r="T2082" s="609">
        <f t="shared" ref="T2082:Z2082" si="939">H2080</f>
        <v>2019</v>
      </c>
      <c r="U2082" s="609">
        <f t="shared" si="939"/>
        <v>2020</v>
      </c>
      <c r="V2082" s="609">
        <f t="shared" si="939"/>
        <v>2021</v>
      </c>
      <c r="W2082" s="609">
        <f t="shared" si="939"/>
        <v>2022</v>
      </c>
      <c r="X2082" s="609">
        <f t="shared" si="939"/>
        <v>2023</v>
      </c>
      <c r="Y2082" s="609">
        <f t="shared" si="939"/>
        <v>2024</v>
      </c>
      <c r="Z2082" s="610">
        <f t="shared" si="939"/>
        <v>2025</v>
      </c>
      <c r="AA2082" s="2"/>
      <c r="AB2082" s="2"/>
      <c r="AC2082" s="108" t="b">
        <f>AC2081</f>
        <v>0</v>
      </c>
      <c r="AD2082" s="108" t="b">
        <f t="shared" ref="AD2082:AI2082" si="940">AD2081</f>
        <v>0</v>
      </c>
      <c r="AE2082" s="108" t="b">
        <f t="shared" si="940"/>
        <v>0</v>
      </c>
      <c r="AF2082" s="108" t="b">
        <f t="shared" si="940"/>
        <v>0</v>
      </c>
      <c r="AG2082" s="108" t="b">
        <f t="shared" si="940"/>
        <v>0</v>
      </c>
      <c r="AH2082" s="108" t="b">
        <f t="shared" si="940"/>
        <v>0</v>
      </c>
      <c r="AI2082" s="108" t="b">
        <f t="shared" si="940"/>
        <v>0</v>
      </c>
      <c r="AJ2082" s="553" t="s">
        <v>2248</v>
      </c>
      <c r="AK2082" s="663" t="str">
        <f>IF(AND(CNTR_ExistSubInstEntries,MSconst_RequireSubAttrEmissions,COUNTIFS(AC2082:AI2082,FALSE,H2082:N2082,"")&gt;0),EUconst_Error&amp;"BM"&amp;$Q1825,"")</f>
        <v/>
      </c>
      <c r="AL2082" s="2"/>
    </row>
    <row r="2083" spans="1:38" ht="12.75" customHeight="1" x14ac:dyDescent="0.25">
      <c r="A2083" s="2"/>
      <c r="B2083" s="178"/>
      <c r="C2083" s="779"/>
      <c r="D2083" s="416" t="s">
        <v>1208</v>
      </c>
      <c r="E2083" s="2613" t="str">
        <f>Translations!$B$636</f>
        <v>Importerad restgas</v>
      </c>
      <c r="F2083" s="1997"/>
      <c r="G2083" s="364" t="str">
        <f>EUconst_TJpa</f>
        <v>TJ / år</v>
      </c>
      <c r="H2083" s="351" t="str">
        <f t="shared" ref="H2083:N2083" si="941">IF(COUNT(H2081:H2082)=2,H2081*H2082/1000,"")</f>
        <v/>
      </c>
      <c r="I2083" s="1107" t="str">
        <f t="shared" si="941"/>
        <v/>
      </c>
      <c r="J2083" s="1113" t="str">
        <f t="shared" si="941"/>
        <v/>
      </c>
      <c r="K2083" s="351" t="str">
        <f t="shared" si="941"/>
        <v/>
      </c>
      <c r="L2083" s="351" t="str">
        <f t="shared" si="941"/>
        <v/>
      </c>
      <c r="M2083" s="351" t="str">
        <f t="shared" si="941"/>
        <v/>
      </c>
      <c r="N2083" s="1148" t="str">
        <f t="shared" si="941"/>
        <v/>
      </c>
      <c r="O2083" s="15"/>
      <c r="P2083" s="15"/>
      <c r="Q2083" s="165" t="str">
        <f>EUconst_CNTR_WGImport &amp; I1825</f>
        <v>WasteGasIm_</v>
      </c>
      <c r="R2083" s="2"/>
      <c r="S2083" s="1751" t="str">
        <f>EUconst_ERR_AttrEmBMapplied &amp; I1825</f>
        <v>ERR_AttrEmBM_</v>
      </c>
      <c r="T2083" s="108">
        <f t="shared" ref="T2083:Z2083" si="942">IF(AND(H2083&lt;&gt;"",EUconst_StatusOfDataCollection=FALSE),1,0)</f>
        <v>0</v>
      </c>
      <c r="U2083" s="108">
        <f t="shared" si="942"/>
        <v>0</v>
      </c>
      <c r="V2083" s="108">
        <f t="shared" si="942"/>
        <v>0</v>
      </c>
      <c r="W2083" s="108">
        <f t="shared" si="942"/>
        <v>0</v>
      </c>
      <c r="X2083" s="108">
        <f t="shared" si="942"/>
        <v>0</v>
      </c>
      <c r="Y2083" s="108">
        <f t="shared" si="942"/>
        <v>0</v>
      </c>
      <c r="Z2083" s="109">
        <f t="shared" si="942"/>
        <v>0</v>
      </c>
      <c r="AA2083" s="2"/>
      <c r="AB2083" s="2"/>
      <c r="AC2083" s="2"/>
      <c r="AD2083" s="2"/>
      <c r="AE2083" s="2"/>
      <c r="AF2083" s="2"/>
      <c r="AG2083" s="2"/>
      <c r="AH2083" s="2"/>
      <c r="AI2083" s="2"/>
      <c r="AJ2083" s="2"/>
      <c r="AK2083" s="2"/>
      <c r="AL2083" s="2"/>
    </row>
    <row r="2084" spans="1:38" s="534" customFormat="1" ht="12.75" customHeight="1" thickBot="1" x14ac:dyDescent="0.3">
      <c r="A2084" s="343"/>
      <c r="B2084" s="178"/>
      <c r="C2084" s="779"/>
      <c r="D2084" s="416" t="s">
        <v>1209</v>
      </c>
      <c r="E2084" s="2613" t="str">
        <f>Translations!$B$637</f>
        <v>Särskild emissionsfaktor (importerad restgas)</v>
      </c>
      <c r="F2084" s="1997"/>
      <c r="G2084" s="363" t="str">
        <f>EUconst_tCO2pTJ</f>
        <v>t CO2 / TJ</v>
      </c>
      <c r="H2084" s="1315"/>
      <c r="I2084" s="1316"/>
      <c r="J2084" s="1317"/>
      <c r="K2084" s="1315"/>
      <c r="L2084" s="1315"/>
      <c r="M2084" s="1315"/>
      <c r="N2084" s="1318"/>
      <c r="O2084" s="15"/>
      <c r="P2084" s="1362"/>
      <c r="Q2084" s="165" t="str">
        <f>EUconst_CNTR_WGImportEF &amp; I1825</f>
        <v>WasteGasImEF_</v>
      </c>
      <c r="R2084" s="343"/>
      <c r="S2084" s="773" t="str">
        <f>EUconst_CNTR_AttributedEmissions &amp; I1825</f>
        <v>AttrEmissions_</v>
      </c>
      <c r="T2084" s="111" t="str">
        <f t="shared" ref="T2084:Z2084" si="943">IF(T1833,SUM(H2083)*EUconst_FuelBMvalue,"")</f>
        <v/>
      </c>
      <c r="U2084" s="111" t="str">
        <f t="shared" si="943"/>
        <v/>
      </c>
      <c r="V2084" s="111" t="str">
        <f t="shared" si="943"/>
        <v/>
      </c>
      <c r="W2084" s="111" t="str">
        <f t="shared" si="943"/>
        <v/>
      </c>
      <c r="X2084" s="111" t="str">
        <f t="shared" si="943"/>
        <v/>
      </c>
      <c r="Y2084" s="111" t="str">
        <f t="shared" si="943"/>
        <v/>
      </c>
      <c r="Z2084" s="112" t="str">
        <f t="shared" si="943"/>
        <v/>
      </c>
      <c r="AA2084" s="343"/>
      <c r="AB2084" s="672" t="s">
        <v>782</v>
      </c>
      <c r="AC2084" s="108" t="b">
        <f>AC2082</f>
        <v>0</v>
      </c>
      <c r="AD2084" s="108" t="b">
        <f t="shared" ref="AD2084:AI2084" si="944">AD2082</f>
        <v>0</v>
      </c>
      <c r="AE2084" s="108" t="b">
        <f t="shared" si="944"/>
        <v>0</v>
      </c>
      <c r="AF2084" s="108" t="b">
        <f t="shared" si="944"/>
        <v>0</v>
      </c>
      <c r="AG2084" s="108" t="b">
        <f t="shared" si="944"/>
        <v>0</v>
      </c>
      <c r="AH2084" s="108" t="b">
        <f t="shared" si="944"/>
        <v>0</v>
      </c>
      <c r="AI2084" s="108" t="b">
        <f t="shared" si="944"/>
        <v>0</v>
      </c>
      <c r="AJ2084" s="553" t="s">
        <v>2248</v>
      </c>
      <c r="AK2084" s="663" t="str">
        <f>IF(AND(CNTR_ExistSubInstEntries,MSconst_RequireSubAttrEmissions,COUNTIFS(AC2084:AI2084,FALSE,H2084:N2084,"")&gt;0),EUconst_Error&amp;"BM"&amp;$Q1825,"")</f>
        <v/>
      </c>
      <c r="AL2084" s="2"/>
    </row>
    <row r="2085" spans="1:38" ht="12.75" customHeight="1" x14ac:dyDescent="0.25">
      <c r="A2085" s="2"/>
      <c r="B2085" s="178"/>
      <c r="C2085" s="779"/>
      <c r="D2085" s="780"/>
      <c r="E2085" s="780"/>
      <c r="F2085" s="780"/>
      <c r="G2085" s="780"/>
      <c r="H2085" s="1805"/>
      <c r="I2085" s="780"/>
      <c r="J2085" s="780"/>
      <c r="K2085" s="780"/>
      <c r="L2085" s="780"/>
      <c r="M2085" s="623"/>
      <c r="N2085" s="519"/>
      <c r="O2085" s="15"/>
      <c r="P2085" s="15"/>
      <c r="Q2085" s="343"/>
      <c r="R2085" s="2"/>
      <c r="S2085" s="343"/>
      <c r="T2085" s="343"/>
      <c r="U2085" s="343"/>
      <c r="V2085" s="343"/>
      <c r="W2085" s="2"/>
      <c r="X2085" s="2"/>
      <c r="Y2085" s="2"/>
      <c r="Z2085" s="2"/>
      <c r="AA2085" s="2"/>
      <c r="AB2085" s="2"/>
      <c r="AC2085" s="2"/>
      <c r="AD2085" s="2"/>
      <c r="AE2085" s="2"/>
      <c r="AF2085" s="2"/>
      <c r="AG2085" s="2"/>
      <c r="AH2085" s="2"/>
      <c r="AI2085" s="2"/>
      <c r="AJ2085" s="2"/>
      <c r="AK2085" s="2"/>
      <c r="AL2085" s="2"/>
    </row>
    <row r="2086" spans="1:38" ht="12.75" customHeight="1" x14ac:dyDescent="0.25">
      <c r="A2086" s="2"/>
      <c r="B2086" s="178"/>
      <c r="C2086" s="779"/>
      <c r="D2086" s="416" t="s">
        <v>1210</v>
      </c>
      <c r="E2086" s="2614" t="str">
        <f>Translations!$B$638</f>
        <v>Exporterade restgastyper:</v>
      </c>
      <c r="F2086" s="1960"/>
      <c r="G2086" s="1960"/>
      <c r="H2086" s="2520"/>
      <c r="I2086" s="2621"/>
      <c r="J2086" s="2510"/>
      <c r="K2086" s="2510"/>
      <c r="L2086" s="2510"/>
      <c r="M2086" s="2511"/>
      <c r="N2086" s="1807"/>
      <c r="O2086" s="15"/>
      <c r="P2086" s="1362"/>
      <c r="Q2086" s="343"/>
      <c r="R2086" s="2"/>
      <c r="S2086" s="343"/>
      <c r="T2086" s="2"/>
      <c r="U2086" s="2"/>
      <c r="V2086" s="2"/>
      <c r="W2086" s="2"/>
      <c r="X2086" s="2"/>
      <c r="Y2086" s="2"/>
      <c r="Z2086" s="2"/>
      <c r="AA2086" s="2"/>
      <c r="AB2086" s="2"/>
      <c r="AC2086" s="672" t="s">
        <v>782</v>
      </c>
      <c r="AD2086" s="108" t="b">
        <f>AD2077</f>
        <v>0</v>
      </c>
      <c r="AE2086" s="2"/>
      <c r="AF2086" s="2"/>
      <c r="AG2086" s="2"/>
      <c r="AH2086" s="2"/>
      <c r="AI2086" s="2"/>
      <c r="AJ2086" s="2"/>
      <c r="AK2086" s="2"/>
      <c r="AL2086" s="2"/>
    </row>
    <row r="2087" spans="1:38" ht="12.75" customHeight="1" x14ac:dyDescent="0.25">
      <c r="A2087" s="2"/>
      <c r="B2087" s="178"/>
      <c r="C2087" s="779"/>
      <c r="D2087" s="416"/>
      <c r="E2087" s="2596" t="str">
        <f>Translations!$B$633</f>
        <v>De uppgifter som anges här påverkar de utsläpp som kan tillskrivas i enlighet med avsnitt 10.1.5 i bilaga VII till FAR.</v>
      </c>
      <c r="F2087" s="1960"/>
      <c r="G2087" s="1960"/>
      <c r="H2087" s="1960"/>
      <c r="I2087" s="1960"/>
      <c r="J2087" s="1960"/>
      <c r="K2087" s="1960"/>
      <c r="L2087" s="1960"/>
      <c r="M2087" s="1960"/>
      <c r="N2087" s="2597"/>
      <c r="O2087" s="15"/>
      <c r="P2087" s="15"/>
      <c r="Q2087" s="343"/>
      <c r="R2087" s="2"/>
      <c r="S2087" s="343"/>
      <c r="T2087" s="343"/>
      <c r="U2087" s="343"/>
      <c r="V2087" s="343"/>
      <c r="W2087" s="2"/>
      <c r="X2087" s="2"/>
      <c r="Y2087" s="2"/>
      <c r="Z2087" s="2"/>
      <c r="AA2087" s="2"/>
      <c r="AB2087" s="2"/>
      <c r="AC2087" s="2"/>
      <c r="AD2087" s="2"/>
      <c r="AE2087" s="2"/>
      <c r="AF2087" s="2"/>
      <c r="AG2087" s="2"/>
      <c r="AH2087" s="2"/>
      <c r="AI2087" s="2"/>
      <c r="AJ2087" s="2"/>
      <c r="AK2087" s="2"/>
      <c r="AL2087" s="2"/>
    </row>
    <row r="2088" spans="1:38" ht="25.5" customHeight="1" x14ac:dyDescent="0.25">
      <c r="A2088" s="2"/>
      <c r="B2088" s="178"/>
      <c r="C2088" s="779"/>
      <c r="D2088" s="416"/>
      <c r="E2088" s="2610" t="str">
        <f>Translations!$B$639</f>
        <v>Detta innefattar alla restgastyper som produceras inom delanläggningens systemgränser och som exporteras från delanläggningen till en annan delanläggning samt till eventuella andra anläggningar eller enheter.</v>
      </c>
      <c r="F2088" s="1960"/>
      <c r="G2088" s="1960"/>
      <c r="H2088" s="1960"/>
      <c r="I2088" s="1960"/>
      <c r="J2088" s="1960"/>
      <c r="K2088" s="1960"/>
      <c r="L2088" s="1960"/>
      <c r="M2088" s="1960"/>
      <c r="N2088" s="2597"/>
      <c r="O2088" s="15"/>
      <c r="P2088" s="15"/>
      <c r="Q2088" s="343"/>
      <c r="R2088" s="2"/>
      <c r="S2088" s="343"/>
      <c r="T2088" s="343"/>
      <c r="U2088" s="343"/>
      <c r="V2088" s="343"/>
      <c r="W2088" s="2"/>
      <c r="X2088" s="2"/>
      <c r="Y2088" s="2"/>
      <c r="Z2088" s="2"/>
      <c r="AA2088" s="2"/>
      <c r="AB2088" s="2"/>
      <c r="AC2088" s="2"/>
      <c r="AD2088" s="2"/>
      <c r="AE2088" s="2"/>
      <c r="AF2088" s="2"/>
      <c r="AG2088" s="2"/>
      <c r="AH2088" s="2"/>
      <c r="AI2088" s="2"/>
      <c r="AJ2088" s="2"/>
      <c r="AK2088" s="2"/>
      <c r="AL2088" s="2"/>
    </row>
    <row r="2089" spans="1:38" ht="12.75" customHeight="1" thickBot="1" x14ac:dyDescent="0.3">
      <c r="A2089" s="2"/>
      <c r="B2089" s="178"/>
      <c r="C2089" s="779"/>
      <c r="D2089" s="780"/>
      <c r="E2089" s="1716"/>
      <c r="F2089" s="1717"/>
      <c r="G2089" s="361" t="str">
        <f>EUconst_Unit</f>
        <v>Enhet</v>
      </c>
      <c r="H2089" s="362">
        <f t="shared" ref="H2089:N2089" si="945">H$3042</f>
        <v>2019</v>
      </c>
      <c r="I2089" s="1103">
        <f t="shared" si="945"/>
        <v>2020</v>
      </c>
      <c r="J2089" s="1104">
        <f t="shared" si="945"/>
        <v>2021</v>
      </c>
      <c r="K2089" s="362">
        <f t="shared" si="945"/>
        <v>2022</v>
      </c>
      <c r="L2089" s="362">
        <f t="shared" si="945"/>
        <v>2023</v>
      </c>
      <c r="M2089" s="362">
        <f t="shared" si="945"/>
        <v>2024</v>
      </c>
      <c r="N2089" s="1141">
        <f t="shared" si="945"/>
        <v>2025</v>
      </c>
      <c r="O2089" s="15"/>
      <c r="P2089" s="15"/>
      <c r="Q2089" s="343"/>
      <c r="R2089" s="2"/>
      <c r="S2089" s="343"/>
      <c r="T2089" s="343"/>
      <c r="U2089" s="343"/>
      <c r="V2089" s="343"/>
      <c r="W2089" s="2"/>
      <c r="X2089" s="2"/>
      <c r="Y2089" s="2"/>
      <c r="Z2089" s="2"/>
      <c r="AA2089" s="2"/>
      <c r="AB2089" s="2"/>
      <c r="AC2089" s="1044">
        <f t="shared" ref="AC2089:AI2089" si="946">H$20</f>
        <v>2019</v>
      </c>
      <c r="AD2089" s="1044">
        <f t="shared" si="946"/>
        <v>2020</v>
      </c>
      <c r="AE2089" s="1044">
        <f t="shared" si="946"/>
        <v>2021</v>
      </c>
      <c r="AF2089" s="1044">
        <f t="shared" si="946"/>
        <v>2022</v>
      </c>
      <c r="AG2089" s="1044">
        <f t="shared" si="946"/>
        <v>2023</v>
      </c>
      <c r="AH2089" s="1044">
        <f t="shared" si="946"/>
        <v>2024</v>
      </c>
      <c r="AI2089" s="1044">
        <f t="shared" si="946"/>
        <v>2025</v>
      </c>
      <c r="AJ2089" s="2"/>
      <c r="AK2089" s="2"/>
      <c r="AL2089" s="2"/>
    </row>
    <row r="2090" spans="1:38" ht="12.75" customHeight="1" x14ac:dyDescent="0.25">
      <c r="A2090" s="2"/>
      <c r="B2090" s="178"/>
      <c r="C2090" s="779"/>
      <c r="D2090" s="416" t="s">
        <v>1211</v>
      </c>
      <c r="E2090" s="2611" t="str">
        <f>Translations!$B$640</f>
        <v>Exporterade mängder</v>
      </c>
      <c r="F2090" s="2484"/>
      <c r="G2090" s="1314"/>
      <c r="H2090" s="1298"/>
      <c r="I2090" s="1299"/>
      <c r="J2090" s="1300"/>
      <c r="K2090" s="1298"/>
      <c r="L2090" s="1298"/>
      <c r="M2090" s="1298"/>
      <c r="N2090" s="1301"/>
      <c r="O2090" s="15"/>
      <c r="P2090" s="1362"/>
      <c r="Q2090" s="343"/>
      <c r="R2090" s="2"/>
      <c r="S2090" s="343"/>
      <c r="T2090" s="343"/>
      <c r="U2090" s="343"/>
      <c r="V2090" s="343"/>
      <c r="W2090" s="2"/>
      <c r="X2090" s="2"/>
      <c r="Y2090" s="2"/>
      <c r="Z2090" s="2"/>
      <c r="AA2090" s="2"/>
      <c r="AB2090" s="672" t="s">
        <v>782</v>
      </c>
      <c r="AC2090" s="108" t="b">
        <f>AC2037</f>
        <v>0</v>
      </c>
      <c r="AD2090" s="108" t="b">
        <f t="shared" ref="AD2090:AI2090" si="947">AD2037</f>
        <v>0</v>
      </c>
      <c r="AE2090" s="108" t="b">
        <f t="shared" si="947"/>
        <v>0</v>
      </c>
      <c r="AF2090" s="108" t="b">
        <f t="shared" si="947"/>
        <v>0</v>
      </c>
      <c r="AG2090" s="108" t="b">
        <f t="shared" si="947"/>
        <v>0</v>
      </c>
      <c r="AH2090" s="108" t="b">
        <f t="shared" si="947"/>
        <v>0</v>
      </c>
      <c r="AI2090" s="108" t="b">
        <f t="shared" si="947"/>
        <v>0</v>
      </c>
      <c r="AJ2090" s="553" t="s">
        <v>2248</v>
      </c>
      <c r="AK2090" s="663" t="str">
        <f>IF(AND(CNTR_ExistSubInstEntries,MSconst_RequireSubAttrEmissions,COUNTIFS(AC2090:AI2090,FALSE,H2090:N2090,"")&gt;0),EUconst_Error&amp;"BM"&amp;$Q1825,"")</f>
        <v/>
      </c>
      <c r="AL2090" s="2"/>
    </row>
    <row r="2091" spans="1:38" ht="12.75" customHeight="1" thickBot="1" x14ac:dyDescent="0.3">
      <c r="A2091" s="2"/>
      <c r="B2091" s="178"/>
      <c r="C2091" s="779"/>
      <c r="D2091" s="416" t="s">
        <v>1733</v>
      </c>
      <c r="E2091" s="2612" t="str">
        <f>Translations!$B$318</f>
        <v>Effektivt värmevärde</v>
      </c>
      <c r="F2091" s="2487"/>
      <c r="G2091" s="51" t="str">
        <f>IF(ISBLANK(G2090),EUconst_GJperUnit,INDEX(EUconst_GJperTorKNm3,MATCH(G2090,EUconst_TonnesOrkNm3pa,0)))</f>
        <v>GJ / Enhet</v>
      </c>
      <c r="H2091" s="1306"/>
      <c r="I2091" s="1307"/>
      <c r="J2091" s="1308"/>
      <c r="K2091" s="1306"/>
      <c r="L2091" s="1306"/>
      <c r="M2091" s="1306"/>
      <c r="N2091" s="1309"/>
      <c r="O2091" s="15"/>
      <c r="P2091" s="1362"/>
      <c r="Q2091" s="343"/>
      <c r="R2091" s="2"/>
      <c r="S2091" s="343"/>
      <c r="T2091" s="343"/>
      <c r="U2091" s="343"/>
      <c r="V2091" s="343"/>
      <c r="W2091" s="2"/>
      <c r="X2091" s="2"/>
      <c r="Y2091" s="2"/>
      <c r="Z2091" s="2"/>
      <c r="AA2091" s="2"/>
      <c r="AB2091" s="2"/>
      <c r="AC2091" s="108" t="b">
        <f>AC2090</f>
        <v>0</v>
      </c>
      <c r="AD2091" s="108" t="b">
        <f t="shared" ref="AD2091:AI2091" si="948">AD2090</f>
        <v>0</v>
      </c>
      <c r="AE2091" s="108" t="b">
        <f t="shared" si="948"/>
        <v>0</v>
      </c>
      <c r="AF2091" s="108" t="b">
        <f t="shared" si="948"/>
        <v>0</v>
      </c>
      <c r="AG2091" s="108" t="b">
        <f t="shared" si="948"/>
        <v>0</v>
      </c>
      <c r="AH2091" s="108" t="b">
        <f t="shared" si="948"/>
        <v>0</v>
      </c>
      <c r="AI2091" s="108" t="b">
        <f t="shared" si="948"/>
        <v>0</v>
      </c>
      <c r="AJ2091" s="553" t="s">
        <v>2248</v>
      </c>
      <c r="AK2091" s="663" t="str">
        <f>IF(AND(CNTR_ExistSubInstEntries,MSconst_RequireSubAttrEmissions,COUNTIFS(AC2091:AI2091,FALSE,H2091:N2091,"")&gt;0),EUconst_Error&amp;"BM"&amp;$Q1825,"")</f>
        <v/>
      </c>
      <c r="AL2091" s="2"/>
    </row>
    <row r="2092" spans="1:38" ht="12.75" customHeight="1" x14ac:dyDescent="0.25">
      <c r="A2092" s="2"/>
      <c r="B2092" s="178"/>
      <c r="C2092" s="779"/>
      <c r="D2092" s="416" t="s">
        <v>1787</v>
      </c>
      <c r="E2092" s="2613" t="str">
        <f>Translations!$B$641</f>
        <v>Exporterad restgas</v>
      </c>
      <c r="F2092" s="1997"/>
      <c r="G2092" s="364" t="str">
        <f>EUconst_TJpa</f>
        <v>TJ / år</v>
      </c>
      <c r="H2092" s="351" t="str">
        <f t="shared" ref="H2092:N2092" si="949">IF(COUNT(H2090:H2091)=2,H2090*H2091/1000,"")</f>
        <v/>
      </c>
      <c r="I2092" s="1107" t="str">
        <f t="shared" si="949"/>
        <v/>
      </c>
      <c r="J2092" s="1113" t="str">
        <f t="shared" si="949"/>
        <v/>
      </c>
      <c r="K2092" s="351" t="str">
        <f t="shared" si="949"/>
        <v/>
      </c>
      <c r="L2092" s="351" t="str">
        <f t="shared" si="949"/>
        <v/>
      </c>
      <c r="M2092" s="351" t="str">
        <f t="shared" si="949"/>
        <v/>
      </c>
      <c r="N2092" s="1148" t="str">
        <f t="shared" si="949"/>
        <v/>
      </c>
      <c r="O2092" s="15"/>
      <c r="P2092" s="15"/>
      <c r="Q2092" s="165" t="str">
        <f>EUconst_CNTR_WGExport &amp; I1825</f>
        <v>WasteGasEx_</v>
      </c>
      <c r="R2092" s="2"/>
      <c r="S2092" s="772"/>
      <c r="T2092" s="609">
        <f t="shared" ref="T2092:Z2092" si="950">H2089</f>
        <v>2019</v>
      </c>
      <c r="U2092" s="609">
        <f t="shared" si="950"/>
        <v>2020</v>
      </c>
      <c r="V2092" s="609">
        <f t="shared" si="950"/>
        <v>2021</v>
      </c>
      <c r="W2092" s="609">
        <f t="shared" si="950"/>
        <v>2022</v>
      </c>
      <c r="X2092" s="609">
        <f t="shared" si="950"/>
        <v>2023</v>
      </c>
      <c r="Y2092" s="609">
        <f t="shared" si="950"/>
        <v>2024</v>
      </c>
      <c r="Z2092" s="610">
        <f t="shared" si="950"/>
        <v>2025</v>
      </c>
      <c r="AA2092" s="2"/>
      <c r="AB2092" s="2"/>
      <c r="AC2092" s="2"/>
      <c r="AD2092" s="2"/>
      <c r="AE2092" s="2"/>
      <c r="AF2092" s="2"/>
      <c r="AG2092" s="2"/>
      <c r="AH2092" s="2"/>
      <c r="AI2092" s="2"/>
      <c r="AJ2092" s="2"/>
      <c r="AK2092" s="2"/>
      <c r="AL2092" s="2"/>
    </row>
    <row r="2093" spans="1:38" s="534" customFormat="1" ht="12.75" customHeight="1" thickBot="1" x14ac:dyDescent="0.3">
      <c r="A2093" s="2"/>
      <c r="B2093" s="178"/>
      <c r="C2093" s="779"/>
      <c r="D2093" s="416" t="s">
        <v>1788</v>
      </c>
      <c r="E2093" s="2613" t="str">
        <f>Translations!$B$642</f>
        <v>Särskild emissionsfaktor (exporterad restgas)</v>
      </c>
      <c r="F2093" s="1997"/>
      <c r="G2093" s="363" t="str">
        <f>EUconst_tCO2pTJ</f>
        <v>t CO2 / TJ</v>
      </c>
      <c r="H2093" s="1315"/>
      <c r="I2093" s="1316"/>
      <c r="J2093" s="1317"/>
      <c r="K2093" s="1315"/>
      <c r="L2093" s="1315"/>
      <c r="M2093" s="1315"/>
      <c r="N2093" s="1318"/>
      <c r="O2093" s="15"/>
      <c r="P2093" s="1362"/>
      <c r="Q2093" s="165" t="str">
        <f>EUconst_CNTR_WGExportEF &amp; I1825</f>
        <v>WasteGasExEF_</v>
      </c>
      <c r="R2093" s="343"/>
      <c r="S2093" s="773" t="str">
        <f>EUconst_CNTR_AttributedEmissions &amp; I1825</f>
        <v>AttrEmissions_</v>
      </c>
      <c r="T2093" s="111" t="str">
        <f t="shared" ref="T2093:Z2093" si="951">IF(T1833,-SUM(H2092)*EUconst_NGEFvalue*EUconst_WasteGasCorrFactor,"")</f>
        <v/>
      </c>
      <c r="U2093" s="111" t="str">
        <f t="shared" si="951"/>
        <v/>
      </c>
      <c r="V2093" s="111" t="str">
        <f t="shared" si="951"/>
        <v/>
      </c>
      <c r="W2093" s="111" t="str">
        <f t="shared" si="951"/>
        <v/>
      </c>
      <c r="X2093" s="111" t="str">
        <f t="shared" si="951"/>
        <v/>
      </c>
      <c r="Y2093" s="111" t="str">
        <f t="shared" si="951"/>
        <v/>
      </c>
      <c r="Z2093" s="112" t="str">
        <f t="shared" si="951"/>
        <v/>
      </c>
      <c r="AA2093" s="343"/>
      <c r="AB2093" s="672" t="s">
        <v>782</v>
      </c>
      <c r="AC2093" s="108" t="b">
        <f t="shared" ref="AC2093:AI2093" si="952">AC2040</f>
        <v>0</v>
      </c>
      <c r="AD2093" s="108" t="b">
        <f t="shared" si="952"/>
        <v>0</v>
      </c>
      <c r="AE2093" s="108" t="b">
        <f t="shared" si="952"/>
        <v>0</v>
      </c>
      <c r="AF2093" s="108" t="b">
        <f t="shared" si="952"/>
        <v>0</v>
      </c>
      <c r="AG2093" s="108" t="b">
        <f t="shared" si="952"/>
        <v>0</v>
      </c>
      <c r="AH2093" s="108" t="b">
        <f t="shared" si="952"/>
        <v>0</v>
      </c>
      <c r="AI2093" s="108" t="b">
        <f t="shared" si="952"/>
        <v>0</v>
      </c>
      <c r="AJ2093" s="553" t="s">
        <v>2248</v>
      </c>
      <c r="AK2093" s="663" t="str">
        <f>IF(AND(CNTR_ExistSubInstEntries,MSconst_RequireSubAttrEmissions,COUNTIFS(AC2093:AI2093,FALSE,H2093:N2093,"")&gt;0),EUconst_Error&amp;"BM"&amp;$Q1825,"")</f>
        <v/>
      </c>
      <c r="AL2093" s="2"/>
    </row>
    <row r="2094" spans="1:38" ht="12.75" customHeight="1" x14ac:dyDescent="0.25">
      <c r="A2094" s="2"/>
      <c r="B2094" s="178"/>
      <c r="C2094" s="779"/>
      <c r="D2094" s="780"/>
      <c r="E2094" s="780"/>
      <c r="F2094" s="780"/>
      <c r="G2094" s="780"/>
      <c r="H2094" s="780"/>
      <c r="I2094" s="1805"/>
      <c r="J2094" s="780"/>
      <c r="K2094" s="780"/>
      <c r="L2094" s="780"/>
      <c r="M2094" s="780"/>
      <c r="N2094" s="519"/>
      <c r="O2094" s="15"/>
      <c r="P2094" s="15"/>
      <c r="Q2094" s="343"/>
      <c r="R2094" s="2"/>
      <c r="S2094" s="343"/>
      <c r="T2094" s="2"/>
      <c r="U2094" s="2"/>
      <c r="V2094" s="2"/>
      <c r="W2094" s="2"/>
      <c r="X2094" s="2"/>
      <c r="Y2094" s="2"/>
      <c r="Z2094" s="2"/>
      <c r="AA2094" s="2"/>
      <c r="AB2094" s="2"/>
      <c r="AC2094" s="2"/>
      <c r="AD2094" s="2"/>
      <c r="AE2094" s="2"/>
      <c r="AF2094" s="2"/>
      <c r="AG2094" s="2"/>
      <c r="AH2094" s="2"/>
      <c r="AI2094" s="2"/>
      <c r="AJ2094" s="2"/>
      <c r="AK2094" s="2"/>
      <c r="AL2094" s="2"/>
    </row>
    <row r="2095" spans="1:38" ht="12.75" customHeight="1" x14ac:dyDescent="0.25">
      <c r="A2095" s="2"/>
      <c r="B2095" s="178"/>
      <c r="C2095" s="779"/>
      <c r="D2095" s="373" t="s">
        <v>527</v>
      </c>
      <c r="E2095" s="2614" t="str">
        <f>Translations!$B$268</f>
        <v>Elproduktion</v>
      </c>
      <c r="F2095" s="1960"/>
      <c r="G2095" s="1960"/>
      <c r="H2095" s="1960"/>
      <c r="I2095" s="1960"/>
      <c r="J2095" s="1960"/>
      <c r="K2095" s="1960"/>
      <c r="L2095" s="1960"/>
      <c r="M2095" s="1960"/>
      <c r="N2095" s="2597"/>
      <c r="O2095" s="15"/>
      <c r="P2095" s="15"/>
      <c r="Q2095" s="343"/>
      <c r="R2095" s="2"/>
      <c r="S2095" s="343"/>
      <c r="T2095" s="2"/>
      <c r="U2095" s="2"/>
      <c r="V2095" s="2"/>
      <c r="W2095" s="2"/>
      <c r="X2095" s="2"/>
      <c r="Y2095" s="2"/>
      <c r="Z2095" s="2"/>
      <c r="AA2095" s="2"/>
      <c r="AB2095" s="2"/>
      <c r="AC2095" s="2"/>
      <c r="AD2095" s="2"/>
      <c r="AE2095" s="2"/>
      <c r="AF2095" s="2"/>
      <c r="AG2095" s="2"/>
      <c r="AH2095" s="2"/>
      <c r="AI2095" s="2"/>
      <c r="AJ2095" s="2"/>
      <c r="AK2095" s="2"/>
      <c r="AL2095" s="2"/>
    </row>
    <row r="2096" spans="1:38" ht="12.75" customHeight="1" x14ac:dyDescent="0.25">
      <c r="A2096" s="2"/>
      <c r="B2096" s="178"/>
      <c r="C2096" s="779"/>
      <c r="D2096" s="416"/>
      <c r="E2096" s="2596" t="str">
        <f>Translations!$B$643</f>
        <v>De uppgifter som anges här påverkar de utsläpp som kan tillskrivas i enlighet med kapitel 10 i bilaga VII till FAR.</v>
      </c>
      <c r="F2096" s="1960"/>
      <c r="G2096" s="1960"/>
      <c r="H2096" s="1960"/>
      <c r="I2096" s="1960"/>
      <c r="J2096" s="1960"/>
      <c r="K2096" s="1960"/>
      <c r="L2096" s="1960"/>
      <c r="M2096" s="1960"/>
      <c r="N2096" s="2597"/>
      <c r="O2096" s="15"/>
      <c r="P2096" s="15"/>
      <c r="Q2096" s="343"/>
      <c r="R2096" s="2"/>
      <c r="S2096" s="343"/>
      <c r="T2096" s="343"/>
      <c r="U2096" s="343"/>
      <c r="V2096" s="343"/>
      <c r="W2096" s="2"/>
      <c r="X2096" s="2"/>
      <c r="Y2096" s="2"/>
      <c r="Z2096" s="2"/>
      <c r="AA2096" s="2"/>
      <c r="AB2096" s="2"/>
      <c r="AC2096" s="2"/>
      <c r="AD2096" s="2"/>
      <c r="AE2096" s="2"/>
      <c r="AF2096" s="2"/>
      <c r="AG2096" s="2"/>
      <c r="AH2096" s="2"/>
      <c r="AI2096" s="2"/>
      <c r="AJ2096" s="2"/>
      <c r="AK2096" s="2"/>
      <c r="AL2096" s="2"/>
    </row>
    <row r="2097" spans="1:38" ht="25.5" customHeight="1" thickBot="1" x14ac:dyDescent="0.3">
      <c r="A2097" s="2"/>
      <c r="B2097" s="178"/>
      <c r="C2097" s="779"/>
      <c r="D2097" s="780"/>
      <c r="E2097" s="2610" t="str">
        <f>Translations!$B$644</f>
        <v>Detta innefattar el som produceras direkt från delanläggningen i enlighet med avsnitt 3.1 (i) i bilaga IV till FAR. El som produceras via intermediär mätbar värme bör inte anges här utan som export av mätbar värme i punkt k.v ovan.</v>
      </c>
      <c r="F2097" s="1960"/>
      <c r="G2097" s="1960"/>
      <c r="H2097" s="1960"/>
      <c r="I2097" s="1960"/>
      <c r="J2097" s="1960"/>
      <c r="K2097" s="1960"/>
      <c r="L2097" s="1960"/>
      <c r="M2097" s="1960"/>
      <c r="N2097" s="2597"/>
      <c r="O2097" s="15"/>
      <c r="P2097" s="15"/>
      <c r="Q2097" s="343"/>
      <c r="R2097" s="2"/>
      <c r="S2097" s="343"/>
      <c r="T2097" s="2"/>
      <c r="U2097" s="2"/>
      <c r="V2097" s="2"/>
      <c r="W2097" s="2"/>
      <c r="X2097" s="2"/>
      <c r="Y2097" s="2"/>
      <c r="Z2097" s="2"/>
      <c r="AA2097" s="2"/>
      <c r="AB2097" s="2"/>
      <c r="AC2097" s="2"/>
      <c r="AD2097" s="2"/>
      <c r="AE2097" s="2"/>
      <c r="AF2097" s="2"/>
      <c r="AG2097" s="2"/>
      <c r="AH2097" s="2"/>
      <c r="AI2097" s="2"/>
      <c r="AJ2097" s="2"/>
      <c r="AK2097" s="2"/>
      <c r="AL2097" s="2"/>
    </row>
    <row r="2098" spans="1:38" ht="12.75" customHeight="1" thickBot="1" x14ac:dyDescent="0.3">
      <c r="A2098" s="2"/>
      <c r="B2098" s="178"/>
      <c r="C2098" s="779"/>
      <c r="D2098" s="373"/>
      <c r="E2098" s="1716"/>
      <c r="F2098" s="1717"/>
      <c r="G2098" s="361" t="str">
        <f>EUconst_Unit</f>
        <v>Enhet</v>
      </c>
      <c r="H2098" s="362">
        <f t="shared" ref="H2098:N2098" si="953">H$3042</f>
        <v>2019</v>
      </c>
      <c r="I2098" s="1103">
        <f t="shared" si="953"/>
        <v>2020</v>
      </c>
      <c r="J2098" s="1104">
        <f t="shared" si="953"/>
        <v>2021</v>
      </c>
      <c r="K2098" s="362">
        <f t="shared" si="953"/>
        <v>2022</v>
      </c>
      <c r="L2098" s="362">
        <f t="shared" si="953"/>
        <v>2023</v>
      </c>
      <c r="M2098" s="362">
        <f t="shared" si="953"/>
        <v>2024</v>
      </c>
      <c r="N2098" s="1141">
        <f t="shared" si="953"/>
        <v>2025</v>
      </c>
      <c r="O2098" s="15"/>
      <c r="P2098" s="15"/>
      <c r="Q2098" s="343"/>
      <c r="R2098" s="2"/>
      <c r="S2098" s="772"/>
      <c r="T2098" s="609">
        <f t="shared" ref="T2098:Z2098" si="954">H2098</f>
        <v>2019</v>
      </c>
      <c r="U2098" s="609">
        <f t="shared" si="954"/>
        <v>2020</v>
      </c>
      <c r="V2098" s="609">
        <f t="shared" si="954"/>
        <v>2021</v>
      </c>
      <c r="W2098" s="609">
        <f t="shared" si="954"/>
        <v>2022</v>
      </c>
      <c r="X2098" s="609">
        <f t="shared" si="954"/>
        <v>2023</v>
      </c>
      <c r="Y2098" s="609">
        <f t="shared" si="954"/>
        <v>2024</v>
      </c>
      <c r="Z2098" s="610">
        <f t="shared" si="954"/>
        <v>2025</v>
      </c>
      <c r="AA2098" s="2"/>
      <c r="AB2098" s="2"/>
      <c r="AC2098" s="1044">
        <f t="shared" ref="AC2098:AI2098" si="955">H$20</f>
        <v>2019</v>
      </c>
      <c r="AD2098" s="1044">
        <f t="shared" si="955"/>
        <v>2020</v>
      </c>
      <c r="AE2098" s="1044">
        <f t="shared" si="955"/>
        <v>2021</v>
      </c>
      <c r="AF2098" s="1044">
        <f t="shared" si="955"/>
        <v>2022</v>
      </c>
      <c r="AG2098" s="1044">
        <f t="shared" si="955"/>
        <v>2023</v>
      </c>
      <c r="AH2098" s="1044">
        <f t="shared" si="955"/>
        <v>2024</v>
      </c>
      <c r="AI2098" s="1044">
        <f t="shared" si="955"/>
        <v>2025</v>
      </c>
      <c r="AJ2098" s="2"/>
      <c r="AK2098" s="2"/>
      <c r="AL2098" s="2"/>
    </row>
    <row r="2099" spans="1:38" ht="12.75" customHeight="1" thickBot="1" x14ac:dyDescent="0.3">
      <c r="A2099" s="2"/>
      <c r="B2099" s="178"/>
      <c r="C2099" s="779"/>
      <c r="D2099" s="416"/>
      <c r="E2099" s="2613" t="str">
        <f>Translations!$B$645</f>
        <v>Producerad el</v>
      </c>
      <c r="F2099" s="1997"/>
      <c r="G2099" s="364" t="str">
        <f>EUconst_MWhpa</f>
        <v>MWh / år</v>
      </c>
      <c r="H2099" s="582"/>
      <c r="I2099" s="1105"/>
      <c r="J2099" s="1115"/>
      <c r="K2099" s="582"/>
      <c r="L2099" s="582"/>
      <c r="M2099" s="582"/>
      <c r="N2099" s="1146"/>
      <c r="O2099" s="15"/>
      <c r="P2099" s="1362"/>
      <c r="Q2099" s="165" t="str">
        <f>EUconst_CNTR_ElectricityExported &amp; I1825</f>
        <v>ElecEx_</v>
      </c>
      <c r="R2099" s="2"/>
      <c r="S2099" s="773" t="str">
        <f>EUconst_CNTR_AttributedEmissions &amp; I1825</f>
        <v>AttrEmissions_</v>
      </c>
      <c r="T2099" s="111" t="str">
        <f t="shared" ref="T2099:Z2099" si="956">IF(T1833,-SUM(H2099)*EUconst_ElBM,"")</f>
        <v/>
      </c>
      <c r="U2099" s="111" t="str">
        <f t="shared" si="956"/>
        <v/>
      </c>
      <c r="V2099" s="111" t="str">
        <f t="shared" si="956"/>
        <v/>
      </c>
      <c r="W2099" s="111" t="str">
        <f t="shared" si="956"/>
        <v/>
      </c>
      <c r="X2099" s="111" t="str">
        <f t="shared" si="956"/>
        <v/>
      </c>
      <c r="Y2099" s="111" t="str">
        <f t="shared" si="956"/>
        <v/>
      </c>
      <c r="Z2099" s="112" t="str">
        <f t="shared" si="956"/>
        <v/>
      </c>
      <c r="AA2099" s="2"/>
      <c r="AB2099" s="672" t="s">
        <v>782</v>
      </c>
      <c r="AC2099" s="108" t="b">
        <f>AC1895</f>
        <v>0</v>
      </c>
      <c r="AD2099" s="108" t="b">
        <f t="shared" ref="AD2099:AI2099" si="957">AD1895</f>
        <v>0</v>
      </c>
      <c r="AE2099" s="108" t="b">
        <f t="shared" si="957"/>
        <v>0</v>
      </c>
      <c r="AF2099" s="108" t="b">
        <f t="shared" si="957"/>
        <v>0</v>
      </c>
      <c r="AG2099" s="108" t="b">
        <f t="shared" si="957"/>
        <v>0</v>
      </c>
      <c r="AH2099" s="108" t="b">
        <f t="shared" si="957"/>
        <v>0</v>
      </c>
      <c r="AI2099" s="108" t="b">
        <f t="shared" si="957"/>
        <v>0</v>
      </c>
      <c r="AJ2099" s="553" t="s">
        <v>2248</v>
      </c>
      <c r="AK2099" s="663" t="str">
        <f>IF(AND(CNTR_ExistSubInstEntries,MSconst_RequireSubAttrEmissions,COUNTIFS(AC2099:AI2099,FALSE,H2099:N2099,"")&gt;0),EUconst_Error&amp;"BM"&amp;$Q1825,"")</f>
        <v/>
      </c>
      <c r="AL2099" s="2"/>
    </row>
    <row r="2100" spans="1:38" ht="12.75" customHeight="1" x14ac:dyDescent="0.25">
      <c r="A2100" s="2"/>
      <c r="B2100" s="178"/>
      <c r="C2100" s="779"/>
      <c r="D2100" s="780"/>
      <c r="E2100" s="780"/>
      <c r="F2100" s="780"/>
      <c r="G2100" s="780"/>
      <c r="H2100" s="780"/>
      <c r="I2100" s="1805"/>
      <c r="J2100" s="780"/>
      <c r="K2100" s="780"/>
      <c r="L2100" s="780"/>
      <c r="M2100" s="780"/>
      <c r="N2100" s="519"/>
      <c r="O2100" s="15"/>
      <c r="P2100" s="15"/>
      <c r="Q2100" s="343"/>
      <c r="R2100" s="2"/>
      <c r="S2100" s="343"/>
      <c r="T2100" s="2"/>
      <c r="U2100" s="2"/>
      <c r="V2100" s="343"/>
      <c r="W2100" s="2"/>
      <c r="X2100" s="2"/>
      <c r="Y2100" s="2"/>
      <c r="Z2100" s="2"/>
      <c r="AA2100" s="2"/>
      <c r="AB2100" s="2"/>
      <c r="AC2100" s="2"/>
      <c r="AD2100" s="2"/>
      <c r="AE2100" s="2"/>
      <c r="AF2100" s="2"/>
      <c r="AG2100" s="2"/>
      <c r="AH2100" s="2"/>
      <c r="AI2100" s="2"/>
      <c r="AJ2100" s="2"/>
      <c r="AK2100" s="2"/>
      <c r="AL2100" s="2"/>
    </row>
    <row r="2101" spans="1:38" ht="12.75" customHeight="1" x14ac:dyDescent="0.25">
      <c r="A2101" s="2"/>
      <c r="B2101" s="178"/>
      <c r="C2101" s="779"/>
      <c r="D2101" s="373" t="s">
        <v>271</v>
      </c>
      <c r="E2101" s="2614" t="str">
        <f>Translations!$B$646</f>
        <v>Total producerad massamängd</v>
      </c>
      <c r="F2101" s="1960"/>
      <c r="G2101" s="1960"/>
      <c r="H2101" s="1960"/>
      <c r="I2101" s="1960"/>
      <c r="J2101" s="1960"/>
      <c r="K2101" s="1960"/>
      <c r="L2101" s="1960"/>
      <c r="M2101" s="1960"/>
      <c r="N2101" s="2597"/>
      <c r="O2101" s="15"/>
      <c r="P2101" s="15"/>
      <c r="Q2101" s="2"/>
      <c r="R2101" s="2"/>
      <c r="S2101" s="2"/>
      <c r="T2101" s="2"/>
      <c r="U2101" s="2"/>
      <c r="V2101" s="343"/>
      <c r="W2101" s="2"/>
      <c r="X2101" s="2"/>
      <c r="Y2101" s="2"/>
      <c r="Z2101" s="2"/>
      <c r="AA2101" s="2"/>
      <c r="AB2101" s="2"/>
      <c r="AC2101" s="2"/>
      <c r="AD2101" s="2"/>
      <c r="AE2101" s="2"/>
      <c r="AF2101" s="2"/>
      <c r="AG2101" s="2"/>
      <c r="AH2101" s="2"/>
      <c r="AI2101" s="2"/>
      <c r="AJ2101" s="2"/>
      <c r="AK2101" s="2"/>
      <c r="AL2101" s="2"/>
    </row>
    <row r="2102" spans="1:38" ht="25.5" customHeight="1" x14ac:dyDescent="0.25">
      <c r="A2102" s="2"/>
      <c r="B2102" s="178"/>
      <c r="C2102" s="779"/>
      <c r="D2102" s="780"/>
      <c r="E2102" s="2610" t="str">
        <f>Translations!$B$647</f>
        <v>Enligt avsnitt 2.7 k i bilaga IV till FAR ska det lämnas uppgift om den totala mängden massa som produceras för delanläggningar med produktriktmärke för kortfibrig sulfatmassa, långfibrig sulfatmassa, termomekanisk massa och mekanisk massa samt sulfitmassa.</v>
      </c>
      <c r="F2102" s="1960"/>
      <c r="G2102" s="1960"/>
      <c r="H2102" s="1960"/>
      <c r="I2102" s="1960"/>
      <c r="J2102" s="1960"/>
      <c r="K2102" s="1960"/>
      <c r="L2102" s="1960"/>
      <c r="M2102" s="1960"/>
      <c r="N2102" s="2597"/>
      <c r="O2102" s="15"/>
      <c r="P2102" s="15"/>
      <c r="Q2102" s="343"/>
      <c r="R2102" s="2"/>
      <c r="S2102" s="343"/>
      <c r="T2102" s="2"/>
      <c r="U2102" s="2"/>
      <c r="V2102" s="343"/>
      <c r="W2102" s="2"/>
      <c r="X2102" s="2"/>
      <c r="Y2102" s="2"/>
      <c r="Z2102" s="2"/>
      <c r="AA2102" s="2"/>
      <c r="AB2102" s="2"/>
      <c r="AC2102" s="2"/>
      <c r="AD2102" s="2"/>
      <c r="AE2102" s="2"/>
      <c r="AF2102" s="2"/>
      <c r="AG2102" s="2"/>
      <c r="AH2102" s="2"/>
      <c r="AI2102" s="2"/>
      <c r="AJ2102" s="2"/>
      <c r="AK2102" s="2"/>
      <c r="AL2102" s="2"/>
    </row>
    <row r="2103" spans="1:38" ht="12.75" customHeight="1" x14ac:dyDescent="0.25">
      <c r="A2103" s="2"/>
      <c r="B2103" s="178"/>
      <c r="C2103" s="779"/>
      <c r="D2103" s="780"/>
      <c r="E2103" s="2610" t="str">
        <f>Translations!$B$648</f>
        <v>Avsnittet kommer att gråmarkeras om det inte rör sig om någon massaproducerande delanläggning av dessa slag. Var god gå vidare till nedanstående punkter, i sådana fall.</v>
      </c>
      <c r="F2103" s="1960"/>
      <c r="G2103" s="1960"/>
      <c r="H2103" s="1960"/>
      <c r="I2103" s="1960"/>
      <c r="J2103" s="1960"/>
      <c r="K2103" s="1960"/>
      <c r="L2103" s="1960"/>
      <c r="M2103" s="1960"/>
      <c r="N2103" s="2597"/>
      <c r="O2103" s="15"/>
      <c r="P2103" s="15"/>
      <c r="Q2103" s="343"/>
      <c r="R2103" s="2"/>
      <c r="S2103" s="343"/>
      <c r="T2103" s="2"/>
      <c r="U2103" s="2"/>
      <c r="V2103" s="343"/>
      <c r="W2103" s="2"/>
      <c r="X2103" s="2"/>
      <c r="Y2103" s="2"/>
      <c r="Z2103" s="2"/>
      <c r="AA2103" s="2"/>
      <c r="AB2103" s="2"/>
      <c r="AC2103" s="2"/>
      <c r="AD2103" s="2"/>
      <c r="AE2103" s="2"/>
      <c r="AF2103" s="2"/>
      <c r="AG2103" s="2"/>
      <c r="AH2103" s="2"/>
      <c r="AI2103" s="2"/>
      <c r="AJ2103" s="2"/>
      <c r="AK2103" s="2"/>
      <c r="AL2103" s="2"/>
    </row>
    <row r="2104" spans="1:38" ht="12.75" customHeight="1" thickBot="1" x14ac:dyDescent="0.3">
      <c r="A2104" s="2"/>
      <c r="B2104" s="178"/>
      <c r="C2104" s="779"/>
      <c r="D2104" s="416"/>
      <c r="E2104" s="2615" t="str">
        <f>Translations!$B$649</f>
        <v>De uppgifter som anges här är relevanta för uppdateringen av det särskilda riktmärket för massa.</v>
      </c>
      <c r="F2104" s="2497"/>
      <c r="G2104" s="2497"/>
      <c r="H2104" s="2497"/>
      <c r="I2104" s="2497"/>
      <c r="J2104" s="2497"/>
      <c r="K2104" s="2497"/>
      <c r="L2104" s="2497"/>
      <c r="M2104" s="2497"/>
      <c r="N2104" s="2616"/>
      <c r="O2104" s="15"/>
      <c r="P2104" s="15"/>
      <c r="Q2104" s="343"/>
      <c r="R2104" s="2"/>
      <c r="S2104" s="343"/>
      <c r="T2104" s="2"/>
      <c r="U2104" s="2"/>
      <c r="V2104" s="343"/>
      <c r="W2104" s="2"/>
      <c r="X2104" s="2"/>
      <c r="Y2104" s="2"/>
      <c r="Z2104" s="2"/>
      <c r="AA2104" s="2"/>
      <c r="AB2104" s="2"/>
      <c r="AC2104" s="1044">
        <f t="shared" ref="AC2104:AI2104" si="958">H$20</f>
        <v>2019</v>
      </c>
      <c r="AD2104" s="1044">
        <f t="shared" si="958"/>
        <v>2020</v>
      </c>
      <c r="AE2104" s="1044">
        <f t="shared" si="958"/>
        <v>2021</v>
      </c>
      <c r="AF2104" s="1044">
        <f t="shared" si="958"/>
        <v>2022</v>
      </c>
      <c r="AG2104" s="1044">
        <f t="shared" si="958"/>
        <v>2023</v>
      </c>
      <c r="AH2104" s="1044">
        <f t="shared" si="958"/>
        <v>2024</v>
      </c>
      <c r="AI2104" s="1044">
        <f t="shared" si="958"/>
        <v>2025</v>
      </c>
      <c r="AJ2104" s="2"/>
      <c r="AK2104" s="2"/>
      <c r="AL2104" s="2"/>
    </row>
    <row r="2105" spans="1:38" ht="12.75" customHeight="1" x14ac:dyDescent="0.25">
      <c r="A2105" s="2"/>
      <c r="B2105" s="178"/>
      <c r="C2105" s="779"/>
      <c r="D2105" s="416"/>
      <c r="E2105" s="2617" t="str">
        <f>IF(I1825="","",IF(INDEX(EUconst_BMlistPulp,MATCH(I1825,EUconst_BMlistNames,0)),I1825,""))</f>
        <v/>
      </c>
      <c r="F2105" s="1997"/>
      <c r="G2105" s="364" t="str">
        <f>EUconst_Tons</f>
        <v>ton</v>
      </c>
      <c r="H2105" s="582"/>
      <c r="I2105" s="1105"/>
      <c r="J2105" s="1115"/>
      <c r="K2105" s="582"/>
      <c r="L2105" s="582"/>
      <c r="M2105" s="582"/>
      <c r="N2105" s="1146"/>
      <c r="O2105" s="15"/>
      <c r="P2105" s="1362"/>
      <c r="Q2105" s="165" t="str">
        <f>EUconst_CNTR_HALPulpTotal &amp; I1825</f>
        <v>HALPulpTotal_</v>
      </c>
      <c r="R2105" s="2"/>
      <c r="S2105" s="343"/>
      <c r="T2105" s="2"/>
      <c r="U2105" s="2"/>
      <c r="V2105" s="2"/>
      <c r="W2105" s="2"/>
      <c r="X2105" s="2"/>
      <c r="Y2105" s="2"/>
      <c r="Z2105" s="2"/>
      <c r="AA2105" s="2"/>
      <c r="AB2105" s="672" t="s">
        <v>782</v>
      </c>
      <c r="AC2105" s="1196" t="b">
        <f t="shared" ref="AC2105:AI2105" si="959">IF($I1825&lt;&gt;"",IF(INDEX(EUconst_BMlistPulp,MATCH($I1825,EUconst_BMlistNames,0))=TRUE,FALSE,TRUE),AC1895)</f>
        <v>0</v>
      </c>
      <c r="AD2105" s="108" t="b">
        <f t="shared" si="959"/>
        <v>0</v>
      </c>
      <c r="AE2105" s="108" t="b">
        <f t="shared" si="959"/>
        <v>0</v>
      </c>
      <c r="AF2105" s="108" t="b">
        <f t="shared" si="959"/>
        <v>0</v>
      </c>
      <c r="AG2105" s="108" t="b">
        <f t="shared" si="959"/>
        <v>0</v>
      </c>
      <c r="AH2105" s="108" t="b">
        <f t="shared" si="959"/>
        <v>0</v>
      </c>
      <c r="AI2105" s="108" t="b">
        <f t="shared" si="959"/>
        <v>0</v>
      </c>
      <c r="AJ2105" s="553" t="s">
        <v>2248</v>
      </c>
      <c r="AK2105" s="663" t="str">
        <f>IF(AND(CNTR_ExistSubInstEntries,MSconst_RequireSubAttrEmissions,COUNTIFS(AC2105:AI2105,FALSE,H2105:N2105,"")&gt;0),EUconst_Error&amp;"BM"&amp;$Q1825,"")</f>
        <v/>
      </c>
      <c r="AL2105" s="2"/>
    </row>
    <row r="2106" spans="1:38" ht="12.75" customHeight="1" x14ac:dyDescent="0.25">
      <c r="A2106" s="2"/>
      <c r="B2106" s="178"/>
      <c r="C2106" s="779"/>
      <c r="D2106" s="416"/>
      <c r="E2106" s="416"/>
      <c r="F2106" s="416"/>
      <c r="G2106" s="416"/>
      <c r="H2106" s="1805"/>
      <c r="I2106" s="416"/>
      <c r="J2106" s="416"/>
      <c r="K2106" s="416"/>
      <c r="L2106" s="416"/>
      <c r="M2106" s="416"/>
      <c r="N2106" s="1810"/>
      <c r="O2106" s="15"/>
      <c r="P2106" s="15"/>
      <c r="Q2106" s="343"/>
      <c r="R2106" s="2"/>
      <c r="S2106" s="343"/>
      <c r="T2106" s="2"/>
      <c r="U2106" s="2"/>
      <c r="V2106" s="343"/>
      <c r="W2106" s="2"/>
      <c r="X2106" s="2"/>
      <c r="Y2106" s="2"/>
      <c r="Z2106" s="2"/>
      <c r="AA2106" s="2"/>
      <c r="AB2106" s="2"/>
      <c r="AC2106" s="2"/>
      <c r="AD2106" s="2"/>
      <c r="AE2106" s="2"/>
      <c r="AF2106" s="2"/>
      <c r="AG2106" s="2"/>
      <c r="AH2106" s="2"/>
      <c r="AI2106" s="2"/>
      <c r="AJ2106" s="2"/>
      <c r="AK2106" s="2"/>
      <c r="AL2106" s="2"/>
    </row>
    <row r="2107" spans="1:38" ht="12.75" customHeight="1" x14ac:dyDescent="0.25">
      <c r="A2107" s="2"/>
      <c r="B2107" s="178"/>
      <c r="C2107" s="779"/>
      <c r="D2107" s="373" t="s">
        <v>906</v>
      </c>
      <c r="E2107" s="2614" t="str">
        <f>Translations!$B$650</f>
        <v>Import eller export av mellanprodukter som omfattas av produktriktmärken</v>
      </c>
      <c r="F2107" s="1960"/>
      <c r="G2107" s="1960"/>
      <c r="H2107" s="1960"/>
      <c r="I2107" s="1960"/>
      <c r="J2107" s="1960"/>
      <c r="K2107" s="1960"/>
      <c r="L2107" s="1960"/>
      <c r="M2107" s="1960"/>
      <c r="N2107" s="2597"/>
      <c r="O2107" s="15"/>
      <c r="P2107" s="15"/>
      <c r="Q2107" s="343"/>
      <c r="R2107" s="2"/>
      <c r="S2107" s="343"/>
      <c r="T2107" s="2"/>
      <c r="U2107" s="2"/>
      <c r="V2107" s="343"/>
      <c r="W2107" s="2"/>
      <c r="X2107" s="2"/>
      <c r="Y2107" s="2"/>
      <c r="Z2107" s="2"/>
      <c r="AA2107" s="2"/>
      <c r="AB2107" s="2"/>
      <c r="AC2107" s="2"/>
      <c r="AD2107" s="2"/>
      <c r="AE2107" s="2"/>
      <c r="AF2107" s="2"/>
      <c r="AG2107" s="2"/>
      <c r="AH2107" s="2"/>
      <c r="AI2107" s="2"/>
      <c r="AJ2107" s="2"/>
      <c r="AK2107" s="2"/>
      <c r="AL2107" s="2"/>
    </row>
    <row r="2108" spans="1:38" ht="25.5" customHeight="1" x14ac:dyDescent="0.25">
      <c r="A2108" s="2"/>
      <c r="B2108" s="178"/>
      <c r="C2108" s="779"/>
      <c r="D2108" s="780"/>
      <c r="E2108" s="2610" t="str">
        <f>Translations!$B$651</f>
        <v>För att undvika eventuell dubbelräkning eller luckor i tilldelade utsläpp vid fastställandet av de uppdaterade riktmärkena ska man enligt avsnitt 2.7 d i bilaga IV till FAR ange eventuell import eller export av mellanprodukter som omfattas av något av produktriktmärkena i bilaga I till FAR.</v>
      </c>
      <c r="F2108" s="1960"/>
      <c r="G2108" s="1960"/>
      <c r="H2108" s="1960"/>
      <c r="I2108" s="1960"/>
      <c r="J2108" s="1960"/>
      <c r="K2108" s="1960"/>
      <c r="L2108" s="1960"/>
      <c r="M2108" s="1960"/>
      <c r="N2108" s="2597"/>
      <c r="O2108" s="15"/>
      <c r="P2108" s="15"/>
      <c r="Q2108" s="343"/>
      <c r="R2108" s="2"/>
      <c r="S2108" s="343"/>
      <c r="T2108" s="2"/>
      <c r="U2108" s="2"/>
      <c r="V2108" s="343"/>
      <c r="W2108" s="2"/>
      <c r="X2108" s="2"/>
      <c r="Y2108" s="2"/>
      <c r="Z2108" s="2"/>
      <c r="AA2108" s="2"/>
      <c r="AB2108" s="2"/>
      <c r="AC2108" s="2"/>
      <c r="AD2108" s="2"/>
      <c r="AE2108" s="2"/>
      <c r="AF2108" s="2"/>
      <c r="AG2108" s="2"/>
      <c r="AH2108" s="2"/>
      <c r="AI2108" s="2"/>
      <c r="AJ2108" s="2"/>
      <c r="AK2108" s="2"/>
      <c r="AL2108" s="2"/>
    </row>
    <row r="2109" spans="1:38" ht="12.75" customHeight="1" x14ac:dyDescent="0.25">
      <c r="A2109" s="2"/>
      <c r="B2109" s="178"/>
      <c r="C2109" s="779"/>
      <c r="D2109" s="780"/>
      <c r="E2109" s="2596" t="str">
        <f>Translations!$B$652</f>
        <v>De uppgifter som anges här kan påverka uppdateringen av det särskilda riktmärket.</v>
      </c>
      <c r="F2109" s="1960"/>
      <c r="G2109" s="1960"/>
      <c r="H2109" s="1960"/>
      <c r="I2109" s="1960"/>
      <c r="J2109" s="1960"/>
      <c r="K2109" s="1960"/>
      <c r="L2109" s="1960"/>
      <c r="M2109" s="1960"/>
      <c r="N2109" s="2597"/>
      <c r="O2109" s="15"/>
      <c r="P2109" s="15"/>
      <c r="Q2109" s="343"/>
      <c r="R2109" s="2"/>
      <c r="S2109" s="343"/>
      <c r="T2109" s="2"/>
      <c r="U2109" s="2"/>
      <c r="V2109" s="343"/>
      <c r="W2109" s="2"/>
      <c r="X2109" s="2"/>
      <c r="Y2109" s="2"/>
      <c r="Z2109" s="2"/>
      <c r="AA2109" s="2"/>
      <c r="AB2109" s="2"/>
      <c r="AC2109" s="2"/>
      <c r="AD2109" s="2"/>
      <c r="AE2109" s="2"/>
      <c r="AF2109" s="2"/>
      <c r="AG2109" s="2"/>
      <c r="AH2109" s="2"/>
      <c r="AI2109" s="2"/>
      <c r="AJ2109" s="2"/>
      <c r="AK2109" s="2"/>
      <c r="AL2109" s="2"/>
    </row>
    <row r="2110" spans="1:38" ht="12.75" customHeight="1" x14ac:dyDescent="0.25">
      <c r="A2110" s="2"/>
      <c r="B2110" s="19"/>
      <c r="C2110" s="779"/>
      <c r="D2110" s="416" t="s">
        <v>8</v>
      </c>
      <c r="E2110" s="2598" t="str">
        <f>Translations!$B$653</f>
        <v>Förekommer import eller export av mellanprodukter som omfattas av produktriktmärken?</v>
      </c>
      <c r="F2110" s="1960"/>
      <c r="G2110" s="1960"/>
      <c r="H2110" s="1960"/>
      <c r="I2110" s="1960"/>
      <c r="J2110" s="1960"/>
      <c r="K2110" s="2520"/>
      <c r="L2110" s="749"/>
      <c r="M2110" s="360"/>
      <c r="N2110" s="535"/>
      <c r="O2110" s="15"/>
      <c r="P2110" s="1362"/>
      <c r="Q2110" s="2"/>
      <c r="R2110" s="2"/>
      <c r="S2110" s="2"/>
      <c r="T2110" s="2"/>
      <c r="U2110" s="2"/>
      <c r="V2110" s="2"/>
      <c r="W2110" s="2"/>
      <c r="X2110" s="2"/>
      <c r="Y2110" s="2"/>
      <c r="Z2110" s="2"/>
      <c r="AA2110" s="2"/>
      <c r="AB2110" s="2"/>
      <c r="AC2110" s="2"/>
      <c r="AD2110" s="2"/>
      <c r="AE2110" s="2"/>
      <c r="AF2110" s="672" t="s">
        <v>782</v>
      </c>
      <c r="AG2110" s="1196" t="b">
        <f>AND(CNTR_ExistSubInstEntries,I1825="")</f>
        <v>0</v>
      </c>
      <c r="AH2110" s="2"/>
      <c r="AI2110" s="2"/>
      <c r="AJ2110" s="2"/>
      <c r="AK2110" s="2"/>
      <c r="AL2110" s="2"/>
    </row>
    <row r="2111" spans="1:38" ht="5.15" customHeight="1" x14ac:dyDescent="0.25">
      <c r="A2111" s="2"/>
      <c r="B2111" s="178"/>
      <c r="C2111" s="779"/>
      <c r="D2111" s="416"/>
      <c r="E2111" s="416"/>
      <c r="F2111" s="416"/>
      <c r="G2111" s="416"/>
      <c r="H2111" s="1805"/>
      <c r="I2111" s="416"/>
      <c r="J2111" s="416"/>
      <c r="K2111" s="416"/>
      <c r="L2111" s="416"/>
      <c r="M2111" s="416"/>
      <c r="N2111" s="1810"/>
      <c r="O2111" s="15"/>
      <c r="P2111" s="15"/>
      <c r="Q2111" s="343"/>
      <c r="R2111" s="2"/>
      <c r="S2111" s="343"/>
      <c r="T2111" s="2"/>
      <c r="U2111" s="2"/>
      <c r="V2111" s="343"/>
      <c r="W2111" s="2"/>
      <c r="X2111" s="2"/>
      <c r="Y2111" s="2"/>
      <c r="Z2111" s="2"/>
      <c r="AA2111" s="2"/>
      <c r="AB2111" s="2"/>
      <c r="AC2111" s="2"/>
      <c r="AD2111" s="2"/>
      <c r="AE2111" s="2"/>
      <c r="AF2111" s="2"/>
      <c r="AG2111" s="2"/>
      <c r="AH2111" s="2"/>
      <c r="AI2111" s="2"/>
      <c r="AJ2111" s="2"/>
      <c r="AK2111" s="2"/>
      <c r="AL2111" s="2"/>
    </row>
    <row r="2112" spans="1:38" ht="12.75" customHeight="1" thickBot="1" x14ac:dyDescent="0.3">
      <c r="A2112" s="2"/>
      <c r="B2112" s="178"/>
      <c r="C2112" s="779"/>
      <c r="D2112" s="373"/>
      <c r="E2112" s="2605" t="str">
        <f>Translations!$B$654</f>
        <v>Importerade mängder:</v>
      </c>
      <c r="F2112" s="2497"/>
      <c r="G2112" s="415" t="str">
        <f>EUconst_Unit</f>
        <v>Enhet</v>
      </c>
      <c r="H2112" s="362">
        <f t="shared" ref="H2112:N2112" si="960">H$3042</f>
        <v>2019</v>
      </c>
      <c r="I2112" s="1103">
        <f t="shared" si="960"/>
        <v>2020</v>
      </c>
      <c r="J2112" s="1104">
        <f t="shared" si="960"/>
        <v>2021</v>
      </c>
      <c r="K2112" s="362">
        <f t="shared" si="960"/>
        <v>2022</v>
      </c>
      <c r="L2112" s="362">
        <f t="shared" si="960"/>
        <v>2023</v>
      </c>
      <c r="M2112" s="362">
        <f t="shared" si="960"/>
        <v>2024</v>
      </c>
      <c r="N2112" s="1141">
        <f t="shared" si="960"/>
        <v>2025</v>
      </c>
      <c r="O2112" s="15"/>
      <c r="P2112" s="15"/>
      <c r="Q2112" s="343"/>
      <c r="R2112" s="2"/>
      <c r="S2112" s="343"/>
      <c r="T2112" s="2"/>
      <c r="U2112" s="2"/>
      <c r="V2112" s="343"/>
      <c r="W2112" s="2"/>
      <c r="X2112" s="2"/>
      <c r="Y2112" s="2"/>
      <c r="Z2112" s="2"/>
      <c r="AA2112" s="2"/>
      <c r="AB2112" s="2"/>
      <c r="AC2112" s="1044">
        <f t="shared" ref="AC2112:AI2112" si="961">H$20</f>
        <v>2019</v>
      </c>
      <c r="AD2112" s="1044">
        <f t="shared" si="961"/>
        <v>2020</v>
      </c>
      <c r="AE2112" s="1044">
        <f t="shared" si="961"/>
        <v>2021</v>
      </c>
      <c r="AF2112" s="1044">
        <f t="shared" si="961"/>
        <v>2022</v>
      </c>
      <c r="AG2112" s="1044">
        <f t="shared" si="961"/>
        <v>2023</v>
      </c>
      <c r="AH2112" s="1044">
        <f t="shared" si="961"/>
        <v>2024</v>
      </c>
      <c r="AI2112" s="1044">
        <f t="shared" si="961"/>
        <v>2025</v>
      </c>
      <c r="AJ2112" s="2"/>
      <c r="AK2112" s="2"/>
      <c r="AL2112" s="2"/>
    </row>
    <row r="2113" spans="1:38" ht="12.75" customHeight="1" x14ac:dyDescent="0.25">
      <c r="A2113" s="2"/>
      <c r="B2113" s="178"/>
      <c r="C2113" s="779"/>
      <c r="D2113" s="416" t="s">
        <v>9</v>
      </c>
      <c r="E2113" s="2606"/>
      <c r="F2113" s="2607"/>
      <c r="G2113" s="59" t="str">
        <f>IF(E2113&lt;&gt;"",INDEX(EUconst_BMlistUnits,MATCH(E2113,EUconst_BMlistNames,0)),EUconst_Tons)</f>
        <v>ton</v>
      </c>
      <c r="H2113" s="1319"/>
      <c r="I2113" s="1320"/>
      <c r="J2113" s="1321"/>
      <c r="K2113" s="1319"/>
      <c r="L2113" s="1319"/>
      <c r="M2113" s="1319"/>
      <c r="N2113" s="1322"/>
      <c r="O2113" s="15"/>
      <c r="P2113" s="1362"/>
      <c r="Q2113" s="165" t="str">
        <f>EUconst_CNTR_IntermediateImport &amp; S2113 &amp; "_" &amp; I1825</f>
        <v>IntImp_1_</v>
      </c>
      <c r="R2113" s="2"/>
      <c r="S2113" s="165">
        <v>1</v>
      </c>
      <c r="T2113" s="2"/>
      <c r="U2113" s="2"/>
      <c r="V2113" s="343"/>
      <c r="W2113" s="2"/>
      <c r="X2113" s="2"/>
      <c r="Y2113" s="2"/>
      <c r="Z2113" s="2"/>
      <c r="AA2113" s="2"/>
      <c r="AB2113" s="672" t="s">
        <v>782</v>
      </c>
      <c r="AC2113" s="1196" t="b">
        <f>OR(AND($L2110&lt;&gt;"",$L2110=FALSE),AC1895)</f>
        <v>0</v>
      </c>
      <c r="AD2113" s="108" t="b">
        <f t="shared" ref="AD2113:AI2113" si="962">OR(AND($L2110&lt;&gt;"",$L2110=FALSE),AD1895)</f>
        <v>0</v>
      </c>
      <c r="AE2113" s="108" t="b">
        <f t="shared" si="962"/>
        <v>0</v>
      </c>
      <c r="AF2113" s="108" t="b">
        <f t="shared" si="962"/>
        <v>0</v>
      </c>
      <c r="AG2113" s="108" t="b">
        <f t="shared" si="962"/>
        <v>0</v>
      </c>
      <c r="AH2113" s="108" t="b">
        <f t="shared" si="962"/>
        <v>0</v>
      </c>
      <c r="AI2113" s="108" t="b">
        <f t="shared" si="962"/>
        <v>0</v>
      </c>
      <c r="AJ2113" s="553" t="s">
        <v>2248</v>
      </c>
      <c r="AK2113" s="663" t="str">
        <f>IF(AND(CNTR_ExistSubInstEntries,MSconst_RequireSubAttrEmissions,COUNTIFS(AC2113:AI2113,FALSE,H2113:N2113,"")&gt;0),EUconst_Error&amp;"BM"&amp;$Q1825,"")</f>
        <v/>
      </c>
      <c r="AL2113" s="2"/>
    </row>
    <row r="2114" spans="1:38" ht="12.75" customHeight="1" x14ac:dyDescent="0.25">
      <c r="A2114" s="2"/>
      <c r="B2114" s="178"/>
      <c r="C2114" s="779"/>
      <c r="D2114" s="416" t="s">
        <v>10</v>
      </c>
      <c r="E2114" s="2608"/>
      <c r="F2114" s="2609"/>
      <c r="G2114" s="51" t="str">
        <f>IF(E2114&lt;&gt;"",INDEX(EUconst_BMlistUnits,MATCH(E2114,EUconst_BMlistNames,0)),EUconst_Tons)</f>
        <v>ton</v>
      </c>
      <c r="H2114" s="1323"/>
      <c r="I2114" s="1324"/>
      <c r="J2114" s="1325"/>
      <c r="K2114" s="1323"/>
      <c r="L2114" s="1323"/>
      <c r="M2114" s="1323"/>
      <c r="N2114" s="1326"/>
      <c r="O2114" s="15"/>
      <c r="P2114" s="1362"/>
      <c r="Q2114" s="165" t="str">
        <f>EUconst_CNTR_IntermediateImport &amp; S2114 &amp; "_" &amp; I1825</f>
        <v>IntImp_2_</v>
      </c>
      <c r="R2114" s="2"/>
      <c r="S2114" s="165">
        <v>2</v>
      </c>
      <c r="T2114" s="2"/>
      <c r="U2114" s="2"/>
      <c r="V2114" s="343"/>
      <c r="W2114" s="2"/>
      <c r="X2114" s="2"/>
      <c r="Y2114" s="2"/>
      <c r="Z2114" s="2"/>
      <c r="AA2114" s="2"/>
      <c r="AB2114" s="2"/>
      <c r="AC2114" s="108" t="b">
        <f>AC2113</f>
        <v>0</v>
      </c>
      <c r="AD2114" s="108" t="b">
        <f t="shared" ref="AD2114:AI2114" si="963">AD2113</f>
        <v>0</v>
      </c>
      <c r="AE2114" s="108" t="b">
        <f t="shared" si="963"/>
        <v>0</v>
      </c>
      <c r="AF2114" s="108" t="b">
        <f t="shared" si="963"/>
        <v>0</v>
      </c>
      <c r="AG2114" s="108" t="b">
        <f t="shared" si="963"/>
        <v>0</v>
      </c>
      <c r="AH2114" s="108" t="b">
        <f t="shared" si="963"/>
        <v>0</v>
      </c>
      <c r="AI2114" s="108" t="b">
        <f t="shared" si="963"/>
        <v>0</v>
      </c>
      <c r="AJ2114" s="2"/>
      <c r="AK2114" s="2"/>
      <c r="AL2114" s="2"/>
    </row>
    <row r="2115" spans="1:38" ht="5.15" customHeight="1" x14ac:dyDescent="0.25">
      <c r="A2115" s="2"/>
      <c r="B2115" s="178"/>
      <c r="C2115" s="779"/>
      <c r="D2115" s="416"/>
      <c r="E2115" s="416"/>
      <c r="F2115" s="416"/>
      <c r="G2115" s="416"/>
      <c r="H2115" s="416"/>
      <c r="I2115" s="416"/>
      <c r="J2115" s="416"/>
      <c r="K2115" s="416"/>
      <c r="L2115" s="416"/>
      <c r="M2115" s="416"/>
      <c r="N2115" s="1149"/>
      <c r="O2115" s="15"/>
      <c r="P2115" s="15"/>
      <c r="Q2115" s="343"/>
      <c r="R2115" s="2"/>
      <c r="S2115" s="343"/>
      <c r="T2115" s="2"/>
      <c r="U2115" s="2"/>
      <c r="V2115" s="343"/>
      <c r="W2115" s="2"/>
      <c r="X2115" s="2"/>
      <c r="Y2115" s="2"/>
      <c r="Z2115" s="2"/>
      <c r="AA2115" s="2"/>
      <c r="AB2115" s="2"/>
      <c r="AC2115" s="2"/>
      <c r="AD2115" s="2"/>
      <c r="AE2115" s="2"/>
      <c r="AF2115" s="2"/>
      <c r="AG2115" s="2"/>
      <c r="AH2115" s="2"/>
      <c r="AI2115" s="2"/>
      <c r="AJ2115" s="2"/>
      <c r="AK2115" s="2"/>
      <c r="AL2115" s="2"/>
    </row>
    <row r="2116" spans="1:38" ht="12.75" customHeight="1" thickBot="1" x14ac:dyDescent="0.3">
      <c r="A2116" s="2"/>
      <c r="B2116" s="178"/>
      <c r="C2116" s="779"/>
      <c r="D2116" s="373"/>
      <c r="E2116" s="2605" t="str">
        <f>Translations!$B$655</f>
        <v>Exporterade mängder:</v>
      </c>
      <c r="F2116" s="2497"/>
      <c r="G2116" s="415" t="str">
        <f>EUconst_Unit</f>
        <v>Enhet</v>
      </c>
      <c r="H2116" s="362">
        <f t="shared" ref="H2116:N2116" si="964">H$3042</f>
        <v>2019</v>
      </c>
      <c r="I2116" s="1103">
        <f t="shared" si="964"/>
        <v>2020</v>
      </c>
      <c r="J2116" s="1104">
        <f t="shared" si="964"/>
        <v>2021</v>
      </c>
      <c r="K2116" s="362">
        <f t="shared" si="964"/>
        <v>2022</v>
      </c>
      <c r="L2116" s="362">
        <f t="shared" si="964"/>
        <v>2023</v>
      </c>
      <c r="M2116" s="362">
        <f t="shared" si="964"/>
        <v>2024</v>
      </c>
      <c r="N2116" s="1141">
        <f t="shared" si="964"/>
        <v>2025</v>
      </c>
      <c r="O2116" s="15"/>
      <c r="P2116" s="15"/>
      <c r="Q2116" s="343"/>
      <c r="R2116" s="2"/>
      <c r="S2116" s="343"/>
      <c r="T2116" s="2"/>
      <c r="U2116" s="2"/>
      <c r="V2116" s="343"/>
      <c r="W2116" s="2"/>
      <c r="X2116" s="2"/>
      <c r="Y2116" s="2"/>
      <c r="Z2116" s="2"/>
      <c r="AA2116" s="2"/>
      <c r="AB2116" s="2"/>
      <c r="AC2116" s="1044">
        <f t="shared" ref="AC2116:AI2116" si="965">H$20</f>
        <v>2019</v>
      </c>
      <c r="AD2116" s="1044">
        <f t="shared" si="965"/>
        <v>2020</v>
      </c>
      <c r="AE2116" s="1044">
        <f t="shared" si="965"/>
        <v>2021</v>
      </c>
      <c r="AF2116" s="1044">
        <f t="shared" si="965"/>
        <v>2022</v>
      </c>
      <c r="AG2116" s="1044">
        <f t="shared" si="965"/>
        <v>2023</v>
      </c>
      <c r="AH2116" s="1044">
        <f t="shared" si="965"/>
        <v>2024</v>
      </c>
      <c r="AI2116" s="1044">
        <f t="shared" si="965"/>
        <v>2025</v>
      </c>
      <c r="AJ2116" s="2"/>
      <c r="AK2116" s="2"/>
      <c r="AL2116" s="2"/>
    </row>
    <row r="2117" spans="1:38" ht="12.75" customHeight="1" x14ac:dyDescent="0.25">
      <c r="A2117" s="2"/>
      <c r="B2117" s="178"/>
      <c r="C2117" s="779"/>
      <c r="D2117" s="416" t="s">
        <v>23</v>
      </c>
      <c r="E2117" s="2606"/>
      <c r="F2117" s="2607"/>
      <c r="G2117" s="59" t="str">
        <f>IF(E2117&lt;&gt;"",INDEX(EUconst_BMlistUnits,MATCH(E2117,EUconst_BMlistNames,0)),EUconst_Tons)</f>
        <v>ton</v>
      </c>
      <c r="H2117" s="1319"/>
      <c r="I2117" s="1320"/>
      <c r="J2117" s="1321"/>
      <c r="K2117" s="1319"/>
      <c r="L2117" s="1319"/>
      <c r="M2117" s="1319"/>
      <c r="N2117" s="1322"/>
      <c r="O2117" s="15"/>
      <c r="P2117" s="1362"/>
      <c r="Q2117" s="165" t="str">
        <f>EUconst_CNTR_IntermediateExport &amp; S2113 &amp; "_" &amp; I1825</f>
        <v>IntExp_1_</v>
      </c>
      <c r="R2117" s="2"/>
      <c r="S2117" s="165">
        <v>1</v>
      </c>
      <c r="T2117" s="2"/>
      <c r="U2117" s="2"/>
      <c r="V2117" s="343"/>
      <c r="W2117" s="2"/>
      <c r="X2117" s="413"/>
      <c r="Y2117" s="413"/>
      <c r="Z2117" s="2"/>
      <c r="AA2117" s="2"/>
      <c r="AB2117" s="672" t="s">
        <v>782</v>
      </c>
      <c r="AC2117" s="108" t="b">
        <f>AC2113</f>
        <v>0</v>
      </c>
      <c r="AD2117" s="108" t="b">
        <f t="shared" ref="AD2117:AI2117" si="966">AD2113</f>
        <v>0</v>
      </c>
      <c r="AE2117" s="108" t="b">
        <f t="shared" si="966"/>
        <v>0</v>
      </c>
      <c r="AF2117" s="108" t="b">
        <f t="shared" si="966"/>
        <v>0</v>
      </c>
      <c r="AG2117" s="108" t="b">
        <f t="shared" si="966"/>
        <v>0</v>
      </c>
      <c r="AH2117" s="108" t="b">
        <f t="shared" si="966"/>
        <v>0</v>
      </c>
      <c r="AI2117" s="108" t="b">
        <f t="shared" si="966"/>
        <v>0</v>
      </c>
      <c r="AJ2117" s="553" t="s">
        <v>2248</v>
      </c>
      <c r="AK2117" s="663" t="str">
        <f>IF(AND(CNTR_ExistSubInstEntries,MSconst_RequireSubAttrEmissions,COUNTIFS(AC2117:AI2117,FALSE,H2117:N2117,"")&gt;0),EUconst_Error&amp;"BM"&amp;$Q1825,"")</f>
        <v/>
      </c>
      <c r="AL2117" s="2"/>
    </row>
    <row r="2118" spans="1:38" ht="12.75" customHeight="1" x14ac:dyDescent="0.25">
      <c r="A2118" s="2"/>
      <c r="B2118" s="178"/>
      <c r="C2118" s="779"/>
      <c r="D2118" s="416" t="s">
        <v>859</v>
      </c>
      <c r="E2118" s="2608"/>
      <c r="F2118" s="2609"/>
      <c r="G2118" s="51" t="str">
        <f>IF(E2118&lt;&gt;"",INDEX(EUconst_BMlistUnits,MATCH(E2118,EUconst_BMlistNames,0)),EUconst_Tons)</f>
        <v>ton</v>
      </c>
      <c r="H2118" s="1323"/>
      <c r="I2118" s="1324"/>
      <c r="J2118" s="1325"/>
      <c r="K2118" s="1323"/>
      <c r="L2118" s="1323"/>
      <c r="M2118" s="1323"/>
      <c r="N2118" s="1326"/>
      <c r="O2118" s="15"/>
      <c r="P2118" s="1362"/>
      <c r="Q2118" s="165" t="str">
        <f>EUconst_CNTR_IntermediateExport &amp; S2118 &amp; "_" &amp; I1825</f>
        <v>IntExp_2_</v>
      </c>
      <c r="R2118" s="2"/>
      <c r="S2118" s="165">
        <v>2</v>
      </c>
      <c r="T2118" s="2"/>
      <c r="U2118" s="2"/>
      <c r="V2118" s="343"/>
      <c r="W2118" s="2"/>
      <c r="X2118" s="413"/>
      <c r="Y2118" s="413"/>
      <c r="Z2118" s="2"/>
      <c r="AA2118" s="2"/>
      <c r="AB2118" s="2"/>
      <c r="AC2118" s="108" t="b">
        <f t="shared" ref="AC2118:AI2118" si="967">AC2114</f>
        <v>0</v>
      </c>
      <c r="AD2118" s="108" t="b">
        <f t="shared" si="967"/>
        <v>0</v>
      </c>
      <c r="AE2118" s="108" t="b">
        <f t="shared" si="967"/>
        <v>0</v>
      </c>
      <c r="AF2118" s="108" t="b">
        <f t="shared" si="967"/>
        <v>0</v>
      </c>
      <c r="AG2118" s="108" t="b">
        <f t="shared" si="967"/>
        <v>0</v>
      </c>
      <c r="AH2118" s="108" t="b">
        <f t="shared" si="967"/>
        <v>0</v>
      </c>
      <c r="AI2118" s="108" t="b">
        <f t="shared" si="967"/>
        <v>0</v>
      </c>
      <c r="AJ2118" s="2"/>
      <c r="AK2118" s="2"/>
      <c r="AL2118" s="2"/>
    </row>
    <row r="2119" spans="1:38" ht="5.15" customHeight="1" x14ac:dyDescent="0.25">
      <c r="A2119" s="2"/>
      <c r="B2119" s="178"/>
      <c r="C2119" s="779"/>
      <c r="D2119" s="416"/>
      <c r="E2119" s="416"/>
      <c r="F2119" s="416"/>
      <c r="G2119" s="416"/>
      <c r="H2119" s="416"/>
      <c r="I2119" s="416"/>
      <c r="J2119" s="416"/>
      <c r="K2119" s="416"/>
      <c r="L2119" s="416"/>
      <c r="M2119" s="416"/>
      <c r="N2119" s="1810"/>
      <c r="O2119" s="15"/>
      <c r="P2119" s="15"/>
      <c r="Q2119" s="343"/>
      <c r="R2119" s="2"/>
      <c r="S2119" s="343"/>
      <c r="T2119" s="2"/>
      <c r="U2119" s="2"/>
      <c r="V2119" s="343"/>
      <c r="W2119" s="2"/>
      <c r="X2119" s="413"/>
      <c r="Y2119" s="413"/>
      <c r="Z2119" s="2"/>
      <c r="AA2119" s="2"/>
      <c r="AB2119" s="2"/>
      <c r="AC2119" s="2"/>
      <c r="AD2119" s="2"/>
      <c r="AE2119" s="2"/>
      <c r="AF2119" s="2"/>
      <c r="AG2119" s="2"/>
      <c r="AH2119" s="2"/>
      <c r="AI2119" s="2"/>
      <c r="AJ2119" s="2"/>
      <c r="AK2119" s="2"/>
      <c r="AL2119" s="2"/>
    </row>
    <row r="2120" spans="1:38" ht="12.75" customHeight="1" x14ac:dyDescent="0.25">
      <c r="A2120" s="2"/>
      <c r="B2120" s="178"/>
      <c r="C2120" s="779"/>
      <c r="D2120" s="416" t="s">
        <v>860</v>
      </c>
      <c r="E2120" s="623" t="str">
        <f>Translations!$B$656</f>
        <v>Beskrivning av importerade eller exporterade mellanprodukter</v>
      </c>
      <c r="F2120" s="623"/>
      <c r="G2120" s="623"/>
      <c r="H2120" s="623"/>
      <c r="I2120" s="623"/>
      <c r="J2120" s="623"/>
      <c r="K2120" s="623"/>
      <c r="L2120" s="623"/>
      <c r="M2120" s="623"/>
      <c r="N2120" s="1810"/>
      <c r="O2120" s="15"/>
      <c r="P2120" s="15"/>
      <c r="Q2120" s="343"/>
      <c r="R2120" s="2"/>
      <c r="S2120" s="343"/>
      <c r="T2120" s="2"/>
      <c r="U2120" s="2"/>
      <c r="V2120" s="343"/>
      <c r="W2120" s="2"/>
      <c r="X2120" s="413"/>
      <c r="Y2120" s="413"/>
      <c r="Z2120" s="2"/>
      <c r="AA2120" s="2"/>
      <c r="AB2120" s="2"/>
      <c r="AC2120" s="2"/>
      <c r="AD2120" s="2"/>
      <c r="AE2120" s="2"/>
      <c r="AF2120" s="2"/>
      <c r="AG2120" s="2"/>
      <c r="AH2120" s="2"/>
      <c r="AI2120" s="2"/>
      <c r="AJ2120" s="2"/>
      <c r="AK2120" s="2"/>
      <c r="AL2120" s="2"/>
    </row>
    <row r="2121" spans="1:38" ht="12.75" customHeight="1" x14ac:dyDescent="0.25">
      <c r="A2121" s="2"/>
      <c r="B2121" s="178"/>
      <c r="C2121" s="779"/>
      <c r="D2121" s="416"/>
      <c r="E2121" s="1139" t="str">
        <f>Translations!$B$657</f>
        <v>Var god ge en kort beskrivning av produktionsprocessen för importerade eller exporterade mellanprodukter</v>
      </c>
      <c r="F2121" s="1806"/>
      <c r="G2121" s="1806"/>
      <c r="H2121" s="1806"/>
      <c r="I2121" s="1806"/>
      <c r="J2121" s="1806"/>
      <c r="K2121" s="1806"/>
      <c r="L2121" s="1806"/>
      <c r="M2121" s="1806"/>
      <c r="N2121" s="1807"/>
      <c r="O2121" s="15"/>
      <c r="P2121" s="15"/>
      <c r="Q2121" s="343"/>
      <c r="R2121" s="2"/>
      <c r="S2121" s="343"/>
      <c r="T2121" s="2"/>
      <c r="U2121" s="2"/>
      <c r="V2121" s="343"/>
      <c r="W2121" s="2"/>
      <c r="X2121" s="413"/>
      <c r="Y2121" s="413"/>
      <c r="Z2121" s="2"/>
      <c r="AA2121" s="2"/>
      <c r="AB2121" s="2"/>
      <c r="AC2121" s="2"/>
      <c r="AD2121" s="2"/>
      <c r="AE2121" s="2"/>
      <c r="AF2121" s="2"/>
      <c r="AG2121" s="2"/>
      <c r="AH2121" s="2"/>
      <c r="AI2121" s="2"/>
      <c r="AJ2121" s="2"/>
      <c r="AK2121" s="2"/>
      <c r="AL2121" s="2"/>
    </row>
    <row r="2122" spans="1:38" ht="12.75" customHeight="1" x14ac:dyDescent="0.25">
      <c r="A2122" s="2"/>
      <c r="B2122" s="178"/>
      <c r="C2122" s="779"/>
      <c r="D2122" s="416"/>
      <c r="E2122" s="2599"/>
      <c r="F2122" s="2600"/>
      <c r="G2122" s="2600"/>
      <c r="H2122" s="2600"/>
      <c r="I2122" s="2600"/>
      <c r="J2122" s="2600"/>
      <c r="K2122" s="2600"/>
      <c r="L2122" s="2600"/>
      <c r="M2122" s="2601"/>
      <c r="N2122" s="1810"/>
      <c r="O2122" s="15"/>
      <c r="P2122" s="1362"/>
      <c r="Q2122" s="343"/>
      <c r="R2122" s="2"/>
      <c r="S2122" s="343"/>
      <c r="T2122" s="2"/>
      <c r="U2122" s="2"/>
      <c r="V2122" s="343"/>
      <c r="W2122" s="2"/>
      <c r="X2122" s="413"/>
      <c r="Y2122" s="413"/>
      <c r="Z2122" s="2"/>
      <c r="AA2122" s="2"/>
      <c r="AB2122" s="672" t="s">
        <v>782</v>
      </c>
      <c r="AC2122" s="108" t="b">
        <f>AND(AC2117:AI2117)</f>
        <v>0</v>
      </c>
      <c r="AD2122" s="2"/>
      <c r="AE2122" s="2"/>
      <c r="AF2122" s="2"/>
      <c r="AG2122" s="2"/>
      <c r="AH2122" s="2"/>
      <c r="AI2122" s="2"/>
      <c r="AJ2122" s="2"/>
      <c r="AK2122" s="2"/>
      <c r="AL2122" s="2"/>
    </row>
    <row r="2123" spans="1:38" ht="12.75" customHeight="1" x14ac:dyDescent="0.25">
      <c r="A2123" s="2"/>
      <c r="B2123" s="178"/>
      <c r="C2123" s="779"/>
      <c r="D2123" s="416"/>
      <c r="E2123" s="2602"/>
      <c r="F2123" s="2603"/>
      <c r="G2123" s="2603"/>
      <c r="H2123" s="2603"/>
      <c r="I2123" s="2603"/>
      <c r="J2123" s="2603"/>
      <c r="K2123" s="2603"/>
      <c r="L2123" s="2603"/>
      <c r="M2123" s="2604"/>
      <c r="N2123" s="1810"/>
      <c r="O2123" s="15"/>
      <c r="P2123" s="15"/>
      <c r="Q2123" s="343"/>
      <c r="R2123" s="2"/>
      <c r="S2123" s="343"/>
      <c r="T2123" s="2"/>
      <c r="U2123" s="2"/>
      <c r="V2123" s="343"/>
      <c r="W2123" s="2"/>
      <c r="X2123" s="413"/>
      <c r="Y2123" s="413"/>
      <c r="Z2123" s="2"/>
      <c r="AA2123" s="2"/>
      <c r="AB2123" s="2"/>
      <c r="AC2123" s="108" t="b">
        <f>AC2122</f>
        <v>0</v>
      </c>
      <c r="AD2123" s="2"/>
      <c r="AE2123" s="2"/>
      <c r="AF2123" s="2"/>
      <c r="AG2123" s="2"/>
      <c r="AH2123" s="2"/>
      <c r="AI2123" s="2"/>
      <c r="AJ2123" s="2"/>
      <c r="AK2123" s="2"/>
      <c r="AL2123" s="2"/>
    </row>
    <row r="2124" spans="1:38" ht="12.75" customHeight="1" thickBot="1" x14ac:dyDescent="0.3">
      <c r="A2124" s="2"/>
      <c r="B2124" s="178"/>
      <c r="C2124" s="781"/>
      <c r="D2124" s="782"/>
      <c r="E2124" s="782"/>
      <c r="F2124" s="782"/>
      <c r="G2124" s="782"/>
      <c r="H2124" s="782"/>
      <c r="I2124" s="782"/>
      <c r="J2124" s="782"/>
      <c r="K2124" s="782"/>
      <c r="L2124" s="782"/>
      <c r="M2124" s="783"/>
      <c r="N2124" s="784"/>
      <c r="O2124" s="15"/>
      <c r="P2124" s="15"/>
      <c r="Q2124" s="343"/>
      <c r="R2124" s="2"/>
      <c r="S2124" s="343"/>
      <c r="T2124" s="2"/>
      <c r="U2124" s="2"/>
      <c r="V2124" s="343"/>
      <c r="W2124" s="2"/>
      <c r="X2124" s="2"/>
      <c r="Y2124" s="2"/>
      <c r="Z2124" s="2"/>
      <c r="AA2124" s="2"/>
      <c r="AB2124" s="2"/>
      <c r="AC2124" s="2"/>
      <c r="AD2124" s="2"/>
      <c r="AE2124" s="2"/>
      <c r="AF2124" s="2"/>
      <c r="AG2124" s="2"/>
      <c r="AH2124" s="2"/>
      <c r="AI2124" s="2"/>
      <c r="AJ2124" s="2"/>
      <c r="AK2124" s="2"/>
      <c r="AL2124" s="2"/>
    </row>
    <row r="2125" spans="1:38" ht="12.75" customHeight="1" thickBot="1" x14ac:dyDescent="0.3">
      <c r="A2125" s="343"/>
      <c r="B2125" s="3"/>
      <c r="C2125" s="3"/>
      <c r="D2125" s="3"/>
      <c r="E2125" s="3"/>
      <c r="F2125" s="3"/>
      <c r="G2125" s="3"/>
      <c r="H2125" s="3"/>
      <c r="I2125" s="3"/>
      <c r="J2125" s="3"/>
      <c r="K2125" s="3"/>
      <c r="L2125" s="3"/>
      <c r="M2125" s="6"/>
      <c r="N2125" s="6"/>
      <c r="O2125" s="6"/>
      <c r="P2125" s="6"/>
      <c r="Q2125" s="294" t="str">
        <f>IF(OR(AND(CNTR_ExistProductSubEntries=FALSE,Q1825=1),AND(I1825&lt;&gt;"",COUNTIF(Q2126:$Q3071,"PRINT")=0)),"PRINT","")</f>
        <v/>
      </c>
      <c r="R2125" s="7"/>
      <c r="S2125" s="7"/>
      <c r="T2125" s="7"/>
      <c r="U2125" s="7"/>
      <c r="V2125" s="7"/>
      <c r="W2125" s="7"/>
      <c r="X2125" s="7"/>
      <c r="Y2125" s="7"/>
      <c r="Z2125" s="2"/>
      <c r="AA2125" s="2"/>
      <c r="AB2125" s="2"/>
      <c r="AC2125" s="2"/>
      <c r="AD2125" s="2"/>
      <c r="AE2125" s="349"/>
      <c r="AF2125" s="349"/>
      <c r="AG2125" s="349"/>
      <c r="AH2125" s="349"/>
      <c r="AI2125" s="349"/>
      <c r="AJ2125" s="349"/>
      <c r="AK2125" s="349"/>
      <c r="AL2125" s="349"/>
    </row>
    <row r="2126" spans="1:38" ht="5.15" customHeight="1" thickBot="1" x14ac:dyDescent="0.3">
      <c r="A2126" s="2"/>
      <c r="B2126" s="178"/>
      <c r="C2126" s="785"/>
      <c r="D2126" s="785"/>
      <c r="E2126" s="785"/>
      <c r="F2126" s="785"/>
      <c r="G2126" s="785"/>
      <c r="H2126" s="785"/>
      <c r="I2126" s="785"/>
      <c r="J2126" s="785"/>
      <c r="K2126" s="785"/>
      <c r="L2126" s="785"/>
      <c r="M2126" s="785"/>
      <c r="N2126" s="785"/>
      <c r="O2126" s="15"/>
      <c r="P2126" s="15"/>
      <c r="Q2126" s="1723"/>
      <c r="R2126" s="1723"/>
      <c r="S2126" s="1723"/>
      <c r="T2126" s="1723"/>
      <c r="U2126" s="1723"/>
      <c r="V2126" s="1723"/>
      <c r="W2126" s="1723"/>
      <c r="X2126" s="1723"/>
      <c r="Y2126" s="1723"/>
      <c r="Z2126" s="1723"/>
      <c r="AA2126" s="1723"/>
      <c r="AB2126" s="1723"/>
      <c r="AC2126" s="1723"/>
      <c r="AD2126" s="1723"/>
      <c r="AE2126" s="1723"/>
      <c r="AF2126" s="1723"/>
      <c r="AG2126" s="1723"/>
      <c r="AH2126" s="1723"/>
      <c r="AI2126" s="1723"/>
      <c r="AJ2126" s="1723"/>
      <c r="AK2126" s="1723"/>
      <c r="AL2126" s="1723"/>
    </row>
    <row r="2127" spans="1:38" ht="14.5" thickBot="1" x14ac:dyDescent="0.3">
      <c r="A2127" s="2"/>
      <c r="B2127" s="178"/>
      <c r="C2127" s="771">
        <f>C1825+1</f>
        <v>8</v>
      </c>
      <c r="D2127" s="2053" t="str">
        <f>EUconst_BMSubinst &amp; ":"</f>
        <v>Delanläggning med produktriktmärke:</v>
      </c>
      <c r="E2127" s="1963"/>
      <c r="F2127" s="1963"/>
      <c r="G2127" s="1963"/>
      <c r="H2127" s="2060"/>
      <c r="I2127" s="2090" t="str">
        <f>IF(INDEX(CNTR_SubInstListIsProdBM,$C2127),INDEX(CNTR_SubInstListNames,$C2127),"")</f>
        <v/>
      </c>
      <c r="J2127" s="2120"/>
      <c r="K2127" s="2120"/>
      <c r="L2127" s="2120"/>
      <c r="M2127" s="2120"/>
      <c r="N2127" s="2154"/>
      <c r="O2127" s="15"/>
      <c r="P2127" s="15"/>
      <c r="Q2127" s="294">
        <f>C2127</f>
        <v>8</v>
      </c>
      <c r="R2127" s="2"/>
      <c r="S2127" s="553" t="s">
        <v>608</v>
      </c>
      <c r="T2127" s="979" t="str">
        <f>IF(I2127="","",MAX(INDEX(CNTR_SubInstStartDate,MATCH($I2127,CNTR_SubInstListNames,0)),DATE(2005,1,1)))</f>
        <v/>
      </c>
      <c r="U2127" s="343" t="s">
        <v>1873</v>
      </c>
      <c r="V2127" s="663">
        <f>IF(ISNUMBER(T2127),YEAR($T2127-IF(YEAR(T2127)&gt;=2022,0,1))+1,2005)</f>
        <v>2005</v>
      </c>
      <c r="W2127" s="553" t="s">
        <v>1876</v>
      </c>
      <c r="X2127" s="979" t="str">
        <f>IF(I2127="","",INDEX(CNTR_SubInstCessationDate,MATCH($I2127,CNTR_SubInstListNames,0)))</f>
        <v/>
      </c>
      <c r="Y2127" s="553" t="s">
        <v>1877</v>
      </c>
      <c r="Z2127" s="663">
        <f>IF(SUM(X2127)=0,2050,YEAR($X2127))</f>
        <v>2050</v>
      </c>
      <c r="AA2127" s="553" t="s">
        <v>2201</v>
      </c>
      <c r="AB2127" s="663" t="b">
        <f>CNTR_ReportingYear&gt;V2127</f>
        <v>1</v>
      </c>
      <c r="AC2127" s="2"/>
      <c r="AD2127" s="2"/>
      <c r="AE2127" s="2"/>
      <c r="AF2127" s="2"/>
      <c r="AG2127" s="2"/>
      <c r="AH2127" s="2"/>
      <c r="AI2127" s="2"/>
      <c r="AJ2127" s="2"/>
      <c r="AK2127" s="2"/>
      <c r="AL2127" s="555" t="b">
        <f>AND(CNTR_ExistSubInstEntries,I2127="")</f>
        <v>0</v>
      </c>
    </row>
    <row r="2128" spans="1:38" ht="12.75" customHeight="1" x14ac:dyDescent="0.25">
      <c r="A2128" s="2"/>
      <c r="B2128" s="178"/>
      <c r="C2128" s="178"/>
      <c r="D2128" s="15"/>
      <c r="E2128" s="2061" t="str">
        <f>Translations!$B$360</f>
        <v>Namnet på delanläggningen med produktriktmärke visas automatiskt i inmatningsfälten i blad ”A_InstallationData”.</v>
      </c>
      <c r="F2128" s="1963"/>
      <c r="G2128" s="1963"/>
      <c r="H2128" s="1963"/>
      <c r="I2128" s="1963"/>
      <c r="J2128" s="1963"/>
      <c r="K2128" s="1963"/>
      <c r="L2128" s="1963"/>
      <c r="M2128" s="1963"/>
      <c r="N2128" s="1963"/>
      <c r="O2128" s="15"/>
      <c r="P2128" s="15"/>
      <c r="Q2128" s="343"/>
      <c r="R2128" s="2"/>
      <c r="S2128" s="343"/>
      <c r="T2128" s="343"/>
      <c r="U2128" s="2"/>
      <c r="V2128" s="2"/>
      <c r="W2128" s="2"/>
      <c r="X2128" s="2"/>
      <c r="Y2128" s="2"/>
      <c r="Z2128" s="2"/>
      <c r="AA2128" s="2"/>
      <c r="AB2128" s="2"/>
      <c r="AC2128" s="2"/>
      <c r="AD2128" s="2"/>
      <c r="AE2128" s="2"/>
      <c r="AF2128" s="2"/>
      <c r="AG2128" s="2"/>
      <c r="AH2128" s="2"/>
      <c r="AI2128" s="2"/>
      <c r="AJ2128" s="2"/>
      <c r="AK2128" s="2"/>
      <c r="AL2128" s="2"/>
    </row>
    <row r="2129" spans="1:38" ht="5.15" customHeight="1" x14ac:dyDescent="0.25">
      <c r="A2129" s="2"/>
      <c r="B2129" s="178"/>
      <c r="C2129" s="178"/>
      <c r="D2129" s="178"/>
      <c r="E2129" s="178"/>
      <c r="F2129" s="178"/>
      <c r="G2129" s="178"/>
      <c r="H2129" s="178"/>
      <c r="I2129" s="178"/>
      <c r="J2129" s="178"/>
      <c r="K2129" s="178"/>
      <c r="L2129" s="178"/>
      <c r="M2129" s="15"/>
      <c r="N2129" s="15"/>
      <c r="O2129" s="15"/>
      <c r="P2129" s="15"/>
      <c r="Q2129" s="343"/>
      <c r="R2129" s="2"/>
      <c r="S2129" s="343"/>
      <c r="T2129" s="343"/>
      <c r="U2129" s="2"/>
      <c r="V2129" s="2"/>
      <c r="W2129" s="2"/>
      <c r="X2129" s="2"/>
      <c r="Y2129" s="2"/>
      <c r="Z2129" s="2"/>
      <c r="AA2129" s="2"/>
      <c r="AB2129" s="2"/>
      <c r="AC2129" s="2"/>
      <c r="AD2129" s="2"/>
      <c r="AE2129" s="2"/>
      <c r="AF2129" s="2"/>
      <c r="AG2129" s="2"/>
      <c r="AH2129" s="2"/>
      <c r="AI2129" s="2"/>
      <c r="AJ2129" s="2"/>
      <c r="AK2129" s="2"/>
      <c r="AL2129" s="2"/>
    </row>
    <row r="2130" spans="1:38" ht="13" x14ac:dyDescent="0.25">
      <c r="A2130" s="2"/>
      <c r="B2130" s="178"/>
      <c r="C2130" s="178"/>
      <c r="D2130" s="13" t="s">
        <v>442</v>
      </c>
      <c r="E2130" s="1943" t="str">
        <f>Translations!$B$1466</f>
        <v>Verksamhetsnivåer</v>
      </c>
      <c r="F2130" s="1963"/>
      <c r="G2130" s="1963"/>
      <c r="H2130" s="1963"/>
      <c r="I2130" s="1963"/>
      <c r="J2130" s="1963"/>
      <c r="K2130" s="1963"/>
      <c r="L2130" s="1963"/>
      <c r="M2130" s="1963"/>
      <c r="N2130" s="1963"/>
      <c r="O2130" s="15"/>
      <c r="P2130" s="15"/>
      <c r="Q2130" s="343"/>
      <c r="R2130" s="2"/>
      <c r="S2130" s="2"/>
      <c r="T2130" s="2"/>
      <c r="U2130" s="2"/>
      <c r="V2130" s="2"/>
      <c r="W2130" s="2"/>
      <c r="X2130" s="2"/>
      <c r="Y2130" s="2"/>
      <c r="Z2130" s="2"/>
      <c r="AA2130" s="2"/>
      <c r="AB2130" s="2"/>
      <c r="AC2130" s="2"/>
      <c r="AD2130" s="2"/>
      <c r="AE2130" s="2"/>
      <c r="AF2130" s="2"/>
      <c r="AG2130" s="2"/>
      <c r="AH2130" s="2"/>
      <c r="AI2130" s="2"/>
      <c r="AJ2130" s="2"/>
      <c r="AK2130" s="2"/>
      <c r="AL2130" s="2"/>
    </row>
    <row r="2131" spans="1:38" ht="12.75" customHeight="1" x14ac:dyDescent="0.25">
      <c r="A2131" s="2"/>
      <c r="B2131" s="178"/>
      <c r="C2131" s="178"/>
      <c r="D2131" s="15"/>
      <c r="E2131" s="2061" t="str">
        <f>Translations!$B$514</f>
        <v>I denna punkt ska de ”huvudsakliga verksamhetsnivåerna” anges, dvs. de uppgifter som är direkt tillämpliga för att beräkna tilldelningen.</v>
      </c>
      <c r="F2131" s="1963"/>
      <c r="G2131" s="1963"/>
      <c r="H2131" s="1963"/>
      <c r="I2131" s="1963"/>
      <c r="J2131" s="1963"/>
      <c r="K2131" s="1963"/>
      <c r="L2131" s="1963"/>
      <c r="M2131" s="1963"/>
      <c r="N2131" s="1963"/>
      <c r="O2131" s="15"/>
      <c r="P2131" s="15"/>
      <c r="Q2131" s="343"/>
      <c r="R2131" s="2"/>
      <c r="S2131" s="343"/>
      <c r="T2131" s="343"/>
      <c r="U2131" s="343"/>
      <c r="V2131" s="2"/>
      <c r="W2131" s="2"/>
      <c r="X2131" s="2"/>
      <c r="Y2131" s="2"/>
      <c r="Z2131" s="2"/>
      <c r="AA2131" s="2"/>
      <c r="AB2131" s="2"/>
      <c r="AC2131" s="2"/>
      <c r="AD2131" s="2"/>
      <c r="AE2131" s="2"/>
      <c r="AF2131" s="2"/>
      <c r="AG2131" s="2"/>
      <c r="AH2131" s="2"/>
      <c r="AI2131" s="2"/>
      <c r="AJ2131" s="2"/>
      <c r="AK2131" s="2"/>
      <c r="AL2131" s="2"/>
    </row>
    <row r="2132" spans="1:38" ht="12.75" customHeight="1" x14ac:dyDescent="0.25">
      <c r="A2132" s="2"/>
      <c r="B2132" s="178"/>
      <c r="C2132" s="178"/>
      <c r="D2132" s="15"/>
      <c r="E2132" s="2061" t="str">
        <f>Translations!$B$515</f>
        <v xml:space="preserve">Detta är i regel produktionsuppgifter för produkten, t.ex. grå cementklinker i ton eller glasflaskor i ton, i enlighet med bilaga I till FAR. </v>
      </c>
      <c r="F2132" s="1963"/>
      <c r="G2132" s="1963"/>
      <c r="H2132" s="1963"/>
      <c r="I2132" s="1963"/>
      <c r="J2132" s="1963"/>
      <c r="K2132" s="1963"/>
      <c r="L2132" s="1963"/>
      <c r="M2132" s="1963"/>
      <c r="N2132" s="1963"/>
      <c r="O2132" s="15"/>
      <c r="P2132" s="15"/>
      <c r="Q2132" s="343"/>
      <c r="R2132" s="2"/>
      <c r="S2132" s="343"/>
      <c r="T2132" s="343"/>
      <c r="U2132" s="343"/>
      <c r="V2132" s="2"/>
      <c r="W2132" s="2"/>
      <c r="X2132" s="2"/>
      <c r="Y2132" s="2"/>
      <c r="Z2132" s="2"/>
      <c r="AA2132" s="2"/>
      <c r="AB2132" s="2"/>
      <c r="AC2132" s="2"/>
      <c r="AD2132" s="2"/>
      <c r="AE2132" s="2"/>
      <c r="AF2132" s="2"/>
      <c r="AG2132" s="2"/>
      <c r="AH2132" s="2"/>
      <c r="AI2132" s="2"/>
      <c r="AJ2132" s="2"/>
      <c r="AK2132" s="2"/>
      <c r="AL2132" s="2"/>
    </row>
    <row r="2133" spans="1:38" ht="12.75" customHeight="1" x14ac:dyDescent="0.25">
      <c r="A2133" s="2"/>
      <c r="B2133" s="178"/>
      <c r="C2133" s="178"/>
      <c r="D2133" s="15"/>
      <c r="E2133" s="2061" t="str">
        <f>Translations!$B$516</f>
        <v>Om ett meddelande visas i punkt iv måste dock lämpligt beräkningsverktyg användas, och resultaten kopieras automatiskt in i tabellen i punkt ii.</v>
      </c>
      <c r="F2133" s="1963"/>
      <c r="G2133" s="1963"/>
      <c r="H2133" s="1963"/>
      <c r="I2133" s="1963"/>
      <c r="J2133" s="1963"/>
      <c r="K2133" s="1963"/>
      <c r="L2133" s="1963"/>
      <c r="M2133" s="1963"/>
      <c r="N2133" s="1963"/>
      <c r="O2133" s="15"/>
      <c r="P2133" s="15"/>
      <c r="Q2133" s="343"/>
      <c r="R2133" s="2"/>
      <c r="S2133" s="343"/>
      <c r="T2133" s="2"/>
      <c r="U2133" s="2"/>
      <c r="V2133" s="2"/>
      <c r="W2133" s="2"/>
      <c r="X2133" s="2"/>
      <c r="Y2133" s="2"/>
      <c r="Z2133" s="343"/>
      <c r="AA2133" s="2"/>
      <c r="AB2133" s="2"/>
      <c r="AC2133" s="2"/>
      <c r="AD2133" s="2"/>
      <c r="AE2133" s="2"/>
      <c r="AF2133" s="2"/>
      <c r="AG2133" s="2"/>
      <c r="AH2133" s="2"/>
      <c r="AI2133" s="2"/>
      <c r="AJ2133" s="2"/>
      <c r="AK2133" s="2"/>
      <c r="AL2133" s="2"/>
    </row>
    <row r="2134" spans="1:38" ht="13.5" customHeight="1" thickBot="1" x14ac:dyDescent="0.3">
      <c r="A2134" s="2"/>
      <c r="B2134" s="19"/>
      <c r="C2134" s="19"/>
      <c r="D2134" s="13"/>
      <c r="E2134" s="2062" t="str">
        <f>Translations!$B$517</f>
        <v>Årliga verksamhetsnivåer:</v>
      </c>
      <c r="F2134" s="2062"/>
      <c r="G2134" s="30" t="str">
        <f>EUconst_Unit</f>
        <v>Enhet</v>
      </c>
      <c r="H2134" s="320">
        <f t="shared" ref="H2134:N2134" si="968">H$3042</f>
        <v>2019</v>
      </c>
      <c r="I2134" s="342">
        <f t="shared" si="968"/>
        <v>2020</v>
      </c>
      <c r="J2134" s="987">
        <f t="shared" si="968"/>
        <v>2021</v>
      </c>
      <c r="K2134" s="320">
        <f t="shared" si="968"/>
        <v>2022</v>
      </c>
      <c r="L2134" s="320">
        <f t="shared" si="968"/>
        <v>2023</v>
      </c>
      <c r="M2134" s="320">
        <f t="shared" si="968"/>
        <v>2024</v>
      </c>
      <c r="N2134" s="350">
        <f t="shared" si="968"/>
        <v>2025</v>
      </c>
      <c r="O2134" s="15"/>
      <c r="P2134" s="15"/>
      <c r="Q2134" s="343"/>
      <c r="R2134" s="2"/>
      <c r="S2134" s="2"/>
      <c r="T2134" s="1044">
        <f t="shared" ref="T2134:Z2134" si="969">H2134</f>
        <v>2019</v>
      </c>
      <c r="U2134" s="1044">
        <f t="shared" si="969"/>
        <v>2020</v>
      </c>
      <c r="V2134" s="1044">
        <f t="shared" si="969"/>
        <v>2021</v>
      </c>
      <c r="W2134" s="1044">
        <f t="shared" si="969"/>
        <v>2022</v>
      </c>
      <c r="X2134" s="1044">
        <f t="shared" si="969"/>
        <v>2023</v>
      </c>
      <c r="Y2134" s="1044">
        <f t="shared" si="969"/>
        <v>2024</v>
      </c>
      <c r="Z2134" s="1044">
        <f t="shared" si="969"/>
        <v>2025</v>
      </c>
      <c r="AA2134" s="2"/>
      <c r="AB2134" s="2"/>
      <c r="AC2134" s="1044">
        <f t="shared" ref="AC2134:AI2134" si="970">H$20</f>
        <v>2019</v>
      </c>
      <c r="AD2134" s="1044">
        <f t="shared" si="970"/>
        <v>2020</v>
      </c>
      <c r="AE2134" s="1044">
        <f t="shared" si="970"/>
        <v>2021</v>
      </c>
      <c r="AF2134" s="1044">
        <f t="shared" si="970"/>
        <v>2022</v>
      </c>
      <c r="AG2134" s="1044">
        <f t="shared" si="970"/>
        <v>2023</v>
      </c>
      <c r="AH2134" s="1044">
        <f t="shared" si="970"/>
        <v>2024</v>
      </c>
      <c r="AI2134" s="1044">
        <f t="shared" si="970"/>
        <v>2025</v>
      </c>
      <c r="AJ2134" s="2"/>
      <c r="AK2134" s="2"/>
      <c r="AL2134" s="343"/>
    </row>
    <row r="2135" spans="1:38" ht="13" thickBot="1" x14ac:dyDescent="0.3">
      <c r="A2135" s="2"/>
      <c r="B2135" s="19"/>
      <c r="C2135" s="19"/>
      <c r="D2135" s="175" t="s">
        <v>8</v>
      </c>
      <c r="E2135" s="2655" t="str">
        <f>I2127</f>
        <v/>
      </c>
      <c r="F2135" s="2655"/>
      <c r="G2135" s="91" t="str">
        <f>IF(INDEX(CNTR_SubInstListIsProdBM,$C2127),INDEX(CNTR_SubInstListHALUnit,$C2127),EUconst_Tons)</f>
        <v>ton</v>
      </c>
      <c r="H2135" s="921"/>
      <c r="I2135" s="985"/>
      <c r="J2135" s="988"/>
      <c r="K2135" s="921"/>
      <c r="L2135" s="921"/>
      <c r="M2135" s="921"/>
      <c r="N2135" s="1124"/>
      <c r="O2135" s="15"/>
      <c r="P2135" s="1362"/>
      <c r="Q2135" s="2"/>
      <c r="R2135" s="2"/>
      <c r="S2135" s="343" t="s">
        <v>1874</v>
      </c>
      <c r="T2135" s="1762" t="b">
        <f t="shared" ref="T2135:Z2135" si="971">AND($I2127&lt;&gt;"",H2134&lt;CNTR_ReportingYear,H2134&gt;=$V2127-1)</f>
        <v>0</v>
      </c>
      <c r="U2135" s="1763" t="b">
        <f t="shared" si="971"/>
        <v>0</v>
      </c>
      <c r="V2135" s="1763" t="b">
        <f t="shared" si="971"/>
        <v>0</v>
      </c>
      <c r="W2135" s="1763" t="b">
        <f t="shared" si="971"/>
        <v>0</v>
      </c>
      <c r="X2135" s="1763" t="b">
        <f t="shared" si="971"/>
        <v>0</v>
      </c>
      <c r="Y2135" s="1763" t="b">
        <f t="shared" si="971"/>
        <v>0</v>
      </c>
      <c r="Z2135" s="1764" t="b">
        <f t="shared" si="971"/>
        <v>0</v>
      </c>
      <c r="AA2135" s="343"/>
      <c r="AB2135" s="672" t="s">
        <v>782</v>
      </c>
      <c r="AC2135" s="1755" t="b">
        <f t="shared" ref="AC2135:AI2135" si="972">IF(CNTR_ExistSubInstEntries,OR($I2127="",$R2139,H2134&gt;=CNTR_ReportingYear,AC2134&lt;$V2127-1),FALSE)</f>
        <v>0</v>
      </c>
      <c r="AD2135" s="1042" t="b">
        <f t="shared" si="972"/>
        <v>0</v>
      </c>
      <c r="AE2135" s="1042" t="b">
        <f t="shared" si="972"/>
        <v>0</v>
      </c>
      <c r="AF2135" s="1042" t="b">
        <f t="shared" si="972"/>
        <v>0</v>
      </c>
      <c r="AG2135" s="1042" t="b">
        <f t="shared" si="972"/>
        <v>0</v>
      </c>
      <c r="AH2135" s="1042" t="b">
        <f t="shared" si="972"/>
        <v>0</v>
      </c>
      <c r="AI2135" s="1043" t="b">
        <f t="shared" si="972"/>
        <v>0</v>
      </c>
      <c r="AJ2135" s="553" t="s">
        <v>2248</v>
      </c>
      <c r="AK2135" s="663" t="str">
        <f>IF(AND(CNTR_ExistSubInstEntries,COUNTIFS(AC2135:AI2135,FALSE,H2135:N2135,"")&gt;0),EUconst_Error&amp;"BM"&amp;$Q2127,"")</f>
        <v/>
      </c>
      <c r="AL2135" s="2"/>
    </row>
    <row r="2136" spans="1:38" ht="13" customHeight="1" thickBot="1" x14ac:dyDescent="0.3">
      <c r="A2136" s="2"/>
      <c r="B2136" s="19"/>
      <c r="C2136" s="19"/>
      <c r="D2136" s="175" t="s">
        <v>9</v>
      </c>
      <c r="E2136" s="2655" t="str">
        <f>Translations!$B$518</f>
        <v>Från blad ”H_SpecialBM”:</v>
      </c>
      <c r="F2136" s="2655"/>
      <c r="G2136" s="91" t="str">
        <f>G2135</f>
        <v>ton</v>
      </c>
      <c r="H2136" s="922" t="str">
        <f>IF(OR($I2127="",H2134&gt;=CNTR_ReportingYear),"",IF($R2139,SUMIF(H_SpecialBM!$Q$9:$Q$414,$Q2136,H_SpecialBM!H$9:H$414),""))</f>
        <v/>
      </c>
      <c r="I2136" s="986" t="str">
        <f>IF(OR($I2127="",I2134&gt;=CNTR_ReportingYear),"",IF($R2139,SUMIF(H_SpecialBM!$Q$9:$Q$414,$Q2136,H_SpecialBM!I$9:I$414),""))</f>
        <v/>
      </c>
      <c r="J2136" s="989" t="str">
        <f>IF(OR($I2127="",J2134&gt;=CNTR_ReportingYear),"",IF($R2139,SUMIF(H_SpecialBM!$Q$9:$Q$414,$Q2136,H_SpecialBM!J$9:J$414),""))</f>
        <v/>
      </c>
      <c r="K2136" s="922" t="str">
        <f>IF(OR($I2127="",K2134&gt;=CNTR_ReportingYear),"",IF($R2139,SUMIF(H_SpecialBM!$Q$9:$Q$414,$Q2136,H_SpecialBM!K$9:K$414),""))</f>
        <v/>
      </c>
      <c r="L2136" s="922" t="str">
        <f>IF(OR($I2127="",L2134&gt;=CNTR_ReportingYear),"",IF($R2139,SUMIF(H_SpecialBM!$Q$9:$Q$414,$Q2136,H_SpecialBM!L$9:L$414),""))</f>
        <v/>
      </c>
      <c r="M2136" s="922" t="str">
        <f>IF(OR($I2127="",M2134&gt;=CNTR_ReportingYear),"",IF($R2139,SUMIF(H_SpecialBM!$Q$9:$Q$414,$Q2136,H_SpecialBM!M$9:M$414),""))</f>
        <v/>
      </c>
      <c r="N2136" s="1125" t="str">
        <f>IF(OR($I2127="",N2134&gt;=CNTR_ReportingYear),"",IF($R2139,SUMIF(H_SpecialBM!$Q$9:$Q$414,$Q2136,H_SpecialBM!N$9:N$414),""))</f>
        <v/>
      </c>
      <c r="O2136" s="15"/>
      <c r="P2136" s="15"/>
      <c r="Q2136" s="165" t="str">
        <f>EUconst_CNTR_HALspecial&amp;I2127</f>
        <v>HALspecial_</v>
      </c>
      <c r="R2136" s="2"/>
      <c r="S2136" s="2"/>
      <c r="T2136" s="2"/>
      <c r="U2136" s="2"/>
      <c r="V2136" s="2"/>
      <c r="W2136" s="2"/>
      <c r="X2136" s="2"/>
      <c r="Y2136" s="2"/>
      <c r="Z2136" s="2"/>
      <c r="AA2136" s="2"/>
      <c r="AB2136" s="672" t="s">
        <v>782</v>
      </c>
      <c r="AC2136" s="1755" t="b">
        <f t="shared" ref="AC2136:AI2136" si="973">AND(CNTR_HasEntries_A_I,OR($R2139=FALSE,H2134&gt;=CNTR_ReportingYear))</f>
        <v>0</v>
      </c>
      <c r="AD2136" s="1042" t="b">
        <f t="shared" si="973"/>
        <v>0</v>
      </c>
      <c r="AE2136" s="1042" t="b">
        <f t="shared" si="973"/>
        <v>0</v>
      </c>
      <c r="AF2136" s="1042" t="b">
        <f t="shared" si="973"/>
        <v>0</v>
      </c>
      <c r="AG2136" s="1042" t="b">
        <f t="shared" si="973"/>
        <v>0</v>
      </c>
      <c r="AH2136" s="1042" t="b">
        <f t="shared" si="973"/>
        <v>0</v>
      </c>
      <c r="AI2136" s="1043" t="b">
        <f t="shared" si="973"/>
        <v>0</v>
      </c>
      <c r="AJ2136" s="766"/>
      <c r="AK2136" s="766"/>
      <c r="AL2136" s="343"/>
    </row>
    <row r="2137" spans="1:38" ht="13" customHeight="1" x14ac:dyDescent="0.25">
      <c r="A2137" s="2"/>
      <c r="B2137" s="19"/>
      <c r="C2137" s="19"/>
      <c r="D2137" s="175" t="s">
        <v>10</v>
      </c>
      <c r="E2137" s="2655" t="str">
        <f>Translations!$B$519</f>
        <v>Värden som används för beräkning:</v>
      </c>
      <c r="F2137" s="2655"/>
      <c r="G2137" s="91" t="str">
        <f>G2136</f>
        <v>ton</v>
      </c>
      <c r="H2137" s="922" t="str">
        <f t="shared" ref="H2137:N2137" si="974">IF(OR($I2127="",H2134&gt;=CNTR_ReportingYear),"",IF($R2139=TRUE,IF(ISNUMBER(H2136),H2136,0),IF(AND(H2134&gt;=$V2127-1,ISNUMBER(H2135)),H2135,0)))</f>
        <v/>
      </c>
      <c r="I2137" s="986" t="str">
        <f t="shared" si="974"/>
        <v/>
      </c>
      <c r="J2137" s="989" t="str">
        <f t="shared" si="974"/>
        <v/>
      </c>
      <c r="K2137" s="922" t="str">
        <f t="shared" si="974"/>
        <v/>
      </c>
      <c r="L2137" s="922" t="str">
        <f t="shared" si="974"/>
        <v/>
      </c>
      <c r="M2137" s="922" t="str">
        <f t="shared" si="974"/>
        <v/>
      </c>
      <c r="N2137" s="1125" t="str">
        <f t="shared" si="974"/>
        <v/>
      </c>
      <c r="O2137" s="15"/>
      <c r="P2137" s="918"/>
      <c r="Q2137" s="165" t="str">
        <f>EUconst_CNTR_HAL&amp;I2127</f>
        <v>HAL_</v>
      </c>
      <c r="R2137" s="2"/>
      <c r="S2137" s="2"/>
      <c r="T2137" s="2"/>
      <c r="U2137" s="2"/>
      <c r="V2137" s="2"/>
      <c r="W2137" s="2"/>
      <c r="X2137" s="2"/>
      <c r="Y2137" s="2"/>
      <c r="Z2137" s="2"/>
      <c r="AA2137" s="2"/>
      <c r="AB2137" s="2"/>
      <c r="AC2137" s="2"/>
      <c r="AD2137" s="2"/>
      <c r="AE2137" s="2"/>
      <c r="AF2137" s="2"/>
      <c r="AG2137" s="2"/>
      <c r="AH2137" s="2"/>
      <c r="AI2137" s="2"/>
      <c r="AJ2137" s="553" t="s">
        <v>2242</v>
      </c>
      <c r="AK2137" s="108" t="str">
        <f>IF(COUNTIFS(H2134:N2134,"&lt;"&amp;YEAR(SUM(T2127)),H2137:N2137,"&gt;"&amp;0)&gt;0,EUconst_Error&amp;"BM"&amp;Q2127,"")</f>
        <v/>
      </c>
      <c r="AL2137" s="343"/>
    </row>
    <row r="2138" spans="1:38" ht="5.15" customHeight="1" x14ac:dyDescent="0.25">
      <c r="A2138" s="2"/>
      <c r="B2138" s="178"/>
      <c r="C2138" s="178"/>
      <c r="D2138" s="178"/>
      <c r="E2138" s="178"/>
      <c r="F2138" s="178"/>
      <c r="G2138" s="178"/>
      <c r="H2138" s="178"/>
      <c r="I2138" s="178"/>
      <c r="J2138" s="178"/>
      <c r="K2138" s="178"/>
      <c r="L2138" s="178"/>
      <c r="M2138" s="15"/>
      <c r="N2138" s="15"/>
      <c r="O2138" s="15"/>
      <c r="P2138" s="15"/>
      <c r="Q2138" s="343"/>
      <c r="R2138" s="2"/>
      <c r="S2138" s="343"/>
      <c r="T2138" s="343"/>
      <c r="U2138" s="2"/>
      <c r="V2138" s="2"/>
      <c r="W2138" s="2"/>
      <c r="X2138" s="2"/>
      <c r="Y2138" s="2"/>
      <c r="Z2138" s="2"/>
      <c r="AA2138" s="2"/>
      <c r="AB2138" s="2"/>
      <c r="AC2138" s="2"/>
      <c r="AD2138" s="2"/>
      <c r="AE2138" s="2"/>
      <c r="AF2138" s="2"/>
      <c r="AG2138" s="2"/>
      <c r="AH2138" s="2"/>
      <c r="AI2138" s="2"/>
      <c r="AJ2138" s="2"/>
      <c r="AK2138" s="2"/>
      <c r="AL2138" s="2"/>
    </row>
    <row r="2139" spans="1:38" ht="12.75" customHeight="1" x14ac:dyDescent="0.25">
      <c r="A2139" s="2"/>
      <c r="B2139" s="178"/>
      <c r="C2139" s="178"/>
      <c r="D2139" s="289" t="s">
        <v>23</v>
      </c>
      <c r="E2139" s="1943" t="str">
        <f>Translations!$B$520</f>
        <v>Särskilda rapporteringskrav:</v>
      </c>
      <c r="F2139" s="1943"/>
      <c r="G2139" s="2067"/>
      <c r="H2139" s="2652" t="str">
        <f>IF(I2127="","",HYPERLINK(INDEX(EUconst_BMlistSpecialJumpTable,MATCH(I2127,EUconst_BMlistNames,0)),INDEX(EUconst_BMlistSpecialReporting,MATCH(I2127,EUconst_BMlistNames,0))))</f>
        <v/>
      </c>
      <c r="I2139" s="2656"/>
      <c r="J2139" s="2656"/>
      <c r="K2139" s="2656"/>
      <c r="L2139" s="2656"/>
      <c r="M2139" s="2656"/>
      <c r="N2139" s="2657"/>
      <c r="O2139" s="15"/>
      <c r="P2139" s="15"/>
      <c r="Q2139" s="553" t="s">
        <v>133</v>
      </c>
      <c r="R2139" s="108" t="str">
        <f>IF(I2127="","",IF(AND(INDEX(EUconst_BMlistSpecialJumpTable,MATCH(I2127,EUconst_BMlistNames,0))&lt;&gt;"",MATCH(I2127,EUconst_BMlistNames,0)&lt;&gt;47),TRUE,FALSE))</f>
        <v/>
      </c>
      <c r="S2139" s="343"/>
      <c r="T2139" s="343"/>
      <c r="U2139" s="2"/>
      <c r="V2139" s="2"/>
      <c r="W2139" s="2"/>
      <c r="X2139" s="2"/>
      <c r="Y2139" s="2"/>
      <c r="Z2139" s="2"/>
      <c r="AA2139" s="2"/>
      <c r="AB2139" s="2"/>
      <c r="AC2139" s="2"/>
      <c r="AD2139" s="2"/>
      <c r="AE2139" s="2"/>
      <c r="AF2139" s="2"/>
      <c r="AG2139" s="2"/>
      <c r="AH2139" s="2"/>
      <c r="AI2139" s="2"/>
      <c r="AJ2139" s="2"/>
      <c r="AK2139" s="2"/>
      <c r="AL2139" s="2"/>
    </row>
    <row r="2140" spans="1:38" ht="12.75" customHeight="1" x14ac:dyDescent="0.25">
      <c r="A2140" s="2"/>
      <c r="B2140" s="178"/>
      <c r="C2140" s="178"/>
      <c r="D2140" s="15"/>
      <c r="E2140" s="2061" t="str">
        <f>Translations!$B$521</f>
        <v>Särskild information måste ges när det gäller vissa produktriktmärken (t.ex. CWT-värden). Ett automatiskt meddelande kommer att visas här, i relevanta fall.</v>
      </c>
      <c r="F2140" s="1963"/>
      <c r="G2140" s="1963"/>
      <c r="H2140" s="1963"/>
      <c r="I2140" s="1963"/>
      <c r="J2140" s="1963"/>
      <c r="K2140" s="1963"/>
      <c r="L2140" s="1963"/>
      <c r="M2140" s="1963"/>
      <c r="N2140" s="1963"/>
      <c r="O2140" s="15"/>
      <c r="P2140" s="15"/>
      <c r="Q2140" s="343"/>
      <c r="R2140" s="2"/>
      <c r="S2140" s="343"/>
      <c r="T2140" s="343"/>
      <c r="U2140" s="2"/>
      <c r="V2140" s="2"/>
      <c r="W2140" s="2"/>
      <c r="X2140" s="2"/>
      <c r="Y2140" s="2"/>
      <c r="Z2140" s="2"/>
      <c r="AA2140" s="2"/>
      <c r="AB2140" s="2"/>
      <c r="AC2140" s="2"/>
      <c r="AD2140" s="2"/>
      <c r="AE2140" s="2"/>
      <c r="AF2140" s="2"/>
      <c r="AG2140" s="2"/>
      <c r="AH2140" s="2"/>
      <c r="AI2140" s="2"/>
      <c r="AJ2140" s="2"/>
      <c r="AK2140" s="2"/>
      <c r="AL2140" s="2"/>
    </row>
    <row r="2141" spans="1:38" ht="5.15" customHeight="1" x14ac:dyDescent="0.25">
      <c r="A2141" s="2"/>
      <c r="B2141" s="178"/>
      <c r="C2141" s="178"/>
      <c r="D2141" s="15"/>
      <c r="E2141" s="15"/>
      <c r="F2141" s="15"/>
      <c r="G2141" s="15"/>
      <c r="H2141" s="15"/>
      <c r="I2141" s="15"/>
      <c r="J2141" s="15"/>
      <c r="K2141" s="15"/>
      <c r="L2141" s="15"/>
      <c r="M2141" s="15"/>
      <c r="N2141" s="15"/>
      <c r="O2141" s="15"/>
      <c r="P2141" s="15"/>
      <c r="Q2141" s="343"/>
      <c r="R2141" s="2"/>
      <c r="S2141" s="343"/>
      <c r="T2141" s="343"/>
      <c r="U2141" s="2"/>
      <c r="V2141" s="2"/>
      <c r="W2141" s="2"/>
      <c r="X2141" s="2"/>
      <c r="Y2141" s="2"/>
      <c r="Z2141" s="343"/>
      <c r="AA2141" s="2"/>
      <c r="AB2141" s="2"/>
      <c r="AC2141" s="2"/>
      <c r="AD2141" s="2"/>
      <c r="AE2141" s="2"/>
      <c r="AF2141" s="2"/>
      <c r="AG2141" s="2"/>
      <c r="AH2141" s="2"/>
      <c r="AI2141" s="2"/>
      <c r="AJ2141" s="2"/>
      <c r="AK2141" s="2"/>
      <c r="AL2141" s="343"/>
    </row>
    <row r="2142" spans="1:38" ht="12.75" customHeight="1" x14ac:dyDescent="0.25">
      <c r="A2142" s="2"/>
      <c r="B2142" s="178"/>
      <c r="C2142" s="178"/>
      <c r="D2142" s="13" t="s">
        <v>955</v>
      </c>
      <c r="E2142" s="1943" t="str">
        <f>Translations!$B$1467</f>
        <v>Eventuella justeringar av verksamhetsnivå</v>
      </c>
      <c r="F2142" s="1963"/>
      <c r="G2142" s="1963"/>
      <c r="H2142" s="1963"/>
      <c r="I2142" s="1963"/>
      <c r="J2142" s="1963"/>
      <c r="K2142" s="1963"/>
      <c r="L2142" s="1963"/>
      <c r="M2142" s="1963"/>
      <c r="N2142" s="1963"/>
      <c r="O2142" s="15"/>
      <c r="P2142" s="15"/>
      <c r="Q2142" s="343"/>
      <c r="R2142" s="2"/>
      <c r="S2142" s="343"/>
      <c r="T2142" s="343"/>
      <c r="U2142" s="2"/>
      <c r="V2142" s="2"/>
      <c r="W2142" s="2"/>
      <c r="X2142" s="2"/>
      <c r="Y2142" s="2"/>
      <c r="Z2142" s="343"/>
      <c r="AA2142" s="2"/>
      <c r="AB2142" s="2"/>
      <c r="AC2142" s="2"/>
      <c r="AD2142" s="2"/>
      <c r="AE2142" s="2"/>
      <c r="AF2142" s="2"/>
      <c r="AG2142" s="2"/>
      <c r="AH2142" s="2"/>
      <c r="AI2142" s="2"/>
      <c r="AJ2142" s="2"/>
      <c r="AK2142" s="2"/>
      <c r="AL2142" s="343"/>
    </row>
    <row r="2143" spans="1:38" ht="12.75" customHeight="1" x14ac:dyDescent="0.25">
      <c r="A2143" s="2"/>
      <c r="B2143" s="178"/>
      <c r="C2143" s="178"/>
      <c r="D2143" s="15"/>
      <c r="E2143" s="2061" t="str">
        <f>Translations!$B$1468</f>
        <v>Den historiska verksamhetsnivån (HAL) kommer att bestämmas automatiskt baserat på uppgifter under punkt a) ovan och uppgifter i blad B+C_SubInstallations. För nya delanläggningar kommer HAL att visas under v) baserat på det första fullständiga verksamhetsåret.</v>
      </c>
      <c r="F2143" s="1963"/>
      <c r="G2143" s="1963"/>
      <c r="H2143" s="1963"/>
      <c r="I2143" s="1963"/>
      <c r="J2143" s="1963"/>
      <c r="K2143" s="1963"/>
      <c r="L2143" s="1963"/>
      <c r="M2143" s="1963"/>
      <c r="N2143" s="1963"/>
      <c r="O2143" s="15"/>
      <c r="P2143" s="15"/>
      <c r="Q2143" s="343"/>
      <c r="R2143" s="2"/>
      <c r="S2143" s="343"/>
      <c r="T2143" s="343"/>
      <c r="U2143" s="343"/>
      <c r="V2143" s="2"/>
      <c r="W2143" s="2"/>
      <c r="X2143" s="2"/>
      <c r="Y2143" s="2"/>
      <c r="Z2143" s="2"/>
      <c r="AA2143" s="2"/>
      <c r="AB2143" s="2"/>
      <c r="AC2143" s="2"/>
      <c r="AD2143" s="2"/>
      <c r="AE2143" s="2"/>
      <c r="AF2143" s="2"/>
      <c r="AG2143" s="2"/>
      <c r="AH2143" s="2"/>
      <c r="AI2143" s="2"/>
      <c r="AJ2143" s="2"/>
      <c r="AK2143" s="2"/>
      <c r="AL2143" s="2"/>
    </row>
    <row r="2144" spans="1:38" ht="25.5" customHeight="1" x14ac:dyDescent="0.25">
      <c r="A2144" s="2"/>
      <c r="B2144" s="178"/>
      <c r="C2144" s="178"/>
      <c r="D2144" s="15"/>
      <c r="E2144" s="2061" t="str">
        <f>Translations!$B$1469</f>
        <v>Baserat på värdena för HAL och värdena under punkt a) ovan bestäms de genomsnittliga verksamhetsnivåerna här. Tilldelningen kommer endast att ändras om alla följande tröskelvärden i artikel 5 i verksamhetsändringsförordningen överskrids:</v>
      </c>
      <c r="F2144" s="1963"/>
      <c r="G2144" s="1963"/>
      <c r="H2144" s="1963"/>
      <c r="I2144" s="1963"/>
      <c r="J2144" s="1963"/>
      <c r="K2144" s="1963"/>
      <c r="L2144" s="1963"/>
      <c r="M2144" s="1963"/>
      <c r="N2144" s="1963"/>
      <c r="O2144" s="15"/>
      <c r="P2144" s="15"/>
      <c r="Q2144" s="343"/>
      <c r="R2144" s="2"/>
      <c r="S2144" s="343"/>
      <c r="T2144" s="343"/>
      <c r="U2144" s="343"/>
      <c r="V2144" s="2"/>
      <c r="W2144" s="2"/>
      <c r="X2144" s="2"/>
      <c r="Y2144" s="2"/>
      <c r="Z2144" s="2"/>
      <c r="AA2144" s="2"/>
      <c r="AB2144" s="2"/>
      <c r="AC2144" s="2"/>
      <c r="AD2144" s="2"/>
      <c r="AE2144" s="2"/>
      <c r="AF2144" s="2"/>
      <c r="AG2144" s="2"/>
      <c r="AH2144" s="2"/>
      <c r="AI2144" s="2"/>
      <c r="AJ2144" s="2"/>
      <c r="AK2144" s="2"/>
      <c r="AL2144" s="2"/>
    </row>
    <row r="2145" spans="1:38" ht="12.75" customHeight="1" x14ac:dyDescent="0.25">
      <c r="A2145" s="2"/>
      <c r="B2145" s="178"/>
      <c r="C2145" s="178"/>
      <c r="D2145" s="15"/>
      <c r="E2145" s="1102" t="s">
        <v>1112</v>
      </c>
      <c r="F2145" s="2095" t="str">
        <f>Translations!$B$1470</f>
        <v>De relativa tröskelvärdena (15 % och 5 % för efterföljande ändringar) för de genomsnittliga verksamhetsnivåerna jämfört med HAL</v>
      </c>
      <c r="G2145" s="2159"/>
      <c r="H2145" s="2159"/>
      <c r="I2145" s="2159"/>
      <c r="J2145" s="2159"/>
      <c r="K2145" s="2159"/>
      <c r="L2145" s="2159"/>
      <c r="M2145" s="2159"/>
      <c r="N2145" s="2159"/>
      <c r="O2145" s="15"/>
      <c r="P2145" s="15"/>
      <c r="Q2145" s="343"/>
      <c r="R2145" s="2"/>
      <c r="S2145" s="343"/>
      <c r="T2145" s="343"/>
      <c r="U2145" s="343"/>
      <c r="V2145" s="2"/>
      <c r="W2145" s="2"/>
      <c r="X2145" s="2"/>
      <c r="Y2145" s="2"/>
      <c r="Z2145" s="2"/>
      <c r="AA2145" s="2"/>
      <c r="AB2145" s="2"/>
      <c r="AC2145" s="2"/>
      <c r="AD2145" s="2"/>
      <c r="AE2145" s="2"/>
      <c r="AF2145" s="2"/>
      <c r="AG2145" s="2"/>
      <c r="AH2145" s="2"/>
      <c r="AI2145" s="2"/>
      <c r="AJ2145" s="2"/>
      <c r="AK2145" s="2"/>
      <c r="AL2145" s="2"/>
    </row>
    <row r="2146" spans="1:38" ht="12.75" customHeight="1" thickBot="1" x14ac:dyDescent="0.3">
      <c r="A2146" s="2"/>
      <c r="B2146" s="178"/>
      <c r="C2146" s="178"/>
      <c r="D2146" s="15"/>
      <c r="E2146" s="1102" t="s">
        <v>1112</v>
      </c>
      <c r="F2146" s="2095" t="str">
        <f>Translations!$B$1471</f>
        <v>Det absoluta tröskelvärdet, dvs. en ändring skulle leda till en ändring av den preliminära tilldelningen på minst 100 utsläppsrätter</v>
      </c>
      <c r="G2146" s="2159"/>
      <c r="H2146" s="2159"/>
      <c r="I2146" s="2159"/>
      <c r="J2146" s="2159"/>
      <c r="K2146" s="2159"/>
      <c r="L2146" s="2159"/>
      <c r="M2146" s="2159"/>
      <c r="N2146" s="2159"/>
      <c r="O2146" s="15"/>
      <c r="P2146" s="15"/>
      <c r="Q2146" s="343"/>
      <c r="R2146" s="2"/>
      <c r="S2146" s="343"/>
      <c r="T2146" s="343"/>
      <c r="U2146" s="343"/>
      <c r="V2146" s="2"/>
      <c r="W2146" s="2"/>
      <c r="X2146" s="2"/>
      <c r="Y2146" s="2"/>
      <c r="Z2146" s="2"/>
      <c r="AA2146" s="2"/>
      <c r="AB2146" s="2"/>
      <c r="AC2146" s="2"/>
      <c r="AD2146" s="2"/>
      <c r="AE2146" s="2"/>
      <c r="AF2146" s="2"/>
      <c r="AG2146" s="2"/>
      <c r="AH2146" s="2"/>
      <c r="AI2146" s="2"/>
      <c r="AJ2146" s="2"/>
      <c r="AK2146" s="2"/>
      <c r="AL2146" s="2"/>
    </row>
    <row r="2147" spans="1:38" ht="5.15" customHeight="1" thickBot="1" x14ac:dyDescent="0.3">
      <c r="A2147" s="2"/>
      <c r="B2147" s="178"/>
      <c r="C2147" s="178"/>
      <c r="D2147" s="1238"/>
      <c r="E2147" s="1278"/>
      <c r="F2147" s="1239"/>
      <c r="G2147" s="1279"/>
      <c r="H2147" s="1279"/>
      <c r="I2147" s="1279"/>
      <c r="J2147" s="1279"/>
      <c r="K2147" s="1279"/>
      <c r="L2147" s="1279"/>
      <c r="M2147" s="1279"/>
      <c r="N2147" s="1280"/>
      <c r="O2147" s="15"/>
      <c r="P2147" s="15"/>
      <c r="Q2147" s="343"/>
      <c r="R2147" s="2"/>
      <c r="S2147" s="343"/>
      <c r="T2147" s="343"/>
      <c r="U2147" s="343"/>
      <c r="V2147" s="2"/>
      <c r="W2147" s="2"/>
      <c r="X2147" s="2"/>
      <c r="Y2147" s="2"/>
      <c r="Z2147" s="2"/>
      <c r="AA2147" s="2"/>
      <c r="AB2147" s="2"/>
      <c r="AC2147" s="2"/>
      <c r="AD2147" s="2"/>
      <c r="AE2147" s="2"/>
      <c r="AF2147" s="2"/>
      <c r="AG2147" s="2"/>
      <c r="AH2147" s="2"/>
      <c r="AI2147" s="2"/>
      <c r="AJ2147" s="2"/>
      <c r="AK2147" s="2"/>
      <c r="AL2147" s="2"/>
    </row>
    <row r="2148" spans="1:38" ht="12.75" customHeight="1" x14ac:dyDescent="0.25">
      <c r="A2148" s="2"/>
      <c r="B2148" s="178"/>
      <c r="C2148" s="178"/>
      <c r="D2148" s="1290"/>
      <c r="E2148" s="1243" t="str">
        <f>Translations!$B$1340</f>
        <v>Justeringar</v>
      </c>
      <c r="F2148" s="1244"/>
      <c r="G2148" s="1244"/>
      <c r="H2148" s="1228" t="str">
        <f>EUconst_Unit</f>
        <v>Enhet</v>
      </c>
      <c r="I2148" s="1229" t="str">
        <f>Translations!$B$1472</f>
        <v>HAL</v>
      </c>
      <c r="J2148" s="1268">
        <f>J$3042</f>
        <v>2021</v>
      </c>
      <c r="K2148" s="1230">
        <f>K$3042</f>
        <v>2022</v>
      </c>
      <c r="L2148" s="1230">
        <f>L$3042</f>
        <v>2023</v>
      </c>
      <c r="M2148" s="1230">
        <f>M$3042</f>
        <v>2024</v>
      </c>
      <c r="N2148" s="1258">
        <f>N$3042</f>
        <v>2025</v>
      </c>
      <c r="O2148" s="15"/>
      <c r="P2148" s="15"/>
      <c r="Q2148" s="343"/>
      <c r="R2148" s="2"/>
      <c r="S2148" s="2"/>
      <c r="T2148" s="2"/>
      <c r="U2148" s="772"/>
      <c r="V2148" s="1077">
        <f>J2148</f>
        <v>2021</v>
      </c>
      <c r="W2148" s="1077">
        <f>K2148</f>
        <v>2022</v>
      </c>
      <c r="X2148" s="1077">
        <f>L2148</f>
        <v>2023</v>
      </c>
      <c r="Y2148" s="1077">
        <f>M2148</f>
        <v>2024</v>
      </c>
      <c r="Z2148" s="1078">
        <f>N2148</f>
        <v>2025</v>
      </c>
      <c r="AA2148" s="2"/>
      <c r="AB2148" s="2"/>
      <c r="AC2148" s="2"/>
      <c r="AD2148" s="2"/>
      <c r="AE2148" s="2"/>
      <c r="AF2148" s="2"/>
      <c r="AG2148" s="2"/>
      <c r="AH2148" s="2"/>
      <c r="AI2148" s="2"/>
      <c r="AJ2148" s="2"/>
      <c r="AK2148" s="2"/>
      <c r="AL2148" s="2"/>
    </row>
    <row r="2149" spans="1:38" ht="12.75" customHeight="1" x14ac:dyDescent="0.25">
      <c r="A2149" s="2"/>
      <c r="B2149" s="178"/>
      <c r="C2149" s="178"/>
      <c r="D2149" s="1246" t="s">
        <v>8</v>
      </c>
      <c r="E2149" s="1231" t="str">
        <f>Translations!$B$1473</f>
        <v>Genomsnittlig årlig verksamhetsnivå</v>
      </c>
      <c r="F2149" s="1231"/>
      <c r="G2149" s="1231"/>
      <c r="H2149" s="917" t="str">
        <f>IF(INDEX(CNTR_SubInstListIsProdBM,$C2127),INDEX(CNTR_SubInstListHALUnit,$C2127),EUconst_Tons)</f>
        <v>ton</v>
      </c>
      <c r="I2149" s="990" t="str">
        <f>IF(V2127&gt;($J$3042-3),EUconst_NA,INDEX('B+C_SubInstallations'!$I:$I,MATCH(Q2149,'B+C_SubInstallations'!$T:$T,0)))</f>
        <v/>
      </c>
      <c r="J2149" s="993" t="str">
        <f>IF(AND(V2149&gt;=3,CNTR_ReportingYear&gt;J2148-1),AVERAGE(H2137:I2137),"")</f>
        <v/>
      </c>
      <c r="K2149" s="920" t="str">
        <f>IF(AND(W2149&gt;=3,CNTR_ReportingYear&gt;K2148-1),AVERAGE(I2137:J2137),"")</f>
        <v/>
      </c>
      <c r="L2149" s="920" t="str">
        <f>IF(AND(X2149&gt;=3,CNTR_ReportingYear&gt;L2148-1),AVERAGE(J2137:K2137),"")</f>
        <v/>
      </c>
      <c r="M2149" s="920" t="str">
        <f>IF(AND(Y2149&gt;=3,CNTR_ReportingYear&gt;M2148-1),AVERAGE(K2137:L2137),"")</f>
        <v/>
      </c>
      <c r="N2149" s="1218" t="str">
        <f>IF(AND(Z2149&gt;=3,CNTR_ReportingYear&gt;N2148-1),AVERAGE(L2137:M2137),"")</f>
        <v/>
      </c>
      <c r="O2149" s="15"/>
      <c r="P2149" s="15"/>
      <c r="Q2149" s="672" t="str">
        <f>EUconst_CNTR_HALinitial&amp;I2127</f>
        <v>HALini_</v>
      </c>
      <c r="R2149" s="2"/>
      <c r="S2149" s="2"/>
      <c r="T2149" s="2"/>
      <c r="U2149" s="1088" t="s">
        <v>1850</v>
      </c>
      <c r="V2149" s="663">
        <f>IF($I2127="",0,V2148-$V2127+1)</f>
        <v>0</v>
      </c>
      <c r="W2149" s="663">
        <f>IF($I2127="",0,W2148-$V2127+1)</f>
        <v>0</v>
      </c>
      <c r="X2149" s="663">
        <f>IF($I2127="",0,X2148-$V2127+1)</f>
        <v>0</v>
      </c>
      <c r="Y2149" s="663">
        <f>IF($I2127="",0,Y2148-$V2127+1)</f>
        <v>0</v>
      </c>
      <c r="Z2149" s="1080">
        <f>IF($I2127="",0,Z2148-$V2127+1)</f>
        <v>0</v>
      </c>
      <c r="AA2149" s="2"/>
      <c r="AB2149" s="2"/>
      <c r="AC2149" s="2"/>
      <c r="AD2149" s="2"/>
      <c r="AE2149" s="2"/>
      <c r="AF2149" s="2"/>
      <c r="AG2149" s="2"/>
      <c r="AH2149" s="2"/>
      <c r="AI2149" s="2"/>
      <c r="AJ2149" s="2"/>
      <c r="AK2149" s="2"/>
      <c r="AL2149" s="2"/>
    </row>
    <row r="2150" spans="1:38" ht="12.75" hidden="1" customHeight="1" x14ac:dyDescent="0.25">
      <c r="A2150" s="343" t="s">
        <v>346</v>
      </c>
      <c r="B2150" s="178"/>
      <c r="C2150" s="178"/>
      <c r="D2150" s="1242"/>
      <c r="E2150" s="1281" t="s">
        <v>1848</v>
      </c>
      <c r="F2150" s="1281"/>
      <c r="G2150" s="1281"/>
      <c r="H2150" s="1283"/>
      <c r="I2150" s="1284"/>
      <c r="J2150" s="991" t="str">
        <f>IF(J2149="","",IF($I2152=0,IF(J2149=0,0%,100%),J2149/$I2152-1))</f>
        <v/>
      </c>
      <c r="K2150" s="960" t="str">
        <f>IF(K2149="","",IF($I2152=0,IF(K2149=0,0%,100%),K2149/$I2152-1))</f>
        <v/>
      </c>
      <c r="L2150" s="960" t="str">
        <f>IF(L2149="","",IF($I2152=0,IF(L2149=0,0%,100%),L2149/$I2152-1))</f>
        <v/>
      </c>
      <c r="M2150" s="960" t="str">
        <f>IF(M2149="","",IF($I2152=0,IF(M2149=0,0%,100%),M2149/$I2152-1))</f>
        <v/>
      </c>
      <c r="N2150" s="1219" t="str">
        <f>IF(N2149="","",IF($I2152=0,IF(N2149=0,0%,100%),N2149/$I2152-1))</f>
        <v/>
      </c>
      <c r="O2150" s="15"/>
      <c r="P2150" s="15"/>
      <c r="Q2150" s="165" t="str">
        <f>EUconst_CNTR_RelThreshold &amp; Q2152</f>
        <v>RelThresh_HALprelim_</v>
      </c>
      <c r="R2150" s="2"/>
      <c r="S2150" s="2"/>
      <c r="T2150" s="2"/>
      <c r="U2150" s="1088" t="s">
        <v>1855</v>
      </c>
      <c r="V2150" s="603" t="str">
        <f>IF(J2149="","",ABS(J2150)&gt;15%)</f>
        <v/>
      </c>
      <c r="W2150" s="603" t="str">
        <f>IF(K2149="","",ABS(K2150)&gt;15%)</f>
        <v/>
      </c>
      <c r="X2150" s="603" t="str">
        <f>IF(L2149="","",ABS(L2150)&gt;15%)</f>
        <v/>
      </c>
      <c r="Y2150" s="603" t="str">
        <f>IF(M2149="","",ABS(M2150)&gt;15%)</f>
        <v/>
      </c>
      <c r="Z2150" s="1756" t="str">
        <f>IF(N2149="","",ABS(N2150)&gt;15%)</f>
        <v/>
      </c>
      <c r="AA2150" s="2"/>
      <c r="AB2150" s="2"/>
      <c r="AC2150" s="2"/>
      <c r="AD2150" s="2"/>
      <c r="AE2150" s="2"/>
      <c r="AF2150" s="2"/>
      <c r="AG2150" s="2"/>
      <c r="AH2150" s="2"/>
      <c r="AI2150" s="2"/>
      <c r="AJ2150" s="2"/>
      <c r="AK2150" s="2"/>
      <c r="AL2150" s="343"/>
    </row>
    <row r="2151" spans="1:38" ht="12.75" customHeight="1" x14ac:dyDescent="0.25">
      <c r="A2151" s="343"/>
      <c r="B2151" s="178"/>
      <c r="C2151" s="178"/>
      <c r="D2151" s="1246" t="s">
        <v>9</v>
      </c>
      <c r="E2151" s="1231" t="str">
        <f>Translations!$B$1474</f>
        <v>Preliminär justering (om relativa tröskelvärden överskrids)</v>
      </c>
      <c r="F2151" s="1231"/>
      <c r="G2151" s="1231"/>
      <c r="H2151" s="1233"/>
      <c r="I2151" s="1235"/>
      <c r="J2151" s="992" t="str">
        <f>IF(J2149="","",IF(V2150=FALSE,0%,IF(V2151,J2150,I2157)))</f>
        <v/>
      </c>
      <c r="K2151" s="937" t="str">
        <f>IF(K2149="","",IF(W2150=FALSE,0%,IF(W2151,K2150,J2157)))</f>
        <v/>
      </c>
      <c r="L2151" s="937" t="str">
        <f>IF(L2149="","",IF(X2150=FALSE,0%,IF(X2151,L2150,K2157)))</f>
        <v/>
      </c>
      <c r="M2151" s="937" t="str">
        <f>IF(M2149="","",IF(Y2150=FALSE,0%,IF(Y2151,M2150,L2157)))</f>
        <v/>
      </c>
      <c r="N2151" s="1220" t="str">
        <f>IF(N2149="","",IF(Z2150=FALSE,0%,IF(Z2151,N2150,M2157)))</f>
        <v/>
      </c>
      <c r="O2151" s="15"/>
      <c r="P2151" s="15"/>
      <c r="Q2151" s="2"/>
      <c r="R2151" s="2"/>
      <c r="S2151" s="2"/>
      <c r="T2151" s="2"/>
      <c r="U2151" s="1088" t="s">
        <v>1856</v>
      </c>
      <c r="V2151" s="603" t="str">
        <f>IF(J2149="","",AND(V2150,IF(SUM(I2157)&lt;0,OR(SUM(J2150)&lt;SUM(I2157)-MOD(SUM(I2157),5%),J2150&gt;=SUM(I2157)+5%-MOD(SUM(I2157),5%)),OR(SUM(J2150)&lt;=SUM(I2157)-MOD(SUM(I2157),5%),SUM(J2150)&gt;SUM(I2157)+5%-MOD(SUM(I2157),5%)))))</f>
        <v/>
      </c>
      <c r="W2151" s="603" t="str">
        <f>IF(K2149="","",AND(W2150,IF(SUM(J2157)&lt;0,OR(SUM(K2150)&lt;SUM(J2157)-MOD(SUM(J2157),5%),K2150&gt;=SUM(J2157)+5%-MOD(SUM(J2157),5%)),OR(SUM(K2150)&lt;=SUM(J2157)-MOD(SUM(J2157),5%),SUM(K2150)&gt;SUM(J2157)+5%-MOD(SUM(J2157),5%)))))</f>
        <v/>
      </c>
      <c r="X2151" s="603" t="str">
        <f>IF(L2149="","",AND(X2150,IF(SUM(K2157)&lt;0,OR(SUM(L2150)&lt;SUM(K2157)-MOD(SUM(K2157),5%),L2150&gt;=SUM(K2157)+5%-MOD(SUM(K2157),5%)),OR(SUM(L2150)&lt;=SUM(K2157)-MOD(SUM(K2157),5%),SUM(L2150)&gt;SUM(K2157)+5%-MOD(SUM(K2157),5%)))))</f>
        <v/>
      </c>
      <c r="Y2151" s="603" t="str">
        <f>IF(M2149="","",AND(Y2150,IF(SUM(L2157)&lt;0,OR(SUM(M2150)&lt;SUM(L2157)-MOD(SUM(L2157),5%),M2150&gt;=SUM(L2157)+5%-MOD(SUM(L2157),5%)),OR(SUM(M2150)&lt;=SUM(L2157)-MOD(SUM(L2157),5%),SUM(M2150)&gt;SUM(L2157)+5%-MOD(SUM(L2157),5%)))))</f>
        <v/>
      </c>
      <c r="Z2151" s="1756" t="str">
        <f>IF(N2149="","",AND(Z2150,IF(SUM(M2157)&lt;0,OR(SUM(N2150)&lt;SUM(M2157)-MOD(SUM(M2157),5%),N2150&gt;=SUM(M2157)+5%-MOD(SUM(M2157),5%)),OR(SUM(N2150)&lt;=SUM(M2157)-MOD(SUM(M2157),5%),SUM(N2150)&gt;SUM(M2157)+5%-MOD(SUM(M2157),5%)))))</f>
        <v/>
      </c>
      <c r="AA2151" s="2"/>
      <c r="AB2151" s="2"/>
      <c r="AC2151" s="2"/>
      <c r="AD2151" s="2"/>
      <c r="AE2151" s="2"/>
      <c r="AF2151" s="2"/>
      <c r="AG2151" s="2"/>
      <c r="AH2151" s="2"/>
      <c r="AI2151" s="2"/>
      <c r="AJ2151" s="2"/>
      <c r="AK2151" s="2"/>
      <c r="AL2151" s="343"/>
    </row>
    <row r="2152" spans="1:38" ht="12.75" hidden="1" customHeight="1" x14ac:dyDescent="0.25">
      <c r="A2152" s="343" t="s">
        <v>346</v>
      </c>
      <c r="B2152" s="178"/>
      <c r="C2152" s="178"/>
      <c r="D2152" s="1242"/>
      <c r="E2152" s="1231" t="s">
        <v>1889</v>
      </c>
      <c r="F2152" s="1231"/>
      <c r="G2152" s="1231"/>
      <c r="H2152" s="917" t="str">
        <f>H2149</f>
        <v>ton</v>
      </c>
      <c r="I2152" s="990" t="str">
        <f>IF(I2127="","",IF(AB2127=FALSE,EUconst_NA,IF(V2127&gt;($J$3042-3),INDEX(H2137:N2137,MATCH(V2127,H2134:N2134,0)),SUM(I2149))))</f>
        <v/>
      </c>
      <c r="J2152" s="993" t="str">
        <f>IF($I2127="","",IF(V2149&lt;2,SUM(J2137),IF(V2149&lt;3,SUM(I2137),IF(V2152="",I2152,V2152))))</f>
        <v/>
      </c>
      <c r="K2152" s="920" t="str">
        <f>IF($I2127="","",IF(W2149&lt;2,SUM(K2137),IF(W2149&lt;3,SUM(J2137),IF(W2152="",J2152,W2152))))</f>
        <v/>
      </c>
      <c r="L2152" s="920" t="str">
        <f>IF($I2127="","",IF(X2149&lt;2,SUM(L2137),IF(X2149&lt;3,SUM(K2137),IF(X2152="",K2152,X2152))))</f>
        <v/>
      </c>
      <c r="M2152" s="920" t="str">
        <f>IF($I2127="","",IF(Y2149&lt;2,SUM(M2137),IF(Y2149&lt;3,SUM(L2137),IF(Y2152="",L2152,Y2152))))</f>
        <v/>
      </c>
      <c r="N2152" s="1218" t="str">
        <f>IF($I2127="","",IF(Z2149&lt;2,SUM(N2137),IF(Z2149&lt;3,SUM(M2137),IF(Z2152="",M2152,Z2152))))</f>
        <v/>
      </c>
      <c r="O2152" s="15"/>
      <c r="P2152" s="15"/>
      <c r="Q2152" s="672" t="str">
        <f>EUconst_CNTR_HALprelim&amp;I2127</f>
        <v>HALprelim_</v>
      </c>
      <c r="R2152" s="2"/>
      <c r="S2152" s="2"/>
      <c r="T2152" s="2"/>
      <c r="U2152" s="1088" t="s">
        <v>1898</v>
      </c>
      <c r="V2152" s="1752" t="str">
        <f>IF(J2149="","",IF(CNTR_ReportingYear&lt;J2148,I2151,IF($I2152=0,J2149,$I2152*(1+J2151))))</f>
        <v/>
      </c>
      <c r="W2152" s="1752" t="str">
        <f>IF(K2149="","",IF(CNTR_ReportingYear&lt;K2148,J2151,IF($I2152=0,K2149,$I2152*(1+K2151))))</f>
        <v/>
      </c>
      <c r="X2152" s="1752" t="str">
        <f>IF(L2149="","",IF(CNTR_ReportingYear&lt;L2148,K2151,IF($I2152=0,L2149,$I2152*(1+L2151))))</f>
        <v/>
      </c>
      <c r="Y2152" s="1752" t="str">
        <f>IF(M2149="","",IF(CNTR_ReportingYear&lt;M2148,L2151,IF($I2152=0,M2149,$I2152*(1+M2151))))</f>
        <v/>
      </c>
      <c r="Z2152" s="1761" t="str">
        <f>IF(N2149="","",IF(CNTR_ReportingYear&lt;N2148,M2151,IF($I2152=0,N2149,$I2152*(1+N2151))))</f>
        <v/>
      </c>
      <c r="AA2152" s="2"/>
      <c r="AB2152" s="2"/>
      <c r="AC2152" s="2"/>
      <c r="AD2152" s="2"/>
      <c r="AE2152" s="2"/>
      <c r="AF2152" s="2"/>
      <c r="AG2152" s="2"/>
      <c r="AH2152" s="2"/>
      <c r="AI2152" s="2"/>
      <c r="AJ2152" s="2"/>
      <c r="AK2152" s="2"/>
      <c r="AL2152" s="343"/>
    </row>
    <row r="2153" spans="1:38" ht="5.15" customHeight="1" x14ac:dyDescent="0.25">
      <c r="A2153" s="343"/>
      <c r="B2153" s="178"/>
      <c r="C2153" s="178"/>
      <c r="D2153" s="1242"/>
      <c r="E2153" s="1244"/>
      <c r="F2153" s="1244"/>
      <c r="G2153" s="1244"/>
      <c r="H2153" s="1244"/>
      <c r="I2153" s="1244"/>
      <c r="J2153" s="1236"/>
      <c r="K2153" s="1236"/>
      <c r="L2153" s="1236"/>
      <c r="M2153" s="1236"/>
      <c r="N2153" s="1247"/>
      <c r="O2153" s="15"/>
      <c r="P2153" s="15"/>
      <c r="Q2153" s="343"/>
      <c r="R2153" s="2"/>
      <c r="S2153" s="2"/>
      <c r="T2153" s="2"/>
      <c r="U2153" s="1086"/>
      <c r="V2153" s="343"/>
      <c r="W2153" s="2"/>
      <c r="X2153" s="2"/>
      <c r="Y2153" s="2"/>
      <c r="Z2153" s="228"/>
      <c r="AA2153" s="2"/>
      <c r="AB2153" s="2"/>
      <c r="AC2153" s="2"/>
      <c r="AD2153" s="2"/>
      <c r="AE2153" s="2"/>
      <c r="AF2153" s="2"/>
      <c r="AG2153" s="2"/>
      <c r="AH2153" s="2"/>
      <c r="AI2153" s="2"/>
      <c r="AJ2153" s="2"/>
      <c r="AK2153" s="2"/>
      <c r="AL2153" s="343"/>
    </row>
    <row r="2154" spans="1:38" ht="12.75" customHeight="1" x14ac:dyDescent="0.25">
      <c r="A2154" s="343"/>
      <c r="B2154" s="178"/>
      <c r="C2154" s="178"/>
      <c r="D2154" s="1242"/>
      <c r="E2154" s="1234" t="str">
        <f>Translations!$B$1475</f>
        <v>Faktisk justering (grund för följande år)</v>
      </c>
      <c r="F2154" s="1234"/>
      <c r="G2154" s="1234"/>
      <c r="H2154" s="1234"/>
      <c r="I2154" s="1234"/>
      <c r="J2154" s="1268">
        <f>J$3042</f>
        <v>2021</v>
      </c>
      <c r="K2154" s="1230">
        <f>K$3042</f>
        <v>2022</v>
      </c>
      <c r="L2154" s="1230">
        <f>L$3042</f>
        <v>2023</v>
      </c>
      <c r="M2154" s="1230">
        <f>M$3042</f>
        <v>2024</v>
      </c>
      <c r="N2154" s="1258">
        <f>N$3042</f>
        <v>2025</v>
      </c>
      <c r="O2154" s="15"/>
      <c r="P2154" s="15"/>
      <c r="Q2154" s="343"/>
      <c r="R2154" s="2"/>
      <c r="S2154" s="2"/>
      <c r="T2154" s="2"/>
      <c r="U2154" s="584"/>
      <c r="V2154" s="2"/>
      <c r="W2154" s="2"/>
      <c r="X2154" s="2"/>
      <c r="Y2154" s="2"/>
      <c r="Z2154" s="228"/>
      <c r="AA2154" s="2"/>
      <c r="AB2154" s="2"/>
      <c r="AC2154" s="2"/>
      <c r="AD2154" s="2"/>
      <c r="AE2154" s="2"/>
      <c r="AF2154" s="2"/>
      <c r="AG2154" s="2"/>
      <c r="AH2154" s="2"/>
      <c r="AI2154" s="2"/>
      <c r="AJ2154" s="2"/>
      <c r="AK2154" s="2"/>
      <c r="AL2154" s="343"/>
    </row>
    <row r="2155" spans="1:38" ht="12.75" customHeight="1" x14ac:dyDescent="0.25">
      <c r="A2155" s="343"/>
      <c r="B2155" s="178"/>
      <c r="C2155" s="178"/>
      <c r="D2155" s="1246" t="s">
        <v>10</v>
      </c>
      <c r="E2155" s="1231" t="str">
        <f>Translations!$B$1476</f>
        <v>&gt;= 100 utsläppsrätter kriterium uppnått?</v>
      </c>
      <c r="F2155" s="1231"/>
      <c r="G2155" s="1231"/>
      <c r="H2155" s="1231"/>
      <c r="I2155" s="1231"/>
      <c r="J2155" s="994" t="str">
        <f>IF($I2127="","",INDEX(K_Summary!J:J,MATCH($Q2155,K_Summary!$P:$P,0)))</f>
        <v/>
      </c>
      <c r="K2155" s="912" t="str">
        <f>IF($I2127="","",INDEX(K_Summary!K:K,MATCH($Q2155,K_Summary!$P:$P,0)))</f>
        <v/>
      </c>
      <c r="L2155" s="912" t="str">
        <f>IF($I2127="","",INDEX(K_Summary!L:L,MATCH($Q2155,K_Summary!$P:$P,0)))</f>
        <v/>
      </c>
      <c r="M2155" s="912" t="str">
        <f>IF($I2127="","",INDEX(K_Summary!M:M,MATCH($Q2155,K_Summary!$P:$P,0)))</f>
        <v/>
      </c>
      <c r="N2155" s="1221" t="str">
        <f>IF($I2127="","",INDEX(K_Summary!N:N,MATCH($Q2155,K_Summary!$P:$P,0)))</f>
        <v/>
      </c>
      <c r="O2155" s="15"/>
      <c r="P2155" s="15"/>
      <c r="Q2155" s="672" t="str">
        <f>EUconst_CNTR_100EUA_ActivityLevel&amp;I2127</f>
        <v>EUA100AL_</v>
      </c>
      <c r="R2155" s="2"/>
      <c r="S2155" s="2"/>
      <c r="T2155" s="2"/>
      <c r="U2155" s="584"/>
      <c r="V2155" s="1123"/>
      <c r="W2155" s="1123"/>
      <c r="X2155" s="1123"/>
      <c r="Y2155" s="1123"/>
      <c r="Z2155" s="228"/>
      <c r="AA2155" s="2"/>
      <c r="AB2155" s="2"/>
      <c r="AC2155" s="2"/>
      <c r="AD2155" s="2"/>
      <c r="AE2155" s="2"/>
      <c r="AF2155" s="2"/>
      <c r="AG2155" s="2"/>
      <c r="AH2155" s="2"/>
      <c r="AI2155" s="2"/>
      <c r="AJ2155" s="2"/>
      <c r="AK2155" s="2"/>
      <c r="AL2155" s="343"/>
    </row>
    <row r="2156" spans="1:38" ht="5.15" customHeight="1" thickBot="1" x14ac:dyDescent="0.3">
      <c r="A2156" s="343"/>
      <c r="B2156" s="178"/>
      <c r="C2156" s="178"/>
      <c r="D2156" s="1242"/>
      <c r="E2156" s="1244"/>
      <c r="F2156" s="1244"/>
      <c r="G2156" s="1244"/>
      <c r="H2156" s="1244"/>
      <c r="I2156" s="1244"/>
      <c r="J2156" s="1244"/>
      <c r="K2156" s="1244"/>
      <c r="L2156" s="1244"/>
      <c r="M2156" s="1244"/>
      <c r="N2156" s="1248"/>
      <c r="O2156" s="15"/>
      <c r="P2156" s="15"/>
      <c r="Q2156" s="343"/>
      <c r="R2156" s="2"/>
      <c r="S2156" s="2"/>
      <c r="T2156" s="2"/>
      <c r="U2156" s="1086"/>
      <c r="V2156" s="343"/>
      <c r="W2156" s="2"/>
      <c r="X2156" s="2"/>
      <c r="Y2156" s="2"/>
      <c r="Z2156" s="228"/>
      <c r="AA2156" s="2"/>
      <c r="AB2156" s="2"/>
      <c r="AC2156" s="2"/>
      <c r="AD2156" s="2"/>
      <c r="AE2156" s="2"/>
      <c r="AF2156" s="2"/>
      <c r="AG2156" s="2"/>
      <c r="AH2156" s="2"/>
      <c r="AI2156" s="2"/>
      <c r="AJ2156" s="2"/>
      <c r="AK2156" s="2"/>
      <c r="AL2156" s="343"/>
    </row>
    <row r="2157" spans="1:38" ht="12.75" customHeight="1" thickBot="1" x14ac:dyDescent="0.3">
      <c r="A2157" s="2"/>
      <c r="B2157" s="178"/>
      <c r="C2157" s="178"/>
      <c r="D2157" s="1246" t="s">
        <v>23</v>
      </c>
      <c r="E2157" s="1231" t="str">
        <f>Translations!$B$1477</f>
        <v>Faktisk justering (om alla tröskelvärden överskrids)</v>
      </c>
      <c r="F2157" s="1231"/>
      <c r="G2157" s="1231"/>
      <c r="H2157" s="1233"/>
      <c r="I2157" s="1237"/>
      <c r="J2157" s="1099" t="str">
        <f>IF(J2155="","",IF(J2148&gt;$Z2127,-100%,IF(OR(J2155,V2149&lt;1),J2151,I2157)))</f>
        <v/>
      </c>
      <c r="K2157" s="1100" t="str">
        <f>IF(K2155="","",IF(K2148&gt;$Z2127,-100%,IF(OR(K2155,W2149&lt;1),K2151,J2157)))</f>
        <v/>
      </c>
      <c r="L2157" s="1100" t="str">
        <f>IF(L2155="","",IF(L2148&gt;$Z2127,-100%,IF(OR(L2155,X2149&lt;1),L2151,K2157)))</f>
        <v/>
      </c>
      <c r="M2157" s="1100" t="str">
        <f>IF(M2155="","",IF(M2148&gt;$Z2127,-100%,IF(OR(M2155,Y2149&lt;1),M2151,L2157)))</f>
        <v/>
      </c>
      <c r="N2157" s="1101" t="str">
        <f>IF(N2155="","",IF(N2148&gt;$Z2127,-100%,IF(OR(N2155,Z2149&lt;1),N2151,M2157)))</f>
        <v/>
      </c>
      <c r="O2157" s="15"/>
      <c r="P2157" s="918"/>
      <c r="Q2157" s="165" t="str">
        <f>EUconst_CNTR_HALAdjPct &amp; I2127</f>
        <v>HALAdjPct_</v>
      </c>
      <c r="R2157" s="2"/>
      <c r="S2157" s="2"/>
      <c r="T2157" s="2"/>
      <c r="U2157" s="1086" t="s">
        <v>1858</v>
      </c>
      <c r="V2157" s="1068">
        <f>J2154</f>
        <v>2021</v>
      </c>
      <c r="W2157" s="1068">
        <f>K2154</f>
        <v>2022</v>
      </c>
      <c r="X2157" s="1068">
        <f>L2154</f>
        <v>2023</v>
      </c>
      <c r="Y2157" s="1068">
        <f>M2154</f>
        <v>2024</v>
      </c>
      <c r="Z2157" s="1087">
        <f>N2154</f>
        <v>2025</v>
      </c>
      <c r="AA2157" s="2"/>
      <c r="AB2157" s="2"/>
      <c r="AC2157" s="2"/>
      <c r="AD2157" s="2"/>
      <c r="AE2157" s="2"/>
      <c r="AF2157" s="2"/>
      <c r="AG2157" s="2"/>
      <c r="AH2157" s="2"/>
      <c r="AI2157" s="2"/>
      <c r="AJ2157" s="2"/>
      <c r="AK2157" s="2"/>
      <c r="AL2157" s="343"/>
    </row>
    <row r="2158" spans="1:38" ht="12.75" customHeight="1" thickBot="1" x14ac:dyDescent="0.3">
      <c r="A2158" s="343"/>
      <c r="B2158" s="178"/>
      <c r="C2158" s="178"/>
      <c r="D2158" s="1246" t="s">
        <v>859</v>
      </c>
      <c r="E2158" s="1231" t="str">
        <f>Translations!$B$1478</f>
        <v>Faktiskt värde</v>
      </c>
      <c r="F2158" s="1231"/>
      <c r="G2158" s="1231"/>
      <c r="H2158" s="917" t="str">
        <f>H2149</f>
        <v>ton</v>
      </c>
      <c r="I2158" s="990" t="str">
        <f>I2152</f>
        <v/>
      </c>
      <c r="J2158" s="1072" t="str">
        <f>IF($I2127="","",IF(OR($I2158=0,J2157="",$I2158=EUconst_NA),IF(OR(J2155=TRUE,J2154&lt;=$V2127),J2152,SUM(I2158)),$I2158*(1+SUM(J2157))))</f>
        <v/>
      </c>
      <c r="K2158" s="1073" t="str">
        <f>IF($I2127="","",IF(OR($I2158=0,K2157="",$I2158=EUconst_NA),IF(OR(K2155=TRUE,K2154&lt;=$V2127),K2152,SUM(J2158)),$I2158*(1+SUM(K2157))))</f>
        <v/>
      </c>
      <c r="L2158" s="1073" t="str">
        <f>IF($I2127="","",IF(OR($I2158=0,L2157="",$I2158=EUconst_NA),IF(OR(L2155=TRUE,L2154&lt;=$V2127),L2152,SUM(K2158)),$I2158*(1+SUM(L2157))))</f>
        <v/>
      </c>
      <c r="M2158" s="1073" t="str">
        <f>IF($I2127="","",IF(OR($I2158=0,M2157="",$I2158=EUconst_NA),IF(OR(M2155=TRUE,M2154&lt;=$V2127),M2152,SUM(L2158)),$I2158*(1+SUM(M2157))))</f>
        <v/>
      </c>
      <c r="N2158" s="1074" t="str">
        <f>IF($I2127="","",IF(OR($I2158=0,N2157="",$I2158=EUconst_NA),IF(OR(N2155=TRUE,N2154&lt;=$V2127),N2152,SUM(M2158)),$I2158*(1+SUM(N2157))))</f>
        <v/>
      </c>
      <c r="O2158" s="15"/>
      <c r="P2158" s="15"/>
      <c r="Q2158" s="672" t="str">
        <f>EUconst_CNTR_HALfinal&amp;I2127</f>
        <v>HALfinal_</v>
      </c>
      <c r="R2158" s="2"/>
      <c r="S2158" s="2"/>
      <c r="T2158" s="2"/>
      <c r="U2158" s="1765" t="b">
        <v>0</v>
      </c>
      <c r="V2158" s="1757" t="str">
        <f>IF(V2135,IF(J2155=TRUE,V2150,U2158),"")</f>
        <v/>
      </c>
      <c r="W2158" s="1757" t="str">
        <f>IF(W2135,IF(K2155=TRUE,W2150,V2158),"")</f>
        <v/>
      </c>
      <c r="X2158" s="1757" t="str">
        <f>IF(X2135,IF(L2155=TRUE,X2150,W2158),"")</f>
        <v/>
      </c>
      <c r="Y2158" s="1757" t="str">
        <f>IF(Y2135,IF(M2155=TRUE,Y2150,X2158),"")</f>
        <v/>
      </c>
      <c r="Z2158" s="1758" t="str">
        <f>IF(Z2135,IF(N2155=TRUE,Z2150,Y2158),"")</f>
        <v/>
      </c>
      <c r="AA2158" s="2"/>
      <c r="AB2158" s="2"/>
      <c r="AC2158" s="2"/>
      <c r="AD2158" s="2"/>
      <c r="AE2158" s="2"/>
      <c r="AF2158" s="2"/>
      <c r="AG2158" s="2"/>
      <c r="AH2158" s="2"/>
      <c r="AI2158" s="2"/>
      <c r="AJ2158" s="553" t="s">
        <v>2242</v>
      </c>
      <c r="AK2158" s="108" t="str">
        <f>IF(OR(ISERROR(J2158),ISERROR(K2158),ISERROR(L2158),ISERROR(M2158),ISERROR(N2158)),EUconst_Error &amp; "BM" &amp; Q2127,"")</f>
        <v/>
      </c>
      <c r="AL2158" s="343"/>
    </row>
    <row r="2159" spans="1:38" ht="5.15" customHeight="1" thickBot="1" x14ac:dyDescent="0.3">
      <c r="A2159" s="2"/>
      <c r="B2159" s="178"/>
      <c r="C2159" s="178"/>
      <c r="D2159" s="1282"/>
      <c r="E2159" s="1272"/>
      <c r="F2159" s="1272"/>
      <c r="G2159" s="1272"/>
      <c r="H2159" s="1272"/>
      <c r="I2159" s="1272"/>
      <c r="J2159" s="1272"/>
      <c r="K2159" s="1272"/>
      <c r="L2159" s="1272"/>
      <c r="M2159" s="1272"/>
      <c r="N2159" s="1273"/>
      <c r="O2159" s="15"/>
      <c r="P2159" s="15"/>
      <c r="Q2159" s="343"/>
      <c r="R2159" s="2"/>
      <c r="S2159" s="2"/>
      <c r="T2159" s="2"/>
      <c r="U2159" s="343"/>
      <c r="V2159" s="343"/>
      <c r="W2159" s="2"/>
      <c r="X2159" s="2"/>
      <c r="Y2159" s="2"/>
      <c r="Z2159" s="2"/>
      <c r="AA2159" s="2"/>
      <c r="AB2159" s="2"/>
      <c r="AC2159" s="2"/>
      <c r="AD2159" s="2"/>
      <c r="AE2159" s="2"/>
      <c r="AF2159" s="2"/>
      <c r="AG2159" s="2"/>
      <c r="AH2159" s="2"/>
      <c r="AI2159" s="2"/>
      <c r="AJ2159" s="2"/>
      <c r="AK2159" s="2"/>
      <c r="AL2159" s="343"/>
    </row>
    <row r="2160" spans="1:38" ht="5.15" customHeight="1" x14ac:dyDescent="0.25">
      <c r="A2160" s="2"/>
      <c r="B2160" s="178"/>
      <c r="C2160" s="178"/>
      <c r="D2160" s="15"/>
      <c r="E2160" s="15"/>
      <c r="F2160" s="15"/>
      <c r="G2160" s="15"/>
      <c r="H2160" s="15"/>
      <c r="I2160" s="15"/>
      <c r="J2160" s="15"/>
      <c r="K2160" s="15"/>
      <c r="L2160" s="15"/>
      <c r="M2160" s="15"/>
      <c r="N2160" s="15"/>
      <c r="O2160" s="15"/>
      <c r="P2160" s="15"/>
      <c r="Q2160" s="343"/>
      <c r="R2160" s="2"/>
      <c r="S2160" s="2"/>
      <c r="T2160" s="2"/>
      <c r="U2160" s="343"/>
      <c r="V2160" s="343"/>
      <c r="W2160" s="2"/>
      <c r="X2160" s="2"/>
      <c r="Y2160" s="2"/>
      <c r="Z2160" s="2"/>
      <c r="AA2160" s="2"/>
      <c r="AB2160" s="2"/>
      <c r="AC2160" s="2"/>
      <c r="AD2160" s="2"/>
      <c r="AE2160" s="2"/>
      <c r="AF2160" s="2"/>
      <c r="AG2160" s="2"/>
      <c r="AH2160" s="2"/>
      <c r="AI2160" s="2"/>
      <c r="AJ2160" s="2"/>
      <c r="AK2160" s="2"/>
      <c r="AL2160" s="343"/>
    </row>
    <row r="2161" spans="1:38" ht="15" customHeight="1" x14ac:dyDescent="0.25">
      <c r="A2161" s="2"/>
      <c r="B2161" s="19"/>
      <c r="C2161" s="178"/>
      <c r="D2161" s="2053" t="str">
        <f>Translations!$B$522</f>
        <v>Andra korrigeringsfaktorer</v>
      </c>
      <c r="E2161" s="1963"/>
      <c r="F2161" s="1963"/>
      <c r="G2161" s="1963"/>
      <c r="H2161" s="1963"/>
      <c r="I2161" s="1963"/>
      <c r="J2161" s="1963"/>
      <c r="K2161" s="1963"/>
      <c r="L2161" s="1963"/>
      <c r="M2161" s="1963"/>
      <c r="N2161" s="1963"/>
      <c r="O2161" s="15"/>
      <c r="P2161" s="15"/>
      <c r="Q2161" s="2"/>
      <c r="R2161" s="2"/>
      <c r="S2161" s="2"/>
      <c r="T2161" s="2"/>
      <c r="U2161" s="343"/>
      <c r="V2161" s="343"/>
      <c r="W2161" s="2"/>
      <c r="X2161" s="2"/>
      <c r="Y2161" s="2"/>
      <c r="Z2161" s="2"/>
      <c r="AA2161" s="2"/>
      <c r="AB2161" s="2"/>
      <c r="AC2161" s="2"/>
      <c r="AD2161" s="2"/>
      <c r="AE2161" s="2"/>
      <c r="AF2161" s="2"/>
      <c r="AG2161" s="2"/>
      <c r="AH2161" s="2"/>
      <c r="AI2161" s="2"/>
      <c r="AJ2161" s="2"/>
      <c r="AK2161" s="2"/>
      <c r="AL2161" s="2"/>
    </row>
    <row r="2162" spans="1:38" ht="5.15" customHeight="1" x14ac:dyDescent="0.25">
      <c r="A2162" s="2"/>
      <c r="B2162" s="178"/>
      <c r="C2162" s="178"/>
      <c r="D2162" s="178"/>
      <c r="E2162" s="178"/>
      <c r="F2162" s="178"/>
      <c r="G2162" s="178"/>
      <c r="H2162" s="178"/>
      <c r="I2162" s="178"/>
      <c r="J2162" s="178"/>
      <c r="K2162" s="178"/>
      <c r="L2162" s="178"/>
      <c r="M2162" s="178"/>
      <c r="N2162" s="178"/>
      <c r="O2162" s="15"/>
      <c r="P2162" s="15"/>
      <c r="Q2162" s="343"/>
      <c r="R2162" s="2"/>
      <c r="S2162" s="2"/>
      <c r="T2162" s="2"/>
      <c r="U2162" s="343"/>
      <c r="V2162" s="343"/>
      <c r="W2162" s="2"/>
      <c r="X2162" s="2"/>
      <c r="Y2162" s="2"/>
      <c r="Z2162" s="2"/>
      <c r="AA2162" s="2"/>
      <c r="AB2162" s="2"/>
      <c r="AC2162" s="2"/>
      <c r="AD2162" s="2"/>
      <c r="AE2162" s="2"/>
      <c r="AF2162" s="2"/>
      <c r="AG2162" s="2"/>
      <c r="AH2162" s="2"/>
      <c r="AI2162" s="2"/>
      <c r="AJ2162" s="2"/>
      <c r="AK2162" s="2"/>
      <c r="AL2162" s="2"/>
    </row>
    <row r="2163" spans="1:38" ht="12.75" customHeight="1" x14ac:dyDescent="0.25">
      <c r="A2163" s="2"/>
      <c r="B2163" s="19"/>
      <c r="C2163" s="19"/>
      <c r="D2163" s="13" t="s">
        <v>55</v>
      </c>
      <c r="E2163" s="1943" t="str">
        <f>Translations!$B$523</f>
        <v>Utbytbarhet mellan bränsle och el:</v>
      </c>
      <c r="F2163" s="1963"/>
      <c r="G2163" s="1963"/>
      <c r="H2163" s="1963"/>
      <c r="I2163" s="2060"/>
      <c r="J2163" s="2652" t="str">
        <f>IF(I2127="","",IF(T2163,EUconst_MsgEnterThisSection,HYPERLINK(R2163,EUconst_MsgGoOn)))</f>
        <v/>
      </c>
      <c r="K2163" s="2653"/>
      <c r="L2163" s="2653"/>
      <c r="M2163" s="2653"/>
      <c r="N2163" s="2654"/>
      <c r="O2163" s="15"/>
      <c r="P2163" s="15"/>
      <c r="Q2163" s="2" t="s">
        <v>484</v>
      </c>
      <c r="R2163" s="294" t="str">
        <f>"#"&amp;ADDRESS(ROW(D2191),COLUMN(D2191))</f>
        <v>#$D$2191</v>
      </c>
      <c r="S2163" s="553" t="s">
        <v>1874</v>
      </c>
      <c r="T2163" s="165" t="str">
        <f>IF(I2127="","",INDEX(EUconst_BMlistElExchangability,MATCH(I2127,EUconst_BMlistNames,0)))</f>
        <v/>
      </c>
      <c r="U2163" s="343"/>
      <c r="V2163" s="343"/>
      <c r="W2163" s="2"/>
      <c r="X2163" s="2"/>
      <c r="Y2163" s="2"/>
      <c r="Z2163" s="2"/>
      <c r="AA2163" s="2"/>
      <c r="AB2163" s="2"/>
      <c r="AC2163" s="2"/>
      <c r="AD2163" s="2"/>
      <c r="AE2163" s="2"/>
      <c r="AF2163" s="2"/>
      <c r="AG2163" s="2"/>
      <c r="AH2163" s="2"/>
      <c r="AI2163" s="2"/>
      <c r="AJ2163" s="2"/>
      <c r="AK2163" s="2"/>
      <c r="AL2163" s="2"/>
    </row>
    <row r="2164" spans="1:38" ht="12.75" customHeight="1" x14ac:dyDescent="0.25">
      <c r="A2164" s="2"/>
      <c r="B2164" s="178"/>
      <c r="C2164" s="178"/>
      <c r="D2164" s="15"/>
      <c r="E2164" s="2061" t="str">
        <f>Translations!$B$524</f>
        <v>Ett automatiskt meddelande kommer att visas här, i relevanta fall, där ni ombeds göra den inmatning som krävs för att utbytbarheten mellan bränsle och el (ElExch-F) ska kunna beaktas.</v>
      </c>
      <c r="F2164" s="1963"/>
      <c r="G2164" s="1963"/>
      <c r="H2164" s="1963"/>
      <c r="I2164" s="1963"/>
      <c r="J2164" s="1963"/>
      <c r="K2164" s="1963"/>
      <c r="L2164" s="1963"/>
      <c r="M2164" s="1963"/>
      <c r="N2164" s="1963"/>
      <c r="O2164" s="15"/>
      <c r="P2164" s="15"/>
      <c r="Q2164" s="2"/>
      <c r="R2164" s="2"/>
      <c r="S2164" s="2"/>
      <c r="T2164" s="2"/>
      <c r="U2164" s="343"/>
      <c r="V2164" s="343"/>
      <c r="W2164" s="2"/>
      <c r="X2164" s="2"/>
      <c r="Y2164" s="2"/>
      <c r="Z2164" s="2"/>
      <c r="AA2164" s="2"/>
      <c r="AB2164" s="2"/>
      <c r="AC2164" s="2"/>
      <c r="AD2164" s="2"/>
      <c r="AE2164" s="2"/>
      <c r="AF2164" s="2"/>
      <c r="AG2164" s="2"/>
      <c r="AH2164" s="2"/>
      <c r="AI2164" s="2"/>
      <c r="AJ2164" s="2"/>
      <c r="AK2164" s="2"/>
      <c r="AL2164" s="2"/>
    </row>
    <row r="2165" spans="1:38" ht="12.75" customHeight="1" x14ac:dyDescent="0.25">
      <c r="A2165" s="2"/>
      <c r="B2165" s="178"/>
      <c r="C2165" s="178"/>
      <c r="D2165" s="15"/>
      <c r="E2165" s="2061" t="str">
        <f>Translations!$B$525</f>
        <v>Enligt artikel 22 i FAR krävs ”direkta utsläpp”, nettomängd ”importerad värme” och ”relevant elförbrukning”.</v>
      </c>
      <c r="F2165" s="1963"/>
      <c r="G2165" s="1963"/>
      <c r="H2165" s="1963"/>
      <c r="I2165" s="1963"/>
      <c r="J2165" s="1963"/>
      <c r="K2165" s="1963"/>
      <c r="L2165" s="1963"/>
      <c r="M2165" s="1963"/>
      <c r="N2165" s="1963"/>
      <c r="O2165" s="15"/>
      <c r="P2165" s="15"/>
      <c r="Q2165" s="343"/>
      <c r="R2165" s="2"/>
      <c r="S2165" s="2"/>
      <c r="T2165" s="2"/>
      <c r="U2165" s="343"/>
      <c r="V2165" s="343"/>
      <c r="W2165" s="343"/>
      <c r="X2165" s="343"/>
      <c r="Y2165" s="343"/>
      <c r="Z2165" s="343"/>
      <c r="AA2165" s="2"/>
      <c r="AB2165" s="2"/>
      <c r="AC2165" s="2"/>
      <c r="AD2165" s="2"/>
      <c r="AE2165" s="2"/>
      <c r="AF2165" s="2"/>
      <c r="AG2165" s="2"/>
      <c r="AH2165" s="2"/>
      <c r="AI2165" s="2"/>
      <c r="AJ2165" s="2"/>
      <c r="AK2165" s="2"/>
      <c r="AL2165" s="2"/>
    </row>
    <row r="2166" spans="1:38" ht="25.5" customHeight="1" x14ac:dyDescent="0.25">
      <c r="A2166" s="2"/>
      <c r="B2166" s="178"/>
      <c r="C2166" s="178"/>
      <c r="D2166" s="15"/>
      <c r="E2166" s="2061" t="str">
        <f>Translations!$B$526</f>
        <v>De totala direkta utsläppen är i regel identiska med de värden som anges i punkt g nedan. Ytterligare korrigeringar kan dock behöva göras, framför allt vid användning av restgaser. Var god se vägledningen i punkt g nedan. Uppgifter om nettomängd importerad värme hämtas automatiskt från punkt k.i nedan.</v>
      </c>
      <c r="F2166" s="1963"/>
      <c r="G2166" s="1963"/>
      <c r="H2166" s="1963"/>
      <c r="I2166" s="1963"/>
      <c r="J2166" s="1963"/>
      <c r="K2166" s="1963"/>
      <c r="L2166" s="1963"/>
      <c r="M2166" s="1963"/>
      <c r="N2166" s="1963"/>
      <c r="O2166" s="15"/>
      <c r="P2166" s="15"/>
      <c r="Q2166" s="343"/>
      <c r="R2166" s="2"/>
      <c r="S2166" s="2"/>
      <c r="T2166" s="2"/>
      <c r="U2166" s="343"/>
      <c r="V2166" s="343"/>
      <c r="W2166" s="343"/>
      <c r="X2166" s="343"/>
      <c r="Y2166" s="343"/>
      <c r="Z2166" s="343"/>
      <c r="AA2166" s="2"/>
      <c r="AB2166" s="2"/>
      <c r="AC2166" s="2"/>
      <c r="AD2166" s="2"/>
      <c r="AE2166" s="2"/>
      <c r="AF2166" s="2"/>
      <c r="AG2166" s="2"/>
      <c r="AH2166" s="2"/>
      <c r="AI2166" s="2"/>
      <c r="AJ2166" s="2"/>
      <c r="AK2166" s="2"/>
      <c r="AL2166" s="2"/>
    </row>
    <row r="2167" spans="1:38" s="534" customFormat="1" ht="13.5" thickBot="1" x14ac:dyDescent="0.3">
      <c r="A2167" s="343"/>
      <c r="B2167" s="15"/>
      <c r="C2167" s="15"/>
      <c r="D2167" s="13"/>
      <c r="E2167" s="914" t="str">
        <f>Translations!$B$527</f>
        <v>Parameter</v>
      </c>
      <c r="F2167" s="913"/>
      <c r="G2167" s="30" t="str">
        <f>EUconst_Unit</f>
        <v>Enhet</v>
      </c>
      <c r="H2167" s="320">
        <f>H$3042</f>
        <v>2019</v>
      </c>
      <c r="I2167" s="342">
        <f>I$3042</f>
        <v>2020</v>
      </c>
      <c r="J2167" s="987">
        <f>J$112</f>
        <v>2021</v>
      </c>
      <c r="K2167" s="1001">
        <f>K$112</f>
        <v>2022</v>
      </c>
      <c r="L2167" s="320">
        <f>L$112</f>
        <v>2023</v>
      </c>
      <c r="M2167" s="320">
        <f>M$112</f>
        <v>2024</v>
      </c>
      <c r="N2167" s="320">
        <f>N$112</f>
        <v>2025</v>
      </c>
      <c r="O2167" s="15"/>
      <c r="P2167" s="15"/>
      <c r="Q2167" s="343"/>
      <c r="R2167" s="343"/>
      <c r="S2167" s="2"/>
      <c r="T2167" s="2"/>
      <c r="U2167" s="343"/>
      <c r="V2167" s="343"/>
      <c r="W2167" s="343"/>
      <c r="X2167" s="343"/>
      <c r="Y2167" s="343"/>
      <c r="Z2167" s="343"/>
      <c r="AA2167" s="343"/>
      <c r="AB2167" s="2"/>
      <c r="AC2167" s="1044">
        <f t="shared" ref="AC2167:AI2167" si="975">H$20</f>
        <v>2019</v>
      </c>
      <c r="AD2167" s="1044">
        <f t="shared" si="975"/>
        <v>2020</v>
      </c>
      <c r="AE2167" s="1044">
        <f t="shared" si="975"/>
        <v>2021</v>
      </c>
      <c r="AF2167" s="1044">
        <f t="shared" si="975"/>
        <v>2022</v>
      </c>
      <c r="AG2167" s="1044">
        <f t="shared" si="975"/>
        <v>2023</v>
      </c>
      <c r="AH2167" s="1044">
        <f t="shared" si="975"/>
        <v>2024</v>
      </c>
      <c r="AI2167" s="1044">
        <f t="shared" si="975"/>
        <v>2025</v>
      </c>
      <c r="AJ2167" s="2"/>
      <c r="AK2167" s="2"/>
      <c r="AL2167" s="2"/>
    </row>
    <row r="2168" spans="1:38" s="534" customFormat="1" ht="13.5" customHeight="1" thickBot="1" x14ac:dyDescent="0.3">
      <c r="A2168" s="343"/>
      <c r="B2168" s="15"/>
      <c r="C2168" s="15"/>
      <c r="D2168" s="289" t="s">
        <v>8</v>
      </c>
      <c r="E2168" s="925" t="str">
        <f>Translations!$B$528</f>
        <v>Direkta utsläpp</v>
      </c>
      <c r="F2168" s="925"/>
      <c r="G2168" s="456" t="str">
        <f>EUconst_tCO2pa</f>
        <v>t CO2 / år</v>
      </c>
      <c r="H2168" s="614"/>
      <c r="I2168" s="995"/>
      <c r="J2168" s="1005"/>
      <c r="K2168" s="615"/>
      <c r="L2168" s="615"/>
      <c r="M2168" s="614"/>
      <c r="N2168" s="614"/>
      <c r="O2168" s="15"/>
      <c r="P2168" s="1362"/>
      <c r="Q2168" s="343"/>
      <c r="R2168" s="343"/>
      <c r="S2168" s="2"/>
      <c r="T2168" s="2"/>
      <c r="U2168" s="343"/>
      <c r="V2168" s="343"/>
      <c r="W2168" s="343"/>
      <c r="X2168" s="343"/>
      <c r="Y2168" s="343"/>
      <c r="Z2168" s="343"/>
      <c r="AA2168" s="343"/>
      <c r="AB2168" s="672" t="s">
        <v>782</v>
      </c>
      <c r="AC2168" s="1766" t="b">
        <f t="shared" ref="AC2168:AI2168" si="976">IF(CNTR_ExistSubInstEntries,IF($I2127="",TRUE,OR(H2167&gt;=CNTR_ReportingYear,AC2167&lt;$V2127-1,INDEX(EUconst_BMlistElExchangability,MATCH($I2127,EUconst_BMlistNames,0))=FALSE)),FALSE)</f>
        <v>0</v>
      </c>
      <c r="AD2168" s="1052" t="b">
        <f t="shared" si="976"/>
        <v>0</v>
      </c>
      <c r="AE2168" s="1052" t="b">
        <f t="shared" si="976"/>
        <v>0</v>
      </c>
      <c r="AF2168" s="1052" t="b">
        <f t="shared" si="976"/>
        <v>0</v>
      </c>
      <c r="AG2168" s="1052" t="b">
        <f t="shared" si="976"/>
        <v>0</v>
      </c>
      <c r="AH2168" s="1052" t="b">
        <f t="shared" si="976"/>
        <v>0</v>
      </c>
      <c r="AI2168" s="1053" t="b">
        <f t="shared" si="976"/>
        <v>0</v>
      </c>
      <c r="AJ2168" s="553" t="s">
        <v>2248</v>
      </c>
      <c r="AK2168" s="663" t="str">
        <f>IF(AND(CNTR_ExistSubInstEntries,COUNTIFS(AC2168:AI2168,FALSE,H2168:N2168,"")&gt;0),EUconst_Error&amp;"BM"&amp;$Q2127,"")</f>
        <v/>
      </c>
      <c r="AL2168" s="2"/>
    </row>
    <row r="2169" spans="1:38" s="534" customFormat="1" ht="12.75" customHeight="1" x14ac:dyDescent="0.25">
      <c r="A2169" s="343"/>
      <c r="B2169" s="15"/>
      <c r="C2169" s="15"/>
      <c r="D2169" s="289" t="s">
        <v>9</v>
      </c>
      <c r="E2169" s="923" t="str">
        <f>Translations!$B$529</f>
        <v>Nettomängd importerad värme</v>
      </c>
      <c r="F2169" s="923"/>
      <c r="G2169" s="459" t="str">
        <f>EUconst_TJpa</f>
        <v>TJ / år</v>
      </c>
      <c r="H2169" s="460" t="str">
        <f t="shared" ref="H2169:N2169" si="977">IF(AND($I2127&lt;&gt;"",H2167&lt;CNTR_ReportingYear),IF(INDEX(EUconst_BMlistElExchangability,MATCH($I2127,EUconst_BMlistNames,0)),SUM(H2320),""),"")</f>
        <v/>
      </c>
      <c r="I2169" s="996" t="str">
        <f t="shared" si="977"/>
        <v/>
      </c>
      <c r="J2169" s="1006" t="str">
        <f t="shared" si="977"/>
        <v/>
      </c>
      <c r="K2169" s="1002" t="str">
        <f t="shared" si="977"/>
        <v/>
      </c>
      <c r="L2169" s="460" t="str">
        <f t="shared" si="977"/>
        <v/>
      </c>
      <c r="M2169" s="460" t="str">
        <f t="shared" si="977"/>
        <v/>
      </c>
      <c r="N2169" s="460" t="str">
        <f t="shared" si="977"/>
        <v/>
      </c>
      <c r="O2169" s="15"/>
      <c r="P2169" s="15"/>
      <c r="Q2169" s="343"/>
      <c r="R2169" s="343"/>
      <c r="S2169" s="772"/>
      <c r="T2169" s="609">
        <f t="shared" ref="T2169:Z2169" si="978">H2167</f>
        <v>2019</v>
      </c>
      <c r="U2169" s="609">
        <f t="shared" si="978"/>
        <v>2020</v>
      </c>
      <c r="V2169" s="609">
        <f t="shared" si="978"/>
        <v>2021</v>
      </c>
      <c r="W2169" s="609">
        <f t="shared" si="978"/>
        <v>2022</v>
      </c>
      <c r="X2169" s="609">
        <f t="shared" si="978"/>
        <v>2023</v>
      </c>
      <c r="Y2169" s="609">
        <f t="shared" si="978"/>
        <v>2024</v>
      </c>
      <c r="Z2169" s="610">
        <f t="shared" si="978"/>
        <v>2025</v>
      </c>
      <c r="AA2169" s="343"/>
      <c r="AB2169" s="343"/>
      <c r="AC2169" s="584"/>
      <c r="AD2169" s="343"/>
      <c r="AE2169" s="343"/>
      <c r="AF2169" s="343"/>
      <c r="AG2169" s="343"/>
      <c r="AH2169" s="343"/>
      <c r="AI2169" s="1328"/>
      <c r="AJ2169" s="343"/>
      <c r="AK2169" s="343"/>
      <c r="AL2169" s="2"/>
    </row>
    <row r="2170" spans="1:38" s="534" customFormat="1" ht="12.75" customHeight="1" thickBot="1" x14ac:dyDescent="0.3">
      <c r="A2170" s="343"/>
      <c r="B2170" s="15"/>
      <c r="C2170" s="15"/>
      <c r="D2170" s="289" t="s">
        <v>10</v>
      </c>
      <c r="E2170" s="1778" t="str">
        <f>Translations!$B$530</f>
        <v>Relevant elförbrukning</v>
      </c>
      <c r="F2170" s="1520"/>
      <c r="G2170" s="473" t="str">
        <f>EUconst_MWhpa</f>
        <v>MWh / år</v>
      </c>
      <c r="H2170" s="474"/>
      <c r="I2170" s="997"/>
      <c r="J2170" s="669"/>
      <c r="K2170" s="1003"/>
      <c r="L2170" s="474"/>
      <c r="M2170" s="474"/>
      <c r="N2170" s="474"/>
      <c r="O2170" s="15"/>
      <c r="P2170" s="1362"/>
      <c r="Q2170" s="165" t="str">
        <f>EUconst_CNTR_HAL&amp;EUconst_CNTR_ELEXCH</f>
        <v>HAL_ELEXCH_</v>
      </c>
      <c r="R2170" s="165" t="str">
        <f>EUconst_CNTR_HAL&amp;EUconst_CNTR_ELEXCH &amp; I2127</f>
        <v>HAL_ELEXCH_</v>
      </c>
      <c r="S2170" s="1888" t="str">
        <f>EUconst_CNTR_AttributedEmissions &amp; I2127</f>
        <v>AttrEmissions_</v>
      </c>
      <c r="T2170" s="1330" t="str">
        <f t="shared" ref="T2170:Z2170" si="979">IF(T2135,SUM(H2170)*EUconst_ElBM,"")</f>
        <v/>
      </c>
      <c r="U2170" s="1330" t="str">
        <f t="shared" si="979"/>
        <v/>
      </c>
      <c r="V2170" s="1330" t="str">
        <f t="shared" si="979"/>
        <v/>
      </c>
      <c r="W2170" s="1330" t="str">
        <f t="shared" si="979"/>
        <v/>
      </c>
      <c r="X2170" s="1330" t="str">
        <f t="shared" si="979"/>
        <v/>
      </c>
      <c r="Y2170" s="1330" t="str">
        <f t="shared" si="979"/>
        <v/>
      </c>
      <c r="Z2170" s="1331" t="str">
        <f t="shared" si="979"/>
        <v/>
      </c>
      <c r="AA2170" s="343"/>
      <c r="AB2170" s="343"/>
      <c r="AC2170" s="1329" t="b">
        <f>AC2168</f>
        <v>0</v>
      </c>
      <c r="AD2170" s="1330" t="b">
        <f t="shared" ref="AD2170:AI2170" si="980">AD2168</f>
        <v>0</v>
      </c>
      <c r="AE2170" s="1330" t="b">
        <f t="shared" si="980"/>
        <v>0</v>
      </c>
      <c r="AF2170" s="1330" t="b">
        <f t="shared" si="980"/>
        <v>0</v>
      </c>
      <c r="AG2170" s="1330" t="b">
        <f t="shared" si="980"/>
        <v>0</v>
      </c>
      <c r="AH2170" s="1330" t="b">
        <f t="shared" si="980"/>
        <v>0</v>
      </c>
      <c r="AI2170" s="1331" t="b">
        <f t="shared" si="980"/>
        <v>0</v>
      </c>
      <c r="AJ2170" s="553" t="s">
        <v>2248</v>
      </c>
      <c r="AK2170" s="663" t="str">
        <f>IF(AND(CNTR_ExistSubInstEntries,COUNTIFS(AC2170:AI2170,FALSE,H2170:N2170,"")&gt;0),EUconst_Error&amp;"BM"&amp;$Q2127,"")</f>
        <v/>
      </c>
      <c r="AL2170" s="2"/>
    </row>
    <row r="2171" spans="1:38" s="534" customFormat="1" ht="13.5" customHeight="1" x14ac:dyDescent="0.25">
      <c r="A2171" s="343"/>
      <c r="B2171" s="15"/>
      <c r="C2171" s="15"/>
      <c r="D2171" s="289" t="s">
        <v>23</v>
      </c>
      <c r="E2171" s="925" t="str">
        <f>Translations!$B$531</f>
        <v>Totala direkta utsläpp</v>
      </c>
      <c r="F2171" s="925"/>
      <c r="G2171" s="456" t="str">
        <f>EUconst_tCO2pa</f>
        <v>t CO2 / år</v>
      </c>
      <c r="H2171" s="457" t="str">
        <f t="shared" ref="H2171:N2171" si="981">IF(ISNUMBER(H2168),H2168+SUM(H2169)*EUconst_HeatBMvalue,"")</f>
        <v/>
      </c>
      <c r="I2171" s="998" t="str">
        <f t="shared" si="981"/>
        <v/>
      </c>
      <c r="J2171" s="1007" t="str">
        <f t="shared" si="981"/>
        <v/>
      </c>
      <c r="K2171" s="458" t="str">
        <f t="shared" si="981"/>
        <v/>
      </c>
      <c r="L2171" s="458" t="str">
        <f t="shared" si="981"/>
        <v/>
      </c>
      <c r="M2171" s="457" t="str">
        <f t="shared" si="981"/>
        <v/>
      </c>
      <c r="N2171" s="457" t="str">
        <f t="shared" si="981"/>
        <v/>
      </c>
      <c r="O2171" s="15"/>
      <c r="P2171" s="15"/>
      <c r="Q2171" s="343"/>
      <c r="R2171" s="343"/>
      <c r="S2171" s="2"/>
      <c r="T2171" s="2"/>
      <c r="U2171" s="343"/>
      <c r="V2171" s="343"/>
      <c r="W2171" s="343"/>
      <c r="X2171" s="343"/>
      <c r="Y2171" s="343"/>
      <c r="Z2171" s="343"/>
      <c r="AA2171" s="343"/>
      <c r="AB2171" s="343"/>
      <c r="AC2171" s="343"/>
      <c r="AD2171" s="343"/>
      <c r="AE2171" s="343"/>
      <c r="AF2171" s="343"/>
      <c r="AG2171" s="343"/>
      <c r="AH2171" s="343"/>
      <c r="AI2171" s="343"/>
      <c r="AJ2171" s="343"/>
      <c r="AK2171" s="343"/>
      <c r="AL2171" s="2"/>
    </row>
    <row r="2172" spans="1:38" s="534" customFormat="1" ht="13.5" customHeight="1" x14ac:dyDescent="0.25">
      <c r="A2172" s="343"/>
      <c r="B2172" s="15"/>
      <c r="C2172" s="15"/>
      <c r="D2172" s="289" t="s">
        <v>859</v>
      </c>
      <c r="E2172" s="924" t="str">
        <f>Translations!$B$532</f>
        <v>Indirekta utsläpp</v>
      </c>
      <c r="F2172" s="924"/>
      <c r="G2172" s="461" t="str">
        <f>EUconst_tCO2pa</f>
        <v>t CO2 / år</v>
      </c>
      <c r="H2172" s="462" t="str">
        <f t="shared" ref="H2172:N2172" si="982">IF(ISNUMBER(H2170),H2170*EUconst_ElBM,"")</f>
        <v/>
      </c>
      <c r="I2172" s="999" t="str">
        <f t="shared" si="982"/>
        <v/>
      </c>
      <c r="J2172" s="1008" t="str">
        <f t="shared" si="982"/>
        <v/>
      </c>
      <c r="K2172" s="463" t="str">
        <f t="shared" si="982"/>
        <v/>
      </c>
      <c r="L2172" s="463" t="str">
        <f t="shared" si="982"/>
        <v/>
      </c>
      <c r="M2172" s="462" t="str">
        <f t="shared" si="982"/>
        <v/>
      </c>
      <c r="N2172" s="462" t="str">
        <f t="shared" si="982"/>
        <v/>
      </c>
      <c r="O2172" s="15"/>
      <c r="P2172" s="15"/>
      <c r="Q2172" s="343"/>
      <c r="R2172" s="343"/>
      <c r="S2172" s="2"/>
      <c r="T2172" s="2"/>
      <c r="U2172" s="343"/>
      <c r="V2172" s="343"/>
      <c r="W2172" s="343"/>
      <c r="X2172" s="343"/>
      <c r="Y2172" s="343"/>
      <c r="Z2172" s="343"/>
      <c r="AA2172" s="343"/>
      <c r="AB2172" s="343"/>
      <c r="AC2172" s="343"/>
      <c r="AD2172" s="343"/>
      <c r="AE2172" s="343"/>
      <c r="AF2172" s="343"/>
      <c r="AG2172" s="343"/>
      <c r="AH2172" s="343"/>
      <c r="AI2172" s="343"/>
      <c r="AJ2172" s="343"/>
      <c r="AK2172" s="343"/>
      <c r="AL2172" s="2"/>
    </row>
    <row r="2173" spans="1:38" ht="5.15" customHeight="1" x14ac:dyDescent="0.25">
      <c r="A2173" s="2"/>
      <c r="B2173" s="178"/>
      <c r="C2173" s="178"/>
      <c r="D2173" s="178"/>
      <c r="E2173" s="178"/>
      <c r="F2173" s="178"/>
      <c r="G2173" s="178"/>
      <c r="H2173" s="178"/>
      <c r="I2173" s="178"/>
      <c r="J2173" s="1009"/>
      <c r="K2173" s="178"/>
      <c r="L2173" s="178"/>
      <c r="M2173" s="15"/>
      <c r="N2173" s="15"/>
      <c r="O2173" s="15"/>
      <c r="P2173" s="15"/>
      <c r="Q2173" s="343"/>
      <c r="R2173" s="2"/>
      <c r="S2173" s="2"/>
      <c r="T2173" s="2"/>
      <c r="U2173" s="343"/>
      <c r="V2173" s="343"/>
      <c r="W2173" s="343"/>
      <c r="X2173" s="343"/>
      <c r="Y2173" s="343"/>
      <c r="Z2173" s="343"/>
      <c r="AA2173" s="2"/>
      <c r="AB2173" s="2"/>
      <c r="AC2173" s="2"/>
      <c r="AD2173" s="2"/>
      <c r="AE2173" s="2"/>
      <c r="AF2173" s="2"/>
      <c r="AG2173" s="2"/>
      <c r="AH2173" s="2"/>
      <c r="AI2173" s="2"/>
      <c r="AJ2173" s="2"/>
      <c r="AK2173" s="2"/>
      <c r="AL2173" s="2"/>
    </row>
    <row r="2174" spans="1:38" ht="12.75" customHeight="1" x14ac:dyDescent="0.25">
      <c r="A2174" s="2"/>
      <c r="B2174" s="178"/>
      <c r="C2174" s="178"/>
      <c r="D2174" s="289" t="s">
        <v>860</v>
      </c>
      <c r="E2174" s="514" t="s">
        <v>1526</v>
      </c>
      <c r="F2174" s="929"/>
      <c r="G2174" s="930" t="s">
        <v>1112</v>
      </c>
      <c r="H2174" s="926" t="str">
        <f t="shared" ref="H2174:N2174" si="983">IF(COUNT(H2171:H2172)&gt;0,SUM(H2171)/SUM(H2171:H2172),IF($T2163=TRUE,IF(H2167&gt;CNTR_ReportingYear,"",1),""))</f>
        <v/>
      </c>
      <c r="I2174" s="1000" t="str">
        <f t="shared" si="983"/>
        <v/>
      </c>
      <c r="J2174" s="1010" t="str">
        <f t="shared" si="983"/>
        <v/>
      </c>
      <c r="K2174" s="1004" t="str">
        <f t="shared" si="983"/>
        <v/>
      </c>
      <c r="L2174" s="926" t="str">
        <f t="shared" si="983"/>
        <v/>
      </c>
      <c r="M2174" s="926" t="str">
        <f t="shared" si="983"/>
        <v/>
      </c>
      <c r="N2174" s="926" t="str">
        <f t="shared" si="983"/>
        <v/>
      </c>
      <c r="O2174" s="15"/>
      <c r="P2174" s="15"/>
      <c r="Q2174" s="165" t="str">
        <f>EUconst_CNTR_ELEXCH &amp; I2127</f>
        <v>ELEXCH_</v>
      </c>
      <c r="R2174" s="2"/>
      <c r="S2174" s="2"/>
      <c r="T2174" s="2"/>
      <c r="U2174" s="2"/>
      <c r="V2174" s="2"/>
      <c r="W2174" s="2"/>
      <c r="X2174" s="2"/>
      <c r="Y2174" s="2"/>
      <c r="Z2174" s="2"/>
      <c r="AA2174" s="2"/>
      <c r="AB2174" s="2"/>
      <c r="AC2174" s="2"/>
      <c r="AD2174" s="2"/>
      <c r="AE2174" s="2"/>
      <c r="AF2174" s="2"/>
      <c r="AG2174" s="2"/>
      <c r="AH2174" s="2"/>
      <c r="AI2174" s="2"/>
      <c r="AJ2174" s="2"/>
      <c r="AK2174" s="2"/>
      <c r="AL2174" s="2"/>
    </row>
    <row r="2175" spans="1:38" ht="5.15" customHeight="1" x14ac:dyDescent="0.25">
      <c r="A2175" s="2"/>
      <c r="B2175" s="178"/>
      <c r="C2175" s="178"/>
      <c r="D2175" s="178"/>
      <c r="E2175" s="178"/>
      <c r="F2175" s="178"/>
      <c r="G2175" s="178"/>
      <c r="H2175" s="178"/>
      <c r="I2175" s="178"/>
      <c r="J2175" s="178"/>
      <c r="K2175" s="178"/>
      <c r="L2175" s="178"/>
      <c r="M2175" s="15"/>
      <c r="N2175" s="15"/>
      <c r="O2175" s="15"/>
      <c r="P2175" s="15"/>
      <c r="Q2175" s="343"/>
      <c r="R2175" s="2"/>
      <c r="S2175" s="2"/>
      <c r="T2175" s="2"/>
      <c r="U2175" s="2"/>
      <c r="V2175" s="2"/>
      <c r="W2175" s="2"/>
      <c r="X2175" s="2"/>
      <c r="Y2175" s="2"/>
      <c r="Z2175" s="2"/>
      <c r="AA2175" s="2"/>
      <c r="AB2175" s="2"/>
      <c r="AC2175" s="2"/>
      <c r="AD2175" s="2"/>
      <c r="AE2175" s="2"/>
      <c r="AF2175" s="2"/>
      <c r="AG2175" s="2"/>
      <c r="AH2175" s="2"/>
      <c r="AI2175" s="2"/>
      <c r="AJ2175" s="2"/>
      <c r="AK2175" s="2"/>
      <c r="AL2175" s="2"/>
    </row>
    <row r="2176" spans="1:38" ht="25.5" customHeight="1" thickBot="1" x14ac:dyDescent="0.3">
      <c r="A2176" s="2"/>
      <c r="B2176" s="178"/>
      <c r="C2176" s="178"/>
      <c r="D2176" s="15"/>
      <c r="E2176" s="2061" t="str">
        <f>Translations!$B$1479</f>
        <v>Baserat på uppgifterna ovan bestäms ett genomsnittligt årligt värde. Tilldelningen kommer endast att ändras om det relativa tröskelvärdet (15 % jämfört med värdet från de nationella genomförandeåtgärderna) och det absoluta tröskelvärdet (ändring leder till mer än 100 utsläppsrätter) överskrids, enligt artikel 6.4 i verksamhetsändringsförordningen.</v>
      </c>
      <c r="F2176" s="1963"/>
      <c r="G2176" s="1963"/>
      <c r="H2176" s="1963"/>
      <c r="I2176" s="1963"/>
      <c r="J2176" s="1963"/>
      <c r="K2176" s="1963"/>
      <c r="L2176" s="1963"/>
      <c r="M2176" s="1963"/>
      <c r="N2176" s="1963"/>
      <c r="O2176" s="15"/>
      <c r="P2176" s="15"/>
      <c r="Q2176" s="343"/>
      <c r="R2176" s="2"/>
      <c r="S2176" s="343"/>
      <c r="T2176" s="343"/>
      <c r="U2176" s="343"/>
      <c r="V2176" s="2"/>
      <c r="W2176" s="2"/>
      <c r="X2176" s="2"/>
      <c r="Y2176" s="2"/>
      <c r="Z2176" s="2"/>
      <c r="AA2176" s="2"/>
      <c r="AB2176" s="2"/>
      <c r="AC2176" s="2"/>
      <c r="AD2176" s="2"/>
      <c r="AE2176" s="2"/>
      <c r="AF2176" s="2"/>
      <c r="AG2176" s="2"/>
      <c r="AH2176" s="2"/>
      <c r="AI2176" s="2"/>
      <c r="AJ2176" s="2"/>
      <c r="AK2176" s="2"/>
      <c r="AL2176" s="2"/>
    </row>
    <row r="2177" spans="1:38" ht="5.15" customHeight="1" thickBot="1" x14ac:dyDescent="0.3">
      <c r="A2177" s="2"/>
      <c r="B2177" s="178"/>
      <c r="C2177" s="178"/>
      <c r="D2177" s="1238"/>
      <c r="E2177" s="1266"/>
      <c r="F2177" s="1266"/>
      <c r="G2177" s="1266"/>
      <c r="H2177" s="1266"/>
      <c r="I2177" s="1266"/>
      <c r="J2177" s="1266"/>
      <c r="K2177" s="1266"/>
      <c r="L2177" s="1266"/>
      <c r="M2177" s="1266"/>
      <c r="N2177" s="1267"/>
      <c r="O2177" s="15"/>
      <c r="P2177" s="15"/>
      <c r="Q2177" s="343"/>
      <c r="R2177" s="2"/>
      <c r="S2177" s="343"/>
      <c r="T2177" s="343"/>
      <c r="U2177" s="343"/>
      <c r="V2177" s="2"/>
      <c r="W2177" s="2"/>
      <c r="X2177" s="2"/>
      <c r="Y2177" s="2"/>
      <c r="Z2177" s="2"/>
      <c r="AA2177" s="2"/>
      <c r="AB2177" s="2"/>
      <c r="AC2177" s="2"/>
      <c r="AD2177" s="2"/>
      <c r="AE2177" s="2"/>
      <c r="AF2177" s="2"/>
      <c r="AG2177" s="2"/>
      <c r="AH2177" s="2"/>
      <c r="AI2177" s="2"/>
      <c r="AJ2177" s="2"/>
      <c r="AK2177" s="2"/>
      <c r="AL2177" s="2"/>
    </row>
    <row r="2178" spans="1:38" ht="12.75" customHeight="1" x14ac:dyDescent="0.25">
      <c r="A2178" s="2"/>
      <c r="B2178" s="178"/>
      <c r="C2178" s="178"/>
      <c r="D2178" s="1290" t="s">
        <v>2191</v>
      </c>
      <c r="E2178" s="1243" t="str">
        <f>Translations!$B$1480</f>
        <v>Justeringar: Elutbyte</v>
      </c>
      <c r="F2178" s="1244"/>
      <c r="G2178" s="1244"/>
      <c r="H2178" s="1228" t="str">
        <f>EUconst_Unit</f>
        <v>Enhet</v>
      </c>
      <c r="I2178" s="1229" t="str">
        <f>Translations!$B$1481</f>
        <v>Värde (NIMs)</v>
      </c>
      <c r="J2178" s="1268">
        <f>J$3042</f>
        <v>2021</v>
      </c>
      <c r="K2178" s="1230">
        <f>K$3042</f>
        <v>2022</v>
      </c>
      <c r="L2178" s="1230">
        <f>L$3042</f>
        <v>2023</v>
      </c>
      <c r="M2178" s="1230">
        <f>M$3042</f>
        <v>2024</v>
      </c>
      <c r="N2178" s="1258">
        <f>N$3042</f>
        <v>2025</v>
      </c>
      <c r="O2178" s="15"/>
      <c r="P2178" s="15"/>
      <c r="Q2178" s="343"/>
      <c r="R2178" s="2"/>
      <c r="S2178" s="2"/>
      <c r="T2178" s="2"/>
      <c r="U2178" s="772"/>
      <c r="V2178" s="1077">
        <f>J2178</f>
        <v>2021</v>
      </c>
      <c r="W2178" s="1077">
        <f>K2178</f>
        <v>2022</v>
      </c>
      <c r="X2178" s="1077">
        <f>L2178</f>
        <v>2023</v>
      </c>
      <c r="Y2178" s="1077">
        <f>M2178</f>
        <v>2024</v>
      </c>
      <c r="Z2178" s="1078">
        <f>N2178</f>
        <v>2025</v>
      </c>
      <c r="AA2178" s="2"/>
      <c r="AB2178" s="2"/>
      <c r="AC2178" s="2"/>
      <c r="AD2178" s="2"/>
      <c r="AE2178" s="2"/>
      <c r="AF2178" s="2"/>
      <c r="AG2178" s="2"/>
      <c r="AH2178" s="2"/>
      <c r="AI2178" s="2"/>
      <c r="AJ2178" s="2"/>
      <c r="AK2178" s="2"/>
      <c r="AL2178" s="343"/>
    </row>
    <row r="2179" spans="1:38" ht="12.75" customHeight="1" x14ac:dyDescent="0.25">
      <c r="A2179" s="2"/>
      <c r="B2179" s="178"/>
      <c r="C2179" s="178"/>
      <c r="D2179" s="1246" t="s">
        <v>8</v>
      </c>
      <c r="E2179" s="1231" t="str">
        <f>Translations!$B$1482</f>
        <v>Genomsnittligt årligt värde</v>
      </c>
      <c r="F2179" s="1231"/>
      <c r="G2179" s="1231"/>
      <c r="H2179" s="1232" t="str">
        <f>G2174</f>
        <v>-</v>
      </c>
      <c r="I2179" s="1011" t="str">
        <f>IF($T2163&lt;&gt;TRUE,"",INDEX('B+C_SubInstallations'!$L:$L,MATCH(Q2179,'B+C_SubInstallations'!$W:$W,0)))</f>
        <v/>
      </c>
      <c r="J2179" s="1012" t="str">
        <f>IF($T2163&lt;&gt;TRUE,"",IF(AND(V2179&gt;=3,CNTR_ReportingYear&gt;J2178-1),AVERAGE(SUM(H2174),SUM(I2174)),""))</f>
        <v/>
      </c>
      <c r="K2179" s="927" t="str">
        <f>IF($T2163&lt;&gt;TRUE,"",IF(AND(W2179&gt;=3,CNTR_ReportingYear&gt;K2178-1),AVERAGE(SUM(I2174),SUM(J2174)),""))</f>
        <v/>
      </c>
      <c r="L2179" s="927" t="str">
        <f>IF($T2163&lt;&gt;TRUE,"",IF(AND(X2179&gt;=3,CNTR_ReportingYear&gt;L2178-1),AVERAGE(SUM(J2174),SUM(K2174)),""))</f>
        <v/>
      </c>
      <c r="M2179" s="927" t="str">
        <f>IF($T2163&lt;&gt;TRUE,"",IF(AND(Y2179&gt;=3,CNTR_ReportingYear&gt;M2178-1),AVERAGE(SUM(K2174),SUM(L2174)),""))</f>
        <v/>
      </c>
      <c r="N2179" s="1222" t="str">
        <f>IF($T2163&lt;&gt;TRUE,"",IF(AND(Z2179&gt;=3,CNTR_ReportingYear&gt;N2178-1),AVERAGE(SUM(L2174),SUM(M2174)),""))</f>
        <v/>
      </c>
      <c r="O2179" s="15"/>
      <c r="P2179" s="15"/>
      <c r="Q2179" s="165" t="str">
        <f>EUconst_CNTR_HAL &amp; EUconst_CNTR_ELEXCHInitial &amp; I2127</f>
        <v>HAL_ELEXCHIni_</v>
      </c>
      <c r="R2179" s="2"/>
      <c r="S2179" s="2"/>
      <c r="T2179" s="2"/>
      <c r="U2179" s="1079" t="s">
        <v>1850</v>
      </c>
      <c r="V2179" s="663">
        <f>V2149</f>
        <v>0</v>
      </c>
      <c r="W2179" s="663">
        <f>W2149</f>
        <v>0</v>
      </c>
      <c r="X2179" s="663">
        <f>X2149</f>
        <v>0</v>
      </c>
      <c r="Y2179" s="663">
        <f>Y2149</f>
        <v>0</v>
      </c>
      <c r="Z2179" s="1080">
        <f>Z2149</f>
        <v>0</v>
      </c>
      <c r="AA2179" s="2"/>
      <c r="AB2179" s="2"/>
      <c r="AC2179" s="2"/>
      <c r="AD2179" s="2"/>
      <c r="AE2179" s="2"/>
      <c r="AF2179" s="2"/>
      <c r="AG2179" s="2"/>
      <c r="AH2179" s="2"/>
      <c r="AI2179" s="2"/>
      <c r="AJ2179" s="2"/>
      <c r="AK2179" s="2"/>
      <c r="AL2179" s="343"/>
    </row>
    <row r="2180" spans="1:38" ht="12.75" hidden="1" customHeight="1" x14ac:dyDescent="0.25">
      <c r="A2180" s="343" t="s">
        <v>346</v>
      </c>
      <c r="B2180" s="178"/>
      <c r="C2180" s="178"/>
      <c r="D2180" s="1246"/>
      <c r="E2180" s="1231" t="s">
        <v>1980</v>
      </c>
      <c r="F2180" s="1231"/>
      <c r="G2180" s="1231"/>
      <c r="H2180" s="1233"/>
      <c r="I2180" s="1235"/>
      <c r="J2180" s="1013" t="str">
        <f>IF(J2179="","",IF($I2182=0,IF(J2179=0,0%,100%),J2179/$I2182-1))</f>
        <v/>
      </c>
      <c r="K2180" s="938" t="str">
        <f>IF(K2179="","",IF($I2182=0,IF(K2179=0,0%,100%),K2179/$I2182-1))</f>
        <v/>
      </c>
      <c r="L2180" s="938" t="str">
        <f>IF(L2179="","",IF($I2182=0,IF(L2179=0,0%,100%),L2179/$I2182-1))</f>
        <v/>
      </c>
      <c r="M2180" s="938" t="str">
        <f>IF(M2179="","",IF($I2182=0,IF(M2179=0,0%,100%),M2179/$I2182-1))</f>
        <v/>
      </c>
      <c r="N2180" s="1223" t="str">
        <f>IF(N2179="","",IF($I2182=0,IF(N2179=0,0%,100%),N2179/$I2182-1))</f>
        <v/>
      </c>
      <c r="O2180" s="15"/>
      <c r="P2180" s="15"/>
      <c r="Q2180" s="165" t="str">
        <f>EUconst_CNTR_RelThreshold &amp; Q2182</f>
        <v>RelThresh_HALprelim_ELEXCH_</v>
      </c>
      <c r="R2180" s="2"/>
      <c r="S2180" s="2"/>
      <c r="T2180" s="2"/>
      <c r="U2180" s="1079" t="s">
        <v>1855</v>
      </c>
      <c r="V2180" s="603" t="str">
        <f>IF(J2179="","",ABS(J2180)&gt;15%)</f>
        <v/>
      </c>
      <c r="W2180" s="603" t="str">
        <f>IF(K2179="","",ABS(K2180)&gt;15%)</f>
        <v/>
      </c>
      <c r="X2180" s="603" t="str">
        <f>IF(L2179="","",ABS(L2180)&gt;15%)</f>
        <v/>
      </c>
      <c r="Y2180" s="603" t="str">
        <f>IF(M2179="","",ABS(M2180)&gt;15%)</f>
        <v/>
      </c>
      <c r="Z2180" s="1756" t="str">
        <f>IF(N2179="","",ABS(N2180)&gt;15%)</f>
        <v/>
      </c>
      <c r="AA2180" s="2"/>
      <c r="AB2180" s="2"/>
      <c r="AC2180" s="2"/>
      <c r="AD2180" s="2"/>
      <c r="AE2180" s="2"/>
      <c r="AF2180" s="2"/>
      <c r="AG2180" s="2"/>
      <c r="AH2180" s="2"/>
      <c r="AI2180" s="2"/>
      <c r="AJ2180" s="2"/>
      <c r="AK2180" s="2"/>
      <c r="AL2180" s="343"/>
    </row>
    <row r="2181" spans="1:38" ht="12.75" customHeight="1" x14ac:dyDescent="0.25">
      <c r="A2181" s="343"/>
      <c r="B2181" s="178"/>
      <c r="C2181" s="178"/>
      <c r="D2181" s="1246" t="s">
        <v>9</v>
      </c>
      <c r="E2181" s="1231" t="str">
        <f>Translations!$B$1474</f>
        <v>Preliminär justering (om relativa tröskelvärden överskrids)</v>
      </c>
      <c r="F2181" s="1231"/>
      <c r="G2181" s="1231"/>
      <c r="H2181" s="1233"/>
      <c r="I2181" s="1235"/>
      <c r="J2181" s="992" t="str">
        <f>IF(J2179="","",IF(V2180=FALSE,0%,J2180))</f>
        <v/>
      </c>
      <c r="K2181" s="937" t="str">
        <f>IF(K2179="","",IF(W2180=FALSE,0%,K2180))</f>
        <v/>
      </c>
      <c r="L2181" s="937" t="str">
        <f>IF(L2179="","",IF(X2180=FALSE,0%,L2180))</f>
        <v/>
      </c>
      <c r="M2181" s="937" t="str">
        <f>IF(M2179="","",IF(Y2180=FALSE,0%,M2180))</f>
        <v/>
      </c>
      <c r="N2181" s="1220" t="str">
        <f>IF(N2179="","",IF(Z2180=FALSE,0%,N2180))</f>
        <v/>
      </c>
      <c r="O2181" s="15"/>
      <c r="P2181" s="15"/>
      <c r="Q2181" s="343"/>
      <c r="R2181" s="2"/>
      <c r="S2181" s="2"/>
      <c r="T2181" s="2"/>
      <c r="U2181" s="1081"/>
      <c r="V2181" s="2"/>
      <c r="W2181" s="2"/>
      <c r="X2181" s="2"/>
      <c r="Y2181" s="2"/>
      <c r="Z2181" s="228"/>
      <c r="AA2181" s="2"/>
      <c r="AB2181" s="2"/>
      <c r="AC2181" s="2"/>
      <c r="AD2181" s="2"/>
      <c r="AE2181" s="2"/>
      <c r="AF2181" s="2"/>
      <c r="AG2181" s="2"/>
      <c r="AH2181" s="2"/>
      <c r="AI2181" s="2"/>
      <c r="AJ2181" s="2"/>
      <c r="AK2181" s="2"/>
      <c r="AL2181" s="343"/>
    </row>
    <row r="2182" spans="1:38" ht="12.75" hidden="1" customHeight="1" x14ac:dyDescent="0.25">
      <c r="A2182" s="343" t="s">
        <v>346</v>
      </c>
      <c r="B2182" s="178"/>
      <c r="C2182" s="178"/>
      <c r="D2182" s="1246"/>
      <c r="E2182" s="1231" t="s">
        <v>1889</v>
      </c>
      <c r="F2182" s="1231"/>
      <c r="G2182" s="1231"/>
      <c r="H2182" s="1232" t="str">
        <f>H2179</f>
        <v>-</v>
      </c>
      <c r="I2182" s="1011" t="str">
        <f>IF($T2163&lt;&gt;TRUE,"",IF(AB2127=FALSE,EUconst_NA,IF(V2127&gt;($J$3042-3),INDEX(H2174:N2174,MATCH(V2127,H2167:N2167,0)),SUM(I2179))))</f>
        <v/>
      </c>
      <c r="J2182" s="1014" t="str">
        <f>IF(OR($I2127="",$T2163=FALSE),"",IF(V2179&lt;2,SUM(J2174),IF(V2179&lt;3,SUM(I2174),IF(V2182="",I2182,V2182))))</f>
        <v/>
      </c>
      <c r="K2182" s="928" t="str">
        <f>IF(OR($I2127="",$T2163=FALSE),"",IF(W2179&lt;2,SUM(K2174),IF(W2179&lt;3,SUM(J2174),IF(W2182="",J2182,W2182))))</f>
        <v/>
      </c>
      <c r="L2182" s="928" t="str">
        <f>IF(OR($I2127="",$T2163=FALSE),"",IF(X2179&lt;2,SUM(L2174),IF(X2179&lt;3,SUM(K2174),IF(X2182="",K2182,X2182))))</f>
        <v/>
      </c>
      <c r="M2182" s="928" t="str">
        <f>IF(OR($I2127="",$T2163=FALSE),"",IF(Y2179&lt;2,SUM(M2174),IF(Y2179&lt;3,SUM(L2174),IF(Y2182="",L2182,Y2182))))</f>
        <v/>
      </c>
      <c r="N2182" s="1224" t="str">
        <f>IF(OR($I2127="",$T2163=FALSE),"",IF(Z2179&lt;2,SUM(N2174),IF(Z2179&lt;3,SUM(M2174),IF(Z2182="",M2182,Z2182))))</f>
        <v/>
      </c>
      <c r="O2182" s="15"/>
      <c r="P2182" s="15"/>
      <c r="Q2182" s="165" t="str">
        <f>EUconst_CNTR_HALprelim&amp;EUconst_CNTR_ELEXCH &amp; I2127</f>
        <v>HALprelim_ELEXCH_</v>
      </c>
      <c r="R2182" s="2"/>
      <c r="S2182" s="2"/>
      <c r="T2182" s="2"/>
      <c r="U2182" s="1079" t="s">
        <v>1898</v>
      </c>
      <c r="V2182" s="1753" t="str">
        <f>IF(J2179="","",IF(CNTR_ReportingYear&lt;J2178,I2181,IF($I2182=0,J2179,$I2182*(1+J2181))))</f>
        <v/>
      </c>
      <c r="W2182" s="1753" t="str">
        <f>IF(K2179="","",IF(CNTR_ReportingYear&lt;K2178,J2181,IF($I2182=0,K2179,$I2182*(1+K2181))))</f>
        <v/>
      </c>
      <c r="X2182" s="1753" t="str">
        <f>IF(L2179="","",IF(CNTR_ReportingYear&lt;L2178,K2181,IF($I2182=0,L2179,$I2182*(1+L2181))))</f>
        <v/>
      </c>
      <c r="Y2182" s="1753" t="str">
        <f>IF(M2179="","",IF(CNTR_ReportingYear&lt;M2178,L2181,IF($I2182=0,M2179,$I2182*(1+M2181))))</f>
        <v/>
      </c>
      <c r="Z2182" s="1760" t="str">
        <f>IF(N2179="","",IF(CNTR_ReportingYear&lt;N2178,M2181,IF($I2182=0,N2179,$I2182*(1+N2181))))</f>
        <v/>
      </c>
      <c r="AA2182" s="2"/>
      <c r="AB2182" s="2"/>
      <c r="AC2182" s="2"/>
      <c r="AD2182" s="2"/>
      <c r="AE2182" s="2"/>
      <c r="AF2182" s="2"/>
      <c r="AG2182" s="2"/>
      <c r="AH2182" s="2"/>
      <c r="AI2182" s="2"/>
      <c r="AJ2182" s="2"/>
      <c r="AK2182" s="2"/>
      <c r="AL2182" s="343"/>
    </row>
    <row r="2183" spans="1:38" ht="5.15" customHeight="1" x14ac:dyDescent="0.25">
      <c r="A2183" s="343"/>
      <c r="B2183" s="178"/>
      <c r="C2183" s="178"/>
      <c r="D2183" s="1246"/>
      <c r="E2183" s="1244"/>
      <c r="F2183" s="1244"/>
      <c r="G2183" s="1244"/>
      <c r="H2183" s="1244"/>
      <c r="I2183" s="1244"/>
      <c r="J2183" s="1236"/>
      <c r="K2183" s="1236"/>
      <c r="L2183" s="1236"/>
      <c r="M2183" s="1236"/>
      <c r="N2183" s="1247"/>
      <c r="O2183" s="15"/>
      <c r="P2183" s="15"/>
      <c r="Q2183" s="343"/>
      <c r="R2183" s="2"/>
      <c r="S2183" s="2"/>
      <c r="T2183" s="2"/>
      <c r="U2183" s="1086"/>
      <c r="V2183" s="343"/>
      <c r="W2183" s="2"/>
      <c r="X2183" s="2"/>
      <c r="Y2183" s="2"/>
      <c r="Z2183" s="228"/>
      <c r="AA2183" s="2"/>
      <c r="AB2183" s="2"/>
      <c r="AC2183" s="2"/>
      <c r="AD2183" s="2"/>
      <c r="AE2183" s="2"/>
      <c r="AF2183" s="2"/>
      <c r="AG2183" s="2"/>
      <c r="AH2183" s="2"/>
      <c r="AI2183" s="2"/>
      <c r="AJ2183" s="2"/>
      <c r="AK2183" s="2"/>
      <c r="AL2183" s="343"/>
    </row>
    <row r="2184" spans="1:38" ht="12.75" customHeight="1" x14ac:dyDescent="0.25">
      <c r="A2184" s="343"/>
      <c r="B2184" s="178"/>
      <c r="C2184" s="178"/>
      <c r="D2184" s="1246"/>
      <c r="E2184" s="1234" t="str">
        <f>Translations!$B$1475</f>
        <v>Faktisk justering (grund för följande år)</v>
      </c>
      <c r="F2184" s="1234"/>
      <c r="G2184" s="1234"/>
      <c r="H2184" s="1234"/>
      <c r="I2184" s="1234"/>
      <c r="J2184" s="1268">
        <f>J$3042</f>
        <v>2021</v>
      </c>
      <c r="K2184" s="1230">
        <f>K$3042</f>
        <v>2022</v>
      </c>
      <c r="L2184" s="1230">
        <f>L$3042</f>
        <v>2023</v>
      </c>
      <c r="M2184" s="1230">
        <f>M$3042</f>
        <v>2024</v>
      </c>
      <c r="N2184" s="1258">
        <f>N$3042</f>
        <v>2025</v>
      </c>
      <c r="O2184" s="15"/>
      <c r="P2184" s="15"/>
      <c r="Q2184" s="343"/>
      <c r="R2184" s="2"/>
      <c r="S2184" s="2"/>
      <c r="T2184" s="2"/>
      <c r="U2184" s="584"/>
      <c r="V2184" s="2"/>
      <c r="W2184" s="2"/>
      <c r="X2184" s="2"/>
      <c r="Y2184" s="2"/>
      <c r="Z2184" s="228"/>
      <c r="AA2184" s="2"/>
      <c r="AB2184" s="2"/>
      <c r="AC2184" s="2"/>
      <c r="AD2184" s="2"/>
      <c r="AE2184" s="2"/>
      <c r="AF2184" s="2"/>
      <c r="AG2184" s="2"/>
      <c r="AH2184" s="2"/>
      <c r="AI2184" s="2"/>
      <c r="AJ2184" s="2"/>
      <c r="AK2184" s="2"/>
      <c r="AL2184" s="343"/>
    </row>
    <row r="2185" spans="1:38" ht="12.75" customHeight="1" x14ac:dyDescent="0.25">
      <c r="A2185" s="343"/>
      <c r="B2185" s="178"/>
      <c r="C2185" s="178"/>
      <c r="D2185" s="1246" t="s">
        <v>10</v>
      </c>
      <c r="E2185" s="1231" t="str">
        <f>Translations!$B$1476</f>
        <v>&gt;= 100 utsläppsrätter kriterium uppnått?</v>
      </c>
      <c r="F2185" s="1231"/>
      <c r="G2185" s="1231"/>
      <c r="H2185" s="1231"/>
      <c r="I2185" s="1231"/>
      <c r="J2185" s="994" t="str">
        <f>IF(OR($I2127="",$T2163=FALSE),"",INDEX(K_Summary!J:J,MATCH($Q2185,K_Summary!$P:$P,0)))</f>
        <v/>
      </c>
      <c r="K2185" s="912" t="str">
        <f>IF(OR($I2127="",$T2163=FALSE),"",INDEX(K_Summary!K:K,MATCH($Q2185,K_Summary!$P:$P,0)))</f>
        <v/>
      </c>
      <c r="L2185" s="912" t="str">
        <f>IF(OR($I2127="",$T2163=FALSE),"",INDEX(K_Summary!L:L,MATCH($Q2185,K_Summary!$P:$P,0)))</f>
        <v/>
      </c>
      <c r="M2185" s="912" t="str">
        <f>IF(OR($I2127="",$T2163=FALSE),"",INDEX(K_Summary!M:M,MATCH($Q2185,K_Summary!$P:$P,0)))</f>
        <v/>
      </c>
      <c r="N2185" s="1221" t="str">
        <f>IF(OR($I2127="",$T2163=FALSE),"",INDEX(K_Summary!N:N,MATCH($Q2185,K_Summary!$P:$P,0)))</f>
        <v/>
      </c>
      <c r="O2185" s="15"/>
      <c r="P2185" s="15"/>
      <c r="Q2185" s="165" t="str">
        <f>EUconst_CNTR_100EUA_ElExch&amp;I2127</f>
        <v>EUA100ElExch_</v>
      </c>
      <c r="R2185" s="2"/>
      <c r="S2185" s="2"/>
      <c r="T2185" s="2"/>
      <c r="U2185" s="584"/>
      <c r="V2185" s="2"/>
      <c r="W2185" s="2"/>
      <c r="X2185" s="2"/>
      <c r="Y2185" s="2"/>
      <c r="Z2185" s="228"/>
      <c r="AA2185" s="2"/>
      <c r="AB2185" s="2"/>
      <c r="AC2185" s="2"/>
      <c r="AD2185" s="2"/>
      <c r="AE2185" s="2"/>
      <c r="AF2185" s="2"/>
      <c r="AG2185" s="2"/>
      <c r="AH2185" s="2"/>
      <c r="AI2185" s="2"/>
      <c r="AJ2185" s="2"/>
      <c r="AK2185" s="2"/>
      <c r="AL2185" s="343"/>
    </row>
    <row r="2186" spans="1:38" ht="5.15" customHeight="1" thickBot="1" x14ac:dyDescent="0.3">
      <c r="A2186" s="343"/>
      <c r="B2186" s="178"/>
      <c r="C2186" s="178"/>
      <c r="D2186" s="1246"/>
      <c r="E2186" s="1244"/>
      <c r="F2186" s="1244"/>
      <c r="G2186" s="1244"/>
      <c r="H2186" s="1244"/>
      <c r="I2186" s="1244"/>
      <c r="J2186" s="1244"/>
      <c r="K2186" s="1244"/>
      <c r="L2186" s="1244"/>
      <c r="M2186" s="1244"/>
      <c r="N2186" s="1248"/>
      <c r="O2186" s="15"/>
      <c r="P2186" s="15"/>
      <c r="Q2186" s="343"/>
      <c r="R2186" s="2"/>
      <c r="S2186" s="2"/>
      <c r="T2186" s="2"/>
      <c r="U2186" s="1086"/>
      <c r="V2186" s="343"/>
      <c r="W2186" s="2"/>
      <c r="X2186" s="2"/>
      <c r="Y2186" s="2"/>
      <c r="Z2186" s="228"/>
      <c r="AA2186" s="2"/>
      <c r="AB2186" s="2"/>
      <c r="AC2186" s="2"/>
      <c r="AD2186" s="2"/>
      <c r="AE2186" s="2"/>
      <c r="AF2186" s="2"/>
      <c r="AG2186" s="2"/>
      <c r="AH2186" s="2"/>
      <c r="AI2186" s="2"/>
      <c r="AJ2186" s="2"/>
      <c r="AK2186" s="2"/>
      <c r="AL2186" s="343"/>
    </row>
    <row r="2187" spans="1:38" ht="12.75" customHeight="1" thickBot="1" x14ac:dyDescent="0.3">
      <c r="A2187" s="2"/>
      <c r="B2187" s="178"/>
      <c r="C2187" s="178"/>
      <c r="D2187" s="1246" t="s">
        <v>23</v>
      </c>
      <c r="E2187" s="1231" t="str">
        <f>Translations!$B$1477</f>
        <v>Faktisk justering (om alla tröskelvärden överskrids)</v>
      </c>
      <c r="F2187" s="1231"/>
      <c r="G2187" s="1231"/>
      <c r="H2187" s="1233"/>
      <c r="I2187" s="1237"/>
      <c r="J2187" s="1099" t="str">
        <f>IF(J2185="","",IF(OR(J2185,V2179&lt;1),J2181,I2187))</f>
        <v/>
      </c>
      <c r="K2187" s="1100" t="str">
        <f>IF(K2185="","",IF(OR(K2185,W2179&lt;1),K2181,J2187))</f>
        <v/>
      </c>
      <c r="L2187" s="1100" t="str">
        <f>IF(L2185="","",IF(OR(L2185,X2179&lt;1),L2181,K2187))</f>
        <v/>
      </c>
      <c r="M2187" s="1100" t="str">
        <f>IF(M2185="","",IF(OR(M2185,Y2179&lt;1),M2181,L2187))</f>
        <v/>
      </c>
      <c r="N2187" s="1101" t="str">
        <f>IF(N2185="","",IF(OR(N2185,Z2179&lt;1),N2181,M2187))</f>
        <v/>
      </c>
      <c r="O2187" s="15"/>
      <c r="P2187" s="15"/>
      <c r="Q2187" s="343"/>
      <c r="R2187" s="2"/>
      <c r="S2187" s="2"/>
      <c r="T2187" s="2"/>
      <c r="U2187" s="1086" t="s">
        <v>1858</v>
      </c>
      <c r="V2187" s="1068">
        <f>J2184</f>
        <v>2021</v>
      </c>
      <c r="W2187" s="1068">
        <f>K2184</f>
        <v>2022</v>
      </c>
      <c r="X2187" s="1068">
        <f>L2184</f>
        <v>2023</v>
      </c>
      <c r="Y2187" s="1068">
        <f>M2184</f>
        <v>2024</v>
      </c>
      <c r="Z2187" s="1087">
        <f>N2184</f>
        <v>2025</v>
      </c>
      <c r="AA2187" s="2"/>
      <c r="AB2187" s="2"/>
      <c r="AC2187" s="2"/>
      <c r="AD2187" s="2"/>
      <c r="AE2187" s="2"/>
      <c r="AF2187" s="2"/>
      <c r="AG2187" s="2"/>
      <c r="AH2187" s="2"/>
      <c r="AI2187" s="2"/>
      <c r="AJ2187" s="2"/>
      <c r="AK2187" s="2"/>
      <c r="AL2187" s="343"/>
    </row>
    <row r="2188" spans="1:38" ht="12.75" customHeight="1" thickBot="1" x14ac:dyDescent="0.3">
      <c r="A2188" s="343"/>
      <c r="B2188" s="178"/>
      <c r="C2188" s="178"/>
      <c r="D2188" s="1246" t="s">
        <v>859</v>
      </c>
      <c r="E2188" s="1231" t="str">
        <f>Translations!$B$1478</f>
        <v>Faktiskt värde</v>
      </c>
      <c r="F2188" s="1231"/>
      <c r="G2188" s="1231"/>
      <c r="H2188" s="1232" t="str">
        <f>H2179</f>
        <v>-</v>
      </c>
      <c r="I2188" s="1011" t="str">
        <f>I2182</f>
        <v/>
      </c>
      <c r="J2188" s="1069" t="str">
        <f>IF(OR($I2127="",$T2163=FALSE),"",IF(OR($I2188=0,$I2188=EUconst_NA,J2187="",J2184&lt;=$V2127),J2182,$I2188*(1+SUM(J2187))))</f>
        <v/>
      </c>
      <c r="K2188" s="1070" t="str">
        <f>IF(OR($I2127="",$T2163=FALSE),"",IF(OR($I2188=0,$I2188=EUconst_NA,K2187="",K2184&lt;=$V2127),K2182,$I2188*(1+SUM(K2187))))</f>
        <v/>
      </c>
      <c r="L2188" s="1070" t="str">
        <f>IF(OR($I2127="",$T2163=FALSE),"",IF(OR($I2188=0,$I2188=EUconst_NA,L2187="",L2184&lt;=$V2127),L2182,$I2188*(1+SUM(L2187))))</f>
        <v/>
      </c>
      <c r="M2188" s="1070" t="str">
        <f>IF(OR($I2127="",$T2163=FALSE),"",IF(OR($I2188=0,$I2188=EUconst_NA,M2187="",M2184&lt;=$V2127),M2182,$I2188*(1+SUM(M2187))))</f>
        <v/>
      </c>
      <c r="N2188" s="1071" t="str">
        <f>IF(OR($I2127="",$T2163=FALSE),"",IF(OR($I2188=0,$I2188=EUconst_NA,N2187="",N2184&lt;=$V2127),N2182,$I2188*(1+SUM(N2187))))</f>
        <v/>
      </c>
      <c r="O2188" s="15"/>
      <c r="P2188" s="15"/>
      <c r="Q2188" s="165" t="str">
        <f>EUconst_CNTR_HALfinal&amp;EUconst_CNTR_ELEXCH &amp; I2127</f>
        <v>HALfinal_ELEXCH_</v>
      </c>
      <c r="R2188" s="2"/>
      <c r="S2188" s="2"/>
      <c r="T2188" s="2"/>
      <c r="U2188" s="1765" t="b">
        <v>0</v>
      </c>
      <c r="V2188" s="1757" t="str">
        <f>IF(V2135,IF(J2185=TRUE,V2180,U2188),"")</f>
        <v/>
      </c>
      <c r="W2188" s="1757" t="str">
        <f>IF(W2135,IF(K2185=TRUE,W2180,V2188),"")</f>
        <v/>
      </c>
      <c r="X2188" s="1757" t="str">
        <f>IF(X2135,IF(L2185=TRUE,X2180,W2188),"")</f>
        <v/>
      </c>
      <c r="Y2188" s="1757" t="str">
        <f>IF(Y2135,IF(M2185=TRUE,Y2180,X2188),"")</f>
        <v/>
      </c>
      <c r="Z2188" s="1758" t="str">
        <f>IF(Z2135,IF(N2185=TRUE,Z2180,Y2188),"")</f>
        <v/>
      </c>
      <c r="AA2188" s="2"/>
      <c r="AB2188" s="2"/>
      <c r="AC2188" s="2"/>
      <c r="AD2188" s="2"/>
      <c r="AE2188" s="2"/>
      <c r="AF2188" s="2"/>
      <c r="AG2188" s="2"/>
      <c r="AH2188" s="2"/>
      <c r="AI2188" s="2"/>
      <c r="AJ2188" s="553" t="s">
        <v>2242</v>
      </c>
      <c r="AK2188" s="108" t="str">
        <f>IF(OR(ISERROR(J2188),ISERROR(K2188),ISERROR(L2188),ISERROR(M2188),ISERROR(N2188)),EUconst_Error &amp; "BM" &amp; Q2127,"")</f>
        <v/>
      </c>
      <c r="AL2188" s="343"/>
    </row>
    <row r="2189" spans="1:38" ht="5.15" customHeight="1" thickBot="1" x14ac:dyDescent="0.3">
      <c r="A2189" s="2"/>
      <c r="B2189" s="178"/>
      <c r="C2189" s="178"/>
      <c r="D2189" s="1269"/>
      <c r="E2189" s="1270"/>
      <c r="F2189" s="1270"/>
      <c r="G2189" s="1270"/>
      <c r="H2189" s="1270"/>
      <c r="I2189" s="1270"/>
      <c r="J2189" s="1270"/>
      <c r="K2189" s="1270"/>
      <c r="L2189" s="1270"/>
      <c r="M2189" s="1272"/>
      <c r="N2189" s="1273"/>
      <c r="O2189" s="15"/>
      <c r="P2189" s="15"/>
      <c r="Q2189" s="343"/>
      <c r="R2189" s="2"/>
      <c r="S2189" s="2"/>
      <c r="T2189" s="2"/>
      <c r="U2189" s="2"/>
      <c r="V2189" s="2"/>
      <c r="W2189" s="2"/>
      <c r="X2189" s="2"/>
      <c r="Y2189" s="2"/>
      <c r="Z2189" s="2"/>
      <c r="AA2189" s="2"/>
      <c r="AB2189" s="2"/>
      <c r="AC2189" s="2"/>
      <c r="AD2189" s="2"/>
      <c r="AE2189" s="2"/>
      <c r="AF2189" s="2"/>
      <c r="AG2189" s="2"/>
      <c r="AH2189" s="2"/>
      <c r="AI2189" s="2"/>
      <c r="AJ2189" s="2"/>
      <c r="AK2189" s="2"/>
      <c r="AL2189" s="2"/>
    </row>
    <row r="2190" spans="1:38" ht="5.15" customHeight="1" x14ac:dyDescent="0.25">
      <c r="A2190" s="2"/>
      <c r="B2190" s="178"/>
      <c r="C2190" s="178"/>
      <c r="D2190" s="178"/>
      <c r="E2190" s="178"/>
      <c r="F2190" s="178"/>
      <c r="G2190" s="178"/>
      <c r="H2190" s="178"/>
      <c r="I2190" s="178"/>
      <c r="J2190" s="178"/>
      <c r="K2190" s="178"/>
      <c r="L2190" s="178"/>
      <c r="M2190" s="15"/>
      <c r="N2190" s="15"/>
      <c r="O2190" s="15"/>
      <c r="P2190" s="15"/>
      <c r="Q2190" s="343"/>
      <c r="R2190" s="2"/>
      <c r="S2190" s="2"/>
      <c r="T2190" s="2"/>
      <c r="U2190" s="2"/>
      <c r="V2190" s="2"/>
      <c r="W2190" s="2"/>
      <c r="X2190" s="2"/>
      <c r="Y2190" s="2"/>
      <c r="Z2190" s="2"/>
      <c r="AA2190" s="2"/>
      <c r="AB2190" s="2"/>
      <c r="AC2190" s="2"/>
      <c r="AD2190" s="2"/>
      <c r="AE2190" s="2"/>
      <c r="AF2190" s="2"/>
      <c r="AG2190" s="2"/>
      <c r="AH2190" s="2"/>
      <c r="AI2190" s="2"/>
      <c r="AJ2190" s="2"/>
      <c r="AK2190" s="2"/>
      <c r="AL2190" s="2"/>
    </row>
    <row r="2191" spans="1:38" ht="12.75" customHeight="1" x14ac:dyDescent="0.25">
      <c r="A2191" s="2"/>
      <c r="B2191" s="178"/>
      <c r="C2191" s="178"/>
      <c r="D2191" s="13" t="s">
        <v>960</v>
      </c>
      <c r="E2191" s="1943" t="str">
        <f>Translations!$B$533</f>
        <v>Värme som importeras från anläggningar eller enheter utanför ETS:</v>
      </c>
      <c r="F2191" s="1943"/>
      <c r="G2191" s="1943"/>
      <c r="H2191" s="1943"/>
      <c r="I2191" s="2067"/>
      <c r="J2191" s="2652" t="str">
        <f>IF(I2127="","",HYPERLINK(R2191,EUconst_MsgGoOnIfNotRelevant))</f>
        <v/>
      </c>
      <c r="K2191" s="2653"/>
      <c r="L2191" s="2653"/>
      <c r="M2191" s="2653"/>
      <c r="N2191" s="2654"/>
      <c r="O2191" s="15"/>
      <c r="P2191" s="15"/>
      <c r="Q2191" s="2" t="s">
        <v>484</v>
      </c>
      <c r="R2191" s="294" t="str">
        <f>"#"&amp;ADDRESS(ROW(D2216),COLUMN(D2216))</f>
        <v>#$D$2216</v>
      </c>
      <c r="S2191" s="2"/>
      <c r="T2191" s="2"/>
      <c r="U2191" s="2"/>
      <c r="V2191" s="2"/>
      <c r="W2191" s="2"/>
      <c r="X2191" s="2"/>
      <c r="Y2191" s="2"/>
      <c r="Z2191" s="2"/>
      <c r="AA2191" s="2"/>
      <c r="AB2191" s="2"/>
      <c r="AC2191" s="2"/>
      <c r="AD2191" s="2"/>
      <c r="AE2191" s="2"/>
      <c r="AF2191" s="2"/>
      <c r="AG2191" s="2"/>
      <c r="AH2191" s="2"/>
      <c r="AI2191" s="2"/>
      <c r="AJ2191" s="2"/>
      <c r="AK2191" s="2"/>
      <c r="AL2191" s="2"/>
    </row>
    <row r="2192" spans="1:38" ht="12.75" customHeight="1" x14ac:dyDescent="0.25">
      <c r="A2192" s="2"/>
      <c r="B2192" s="178"/>
      <c r="C2192" s="178"/>
      <c r="D2192" s="15"/>
      <c r="E2192" s="2061" t="str">
        <f>Translations!$B$534</f>
        <v>Enligt artikel 21 i FAR måste en utsläppsmängd dras av från det preliminära årsantalet utsläppsrätter från delanläggningar med produktriktmärke.</v>
      </c>
      <c r="F2192" s="1963"/>
      <c r="G2192" s="1963"/>
      <c r="H2192" s="1963"/>
      <c r="I2192" s="1963"/>
      <c r="J2192" s="1963"/>
      <c r="K2192" s="1963"/>
      <c r="L2192" s="1963"/>
      <c r="M2192" s="1963"/>
      <c r="N2192" s="1963"/>
      <c r="O2192" s="15"/>
      <c r="P2192" s="15"/>
      <c r="Q2192" s="343"/>
      <c r="R2192" s="2"/>
      <c r="S2192" s="2"/>
      <c r="T2192" s="2"/>
      <c r="U2192" s="343"/>
      <c r="V2192" s="343"/>
      <c r="W2192" s="2"/>
      <c r="X2192" s="2"/>
      <c r="Y2192" s="2"/>
      <c r="Z2192" s="2"/>
      <c r="AA2192" s="2"/>
      <c r="AB2192" s="2"/>
      <c r="AC2192" s="2"/>
      <c r="AD2192" s="2"/>
      <c r="AE2192" s="2"/>
      <c r="AF2192" s="2"/>
      <c r="AG2192" s="2"/>
      <c r="AH2192" s="2"/>
      <c r="AI2192" s="2"/>
      <c r="AJ2192" s="2"/>
      <c r="AK2192" s="2"/>
      <c r="AL2192" s="2"/>
    </row>
    <row r="2193" spans="1:38" ht="12.75" customHeight="1" x14ac:dyDescent="0.25">
      <c r="A2193" s="2"/>
      <c r="B2193" s="178"/>
      <c r="C2193" s="178"/>
      <c r="D2193" s="15"/>
      <c r="E2193" s="2061" t="str">
        <f>Translations!$B$535</f>
        <v>Detta är mängden mätbar värme som importeras från anläggningar utanför ETS (inklusive eventuell värme från delanläggningar för salpetersyra) eller enheter multiplicerat med värmeriktmärket.</v>
      </c>
      <c r="F2193" s="1963"/>
      <c r="G2193" s="1963"/>
      <c r="H2193" s="1963"/>
      <c r="I2193" s="1963"/>
      <c r="J2193" s="1963"/>
      <c r="K2193" s="1963"/>
      <c r="L2193" s="1963"/>
      <c r="M2193" s="1963"/>
      <c r="N2193" s="1963"/>
      <c r="O2193" s="15"/>
      <c r="P2193" s="15"/>
      <c r="Q2193" s="343"/>
      <c r="R2193" s="2"/>
      <c r="S2193" s="2"/>
      <c r="T2193" s="2"/>
      <c r="U2193" s="343"/>
      <c r="V2193" s="343"/>
      <c r="W2193" s="2"/>
      <c r="X2193" s="2"/>
      <c r="Y2193" s="2"/>
      <c r="Z2193" s="2"/>
      <c r="AA2193" s="2"/>
      <c r="AB2193" s="2"/>
      <c r="AC2193" s="2"/>
      <c r="AD2193" s="2"/>
      <c r="AE2193" s="2"/>
      <c r="AF2193" s="2"/>
      <c r="AG2193" s="2"/>
      <c r="AH2193" s="2"/>
      <c r="AI2193" s="2"/>
      <c r="AJ2193" s="2"/>
      <c r="AK2193" s="2"/>
      <c r="AL2193" s="2"/>
    </row>
    <row r="2194" spans="1:38" ht="12.75" customHeight="1" x14ac:dyDescent="0.25">
      <c r="A2194" s="2"/>
      <c r="B2194" s="178"/>
      <c r="C2194" s="178"/>
      <c r="D2194" s="15"/>
      <c r="E2194" s="2061" t="str">
        <f>Translations!$B$536</f>
        <v>Var god ange relevanta värden här. Notera att värdena måste överensstämma med delsummorna för import från anläggningar och enheter utanför ETS enligt punkt E.II.c i bladet ”E_Energy flows”.</v>
      </c>
      <c r="F2194" s="1963"/>
      <c r="G2194" s="1963"/>
      <c r="H2194" s="1963"/>
      <c r="I2194" s="1963"/>
      <c r="J2194" s="1963"/>
      <c r="K2194" s="1963"/>
      <c r="L2194" s="1963"/>
      <c r="M2194" s="1963"/>
      <c r="N2194" s="1963"/>
      <c r="O2194" s="15"/>
      <c r="P2194" s="15"/>
      <c r="Q2194" s="343"/>
      <c r="R2194" s="2"/>
      <c r="S2194" s="2"/>
      <c r="T2194" s="2"/>
      <c r="U2194" s="343"/>
      <c r="V2194" s="343"/>
      <c r="W2194" s="2"/>
      <c r="X2194" s="2"/>
      <c r="Y2194" s="2"/>
      <c r="Z2194" s="2"/>
      <c r="AA2194" s="2"/>
      <c r="AB2194" s="2"/>
      <c r="AC2194" s="2"/>
      <c r="AD2194" s="2"/>
      <c r="AE2194" s="2"/>
      <c r="AF2194" s="2"/>
      <c r="AG2194" s="2"/>
      <c r="AH2194" s="2"/>
      <c r="AI2194" s="2"/>
      <c r="AJ2194" s="2"/>
      <c r="AK2194" s="2"/>
      <c r="AL2194" s="2"/>
    </row>
    <row r="2195" spans="1:38" ht="12.75" customHeight="1" x14ac:dyDescent="0.25">
      <c r="A2195" s="2"/>
      <c r="B2195" s="178"/>
      <c r="C2195" s="178"/>
      <c r="D2195" s="15"/>
      <c r="E2195" s="2061" t="str">
        <f>Translations!$B$537</f>
        <v>Uppgifterna måste också överensstämma med den totala mätbara nettovärme som importeras, vilken anges i punkt k.i nedan.</v>
      </c>
      <c r="F2195" s="1963"/>
      <c r="G2195" s="1963"/>
      <c r="H2195" s="1963"/>
      <c r="I2195" s="1963"/>
      <c r="J2195" s="1963"/>
      <c r="K2195" s="1963"/>
      <c r="L2195" s="1963"/>
      <c r="M2195" s="1963"/>
      <c r="N2195" s="1963"/>
      <c r="O2195" s="15"/>
      <c r="P2195" s="15"/>
      <c r="Q2195" s="343"/>
      <c r="R2195" s="2"/>
      <c r="S2195" s="2"/>
      <c r="T2195" s="2"/>
      <c r="U2195" s="343"/>
      <c r="V2195" s="343"/>
      <c r="W2195" s="343"/>
      <c r="X2195" s="343"/>
      <c r="Y2195" s="343"/>
      <c r="Z2195" s="343"/>
      <c r="AA2195" s="2"/>
      <c r="AB2195" s="2"/>
      <c r="AC2195" s="2"/>
      <c r="AD2195" s="2"/>
      <c r="AE2195" s="2"/>
      <c r="AF2195" s="2"/>
      <c r="AG2195" s="2"/>
      <c r="AH2195" s="2"/>
      <c r="AI2195" s="2"/>
      <c r="AJ2195" s="2"/>
      <c r="AK2195" s="2"/>
      <c r="AL2195" s="2"/>
    </row>
    <row r="2196" spans="1:38" ht="13.5" thickBot="1" x14ac:dyDescent="0.3">
      <c r="A2196" s="2"/>
      <c r="B2196" s="19"/>
      <c r="C2196" s="19"/>
      <c r="D2196" s="13"/>
      <c r="E2196" s="914" t="str">
        <f>Translations!$B$527</f>
        <v>Parameter</v>
      </c>
      <c r="F2196" s="913"/>
      <c r="G2196" s="30" t="str">
        <f>EUconst_Unit</f>
        <v>Enhet</v>
      </c>
      <c r="H2196" s="320">
        <f>H$3042</f>
        <v>2019</v>
      </c>
      <c r="I2196" s="342">
        <f>I$3042</f>
        <v>2020</v>
      </c>
      <c r="J2196" s="987">
        <f>J$112</f>
        <v>2021</v>
      </c>
      <c r="K2196" s="320">
        <f>K$112</f>
        <v>2022</v>
      </c>
      <c r="L2196" s="320">
        <f>L$112</f>
        <v>2023</v>
      </c>
      <c r="M2196" s="320">
        <f>M$112</f>
        <v>2024</v>
      </c>
      <c r="N2196" s="320">
        <f>N$112</f>
        <v>2025</v>
      </c>
      <c r="O2196" s="15"/>
      <c r="P2196" s="15"/>
      <c r="Q2196" s="2"/>
      <c r="R2196" s="40"/>
      <c r="S2196" s="553" t="s">
        <v>2072</v>
      </c>
      <c r="T2196" s="1044">
        <f t="shared" ref="T2196:Z2196" si="984">H2196</f>
        <v>2019</v>
      </c>
      <c r="U2196" s="1044">
        <f t="shared" si="984"/>
        <v>2020</v>
      </c>
      <c r="V2196" s="1044">
        <f t="shared" si="984"/>
        <v>2021</v>
      </c>
      <c r="W2196" s="1044">
        <f t="shared" si="984"/>
        <v>2022</v>
      </c>
      <c r="X2196" s="1044">
        <f t="shared" si="984"/>
        <v>2023</v>
      </c>
      <c r="Y2196" s="1044">
        <f t="shared" si="984"/>
        <v>2024</v>
      </c>
      <c r="Z2196" s="1044">
        <f t="shared" si="984"/>
        <v>2025</v>
      </c>
      <c r="AA2196" s="40"/>
      <c r="AB2196" s="2"/>
      <c r="AC2196" s="1044">
        <f t="shared" ref="AC2196:AI2196" si="985">H$20</f>
        <v>2019</v>
      </c>
      <c r="AD2196" s="1044">
        <f t="shared" si="985"/>
        <v>2020</v>
      </c>
      <c r="AE2196" s="1044">
        <f t="shared" si="985"/>
        <v>2021</v>
      </c>
      <c r="AF2196" s="1044">
        <f t="shared" si="985"/>
        <v>2022</v>
      </c>
      <c r="AG2196" s="1044">
        <f t="shared" si="985"/>
        <v>2023</v>
      </c>
      <c r="AH2196" s="1044">
        <f t="shared" si="985"/>
        <v>2024</v>
      </c>
      <c r="AI2196" s="1044">
        <f t="shared" si="985"/>
        <v>2025</v>
      </c>
      <c r="AJ2196" s="2"/>
      <c r="AK2196" s="2"/>
      <c r="AL2196" s="2"/>
    </row>
    <row r="2197" spans="1:38" ht="13" customHeight="1" thickBot="1" x14ac:dyDescent="0.3">
      <c r="A2197" s="2"/>
      <c r="B2197" s="19"/>
      <c r="C2197" s="19"/>
      <c r="D2197" s="175" t="s">
        <v>8</v>
      </c>
      <c r="E2197" s="915" t="str">
        <f>Translations!$B$538</f>
        <v>Mätbar värme som importeras från anläggningar utanför ETS:</v>
      </c>
      <c r="F2197" s="915"/>
      <c r="G2197" s="43" t="str">
        <f>EUconst_TJpa</f>
        <v>TJ / år</v>
      </c>
      <c r="H2197" s="260"/>
      <c r="I2197" s="670"/>
      <c r="J2197" s="671"/>
      <c r="K2197" s="260"/>
      <c r="L2197" s="260"/>
      <c r="M2197" s="260"/>
      <c r="N2197" s="260"/>
      <c r="O2197" s="15"/>
      <c r="P2197" s="1362"/>
      <c r="Q2197" s="108" t="str">
        <f>EUconst_CNTR_HAL&amp;EUconst_CNTR_nonETSMeasHeat</f>
        <v>HAL_mätbar värme utanför ETS</v>
      </c>
      <c r="R2197" s="2"/>
      <c r="S2197" s="553"/>
      <c r="T2197" s="1551" t="str">
        <f t="shared" ref="T2197:Z2197" si="986">IF(H2197="","",SUM(H2197)*EUconst_HeatBMvalue)</f>
        <v/>
      </c>
      <c r="U2197" s="1551" t="str">
        <f t="shared" si="986"/>
        <v/>
      </c>
      <c r="V2197" s="1551" t="str">
        <f t="shared" si="986"/>
        <v/>
      </c>
      <c r="W2197" s="1551" t="str">
        <f t="shared" si="986"/>
        <v/>
      </c>
      <c r="X2197" s="1551" t="str">
        <f t="shared" si="986"/>
        <v/>
      </c>
      <c r="Y2197" s="1551" t="str">
        <f t="shared" si="986"/>
        <v/>
      </c>
      <c r="Z2197" s="1551" t="str">
        <f t="shared" si="986"/>
        <v/>
      </c>
      <c r="AA2197" s="2"/>
      <c r="AB2197" s="672" t="s">
        <v>782</v>
      </c>
      <c r="AC2197" s="1755" t="b">
        <f t="shared" ref="AC2197:AI2197" si="987">IF(CNTR_ExistSubInstEntries,OR($I2127="",H2134&gt;=CNTR_ReportingYear,AC2196&lt;$V2127-1),FALSE)</f>
        <v>0</v>
      </c>
      <c r="AD2197" s="1042" t="b">
        <f t="shared" si="987"/>
        <v>0</v>
      </c>
      <c r="AE2197" s="1042" t="b">
        <f t="shared" si="987"/>
        <v>0</v>
      </c>
      <c r="AF2197" s="1042" t="b">
        <f t="shared" si="987"/>
        <v>0</v>
      </c>
      <c r="AG2197" s="1042" t="b">
        <f t="shared" si="987"/>
        <v>0</v>
      </c>
      <c r="AH2197" s="1042" t="b">
        <f t="shared" si="987"/>
        <v>0</v>
      </c>
      <c r="AI2197" s="1043" t="b">
        <f t="shared" si="987"/>
        <v>0</v>
      </c>
      <c r="AJ2197" s="553" t="s">
        <v>2248</v>
      </c>
      <c r="AK2197" s="663" t="str">
        <f>IF(AND(CNTR_ExistSubInstEntries,COUNTIFS(AC2197:AI2197,FALSE,H2197:N2197,"")&gt;0),EUconst_Error&amp;"BM"&amp;$Q2127,"")</f>
        <v/>
      </c>
      <c r="AL2197" s="2"/>
    </row>
    <row r="2198" spans="1:38" ht="25.5" customHeight="1" x14ac:dyDescent="0.25">
      <c r="A2198" s="2"/>
      <c r="B2198" s="19"/>
      <c r="C2198" s="19"/>
      <c r="D2198" s="175" t="s">
        <v>9</v>
      </c>
      <c r="E2198" s="916" t="str">
        <f>Translations!$B$539</f>
        <v>Konsekvenskontroll mot blad ”E_Energy flows”:</v>
      </c>
      <c r="F2198" s="916"/>
      <c r="G2198" s="549" t="s">
        <v>1113</v>
      </c>
      <c r="H2198" s="247" t="str">
        <f>IF(AND(ISNUMBER(H2197),ISNUMBER(E_EnergyFlows!H$114)), H2197/E_EnergyFlows!H$114*100,"")</f>
        <v/>
      </c>
      <c r="I2198" s="1015" t="str">
        <f>IF(AND(ISNUMBER(I2197),ISNUMBER(E_EnergyFlows!I$114)), I2197/E_EnergyFlows!I$114*100,"")</f>
        <v/>
      </c>
      <c r="J2198" s="1017" t="str">
        <f>IF(AND(ISNUMBER(J2197),ISNUMBER(E_EnergyFlows!J$114)), J2197/E_EnergyFlows!J$114*100,"")</f>
        <v/>
      </c>
      <c r="K2198" s="247" t="str">
        <f>IF(AND(ISNUMBER(K2197),ISNUMBER(E_EnergyFlows!K$114)), K2197/E_EnergyFlows!K$114*100,"")</f>
        <v/>
      </c>
      <c r="L2198" s="247" t="str">
        <f>IF(AND(ISNUMBER(L2197),ISNUMBER(E_EnergyFlows!L$114)), L2197/E_EnergyFlows!L$114*100,"")</f>
        <v/>
      </c>
      <c r="M2198" s="247" t="str">
        <f>IF(AND(ISNUMBER(M2197),ISNUMBER(E_EnergyFlows!M$114)), M2197/E_EnergyFlows!M$114*100,"")</f>
        <v/>
      </c>
      <c r="N2198" s="247" t="str">
        <f>IF(AND(ISNUMBER(N2197),ISNUMBER(E_EnergyFlows!N$114)), N2197/E_EnergyFlows!N$114*100,"")</f>
        <v/>
      </c>
      <c r="O2198" s="15"/>
      <c r="P2198" s="15"/>
      <c r="Q2198" s="152" t="str">
        <f>EUconst_CNTR_HEAT &amp; I2127</f>
        <v>HEAT_</v>
      </c>
      <c r="R2198" s="343"/>
      <c r="S2198" s="2"/>
      <c r="T2198" s="2"/>
      <c r="U2198" s="343"/>
      <c r="V2198" s="343"/>
      <c r="W2198" s="2"/>
      <c r="X2198" s="2"/>
      <c r="Y2198" s="2"/>
      <c r="Z2198" s="2"/>
      <c r="AA2198" s="2"/>
      <c r="AB2198" s="2"/>
      <c r="AC2198" s="2"/>
      <c r="AD2198" s="2"/>
      <c r="AE2198" s="2"/>
      <c r="AF2198" s="2"/>
      <c r="AG2198" s="2"/>
      <c r="AH2198" s="2"/>
      <c r="AI2198" s="2"/>
      <c r="AJ2198" s="2"/>
      <c r="AK2198" s="2"/>
      <c r="AL2198" s="2"/>
    </row>
    <row r="2199" spans="1:38" ht="12.65" customHeight="1" x14ac:dyDescent="0.25">
      <c r="A2199" s="2"/>
      <c r="B2199" s="19"/>
      <c r="C2199" s="19"/>
      <c r="D2199" s="175" t="s">
        <v>10</v>
      </c>
      <c r="E2199" s="1783" t="str">
        <f>Translations!$B$540</f>
        <v>Konsekvenskontroll mot punkt k.i:</v>
      </c>
      <c r="F2199" s="1035"/>
      <c r="G2199" s="919" t="s">
        <v>1113</v>
      </c>
      <c r="H2199" s="246" t="str">
        <f t="shared" ref="H2199:N2199" si="988">IF(AND(H2320&gt;0,ISNUMBER(H2197)), H2197/H2320*100,"")</f>
        <v/>
      </c>
      <c r="I2199" s="1016" t="str">
        <f t="shared" si="988"/>
        <v/>
      </c>
      <c r="J2199" s="1018" t="str">
        <f t="shared" si="988"/>
        <v/>
      </c>
      <c r="K2199" s="246" t="str">
        <f t="shared" si="988"/>
        <v/>
      </c>
      <c r="L2199" s="246" t="str">
        <f t="shared" si="988"/>
        <v/>
      </c>
      <c r="M2199" s="246" t="str">
        <f t="shared" si="988"/>
        <v/>
      </c>
      <c r="N2199" s="246" t="str">
        <f t="shared" si="988"/>
        <v/>
      </c>
      <c r="O2199" s="15"/>
      <c r="P2199" s="15"/>
      <c r="Q2199" s="2"/>
      <c r="R2199" s="2"/>
      <c r="S2199" s="2"/>
      <c r="T2199" s="2"/>
      <c r="U2199" s="343"/>
      <c r="V2199" s="343"/>
      <c r="W2199" s="2"/>
      <c r="X2199" s="2"/>
      <c r="Y2199" s="2"/>
      <c r="Z2199" s="2"/>
      <c r="AA2199" s="2"/>
      <c r="AB2199" s="2"/>
      <c r="AC2199" s="2"/>
      <c r="AD2199" s="2"/>
      <c r="AE2199" s="2"/>
      <c r="AF2199" s="2"/>
      <c r="AG2199" s="2"/>
      <c r="AH2199" s="2"/>
      <c r="AI2199" s="2"/>
      <c r="AJ2199" s="2"/>
      <c r="AK2199" s="2"/>
      <c r="AL2199" s="2"/>
    </row>
    <row r="2200" spans="1:38" ht="5.15" customHeight="1" x14ac:dyDescent="0.25">
      <c r="A2200" s="2"/>
      <c r="B2200" s="19"/>
      <c r="C2200" s="19"/>
      <c r="D2200" s="19"/>
      <c r="E2200" s="19"/>
      <c r="F2200" s="19"/>
      <c r="G2200" s="19"/>
      <c r="H2200" s="19"/>
      <c r="I2200" s="99"/>
      <c r="J2200" s="19"/>
      <c r="K2200" s="19"/>
      <c r="L2200" s="19"/>
      <c r="M2200" s="19"/>
      <c r="N2200" s="19"/>
      <c r="O2200" s="15"/>
      <c r="P2200" s="15"/>
      <c r="Q2200" s="130"/>
      <c r="R2200" s="2"/>
      <c r="S2200" s="2"/>
      <c r="T2200" s="2"/>
      <c r="U2200" s="343"/>
      <c r="V2200" s="343"/>
      <c r="W2200" s="2"/>
      <c r="X2200" s="2"/>
      <c r="Y2200" s="2"/>
      <c r="Z2200" s="2"/>
      <c r="AA2200" s="2"/>
      <c r="AB2200" s="2"/>
      <c r="AC2200" s="2"/>
      <c r="AD2200" s="2"/>
      <c r="AE2200" s="2"/>
      <c r="AF2200" s="2"/>
      <c r="AG2200" s="2"/>
      <c r="AH2200" s="2"/>
      <c r="AI2200" s="2"/>
      <c r="AJ2200" s="2"/>
      <c r="AK2200" s="2"/>
      <c r="AL2200" s="2"/>
    </row>
    <row r="2201" spans="1:38" ht="25.5" customHeight="1" thickBot="1" x14ac:dyDescent="0.3">
      <c r="A2201" s="2"/>
      <c r="B2201" s="178"/>
      <c r="C2201" s="178"/>
      <c r="D2201" s="15"/>
      <c r="E2201" s="2061" t="str">
        <f>Translations!$B$1479</f>
        <v>Baserat på uppgifterna ovan bestäms ett genomsnittligt årligt värde. Tilldelningen kommer endast att ändras om det relativa tröskelvärdet (15 % jämfört med värdet från de nationella genomförandeåtgärderna) och det absoluta tröskelvärdet (ändring leder till mer än 100 utsläppsrätter) överskrids, enligt artikel 6.4 i verksamhetsändringsförordningen.</v>
      </c>
      <c r="F2201" s="1963"/>
      <c r="G2201" s="1963"/>
      <c r="H2201" s="1963"/>
      <c r="I2201" s="1963"/>
      <c r="J2201" s="1963"/>
      <c r="K2201" s="1963"/>
      <c r="L2201" s="1963"/>
      <c r="M2201" s="1963"/>
      <c r="N2201" s="1963"/>
      <c r="O2201" s="15"/>
      <c r="P2201" s="15"/>
      <c r="Q2201" s="343"/>
      <c r="R2201" s="2"/>
      <c r="S2201" s="343"/>
      <c r="T2201" s="343"/>
      <c r="U2201" s="343"/>
      <c r="V2201" s="2"/>
      <c r="W2201" s="2"/>
      <c r="X2201" s="2"/>
      <c r="Y2201" s="2"/>
      <c r="Z2201" s="2"/>
      <c r="AA2201" s="2"/>
      <c r="AB2201" s="2"/>
      <c r="AC2201" s="2"/>
      <c r="AD2201" s="2"/>
      <c r="AE2201" s="2"/>
      <c r="AF2201" s="2"/>
      <c r="AG2201" s="2"/>
      <c r="AH2201" s="2"/>
      <c r="AI2201" s="2"/>
      <c r="AJ2201" s="2"/>
      <c r="AK2201" s="2"/>
      <c r="AL2201" s="2"/>
    </row>
    <row r="2202" spans="1:38" ht="5.15" customHeight="1" thickBot="1" x14ac:dyDescent="0.3">
      <c r="A2202" s="2"/>
      <c r="B2202" s="178"/>
      <c r="C2202" s="178"/>
      <c r="D2202" s="1238"/>
      <c r="E2202" s="1239"/>
      <c r="F2202" s="1240"/>
      <c r="G2202" s="1240"/>
      <c r="H2202" s="1240"/>
      <c r="I2202" s="1240"/>
      <c r="J2202" s="1240"/>
      <c r="K2202" s="1240"/>
      <c r="L2202" s="1240"/>
      <c r="M2202" s="1240"/>
      <c r="N2202" s="1241"/>
      <c r="O2202" s="15"/>
      <c r="P2202" s="15"/>
      <c r="Q2202" s="343"/>
      <c r="R2202" s="2"/>
      <c r="S2202" s="343"/>
      <c r="T2202" s="343"/>
      <c r="U2202" s="343"/>
      <c r="V2202" s="2"/>
      <c r="W2202" s="2"/>
      <c r="X2202" s="2"/>
      <c r="Y2202" s="2"/>
      <c r="Z2202" s="2"/>
      <c r="AA2202" s="2"/>
      <c r="AB2202" s="2"/>
      <c r="AC2202" s="2"/>
      <c r="AD2202" s="2"/>
      <c r="AE2202" s="2"/>
      <c r="AF2202" s="2"/>
      <c r="AG2202" s="2"/>
      <c r="AH2202" s="2"/>
      <c r="AI2202" s="2"/>
      <c r="AJ2202" s="2"/>
      <c r="AK2202" s="2"/>
      <c r="AL2202" s="2"/>
    </row>
    <row r="2203" spans="1:38" ht="12.75" customHeight="1" x14ac:dyDescent="0.25">
      <c r="A2203" s="2"/>
      <c r="B2203" s="178"/>
      <c r="C2203" s="178"/>
      <c r="D2203" s="1290" t="s">
        <v>2192</v>
      </c>
      <c r="E2203" s="1243" t="str">
        <f>Translations!$B$1483</f>
        <v>Justeringar: Värme från icke-ETS</v>
      </c>
      <c r="F2203" s="1244"/>
      <c r="G2203" s="1244"/>
      <c r="H2203" s="1228" t="str">
        <f>EUconst_Unit</f>
        <v>Enhet</v>
      </c>
      <c r="I2203" s="1229" t="str">
        <f>Translations!$B$1481</f>
        <v>Värde (NIMs)</v>
      </c>
      <c r="J2203" s="1268">
        <f>J$3042</f>
        <v>2021</v>
      </c>
      <c r="K2203" s="1230">
        <f>K$3042</f>
        <v>2022</v>
      </c>
      <c r="L2203" s="1230">
        <f>L$3042</f>
        <v>2023</v>
      </c>
      <c r="M2203" s="1230">
        <f>M$3042</f>
        <v>2024</v>
      </c>
      <c r="N2203" s="1258">
        <f>N$3042</f>
        <v>2025</v>
      </c>
      <c r="O2203" s="15"/>
      <c r="P2203" s="15"/>
      <c r="Q2203" s="343"/>
      <c r="R2203" s="2"/>
      <c r="S2203" s="2"/>
      <c r="T2203" s="2"/>
      <c r="U2203" s="772"/>
      <c r="V2203" s="1077">
        <f>J2203</f>
        <v>2021</v>
      </c>
      <c r="W2203" s="1077">
        <f>K2203</f>
        <v>2022</v>
      </c>
      <c r="X2203" s="1077">
        <f>L2203</f>
        <v>2023</v>
      </c>
      <c r="Y2203" s="1077">
        <f>M2203</f>
        <v>2024</v>
      </c>
      <c r="Z2203" s="1078">
        <f>N2203</f>
        <v>2025</v>
      </c>
      <c r="AA2203" s="2"/>
      <c r="AB2203" s="2"/>
      <c r="AC2203" s="2"/>
      <c r="AD2203" s="2"/>
      <c r="AE2203" s="2"/>
      <c r="AF2203" s="2"/>
      <c r="AG2203" s="2"/>
      <c r="AH2203" s="2"/>
      <c r="AI2203" s="2"/>
      <c r="AJ2203" s="2"/>
      <c r="AK2203" s="2"/>
      <c r="AL2203" s="2"/>
    </row>
    <row r="2204" spans="1:38" ht="12.75" customHeight="1" x14ac:dyDescent="0.25">
      <c r="A2204" s="2"/>
      <c r="B2204" s="178"/>
      <c r="C2204" s="178"/>
      <c r="D2204" s="1246" t="s">
        <v>8</v>
      </c>
      <c r="E2204" s="1231" t="str">
        <f>Translations!$B$1482</f>
        <v>Genomsnittligt årligt värde</v>
      </c>
      <c r="F2204" s="1231"/>
      <c r="G2204" s="1231"/>
      <c r="H2204" s="1232" t="str">
        <f>EUconst_tCO2</f>
        <v>t CO2</v>
      </c>
      <c r="I2204" s="990" t="str">
        <f>INDEX('B+C_SubInstallations'!$J:$J,MATCH(Q2204,'B+C_SubInstallations'!$U:$U,0))</f>
        <v/>
      </c>
      <c r="J2204" s="1215" t="str">
        <f>IF(AND(V2204&gt;=3,CNTR_ReportingYear&gt;J2203-1),AVERAGE(SUM(T2197),SUM(U2197)),"")</f>
        <v/>
      </c>
      <c r="K2204" s="1216" t="str">
        <f>IF(AND(W2204&gt;=3,CNTR_ReportingYear&gt;K2203-1),AVERAGE(SUM(U2197),SUM(V2197)),"")</f>
        <v/>
      </c>
      <c r="L2204" s="1216" t="str">
        <f>IF(AND(X2204&gt;=3,CNTR_ReportingYear&gt;L2203-1),AVERAGE(SUM(V2197),SUM(W2197)),"")</f>
        <v/>
      </c>
      <c r="M2204" s="1216" t="str">
        <f>IF(AND(Y2204&gt;=3,CNTR_ReportingYear&gt;M2203-1),AVERAGE(SUM(W2197),SUM(X2197)),"")</f>
        <v/>
      </c>
      <c r="N2204" s="1227" t="str">
        <f>IF(AND(Z2204&gt;=3,CNTR_ReportingYear&gt;N2203-1),AVERAGE(SUM(X2197),SUM(Y2197)),"")</f>
        <v/>
      </c>
      <c r="O2204" s="15"/>
      <c r="P2204" s="15"/>
      <c r="Q2204" s="1217" t="str">
        <f>EUconst_CNTR_HEATInitial &amp; I2127</f>
        <v>HEATIni_</v>
      </c>
      <c r="R2204" s="2"/>
      <c r="S2204" s="2"/>
      <c r="T2204" s="2"/>
      <c r="U2204" s="1086" t="s">
        <v>1850</v>
      </c>
      <c r="V2204" s="663">
        <f>V2149</f>
        <v>0</v>
      </c>
      <c r="W2204" s="663">
        <f>W2149</f>
        <v>0</v>
      </c>
      <c r="X2204" s="663">
        <f>X2149</f>
        <v>0</v>
      </c>
      <c r="Y2204" s="663">
        <f>Y2149</f>
        <v>0</v>
      </c>
      <c r="Z2204" s="1080">
        <f>Z2149</f>
        <v>0</v>
      </c>
      <c r="AA2204" s="2"/>
      <c r="AB2204" s="2"/>
      <c r="AC2204" s="2"/>
      <c r="AD2204" s="2"/>
      <c r="AE2204" s="2"/>
      <c r="AF2204" s="2"/>
      <c r="AG2204" s="2"/>
      <c r="AH2204" s="2"/>
      <c r="AI2204" s="2"/>
      <c r="AJ2204" s="2"/>
      <c r="AK2204" s="2"/>
      <c r="AL2204" s="2"/>
    </row>
    <row r="2205" spans="1:38" ht="12.75" hidden="1" customHeight="1" x14ac:dyDescent="0.25">
      <c r="A2205" s="343" t="s">
        <v>346</v>
      </c>
      <c r="B2205" s="178"/>
      <c r="C2205" s="178"/>
      <c r="D2205" s="1246"/>
      <c r="E2205" s="1231" t="s">
        <v>1980</v>
      </c>
      <c r="F2205" s="1231"/>
      <c r="G2205" s="1231"/>
      <c r="H2205" s="1233"/>
      <c r="I2205" s="1235"/>
      <c r="J2205" s="1013" t="str">
        <f>IF(J2204="","",IF($I2207=0,IF(J2204=0,0%,100%),J2204/$I2207-1))</f>
        <v/>
      </c>
      <c r="K2205" s="938" t="str">
        <f>IF(K2204="","",IF($I2207=0,IF(K2204=0,0%,100%),K2204/$I2207-1))</f>
        <v/>
      </c>
      <c r="L2205" s="938" t="str">
        <f>IF(L2204="","",IF($I2207=0,IF(L2204=0,0%,100%),L2204/$I2207-1))</f>
        <v/>
      </c>
      <c r="M2205" s="938" t="str">
        <f>IF(M2204="","",IF($I2207=0,IF(M2204=0,0%,100%),M2204/$I2207-1))</f>
        <v/>
      </c>
      <c r="N2205" s="1223" t="str">
        <f>IF(N2204="","",IF($I2207=0,IF(N2204=0,0%,100%),N2204/$I2207-1))</f>
        <v/>
      </c>
      <c r="O2205" s="15"/>
      <c r="P2205" s="15"/>
      <c r="Q2205" s="165" t="str">
        <f>EUconst_CNTR_RelThreshold &amp; Q2207</f>
        <v>RelThresh_HEATprelim_</v>
      </c>
      <c r="R2205" s="2"/>
      <c r="S2205" s="2"/>
      <c r="T2205" s="2"/>
      <c r="U2205" s="1086" t="s">
        <v>1855</v>
      </c>
      <c r="V2205" s="603" t="str">
        <f>IF(J2204="","",ABS(J2205)&gt;15%)</f>
        <v/>
      </c>
      <c r="W2205" s="603" t="str">
        <f>IF(K2204="","",ABS(K2205)&gt;15%)</f>
        <v/>
      </c>
      <c r="X2205" s="603" t="str">
        <f>IF(L2204="","",ABS(L2205)&gt;15%)</f>
        <v/>
      </c>
      <c r="Y2205" s="603" t="str">
        <f>IF(M2204="","",ABS(M2205)&gt;15%)</f>
        <v/>
      </c>
      <c r="Z2205" s="1756" t="str">
        <f>IF(N2204="","",ABS(N2205)&gt;15%)</f>
        <v/>
      </c>
      <c r="AA2205" s="2"/>
      <c r="AB2205" s="2"/>
      <c r="AC2205" s="2"/>
      <c r="AD2205" s="2"/>
      <c r="AE2205" s="2"/>
      <c r="AF2205" s="2"/>
      <c r="AG2205" s="2"/>
      <c r="AH2205" s="2"/>
      <c r="AI2205" s="2"/>
      <c r="AJ2205" s="2"/>
      <c r="AK2205" s="2"/>
      <c r="AL2205" s="2"/>
    </row>
    <row r="2206" spans="1:38" ht="12.75" customHeight="1" x14ac:dyDescent="0.25">
      <c r="A2206" s="343"/>
      <c r="B2206" s="178"/>
      <c r="C2206" s="178"/>
      <c r="D2206" s="1246" t="s">
        <v>9</v>
      </c>
      <c r="E2206" s="1231" t="str">
        <f>Translations!$B$1474</f>
        <v>Preliminär justering (om relativa tröskelvärden överskrids)</v>
      </c>
      <c r="F2206" s="1231"/>
      <c r="G2206" s="1231"/>
      <c r="H2206" s="1233"/>
      <c r="I2206" s="1235"/>
      <c r="J2206" s="992" t="str">
        <f>IF(J2204="","",IF(V2205=FALSE,0%,J2205))</f>
        <v/>
      </c>
      <c r="K2206" s="937" t="str">
        <f>IF(K2204="","",IF(W2205=FALSE,0%,K2205))</f>
        <v/>
      </c>
      <c r="L2206" s="937" t="str">
        <f>IF(L2204="","",IF(X2205=FALSE,0%,L2205))</f>
        <v/>
      </c>
      <c r="M2206" s="937" t="str">
        <f>IF(M2204="","",IF(Y2205=FALSE,0%,M2205))</f>
        <v/>
      </c>
      <c r="N2206" s="1220" t="str">
        <f>IF(N2204="","",IF(Z2205=FALSE,0%,N2205))</f>
        <v/>
      </c>
      <c r="O2206" s="15"/>
      <c r="P2206" s="15"/>
      <c r="Q2206" s="343"/>
      <c r="R2206" s="2"/>
      <c r="S2206" s="2"/>
      <c r="T2206" s="2"/>
      <c r="U2206" s="584"/>
      <c r="V2206" s="2"/>
      <c r="W2206" s="2"/>
      <c r="X2206" s="2"/>
      <c r="Y2206" s="2"/>
      <c r="Z2206" s="228"/>
      <c r="AA2206" s="2"/>
      <c r="AB2206" s="2"/>
      <c r="AC2206" s="2"/>
      <c r="AD2206" s="2"/>
      <c r="AE2206" s="2"/>
      <c r="AF2206" s="2"/>
      <c r="AG2206" s="2"/>
      <c r="AH2206" s="2"/>
      <c r="AI2206" s="2"/>
      <c r="AJ2206" s="2"/>
      <c r="AK2206" s="2"/>
      <c r="AL2206" s="343"/>
    </row>
    <row r="2207" spans="1:38" ht="12.75" hidden="1" customHeight="1" x14ac:dyDescent="0.25">
      <c r="A2207" s="343" t="s">
        <v>346</v>
      </c>
      <c r="B2207" s="178"/>
      <c r="C2207" s="178"/>
      <c r="D2207" s="1246"/>
      <c r="E2207" s="1231" t="s">
        <v>1889</v>
      </c>
      <c r="F2207" s="1231"/>
      <c r="G2207" s="1231"/>
      <c r="H2207" s="1232" t="str">
        <f>H2204</f>
        <v>t CO2</v>
      </c>
      <c r="I2207" s="990" t="str">
        <f>IF($I2127="","",IF(AB2127=FALSE,EUconst_NA,IF(V2127&gt;($J$3042-3),SUM(INDEX(H2197:N2197,MATCH(V2127,H2196:N2196,0))*EUconst_HeatBMvalue),SUM(I2204))))</f>
        <v/>
      </c>
      <c r="J2207" s="993" t="str">
        <f>IF($I2127="","",IF(V2204&lt;2,SUM(V2197),IF(V2204&lt;3,SUM(U2197),IF(V2207="",I2207,V2207))))</f>
        <v/>
      </c>
      <c r="K2207" s="920" t="str">
        <f>IF($I2127="","",IF(W2204&lt;2,SUM(W2197),IF(W2204&lt;3,SUM(V2197),IF(W2207="",J2207,W2207))))</f>
        <v/>
      </c>
      <c r="L2207" s="920" t="str">
        <f>IF($I2127="","",IF(X2204&lt;2,SUM(X2197),IF(X2204&lt;3,SUM(W2197),IF(X2207="",K2207,X2207))))</f>
        <v/>
      </c>
      <c r="M2207" s="920" t="str">
        <f>IF($I2127="","",IF(Y2204&lt;2,SUM(Y2197),IF(Y2204&lt;3,SUM(X2197),IF(Y2207="",L2207,Y2207))))</f>
        <v/>
      </c>
      <c r="N2207" s="1218" t="str">
        <f>IF($I2127="","",IF(Z2204&lt;2,SUM(Z2197),IF(Z2204&lt;3,SUM(Y2197),IF(Z2207="",M2207,Z2207))))</f>
        <v/>
      </c>
      <c r="O2207" s="15"/>
      <c r="P2207" s="15"/>
      <c r="Q2207" s="165" t="str">
        <f>EUconst_CNTR_HEATprelim &amp; I2127</f>
        <v>HEATprelim_</v>
      </c>
      <c r="R2207" s="2"/>
      <c r="S2207" s="2"/>
      <c r="T2207" s="2"/>
      <c r="U2207" s="1086" t="s">
        <v>1898</v>
      </c>
      <c r="V2207" s="1754" t="str">
        <f>IF(J2204="","",IF(CNTR_ReportingYear&lt;J2203,I2206,IF($I2207=0,J2204,$I2207*(1+J2206))))</f>
        <v/>
      </c>
      <c r="W2207" s="1754" t="str">
        <f>IF(K2204="","",IF(CNTR_ReportingYear&lt;K2203,J2206,IF($I2207=0,K2204,$I2207*(1+K2206))))</f>
        <v/>
      </c>
      <c r="X2207" s="1754" t="str">
        <f>IF(L2204="","",IF(CNTR_ReportingYear&lt;L2203,K2206,IF($I2207=0,L2204,$I2207*(1+L2206))))</f>
        <v/>
      </c>
      <c r="Y2207" s="1754" t="str">
        <f>IF(M2204="","",IF(CNTR_ReportingYear&lt;M2203,L2206,IF($I2207=0,M2204,$I2207*(1+M2206))))</f>
        <v/>
      </c>
      <c r="Z2207" s="1759" t="str">
        <f>IF(N2204="","",IF(CNTR_ReportingYear&lt;N2203,M2206,IF($I2207=0,N2204,$I2207*(1+N2206))))</f>
        <v/>
      </c>
      <c r="AA2207" s="2"/>
      <c r="AB2207" s="2"/>
      <c r="AC2207" s="2"/>
      <c r="AD2207" s="2"/>
      <c r="AE2207" s="2"/>
      <c r="AF2207" s="2"/>
      <c r="AG2207" s="2"/>
      <c r="AH2207" s="2"/>
      <c r="AI2207" s="2"/>
      <c r="AJ2207" s="2"/>
      <c r="AK2207" s="2"/>
      <c r="AL2207" s="343"/>
    </row>
    <row r="2208" spans="1:38" ht="5.15" customHeight="1" x14ac:dyDescent="0.25">
      <c r="A2208" s="343"/>
      <c r="B2208" s="178"/>
      <c r="C2208" s="178"/>
      <c r="D2208" s="1246"/>
      <c r="E2208" s="1244"/>
      <c r="F2208" s="1244"/>
      <c r="G2208" s="1244"/>
      <c r="H2208" s="1244"/>
      <c r="I2208" s="1244"/>
      <c r="J2208" s="1236"/>
      <c r="K2208" s="1236"/>
      <c r="L2208" s="1236"/>
      <c r="M2208" s="1236"/>
      <c r="N2208" s="1247"/>
      <c r="O2208" s="15"/>
      <c r="P2208" s="15"/>
      <c r="Q2208" s="343"/>
      <c r="R2208" s="2"/>
      <c r="S2208" s="2"/>
      <c r="T2208" s="2"/>
      <c r="U2208" s="1086"/>
      <c r="V2208" s="343"/>
      <c r="W2208" s="2"/>
      <c r="X2208" s="2"/>
      <c r="Y2208" s="2"/>
      <c r="Z2208" s="228"/>
      <c r="AA2208" s="2"/>
      <c r="AB2208" s="2"/>
      <c r="AC2208" s="2"/>
      <c r="AD2208" s="2"/>
      <c r="AE2208" s="2"/>
      <c r="AF2208" s="2"/>
      <c r="AG2208" s="2"/>
      <c r="AH2208" s="2"/>
      <c r="AI2208" s="2"/>
      <c r="AJ2208" s="2"/>
      <c r="AK2208" s="2"/>
      <c r="AL2208" s="343"/>
    </row>
    <row r="2209" spans="1:38" ht="12.75" customHeight="1" x14ac:dyDescent="0.25">
      <c r="A2209" s="343"/>
      <c r="B2209" s="178"/>
      <c r="C2209" s="178"/>
      <c r="D2209" s="1246"/>
      <c r="E2209" s="1234" t="str">
        <f>Translations!$B$1475</f>
        <v>Faktisk justering (grund för följande år)</v>
      </c>
      <c r="F2209" s="1234"/>
      <c r="G2209" s="1234"/>
      <c r="H2209" s="1234"/>
      <c r="I2209" s="1234"/>
      <c r="J2209" s="1268">
        <f>J$3042</f>
        <v>2021</v>
      </c>
      <c r="K2209" s="1230">
        <f>K$3042</f>
        <v>2022</v>
      </c>
      <c r="L2209" s="1230">
        <f>L$3042</f>
        <v>2023</v>
      </c>
      <c r="M2209" s="1230">
        <f>M$3042</f>
        <v>2024</v>
      </c>
      <c r="N2209" s="1258">
        <f>N$3042</f>
        <v>2025</v>
      </c>
      <c r="O2209" s="15"/>
      <c r="P2209" s="15"/>
      <c r="Q2209" s="343"/>
      <c r="R2209" s="2"/>
      <c r="S2209" s="2"/>
      <c r="T2209" s="2"/>
      <c r="U2209" s="584"/>
      <c r="V2209" s="2"/>
      <c r="W2209" s="2"/>
      <c r="X2209" s="2"/>
      <c r="Y2209" s="2"/>
      <c r="Z2209" s="228"/>
      <c r="AA2209" s="2"/>
      <c r="AB2209" s="2"/>
      <c r="AC2209" s="2"/>
      <c r="AD2209" s="2"/>
      <c r="AE2209" s="2"/>
      <c r="AF2209" s="2"/>
      <c r="AG2209" s="2"/>
      <c r="AH2209" s="2"/>
      <c r="AI2209" s="2"/>
      <c r="AJ2209" s="2"/>
      <c r="AK2209" s="2"/>
      <c r="AL2209" s="343"/>
    </row>
    <row r="2210" spans="1:38" ht="12.75" customHeight="1" x14ac:dyDescent="0.25">
      <c r="A2210" s="343"/>
      <c r="B2210" s="178"/>
      <c r="C2210" s="178"/>
      <c r="D2210" s="1246" t="s">
        <v>10</v>
      </c>
      <c r="E2210" s="1231" t="str">
        <f>Translations!$B$1476</f>
        <v>&gt;= 100 utsläppsrätter kriterium uppnått?</v>
      </c>
      <c r="F2210" s="1231"/>
      <c r="G2210" s="1231"/>
      <c r="H2210" s="1231"/>
      <c r="I2210" s="1231"/>
      <c r="J2210" s="994" t="str">
        <f>IF($I2127="","",INDEX(K_Summary!J:J,MATCH($Q2210,K_Summary!$P:$P,0)))</f>
        <v/>
      </c>
      <c r="K2210" s="912" t="str">
        <f>IF($I2127="","",INDEX(K_Summary!K:K,MATCH($Q2210,K_Summary!$P:$P,0)))</f>
        <v/>
      </c>
      <c r="L2210" s="912" t="str">
        <f>IF($I2127="","",INDEX(K_Summary!L:L,MATCH($Q2210,K_Summary!$P:$P,0)))</f>
        <v/>
      </c>
      <c r="M2210" s="912" t="str">
        <f>IF($I2127="","",INDEX(K_Summary!M:M,MATCH($Q2210,K_Summary!$P:$P,0)))</f>
        <v/>
      </c>
      <c r="N2210" s="1221" t="str">
        <f>IF($I2127="","",INDEX(K_Summary!N:N,MATCH($Q2210,K_Summary!$P:$P,0)))</f>
        <v/>
      </c>
      <c r="O2210" s="15"/>
      <c r="P2210" s="15"/>
      <c r="Q2210" s="165" t="str">
        <f>EUconst_CNTR_100EUA_HEAT&amp;I2127</f>
        <v>EUA100HEAT_</v>
      </c>
      <c r="R2210" s="2"/>
      <c r="S2210" s="2"/>
      <c r="T2210" s="2"/>
      <c r="U2210" s="584"/>
      <c r="V2210" s="2"/>
      <c r="W2210" s="2"/>
      <c r="X2210" s="2"/>
      <c r="Y2210" s="2"/>
      <c r="Z2210" s="228"/>
      <c r="AA2210" s="2"/>
      <c r="AB2210" s="2"/>
      <c r="AC2210" s="2"/>
      <c r="AD2210" s="2"/>
      <c r="AE2210" s="2"/>
      <c r="AF2210" s="2"/>
      <c r="AG2210" s="2"/>
      <c r="AH2210" s="2"/>
      <c r="AI2210" s="2"/>
      <c r="AJ2210" s="2"/>
      <c r="AK2210" s="2"/>
      <c r="AL2210" s="343"/>
    </row>
    <row r="2211" spans="1:38" ht="5.15" customHeight="1" thickBot="1" x14ac:dyDescent="0.3">
      <c r="A2211" s="343"/>
      <c r="B2211" s="178"/>
      <c r="C2211" s="178"/>
      <c r="D2211" s="1246"/>
      <c r="E2211" s="1244"/>
      <c r="F2211" s="1244"/>
      <c r="G2211" s="1244"/>
      <c r="H2211" s="1244"/>
      <c r="I2211" s="1244"/>
      <c r="J2211" s="1244"/>
      <c r="K2211" s="1244"/>
      <c r="L2211" s="1244"/>
      <c r="M2211" s="1244"/>
      <c r="N2211" s="1248"/>
      <c r="O2211" s="15"/>
      <c r="P2211" s="15"/>
      <c r="Q2211" s="343"/>
      <c r="R2211" s="2"/>
      <c r="S2211" s="2"/>
      <c r="T2211" s="2"/>
      <c r="U2211" s="1086"/>
      <c r="V2211" s="343"/>
      <c r="W2211" s="2"/>
      <c r="X2211" s="2"/>
      <c r="Y2211" s="2"/>
      <c r="Z2211" s="228"/>
      <c r="AA2211" s="2"/>
      <c r="AB2211" s="2"/>
      <c r="AC2211" s="2"/>
      <c r="AD2211" s="2"/>
      <c r="AE2211" s="2"/>
      <c r="AF2211" s="2"/>
      <c r="AG2211" s="2"/>
      <c r="AH2211" s="2"/>
      <c r="AI2211" s="2"/>
      <c r="AJ2211" s="2"/>
      <c r="AK2211" s="2"/>
      <c r="AL2211" s="343"/>
    </row>
    <row r="2212" spans="1:38" ht="12.75" customHeight="1" thickBot="1" x14ac:dyDescent="0.3">
      <c r="A2212" s="2"/>
      <c r="B2212" s="178"/>
      <c r="C2212" s="178"/>
      <c r="D2212" s="1246" t="s">
        <v>23</v>
      </c>
      <c r="E2212" s="1231" t="str">
        <f>Translations!$B$1477</f>
        <v>Faktisk justering (om alla tröskelvärden överskrids)</v>
      </c>
      <c r="F2212" s="1231"/>
      <c r="G2212" s="1231"/>
      <c r="H2212" s="1233"/>
      <c r="I2212" s="1237"/>
      <c r="J2212" s="1099" t="str">
        <f>IF(J2210="","",IF(OR(J2210,V2204&lt;1),J2206,I2212))</f>
        <v/>
      </c>
      <c r="K2212" s="1100" t="str">
        <f>IF(K2210="","",IF(OR(K2210,W2204&lt;1),K2206,J2212))</f>
        <v/>
      </c>
      <c r="L2212" s="1100" t="str">
        <f>IF(L2210="","",IF(OR(L2210,X2204&lt;1),L2206,K2212))</f>
        <v/>
      </c>
      <c r="M2212" s="1100" t="str">
        <f>IF(M2210="","",IF(OR(M2210,Y2204&lt;1),M2206,L2212))</f>
        <v/>
      </c>
      <c r="N2212" s="1101" t="str">
        <f>IF(N2210="","",IF(OR(N2210,Z2204&lt;1),N2206,M2212))</f>
        <v/>
      </c>
      <c r="O2212" s="15"/>
      <c r="P2212" s="15"/>
      <c r="Q2212" s="343"/>
      <c r="R2212" s="2"/>
      <c r="S2212" s="2"/>
      <c r="T2212" s="2"/>
      <c r="U2212" s="1086" t="s">
        <v>1858</v>
      </c>
      <c r="V2212" s="1068">
        <f>J2209</f>
        <v>2021</v>
      </c>
      <c r="W2212" s="1068">
        <f>K2209</f>
        <v>2022</v>
      </c>
      <c r="X2212" s="1068">
        <f>L2209</f>
        <v>2023</v>
      </c>
      <c r="Y2212" s="1068">
        <f>M2209</f>
        <v>2024</v>
      </c>
      <c r="Z2212" s="1087">
        <f>N2209</f>
        <v>2025</v>
      </c>
      <c r="AA2212" s="2"/>
      <c r="AB2212" s="2"/>
      <c r="AC2212" s="2"/>
      <c r="AD2212" s="2"/>
      <c r="AE2212" s="2"/>
      <c r="AF2212" s="2"/>
      <c r="AG2212" s="2"/>
      <c r="AH2212" s="2"/>
      <c r="AI2212" s="2"/>
      <c r="AJ2212" s="2"/>
      <c r="AK2212" s="2"/>
      <c r="AL2212" s="343"/>
    </row>
    <row r="2213" spans="1:38" ht="12.75" customHeight="1" thickBot="1" x14ac:dyDescent="0.3">
      <c r="A2213" s="343"/>
      <c r="B2213" s="178"/>
      <c r="C2213" s="178"/>
      <c r="D2213" s="1246" t="s">
        <v>859</v>
      </c>
      <c r="E2213" s="1231" t="str">
        <f>Translations!$B$1478</f>
        <v>Faktiskt värde</v>
      </c>
      <c r="F2213" s="1231"/>
      <c r="G2213" s="1231"/>
      <c r="H2213" s="1232" t="str">
        <f>H2204</f>
        <v>t CO2</v>
      </c>
      <c r="I2213" s="990" t="str">
        <f>I2207</f>
        <v/>
      </c>
      <c r="J2213" s="1072" t="str">
        <f>IF($I2127="","",IF(OR($I2213=0,$I2213=EUconst_NA,J2212=""),IF(OR(J2210=TRUE,J2209&lt;=$V2127),J2207,SUM(I2213)),$I2213*(1+SUM(J2212))))</f>
        <v/>
      </c>
      <c r="K2213" s="1073" t="str">
        <f>IF($I2127="","",IF(OR($I2213=0,$I2213=EUconst_NA,K2212=""),IF(OR(K2210=TRUE,K2209&lt;=$V2127),K2207,SUM(J2213)),$I2213*(1+SUM(K2212))))</f>
        <v/>
      </c>
      <c r="L2213" s="1073" t="str">
        <f>IF($I2127="","",IF(OR($I2213=0,$I2213=EUconst_NA,L2212=""),IF(OR(L2210=TRUE,L2209&lt;=$V2127),L2207,SUM(K2213)),$I2213*(1+SUM(L2212))))</f>
        <v/>
      </c>
      <c r="M2213" s="1073" t="str">
        <f>IF($I2127="","",IF(OR($I2213=0,$I2213=EUconst_NA,M2212=""),IF(OR(M2210=TRUE,M2209&lt;=$V2127),M2207,SUM(L2213)),$I2213*(1+SUM(M2212))))</f>
        <v/>
      </c>
      <c r="N2213" s="1074" t="str">
        <f>IF($I2127="","",IF(OR($I2213=0,$I2213=EUconst_NA,N2212=""),IF(OR(N2210=TRUE,N2209&lt;=$V2127),N2207,SUM(M2213)),$I2213*(1+SUM(N2212))))</f>
        <v/>
      </c>
      <c r="O2213" s="15"/>
      <c r="P2213" s="15"/>
      <c r="Q2213" s="165" t="str">
        <f>EUconst_CNTR_HEATfinal &amp; I2127</f>
        <v>HEATfinal_</v>
      </c>
      <c r="R2213" s="2"/>
      <c r="S2213" s="2"/>
      <c r="T2213" s="2"/>
      <c r="U2213" s="1765" t="b">
        <v>0</v>
      </c>
      <c r="V2213" s="1757" t="str">
        <f>IF(V2135,IF(J2210=TRUE,V2205,U2213),"")</f>
        <v/>
      </c>
      <c r="W2213" s="1757" t="str">
        <f>IF(W2135,IF(K2210=TRUE,W2205,V2213),"")</f>
        <v/>
      </c>
      <c r="X2213" s="1757" t="str">
        <f>IF(X2135,IF(L2210=TRUE,X2205,W2213),"")</f>
        <v/>
      </c>
      <c r="Y2213" s="1757" t="str">
        <f>IF(Y2135,IF(M2210=TRUE,Y2205,X2213),"")</f>
        <v/>
      </c>
      <c r="Z2213" s="1758" t="str">
        <f>IF(Z2135,IF(N2210=TRUE,Z2205,Y2213),"")</f>
        <v/>
      </c>
      <c r="AA2213" s="2"/>
      <c r="AB2213" s="2"/>
      <c r="AC2213" s="2"/>
      <c r="AD2213" s="2"/>
      <c r="AE2213" s="2"/>
      <c r="AF2213" s="2"/>
      <c r="AG2213" s="2"/>
      <c r="AH2213" s="2"/>
      <c r="AI2213" s="2"/>
      <c r="AJ2213" s="553" t="s">
        <v>2242</v>
      </c>
      <c r="AK2213" s="108" t="str">
        <f>IF(OR(ISERROR(J2213),ISERROR(K2213),ISERROR(L2213),ISERROR(M2213),ISERROR(N2213)),EUconst_Error &amp; "BM" &amp; Q2127,"")</f>
        <v/>
      </c>
      <c r="AL2213" s="2"/>
    </row>
    <row r="2214" spans="1:38" ht="5.15" customHeight="1" thickBot="1" x14ac:dyDescent="0.3">
      <c r="A2214" s="2"/>
      <c r="B2214" s="19"/>
      <c r="C2214" s="19"/>
      <c r="D2214" s="1274"/>
      <c r="E2214" s="1275"/>
      <c r="F2214" s="1275"/>
      <c r="G2214" s="1275"/>
      <c r="H2214" s="1275"/>
      <c r="I2214" s="1276"/>
      <c r="J2214" s="1275"/>
      <c r="K2214" s="1275"/>
      <c r="L2214" s="1275"/>
      <c r="M2214" s="1275"/>
      <c r="N2214" s="1277"/>
      <c r="O2214" s="15"/>
      <c r="P2214" s="15"/>
      <c r="Q2214" s="130"/>
      <c r="R2214" s="2"/>
      <c r="S2214" s="343"/>
      <c r="T2214" s="343"/>
      <c r="U2214" s="2"/>
      <c r="V2214" s="2"/>
      <c r="W2214" s="2"/>
      <c r="X2214" s="2"/>
      <c r="Y2214" s="2"/>
      <c r="Z2214" s="2"/>
      <c r="AA2214" s="2"/>
      <c r="AB2214" s="2"/>
      <c r="AC2214" s="2"/>
      <c r="AD2214" s="2"/>
      <c r="AE2214" s="2"/>
      <c r="AF2214" s="2"/>
      <c r="AG2214" s="2"/>
      <c r="AH2214" s="2"/>
      <c r="AI2214" s="2"/>
      <c r="AJ2214" s="2"/>
      <c r="AK2214" s="2"/>
      <c r="AL2214" s="2"/>
    </row>
    <row r="2215" spans="1:38" ht="5.15" customHeight="1" x14ac:dyDescent="0.25">
      <c r="A2215" s="2"/>
      <c r="B2215" s="19"/>
      <c r="C2215" s="19"/>
      <c r="D2215" s="19"/>
      <c r="E2215" s="19"/>
      <c r="F2215" s="19"/>
      <c r="G2215" s="19"/>
      <c r="H2215" s="19"/>
      <c r="I2215" s="99"/>
      <c r="J2215" s="19"/>
      <c r="K2215" s="19"/>
      <c r="L2215" s="19"/>
      <c r="M2215" s="19"/>
      <c r="N2215" s="19"/>
      <c r="O2215" s="15"/>
      <c r="P2215" s="15"/>
      <c r="Q2215" s="130"/>
      <c r="R2215" s="2"/>
      <c r="S2215" s="343"/>
      <c r="T2215" s="343"/>
      <c r="U2215" s="2"/>
      <c r="V2215" s="2"/>
      <c r="W2215" s="2"/>
      <c r="X2215" s="2"/>
      <c r="Y2215" s="2"/>
      <c r="Z2215" s="2"/>
      <c r="AA2215" s="2"/>
      <c r="AB2215" s="2"/>
      <c r="AC2215" s="2"/>
      <c r="AD2215" s="2"/>
      <c r="AE2215" s="2"/>
      <c r="AF2215" s="2"/>
      <c r="AG2215" s="2"/>
      <c r="AH2215" s="2"/>
      <c r="AI2215" s="2"/>
      <c r="AJ2215" s="2"/>
      <c r="AK2215" s="2"/>
      <c r="AL2215" s="2"/>
    </row>
    <row r="2216" spans="1:38" ht="15" customHeight="1" x14ac:dyDescent="0.25">
      <c r="A2216" s="2"/>
      <c r="B2216" s="19"/>
      <c r="C2216" s="619"/>
      <c r="D2216" s="2053" t="str">
        <f>Translations!$B$541</f>
        <v>Produktionsuppgifter</v>
      </c>
      <c r="E2216" s="1963"/>
      <c r="F2216" s="1963"/>
      <c r="G2216" s="1963"/>
      <c r="H2216" s="1963"/>
      <c r="I2216" s="1963"/>
      <c r="J2216" s="1963"/>
      <c r="K2216" s="1963"/>
      <c r="L2216" s="1963"/>
      <c r="M2216" s="1963"/>
      <c r="N2216" s="1963"/>
      <c r="O2216" s="15"/>
      <c r="P2216" s="15"/>
      <c r="Q2216" s="2"/>
      <c r="R2216" s="2"/>
      <c r="S2216" s="343"/>
      <c r="T2216" s="343"/>
      <c r="U2216" s="2"/>
      <c r="V2216" s="2"/>
      <c r="W2216" s="2"/>
      <c r="X2216" s="2"/>
      <c r="Y2216" s="2"/>
      <c r="Z2216" s="2"/>
      <c r="AA2216" s="2"/>
      <c r="AB2216" s="2"/>
      <c r="AC2216" s="2"/>
      <c r="AD2216" s="2"/>
      <c r="AE2216" s="2"/>
      <c r="AF2216" s="2"/>
      <c r="AG2216" s="2"/>
      <c r="AH2216" s="2"/>
      <c r="AI2216" s="2"/>
      <c r="AJ2216" s="2"/>
      <c r="AK2216" s="2"/>
      <c r="AL2216" s="2"/>
    </row>
    <row r="2217" spans="1:38" ht="5.15" customHeight="1" x14ac:dyDescent="0.25">
      <c r="A2217" s="2"/>
      <c r="B2217" s="178"/>
      <c r="C2217" s="178"/>
      <c r="D2217" s="178"/>
      <c r="E2217" s="178"/>
      <c r="F2217" s="178"/>
      <c r="G2217" s="178"/>
      <c r="H2217" s="178"/>
      <c r="I2217" s="178"/>
      <c r="J2217" s="178"/>
      <c r="K2217" s="178"/>
      <c r="L2217" s="178"/>
      <c r="M2217" s="178"/>
      <c r="N2217" s="178"/>
      <c r="O2217" s="15"/>
      <c r="P2217" s="15"/>
      <c r="Q2217" s="343"/>
      <c r="R2217" s="343"/>
      <c r="S2217" s="343"/>
      <c r="T2217" s="343"/>
      <c r="U2217" s="2"/>
      <c r="V2217" s="2"/>
      <c r="W2217" s="2"/>
      <c r="X2217" s="2"/>
      <c r="Y2217" s="2"/>
      <c r="Z2217" s="2"/>
      <c r="AA2217" s="2"/>
      <c r="AB2217" s="2"/>
      <c r="AC2217" s="2"/>
      <c r="AD2217" s="2"/>
      <c r="AE2217" s="2"/>
      <c r="AF2217" s="2"/>
      <c r="AG2217" s="2"/>
      <c r="AH2217" s="2"/>
      <c r="AI2217" s="2"/>
      <c r="AJ2217" s="2"/>
      <c r="AK2217" s="2"/>
      <c r="AL2217" s="2"/>
    </row>
    <row r="2218" spans="1:38" ht="12.75" customHeight="1" x14ac:dyDescent="0.25">
      <c r="A2218" s="2"/>
      <c r="B2218" s="178"/>
      <c r="C2218" s="13"/>
      <c r="D2218" s="13" t="s">
        <v>65</v>
      </c>
      <c r="E2218" s="1943" t="str">
        <f>Translations!$B$542</f>
        <v>Identifiering av produkter som ingår i delanläggningen med produktriktmärke</v>
      </c>
      <c r="F2218" s="1963"/>
      <c r="G2218" s="1963"/>
      <c r="H2218" s="1963"/>
      <c r="I2218" s="1963"/>
      <c r="J2218" s="1963"/>
      <c r="K2218" s="1963"/>
      <c r="L2218" s="1963"/>
      <c r="M2218" s="1963"/>
      <c r="N2218" s="1963"/>
      <c r="O2218" s="15"/>
      <c r="P2218" s="15"/>
      <c r="Q2218" s="343"/>
      <c r="R2218" s="2"/>
      <c r="S2218" s="343"/>
      <c r="T2218" s="343"/>
      <c r="U2218" s="2"/>
      <c r="V2218" s="2"/>
      <c r="W2218" s="2"/>
      <c r="X2218" s="2"/>
      <c r="Y2218" s="2"/>
      <c r="Z2218" s="2"/>
      <c r="AA2218" s="2"/>
      <c r="AB2218" s="2"/>
      <c r="AC2218" s="2"/>
      <c r="AD2218" s="2"/>
      <c r="AE2218" s="2"/>
      <c r="AF2218" s="2"/>
      <c r="AG2218" s="2"/>
      <c r="AH2218" s="2"/>
      <c r="AI2218" s="2"/>
      <c r="AJ2218" s="2"/>
      <c r="AK2218" s="2"/>
      <c r="AL2218" s="2"/>
    </row>
    <row r="2219" spans="1:38" ht="25.5" customHeight="1" x14ac:dyDescent="0.25">
      <c r="A2219" s="2"/>
      <c r="B2219" s="178"/>
      <c r="C2219" s="15"/>
      <c r="D2219" s="15"/>
      <c r="E2219" s="2061" t="s">
        <v>2215</v>
      </c>
      <c r="F2219" s="1963"/>
      <c r="G2219" s="1963"/>
      <c r="H2219" s="1963"/>
      <c r="I2219" s="1963"/>
      <c r="J2219" s="1963"/>
      <c r="K2219" s="1963"/>
      <c r="L2219" s="1963"/>
      <c r="M2219" s="1963"/>
      <c r="N2219" s="1963"/>
      <c r="O2219" s="15"/>
      <c r="P2219" s="15"/>
      <c r="Q2219" s="343"/>
      <c r="R2219" s="2"/>
      <c r="S2219" s="343"/>
      <c r="T2219" s="343"/>
      <c r="U2219" s="2"/>
      <c r="V2219" s="2"/>
      <c r="W2219" s="2"/>
      <c r="X2219" s="2"/>
      <c r="Y2219" s="2"/>
      <c r="Z2219" s="2"/>
      <c r="AA2219" s="2"/>
      <c r="AB2219" s="2"/>
      <c r="AC2219" s="2"/>
      <c r="AD2219" s="2"/>
      <c r="AE2219" s="2"/>
      <c r="AF2219" s="2"/>
      <c r="AG2219" s="2"/>
      <c r="AH2219" s="2"/>
      <c r="AI2219" s="2"/>
      <c r="AJ2219" s="2"/>
      <c r="AK2219" s="2"/>
      <c r="AL2219" s="2"/>
    </row>
    <row r="2220" spans="1:38" ht="25.5" customHeight="1" x14ac:dyDescent="0.25">
      <c r="A2220" s="2"/>
      <c r="B2220" s="178"/>
      <c r="C2220" s="15"/>
      <c r="D2220" s="15"/>
      <c r="E2220" s="2061" t="str">
        <f>Translations!$B$543</f>
        <v>Prodcom-koder ska anges i formatet ”nnnnnnnn”, dvs. utan punkter eller andra avgränsare. Endast om Prodcom-koder inte finns ska en Nace-kod på fyra siffror anges i formatet ”nnnn”.</v>
      </c>
      <c r="F2220" s="1963"/>
      <c r="G2220" s="1963"/>
      <c r="H2220" s="1963"/>
      <c r="I2220" s="1963"/>
      <c r="J2220" s="1963"/>
      <c r="K2220" s="1963"/>
      <c r="L2220" s="1963"/>
      <c r="M2220" s="1963"/>
      <c r="N2220" s="1963"/>
      <c r="O2220" s="15"/>
      <c r="P2220" s="15"/>
      <c r="Q2220" s="343"/>
      <c r="R2220" s="2"/>
      <c r="S2220" s="343"/>
      <c r="T2220" s="343"/>
      <c r="U2220" s="2"/>
      <c r="V2220" s="2"/>
      <c r="W2220" s="2"/>
      <c r="X2220" s="2"/>
      <c r="Y2220" s="2"/>
      <c r="Z2220" s="2"/>
      <c r="AA2220" s="2"/>
      <c r="AB2220" s="2"/>
      <c r="AC2220" s="2"/>
      <c r="AD2220" s="2"/>
      <c r="AE2220" s="2"/>
      <c r="AF2220" s="2"/>
      <c r="AG2220" s="2"/>
      <c r="AH2220" s="2"/>
      <c r="AI2220" s="2"/>
      <c r="AJ2220" s="2"/>
      <c r="AK2220" s="2"/>
      <c r="AL2220" s="2"/>
    </row>
    <row r="2221" spans="1:38" ht="12.75" customHeight="1" x14ac:dyDescent="0.25">
      <c r="A2221" s="2"/>
      <c r="B2221" s="178"/>
      <c r="C2221" s="15"/>
      <c r="D2221" s="15"/>
      <c r="E2221" s="2061" t="str">
        <f>Translations!$B$544</f>
        <v>En förteckning över 2010 års Prodcom-koder finns här:</v>
      </c>
      <c r="F2221" s="1963"/>
      <c r="G2221" s="1963"/>
      <c r="H2221" s="1963"/>
      <c r="I2221" s="1963"/>
      <c r="J2221" s="1963"/>
      <c r="K2221" s="1963"/>
      <c r="L2221" s="1963"/>
      <c r="M2221" s="1963"/>
      <c r="N2221" s="1963"/>
      <c r="O2221" s="15"/>
      <c r="P2221" s="15"/>
      <c r="Q2221" s="343"/>
      <c r="R2221" s="2"/>
      <c r="S2221" s="343"/>
      <c r="T2221" s="343"/>
      <c r="U2221" s="2"/>
      <c r="V2221" s="2"/>
      <c r="W2221" s="2"/>
      <c r="X2221" s="2"/>
      <c r="Y2221" s="2"/>
      <c r="Z2221" s="2"/>
      <c r="AA2221" s="2"/>
      <c r="AB2221" s="2"/>
      <c r="AC2221" s="2"/>
      <c r="AD2221" s="2"/>
      <c r="AE2221" s="2"/>
      <c r="AF2221" s="2"/>
      <c r="AG2221" s="2"/>
      <c r="AH2221" s="2"/>
      <c r="AI2221" s="2"/>
      <c r="AJ2221" s="2"/>
      <c r="AK2221" s="2"/>
      <c r="AL2221" s="2"/>
    </row>
    <row r="2222" spans="1:38" x14ac:dyDescent="0.25">
      <c r="A2222" s="2"/>
      <c r="B2222" s="178"/>
      <c r="C2222" s="15"/>
      <c r="D2222" s="15"/>
      <c r="E2222" s="2644" t="str">
        <f>Translations!$B$545</f>
        <v>http://ec.europa.eu/eurostat/ramon/nomenclatures/index.cfm?TargetUrl=LST_CLS_DLD&amp;StrNom=PRD_2010&amp;StrLanguageCode=EN&amp;StrLayoutCode=HIERARCHIC</v>
      </c>
      <c r="F2222" s="1940"/>
      <c r="G2222" s="1940"/>
      <c r="H2222" s="1940"/>
      <c r="I2222" s="1940"/>
      <c r="J2222" s="1940"/>
      <c r="K2222" s="1940"/>
      <c r="L2222" s="1940"/>
      <c r="M2222" s="1940"/>
      <c r="N2222" s="1940"/>
      <c r="O2222" s="15"/>
      <c r="P2222" s="15"/>
      <c r="Q2222" s="343"/>
      <c r="R2222" s="2"/>
      <c r="S2222" s="343"/>
      <c r="T2222" s="343"/>
      <c r="U2222" s="2"/>
      <c r="V2222" s="2"/>
      <c r="W2222" s="2"/>
      <c r="X2222" s="2"/>
      <c r="Y2222" s="2"/>
      <c r="Z2222" s="2"/>
      <c r="AA2222" s="2"/>
      <c r="AB2222" s="2"/>
      <c r="AC2222" s="2"/>
      <c r="AD2222" s="2"/>
      <c r="AE2222" s="2"/>
      <c r="AF2222" s="2"/>
      <c r="AG2222" s="2"/>
      <c r="AH2222" s="2"/>
      <c r="AI2222" s="2"/>
      <c r="AJ2222" s="2"/>
      <c r="AK2222" s="2"/>
      <c r="AL2222" s="2"/>
    </row>
    <row r="2223" spans="1:38" ht="5.15" customHeight="1" x14ac:dyDescent="0.25">
      <c r="A2223" s="2"/>
      <c r="B2223" s="178"/>
      <c r="C2223" s="178"/>
      <c r="D2223" s="178"/>
      <c r="E2223" s="178"/>
      <c r="F2223" s="178"/>
      <c r="G2223" s="178"/>
      <c r="H2223" s="178"/>
      <c r="I2223" s="178"/>
      <c r="J2223" s="178"/>
      <c r="K2223" s="178"/>
      <c r="L2223" s="178"/>
      <c r="M2223" s="178"/>
      <c r="N2223" s="178"/>
      <c r="O2223" s="15"/>
      <c r="P2223" s="15"/>
      <c r="Q2223" s="343"/>
      <c r="R2223" s="343"/>
      <c r="S2223" s="343"/>
      <c r="T2223" s="343"/>
      <c r="U2223" s="2"/>
      <c r="V2223" s="2"/>
      <c r="W2223" s="2"/>
      <c r="X2223" s="2"/>
      <c r="Y2223" s="2"/>
      <c r="Z2223" s="2"/>
      <c r="AA2223" s="2"/>
      <c r="AB2223" s="2"/>
      <c r="AC2223" s="2"/>
      <c r="AD2223" s="2"/>
      <c r="AE2223" s="2"/>
      <c r="AF2223" s="2"/>
      <c r="AG2223" s="2"/>
      <c r="AH2223" s="2"/>
      <c r="AI2223" s="2"/>
      <c r="AJ2223" s="2"/>
      <c r="AK2223" s="2"/>
      <c r="AL2223" s="2"/>
    </row>
    <row r="2224" spans="1:38" ht="12.75" customHeight="1" x14ac:dyDescent="0.25">
      <c r="A2224" s="2"/>
      <c r="B2224" s="178"/>
      <c r="C2224" s="13"/>
      <c r="D2224" s="13" t="s">
        <v>66</v>
      </c>
      <c r="E2224" s="1943" t="str">
        <f>Translations!$B$546</f>
        <v>Individuella produktionsnivåer för produkter som ingår i delanläggningen med produktriktmärke</v>
      </c>
      <c r="F2224" s="1963"/>
      <c r="G2224" s="1963"/>
      <c r="H2224" s="1963"/>
      <c r="I2224" s="1963"/>
      <c r="J2224" s="1963"/>
      <c r="K2224" s="1963"/>
      <c r="L2224" s="1963"/>
      <c r="M2224" s="1963"/>
      <c r="N2224" s="1963"/>
      <c r="O2224" s="15"/>
      <c r="P2224" s="15"/>
      <c r="Q2224" s="343"/>
      <c r="R2224" s="2"/>
      <c r="S2224" s="343"/>
      <c r="T2224" s="343"/>
      <c r="U2224" s="2"/>
      <c r="V2224" s="2"/>
      <c r="W2224" s="2"/>
      <c r="X2224" s="2"/>
      <c r="Y2224" s="2"/>
      <c r="Z2224" s="2"/>
      <c r="AA2224" s="2"/>
      <c r="AB2224" s="2"/>
      <c r="AC2224" s="2"/>
      <c r="AD2224" s="2"/>
      <c r="AE2224" s="2"/>
      <c r="AF2224" s="2"/>
      <c r="AG2224" s="2"/>
      <c r="AH2224" s="2"/>
      <c r="AI2224" s="2"/>
      <c r="AJ2224" s="2"/>
      <c r="AK2224" s="2"/>
      <c r="AL2224" s="2"/>
    </row>
    <row r="2225" spans="1:38" ht="5.15" customHeight="1" x14ac:dyDescent="0.25">
      <c r="A2225" s="2"/>
      <c r="B2225" s="178"/>
      <c r="C2225" s="178"/>
      <c r="D2225" s="15"/>
      <c r="E2225" s="16"/>
      <c r="F2225" s="16"/>
      <c r="G2225" s="16"/>
      <c r="H2225" s="16"/>
      <c r="I2225" s="16"/>
      <c r="J2225" s="20"/>
      <c r="K2225" s="20"/>
      <c r="L2225" s="20"/>
      <c r="M2225" s="15"/>
      <c r="N2225" s="15"/>
      <c r="O2225" s="15"/>
      <c r="P2225" s="15"/>
      <c r="Q2225" s="343"/>
      <c r="R2225" s="2"/>
      <c r="S2225" s="343"/>
      <c r="T2225" s="343"/>
      <c r="U2225" s="2"/>
      <c r="V2225" s="2"/>
      <c r="W2225" s="2"/>
      <c r="X2225" s="2"/>
      <c r="Y2225" s="2"/>
      <c r="Z2225" s="2"/>
      <c r="AA2225" s="2"/>
      <c r="AB2225" s="2"/>
      <c r="AC2225" s="2"/>
      <c r="AD2225" s="2"/>
      <c r="AE2225" s="2"/>
      <c r="AF2225" s="2"/>
      <c r="AG2225" s="2"/>
      <c r="AH2225" s="2"/>
      <c r="AI2225" s="2"/>
      <c r="AJ2225" s="2"/>
      <c r="AK2225" s="2"/>
      <c r="AL2225" s="2"/>
    </row>
    <row r="2226" spans="1:38" ht="25.5" customHeight="1" thickBot="1" x14ac:dyDescent="0.3">
      <c r="A2226" s="2"/>
      <c r="B2226" s="19"/>
      <c r="C2226" s="19"/>
      <c r="D2226" s="38"/>
      <c r="E2226" s="321" t="s">
        <v>1030</v>
      </c>
      <c r="F2226" s="1027" t="str">
        <f>Translations!$B$547</f>
        <v>Namn på produkt eller produktgrupp</v>
      </c>
      <c r="G2226" s="774" t="str">
        <f>EUconst_Unit</f>
        <v>Enhet</v>
      </c>
      <c r="H2226" s="320">
        <f t="shared" ref="H2226:N2226" si="989">H$3042</f>
        <v>2019</v>
      </c>
      <c r="I2226" s="342">
        <f t="shared" si="989"/>
        <v>2020</v>
      </c>
      <c r="J2226" s="987">
        <f t="shared" si="989"/>
        <v>2021</v>
      </c>
      <c r="K2226" s="320">
        <f t="shared" si="989"/>
        <v>2022</v>
      </c>
      <c r="L2226" s="320">
        <f t="shared" si="989"/>
        <v>2023</v>
      </c>
      <c r="M2226" s="320">
        <f t="shared" si="989"/>
        <v>2024</v>
      </c>
      <c r="N2226" s="320">
        <f t="shared" si="989"/>
        <v>2025</v>
      </c>
      <c r="O2226" s="15"/>
      <c r="P2226" s="15"/>
      <c r="Q2226" s="2"/>
      <c r="R2226" s="2"/>
      <c r="S2226" s="343"/>
      <c r="T2226" s="343"/>
      <c r="U2226" s="2"/>
      <c r="V2226" s="2"/>
      <c r="W2226" s="2"/>
      <c r="X2226" s="2"/>
      <c r="Y2226" s="2"/>
      <c r="Z2226" s="1055" t="s">
        <v>782</v>
      </c>
      <c r="AA2226" s="2"/>
      <c r="AB2226" s="2"/>
      <c r="AC2226" s="1044">
        <f t="shared" ref="AC2226:AI2226" si="990">H$20</f>
        <v>2019</v>
      </c>
      <c r="AD2226" s="1044">
        <f t="shared" si="990"/>
        <v>2020</v>
      </c>
      <c r="AE2226" s="1044">
        <f t="shared" si="990"/>
        <v>2021</v>
      </c>
      <c r="AF2226" s="1044">
        <f t="shared" si="990"/>
        <v>2022</v>
      </c>
      <c r="AG2226" s="1044">
        <f t="shared" si="990"/>
        <v>2023</v>
      </c>
      <c r="AH2226" s="1044">
        <f t="shared" si="990"/>
        <v>2024</v>
      </c>
      <c r="AI2226" s="1044">
        <f t="shared" si="990"/>
        <v>2025</v>
      </c>
      <c r="AJ2226" s="2"/>
      <c r="AK2226" s="2"/>
      <c r="AL2226" s="2"/>
    </row>
    <row r="2227" spans="1:38" x14ac:dyDescent="0.25">
      <c r="A2227" s="2"/>
      <c r="B2227" s="19"/>
      <c r="C2227" s="19"/>
      <c r="D2227" s="32">
        <v>1</v>
      </c>
      <c r="E2227" s="1787"/>
      <c r="F2227" s="1047"/>
      <c r="G2227" s="602"/>
      <c r="H2227" s="383"/>
      <c r="I2227" s="467"/>
      <c r="J2227" s="1106"/>
      <c r="K2227" s="383"/>
      <c r="L2227" s="383"/>
      <c r="M2227" s="383"/>
      <c r="N2227" s="383"/>
      <c r="O2227" s="15"/>
      <c r="P2227" s="1362"/>
      <c r="Q2227" s="2"/>
      <c r="R2227" s="2"/>
      <c r="S2227" s="343"/>
      <c r="T2227" s="343"/>
      <c r="U2227" s="2"/>
      <c r="V2227" s="2"/>
      <c r="W2227" s="2"/>
      <c r="X2227" s="2"/>
      <c r="Y2227" s="2"/>
      <c r="Z2227" s="1056" t="b">
        <f t="shared" ref="Z2227:Z2236" si="991">AA2227</f>
        <v>0</v>
      </c>
      <c r="AA2227" s="1057" t="b">
        <f t="shared" ref="AA2227:AA2236" si="992">AB2227</f>
        <v>0</v>
      </c>
      <c r="AB2227" s="1363" t="b">
        <f>AND(AC2227:AI2227)</f>
        <v>0</v>
      </c>
      <c r="AC2227" s="1054" t="b">
        <f t="shared" ref="AC2227:AI2227" si="993">AC2197</f>
        <v>0</v>
      </c>
      <c r="AD2227" s="1052" t="b">
        <f t="shared" si="993"/>
        <v>0</v>
      </c>
      <c r="AE2227" s="1052" t="b">
        <f t="shared" si="993"/>
        <v>0</v>
      </c>
      <c r="AF2227" s="1052" t="b">
        <f t="shared" si="993"/>
        <v>0</v>
      </c>
      <c r="AG2227" s="1052" t="b">
        <f t="shared" si="993"/>
        <v>0</v>
      </c>
      <c r="AH2227" s="1052" t="b">
        <f t="shared" si="993"/>
        <v>0</v>
      </c>
      <c r="AI2227" s="1053" t="b">
        <f t="shared" si="993"/>
        <v>0</v>
      </c>
      <c r="AJ2227" s="553" t="s">
        <v>2248</v>
      </c>
      <c r="AK2227" s="663" t="str">
        <f>IF(AND(CNTR_ExistSubInstEntries,COUNTIFS(AC2227:AI2227,FALSE,H2227:N2227,"")&gt;0),EUconst_Error&amp;"BM"&amp;$Q2127,"")</f>
        <v/>
      </c>
      <c r="AL2227" s="2"/>
    </row>
    <row r="2228" spans="1:38" x14ac:dyDescent="0.25">
      <c r="A2228" s="2"/>
      <c r="B2228" s="19"/>
      <c r="C2228" s="19"/>
      <c r="D2228" s="33">
        <f>D2227+1</f>
        <v>2</v>
      </c>
      <c r="E2228" s="1788"/>
      <c r="F2228" s="1048"/>
      <c r="G2228" s="446"/>
      <c r="H2228" s="431"/>
      <c r="I2228" s="468"/>
      <c r="J2228" s="1120"/>
      <c r="K2228" s="431"/>
      <c r="L2228" s="431"/>
      <c r="M2228" s="431"/>
      <c r="N2228" s="431"/>
      <c r="O2228" s="15"/>
      <c r="P2228" s="1362"/>
      <c r="Q2228" s="2"/>
      <c r="R2228" s="2"/>
      <c r="S2228" s="343"/>
      <c r="T2228" s="343"/>
      <c r="U2228" s="2"/>
      <c r="V2228" s="2"/>
      <c r="W2228" s="2"/>
      <c r="X2228" s="2"/>
      <c r="Y2228" s="2"/>
      <c r="Z2228" s="583" t="b">
        <f t="shared" si="991"/>
        <v>0</v>
      </c>
      <c r="AA2228" s="108" t="b">
        <f t="shared" si="992"/>
        <v>0</v>
      </c>
      <c r="AB2228" s="109" t="b">
        <f t="shared" ref="AB2228:AB2236" si="994">AND(AC2228:AI2228)</f>
        <v>0</v>
      </c>
      <c r="AC2228" s="153" t="b">
        <f>AC2227</f>
        <v>0</v>
      </c>
      <c r="AD2228" s="108" t="b">
        <f t="shared" ref="AD2228:AI2228" si="995">AD2227</f>
        <v>0</v>
      </c>
      <c r="AE2228" s="108" t="b">
        <f t="shared" si="995"/>
        <v>0</v>
      </c>
      <c r="AF2228" s="108" t="b">
        <f t="shared" si="995"/>
        <v>0</v>
      </c>
      <c r="AG2228" s="108" t="b">
        <f t="shared" si="995"/>
        <v>0</v>
      </c>
      <c r="AH2228" s="108" t="b">
        <f t="shared" si="995"/>
        <v>0</v>
      </c>
      <c r="AI2228" s="109" t="b">
        <f t="shared" si="995"/>
        <v>0</v>
      </c>
      <c r="AJ2228" s="2"/>
      <c r="AK2228" s="2"/>
      <c r="AL2228" s="2"/>
    </row>
    <row r="2229" spans="1:38" x14ac:dyDescent="0.25">
      <c r="A2229" s="2"/>
      <c r="B2229" s="19"/>
      <c r="C2229" s="19"/>
      <c r="D2229" s="33">
        <f t="shared" ref="D2229:D2236" si="996">D2228+1</f>
        <v>3</v>
      </c>
      <c r="E2229" s="1788"/>
      <c r="F2229" s="1049"/>
      <c r="G2229" s="446"/>
      <c r="H2229" s="431"/>
      <c r="I2229" s="468"/>
      <c r="J2229" s="1120"/>
      <c r="K2229" s="431"/>
      <c r="L2229" s="431"/>
      <c r="M2229" s="431"/>
      <c r="N2229" s="431"/>
      <c r="O2229" s="15"/>
      <c r="P2229" s="1362"/>
      <c r="Q2229" s="2"/>
      <c r="R2229" s="2"/>
      <c r="S2229" s="343"/>
      <c r="T2229" s="343"/>
      <c r="U2229" s="2"/>
      <c r="V2229" s="2"/>
      <c r="W2229" s="2"/>
      <c r="X2229" s="2"/>
      <c r="Y2229" s="2"/>
      <c r="Z2229" s="583" t="b">
        <f t="shared" si="991"/>
        <v>0</v>
      </c>
      <c r="AA2229" s="108" t="b">
        <f t="shared" si="992"/>
        <v>0</v>
      </c>
      <c r="AB2229" s="109" t="b">
        <f t="shared" si="994"/>
        <v>0</v>
      </c>
      <c r="AC2229" s="153" t="b">
        <f t="shared" ref="AC2229:AI2236" si="997">AC2228</f>
        <v>0</v>
      </c>
      <c r="AD2229" s="108" t="b">
        <f t="shared" si="997"/>
        <v>0</v>
      </c>
      <c r="AE2229" s="108" t="b">
        <f t="shared" si="997"/>
        <v>0</v>
      </c>
      <c r="AF2229" s="108" t="b">
        <f t="shared" si="997"/>
        <v>0</v>
      </c>
      <c r="AG2229" s="108" t="b">
        <f t="shared" si="997"/>
        <v>0</v>
      </c>
      <c r="AH2229" s="108" t="b">
        <f t="shared" si="997"/>
        <v>0</v>
      </c>
      <c r="AI2229" s="109" t="b">
        <f t="shared" si="997"/>
        <v>0</v>
      </c>
      <c r="AJ2229" s="2"/>
      <c r="AK2229" s="2"/>
      <c r="AL2229" s="2"/>
    </row>
    <row r="2230" spans="1:38" x14ac:dyDescent="0.25">
      <c r="A2230" s="2"/>
      <c r="B2230" s="19"/>
      <c r="C2230" s="19"/>
      <c r="D2230" s="33">
        <f t="shared" si="996"/>
        <v>4</v>
      </c>
      <c r="E2230" s="1788"/>
      <c r="F2230" s="1049"/>
      <c r="G2230" s="446"/>
      <c r="H2230" s="431"/>
      <c r="I2230" s="468"/>
      <c r="J2230" s="1120"/>
      <c r="K2230" s="431"/>
      <c r="L2230" s="431"/>
      <c r="M2230" s="431"/>
      <c r="N2230" s="431"/>
      <c r="O2230" s="15"/>
      <c r="P2230" s="1362"/>
      <c r="Q2230" s="2"/>
      <c r="R2230" s="2"/>
      <c r="S2230" s="343"/>
      <c r="T2230" s="343"/>
      <c r="U2230" s="2"/>
      <c r="V2230" s="2"/>
      <c r="W2230" s="2"/>
      <c r="X2230" s="2"/>
      <c r="Y2230" s="2"/>
      <c r="Z2230" s="583" t="b">
        <f t="shared" si="991"/>
        <v>0</v>
      </c>
      <c r="AA2230" s="108" t="b">
        <f t="shared" si="992"/>
        <v>0</v>
      </c>
      <c r="AB2230" s="109" t="b">
        <f t="shared" si="994"/>
        <v>0</v>
      </c>
      <c r="AC2230" s="153" t="b">
        <f t="shared" si="997"/>
        <v>0</v>
      </c>
      <c r="AD2230" s="108" t="b">
        <f t="shared" si="997"/>
        <v>0</v>
      </c>
      <c r="AE2230" s="108" t="b">
        <f t="shared" si="997"/>
        <v>0</v>
      </c>
      <c r="AF2230" s="108" t="b">
        <f t="shared" si="997"/>
        <v>0</v>
      </c>
      <c r="AG2230" s="108" t="b">
        <f t="shared" si="997"/>
        <v>0</v>
      </c>
      <c r="AH2230" s="108" t="b">
        <f t="shared" si="997"/>
        <v>0</v>
      </c>
      <c r="AI2230" s="109" t="b">
        <f t="shared" si="997"/>
        <v>0</v>
      </c>
      <c r="AJ2230" s="2"/>
      <c r="AK2230" s="2"/>
      <c r="AL2230" s="2"/>
    </row>
    <row r="2231" spans="1:38" x14ac:dyDescent="0.25">
      <c r="A2231" s="2"/>
      <c r="B2231" s="19"/>
      <c r="C2231" s="19"/>
      <c r="D2231" s="33">
        <f t="shared" si="996"/>
        <v>5</v>
      </c>
      <c r="E2231" s="1788"/>
      <c r="F2231" s="1049"/>
      <c r="G2231" s="446"/>
      <c r="H2231" s="431"/>
      <c r="I2231" s="468"/>
      <c r="J2231" s="1120"/>
      <c r="K2231" s="431"/>
      <c r="L2231" s="431"/>
      <c r="M2231" s="431"/>
      <c r="N2231" s="431"/>
      <c r="O2231" s="15"/>
      <c r="P2231" s="1362"/>
      <c r="Q2231" s="2"/>
      <c r="R2231" s="2"/>
      <c r="S2231" s="343"/>
      <c r="T2231" s="343"/>
      <c r="U2231" s="2"/>
      <c r="V2231" s="2"/>
      <c r="W2231" s="2"/>
      <c r="X2231" s="2"/>
      <c r="Y2231" s="2"/>
      <c r="Z2231" s="583" t="b">
        <f t="shared" si="991"/>
        <v>0</v>
      </c>
      <c r="AA2231" s="108" t="b">
        <f t="shared" si="992"/>
        <v>0</v>
      </c>
      <c r="AB2231" s="109" t="b">
        <f t="shared" si="994"/>
        <v>0</v>
      </c>
      <c r="AC2231" s="153" t="b">
        <f t="shared" si="997"/>
        <v>0</v>
      </c>
      <c r="AD2231" s="108" t="b">
        <f t="shared" si="997"/>
        <v>0</v>
      </c>
      <c r="AE2231" s="108" t="b">
        <f t="shared" si="997"/>
        <v>0</v>
      </c>
      <c r="AF2231" s="108" t="b">
        <f t="shared" si="997"/>
        <v>0</v>
      </c>
      <c r="AG2231" s="108" t="b">
        <f t="shared" si="997"/>
        <v>0</v>
      </c>
      <c r="AH2231" s="108" t="b">
        <f t="shared" si="997"/>
        <v>0</v>
      </c>
      <c r="AI2231" s="109" t="b">
        <f t="shared" si="997"/>
        <v>0</v>
      </c>
      <c r="AJ2231" s="2"/>
      <c r="AK2231" s="2"/>
      <c r="AL2231" s="2"/>
    </row>
    <row r="2232" spans="1:38" x14ac:dyDescent="0.25">
      <c r="A2232" s="2"/>
      <c r="B2232" s="19"/>
      <c r="C2232" s="19"/>
      <c r="D2232" s="33">
        <f t="shared" si="996"/>
        <v>6</v>
      </c>
      <c r="E2232" s="1788"/>
      <c r="F2232" s="1049"/>
      <c r="G2232" s="446"/>
      <c r="H2232" s="431"/>
      <c r="I2232" s="468"/>
      <c r="J2232" s="1120"/>
      <c r="K2232" s="431"/>
      <c r="L2232" s="431"/>
      <c r="M2232" s="431"/>
      <c r="N2232" s="431"/>
      <c r="O2232" s="15"/>
      <c r="P2232" s="1362"/>
      <c r="Q2232" s="2"/>
      <c r="R2232" s="2"/>
      <c r="S2232" s="343"/>
      <c r="T2232" s="343"/>
      <c r="U2232" s="2"/>
      <c r="V2232" s="2"/>
      <c r="W2232" s="2"/>
      <c r="X2232" s="2"/>
      <c r="Y2232" s="2"/>
      <c r="Z2232" s="583" t="b">
        <f t="shared" si="991"/>
        <v>0</v>
      </c>
      <c r="AA2232" s="108" t="b">
        <f t="shared" si="992"/>
        <v>0</v>
      </c>
      <c r="AB2232" s="109" t="b">
        <f t="shared" si="994"/>
        <v>0</v>
      </c>
      <c r="AC2232" s="153" t="b">
        <f t="shared" si="997"/>
        <v>0</v>
      </c>
      <c r="AD2232" s="108" t="b">
        <f t="shared" si="997"/>
        <v>0</v>
      </c>
      <c r="AE2232" s="108" t="b">
        <f t="shared" si="997"/>
        <v>0</v>
      </c>
      <c r="AF2232" s="108" t="b">
        <f t="shared" si="997"/>
        <v>0</v>
      </c>
      <c r="AG2232" s="108" t="b">
        <f t="shared" si="997"/>
        <v>0</v>
      </c>
      <c r="AH2232" s="108" t="b">
        <f t="shared" si="997"/>
        <v>0</v>
      </c>
      <c r="AI2232" s="109" t="b">
        <f t="shared" si="997"/>
        <v>0</v>
      </c>
      <c r="AJ2232" s="2"/>
      <c r="AK2232" s="2"/>
      <c r="AL2232" s="2"/>
    </row>
    <row r="2233" spans="1:38" x14ac:dyDescent="0.25">
      <c r="A2233" s="2"/>
      <c r="B2233" s="19"/>
      <c r="C2233" s="19"/>
      <c r="D2233" s="33">
        <f t="shared" si="996"/>
        <v>7</v>
      </c>
      <c r="E2233" s="1788"/>
      <c r="F2233" s="1049"/>
      <c r="G2233" s="446"/>
      <c r="H2233" s="431"/>
      <c r="I2233" s="468"/>
      <c r="J2233" s="1120"/>
      <c r="K2233" s="431"/>
      <c r="L2233" s="431"/>
      <c r="M2233" s="431"/>
      <c r="N2233" s="431"/>
      <c r="O2233" s="15"/>
      <c r="P2233" s="1362"/>
      <c r="Q2233" s="2"/>
      <c r="R2233" s="2"/>
      <c r="S2233" s="343"/>
      <c r="T2233" s="343"/>
      <c r="U2233" s="2"/>
      <c r="V2233" s="2"/>
      <c r="W2233" s="2"/>
      <c r="X2233" s="2"/>
      <c r="Y2233" s="2"/>
      <c r="Z2233" s="583" t="b">
        <f t="shared" si="991"/>
        <v>0</v>
      </c>
      <c r="AA2233" s="108" t="b">
        <f t="shared" si="992"/>
        <v>0</v>
      </c>
      <c r="AB2233" s="109" t="b">
        <f t="shared" si="994"/>
        <v>0</v>
      </c>
      <c r="AC2233" s="153" t="b">
        <f t="shared" si="997"/>
        <v>0</v>
      </c>
      <c r="AD2233" s="108" t="b">
        <f t="shared" si="997"/>
        <v>0</v>
      </c>
      <c r="AE2233" s="108" t="b">
        <f t="shared" si="997"/>
        <v>0</v>
      </c>
      <c r="AF2233" s="108" t="b">
        <f t="shared" si="997"/>
        <v>0</v>
      </c>
      <c r="AG2233" s="108" t="b">
        <f t="shared" si="997"/>
        <v>0</v>
      </c>
      <c r="AH2233" s="108" t="b">
        <f t="shared" si="997"/>
        <v>0</v>
      </c>
      <c r="AI2233" s="109" t="b">
        <f t="shared" si="997"/>
        <v>0</v>
      </c>
      <c r="AJ2233" s="2"/>
      <c r="AK2233" s="2"/>
      <c r="AL2233" s="2"/>
    </row>
    <row r="2234" spans="1:38" x14ac:dyDescent="0.25">
      <c r="A2234" s="2"/>
      <c r="B2234" s="19"/>
      <c r="C2234" s="19"/>
      <c r="D2234" s="33">
        <f t="shared" si="996"/>
        <v>8</v>
      </c>
      <c r="E2234" s="1788"/>
      <c r="F2234" s="1049"/>
      <c r="G2234" s="446"/>
      <c r="H2234" s="431"/>
      <c r="I2234" s="468"/>
      <c r="J2234" s="1120"/>
      <c r="K2234" s="431"/>
      <c r="L2234" s="431"/>
      <c r="M2234" s="431"/>
      <c r="N2234" s="431"/>
      <c r="O2234" s="15"/>
      <c r="P2234" s="1362"/>
      <c r="Q2234" s="2"/>
      <c r="R2234" s="2"/>
      <c r="S2234" s="343"/>
      <c r="T2234" s="343"/>
      <c r="U2234" s="2"/>
      <c r="V2234" s="2"/>
      <c r="W2234" s="2"/>
      <c r="X2234" s="2"/>
      <c r="Y2234" s="2"/>
      <c r="Z2234" s="583" t="b">
        <f t="shared" si="991"/>
        <v>0</v>
      </c>
      <c r="AA2234" s="108" t="b">
        <f t="shared" si="992"/>
        <v>0</v>
      </c>
      <c r="AB2234" s="109" t="b">
        <f t="shared" si="994"/>
        <v>0</v>
      </c>
      <c r="AC2234" s="153" t="b">
        <f t="shared" si="997"/>
        <v>0</v>
      </c>
      <c r="AD2234" s="108" t="b">
        <f t="shared" si="997"/>
        <v>0</v>
      </c>
      <c r="AE2234" s="108" t="b">
        <f t="shared" si="997"/>
        <v>0</v>
      </c>
      <c r="AF2234" s="108" t="b">
        <f t="shared" si="997"/>
        <v>0</v>
      </c>
      <c r="AG2234" s="108" t="b">
        <f t="shared" si="997"/>
        <v>0</v>
      </c>
      <c r="AH2234" s="108" t="b">
        <f t="shared" si="997"/>
        <v>0</v>
      </c>
      <c r="AI2234" s="109" t="b">
        <f t="shared" si="997"/>
        <v>0</v>
      </c>
      <c r="AJ2234" s="2"/>
      <c r="AK2234" s="2"/>
      <c r="AL2234" s="2"/>
    </row>
    <row r="2235" spans="1:38" x14ac:dyDescent="0.25">
      <c r="A2235" s="2"/>
      <c r="B2235" s="19"/>
      <c r="C2235" s="19"/>
      <c r="D2235" s="33">
        <f t="shared" si="996"/>
        <v>9</v>
      </c>
      <c r="E2235" s="1788"/>
      <c r="F2235" s="1049"/>
      <c r="G2235" s="446"/>
      <c r="H2235" s="431"/>
      <c r="I2235" s="468"/>
      <c r="J2235" s="1120"/>
      <c r="K2235" s="431"/>
      <c r="L2235" s="431"/>
      <c r="M2235" s="431"/>
      <c r="N2235" s="431"/>
      <c r="O2235" s="15"/>
      <c r="P2235" s="1362"/>
      <c r="Q2235" s="2"/>
      <c r="R2235" s="2"/>
      <c r="S2235" s="343"/>
      <c r="T2235" s="343"/>
      <c r="U2235" s="2"/>
      <c r="V2235" s="2"/>
      <c r="W2235" s="2"/>
      <c r="X2235" s="2"/>
      <c r="Y2235" s="2"/>
      <c r="Z2235" s="583" t="b">
        <f t="shared" si="991"/>
        <v>0</v>
      </c>
      <c r="AA2235" s="108" t="b">
        <f t="shared" si="992"/>
        <v>0</v>
      </c>
      <c r="AB2235" s="109" t="b">
        <f t="shared" si="994"/>
        <v>0</v>
      </c>
      <c r="AC2235" s="153" t="b">
        <f t="shared" si="997"/>
        <v>0</v>
      </c>
      <c r="AD2235" s="108" t="b">
        <f t="shared" si="997"/>
        <v>0</v>
      </c>
      <c r="AE2235" s="108" t="b">
        <f t="shared" si="997"/>
        <v>0</v>
      </c>
      <c r="AF2235" s="108" t="b">
        <f t="shared" si="997"/>
        <v>0</v>
      </c>
      <c r="AG2235" s="108" t="b">
        <f t="shared" si="997"/>
        <v>0</v>
      </c>
      <c r="AH2235" s="108" t="b">
        <f t="shared" si="997"/>
        <v>0</v>
      </c>
      <c r="AI2235" s="109" t="b">
        <f t="shared" si="997"/>
        <v>0</v>
      </c>
      <c r="AJ2235" s="2"/>
      <c r="AK2235" s="2"/>
      <c r="AL2235" s="2"/>
    </row>
    <row r="2236" spans="1:38" ht="13" thickBot="1" x14ac:dyDescent="0.3">
      <c r="A2236" s="2"/>
      <c r="B2236" s="19"/>
      <c r="C2236" s="19"/>
      <c r="D2236" s="36">
        <f t="shared" si="996"/>
        <v>10</v>
      </c>
      <c r="E2236" s="1790"/>
      <c r="F2236" s="1050"/>
      <c r="G2236" s="447"/>
      <c r="H2236" s="357"/>
      <c r="I2236" s="469"/>
      <c r="J2236" s="1112"/>
      <c r="K2236" s="357"/>
      <c r="L2236" s="357"/>
      <c r="M2236" s="357"/>
      <c r="N2236" s="357"/>
      <c r="O2236" s="15"/>
      <c r="P2236" s="1362"/>
      <c r="Q2236" s="2"/>
      <c r="R2236" s="2"/>
      <c r="S2236" s="343"/>
      <c r="T2236" s="343"/>
      <c r="U2236" s="2"/>
      <c r="V2236" s="2"/>
      <c r="W2236" s="2"/>
      <c r="X2236" s="2"/>
      <c r="Y2236" s="2"/>
      <c r="Z2236" s="110" t="b">
        <f t="shared" si="991"/>
        <v>0</v>
      </c>
      <c r="AA2236" s="111" t="b">
        <f t="shared" si="992"/>
        <v>0</v>
      </c>
      <c r="AB2236" s="112" t="b">
        <f t="shared" si="994"/>
        <v>0</v>
      </c>
      <c r="AC2236" s="156" t="b">
        <f t="shared" si="997"/>
        <v>0</v>
      </c>
      <c r="AD2236" s="111" t="b">
        <f t="shared" si="997"/>
        <v>0</v>
      </c>
      <c r="AE2236" s="111" t="b">
        <f t="shared" si="997"/>
        <v>0</v>
      </c>
      <c r="AF2236" s="111" t="b">
        <f t="shared" si="997"/>
        <v>0</v>
      </c>
      <c r="AG2236" s="111" t="b">
        <f t="shared" si="997"/>
        <v>0</v>
      </c>
      <c r="AH2236" s="111" t="b">
        <f t="shared" si="997"/>
        <v>0</v>
      </c>
      <c r="AI2236" s="112" t="b">
        <f t="shared" si="997"/>
        <v>0</v>
      </c>
      <c r="AJ2236" s="2"/>
      <c r="AK2236" s="2"/>
      <c r="AL2236" s="2"/>
    </row>
    <row r="2237" spans="1:38" ht="12.75" customHeight="1" thickBot="1" x14ac:dyDescent="0.3">
      <c r="A2237" s="2"/>
      <c r="B2237" s="19"/>
      <c r="C2237" s="19"/>
      <c r="D2237" s="90"/>
      <c r="E2237" s="1026" t="str">
        <f>Translations!$B$548</f>
        <v>Summa av produktionsnivåer</v>
      </c>
      <c r="F2237" s="915"/>
      <c r="G2237" s="554"/>
      <c r="H2237" s="275" t="str">
        <f t="shared" ref="H2237:N2237" si="998">IF(COUNT(H2227:H2236)&gt;0,SUM(H2227:H2236),"")</f>
        <v/>
      </c>
      <c r="I2237" s="281" t="str">
        <f t="shared" si="998"/>
        <v/>
      </c>
      <c r="J2237" s="1118" t="str">
        <f t="shared" si="998"/>
        <v/>
      </c>
      <c r="K2237" s="275" t="str">
        <f t="shared" si="998"/>
        <v/>
      </c>
      <c r="L2237" s="275" t="str">
        <f t="shared" si="998"/>
        <v/>
      </c>
      <c r="M2237" s="275" t="str">
        <f t="shared" si="998"/>
        <v/>
      </c>
      <c r="N2237" s="275" t="str">
        <f t="shared" si="998"/>
        <v/>
      </c>
      <c r="O2237" s="15"/>
      <c r="P2237" s="15"/>
      <c r="Q2237" s="2"/>
      <c r="R2237" s="2"/>
      <c r="S2237" s="343"/>
      <c r="T2237" s="343"/>
      <c r="U2237" s="2"/>
      <c r="V2237" s="2"/>
      <c r="W2237" s="2"/>
      <c r="X2237" s="2"/>
      <c r="Y2237" s="2"/>
      <c r="Z2237" s="2"/>
      <c r="AA2237" s="2"/>
      <c r="AB2237" s="555" t="b">
        <f>AND(AB2227:AB2236)</f>
        <v>0</v>
      </c>
      <c r="AC2237" s="2"/>
      <c r="AD2237" s="2"/>
      <c r="AE2237" s="2"/>
      <c r="AF2237" s="2"/>
      <c r="AG2237" s="2"/>
      <c r="AH2237" s="2"/>
      <c r="AI2237" s="2"/>
      <c r="AJ2237" s="2"/>
      <c r="AK2237" s="2"/>
      <c r="AL2237" s="2"/>
    </row>
    <row r="2238" spans="1:38" ht="12.75" customHeight="1" thickBot="1" x14ac:dyDescent="0.3">
      <c r="A2238" s="2"/>
      <c r="B2238" s="178"/>
      <c r="C2238" s="178"/>
      <c r="D2238" s="178"/>
      <c r="E2238" s="178"/>
      <c r="F2238" s="178"/>
      <c r="G2238" s="178"/>
      <c r="H2238" s="178"/>
      <c r="I2238" s="178"/>
      <c r="J2238" s="178"/>
      <c r="K2238" s="178"/>
      <c r="L2238" s="178"/>
      <c r="M2238" s="15"/>
      <c r="N2238" s="15"/>
      <c r="O2238" s="15"/>
      <c r="P2238" s="15"/>
      <c r="Q2238" s="343"/>
      <c r="R2238" s="2"/>
      <c r="S2238" s="343"/>
      <c r="T2238" s="343"/>
      <c r="U2238" s="2"/>
      <c r="V2238" s="2"/>
      <c r="W2238" s="2"/>
      <c r="X2238" s="2"/>
      <c r="Y2238" s="2"/>
      <c r="Z2238" s="2"/>
      <c r="AA2238" s="2"/>
      <c r="AB2238" s="2"/>
      <c r="AC2238" s="2"/>
      <c r="AD2238" s="2"/>
      <c r="AE2238" s="2"/>
      <c r="AF2238" s="2"/>
      <c r="AG2238" s="2"/>
      <c r="AH2238" s="2"/>
      <c r="AI2238" s="2"/>
      <c r="AJ2238" s="2"/>
      <c r="AK2238" s="2"/>
      <c r="AL2238" s="2"/>
    </row>
    <row r="2239" spans="1:38" ht="5.15" customHeight="1" x14ac:dyDescent="0.25">
      <c r="A2239" s="2"/>
      <c r="B2239" s="178"/>
      <c r="C2239" s="775"/>
      <c r="D2239" s="776"/>
      <c r="E2239" s="776"/>
      <c r="F2239" s="776"/>
      <c r="G2239" s="776"/>
      <c r="H2239" s="776"/>
      <c r="I2239" s="776"/>
      <c r="J2239" s="776"/>
      <c r="K2239" s="776"/>
      <c r="L2239" s="776"/>
      <c r="M2239" s="777"/>
      <c r="N2239" s="778"/>
      <c r="O2239" s="15"/>
      <c r="P2239" s="15"/>
      <c r="Q2239" s="343"/>
      <c r="R2239" s="2"/>
      <c r="S2239" s="343"/>
      <c r="T2239" s="343"/>
      <c r="U2239" s="2"/>
      <c r="V2239" s="2"/>
      <c r="W2239" s="2"/>
      <c r="X2239" s="2"/>
      <c r="Y2239" s="2"/>
      <c r="Z2239" s="2"/>
      <c r="AA2239" s="2"/>
      <c r="AB2239" s="2"/>
      <c r="AC2239" s="2"/>
      <c r="AD2239" s="2"/>
      <c r="AE2239" s="2"/>
      <c r="AF2239" s="2"/>
      <c r="AG2239" s="2"/>
      <c r="AH2239" s="2"/>
      <c r="AI2239" s="2"/>
      <c r="AJ2239" s="2"/>
      <c r="AK2239" s="2"/>
      <c r="AL2239" s="2"/>
    </row>
    <row r="2240" spans="1:38" ht="15" customHeight="1" x14ac:dyDescent="0.25">
      <c r="A2240" s="2"/>
      <c r="B2240" s="19"/>
      <c r="C2240" s="779"/>
      <c r="D2240" s="2645" t="str">
        <f>Translations!$B$549</f>
        <v>Uppgifter som krävs för att fastställa den riktmärkesrelaterade förbättringsfaktorn enligt artikel 10a.2 i ETS-direktivet</v>
      </c>
      <c r="E2240" s="2635"/>
      <c r="F2240" s="2635"/>
      <c r="G2240" s="2635"/>
      <c r="H2240" s="2635"/>
      <c r="I2240" s="2635"/>
      <c r="J2240" s="2635"/>
      <c r="K2240" s="2635"/>
      <c r="L2240" s="2635"/>
      <c r="M2240" s="2635"/>
      <c r="N2240" s="2636"/>
      <c r="O2240" s="15"/>
      <c r="P2240" s="15"/>
      <c r="Q2240" s="2"/>
      <c r="R2240" s="2"/>
      <c r="S2240" s="343"/>
      <c r="T2240" s="343"/>
      <c r="U2240" s="2"/>
      <c r="V2240" s="2"/>
      <c r="W2240" s="2"/>
      <c r="X2240" s="2"/>
      <c r="Y2240" s="2"/>
      <c r="Z2240" s="2"/>
      <c r="AA2240" s="2"/>
      <c r="AB2240" s="2"/>
      <c r="AC2240" s="2"/>
      <c r="AD2240" s="2"/>
      <c r="AE2240" s="2"/>
      <c r="AF2240" s="2"/>
      <c r="AG2240" s="2"/>
      <c r="AH2240" s="2"/>
      <c r="AI2240" s="2"/>
      <c r="AJ2240" s="2"/>
      <c r="AK2240" s="2"/>
      <c r="AL2240" s="2"/>
    </row>
    <row r="2241" spans="1:38" ht="5.15" customHeight="1" x14ac:dyDescent="0.25">
      <c r="A2241" s="2"/>
      <c r="B2241" s="19"/>
      <c r="C2241" s="371"/>
      <c r="D2241" s="360"/>
      <c r="E2241" s="360"/>
      <c r="F2241" s="360"/>
      <c r="G2241" s="360"/>
      <c r="H2241" s="360"/>
      <c r="I2241" s="360"/>
      <c r="J2241" s="360"/>
      <c r="K2241" s="360"/>
      <c r="L2241" s="360"/>
      <c r="M2241" s="360"/>
      <c r="N2241" s="372"/>
      <c r="O2241" s="15"/>
      <c r="P2241" s="15"/>
      <c r="Q2241" s="2"/>
      <c r="R2241" s="2"/>
      <c r="S2241" s="343"/>
      <c r="T2241" s="343"/>
      <c r="U2241" s="2"/>
      <c r="V2241" s="2"/>
      <c r="W2241" s="2"/>
      <c r="X2241" s="2"/>
      <c r="Y2241" s="2"/>
      <c r="Z2241" s="2"/>
      <c r="AA2241" s="2"/>
      <c r="AB2241" s="2"/>
      <c r="AC2241" s="2"/>
      <c r="AD2241" s="2"/>
      <c r="AE2241" s="2"/>
      <c r="AF2241" s="2"/>
      <c r="AG2241" s="2"/>
      <c r="AH2241" s="2"/>
      <c r="AI2241" s="2"/>
      <c r="AJ2241" s="2"/>
      <c r="AK2241" s="2"/>
      <c r="AL2241" s="2"/>
    </row>
    <row r="2242" spans="1:38" ht="15" customHeight="1" x14ac:dyDescent="0.25">
      <c r="A2242" s="2"/>
      <c r="B2242" s="19"/>
      <c r="C2242" s="371"/>
      <c r="D2242" s="2646" t="str">
        <f>EUconst_BMSubinst &amp; ":"</f>
        <v>Delanläggning med produktriktmärke:</v>
      </c>
      <c r="E2242" s="2642"/>
      <c r="F2242" s="2642"/>
      <c r="G2242" s="2642"/>
      <c r="H2242" s="2647"/>
      <c r="I2242" s="2090" t="str">
        <f>I2127</f>
        <v/>
      </c>
      <c r="J2242" s="2120"/>
      <c r="K2242" s="2120"/>
      <c r="L2242" s="2120"/>
      <c r="M2242" s="2120"/>
      <c r="N2242" s="2648"/>
      <c r="O2242" s="15"/>
      <c r="P2242" s="15"/>
      <c r="Q2242" s="2"/>
      <c r="R2242" s="2"/>
      <c r="S2242" s="343"/>
      <c r="T2242" s="343"/>
      <c r="U2242" s="2"/>
      <c r="V2242" s="2"/>
      <c r="W2242" s="2"/>
      <c r="X2242" s="2"/>
      <c r="Y2242" s="2"/>
      <c r="Z2242" s="2"/>
      <c r="AA2242" s="2"/>
      <c r="AB2242" s="2"/>
      <c r="AC2242" s="2"/>
      <c r="AD2242" s="2"/>
      <c r="AE2242" s="2"/>
      <c r="AF2242" s="2"/>
      <c r="AG2242" s="2"/>
      <c r="AH2242" s="2"/>
      <c r="AI2242" s="2"/>
      <c r="AJ2242" s="2"/>
      <c r="AK2242" s="2"/>
      <c r="AL2242" s="2"/>
    </row>
    <row r="2243" spans="1:38" ht="5.15" customHeight="1" x14ac:dyDescent="0.25">
      <c r="A2243" s="2"/>
      <c r="B2243" s="19"/>
      <c r="C2243" s="371"/>
      <c r="D2243" s="360"/>
      <c r="E2243" s="360"/>
      <c r="F2243" s="360"/>
      <c r="G2243" s="360"/>
      <c r="H2243" s="360"/>
      <c r="I2243" s="360"/>
      <c r="J2243" s="360"/>
      <c r="K2243" s="360"/>
      <c r="L2243" s="360"/>
      <c r="M2243" s="360"/>
      <c r="N2243" s="372"/>
      <c r="O2243" s="15"/>
      <c r="P2243" s="15"/>
      <c r="Q2243" s="2"/>
      <c r="R2243" s="2"/>
      <c r="S2243" s="343"/>
      <c r="T2243" s="343"/>
      <c r="U2243" s="2"/>
      <c r="V2243" s="2"/>
      <c r="W2243" s="2"/>
      <c r="X2243" s="2"/>
      <c r="Y2243" s="2"/>
      <c r="Z2243" s="2"/>
      <c r="AA2243" s="2"/>
      <c r="AB2243" s="2"/>
      <c r="AC2243" s="2"/>
      <c r="AD2243" s="2"/>
      <c r="AE2243" s="2"/>
      <c r="AF2243" s="2"/>
      <c r="AG2243" s="2"/>
      <c r="AH2243" s="2"/>
      <c r="AI2243" s="2"/>
      <c r="AJ2243" s="2"/>
      <c r="AK2243" s="2"/>
      <c r="AL2243" s="2"/>
    </row>
    <row r="2244" spans="1:38" ht="30" customHeight="1" x14ac:dyDescent="0.25">
      <c r="A2244" s="2"/>
      <c r="B2244" s="178"/>
      <c r="C2244" s="779"/>
      <c r="D2244" s="780"/>
      <c r="E2244" s="2649" t="str">
        <f>Translations!$B$550</f>
        <v>Detta underavsnitt avser tillskrivning av utsläpp från bränsle-/materialmängder, utsläppskällor, import och export av mätbar värme och restgaser inklusive värmeförluster i enlighet med avsnitt 10 i bilaga VII till FAR.</v>
      </c>
      <c r="F2244" s="2649"/>
      <c r="G2244" s="2649"/>
      <c r="H2244" s="2649"/>
      <c r="I2244" s="2649"/>
      <c r="J2244" s="2649"/>
      <c r="K2244" s="2649"/>
      <c r="L2244" s="2649"/>
      <c r="M2244" s="2649"/>
      <c r="N2244" s="2650"/>
      <c r="O2244" s="15"/>
      <c r="P2244" s="15"/>
      <c r="Q2244" s="343"/>
      <c r="R2244" s="2"/>
      <c r="S2244" s="2"/>
      <c r="T2244" s="2"/>
      <c r="U2244" s="2"/>
      <c r="V2244" s="2"/>
      <c r="W2244" s="2"/>
      <c r="X2244" s="2"/>
      <c r="Y2244" s="2"/>
      <c r="Z2244" s="2"/>
      <c r="AA2244" s="2"/>
      <c r="AB2244" s="2"/>
      <c r="AC2244" s="2"/>
      <c r="AD2244" s="2"/>
      <c r="AE2244" s="2"/>
      <c r="AF2244" s="2"/>
      <c r="AG2244" s="2"/>
      <c r="AH2244" s="2"/>
      <c r="AI2244" s="2"/>
      <c r="AJ2244" s="2"/>
      <c r="AK2244" s="2"/>
      <c r="AL2244" s="2"/>
    </row>
    <row r="2245" spans="1:38" ht="30" customHeight="1" x14ac:dyDescent="0.25">
      <c r="A2245" s="2"/>
      <c r="B2245" s="178"/>
      <c r="C2245" s="779"/>
      <c r="D2245" s="780"/>
      <c r="E2245" s="2649" t="str">
        <f>Translations!$B$551</f>
        <v xml:space="preserve">Var god notera att även om viss vägledning ges för varje punkt nedan bör ytterligare information inhämtas från vägledning 5 (”Monitoring and Reporting in relation to the FAR”), som också innehåller exempel. </v>
      </c>
      <c r="F2245" s="2649"/>
      <c r="G2245" s="2649"/>
      <c r="H2245" s="2649"/>
      <c r="I2245" s="2649"/>
      <c r="J2245" s="2649"/>
      <c r="K2245" s="2649"/>
      <c r="L2245" s="2649"/>
      <c r="M2245" s="2649"/>
      <c r="N2245" s="2597"/>
      <c r="O2245" s="15"/>
      <c r="P2245" s="15"/>
      <c r="Q2245" s="343"/>
      <c r="R2245" s="2"/>
      <c r="S2245" s="2"/>
      <c r="T2245" s="2"/>
      <c r="U2245" s="2"/>
      <c r="V2245" s="2"/>
      <c r="W2245" s="2"/>
      <c r="X2245" s="2"/>
      <c r="Y2245" s="2"/>
      <c r="Z2245" s="2"/>
      <c r="AA2245" s="2"/>
      <c r="AB2245" s="2"/>
      <c r="AC2245" s="2"/>
      <c r="AD2245" s="2"/>
      <c r="AE2245" s="2"/>
      <c r="AF2245" s="2"/>
      <c r="AG2245" s="2"/>
      <c r="AH2245" s="2"/>
      <c r="AI2245" s="2"/>
      <c r="AJ2245" s="2"/>
      <c r="AK2245" s="2"/>
      <c r="AL2245" s="2"/>
    </row>
    <row r="2246" spans="1:38" ht="12.75" customHeight="1" x14ac:dyDescent="0.25">
      <c r="A2246" s="2"/>
      <c r="B2246" s="178"/>
      <c r="C2246" s="779"/>
      <c r="D2246" s="780"/>
      <c r="E2246" s="2649" t="str">
        <f>Translations!$B$552</f>
        <v xml:space="preserve">Vägledningen kan laddas ner via följande länk: </v>
      </c>
      <c r="F2246" s="1960"/>
      <c r="G2246" s="1960"/>
      <c r="H2246" s="1960"/>
      <c r="I2246" s="1960"/>
      <c r="J2246" s="1960"/>
      <c r="K2246" s="1960"/>
      <c r="L2246" s="1960"/>
      <c r="M2246" s="1960"/>
      <c r="N2246" s="2597"/>
      <c r="O2246" s="15"/>
      <c r="P2246" s="15"/>
      <c r="Q2246" s="343"/>
      <c r="R2246" s="2"/>
      <c r="S2246" s="2"/>
      <c r="T2246" s="2"/>
      <c r="U2246" s="2"/>
      <c r="V2246" s="2"/>
      <c r="W2246" s="2"/>
      <c r="X2246" s="2"/>
      <c r="Y2246" s="2"/>
      <c r="Z2246" s="2"/>
      <c r="AA2246" s="2"/>
      <c r="AB2246" s="2"/>
      <c r="AC2246" s="2"/>
      <c r="AD2246" s="2"/>
      <c r="AE2246" s="2"/>
      <c r="AF2246" s="2"/>
      <c r="AG2246" s="2"/>
      <c r="AH2246" s="2"/>
      <c r="AI2246" s="2"/>
      <c r="AJ2246" s="2"/>
      <c r="AK2246" s="2"/>
      <c r="AL2246" s="2"/>
    </row>
    <row r="2247" spans="1:38" ht="15" customHeight="1" x14ac:dyDescent="0.25">
      <c r="A2247" s="2"/>
      <c r="B2247" s="178"/>
      <c r="C2247" s="779"/>
      <c r="D2247" s="780"/>
      <c r="E2247" s="2651" t="str">
        <f>Translations!$B$553</f>
        <v>https://ec.europa.eu/clima/policies/ets/allowances_en#tab-0-1</v>
      </c>
      <c r="F2247" s="2651"/>
      <c r="G2247" s="2651"/>
      <c r="H2247" s="2651"/>
      <c r="I2247" s="2651"/>
      <c r="J2247" s="2651"/>
      <c r="K2247" s="2651"/>
      <c r="L2247" s="2651"/>
      <c r="M2247" s="2651"/>
      <c r="N2247" s="2624"/>
      <c r="O2247" s="15"/>
      <c r="P2247" s="15"/>
      <c r="Q2247" s="343"/>
      <c r="R2247" s="2"/>
      <c r="S2247" s="2"/>
      <c r="T2247" s="2"/>
      <c r="U2247" s="2"/>
      <c r="V2247" s="2"/>
      <c r="W2247" s="2"/>
      <c r="X2247" s="2"/>
      <c r="Y2247" s="2"/>
      <c r="Z2247" s="2"/>
      <c r="AA2247" s="2"/>
      <c r="AB2247" s="2"/>
      <c r="AC2247" s="2"/>
      <c r="AD2247" s="2"/>
      <c r="AE2247" s="2"/>
      <c r="AF2247" s="2"/>
      <c r="AG2247" s="2"/>
      <c r="AH2247" s="2"/>
      <c r="AI2247" s="2"/>
      <c r="AJ2247" s="2"/>
      <c r="AK2247" s="2"/>
      <c r="AL2247" s="2"/>
    </row>
    <row r="2248" spans="1:38" ht="5.15" customHeight="1" x14ac:dyDescent="0.25">
      <c r="A2248" s="2"/>
      <c r="B2248" s="19"/>
      <c r="C2248" s="371"/>
      <c r="D2248" s="360"/>
      <c r="E2248" s="360"/>
      <c r="F2248" s="360"/>
      <c r="G2248" s="360"/>
      <c r="H2248" s="360"/>
      <c r="I2248" s="360"/>
      <c r="J2248" s="360"/>
      <c r="K2248" s="360"/>
      <c r="L2248" s="360"/>
      <c r="M2248" s="360"/>
      <c r="N2248" s="372"/>
      <c r="O2248" s="15"/>
      <c r="P2248" s="15"/>
      <c r="Q2248" s="2"/>
      <c r="R2248" s="2"/>
      <c r="S2248" s="343"/>
      <c r="T2248" s="343"/>
      <c r="U2248" s="2"/>
      <c r="V2248" s="2"/>
      <c r="W2248" s="2"/>
      <c r="X2248" s="2"/>
      <c r="Y2248" s="2"/>
      <c r="Z2248" s="2"/>
      <c r="AA2248" s="2"/>
      <c r="AB2248" s="2"/>
      <c r="AC2248" s="2"/>
      <c r="AD2248" s="2"/>
      <c r="AE2248" s="2"/>
      <c r="AF2248" s="2"/>
      <c r="AG2248" s="2"/>
      <c r="AH2248" s="2"/>
      <c r="AI2248" s="2"/>
      <c r="AJ2248" s="2"/>
      <c r="AK2248" s="2"/>
      <c r="AL2248" s="2"/>
    </row>
    <row r="2249" spans="1:38" ht="15" customHeight="1" x14ac:dyDescent="0.25">
      <c r="A2249" s="2"/>
      <c r="B2249" s="178"/>
      <c r="C2249" s="779"/>
      <c r="D2249" s="780"/>
      <c r="E2249" s="2633" t="str">
        <f>Translations!$B$554</f>
        <v>Utifrån de uppgifter som anges nedan beräknas de tillskrivna utsläppen i avsnitt K.III.2 i det sammanfattande bladet "K_Summary".</v>
      </c>
      <c r="F2249" s="2633"/>
      <c r="G2249" s="2633"/>
      <c r="H2249" s="2633"/>
      <c r="I2249" s="2633"/>
      <c r="J2249" s="2633"/>
      <c r="K2249" s="2633"/>
      <c r="L2249" s="2633"/>
      <c r="M2249" s="2633"/>
      <c r="N2249" s="2624"/>
      <c r="O2249" s="15"/>
      <c r="P2249" s="15"/>
      <c r="Q2249" s="343"/>
      <c r="R2249" s="2"/>
      <c r="S2249" s="2"/>
      <c r="T2249" s="2"/>
      <c r="U2249" s="2"/>
      <c r="V2249" s="2"/>
      <c r="W2249" s="2"/>
      <c r="X2249" s="2"/>
      <c r="Y2249" s="2"/>
      <c r="Z2249" s="2"/>
      <c r="AA2249" s="2"/>
      <c r="AB2249" s="2"/>
      <c r="AC2249" s="2"/>
      <c r="AD2249" s="2"/>
      <c r="AE2249" s="2"/>
      <c r="AF2249" s="2"/>
      <c r="AG2249" s="2"/>
      <c r="AH2249" s="2"/>
      <c r="AI2249" s="2"/>
      <c r="AJ2249" s="2"/>
      <c r="AK2249" s="2"/>
      <c r="AL2249" s="2"/>
    </row>
    <row r="2250" spans="1:38" ht="5.15" customHeight="1" x14ac:dyDescent="0.25">
      <c r="A2250" s="2"/>
      <c r="B2250" s="19"/>
      <c r="C2250" s="371"/>
      <c r="D2250" s="360"/>
      <c r="E2250" s="360"/>
      <c r="F2250" s="360"/>
      <c r="G2250" s="360"/>
      <c r="H2250" s="360"/>
      <c r="I2250" s="360"/>
      <c r="J2250" s="360"/>
      <c r="K2250" s="360"/>
      <c r="L2250" s="360"/>
      <c r="M2250" s="360"/>
      <c r="N2250" s="372"/>
      <c r="O2250" s="15"/>
      <c r="P2250" s="15"/>
      <c r="Q2250" s="2"/>
      <c r="R2250" s="2"/>
      <c r="S2250" s="343"/>
      <c r="T2250" s="343"/>
      <c r="U2250" s="2"/>
      <c r="V2250" s="2"/>
      <c r="W2250" s="2"/>
      <c r="X2250" s="2"/>
      <c r="Y2250" s="2"/>
      <c r="Z2250" s="2"/>
      <c r="AA2250" s="2"/>
      <c r="AB2250" s="2"/>
      <c r="AC2250" s="2"/>
      <c r="AD2250" s="2"/>
      <c r="AE2250" s="2"/>
      <c r="AF2250" s="2"/>
      <c r="AG2250" s="2"/>
      <c r="AH2250" s="2"/>
      <c r="AI2250" s="2"/>
      <c r="AJ2250" s="2"/>
      <c r="AK2250" s="2"/>
      <c r="AL2250" s="2"/>
    </row>
    <row r="2251" spans="1:38" ht="12.75" customHeight="1" x14ac:dyDescent="0.25">
      <c r="A2251" s="2"/>
      <c r="B2251" s="178"/>
      <c r="C2251" s="779"/>
      <c r="D2251" s="373" t="s">
        <v>299</v>
      </c>
      <c r="E2251" s="2634" t="str">
        <f>Translations!$B$555</f>
        <v>Utsläpp som direkt kan tillskrivas (DirEm* (bränsle-/materialmängder enligt övervakningsplan)) delanläggningen</v>
      </c>
      <c r="F2251" s="2635"/>
      <c r="G2251" s="2635"/>
      <c r="H2251" s="2635"/>
      <c r="I2251" s="2635"/>
      <c r="J2251" s="2635"/>
      <c r="K2251" s="2635"/>
      <c r="L2251" s="2635"/>
      <c r="M2251" s="2635"/>
      <c r="N2251" s="2636"/>
      <c r="O2251" s="15"/>
      <c r="P2251" s="15"/>
      <c r="Q2251" s="343"/>
      <c r="R2251" s="2"/>
      <c r="S2251" s="343"/>
      <c r="T2251" s="343"/>
      <c r="U2251" s="2"/>
      <c r="V2251" s="2"/>
      <c r="W2251" s="2"/>
      <c r="X2251" s="2"/>
      <c r="Y2251" s="2"/>
      <c r="Z2251" s="2"/>
      <c r="AA2251" s="2"/>
      <c r="AB2251" s="2"/>
      <c r="AC2251" s="2"/>
      <c r="AD2251" s="2"/>
      <c r="AE2251" s="2"/>
      <c r="AF2251" s="2"/>
      <c r="AG2251" s="2"/>
      <c r="AH2251" s="2"/>
      <c r="AI2251" s="2"/>
      <c r="AJ2251" s="2"/>
      <c r="AK2251" s="2"/>
      <c r="AL2251" s="2"/>
    </row>
    <row r="2252" spans="1:38" ht="12.75" customHeight="1" x14ac:dyDescent="0.25">
      <c r="A2252" s="2"/>
      <c r="B2252" s="178"/>
      <c r="C2252" s="779"/>
      <c r="D2252" s="416"/>
      <c r="E2252" s="2637" t="str">
        <f>Translations!$B$556</f>
        <v>De uppgifter som anges här påverkar de utsläpp som kan tillskrivas i enlighet med avsnitt 10.1.1 i bilaga VII till FAR.</v>
      </c>
      <c r="F2252" s="2634"/>
      <c r="G2252" s="2634"/>
      <c r="H2252" s="2634"/>
      <c r="I2252" s="2634"/>
      <c r="J2252" s="2634"/>
      <c r="K2252" s="2634"/>
      <c r="L2252" s="2634"/>
      <c r="M2252" s="2634"/>
      <c r="N2252" s="2638"/>
      <c r="O2252" s="15"/>
      <c r="P2252" s="15"/>
      <c r="Q2252" s="343"/>
      <c r="R2252" s="2"/>
      <c r="S2252" s="343"/>
      <c r="T2252" s="343"/>
      <c r="U2252" s="2"/>
      <c r="V2252" s="2"/>
      <c r="W2252" s="2"/>
      <c r="X2252" s="2"/>
      <c r="Y2252" s="2"/>
      <c r="Z2252" s="2"/>
      <c r="AA2252" s="2"/>
      <c r="AB2252" s="2"/>
      <c r="AC2252" s="2"/>
      <c r="AD2252" s="2"/>
      <c r="AE2252" s="2"/>
      <c r="AF2252" s="2"/>
      <c r="AG2252" s="2"/>
      <c r="AH2252" s="2"/>
      <c r="AI2252" s="2"/>
      <c r="AJ2252" s="2"/>
      <c r="AK2252" s="2"/>
      <c r="AL2252" s="2"/>
    </row>
    <row r="2253" spans="1:38" ht="12.75" customHeight="1" x14ac:dyDescent="0.25">
      <c r="A2253" s="2"/>
      <c r="B2253" s="178"/>
      <c r="C2253" s="779"/>
      <c r="D2253" s="780"/>
      <c r="E2253" s="2639" t="str">
        <f>Translations!$B$557</f>
        <v>Var god ange utsläpp som direkt kan tillskrivas (DirEm* (bränsle-/materialmängder enligt övervakningsplan)) delanläggningen med beaktande av följande bestämmelser:</v>
      </c>
      <c r="F2253" s="2639"/>
      <c r="G2253" s="2639"/>
      <c r="H2253" s="2639"/>
      <c r="I2253" s="2639"/>
      <c r="J2253" s="2639"/>
      <c r="K2253" s="2639"/>
      <c r="L2253" s="2639"/>
      <c r="M2253" s="2639"/>
      <c r="N2253" s="2640"/>
      <c r="O2253" s="15"/>
      <c r="P2253" s="15"/>
      <c r="Q2253" s="343"/>
      <c r="R2253" s="2"/>
      <c r="S2253" s="343"/>
      <c r="T2253" s="2"/>
      <c r="U2253" s="2"/>
      <c r="V2253" s="2"/>
      <c r="W2253" s="2"/>
      <c r="X2253" s="2"/>
      <c r="Y2253" s="2"/>
      <c r="Z2253" s="2"/>
      <c r="AA2253" s="2"/>
      <c r="AB2253" s="2"/>
      <c r="AC2253" s="2"/>
      <c r="AD2253" s="2"/>
      <c r="AE2253" s="2"/>
      <c r="AF2253" s="2"/>
      <c r="AG2253" s="2"/>
      <c r="AH2253" s="2"/>
      <c r="AI2253" s="2"/>
      <c r="AJ2253" s="2"/>
      <c r="AK2253" s="2"/>
      <c r="AL2253" s="2"/>
    </row>
    <row r="2254" spans="1:38" ht="25.5" customHeight="1" x14ac:dyDescent="0.25">
      <c r="A2254" s="2"/>
      <c r="B2254" s="178"/>
      <c r="C2254" s="779"/>
      <c r="D2254" s="780"/>
      <c r="E2254" s="1140" t="s">
        <v>1112</v>
      </c>
      <c r="F2254" s="2641" t="str">
        <f>Translations!$B$558</f>
        <v>”Utsläpp som direkt kan tillskrivas” övervakas enligt den övervakningsplan som ska godkännas enligt M&amp;R-förordningen, dvs. med hänsyn tagen till de utsläpp som fastställts utifrån beräkningsbaserade metoder (med hjälp av bränsle-/materialmängder), mätbaserade metoder (Cems) och nivålösa metoder (”alternativa övervakningsmetoder”/”fall-back”).</v>
      </c>
      <c r="G2254" s="2642"/>
      <c r="H2254" s="2642"/>
      <c r="I2254" s="2642"/>
      <c r="J2254" s="2642"/>
      <c r="K2254" s="2642"/>
      <c r="L2254" s="2642"/>
      <c r="M2254" s="2642"/>
      <c r="N2254" s="2643"/>
      <c r="O2254" s="15"/>
      <c r="P2254" s="15"/>
      <c r="Q2254" s="343"/>
      <c r="R2254" s="2"/>
      <c r="S2254" s="343"/>
      <c r="T2254" s="2"/>
      <c r="U2254" s="2"/>
      <c r="V2254" s="2"/>
      <c r="W2254" s="2"/>
      <c r="X2254" s="2"/>
      <c r="Y2254" s="2"/>
      <c r="Z2254" s="2"/>
      <c r="AA2254" s="2"/>
      <c r="AB2254" s="2"/>
      <c r="AC2254" s="2"/>
      <c r="AD2254" s="2"/>
      <c r="AE2254" s="2"/>
      <c r="AF2254" s="2"/>
      <c r="AG2254" s="2"/>
      <c r="AH2254" s="2"/>
      <c r="AI2254" s="2"/>
      <c r="AJ2254" s="2"/>
      <c r="AK2254" s="2"/>
      <c r="AL2254" s="2"/>
    </row>
    <row r="2255" spans="1:38" ht="38.25" customHeight="1" x14ac:dyDescent="0.25">
      <c r="A2255" s="2"/>
      <c r="B2255" s="178"/>
      <c r="C2255" s="779"/>
      <c r="D2255" s="780"/>
      <c r="E2255" s="1140"/>
      <c r="F2255" s="2610" t="str">
        <f>Translations!$B$559</f>
        <v>I flera situationer är ”utsläppen som direkt kan tillskrivas” i detta avsnitt dock inte identiska med de som ska rapporteras enligt M&amp;R-förordningen. Sådana situationer är bland annat när bränsle-/materialmängder används för produktion av mätbar värme, restgaser osv. Med andra ord måste man därför vara uppmärksam när man fyller i avsnitten nedan, så att man följer instruktionerna noggrant för att undvika dubbelräkning eller utelämnanden.</v>
      </c>
      <c r="G2255" s="1960"/>
      <c r="H2255" s="1960"/>
      <c r="I2255" s="1960"/>
      <c r="J2255" s="1960"/>
      <c r="K2255" s="1960"/>
      <c r="L2255" s="1960"/>
      <c r="M2255" s="1960"/>
      <c r="N2255" s="2597"/>
      <c r="O2255" s="15"/>
      <c r="P2255" s="15"/>
      <c r="Q2255" s="343"/>
      <c r="R2255" s="2"/>
      <c r="S2255" s="343"/>
      <c r="T2255" s="2"/>
      <c r="U2255" s="2"/>
      <c r="V2255" s="2"/>
      <c r="W2255" s="2"/>
      <c r="X2255" s="2"/>
      <c r="Y2255" s="2"/>
      <c r="Z2255" s="2"/>
      <c r="AA2255" s="2"/>
      <c r="AB2255" s="2"/>
      <c r="AC2255" s="2"/>
      <c r="AD2255" s="2"/>
      <c r="AE2255" s="2"/>
      <c r="AF2255" s="2"/>
      <c r="AG2255" s="2"/>
      <c r="AH2255" s="2"/>
      <c r="AI2255" s="2"/>
      <c r="AJ2255" s="2"/>
      <c r="AK2255" s="2"/>
      <c r="AL2255" s="2"/>
    </row>
    <row r="2256" spans="1:38" ht="12.75" customHeight="1" x14ac:dyDescent="0.25">
      <c r="A2256" s="2"/>
      <c r="B2256" s="178"/>
      <c r="C2256" s="779"/>
      <c r="D2256" s="780"/>
      <c r="E2256" s="1140" t="s">
        <v>1112</v>
      </c>
      <c r="F2256" s="2641" t="str">
        <f>Translations!$B$560</f>
        <v xml:space="preserve">Mätbar värme: om värmen enbart produceras för en delanläggning kan utsläppen tillskrivas direkt här via bränslets utsläpp. </v>
      </c>
      <c r="G2256" s="2642"/>
      <c r="H2256" s="2642"/>
      <c r="I2256" s="2642"/>
      <c r="J2256" s="2642"/>
      <c r="K2256" s="2642"/>
      <c r="L2256" s="2642"/>
      <c r="M2256" s="2642"/>
      <c r="N2256" s="2643"/>
      <c r="O2256" s="15"/>
      <c r="P2256" s="15"/>
      <c r="Q2256" s="343"/>
      <c r="R2256" s="2"/>
      <c r="S2256" s="343"/>
      <c r="T2256" s="2"/>
      <c r="U2256" s="2"/>
      <c r="V2256" s="2"/>
      <c r="W2256" s="2"/>
      <c r="X2256" s="2"/>
      <c r="Y2256" s="2"/>
      <c r="Z2256" s="2"/>
      <c r="AA2256" s="2"/>
      <c r="AB2256" s="2"/>
      <c r="AC2256" s="2"/>
      <c r="AD2256" s="2"/>
      <c r="AE2256" s="2"/>
      <c r="AF2256" s="2"/>
      <c r="AG2256" s="2"/>
      <c r="AH2256" s="2"/>
      <c r="AI2256" s="2"/>
      <c r="AJ2256" s="2"/>
      <c r="AK2256" s="2"/>
      <c r="AL2256" s="2"/>
    </row>
    <row r="2257" spans="1:38" ht="38.9" customHeight="1" x14ac:dyDescent="0.25">
      <c r="A2257" s="2"/>
      <c r="B2257" s="178"/>
      <c r="C2257" s="779"/>
      <c r="D2257" s="780"/>
      <c r="E2257" s="1140"/>
      <c r="F2257" s="2641" t="str">
        <f>Translations!$B$561</f>
        <v>I samtliga fall där bränslen används för att producera mätbar värme som används i mer än en delanläggning där värmen förbrukas (vilket innefattar situationer med import från och export till andra anläggningar), bör bränslena inte räknas med i de ”utsläpp som direkt kan tillskrivas” delanläggningen utan tas med i punkt k nedan.</v>
      </c>
      <c r="G2257" s="2642"/>
      <c r="H2257" s="2642"/>
      <c r="I2257" s="2642"/>
      <c r="J2257" s="2642"/>
      <c r="K2257" s="2642"/>
      <c r="L2257" s="2642"/>
      <c r="M2257" s="2642"/>
      <c r="N2257" s="2643"/>
      <c r="O2257" s="15"/>
      <c r="P2257" s="15"/>
      <c r="Q2257" s="343"/>
      <c r="R2257" s="2"/>
      <c r="S2257" s="343"/>
      <c r="T2257" s="2"/>
      <c r="U2257" s="2"/>
      <c r="V2257" s="2"/>
      <c r="W2257" s="2"/>
      <c r="X2257" s="2"/>
      <c r="Y2257" s="2"/>
      <c r="Z2257" s="2"/>
      <c r="AA2257" s="2"/>
      <c r="AB2257" s="2"/>
      <c r="AC2257" s="2"/>
      <c r="AD2257" s="2"/>
      <c r="AE2257" s="2"/>
      <c r="AF2257" s="2"/>
      <c r="AG2257" s="2"/>
      <c r="AH2257" s="2"/>
      <c r="AI2257" s="2"/>
      <c r="AJ2257" s="2"/>
      <c r="AK2257" s="2"/>
      <c r="AL2257" s="2"/>
    </row>
    <row r="2258" spans="1:38" ht="25.5" customHeight="1" x14ac:dyDescent="0.25">
      <c r="A2258" s="2"/>
      <c r="B2258" s="178"/>
      <c r="C2258" s="779"/>
      <c r="D2258" s="780"/>
      <c r="E2258" s="1140"/>
      <c r="F2258" s="2641" t="str">
        <f>Translations!$B$562</f>
        <v>Detta innefattar mätbar värme från en enhet på platsen (t.ex. en energicentral vid anläggningen eller ett mer komplext ångnätverk med flera värmeproducerande enheter) som ger värme till mer än en delanläggning. I ett sådant fall bör utsläppen inte heller tillskrivas här utan i punkt k.i nedan.</v>
      </c>
      <c r="G2258" s="2642"/>
      <c r="H2258" s="2642"/>
      <c r="I2258" s="2642"/>
      <c r="J2258" s="2642"/>
      <c r="K2258" s="2642"/>
      <c r="L2258" s="2642"/>
      <c r="M2258" s="2642"/>
      <c r="N2258" s="2643"/>
      <c r="O2258" s="15"/>
      <c r="P2258" s="15"/>
      <c r="Q2258" s="343"/>
      <c r="R2258" s="2"/>
      <c r="S2258" s="343"/>
      <c r="T2258" s="2"/>
      <c r="U2258" s="2"/>
      <c r="V2258" s="2"/>
      <c r="W2258" s="2"/>
      <c r="X2258" s="2"/>
      <c r="Y2258" s="2"/>
      <c r="Z2258" s="2"/>
      <c r="AA2258" s="2"/>
      <c r="AB2258" s="2"/>
      <c r="AC2258" s="2"/>
      <c r="AD2258" s="2"/>
      <c r="AE2258" s="2"/>
      <c r="AF2258" s="2"/>
      <c r="AG2258" s="2"/>
      <c r="AH2258" s="2"/>
      <c r="AI2258" s="2"/>
      <c r="AJ2258" s="2"/>
      <c r="AK2258" s="2"/>
      <c r="AL2258" s="2"/>
    </row>
    <row r="2259" spans="1:38" ht="25.5" customHeight="1" x14ac:dyDescent="0.25">
      <c r="A2259" s="2"/>
      <c r="B2259" s="178"/>
      <c r="C2259" s="779"/>
      <c r="D2259" s="780"/>
      <c r="E2259" s="1140" t="s">
        <v>1112</v>
      </c>
      <c r="F2259" s="2641" t="str">
        <f>Translations!$B$563</f>
        <v>Exporterad mätbar värme: inga korrigeringar bör göras här om sådan värme återvinns från processen och exporteras. Avdrag för tillhörande utsläpp görs utifrån de uppgifter som ges i punkt k.v nedan.</v>
      </c>
      <c r="G2259" s="2642"/>
      <c r="H2259" s="2642"/>
      <c r="I2259" s="2642"/>
      <c r="J2259" s="2642"/>
      <c r="K2259" s="2642"/>
      <c r="L2259" s="2642"/>
      <c r="M2259" s="2642"/>
      <c r="N2259" s="2643"/>
      <c r="O2259" s="15"/>
      <c r="P2259" s="15"/>
      <c r="Q2259" s="343"/>
      <c r="R2259" s="2"/>
      <c r="S2259" s="343"/>
      <c r="T2259" s="2"/>
      <c r="U2259" s="2"/>
      <c r="V2259" s="2"/>
      <c r="W2259" s="2"/>
      <c r="X2259" s="2"/>
      <c r="Y2259" s="2"/>
      <c r="Z2259" s="2"/>
      <c r="AA2259" s="2"/>
      <c r="AB2259" s="2"/>
      <c r="AC2259" s="2"/>
      <c r="AD2259" s="2"/>
      <c r="AE2259" s="2"/>
      <c r="AF2259" s="2"/>
      <c r="AG2259" s="2"/>
      <c r="AH2259" s="2"/>
      <c r="AI2259" s="2"/>
      <c r="AJ2259" s="2"/>
      <c r="AK2259" s="2"/>
      <c r="AL2259" s="2"/>
    </row>
    <row r="2260" spans="1:38" ht="25.5" customHeight="1" thickBot="1" x14ac:dyDescent="0.3">
      <c r="A2260" s="2"/>
      <c r="B2260" s="178"/>
      <c r="C2260" s="779"/>
      <c r="D2260" s="780"/>
      <c r="E2260" s="1140" t="s">
        <v>1112</v>
      </c>
      <c r="F2260" s="2641" t="str">
        <f>Translations!$B$564</f>
        <v>Restgaser: utsläpp från restgaser som IMPORTERAS från andra anläggningar eller delanläggningar och förbrukas i denna delanläggning bör inte tas med här utan i punkt l nedan.</v>
      </c>
      <c r="G2260" s="2642"/>
      <c r="H2260" s="2642"/>
      <c r="I2260" s="2642"/>
      <c r="J2260" s="2642"/>
      <c r="K2260" s="2642"/>
      <c r="L2260" s="2642"/>
      <c r="M2260" s="2642"/>
      <c r="N2260" s="2643"/>
      <c r="O2260" s="15"/>
      <c r="P2260" s="15"/>
      <c r="Q2260" s="343"/>
      <c r="R2260" s="2"/>
      <c r="S2260" s="343"/>
      <c r="T2260" s="2"/>
      <c r="U2260" s="2"/>
      <c r="V2260" s="2"/>
      <c r="W2260" s="2"/>
      <c r="X2260" s="2"/>
      <c r="Y2260" s="2"/>
      <c r="Z2260" s="2"/>
      <c r="AA2260" s="2"/>
      <c r="AB2260" s="2"/>
      <c r="AC2260" s="2"/>
      <c r="AD2260" s="2"/>
      <c r="AE2260" s="2"/>
      <c r="AF2260" s="2"/>
      <c r="AG2260" s="2"/>
      <c r="AH2260" s="2"/>
      <c r="AI2260" s="2"/>
      <c r="AJ2260" s="2"/>
      <c r="AK2260" s="2"/>
      <c r="AL2260" s="2"/>
    </row>
    <row r="2261" spans="1:38" ht="12.75" customHeight="1" thickBot="1" x14ac:dyDescent="0.3">
      <c r="A2261" s="2"/>
      <c r="B2261" s="178"/>
      <c r="C2261" s="779"/>
      <c r="D2261" s="373"/>
      <c r="E2261" s="2605" t="str">
        <f>Translations!$B$565</f>
        <v>Utsläpp som direkt kan tillskrivas (DirEm*)</v>
      </c>
      <c r="F2261" s="2605"/>
      <c r="G2261" s="361" t="str">
        <f>EUconst_Unit</f>
        <v>Enhet</v>
      </c>
      <c r="H2261" s="362">
        <f t="shared" ref="H2261:N2261" si="999">H$3042</f>
        <v>2019</v>
      </c>
      <c r="I2261" s="1103">
        <f t="shared" si="999"/>
        <v>2020</v>
      </c>
      <c r="J2261" s="1104">
        <f t="shared" si="999"/>
        <v>2021</v>
      </c>
      <c r="K2261" s="362">
        <f t="shared" si="999"/>
        <v>2022</v>
      </c>
      <c r="L2261" s="362">
        <f t="shared" si="999"/>
        <v>2023</v>
      </c>
      <c r="M2261" s="362">
        <f t="shared" si="999"/>
        <v>2024</v>
      </c>
      <c r="N2261" s="1141">
        <f t="shared" si="999"/>
        <v>2025</v>
      </c>
      <c r="O2261" s="15"/>
      <c r="P2261" s="15"/>
      <c r="Q2261" s="343"/>
      <c r="R2261" s="2"/>
      <c r="S2261" s="772"/>
      <c r="T2261" s="609">
        <f t="shared" ref="T2261:Z2261" si="1000">H2261</f>
        <v>2019</v>
      </c>
      <c r="U2261" s="609">
        <f t="shared" si="1000"/>
        <v>2020</v>
      </c>
      <c r="V2261" s="609">
        <f t="shared" si="1000"/>
        <v>2021</v>
      </c>
      <c r="W2261" s="609">
        <f t="shared" si="1000"/>
        <v>2022</v>
      </c>
      <c r="X2261" s="609">
        <f t="shared" si="1000"/>
        <v>2023</v>
      </c>
      <c r="Y2261" s="609">
        <f t="shared" si="1000"/>
        <v>2024</v>
      </c>
      <c r="Z2261" s="610">
        <f t="shared" si="1000"/>
        <v>2025</v>
      </c>
      <c r="AA2261" s="2"/>
      <c r="AB2261" s="2"/>
      <c r="AC2261" s="1044">
        <f t="shared" ref="AC2261:AI2261" si="1001">H$20</f>
        <v>2019</v>
      </c>
      <c r="AD2261" s="1044">
        <f t="shared" si="1001"/>
        <v>2020</v>
      </c>
      <c r="AE2261" s="1044">
        <f t="shared" si="1001"/>
        <v>2021</v>
      </c>
      <c r="AF2261" s="1044">
        <f t="shared" si="1001"/>
        <v>2022</v>
      </c>
      <c r="AG2261" s="1044">
        <f t="shared" si="1001"/>
        <v>2023</v>
      </c>
      <c r="AH2261" s="1044">
        <f t="shared" si="1001"/>
        <v>2024</v>
      </c>
      <c r="AI2261" s="1044">
        <f t="shared" si="1001"/>
        <v>2025</v>
      </c>
      <c r="AJ2261" s="2"/>
      <c r="AK2261" s="2"/>
      <c r="AL2261" s="2"/>
    </row>
    <row r="2262" spans="1:38" ht="12.75" customHeight="1" thickBot="1" x14ac:dyDescent="0.3">
      <c r="A2262" s="2"/>
      <c r="B2262" s="178"/>
      <c r="C2262" s="779"/>
      <c r="D2262" s="780"/>
      <c r="E2262" s="2617" t="str">
        <f>I2127</f>
        <v/>
      </c>
      <c r="F2262" s="1997"/>
      <c r="G2262" s="363" t="str">
        <f>EUconst_tCO2epa</f>
        <v>t CO2e/år</v>
      </c>
      <c r="H2262" s="582"/>
      <c r="I2262" s="1105"/>
      <c r="J2262" s="1115"/>
      <c r="K2262" s="582"/>
      <c r="L2262" s="582"/>
      <c r="M2262" s="582"/>
      <c r="N2262" s="1146"/>
      <c r="O2262" s="15"/>
      <c r="P2262" s="1362"/>
      <c r="Q2262" s="165" t="str">
        <f>EUconst_CNTR_Emissions &amp; I2127</f>
        <v>DirEmissions_</v>
      </c>
      <c r="R2262" s="2"/>
      <c r="S2262" s="773" t="str">
        <f>EUconst_CNTR_AttributedEmissions &amp; I2127</f>
        <v>AttrEmissions_</v>
      </c>
      <c r="T2262" s="111" t="str">
        <f t="shared" ref="T2262:Z2262" si="1002">IF(T2135,SUM(H2262),"")</f>
        <v/>
      </c>
      <c r="U2262" s="111" t="str">
        <f t="shared" si="1002"/>
        <v/>
      </c>
      <c r="V2262" s="111" t="str">
        <f t="shared" si="1002"/>
        <v/>
      </c>
      <c r="W2262" s="111" t="str">
        <f t="shared" si="1002"/>
        <v/>
      </c>
      <c r="X2262" s="111" t="str">
        <f t="shared" si="1002"/>
        <v/>
      </c>
      <c r="Y2262" s="111" t="str">
        <f t="shared" si="1002"/>
        <v/>
      </c>
      <c r="Z2262" s="112" t="str">
        <f t="shared" si="1002"/>
        <v/>
      </c>
      <c r="AA2262" s="2"/>
      <c r="AB2262" s="672" t="s">
        <v>782</v>
      </c>
      <c r="AC2262" s="108" t="b">
        <f>AC2197</f>
        <v>0</v>
      </c>
      <c r="AD2262" s="108" t="b">
        <f t="shared" ref="AD2262:AI2262" si="1003">AD2197</f>
        <v>0</v>
      </c>
      <c r="AE2262" s="108" t="b">
        <f t="shared" si="1003"/>
        <v>0</v>
      </c>
      <c r="AF2262" s="108" t="b">
        <f t="shared" si="1003"/>
        <v>0</v>
      </c>
      <c r="AG2262" s="108" t="b">
        <f t="shared" si="1003"/>
        <v>0</v>
      </c>
      <c r="AH2262" s="108" t="b">
        <f t="shared" si="1003"/>
        <v>0</v>
      </c>
      <c r="AI2262" s="108" t="b">
        <f t="shared" si="1003"/>
        <v>0</v>
      </c>
      <c r="AJ2262" s="553" t="s">
        <v>2248</v>
      </c>
      <c r="AK2262" s="663" t="str">
        <f>IF(AND(CNTR_ExistSubInstEntries,MSconst_RequireSubAttrEmissions,COUNTIFS(AC2262:AI2262,FALSE,H2262:N2262,"")&gt;0),EUconst_Error&amp;"BM"&amp;$Q2127,"")</f>
        <v/>
      </c>
      <c r="AL2262" s="2"/>
    </row>
    <row r="2263" spans="1:38" ht="12.75" customHeight="1" x14ac:dyDescent="0.25">
      <c r="A2263" s="2"/>
      <c r="B2263" s="178"/>
      <c r="C2263" s="779"/>
      <c r="D2263" s="780"/>
      <c r="E2263" s="780"/>
      <c r="F2263" s="780"/>
      <c r="G2263" s="780"/>
      <c r="H2263" s="780"/>
      <c r="I2263" s="780"/>
      <c r="J2263" s="780"/>
      <c r="K2263" s="780"/>
      <c r="L2263" s="780"/>
      <c r="M2263" s="623"/>
      <c r="N2263" s="519"/>
      <c r="O2263" s="15"/>
      <c r="P2263" s="15"/>
      <c r="Q2263" s="343"/>
      <c r="R2263" s="2"/>
      <c r="S2263" s="343"/>
      <c r="T2263" s="2"/>
      <c r="U2263" s="2"/>
      <c r="V2263" s="2"/>
      <c r="W2263" s="2"/>
      <c r="X2263" s="2"/>
      <c r="Y2263" s="2"/>
      <c r="Z2263" s="2"/>
      <c r="AA2263" s="2"/>
      <c r="AB2263" s="2"/>
      <c r="AC2263" s="2"/>
      <c r="AD2263" s="2"/>
      <c r="AE2263" s="2"/>
      <c r="AF2263" s="2"/>
      <c r="AG2263" s="2"/>
      <c r="AH2263" s="2"/>
      <c r="AI2263" s="2"/>
      <c r="AJ2263" s="2"/>
      <c r="AK2263" s="2"/>
      <c r="AL2263" s="2"/>
    </row>
    <row r="2264" spans="1:38" ht="12.75" customHeight="1" x14ac:dyDescent="0.25">
      <c r="A2264" s="2"/>
      <c r="B2264" s="178"/>
      <c r="C2264" s="779"/>
      <c r="D2264" s="373" t="s">
        <v>303</v>
      </c>
      <c r="E2264" s="2614" t="str">
        <f>Translations!$B$566</f>
        <v>Insatsbränsle till delanläggningen och relevant emissionsfaktor</v>
      </c>
      <c r="F2264" s="1960"/>
      <c r="G2264" s="1960"/>
      <c r="H2264" s="1960"/>
      <c r="I2264" s="1960"/>
      <c r="J2264" s="1960"/>
      <c r="K2264" s="1960"/>
      <c r="L2264" s="1960"/>
      <c r="M2264" s="1960"/>
      <c r="N2264" s="2597"/>
      <c r="O2264" s="15"/>
      <c r="P2264" s="15"/>
      <c r="Q2264" s="343"/>
      <c r="R2264" s="343"/>
      <c r="S2264" s="343"/>
      <c r="T2264" s="2"/>
      <c r="U2264" s="2"/>
      <c r="V2264" s="2"/>
      <c r="W2264" s="2"/>
      <c r="X2264" s="2"/>
      <c r="Y2264" s="2"/>
      <c r="Z2264" s="2"/>
      <c r="AA2264" s="2"/>
      <c r="AB2264" s="2"/>
      <c r="AC2264" s="2"/>
      <c r="AD2264" s="2"/>
      <c r="AE2264" s="2"/>
      <c r="AF2264" s="2"/>
      <c r="AG2264" s="2"/>
      <c r="AH2264" s="2"/>
      <c r="AI2264" s="2"/>
      <c r="AJ2264" s="2"/>
      <c r="AK2264" s="2"/>
      <c r="AL2264" s="2"/>
    </row>
    <row r="2265" spans="1:38" ht="25.5" customHeight="1" x14ac:dyDescent="0.25">
      <c r="A2265" s="2"/>
      <c r="B2265" s="178"/>
      <c r="C2265" s="779"/>
      <c r="D2265" s="780"/>
      <c r="E2265" s="2639" t="str">
        <f>Translations!$B$567</f>
        <v>I enlighet med kravet i avsnitt 2.4 a i bilaga IV till FAR, var god ange den totala bränsletillförseln till delanläggningen och motsvarande viktad emissionsfaktor, med beaktande av energiinnehållet hos varje bränsle som finns med under punkt g och med tillämpning av samma systemgränser som för punkt g.</v>
      </c>
      <c r="F2265" s="2639"/>
      <c r="G2265" s="2639"/>
      <c r="H2265" s="2639"/>
      <c r="I2265" s="2639"/>
      <c r="J2265" s="2639"/>
      <c r="K2265" s="2639"/>
      <c r="L2265" s="2639"/>
      <c r="M2265" s="2639"/>
      <c r="N2265" s="2640"/>
      <c r="O2265" s="15"/>
      <c r="P2265" s="15"/>
      <c r="Q2265" s="343"/>
      <c r="R2265" s="343"/>
      <c r="S2265" s="343"/>
      <c r="T2265" s="2"/>
      <c r="U2265" s="2"/>
      <c r="V2265" s="2"/>
      <c r="W2265" s="2"/>
      <c r="X2265" s="2"/>
      <c r="Y2265" s="2"/>
      <c r="Z2265" s="2"/>
      <c r="AA2265" s="2"/>
      <c r="AB2265" s="2"/>
      <c r="AC2265" s="2"/>
      <c r="AD2265" s="2"/>
      <c r="AE2265" s="2"/>
      <c r="AF2265" s="2"/>
      <c r="AG2265" s="2"/>
      <c r="AH2265" s="2"/>
      <c r="AI2265" s="2"/>
      <c r="AJ2265" s="2"/>
      <c r="AK2265" s="2"/>
      <c r="AL2265" s="2"/>
    </row>
    <row r="2266" spans="1:38" ht="25.5" customHeight="1" x14ac:dyDescent="0.25">
      <c r="A2266" s="2"/>
      <c r="B2266" s="178"/>
      <c r="C2266" s="779"/>
      <c r="D2266" s="780"/>
      <c r="E2266" s="2639" t="str">
        <f>Translations!$B$568</f>
        <v>Med ”bränsle” avses varje bränsle-/materialmängd enligt M&amp;R-förordningen som är brännbar och för vilken ett effektivt värmevärde kan fastställas. Den viktade emissionsfaktorn motsvarar de ackumulerade bränsleutsläppen delat med det totala energiinnehållet.</v>
      </c>
      <c r="F2266" s="2639"/>
      <c r="G2266" s="2639"/>
      <c r="H2266" s="2639"/>
      <c r="I2266" s="2639"/>
      <c r="J2266" s="2639"/>
      <c r="K2266" s="2639"/>
      <c r="L2266" s="2639"/>
      <c r="M2266" s="2639"/>
      <c r="N2266" s="2640"/>
      <c r="O2266" s="15"/>
      <c r="P2266" s="15"/>
      <c r="Q2266" s="343"/>
      <c r="R2266" s="2"/>
      <c r="S2266" s="343"/>
      <c r="T2266" s="2"/>
      <c r="U2266" s="2"/>
      <c r="V2266" s="2"/>
      <c r="W2266" s="2"/>
      <c r="X2266" s="2"/>
      <c r="Y2266" s="2"/>
      <c r="Z2266" s="2"/>
      <c r="AA2266" s="2"/>
      <c r="AB2266" s="2"/>
      <c r="AC2266" s="2"/>
      <c r="AD2266" s="2"/>
      <c r="AE2266" s="2"/>
      <c r="AF2266" s="2"/>
      <c r="AG2266" s="2"/>
      <c r="AH2266" s="2"/>
      <c r="AI2266" s="2"/>
      <c r="AJ2266" s="2"/>
      <c r="AK2266" s="2"/>
      <c r="AL2266" s="2"/>
    </row>
    <row r="2267" spans="1:38" ht="12.75" customHeight="1" x14ac:dyDescent="0.25">
      <c r="A2267" s="2"/>
      <c r="B2267" s="178"/>
      <c r="C2267" s="779"/>
      <c r="D2267" s="780"/>
      <c r="E2267" s="2639" t="str">
        <f>Translations!$B$569</f>
        <v>Den viktade emissionsfaktorn bör dessutom innefatta utsläpp från motsvarande rökgasrening, i tillämpliga fall.</v>
      </c>
      <c r="F2267" s="2639"/>
      <c r="G2267" s="2639"/>
      <c r="H2267" s="2639"/>
      <c r="I2267" s="2639"/>
      <c r="J2267" s="2639"/>
      <c r="K2267" s="2639"/>
      <c r="L2267" s="2639"/>
      <c r="M2267" s="2639"/>
      <c r="N2267" s="2640"/>
      <c r="O2267" s="15"/>
      <c r="P2267" s="15"/>
      <c r="Q2267" s="343"/>
      <c r="R2267" s="2"/>
      <c r="S2267" s="343"/>
      <c r="T2267" s="2"/>
      <c r="U2267" s="2"/>
      <c r="V2267" s="2"/>
      <c r="W2267" s="2"/>
      <c r="X2267" s="2"/>
      <c r="Y2267" s="2"/>
      <c r="Z2267" s="2"/>
      <c r="AA2267" s="2"/>
      <c r="AB2267" s="2"/>
      <c r="AC2267" s="2"/>
      <c r="AD2267" s="2"/>
      <c r="AE2267" s="2"/>
      <c r="AF2267" s="2"/>
      <c r="AG2267" s="2"/>
      <c r="AH2267" s="2"/>
      <c r="AI2267" s="2"/>
      <c r="AJ2267" s="2"/>
      <c r="AK2267" s="2"/>
      <c r="AL2267" s="2"/>
    </row>
    <row r="2268" spans="1:38" ht="12.75" customHeight="1" x14ac:dyDescent="0.25">
      <c r="A2268" s="2"/>
      <c r="B2268" s="178"/>
      <c r="C2268" s="779"/>
      <c r="D2268" s="780"/>
      <c r="E2268" s="2596" t="str">
        <f>Translations!$B$570</f>
        <v>De uppgifter som anges här används bara för konsekvenskontroll och har ingen direkt inverkan på vare sig de utsläpp som kan tillskrivas eller tilldelningen.</v>
      </c>
      <c r="F2268" s="1960"/>
      <c r="G2268" s="1960"/>
      <c r="H2268" s="1960"/>
      <c r="I2268" s="1960"/>
      <c r="J2268" s="1960"/>
      <c r="K2268" s="1960"/>
      <c r="L2268" s="1960"/>
      <c r="M2268" s="1960"/>
      <c r="N2268" s="2597"/>
      <c r="O2268" s="15"/>
      <c r="P2268" s="15"/>
      <c r="Q2268" s="343"/>
      <c r="R2268" s="2"/>
      <c r="S2268" s="343"/>
      <c r="T2268" s="2"/>
      <c r="U2268" s="2"/>
      <c r="V2268" s="2"/>
      <c r="W2268" s="2"/>
      <c r="X2268" s="2"/>
      <c r="Y2268" s="2"/>
      <c r="Z2268" s="2"/>
      <c r="AA2268" s="2"/>
      <c r="AB2268" s="2"/>
      <c r="AC2268" s="2"/>
      <c r="AD2268" s="2"/>
      <c r="AE2268" s="2"/>
      <c r="AF2268" s="2"/>
      <c r="AG2268" s="2"/>
      <c r="AH2268" s="2"/>
      <c r="AI2268" s="2"/>
      <c r="AJ2268" s="2"/>
      <c r="AK2268" s="2"/>
      <c r="AL2268" s="2"/>
    </row>
    <row r="2269" spans="1:38" ht="12.75" customHeight="1" thickBot="1" x14ac:dyDescent="0.3">
      <c r="A2269" s="2"/>
      <c r="B2269" s="178"/>
      <c r="C2269" s="779"/>
      <c r="D2269" s="373"/>
      <c r="E2269" s="1716"/>
      <c r="F2269" s="1717"/>
      <c r="G2269" s="361" t="str">
        <f>EUconst_Unit</f>
        <v>Enhet</v>
      </c>
      <c r="H2269" s="362">
        <f t="shared" ref="H2269:N2269" si="1004">H$3042</f>
        <v>2019</v>
      </c>
      <c r="I2269" s="1103">
        <f t="shared" si="1004"/>
        <v>2020</v>
      </c>
      <c r="J2269" s="1104">
        <f t="shared" si="1004"/>
        <v>2021</v>
      </c>
      <c r="K2269" s="362">
        <f t="shared" si="1004"/>
        <v>2022</v>
      </c>
      <c r="L2269" s="362">
        <f t="shared" si="1004"/>
        <v>2023</v>
      </c>
      <c r="M2269" s="362">
        <f t="shared" si="1004"/>
        <v>2024</v>
      </c>
      <c r="N2269" s="1141">
        <f t="shared" si="1004"/>
        <v>2025</v>
      </c>
      <c r="O2269" s="15"/>
      <c r="P2269" s="15"/>
      <c r="Q2269" s="343"/>
      <c r="R2269" s="2"/>
      <c r="S2269" s="343"/>
      <c r="T2269" s="2"/>
      <c r="U2269" s="2"/>
      <c r="V2269" s="2"/>
      <c r="W2269" s="2"/>
      <c r="X2269" s="2"/>
      <c r="Y2269" s="2"/>
      <c r="Z2269" s="2"/>
      <c r="AA2269" s="2"/>
      <c r="AB2269" s="2"/>
      <c r="AC2269" s="1044">
        <f t="shared" ref="AC2269:AI2269" si="1005">H$20</f>
        <v>2019</v>
      </c>
      <c r="AD2269" s="1044">
        <f t="shared" si="1005"/>
        <v>2020</v>
      </c>
      <c r="AE2269" s="1044">
        <f t="shared" si="1005"/>
        <v>2021</v>
      </c>
      <c r="AF2269" s="1044">
        <f t="shared" si="1005"/>
        <v>2022</v>
      </c>
      <c r="AG2269" s="1044">
        <f t="shared" si="1005"/>
        <v>2023</v>
      </c>
      <c r="AH2269" s="1044">
        <f t="shared" si="1005"/>
        <v>2024</v>
      </c>
      <c r="AI2269" s="1044">
        <f t="shared" si="1005"/>
        <v>2025</v>
      </c>
      <c r="AJ2269" s="2"/>
      <c r="AK2269" s="2"/>
      <c r="AL2269" s="2"/>
    </row>
    <row r="2270" spans="1:38" ht="12.75" customHeight="1" x14ac:dyDescent="0.25">
      <c r="A2270" s="2"/>
      <c r="B2270" s="178"/>
      <c r="C2270" s="779"/>
      <c r="D2270" s="416" t="s">
        <v>8</v>
      </c>
      <c r="E2270" s="2613" t="str">
        <f>Translations!$B$571</f>
        <v>Insatsbränsle</v>
      </c>
      <c r="F2270" s="1997"/>
      <c r="G2270" s="364" t="str">
        <f>EUconst_TJpa</f>
        <v>TJ / år</v>
      </c>
      <c r="H2270" s="582"/>
      <c r="I2270" s="1105"/>
      <c r="J2270" s="1115"/>
      <c r="K2270" s="582"/>
      <c r="L2270" s="582"/>
      <c r="M2270" s="582"/>
      <c r="N2270" s="1146"/>
      <c r="O2270" s="15"/>
      <c r="P2270" s="1362"/>
      <c r="Q2270" s="165" t="str">
        <f>EUconst_CNTR_FuelInput &amp; I2127</f>
        <v>FuelInput_</v>
      </c>
      <c r="R2270" s="2"/>
      <c r="S2270" s="343"/>
      <c r="T2270" s="2"/>
      <c r="U2270" s="2"/>
      <c r="V2270" s="2"/>
      <c r="W2270" s="2"/>
      <c r="X2270" s="2"/>
      <c r="Y2270" s="2"/>
      <c r="Z2270" s="2"/>
      <c r="AA2270" s="2"/>
      <c r="AB2270" s="672" t="s">
        <v>782</v>
      </c>
      <c r="AC2270" s="108" t="b">
        <f>AC2197</f>
        <v>0</v>
      </c>
      <c r="AD2270" s="108" t="b">
        <f t="shared" ref="AD2270:AI2270" si="1006">AD2197</f>
        <v>0</v>
      </c>
      <c r="AE2270" s="108" t="b">
        <f t="shared" si="1006"/>
        <v>0</v>
      </c>
      <c r="AF2270" s="108" t="b">
        <f t="shared" si="1006"/>
        <v>0</v>
      </c>
      <c r="AG2270" s="108" t="b">
        <f t="shared" si="1006"/>
        <v>0</v>
      </c>
      <c r="AH2270" s="108" t="b">
        <f t="shared" si="1006"/>
        <v>0</v>
      </c>
      <c r="AI2270" s="108" t="b">
        <f t="shared" si="1006"/>
        <v>0</v>
      </c>
      <c r="AJ2270" s="553" t="s">
        <v>2248</v>
      </c>
      <c r="AK2270" s="663" t="str">
        <f>IF(AND(CNTR_ExistSubInstEntries,MSconst_RequireSubAttrEmissions,COUNTIFS(AC2270:AI2270,FALSE,H2270:N2270,"")&gt;0),EUconst_Error&amp;"BM"&amp;$Q2127,"")</f>
        <v/>
      </c>
      <c r="AL2270" s="2"/>
    </row>
    <row r="2271" spans="1:38" ht="12.75" customHeight="1" x14ac:dyDescent="0.25">
      <c r="A2271" s="2"/>
      <c r="B2271" s="178"/>
      <c r="C2271" s="779"/>
      <c r="D2271" s="416" t="s">
        <v>9</v>
      </c>
      <c r="E2271" s="2613" t="str">
        <f>Translations!$B$572</f>
        <v>Viktad emissionsfaktor</v>
      </c>
      <c r="F2271" s="1997"/>
      <c r="G2271" s="449" t="str">
        <f>EUconst_tCO2pTJ</f>
        <v>t CO2 / TJ</v>
      </c>
      <c r="H2271" s="747"/>
      <c r="I2271" s="1295"/>
      <c r="J2271" s="1296"/>
      <c r="K2271" s="747"/>
      <c r="L2271" s="747"/>
      <c r="M2271" s="747"/>
      <c r="N2271" s="1297"/>
      <c r="O2271" s="15"/>
      <c r="P2271" s="1362"/>
      <c r="Q2271" s="165" t="str">
        <f>EUconst_CNTR_FuelEF &amp; I2127</f>
        <v>FuelEF_</v>
      </c>
      <c r="R2271" s="2"/>
      <c r="S2271" s="343"/>
      <c r="T2271" s="2"/>
      <c r="U2271" s="2"/>
      <c r="V2271" s="2"/>
      <c r="W2271" s="2"/>
      <c r="X2271" s="2"/>
      <c r="Y2271" s="2"/>
      <c r="Z2271" s="2"/>
      <c r="AA2271" s="2"/>
      <c r="AB2271" s="2"/>
      <c r="AC2271" s="108" t="b">
        <f>AC2270</f>
        <v>0</v>
      </c>
      <c r="AD2271" s="108" t="b">
        <f t="shared" ref="AD2271:AI2271" si="1007">AD2270</f>
        <v>0</v>
      </c>
      <c r="AE2271" s="108" t="b">
        <f t="shared" si="1007"/>
        <v>0</v>
      </c>
      <c r="AF2271" s="108" t="b">
        <f t="shared" si="1007"/>
        <v>0</v>
      </c>
      <c r="AG2271" s="108" t="b">
        <f t="shared" si="1007"/>
        <v>0</v>
      </c>
      <c r="AH2271" s="108" t="b">
        <f t="shared" si="1007"/>
        <v>0</v>
      </c>
      <c r="AI2271" s="108" t="b">
        <f t="shared" si="1007"/>
        <v>0</v>
      </c>
      <c r="AJ2271" s="553" t="s">
        <v>2248</v>
      </c>
      <c r="AK2271" s="663" t="str">
        <f>IF(AND(CNTR_ExistSubInstEntries,MSconst_RequireSubAttrEmissions,COUNTIFS(AC2271:AI2271,FALSE,H2271:N2271,"")&gt;0),EUconst_Error&amp;"BM"&amp;$Q2127,"")</f>
        <v/>
      </c>
      <c r="AL2271" s="2"/>
    </row>
    <row r="2272" spans="1:38" ht="12.75" customHeight="1" x14ac:dyDescent="0.25">
      <c r="A2272" s="2"/>
      <c r="B2272" s="178"/>
      <c r="C2272" s="779"/>
      <c r="D2272" s="780"/>
      <c r="E2272" s="780"/>
      <c r="F2272" s="780"/>
      <c r="G2272" s="780"/>
      <c r="H2272" s="780"/>
      <c r="I2272" s="780"/>
      <c r="J2272" s="780"/>
      <c r="K2272" s="780"/>
      <c r="L2272" s="780"/>
      <c r="M2272" s="623"/>
      <c r="N2272" s="519"/>
      <c r="O2272" s="15"/>
      <c r="P2272" s="15"/>
      <c r="Q2272" s="343"/>
      <c r="R2272" s="2"/>
      <c r="S2272" s="343"/>
      <c r="T2272" s="2"/>
      <c r="U2272" s="2"/>
      <c r="V2272" s="2"/>
      <c r="W2272" s="2"/>
      <c r="X2272" s="2"/>
      <c r="Y2272" s="2"/>
      <c r="Z2272" s="2"/>
      <c r="AA2272" s="2"/>
      <c r="AB2272" s="2"/>
      <c r="AC2272" s="2"/>
      <c r="AD2272" s="2"/>
      <c r="AE2272" s="2"/>
      <c r="AF2272" s="2"/>
      <c r="AG2272" s="2"/>
      <c r="AH2272" s="2"/>
      <c r="AI2272" s="2"/>
      <c r="AJ2272" s="2"/>
      <c r="AK2272" s="2"/>
      <c r="AL2272" s="2"/>
    </row>
    <row r="2273" spans="1:38" ht="12.75" customHeight="1" x14ac:dyDescent="0.25">
      <c r="A2273" s="2"/>
      <c r="B2273" s="178"/>
      <c r="C2273" s="779"/>
      <c r="D2273" s="373" t="s">
        <v>305</v>
      </c>
      <c r="E2273" s="2614" t="str">
        <f>Translations!$B$573</f>
        <v>Andra interna bränsle-/materialmängder som importeras till eller exporteras från delanläggningen</v>
      </c>
      <c r="F2273" s="1960"/>
      <c r="G2273" s="1960"/>
      <c r="H2273" s="1960"/>
      <c r="I2273" s="1960"/>
      <c r="J2273" s="1960"/>
      <c r="K2273" s="1960"/>
      <c r="L2273" s="1960"/>
      <c r="M2273" s="1960"/>
      <c r="N2273" s="2597"/>
      <c r="O2273" s="15"/>
      <c r="P2273" s="15"/>
      <c r="Q2273" s="343"/>
      <c r="R2273" s="343"/>
      <c r="S2273" s="343"/>
      <c r="T2273" s="2"/>
      <c r="U2273" s="2"/>
      <c r="V2273" s="2"/>
      <c r="W2273" s="2"/>
      <c r="X2273" s="2"/>
      <c r="Y2273" s="2"/>
      <c r="Z2273" s="2"/>
      <c r="AA2273" s="2"/>
      <c r="AB2273" s="2"/>
      <c r="AC2273" s="2"/>
      <c r="AD2273" s="2"/>
      <c r="AE2273" s="2"/>
      <c r="AF2273" s="2"/>
      <c r="AG2273" s="2"/>
      <c r="AH2273" s="2"/>
      <c r="AI2273" s="2"/>
      <c r="AJ2273" s="2"/>
      <c r="AK2273" s="2"/>
      <c r="AL2273" s="2"/>
    </row>
    <row r="2274" spans="1:38" ht="12.75" customHeight="1" x14ac:dyDescent="0.25">
      <c r="A2274" s="2"/>
      <c r="B2274" s="178"/>
      <c r="C2274" s="779"/>
      <c r="D2274" s="416"/>
      <c r="E2274" s="2596" t="str">
        <f>Translations!$B$556</f>
        <v>De uppgifter som anges här påverkar de utsläpp som kan tillskrivas i enlighet med avsnitt 10.1.1 i bilaga VII till FAR.</v>
      </c>
      <c r="F2274" s="1960"/>
      <c r="G2274" s="1960"/>
      <c r="H2274" s="1960"/>
      <c r="I2274" s="1960"/>
      <c r="J2274" s="1960"/>
      <c r="K2274" s="1960"/>
      <c r="L2274" s="1960"/>
      <c r="M2274" s="1960"/>
      <c r="N2274" s="2597"/>
      <c r="O2274" s="15"/>
      <c r="P2274" s="15"/>
      <c r="Q2274" s="343"/>
      <c r="R2274" s="2"/>
      <c r="S2274" s="343"/>
      <c r="T2274" s="343"/>
      <c r="U2274" s="343"/>
      <c r="V2274" s="343"/>
      <c r="W2274" s="2"/>
      <c r="X2274" s="2"/>
      <c r="Y2274" s="2"/>
      <c r="Z2274" s="2"/>
      <c r="AA2274" s="2"/>
      <c r="AB2274" s="2"/>
      <c r="AC2274" s="2"/>
      <c r="AD2274" s="2"/>
      <c r="AE2274" s="2"/>
      <c r="AF2274" s="2"/>
      <c r="AG2274" s="2"/>
      <c r="AH2274" s="2"/>
      <c r="AI2274" s="2"/>
      <c r="AJ2274" s="2"/>
      <c r="AK2274" s="2"/>
      <c r="AL2274" s="2"/>
    </row>
    <row r="2275" spans="1:38" ht="25.5" customHeight="1" x14ac:dyDescent="0.25">
      <c r="A2275" s="2"/>
      <c r="B2275" s="178"/>
      <c r="C2275" s="779"/>
      <c r="D2275" s="780"/>
      <c r="E2275" s="2596" t="str">
        <f>Translations!$B$574</f>
        <v>Det bör noteras att alla bränsle-/materialmängder endast bör anges här om de inte redan omfattas av de direkta utsläppen i punkt g ovan, i syfte att undvika eventuella dataluckor eller eventuell dubbelräkning. Utsläpp i samband med restgaser bör INTE anges här utan i punkt l nedan.</v>
      </c>
      <c r="F2275" s="1960"/>
      <c r="G2275" s="1960"/>
      <c r="H2275" s="1960"/>
      <c r="I2275" s="1960"/>
      <c r="J2275" s="1960"/>
      <c r="K2275" s="1960"/>
      <c r="L2275" s="1960"/>
      <c r="M2275" s="1960"/>
      <c r="N2275" s="2597"/>
      <c r="O2275" s="15"/>
      <c r="P2275" s="15"/>
      <c r="Q2275" s="343"/>
      <c r="R2275" s="343"/>
      <c r="S2275" s="343"/>
      <c r="T2275" s="2"/>
      <c r="U2275" s="2"/>
      <c r="V2275" s="2"/>
      <c r="W2275" s="2"/>
      <c r="X2275" s="2"/>
      <c r="Y2275" s="2"/>
      <c r="Z2275" s="2"/>
      <c r="AA2275" s="2"/>
      <c r="AB2275" s="2"/>
      <c r="AC2275" s="2"/>
      <c r="AD2275" s="2"/>
      <c r="AE2275" s="2"/>
      <c r="AF2275" s="2"/>
      <c r="AG2275" s="2"/>
      <c r="AH2275" s="2"/>
      <c r="AI2275" s="2"/>
      <c r="AJ2275" s="2"/>
      <c r="AK2275" s="2"/>
      <c r="AL2275" s="2"/>
    </row>
    <row r="2276" spans="1:38" ht="12.75" customHeight="1" x14ac:dyDescent="0.25">
      <c r="A2276" s="2"/>
      <c r="B2276" s="178"/>
      <c r="C2276" s="779"/>
      <c r="D2276" s="780"/>
      <c r="E2276" s="2610" t="str">
        <f>Translations!$B$575</f>
        <v>Var god ange information om de så kallade interna bränsle-/materialmängderna som överförs mellan delanläggningar, dvs. importeras till eller exporteras från delanläggningen.</v>
      </c>
      <c r="F2276" s="1960"/>
      <c r="G2276" s="1960"/>
      <c r="H2276" s="1960"/>
      <c r="I2276" s="1960"/>
      <c r="J2276" s="1960"/>
      <c r="K2276" s="1960"/>
      <c r="L2276" s="1960"/>
      <c r="M2276" s="1960"/>
      <c r="N2276" s="2597"/>
      <c r="O2276" s="15"/>
      <c r="P2276" s="15"/>
      <c r="Q2276" s="343"/>
      <c r="R2276" s="343"/>
      <c r="S2276" s="343"/>
      <c r="T2276" s="2"/>
      <c r="U2276" s="2"/>
      <c r="V2276" s="2"/>
      <c r="W2276" s="2"/>
      <c r="X2276" s="2"/>
      <c r="Y2276" s="2"/>
      <c r="Z2276" s="2"/>
      <c r="AA2276" s="2"/>
      <c r="AB2276" s="2"/>
      <c r="AC2276" s="2"/>
      <c r="AD2276" s="2"/>
      <c r="AE2276" s="2"/>
      <c r="AF2276" s="2"/>
      <c r="AG2276" s="2"/>
      <c r="AH2276" s="2"/>
      <c r="AI2276" s="2"/>
      <c r="AJ2276" s="2"/>
      <c r="AK2276" s="2"/>
      <c r="AL2276" s="2"/>
    </row>
    <row r="2277" spans="1:38" ht="38.9" customHeight="1" x14ac:dyDescent="0.25">
      <c r="A2277" s="2"/>
      <c r="B2277" s="178"/>
      <c r="C2277" s="779"/>
      <c r="D2277" s="780"/>
      <c r="E2277" s="2610" t="str">
        <f>Translations!$B$576</f>
        <v>Om det rör sig om en koksdelanläggning vid en integrerad järn- och stålanläggning förekommer utsläppen i samband med förbrukningen av koks i masugnen och bör därför inte tillskrivas delanläggningen (dvs. koksdelanläggningen). En del av utsläppen ska dock tas med i punkt g ovan, eftersom det kol som förs in i koksugnen kommer att vara en av de bränsle-/materialmängder som tillskrivs i ett första steg.</v>
      </c>
      <c r="F2277" s="1960"/>
      <c r="G2277" s="1960"/>
      <c r="H2277" s="1960"/>
      <c r="I2277" s="1960"/>
      <c r="J2277" s="1960"/>
      <c r="K2277" s="1960"/>
      <c r="L2277" s="1960"/>
      <c r="M2277" s="1960"/>
      <c r="N2277" s="2597"/>
      <c r="O2277" s="15"/>
      <c r="P2277" s="15"/>
      <c r="Q2277" s="343"/>
      <c r="R2277" s="2"/>
      <c r="S2277" s="343"/>
      <c r="T2277" s="2"/>
      <c r="U2277" s="2"/>
      <c r="V2277" s="2"/>
      <c r="W2277" s="2"/>
      <c r="X2277" s="2"/>
      <c r="Y2277" s="2"/>
      <c r="Z2277" s="2"/>
      <c r="AA2277" s="2"/>
      <c r="AB2277" s="2"/>
      <c r="AC2277" s="2"/>
      <c r="AD2277" s="2"/>
      <c r="AE2277" s="2"/>
      <c r="AF2277" s="2"/>
      <c r="AG2277" s="2"/>
      <c r="AH2277" s="2"/>
      <c r="AI2277" s="2"/>
      <c r="AJ2277" s="2"/>
      <c r="AK2277" s="2"/>
      <c r="AL2277" s="2"/>
    </row>
    <row r="2278" spans="1:38" ht="51" customHeight="1" x14ac:dyDescent="0.25">
      <c r="A2278" s="2"/>
      <c r="B2278" s="178"/>
      <c r="C2278" s="779"/>
      <c r="D2278" s="780"/>
      <c r="E2278" s="2610" t="str">
        <f>Translations!$B$577</f>
        <v>För att undvika dubbelräkning måste korrigering göras för den koks som lämnar koksdelanläggningen som utgående ”intern bränsle-/materialmängd”. Detta görs genom ett negativt värde på mängden koks i händelse av ”export”. För att få en komplett balans i utsläppen från den kol som kommer in till koksdelanläggningen omfattas utsläppen i samband med användningen av koksugnsgas (= en restgas) redan av punkt g ovan (eftersom de ingår i kolutsläppen) i den mån som gasen används inom delanläggningen. Korrigeringar för att beakta exporterade mängder av restgasen bör inte göras här utan i punkt l.xx nedan.</v>
      </c>
      <c r="F2278" s="1960"/>
      <c r="G2278" s="1960"/>
      <c r="H2278" s="1960"/>
      <c r="I2278" s="1960"/>
      <c r="J2278" s="1960"/>
      <c r="K2278" s="1960"/>
      <c r="L2278" s="1960"/>
      <c r="M2278" s="1960"/>
      <c r="N2278" s="2597"/>
      <c r="O2278" s="15"/>
      <c r="P2278" s="15"/>
      <c r="Q2278" s="343"/>
      <c r="R2278" s="2"/>
      <c r="S2278" s="343"/>
      <c r="T2278" s="2"/>
      <c r="U2278" s="2"/>
      <c r="V2278" s="2"/>
      <c r="W2278" s="2"/>
      <c r="X2278" s="2"/>
      <c r="Y2278" s="2"/>
      <c r="Z2278" s="2"/>
      <c r="AA2278" s="2"/>
      <c r="AB2278" s="2"/>
      <c r="AC2278" s="2"/>
      <c r="AD2278" s="2"/>
      <c r="AE2278" s="2"/>
      <c r="AF2278" s="2"/>
      <c r="AG2278" s="2"/>
      <c r="AH2278" s="2"/>
      <c r="AI2278" s="2"/>
      <c r="AJ2278" s="2"/>
      <c r="AK2278" s="2"/>
      <c r="AL2278" s="2"/>
    </row>
    <row r="2279" spans="1:38" ht="25.5" customHeight="1" x14ac:dyDescent="0.25">
      <c r="A2279" s="2"/>
      <c r="B2279" s="178"/>
      <c r="C2279" s="779"/>
      <c r="D2279" s="780"/>
      <c r="E2279" s="2610" t="str">
        <f>Translations!$B$578</f>
        <v>Omvänt innebär detta att om det rör sig om en delanläggning med råjärnsriktmärke vid en integrerad järn- och stålanläggning måste koksen anges här som en ingående/importerad ”intern” bränsle/materialmängd med positiva siffror.</v>
      </c>
      <c r="F2279" s="1960"/>
      <c r="G2279" s="1960"/>
      <c r="H2279" s="1960"/>
      <c r="I2279" s="1960"/>
      <c r="J2279" s="1960"/>
      <c r="K2279" s="1960"/>
      <c r="L2279" s="1960"/>
      <c r="M2279" s="1960"/>
      <c r="N2279" s="2597"/>
      <c r="O2279" s="15"/>
      <c r="P2279" s="15"/>
      <c r="Q2279" s="343"/>
      <c r="R2279" s="2"/>
      <c r="S2279" s="343"/>
      <c r="T2279" s="2"/>
      <c r="U2279" s="2"/>
      <c r="V2279" s="2"/>
      <c r="W2279" s="2"/>
      <c r="X2279" s="2"/>
      <c r="Y2279" s="2"/>
      <c r="Z2279" s="2"/>
      <c r="AA2279" s="2"/>
      <c r="AB2279" s="2"/>
      <c r="AC2279" s="2"/>
      <c r="AD2279" s="2"/>
      <c r="AE2279" s="2"/>
      <c r="AF2279" s="2"/>
      <c r="AG2279" s="2"/>
      <c r="AH2279" s="2"/>
      <c r="AI2279" s="2"/>
      <c r="AJ2279" s="2"/>
      <c r="AK2279" s="2"/>
      <c r="AL2279" s="2"/>
    </row>
    <row r="2280" spans="1:38" ht="12.75" customHeight="1" x14ac:dyDescent="0.25">
      <c r="A2280" s="2"/>
      <c r="B2280" s="178"/>
      <c r="C2280" s="779"/>
      <c r="D2280" s="416" t="s">
        <v>8</v>
      </c>
      <c r="E2280" s="2598" t="str">
        <f>Translations!$B$579</f>
        <v>Är andra importerade eller exporterade interna bränsle-/materialmängder relevanta för delanläggningen?</v>
      </c>
      <c r="F2280" s="1960"/>
      <c r="G2280" s="1960"/>
      <c r="H2280" s="1960"/>
      <c r="I2280" s="1960"/>
      <c r="J2280" s="1960"/>
      <c r="K2280" s="2520"/>
      <c r="L2280" s="749"/>
      <c r="M2280" s="1806"/>
      <c r="N2280" s="1807"/>
      <c r="O2280" s="15"/>
      <c r="P2280" s="1362"/>
      <c r="Q2280" s="343"/>
      <c r="R2280" s="2"/>
      <c r="S2280" s="343"/>
      <c r="T2280" s="2"/>
      <c r="U2280" s="2"/>
      <c r="V2280" s="2"/>
      <c r="W2280" s="2"/>
      <c r="X2280" s="2"/>
      <c r="Y2280" s="2"/>
      <c r="Z2280" s="2"/>
      <c r="AA2280" s="2"/>
      <c r="AB2280" s="2"/>
      <c r="AC2280" s="2"/>
      <c r="AD2280" s="2"/>
      <c r="AE2280" s="2"/>
      <c r="AF2280" s="672" t="s">
        <v>782</v>
      </c>
      <c r="AG2280" s="1196" t="b">
        <f>AND(CNTR_ExistSubInstEntries,I2127="")</f>
        <v>0</v>
      </c>
      <c r="AH2280" s="2"/>
      <c r="AI2280" s="2"/>
      <c r="AJ2280" s="2"/>
      <c r="AK2280" s="2"/>
      <c r="AL2280" s="2"/>
    </row>
    <row r="2281" spans="1:38" ht="12.75" customHeight="1" x14ac:dyDescent="0.25">
      <c r="A2281" s="2"/>
      <c r="B2281" s="178"/>
      <c r="C2281" s="779"/>
      <c r="D2281" s="780"/>
      <c r="E2281" s="2610" t="str">
        <f>Translations!$B$580</f>
        <v>Om det finns mer än två importerade eller exporterade bränsle-/materialmängder bör de olika bränsle-/materialmängderna slås samman och namnen på var och en av dessa anges.</v>
      </c>
      <c r="F2281" s="1960"/>
      <c r="G2281" s="1960"/>
      <c r="H2281" s="1960"/>
      <c r="I2281" s="1960"/>
      <c r="J2281" s="1960"/>
      <c r="K2281" s="1960"/>
      <c r="L2281" s="1960"/>
      <c r="M2281" s="1960"/>
      <c r="N2281" s="2597"/>
      <c r="O2281" s="15"/>
      <c r="P2281" s="15"/>
      <c r="Q2281" s="343"/>
      <c r="R2281" s="2"/>
      <c r="S2281" s="343"/>
      <c r="T2281" s="2"/>
      <c r="U2281" s="2"/>
      <c r="V2281" s="2"/>
      <c r="W2281" s="2"/>
      <c r="X2281" s="2"/>
      <c r="Y2281" s="2"/>
      <c r="Z2281" s="2"/>
      <c r="AA2281" s="2"/>
      <c r="AB2281" s="2"/>
      <c r="AC2281" s="2"/>
      <c r="AD2281" s="2"/>
      <c r="AE2281" s="2"/>
      <c r="AF2281" s="2"/>
      <c r="AG2281" s="2"/>
      <c r="AH2281" s="2"/>
      <c r="AI2281" s="2"/>
      <c r="AJ2281" s="2"/>
      <c r="AK2281" s="2"/>
      <c r="AL2281" s="2"/>
    </row>
    <row r="2282" spans="1:38" ht="12.75" customHeight="1" x14ac:dyDescent="0.25">
      <c r="A2282" s="2"/>
      <c r="B2282" s="178"/>
      <c r="C2282" s="779"/>
      <c r="D2282" s="416" t="s">
        <v>9</v>
      </c>
      <c r="E2282" s="2614" t="str">
        <f>Translations!$B$581</f>
        <v>Namn på andra bränsle-/materialmängder – 1:</v>
      </c>
      <c r="F2282" s="1960"/>
      <c r="G2282" s="1960"/>
      <c r="H2282" s="2520"/>
      <c r="I2282" s="2621"/>
      <c r="J2282" s="2631"/>
      <c r="K2282" s="2631"/>
      <c r="L2282" s="2631"/>
      <c r="M2282" s="2632"/>
      <c r="N2282" s="518"/>
      <c r="O2282" s="15"/>
      <c r="P2282" s="1362"/>
      <c r="Q2282" s="343"/>
      <c r="R2282" s="2"/>
      <c r="S2282" s="343"/>
      <c r="T2282" s="2"/>
      <c r="U2282" s="2"/>
      <c r="V2282" s="2"/>
      <c r="W2282" s="2"/>
      <c r="X2282" s="2"/>
      <c r="Y2282" s="2"/>
      <c r="Z2282" s="2"/>
      <c r="AA2282" s="2"/>
      <c r="AB2282" s="2"/>
      <c r="AC2282" s="672" t="s">
        <v>782</v>
      </c>
      <c r="AD2282" s="1196" t="b">
        <f>OR(AG2280,AND($L2280&lt;&gt;"",$L2280=FALSE))</f>
        <v>0</v>
      </c>
      <c r="AE2282" s="2"/>
      <c r="AF2282" s="2"/>
      <c r="AG2282" s="2"/>
      <c r="AH2282" s="2"/>
      <c r="AI2282" s="2"/>
      <c r="AJ2282" s="2"/>
      <c r="AK2282" s="2"/>
      <c r="AL2282" s="2"/>
    </row>
    <row r="2283" spans="1:38" ht="5.15" customHeight="1" x14ac:dyDescent="0.25">
      <c r="A2283" s="2"/>
      <c r="B2283" s="178"/>
      <c r="C2283" s="779"/>
      <c r="D2283" s="780"/>
      <c r="E2283" s="1804"/>
      <c r="F2283" s="1806"/>
      <c r="G2283" s="1806"/>
      <c r="H2283" s="1806"/>
      <c r="I2283" s="1806"/>
      <c r="J2283" s="1806"/>
      <c r="K2283" s="1806"/>
      <c r="L2283" s="1806"/>
      <c r="M2283" s="1806"/>
      <c r="N2283" s="1807"/>
      <c r="O2283" s="15"/>
      <c r="P2283" s="15"/>
      <c r="Q2283" s="343"/>
      <c r="R2283" s="2"/>
      <c r="S2283" s="343"/>
      <c r="T2283" s="2"/>
      <c r="U2283" s="2"/>
      <c r="V2283" s="2"/>
      <c r="W2283" s="2"/>
      <c r="X2283" s="2"/>
      <c r="Y2283" s="2"/>
      <c r="Z2283" s="2"/>
      <c r="AA2283" s="2"/>
      <c r="AB2283" s="2"/>
      <c r="AC2283" s="2"/>
      <c r="AD2283" s="2"/>
      <c r="AE2283" s="2"/>
      <c r="AF2283" s="2"/>
      <c r="AG2283" s="2"/>
      <c r="AH2283" s="2"/>
      <c r="AI2283" s="2"/>
      <c r="AJ2283" s="2"/>
      <c r="AK2283" s="2"/>
      <c r="AL2283" s="2"/>
    </row>
    <row r="2284" spans="1:38" ht="12.75" customHeight="1" thickBot="1" x14ac:dyDescent="0.3">
      <c r="A2284" s="2"/>
      <c r="B2284" s="178"/>
      <c r="C2284" s="779"/>
      <c r="D2284" s="780"/>
      <c r="E2284" s="2605" t="str">
        <f>Translations!$B$582</f>
        <v>Andra bränsle-/materialmängder – 1</v>
      </c>
      <c r="F2284" s="2497"/>
      <c r="G2284" s="361" t="str">
        <f>EUconst_Unit</f>
        <v>Enhet</v>
      </c>
      <c r="H2284" s="362">
        <f t="shared" ref="H2284:N2284" si="1008">H$3042</f>
        <v>2019</v>
      </c>
      <c r="I2284" s="1103">
        <f t="shared" si="1008"/>
        <v>2020</v>
      </c>
      <c r="J2284" s="1104">
        <f t="shared" si="1008"/>
        <v>2021</v>
      </c>
      <c r="K2284" s="362">
        <f t="shared" si="1008"/>
        <v>2022</v>
      </c>
      <c r="L2284" s="362">
        <f t="shared" si="1008"/>
        <v>2023</v>
      </c>
      <c r="M2284" s="362">
        <f t="shared" si="1008"/>
        <v>2024</v>
      </c>
      <c r="N2284" s="1141">
        <f t="shared" si="1008"/>
        <v>2025</v>
      </c>
      <c r="O2284" s="15"/>
      <c r="P2284" s="15"/>
      <c r="Q2284" s="343"/>
      <c r="R2284" s="2"/>
      <c r="S2284" s="343"/>
      <c r="T2284" s="2"/>
      <c r="U2284" s="2"/>
      <c r="V2284" s="2"/>
      <c r="W2284" s="2"/>
      <c r="X2284" s="2"/>
      <c r="Y2284" s="2"/>
      <c r="Z2284" s="2"/>
      <c r="AA2284" s="2"/>
      <c r="AB2284" s="2"/>
      <c r="AC2284" s="1044">
        <f t="shared" ref="AC2284:AI2284" si="1009">H$20</f>
        <v>2019</v>
      </c>
      <c r="AD2284" s="1044">
        <f t="shared" si="1009"/>
        <v>2020</v>
      </c>
      <c r="AE2284" s="1044">
        <f t="shared" si="1009"/>
        <v>2021</v>
      </c>
      <c r="AF2284" s="1044">
        <f t="shared" si="1009"/>
        <v>2022</v>
      </c>
      <c r="AG2284" s="1044">
        <f t="shared" si="1009"/>
        <v>2023</v>
      </c>
      <c r="AH2284" s="1044">
        <f t="shared" si="1009"/>
        <v>2024</v>
      </c>
      <c r="AI2284" s="1044">
        <f t="shared" si="1009"/>
        <v>2025</v>
      </c>
      <c r="AJ2284" s="2"/>
      <c r="AK2284" s="2"/>
      <c r="AL2284" s="2"/>
    </row>
    <row r="2285" spans="1:38" ht="12.75" customHeight="1" x14ac:dyDescent="0.25">
      <c r="A2285" s="2"/>
      <c r="B2285" s="178"/>
      <c r="C2285" s="779"/>
      <c r="D2285" s="416" t="s">
        <v>10</v>
      </c>
      <c r="E2285" s="2611" t="str">
        <f>Translations!$B$583</f>
        <v>Importerad eller exporterad mängd</v>
      </c>
      <c r="F2285" s="2484"/>
      <c r="G2285" s="365" t="str">
        <f>EUconst_tpa</f>
        <v>t / år</v>
      </c>
      <c r="H2285" s="1298"/>
      <c r="I2285" s="1299"/>
      <c r="J2285" s="1300"/>
      <c r="K2285" s="1298"/>
      <c r="L2285" s="1298"/>
      <c r="M2285" s="1298"/>
      <c r="N2285" s="1301"/>
      <c r="O2285" s="15"/>
      <c r="P2285" s="1362"/>
      <c r="Q2285" s="343"/>
      <c r="R2285" s="2"/>
      <c r="S2285" s="343"/>
      <c r="T2285" s="2"/>
      <c r="U2285" s="2"/>
      <c r="V2285" s="2"/>
      <c r="W2285" s="2"/>
      <c r="X2285" s="2"/>
      <c r="Y2285" s="2"/>
      <c r="Z2285" s="2"/>
      <c r="AA2285" s="2"/>
      <c r="AB2285" s="672" t="s">
        <v>782</v>
      </c>
      <c r="AC2285" s="1196" t="b">
        <f>OR(AND($L2280&lt;&gt;"",$L2280=FALSE),AC2197)</f>
        <v>0</v>
      </c>
      <c r="AD2285" s="108" t="b">
        <f t="shared" ref="AD2285:AI2285" si="1010">OR(AND($L2280&lt;&gt;"",$L2280=FALSE),AD2197)</f>
        <v>0</v>
      </c>
      <c r="AE2285" s="108" t="b">
        <f t="shared" si="1010"/>
        <v>0</v>
      </c>
      <c r="AF2285" s="108" t="b">
        <f t="shared" si="1010"/>
        <v>0</v>
      </c>
      <c r="AG2285" s="108" t="b">
        <f t="shared" si="1010"/>
        <v>0</v>
      </c>
      <c r="AH2285" s="108" t="b">
        <f t="shared" si="1010"/>
        <v>0</v>
      </c>
      <c r="AI2285" s="108" t="b">
        <f t="shared" si="1010"/>
        <v>0</v>
      </c>
      <c r="AJ2285" s="553" t="s">
        <v>2248</v>
      </c>
      <c r="AK2285" s="663" t="str">
        <f>IF(AND(CNTR_ExistSubInstEntries,MSconst_RequireSubAttrEmissions,COUNTIFS(AC2285:AI2285,FALSE,H2285:N2285,"")&gt;0),EUconst_Error&amp;"BM"&amp;$Q2127,"")</f>
        <v/>
      </c>
      <c r="AL2285" s="2"/>
    </row>
    <row r="2286" spans="1:38" ht="12.75" customHeight="1" x14ac:dyDescent="0.25">
      <c r="A2286" s="2"/>
      <c r="B2286" s="178"/>
      <c r="C2286" s="779"/>
      <c r="D2286" s="416" t="s">
        <v>23</v>
      </c>
      <c r="E2286" s="2625" t="str">
        <f>Translations!$B$584</f>
        <v>Effektivt värmevärde, i tillämpliga fall</v>
      </c>
      <c r="F2286" s="2476"/>
      <c r="G2286" s="424" t="str">
        <f>EUconst_GJpt</f>
        <v>GJ / t</v>
      </c>
      <c r="H2286" s="1302"/>
      <c r="I2286" s="1303"/>
      <c r="J2286" s="1304"/>
      <c r="K2286" s="1302"/>
      <c r="L2286" s="1302"/>
      <c r="M2286" s="1302"/>
      <c r="N2286" s="1305"/>
      <c r="O2286" s="15"/>
      <c r="P2286" s="1362"/>
      <c r="Q2286" s="343"/>
      <c r="R2286" s="2"/>
      <c r="S2286" s="343"/>
      <c r="T2286" s="2"/>
      <c r="U2286" s="2"/>
      <c r="V2286" s="2"/>
      <c r="W2286" s="2"/>
      <c r="X2286" s="2"/>
      <c r="Y2286" s="2"/>
      <c r="Z2286" s="2"/>
      <c r="AA2286" s="2"/>
      <c r="AB2286" s="2"/>
      <c r="AC2286" s="108" t="b">
        <f t="shared" ref="AC2286:AI2286" si="1011">AC2285</f>
        <v>0</v>
      </c>
      <c r="AD2286" s="108" t="b">
        <f t="shared" si="1011"/>
        <v>0</v>
      </c>
      <c r="AE2286" s="108" t="b">
        <f t="shared" si="1011"/>
        <v>0</v>
      </c>
      <c r="AF2286" s="108" t="b">
        <f t="shared" si="1011"/>
        <v>0</v>
      </c>
      <c r="AG2286" s="108" t="b">
        <f t="shared" si="1011"/>
        <v>0</v>
      </c>
      <c r="AH2286" s="108" t="b">
        <f t="shared" si="1011"/>
        <v>0</v>
      </c>
      <c r="AI2286" s="108" t="b">
        <f t="shared" si="1011"/>
        <v>0</v>
      </c>
      <c r="AJ2286" s="553" t="s">
        <v>2248</v>
      </c>
      <c r="AK2286" s="663" t="str">
        <f>IF(AND(CNTR_ExistSubInstEntries,MSconst_RequireSubAttrEmissions,COUNTIFS(AC2286:AI2286,FALSE,H2286:N2286,"")&gt;0),EUconst_Error&amp;"BM"&amp;$Q2127,"")</f>
        <v/>
      </c>
      <c r="AL2286" s="2"/>
    </row>
    <row r="2287" spans="1:38" ht="12.75" customHeight="1" thickBot="1" x14ac:dyDescent="0.3">
      <c r="A2287" s="2"/>
      <c r="B2287" s="178"/>
      <c r="C2287" s="779"/>
      <c r="D2287" s="416" t="s">
        <v>859</v>
      </c>
      <c r="E2287" s="2625" t="str">
        <f>Translations!$B$585</f>
        <v>Kolinnehåll (viktprocent)</v>
      </c>
      <c r="F2287" s="2476"/>
      <c r="G2287" s="425" t="s">
        <v>957</v>
      </c>
      <c r="H2287" s="1302"/>
      <c r="I2287" s="1303"/>
      <c r="J2287" s="1304"/>
      <c r="K2287" s="1302"/>
      <c r="L2287" s="1302"/>
      <c r="M2287" s="1302"/>
      <c r="N2287" s="1305"/>
      <c r="O2287" s="15"/>
      <c r="P2287" s="1362"/>
      <c r="Q2287" s="343"/>
      <c r="R2287" s="2"/>
      <c r="S2287" s="343"/>
      <c r="T2287" s="2"/>
      <c r="U2287" s="2"/>
      <c r="V2287" s="2"/>
      <c r="W2287" s="2"/>
      <c r="X2287" s="2"/>
      <c r="Y2287" s="2"/>
      <c r="Z2287" s="2"/>
      <c r="AA2287" s="2"/>
      <c r="AB2287" s="2"/>
      <c r="AC2287" s="108" t="b">
        <f t="shared" ref="AC2287:AI2287" si="1012">AC2286</f>
        <v>0</v>
      </c>
      <c r="AD2287" s="108" t="b">
        <f t="shared" si="1012"/>
        <v>0</v>
      </c>
      <c r="AE2287" s="108" t="b">
        <f t="shared" si="1012"/>
        <v>0</v>
      </c>
      <c r="AF2287" s="108" t="b">
        <f t="shared" si="1012"/>
        <v>0</v>
      </c>
      <c r="AG2287" s="108" t="b">
        <f t="shared" si="1012"/>
        <v>0</v>
      </c>
      <c r="AH2287" s="108" t="b">
        <f t="shared" si="1012"/>
        <v>0</v>
      </c>
      <c r="AI2287" s="108" t="b">
        <f t="shared" si="1012"/>
        <v>0</v>
      </c>
      <c r="AJ2287" s="553" t="s">
        <v>2248</v>
      </c>
      <c r="AK2287" s="663" t="str">
        <f>IF(AND(CNTR_ExistSubInstEntries,MSconst_RequireSubAttrEmissions,COUNTIFS(AC2287:AI2287,FALSE,H2287:N2287,"")&gt;0),EUconst_Error&amp;"BM"&amp;$Q2127,"")</f>
        <v/>
      </c>
      <c r="AL2287" s="2"/>
    </row>
    <row r="2288" spans="1:38" ht="12.75" customHeight="1" x14ac:dyDescent="0.25">
      <c r="A2288" s="2"/>
      <c r="B2288" s="178"/>
      <c r="C2288" s="779"/>
      <c r="D2288" s="416" t="s">
        <v>860</v>
      </c>
      <c r="E2288" s="2626" t="str">
        <f>Translations!$B$586</f>
        <v>Biomassahalt (som kolfraktion)</v>
      </c>
      <c r="F2288" s="2487"/>
      <c r="G2288" s="384" t="s">
        <v>957</v>
      </c>
      <c r="H2288" s="1306"/>
      <c r="I2288" s="1307"/>
      <c r="J2288" s="1308"/>
      <c r="K2288" s="1306"/>
      <c r="L2288" s="1306"/>
      <c r="M2288" s="1306"/>
      <c r="N2288" s="1309"/>
      <c r="O2288" s="15"/>
      <c r="P2288" s="1362"/>
      <c r="Q2288" s="343"/>
      <c r="R2288" s="2"/>
      <c r="S2288" s="772"/>
      <c r="T2288" s="609">
        <f t="shared" ref="T2288:Z2288" si="1013">H2284</f>
        <v>2019</v>
      </c>
      <c r="U2288" s="609">
        <f t="shared" si="1013"/>
        <v>2020</v>
      </c>
      <c r="V2288" s="609">
        <f t="shared" si="1013"/>
        <v>2021</v>
      </c>
      <c r="W2288" s="609">
        <f t="shared" si="1013"/>
        <v>2022</v>
      </c>
      <c r="X2288" s="609">
        <f t="shared" si="1013"/>
        <v>2023</v>
      </c>
      <c r="Y2288" s="609">
        <f t="shared" si="1013"/>
        <v>2024</v>
      </c>
      <c r="Z2288" s="610">
        <f t="shared" si="1013"/>
        <v>2025</v>
      </c>
      <c r="AA2288" s="2"/>
      <c r="AB2288" s="2"/>
      <c r="AC2288" s="108" t="b">
        <f t="shared" ref="AC2288:AI2288" si="1014">AC2287</f>
        <v>0</v>
      </c>
      <c r="AD2288" s="108" t="b">
        <f t="shared" si="1014"/>
        <v>0</v>
      </c>
      <c r="AE2288" s="108" t="b">
        <f t="shared" si="1014"/>
        <v>0</v>
      </c>
      <c r="AF2288" s="108" t="b">
        <f t="shared" si="1014"/>
        <v>0</v>
      </c>
      <c r="AG2288" s="108" t="b">
        <f t="shared" si="1014"/>
        <v>0</v>
      </c>
      <c r="AH2288" s="108" t="b">
        <f t="shared" si="1014"/>
        <v>0</v>
      </c>
      <c r="AI2288" s="108" t="b">
        <f t="shared" si="1014"/>
        <v>0</v>
      </c>
      <c r="AJ2288" s="553" t="s">
        <v>2248</v>
      </c>
      <c r="AK2288" s="663" t="str">
        <f>IF(AND(CNTR_ExistSubInstEntries,MSconst_RequireSubAttrEmissions,COUNTIFS(AC2288:AI2288,FALSE,H2288:N2288,"")&gt;0),EUconst_Error&amp;"BM"&amp;$Q2127,"")</f>
        <v/>
      </c>
      <c r="AL2288" s="2"/>
    </row>
    <row r="2289" spans="1:38" ht="12.75" customHeight="1" thickBot="1" x14ac:dyDescent="0.3">
      <c r="A2289" s="2"/>
      <c r="B2289" s="178"/>
      <c r="C2289" s="779"/>
      <c r="D2289" s="416" t="s">
        <v>861</v>
      </c>
      <c r="E2289" s="2627" t="str">
        <f>Translations!$B$587</f>
        <v>Utsläpp (fossila, beräknade)</v>
      </c>
      <c r="F2289" s="2484"/>
      <c r="G2289" s="426" t="str">
        <f>EUconst_tCO2pa</f>
        <v>t CO2 / år</v>
      </c>
      <c r="H2289" s="273" t="str">
        <f t="shared" ref="H2289:N2289" si="1015">IF(AND(COUNT(H2285:H2288)&gt;0,H2292=""),3.664*H2285*(H2287/100)*(1-H2288/100),"")</f>
        <v/>
      </c>
      <c r="I2289" s="1109" t="str">
        <f t="shared" si="1015"/>
        <v/>
      </c>
      <c r="J2289" s="1116" t="str">
        <f t="shared" si="1015"/>
        <v/>
      </c>
      <c r="K2289" s="273" t="str">
        <f t="shared" si="1015"/>
        <v/>
      </c>
      <c r="L2289" s="273" t="str">
        <f t="shared" si="1015"/>
        <v/>
      </c>
      <c r="M2289" s="273" t="str">
        <f t="shared" si="1015"/>
        <v/>
      </c>
      <c r="N2289" s="1142" t="str">
        <f t="shared" si="1015"/>
        <v/>
      </c>
      <c r="O2289" s="15"/>
      <c r="P2289" s="15"/>
      <c r="Q2289" s="165" t="str">
        <f>EUconst_CNTR_EmissionsIntSource1 &amp; I2127</f>
        <v>EmInternalSource1_</v>
      </c>
      <c r="R2289" s="2"/>
      <c r="S2289" s="773" t="str">
        <f>EUconst_CNTR_AttributedEmissions &amp; I2127</f>
        <v>AttrEmissions_</v>
      </c>
      <c r="T2289" s="111" t="str">
        <f t="shared" ref="T2289:Z2289" si="1016">IF(T2135,SUM(H2289),"")</f>
        <v/>
      </c>
      <c r="U2289" s="111" t="str">
        <f t="shared" si="1016"/>
        <v/>
      </c>
      <c r="V2289" s="111" t="str">
        <f t="shared" si="1016"/>
        <v/>
      </c>
      <c r="W2289" s="111" t="str">
        <f t="shared" si="1016"/>
        <v/>
      </c>
      <c r="X2289" s="111" t="str">
        <f t="shared" si="1016"/>
        <v/>
      </c>
      <c r="Y2289" s="111" t="str">
        <f t="shared" si="1016"/>
        <v/>
      </c>
      <c r="Z2289" s="112" t="str">
        <f t="shared" si="1016"/>
        <v/>
      </c>
      <c r="AA2289" s="2"/>
      <c r="AB2289" s="2"/>
      <c r="AC2289" s="2"/>
      <c r="AD2289" s="2"/>
      <c r="AE2289" s="2"/>
      <c r="AF2289" s="2"/>
      <c r="AG2289" s="2"/>
      <c r="AH2289" s="2"/>
      <c r="AI2289" s="2"/>
      <c r="AJ2289" s="2"/>
      <c r="AK2289" s="2"/>
      <c r="AL2289" s="2"/>
    </row>
    <row r="2290" spans="1:38" ht="12.75" customHeight="1" x14ac:dyDescent="0.25">
      <c r="A2290" s="2"/>
      <c r="B2290" s="178"/>
      <c r="C2290" s="779"/>
      <c r="D2290" s="416" t="s">
        <v>862</v>
      </c>
      <c r="E2290" s="2628" t="str">
        <f>Translations!$B$588</f>
        <v>Memorandumpost: Utsläpp biomassa</v>
      </c>
      <c r="F2290" s="2476"/>
      <c r="G2290" s="427" t="str">
        <f>EUconst_tCO2pa</f>
        <v>t CO2 / år</v>
      </c>
      <c r="H2290" s="272" t="str">
        <f t="shared" ref="H2290:N2290" si="1017">IF(ISNUMBER(H2289),3.664*H2285*(H2287/100)*(H2288/100),"")</f>
        <v/>
      </c>
      <c r="I2290" s="1110" t="str">
        <f t="shared" si="1017"/>
        <v/>
      </c>
      <c r="J2290" s="1117" t="str">
        <f t="shared" si="1017"/>
        <v/>
      </c>
      <c r="K2290" s="272" t="str">
        <f t="shared" si="1017"/>
        <v/>
      </c>
      <c r="L2290" s="272" t="str">
        <f t="shared" si="1017"/>
        <v/>
      </c>
      <c r="M2290" s="272" t="str">
        <f t="shared" si="1017"/>
        <v/>
      </c>
      <c r="N2290" s="1143" t="str">
        <f t="shared" si="1017"/>
        <v/>
      </c>
      <c r="O2290" s="15"/>
      <c r="P2290" s="15"/>
      <c r="Q2290" s="343"/>
      <c r="R2290" s="2"/>
      <c r="S2290" s="343"/>
      <c r="T2290" s="2"/>
      <c r="U2290" s="2"/>
      <c r="V2290" s="2"/>
      <c r="W2290" s="2"/>
      <c r="X2290" s="2"/>
      <c r="Y2290" s="2"/>
      <c r="Z2290" s="2"/>
      <c r="AA2290" s="2"/>
      <c r="AB2290" s="2"/>
      <c r="AC2290" s="2"/>
      <c r="AD2290" s="2"/>
      <c r="AE2290" s="2"/>
      <c r="AF2290" s="2"/>
      <c r="AG2290" s="2"/>
      <c r="AH2290" s="2"/>
      <c r="AI2290" s="2"/>
      <c r="AJ2290" s="2"/>
      <c r="AK2290" s="2"/>
      <c r="AL2290" s="2"/>
    </row>
    <row r="2291" spans="1:38" ht="12.75" customHeight="1" x14ac:dyDescent="0.25">
      <c r="A2291" s="2"/>
      <c r="B2291" s="178"/>
      <c r="C2291" s="779"/>
      <c r="D2291" s="416" t="s">
        <v>863</v>
      </c>
      <c r="E2291" s="2626" t="str">
        <f>Translations!$B$589</f>
        <v>Energiinnehåll (beräknat)</v>
      </c>
      <c r="F2291" s="2487"/>
      <c r="G2291" s="428" t="str">
        <f>EUconst_TJpa</f>
        <v>TJ / år</v>
      </c>
      <c r="H2291" s="275" t="str">
        <f t="shared" ref="H2291:N2291" si="1018">IF(COUNT(H2285:H2286)=2,H2285*H2286/1000,"")</f>
        <v/>
      </c>
      <c r="I2291" s="281" t="str">
        <f t="shared" si="1018"/>
        <v/>
      </c>
      <c r="J2291" s="1118" t="str">
        <f t="shared" si="1018"/>
        <v/>
      </c>
      <c r="K2291" s="275" t="str">
        <f t="shared" si="1018"/>
        <v/>
      </c>
      <c r="L2291" s="275" t="str">
        <f t="shared" si="1018"/>
        <v/>
      </c>
      <c r="M2291" s="275" t="str">
        <f t="shared" si="1018"/>
        <v/>
      </c>
      <c r="N2291" s="1144" t="str">
        <f t="shared" si="1018"/>
        <v/>
      </c>
      <c r="O2291" s="15"/>
      <c r="P2291" s="15"/>
      <c r="Q2291" s="343"/>
      <c r="R2291" s="2"/>
      <c r="S2291" s="343"/>
      <c r="T2291" s="2"/>
      <c r="U2291" s="2"/>
      <c r="V2291" s="2"/>
      <c r="W2291" s="2"/>
      <c r="X2291" s="2"/>
      <c r="Y2291" s="2"/>
      <c r="Z2291" s="2"/>
      <c r="AA2291" s="2"/>
      <c r="AB2291" s="2"/>
      <c r="AC2291" s="2"/>
      <c r="AD2291" s="2"/>
      <c r="AE2291" s="2"/>
      <c r="AF2291" s="2"/>
      <c r="AG2291" s="2"/>
      <c r="AH2291" s="2"/>
      <c r="AI2291" s="2"/>
      <c r="AJ2291" s="2"/>
      <c r="AK2291" s="2"/>
      <c r="AL2291" s="2"/>
    </row>
    <row r="2292" spans="1:38" ht="12.75" customHeight="1" x14ac:dyDescent="0.25">
      <c r="A2292" s="2"/>
      <c r="B2292" s="178"/>
      <c r="C2292" s="779"/>
      <c r="D2292" s="416" t="s">
        <v>72</v>
      </c>
      <c r="E2292" s="2629" t="str">
        <f>Translations!$B$590</f>
        <v>Felmeddelanden (utsläpp)</v>
      </c>
      <c r="F2292" s="2630"/>
      <c r="G2292" s="429"/>
      <c r="H2292" s="520" t="str">
        <f t="shared" ref="H2292:N2292" si="1019">IF(COUNT(H2285,H2287:H2288)&gt;0,IF(COUNTIF(H2286:H2288,"&lt;0")&gt;0,EUconst_Negative,IF(COUNT(H2285,H2287:H2288)&lt;3,EUconst_Incomplete,"")),"")</f>
        <v/>
      </c>
      <c r="I2292" s="1111" t="str">
        <f t="shared" si="1019"/>
        <v/>
      </c>
      <c r="J2292" s="1119" t="str">
        <f t="shared" si="1019"/>
        <v/>
      </c>
      <c r="K2292" s="520" t="str">
        <f t="shared" si="1019"/>
        <v/>
      </c>
      <c r="L2292" s="520" t="str">
        <f t="shared" si="1019"/>
        <v/>
      </c>
      <c r="M2292" s="520" t="str">
        <f t="shared" si="1019"/>
        <v/>
      </c>
      <c r="N2292" s="1145" t="str">
        <f t="shared" si="1019"/>
        <v/>
      </c>
      <c r="O2292" s="15"/>
      <c r="P2292" s="15"/>
      <c r="Q2292" s="343"/>
      <c r="R2292" s="2"/>
      <c r="S2292" s="343"/>
      <c r="T2292" s="2"/>
      <c r="U2292" s="2"/>
      <c r="V2292" s="2"/>
      <c r="W2292" s="2"/>
      <c r="X2292" s="2"/>
      <c r="Y2292" s="2"/>
      <c r="Z2292" s="2"/>
      <c r="AA2292" s="2"/>
      <c r="AB2292" s="2"/>
      <c r="AC2292" s="2"/>
      <c r="AD2292" s="2"/>
      <c r="AE2292" s="2"/>
      <c r="AF2292" s="2"/>
      <c r="AG2292" s="2"/>
      <c r="AH2292" s="2"/>
      <c r="AI2292" s="2"/>
      <c r="AJ2292" s="2"/>
      <c r="AK2292" s="2"/>
      <c r="AL2292" s="2"/>
    </row>
    <row r="2293" spans="1:38" ht="12.75" customHeight="1" x14ac:dyDescent="0.25">
      <c r="A2293" s="2"/>
      <c r="B2293" s="178"/>
      <c r="C2293" s="779"/>
      <c r="D2293" s="416"/>
      <c r="E2293" s="780"/>
      <c r="F2293" s="780"/>
      <c r="G2293" s="780"/>
      <c r="H2293" s="780"/>
      <c r="I2293" s="780"/>
      <c r="J2293" s="780"/>
      <c r="K2293" s="780"/>
      <c r="L2293" s="780"/>
      <c r="M2293" s="623"/>
      <c r="N2293" s="519"/>
      <c r="O2293" s="15"/>
      <c r="P2293" s="15"/>
      <c r="Q2293" s="343"/>
      <c r="R2293" s="2"/>
      <c r="S2293" s="343"/>
      <c r="T2293" s="2"/>
      <c r="U2293" s="2"/>
      <c r="V2293" s="2"/>
      <c r="W2293" s="2"/>
      <c r="X2293" s="2"/>
      <c r="Y2293" s="2"/>
      <c r="Z2293" s="2"/>
      <c r="AA2293" s="2"/>
      <c r="AB2293" s="2"/>
      <c r="AC2293" s="2"/>
      <c r="AD2293" s="2"/>
      <c r="AE2293" s="2"/>
      <c r="AF2293" s="2"/>
      <c r="AG2293" s="2"/>
      <c r="AH2293" s="2"/>
      <c r="AI2293" s="2"/>
      <c r="AJ2293" s="2"/>
      <c r="AK2293" s="2"/>
      <c r="AL2293" s="2"/>
    </row>
    <row r="2294" spans="1:38" ht="12.75" customHeight="1" x14ac:dyDescent="0.25">
      <c r="A2294" s="2"/>
      <c r="B2294" s="178"/>
      <c r="C2294" s="779"/>
      <c r="D2294" s="416" t="s">
        <v>73</v>
      </c>
      <c r="E2294" s="2614" t="str">
        <f>Translations!$B$591</f>
        <v>Namn på andra bränsle-/materialmängder – 2:</v>
      </c>
      <c r="F2294" s="1960"/>
      <c r="G2294" s="1960"/>
      <c r="H2294" s="2520"/>
      <c r="I2294" s="2621"/>
      <c r="J2294" s="2510"/>
      <c r="K2294" s="2510"/>
      <c r="L2294" s="2510"/>
      <c r="M2294" s="2511"/>
      <c r="N2294" s="1807"/>
      <c r="O2294" s="15"/>
      <c r="P2294" s="1362"/>
      <c r="Q2294" s="343"/>
      <c r="R2294" s="2"/>
      <c r="S2294" s="343"/>
      <c r="T2294" s="2"/>
      <c r="U2294" s="2"/>
      <c r="V2294" s="2"/>
      <c r="W2294" s="2"/>
      <c r="X2294" s="2"/>
      <c r="Y2294" s="2"/>
      <c r="Z2294" s="2"/>
      <c r="AA2294" s="2"/>
      <c r="AB2294" s="2"/>
      <c r="AC2294" s="672" t="s">
        <v>782</v>
      </c>
      <c r="AD2294" s="108" t="b">
        <f>AD2282</f>
        <v>0</v>
      </c>
      <c r="AE2294" s="2"/>
      <c r="AF2294" s="2"/>
      <c r="AG2294" s="2"/>
      <c r="AH2294" s="2"/>
      <c r="AI2294" s="2"/>
      <c r="AJ2294" s="2"/>
      <c r="AK2294" s="2"/>
      <c r="AL2294" s="2"/>
    </row>
    <row r="2295" spans="1:38" ht="5.15" customHeight="1" x14ac:dyDescent="0.25">
      <c r="A2295" s="2"/>
      <c r="B2295" s="178"/>
      <c r="C2295" s="779"/>
      <c r="D2295" s="780"/>
      <c r="E2295" s="1804"/>
      <c r="F2295" s="1806"/>
      <c r="G2295" s="780"/>
      <c r="H2295" s="780"/>
      <c r="I2295" s="1806"/>
      <c r="J2295" s="1806"/>
      <c r="K2295" s="1806"/>
      <c r="L2295" s="1806"/>
      <c r="M2295" s="1806"/>
      <c r="N2295" s="1807"/>
      <c r="O2295" s="15"/>
      <c r="P2295" s="15"/>
      <c r="Q2295" s="343"/>
      <c r="R2295" s="2"/>
      <c r="S2295" s="343"/>
      <c r="T2295" s="2"/>
      <c r="U2295" s="2"/>
      <c r="V2295" s="2"/>
      <c r="W2295" s="2"/>
      <c r="X2295" s="2"/>
      <c r="Y2295" s="2"/>
      <c r="Z2295" s="2"/>
      <c r="AA2295" s="2"/>
      <c r="AB2295" s="2"/>
      <c r="AC2295" s="2"/>
      <c r="AD2295" s="2"/>
      <c r="AE2295" s="2"/>
      <c r="AF2295" s="2"/>
      <c r="AG2295" s="2"/>
      <c r="AH2295" s="2"/>
      <c r="AI2295" s="2"/>
      <c r="AJ2295" s="2"/>
      <c r="AK2295" s="2"/>
      <c r="AL2295" s="2"/>
    </row>
    <row r="2296" spans="1:38" ht="12.75" customHeight="1" thickBot="1" x14ac:dyDescent="0.3">
      <c r="A2296" s="2"/>
      <c r="B2296" s="178"/>
      <c r="C2296" s="779"/>
      <c r="D2296" s="416"/>
      <c r="E2296" s="2605" t="str">
        <f>Translations!$B$592</f>
        <v>Andra bränsle-/materialmängder – 2</v>
      </c>
      <c r="F2296" s="2497"/>
      <c r="G2296" s="361" t="str">
        <f>EUconst_Unit</f>
        <v>Enhet</v>
      </c>
      <c r="H2296" s="362">
        <f t="shared" ref="H2296:N2296" si="1020">H$3042</f>
        <v>2019</v>
      </c>
      <c r="I2296" s="1103">
        <f t="shared" si="1020"/>
        <v>2020</v>
      </c>
      <c r="J2296" s="1104">
        <f t="shared" si="1020"/>
        <v>2021</v>
      </c>
      <c r="K2296" s="362">
        <f t="shared" si="1020"/>
        <v>2022</v>
      </c>
      <c r="L2296" s="362">
        <f t="shared" si="1020"/>
        <v>2023</v>
      </c>
      <c r="M2296" s="362">
        <f t="shared" si="1020"/>
        <v>2024</v>
      </c>
      <c r="N2296" s="1141">
        <f t="shared" si="1020"/>
        <v>2025</v>
      </c>
      <c r="O2296" s="15"/>
      <c r="P2296" s="15"/>
      <c r="Q2296" s="343"/>
      <c r="R2296" s="2"/>
      <c r="S2296" s="343"/>
      <c r="T2296" s="2"/>
      <c r="U2296" s="2"/>
      <c r="V2296" s="2"/>
      <c r="W2296" s="2"/>
      <c r="X2296" s="2"/>
      <c r="Y2296" s="2"/>
      <c r="Z2296" s="2"/>
      <c r="AA2296" s="2"/>
      <c r="AB2296" s="2"/>
      <c r="AC2296" s="1044">
        <f t="shared" ref="AC2296:AI2296" si="1021">H$20</f>
        <v>2019</v>
      </c>
      <c r="AD2296" s="1044">
        <f t="shared" si="1021"/>
        <v>2020</v>
      </c>
      <c r="AE2296" s="1044">
        <f t="shared" si="1021"/>
        <v>2021</v>
      </c>
      <c r="AF2296" s="1044">
        <f t="shared" si="1021"/>
        <v>2022</v>
      </c>
      <c r="AG2296" s="1044">
        <f t="shared" si="1021"/>
        <v>2023</v>
      </c>
      <c r="AH2296" s="1044">
        <f t="shared" si="1021"/>
        <v>2024</v>
      </c>
      <c r="AI2296" s="1044">
        <f t="shared" si="1021"/>
        <v>2025</v>
      </c>
      <c r="AJ2296" s="2"/>
      <c r="AK2296" s="2"/>
      <c r="AL2296" s="2"/>
    </row>
    <row r="2297" spans="1:38" ht="12.75" customHeight="1" x14ac:dyDescent="0.25">
      <c r="A2297" s="2"/>
      <c r="B2297" s="178"/>
      <c r="C2297" s="779"/>
      <c r="D2297" s="416" t="s">
        <v>74</v>
      </c>
      <c r="E2297" s="2611" t="str">
        <f>Translations!$B$583</f>
        <v>Importerad eller exporterad mängd</v>
      </c>
      <c r="F2297" s="2484"/>
      <c r="G2297" s="365" t="str">
        <f>EUconst_tpa</f>
        <v>t / år</v>
      </c>
      <c r="H2297" s="1298"/>
      <c r="I2297" s="1299"/>
      <c r="J2297" s="1300"/>
      <c r="K2297" s="1298"/>
      <c r="L2297" s="1298"/>
      <c r="M2297" s="1298"/>
      <c r="N2297" s="1301"/>
      <c r="O2297" s="15"/>
      <c r="P2297" s="1362"/>
      <c r="Q2297" s="343"/>
      <c r="R2297" s="2"/>
      <c r="S2297" s="343"/>
      <c r="T2297" s="2"/>
      <c r="U2297" s="2"/>
      <c r="V2297" s="2"/>
      <c r="W2297" s="2"/>
      <c r="X2297" s="2"/>
      <c r="Y2297" s="2"/>
      <c r="Z2297" s="2"/>
      <c r="AA2297" s="2"/>
      <c r="AB2297" s="672" t="s">
        <v>782</v>
      </c>
      <c r="AC2297" s="108" t="b">
        <f>AC2285</f>
        <v>0</v>
      </c>
      <c r="AD2297" s="108" t="b">
        <f t="shared" ref="AD2297:AI2297" si="1022">AD2285</f>
        <v>0</v>
      </c>
      <c r="AE2297" s="108" t="b">
        <f t="shared" si="1022"/>
        <v>0</v>
      </c>
      <c r="AF2297" s="108" t="b">
        <f t="shared" si="1022"/>
        <v>0</v>
      </c>
      <c r="AG2297" s="108" t="b">
        <f t="shared" si="1022"/>
        <v>0</v>
      </c>
      <c r="AH2297" s="108" t="b">
        <f t="shared" si="1022"/>
        <v>0</v>
      </c>
      <c r="AI2297" s="108" t="b">
        <f t="shared" si="1022"/>
        <v>0</v>
      </c>
      <c r="AJ2297" s="553" t="s">
        <v>2248</v>
      </c>
      <c r="AK2297" s="663" t="str">
        <f>IF(AND(CNTR_ExistSubInstEntries,MSconst_RequireSubAttrEmissions,COUNTIFS(AC2297:AI2297,FALSE,H2297:N2297,"")&gt;0),EUconst_Error&amp;"BM"&amp;$Q2127,"")</f>
        <v/>
      </c>
      <c r="AL2297" s="2"/>
    </row>
    <row r="2298" spans="1:38" ht="12.75" customHeight="1" x14ac:dyDescent="0.25">
      <c r="A2298" s="2"/>
      <c r="B2298" s="178"/>
      <c r="C2298" s="779"/>
      <c r="D2298" s="416" t="s">
        <v>1201</v>
      </c>
      <c r="E2298" s="2625" t="str">
        <f>Translations!$B$584</f>
        <v>Effektivt värmevärde, i tillämpliga fall</v>
      </c>
      <c r="F2298" s="2476"/>
      <c r="G2298" s="424" t="str">
        <f>EUconst_GJpt</f>
        <v>GJ / t</v>
      </c>
      <c r="H2298" s="1302"/>
      <c r="I2298" s="1303"/>
      <c r="J2298" s="1304"/>
      <c r="K2298" s="1302"/>
      <c r="L2298" s="1302"/>
      <c r="M2298" s="1302"/>
      <c r="N2298" s="1305"/>
      <c r="O2298" s="15"/>
      <c r="P2298" s="1362"/>
      <c r="Q2298" s="343"/>
      <c r="R2298" s="2"/>
      <c r="S2298" s="343"/>
      <c r="T2298" s="2"/>
      <c r="U2298" s="2"/>
      <c r="V2298" s="2"/>
      <c r="W2298" s="2"/>
      <c r="X2298" s="2"/>
      <c r="Y2298" s="2"/>
      <c r="Z2298" s="2"/>
      <c r="AA2298" s="2"/>
      <c r="AB2298" s="2"/>
      <c r="AC2298" s="108" t="b">
        <f t="shared" ref="AC2298:AI2298" si="1023">AC2286</f>
        <v>0</v>
      </c>
      <c r="AD2298" s="108" t="b">
        <f t="shared" si="1023"/>
        <v>0</v>
      </c>
      <c r="AE2298" s="108" t="b">
        <f t="shared" si="1023"/>
        <v>0</v>
      </c>
      <c r="AF2298" s="108" t="b">
        <f t="shared" si="1023"/>
        <v>0</v>
      </c>
      <c r="AG2298" s="108" t="b">
        <f t="shared" si="1023"/>
        <v>0</v>
      </c>
      <c r="AH2298" s="108" t="b">
        <f t="shared" si="1023"/>
        <v>0</v>
      </c>
      <c r="AI2298" s="108" t="b">
        <f t="shared" si="1023"/>
        <v>0</v>
      </c>
      <c r="AJ2298" s="553" t="s">
        <v>2248</v>
      </c>
      <c r="AK2298" s="663" t="str">
        <f>IF(AND(CNTR_ExistSubInstEntries,MSconst_RequireSubAttrEmissions,COUNTIFS(AC2298:AI2298,FALSE,H2298:N2298,"")&gt;0),EUconst_Error&amp;"BM"&amp;$Q2127,"")</f>
        <v/>
      </c>
      <c r="AL2298" s="2"/>
    </row>
    <row r="2299" spans="1:38" ht="12.75" customHeight="1" thickBot="1" x14ac:dyDescent="0.3">
      <c r="A2299" s="2"/>
      <c r="B2299" s="178"/>
      <c r="C2299" s="779"/>
      <c r="D2299" s="416" t="s">
        <v>1202</v>
      </c>
      <c r="E2299" s="2625" t="str">
        <f>Translations!$B$585</f>
        <v>Kolinnehåll (viktprocent)</v>
      </c>
      <c r="F2299" s="2476"/>
      <c r="G2299" s="425" t="s">
        <v>957</v>
      </c>
      <c r="H2299" s="1302"/>
      <c r="I2299" s="1303"/>
      <c r="J2299" s="1304"/>
      <c r="K2299" s="1302"/>
      <c r="L2299" s="1302"/>
      <c r="M2299" s="1302"/>
      <c r="N2299" s="1305"/>
      <c r="O2299" s="15"/>
      <c r="P2299" s="1362"/>
      <c r="Q2299" s="343"/>
      <c r="R2299" s="2"/>
      <c r="S2299" s="343"/>
      <c r="T2299" s="2"/>
      <c r="U2299" s="2"/>
      <c r="V2299" s="2"/>
      <c r="W2299" s="2"/>
      <c r="X2299" s="2"/>
      <c r="Y2299" s="2"/>
      <c r="Z2299" s="2"/>
      <c r="AA2299" s="2"/>
      <c r="AB2299" s="2"/>
      <c r="AC2299" s="108" t="b">
        <f t="shared" ref="AC2299:AI2299" si="1024">AC2287</f>
        <v>0</v>
      </c>
      <c r="AD2299" s="108" t="b">
        <f t="shared" si="1024"/>
        <v>0</v>
      </c>
      <c r="AE2299" s="108" t="b">
        <f t="shared" si="1024"/>
        <v>0</v>
      </c>
      <c r="AF2299" s="108" t="b">
        <f t="shared" si="1024"/>
        <v>0</v>
      </c>
      <c r="AG2299" s="108" t="b">
        <f t="shared" si="1024"/>
        <v>0</v>
      </c>
      <c r="AH2299" s="108" t="b">
        <f t="shared" si="1024"/>
        <v>0</v>
      </c>
      <c r="AI2299" s="108" t="b">
        <f t="shared" si="1024"/>
        <v>0</v>
      </c>
      <c r="AJ2299" s="553" t="s">
        <v>2248</v>
      </c>
      <c r="AK2299" s="663" t="str">
        <f>IF(AND(CNTR_ExistSubInstEntries,MSconst_RequireSubAttrEmissions,COUNTIFS(AC2299:AI2299,FALSE,H2299:N2299,"")&gt;0),EUconst_Error&amp;"BM"&amp;$Q2127,"")</f>
        <v/>
      </c>
      <c r="AL2299" s="2"/>
    </row>
    <row r="2300" spans="1:38" ht="12.75" customHeight="1" x14ac:dyDescent="0.25">
      <c r="A2300" s="2"/>
      <c r="B2300" s="178"/>
      <c r="C2300" s="779"/>
      <c r="D2300" s="416" t="s">
        <v>1203</v>
      </c>
      <c r="E2300" s="2626" t="str">
        <f>Translations!$B$586</f>
        <v>Biomassahalt (som kolfraktion)</v>
      </c>
      <c r="F2300" s="2487"/>
      <c r="G2300" s="384" t="s">
        <v>957</v>
      </c>
      <c r="H2300" s="1306"/>
      <c r="I2300" s="1307"/>
      <c r="J2300" s="1308"/>
      <c r="K2300" s="1306"/>
      <c r="L2300" s="1306"/>
      <c r="M2300" s="1306"/>
      <c r="N2300" s="1309"/>
      <c r="O2300" s="15"/>
      <c r="P2300" s="1362"/>
      <c r="Q2300" s="343"/>
      <c r="R2300" s="2"/>
      <c r="S2300" s="772"/>
      <c r="T2300" s="609">
        <f t="shared" ref="T2300:Z2300" si="1025">H2296</f>
        <v>2019</v>
      </c>
      <c r="U2300" s="609">
        <f t="shared" si="1025"/>
        <v>2020</v>
      </c>
      <c r="V2300" s="609">
        <f t="shared" si="1025"/>
        <v>2021</v>
      </c>
      <c r="W2300" s="609">
        <f t="shared" si="1025"/>
        <v>2022</v>
      </c>
      <c r="X2300" s="609">
        <f t="shared" si="1025"/>
        <v>2023</v>
      </c>
      <c r="Y2300" s="609">
        <f t="shared" si="1025"/>
        <v>2024</v>
      </c>
      <c r="Z2300" s="610">
        <f t="shared" si="1025"/>
        <v>2025</v>
      </c>
      <c r="AA2300" s="2"/>
      <c r="AB2300" s="2"/>
      <c r="AC2300" s="108" t="b">
        <f t="shared" ref="AC2300:AI2300" si="1026">AC2288</f>
        <v>0</v>
      </c>
      <c r="AD2300" s="108" t="b">
        <f t="shared" si="1026"/>
        <v>0</v>
      </c>
      <c r="AE2300" s="108" t="b">
        <f t="shared" si="1026"/>
        <v>0</v>
      </c>
      <c r="AF2300" s="108" t="b">
        <f t="shared" si="1026"/>
        <v>0</v>
      </c>
      <c r="AG2300" s="108" t="b">
        <f t="shared" si="1026"/>
        <v>0</v>
      </c>
      <c r="AH2300" s="108" t="b">
        <f t="shared" si="1026"/>
        <v>0</v>
      </c>
      <c r="AI2300" s="108" t="b">
        <f t="shared" si="1026"/>
        <v>0</v>
      </c>
      <c r="AJ2300" s="553" t="s">
        <v>2248</v>
      </c>
      <c r="AK2300" s="663" t="str">
        <f>IF(AND(CNTR_ExistSubInstEntries,MSconst_RequireSubAttrEmissions,COUNTIFS(AC2300:AI2300,FALSE,H2300:N2300,"")&gt;0),EUconst_Error&amp;"BM"&amp;$Q2127,"")</f>
        <v/>
      </c>
      <c r="AL2300" s="2"/>
    </row>
    <row r="2301" spans="1:38" ht="12.75" customHeight="1" thickBot="1" x14ac:dyDescent="0.3">
      <c r="A2301" s="2"/>
      <c r="B2301" s="178"/>
      <c r="C2301" s="779"/>
      <c r="D2301" s="416" t="s">
        <v>1204</v>
      </c>
      <c r="E2301" s="2627" t="str">
        <f>Translations!$B$587</f>
        <v>Utsläpp (fossila, beräknade)</v>
      </c>
      <c r="F2301" s="2484"/>
      <c r="G2301" s="426" t="str">
        <f>EUconst_tCO2pa</f>
        <v>t CO2 / år</v>
      </c>
      <c r="H2301" s="273" t="str">
        <f t="shared" ref="H2301:N2301" si="1027">IF(AND(COUNT(H2297:H2300)&gt;0,H2304=""),3.664*H2297*(H2299/100)*(1-H2300/100),"")</f>
        <v/>
      </c>
      <c r="I2301" s="1109" t="str">
        <f t="shared" si="1027"/>
        <v/>
      </c>
      <c r="J2301" s="1116" t="str">
        <f t="shared" si="1027"/>
        <v/>
      </c>
      <c r="K2301" s="273" t="str">
        <f t="shared" si="1027"/>
        <v/>
      </c>
      <c r="L2301" s="273" t="str">
        <f t="shared" si="1027"/>
        <v/>
      </c>
      <c r="M2301" s="273" t="str">
        <f t="shared" si="1027"/>
        <v/>
      </c>
      <c r="N2301" s="1142" t="str">
        <f t="shared" si="1027"/>
        <v/>
      </c>
      <c r="O2301" s="15"/>
      <c r="P2301" s="15"/>
      <c r="Q2301" s="165" t="str">
        <f>EUconst_CNTR_EmissionsIntSource2 &amp; I2127</f>
        <v>EmInternalSource2_</v>
      </c>
      <c r="R2301" s="2"/>
      <c r="S2301" s="773" t="str">
        <f>EUconst_CNTR_AttributedEmissions &amp; I2127</f>
        <v>AttrEmissions_</v>
      </c>
      <c r="T2301" s="111" t="str">
        <f t="shared" ref="T2301:Z2301" si="1028">IF(T2135,SUM(H2301),"")</f>
        <v/>
      </c>
      <c r="U2301" s="111" t="str">
        <f t="shared" si="1028"/>
        <v/>
      </c>
      <c r="V2301" s="111" t="str">
        <f t="shared" si="1028"/>
        <v/>
      </c>
      <c r="W2301" s="111" t="str">
        <f t="shared" si="1028"/>
        <v/>
      </c>
      <c r="X2301" s="111" t="str">
        <f t="shared" si="1028"/>
        <v/>
      </c>
      <c r="Y2301" s="111" t="str">
        <f t="shared" si="1028"/>
        <v/>
      </c>
      <c r="Z2301" s="112" t="str">
        <f t="shared" si="1028"/>
        <v/>
      </c>
      <c r="AA2301" s="2"/>
      <c r="AB2301" s="2"/>
      <c r="AC2301" s="2"/>
      <c r="AD2301" s="2"/>
      <c r="AE2301" s="2"/>
      <c r="AF2301" s="2"/>
      <c r="AG2301" s="2"/>
      <c r="AH2301" s="2"/>
      <c r="AI2301" s="2"/>
      <c r="AJ2301" s="2"/>
      <c r="AK2301" s="2"/>
      <c r="AL2301" s="2"/>
    </row>
    <row r="2302" spans="1:38" ht="12.75" customHeight="1" x14ac:dyDescent="0.25">
      <c r="A2302" s="2"/>
      <c r="B2302" s="178"/>
      <c r="C2302" s="779"/>
      <c r="D2302" s="416" t="s">
        <v>1205</v>
      </c>
      <c r="E2302" s="2628" t="str">
        <f>Translations!$B$588</f>
        <v>Memorandumpost: Utsläpp biomassa</v>
      </c>
      <c r="F2302" s="2476"/>
      <c r="G2302" s="427" t="str">
        <f>EUconst_tCO2pa</f>
        <v>t CO2 / år</v>
      </c>
      <c r="H2302" s="272" t="str">
        <f t="shared" ref="H2302:N2302" si="1029">IF(ISNUMBER(H2301),3.664*H2297*(H2299/100)*(H2300/100),"")</f>
        <v/>
      </c>
      <c r="I2302" s="1110" t="str">
        <f t="shared" si="1029"/>
        <v/>
      </c>
      <c r="J2302" s="1117" t="str">
        <f t="shared" si="1029"/>
        <v/>
      </c>
      <c r="K2302" s="272" t="str">
        <f t="shared" si="1029"/>
        <v/>
      </c>
      <c r="L2302" s="272" t="str">
        <f t="shared" si="1029"/>
        <v/>
      </c>
      <c r="M2302" s="272" t="str">
        <f t="shared" si="1029"/>
        <v/>
      </c>
      <c r="N2302" s="1143" t="str">
        <f t="shared" si="1029"/>
        <v/>
      </c>
      <c r="O2302" s="15"/>
      <c r="P2302" s="15"/>
      <c r="Q2302" s="343"/>
      <c r="R2302" s="2"/>
      <c r="S2302" s="343"/>
      <c r="T2302" s="2"/>
      <c r="U2302" s="2"/>
      <c r="V2302" s="2"/>
      <c r="W2302" s="2"/>
      <c r="X2302" s="2"/>
      <c r="Y2302" s="2"/>
      <c r="Z2302" s="2"/>
      <c r="AA2302" s="2"/>
      <c r="AB2302" s="2"/>
      <c r="AC2302" s="2"/>
      <c r="AD2302" s="2"/>
      <c r="AE2302" s="2"/>
      <c r="AF2302" s="2"/>
      <c r="AG2302" s="2"/>
      <c r="AH2302" s="2"/>
      <c r="AI2302" s="2"/>
      <c r="AJ2302" s="2"/>
      <c r="AK2302" s="2"/>
      <c r="AL2302" s="2"/>
    </row>
    <row r="2303" spans="1:38" ht="12.75" customHeight="1" x14ac:dyDescent="0.25">
      <c r="A2303" s="2"/>
      <c r="B2303" s="178"/>
      <c r="C2303" s="779"/>
      <c r="D2303" s="416" t="s">
        <v>1206</v>
      </c>
      <c r="E2303" s="2626" t="str">
        <f>Translations!$B$589</f>
        <v>Energiinnehåll (beräknat)</v>
      </c>
      <c r="F2303" s="2487"/>
      <c r="G2303" s="428" t="str">
        <f>EUconst_TJpa</f>
        <v>TJ / år</v>
      </c>
      <c r="H2303" s="275" t="str">
        <f t="shared" ref="H2303:N2303" si="1030">IF(COUNT(H2297:H2298)=2,H2297*H2298/1000,"")</f>
        <v/>
      </c>
      <c r="I2303" s="281" t="str">
        <f t="shared" si="1030"/>
        <v/>
      </c>
      <c r="J2303" s="1118" t="str">
        <f t="shared" si="1030"/>
        <v/>
      </c>
      <c r="K2303" s="275" t="str">
        <f t="shared" si="1030"/>
        <v/>
      </c>
      <c r="L2303" s="275" t="str">
        <f t="shared" si="1030"/>
        <v/>
      </c>
      <c r="M2303" s="275" t="str">
        <f t="shared" si="1030"/>
        <v/>
      </c>
      <c r="N2303" s="1144" t="str">
        <f t="shared" si="1030"/>
        <v/>
      </c>
      <c r="O2303" s="15"/>
      <c r="P2303" s="15"/>
      <c r="Q2303" s="343"/>
      <c r="R2303" s="2"/>
      <c r="S2303" s="343"/>
      <c r="T2303" s="2"/>
      <c r="U2303" s="2"/>
      <c r="V2303" s="2"/>
      <c r="W2303" s="2"/>
      <c r="X2303" s="2"/>
      <c r="Y2303" s="2"/>
      <c r="Z2303" s="2"/>
      <c r="AA2303" s="2"/>
      <c r="AB2303" s="2"/>
      <c r="AC2303" s="2"/>
      <c r="AD2303" s="2"/>
      <c r="AE2303" s="2"/>
      <c r="AF2303" s="2"/>
      <c r="AG2303" s="2"/>
      <c r="AH2303" s="2"/>
      <c r="AI2303" s="2"/>
      <c r="AJ2303" s="2"/>
      <c r="AK2303" s="2"/>
      <c r="AL2303" s="2"/>
    </row>
    <row r="2304" spans="1:38" ht="12.75" customHeight="1" x14ac:dyDescent="0.25">
      <c r="A2304" s="2"/>
      <c r="B2304" s="178"/>
      <c r="C2304" s="779"/>
      <c r="D2304" s="416" t="s">
        <v>1202</v>
      </c>
      <c r="E2304" s="2629" t="str">
        <f>Translations!$B$590</f>
        <v>Felmeddelanden (utsläpp)</v>
      </c>
      <c r="F2304" s="2630"/>
      <c r="G2304" s="429"/>
      <c r="H2304" s="520" t="str">
        <f t="shared" ref="H2304:N2304" si="1031">IF(COUNT(H2297,H2299:H2300)&gt;0,IF(COUNTIF(H2298:H2300,"&lt;0")&gt;0,EUconst_Negative,IF(COUNT(H2297,H2299:H2300)&lt;3,EUconst_Incomplete,"")),"")</f>
        <v/>
      </c>
      <c r="I2304" s="1111" t="str">
        <f t="shared" si="1031"/>
        <v/>
      </c>
      <c r="J2304" s="1119" t="str">
        <f t="shared" si="1031"/>
        <v/>
      </c>
      <c r="K2304" s="520" t="str">
        <f t="shared" si="1031"/>
        <v/>
      </c>
      <c r="L2304" s="520" t="str">
        <f t="shared" si="1031"/>
        <v/>
      </c>
      <c r="M2304" s="520" t="str">
        <f t="shared" si="1031"/>
        <v/>
      </c>
      <c r="N2304" s="1145" t="str">
        <f t="shared" si="1031"/>
        <v/>
      </c>
      <c r="O2304" s="15"/>
      <c r="P2304" s="15"/>
      <c r="Q2304" s="343"/>
      <c r="R2304" s="2"/>
      <c r="S2304" s="343"/>
      <c r="T2304" s="2"/>
      <c r="U2304" s="2"/>
      <c r="V2304" s="2"/>
      <c r="W2304" s="2"/>
      <c r="X2304" s="2"/>
      <c r="Y2304" s="2"/>
      <c r="Z2304" s="2"/>
      <c r="AA2304" s="2"/>
      <c r="AB2304" s="2"/>
      <c r="AC2304" s="2"/>
      <c r="AD2304" s="2"/>
      <c r="AE2304" s="2"/>
      <c r="AF2304" s="2"/>
      <c r="AG2304" s="2"/>
      <c r="AH2304" s="2"/>
      <c r="AI2304" s="2"/>
      <c r="AJ2304" s="2"/>
      <c r="AK2304" s="2"/>
      <c r="AL2304" s="2"/>
    </row>
    <row r="2305" spans="1:38" ht="12.75" customHeight="1" x14ac:dyDescent="0.25">
      <c r="A2305" s="2"/>
      <c r="B2305" s="178"/>
      <c r="C2305" s="779"/>
      <c r="D2305" s="780"/>
      <c r="E2305" s="780"/>
      <c r="F2305" s="780"/>
      <c r="G2305" s="780"/>
      <c r="H2305" s="780"/>
      <c r="I2305" s="780"/>
      <c r="J2305" s="780"/>
      <c r="K2305" s="780"/>
      <c r="L2305" s="780"/>
      <c r="M2305" s="623"/>
      <c r="N2305" s="519"/>
      <c r="O2305" s="15"/>
      <c r="P2305" s="15"/>
      <c r="Q2305" s="343"/>
      <c r="R2305" s="2"/>
      <c r="S2305" s="343"/>
      <c r="T2305" s="2"/>
      <c r="U2305" s="2"/>
      <c r="V2305" s="2"/>
      <c r="W2305" s="2"/>
      <c r="X2305" s="2"/>
      <c r="Y2305" s="2"/>
      <c r="Z2305" s="2"/>
      <c r="AA2305" s="2"/>
      <c r="AB2305" s="2"/>
      <c r="AC2305" s="2"/>
      <c r="AD2305" s="2"/>
      <c r="AE2305" s="2"/>
      <c r="AF2305" s="2"/>
      <c r="AG2305" s="2"/>
      <c r="AH2305" s="2"/>
      <c r="AI2305" s="2"/>
      <c r="AJ2305" s="2"/>
      <c r="AK2305" s="2"/>
      <c r="AL2305" s="2"/>
    </row>
    <row r="2306" spans="1:38" ht="12.75" customHeight="1" x14ac:dyDescent="0.25">
      <c r="A2306" s="2"/>
      <c r="B2306" s="178"/>
      <c r="C2306" s="779"/>
      <c r="D2306" s="373" t="s">
        <v>523</v>
      </c>
      <c r="E2306" s="2614" t="str">
        <f>Translations!$B$593</f>
        <v>Mängd växthusgaser som importerats eller exporterats som råvaror</v>
      </c>
      <c r="F2306" s="1960"/>
      <c r="G2306" s="1960"/>
      <c r="H2306" s="1960"/>
      <c r="I2306" s="1960"/>
      <c r="J2306" s="1960"/>
      <c r="K2306" s="1960"/>
      <c r="L2306" s="1960"/>
      <c r="M2306" s="1960"/>
      <c r="N2306" s="2597"/>
      <c r="O2306" s="15"/>
      <c r="P2306" s="15"/>
      <c r="Q2306" s="343"/>
      <c r="R2306" s="2"/>
      <c r="S2306" s="343"/>
      <c r="T2306" s="2"/>
      <c r="U2306" s="2"/>
      <c r="V2306" s="2"/>
      <c r="W2306" s="2"/>
      <c r="X2306" s="2"/>
      <c r="Y2306" s="2"/>
      <c r="Z2306" s="2"/>
      <c r="AA2306" s="2"/>
      <c r="AB2306" s="2"/>
      <c r="AC2306" s="2"/>
      <c r="AD2306" s="2"/>
      <c r="AE2306" s="2"/>
      <c r="AF2306" s="2"/>
      <c r="AG2306" s="2"/>
      <c r="AH2306" s="2"/>
      <c r="AI2306" s="2"/>
      <c r="AJ2306" s="2"/>
      <c r="AK2306" s="2"/>
      <c r="AL2306" s="2"/>
    </row>
    <row r="2307" spans="1:38" ht="12.75" customHeight="1" x14ac:dyDescent="0.25">
      <c r="A2307" s="2"/>
      <c r="B2307" s="178"/>
      <c r="C2307" s="779"/>
      <c r="D2307" s="416"/>
      <c r="E2307" s="2596" t="str">
        <f>Translations!$B$556</f>
        <v>De uppgifter som anges här påverkar de utsläpp som kan tillskrivas i enlighet med avsnitt 10.1.1 i bilaga VII till FAR.</v>
      </c>
      <c r="F2307" s="1960"/>
      <c r="G2307" s="1960"/>
      <c r="H2307" s="1960"/>
      <c r="I2307" s="1960"/>
      <c r="J2307" s="1960"/>
      <c r="K2307" s="1960"/>
      <c r="L2307" s="1960"/>
      <c r="M2307" s="1960"/>
      <c r="N2307" s="2597"/>
      <c r="O2307" s="15"/>
      <c r="P2307" s="15"/>
      <c r="Q2307" s="343"/>
      <c r="R2307" s="2"/>
      <c r="S2307" s="343"/>
      <c r="T2307" s="343"/>
      <c r="U2307" s="343"/>
      <c r="V2307" s="343"/>
      <c r="W2307" s="2"/>
      <c r="X2307" s="2"/>
      <c r="Y2307" s="2"/>
      <c r="Z2307" s="2"/>
      <c r="AA2307" s="2"/>
      <c r="AB2307" s="2"/>
      <c r="AC2307" s="2"/>
      <c r="AD2307" s="2"/>
      <c r="AE2307" s="2"/>
      <c r="AF2307" s="2"/>
      <c r="AG2307" s="2"/>
      <c r="AH2307" s="2"/>
      <c r="AI2307" s="2"/>
      <c r="AJ2307" s="2"/>
      <c r="AK2307" s="2"/>
      <c r="AL2307" s="2"/>
    </row>
    <row r="2308" spans="1:38" ht="25.5" customHeight="1" x14ac:dyDescent="0.25">
      <c r="A2308" s="2"/>
      <c r="B2308" s="178"/>
      <c r="C2308" s="779"/>
      <c r="D2308" s="780"/>
      <c r="E2308" s="2610" t="str">
        <f>Translations!$B$594</f>
        <v>I enlighet med kravet i avsnitt 3.1 k och 3.1 l i bilaga IV till FAR, var god ange mängden överförd koldioxid som importeras från eller exporteras till andra delanläggningar, anläggningar eller andra enheter, i enlighet med M&amp;R-förordningens regler.</v>
      </c>
      <c r="F2308" s="1960"/>
      <c r="G2308" s="1960"/>
      <c r="H2308" s="1960"/>
      <c r="I2308" s="1960"/>
      <c r="J2308" s="1960"/>
      <c r="K2308" s="1960"/>
      <c r="L2308" s="1960"/>
      <c r="M2308" s="1960"/>
      <c r="N2308" s="2597"/>
      <c r="O2308" s="15"/>
      <c r="P2308" s="15"/>
      <c r="Q2308" s="343"/>
      <c r="R2308" s="2"/>
      <c r="S2308" s="343"/>
      <c r="T2308" s="2"/>
      <c r="U2308" s="2"/>
      <c r="V2308" s="2"/>
      <c r="W2308" s="2"/>
      <c r="X2308" s="2"/>
      <c r="Y2308" s="2"/>
      <c r="Z2308" s="2"/>
      <c r="AA2308" s="2"/>
      <c r="AB2308" s="2"/>
      <c r="AC2308" s="2"/>
      <c r="AD2308" s="2"/>
      <c r="AE2308" s="2"/>
      <c r="AF2308" s="2"/>
      <c r="AG2308" s="2"/>
      <c r="AH2308" s="2"/>
      <c r="AI2308" s="2"/>
      <c r="AJ2308" s="2"/>
      <c r="AK2308" s="2"/>
      <c r="AL2308" s="2"/>
    </row>
    <row r="2309" spans="1:38" ht="12.75" customHeight="1" thickBot="1" x14ac:dyDescent="0.3">
      <c r="A2309" s="2"/>
      <c r="B2309" s="178"/>
      <c r="C2309" s="779"/>
      <c r="D2309" s="780"/>
      <c r="E2309" s="2610" t="str">
        <f>Translations!$B$595</f>
        <v>Exporterade mängder bör anges i negativa värden och motsvara den koldioxid som exporteras och som inte släpps ut i atmosfären av delanläggningen.</v>
      </c>
      <c r="F2309" s="1960"/>
      <c r="G2309" s="1960"/>
      <c r="H2309" s="1960"/>
      <c r="I2309" s="1960"/>
      <c r="J2309" s="1960"/>
      <c r="K2309" s="1960"/>
      <c r="L2309" s="1960"/>
      <c r="M2309" s="1960"/>
      <c r="N2309" s="2597"/>
      <c r="O2309" s="15"/>
      <c r="P2309" s="15"/>
      <c r="Q2309" s="343"/>
      <c r="R2309" s="2"/>
      <c r="S2309" s="343"/>
      <c r="T2309" s="2"/>
      <c r="U2309" s="2"/>
      <c r="V2309" s="2"/>
      <c r="W2309" s="2"/>
      <c r="X2309" s="2"/>
      <c r="Y2309" s="2"/>
      <c r="Z2309" s="2"/>
      <c r="AA2309" s="2"/>
      <c r="AB2309" s="2"/>
      <c r="AC2309" s="2"/>
      <c r="AD2309" s="2"/>
      <c r="AE2309" s="2"/>
      <c r="AF2309" s="2"/>
      <c r="AG2309" s="2"/>
      <c r="AH2309" s="2"/>
      <c r="AI2309" s="2"/>
      <c r="AJ2309" s="2"/>
      <c r="AK2309" s="2"/>
      <c r="AL2309" s="2"/>
    </row>
    <row r="2310" spans="1:38" ht="12.75" customHeight="1" thickBot="1" x14ac:dyDescent="0.3">
      <c r="A2310" s="2"/>
      <c r="B2310" s="178"/>
      <c r="C2310" s="779"/>
      <c r="D2310" s="373"/>
      <c r="E2310" s="1716"/>
      <c r="F2310" s="1717"/>
      <c r="G2310" s="361" t="str">
        <f>EUconst_Unit</f>
        <v>Enhet</v>
      </c>
      <c r="H2310" s="362">
        <f t="shared" ref="H2310:N2310" si="1032">H$3042</f>
        <v>2019</v>
      </c>
      <c r="I2310" s="1103">
        <f t="shared" si="1032"/>
        <v>2020</v>
      </c>
      <c r="J2310" s="1104">
        <f t="shared" si="1032"/>
        <v>2021</v>
      </c>
      <c r="K2310" s="362">
        <f t="shared" si="1032"/>
        <v>2022</v>
      </c>
      <c r="L2310" s="362">
        <f t="shared" si="1032"/>
        <v>2023</v>
      </c>
      <c r="M2310" s="362">
        <f t="shared" si="1032"/>
        <v>2024</v>
      </c>
      <c r="N2310" s="1141">
        <f t="shared" si="1032"/>
        <v>2025</v>
      </c>
      <c r="O2310" s="15"/>
      <c r="P2310" s="15"/>
      <c r="Q2310" s="343"/>
      <c r="R2310" s="2"/>
      <c r="S2310" s="772"/>
      <c r="T2310" s="609">
        <f t="shared" ref="T2310:Z2310" si="1033">H2310</f>
        <v>2019</v>
      </c>
      <c r="U2310" s="609">
        <f t="shared" si="1033"/>
        <v>2020</v>
      </c>
      <c r="V2310" s="609">
        <f t="shared" si="1033"/>
        <v>2021</v>
      </c>
      <c r="W2310" s="609">
        <f t="shared" si="1033"/>
        <v>2022</v>
      </c>
      <c r="X2310" s="609">
        <f t="shared" si="1033"/>
        <v>2023</v>
      </c>
      <c r="Y2310" s="609">
        <f t="shared" si="1033"/>
        <v>2024</v>
      </c>
      <c r="Z2310" s="610">
        <f t="shared" si="1033"/>
        <v>2025</v>
      </c>
      <c r="AA2310" s="2"/>
      <c r="AB2310" s="2"/>
      <c r="AC2310" s="1044">
        <f t="shared" ref="AC2310:AI2310" si="1034">H$20</f>
        <v>2019</v>
      </c>
      <c r="AD2310" s="1044">
        <f t="shared" si="1034"/>
        <v>2020</v>
      </c>
      <c r="AE2310" s="1044">
        <f t="shared" si="1034"/>
        <v>2021</v>
      </c>
      <c r="AF2310" s="1044">
        <f t="shared" si="1034"/>
        <v>2022</v>
      </c>
      <c r="AG2310" s="1044">
        <f t="shared" si="1034"/>
        <v>2023</v>
      </c>
      <c r="AH2310" s="1044">
        <f t="shared" si="1034"/>
        <v>2024</v>
      </c>
      <c r="AI2310" s="1044">
        <f t="shared" si="1034"/>
        <v>2025</v>
      </c>
      <c r="AJ2310" s="2"/>
      <c r="AK2310" s="2"/>
      <c r="AL2310" s="2"/>
    </row>
    <row r="2311" spans="1:38" ht="12.75" customHeight="1" thickBot="1" x14ac:dyDescent="0.3">
      <c r="A2311" s="2"/>
      <c r="B2311" s="178"/>
      <c r="C2311" s="779"/>
      <c r="D2311" s="416"/>
      <c r="E2311" s="2613" t="str">
        <f>Translations!$B$596</f>
        <v>Importerade eller exporterade växthusgaser</v>
      </c>
      <c r="F2311" s="1997"/>
      <c r="G2311" s="364" t="str">
        <f>EUconst_tCO2epa</f>
        <v>t CO2e/år</v>
      </c>
      <c r="H2311" s="582"/>
      <c r="I2311" s="1105"/>
      <c r="J2311" s="1115"/>
      <c r="K2311" s="582"/>
      <c r="L2311" s="582"/>
      <c r="M2311" s="582"/>
      <c r="N2311" s="1146"/>
      <c r="O2311" s="15"/>
      <c r="P2311" s="1362"/>
      <c r="Q2311" s="165" t="str">
        <f>EUconst_CNTR_CO2Feedstock &amp; I2127</f>
        <v>EmCO2Feedstock_</v>
      </c>
      <c r="R2311" s="2"/>
      <c r="S2311" s="773" t="str">
        <f>EUconst_CNTR_AttributedEmissions &amp; I2127</f>
        <v>AttrEmissions_</v>
      </c>
      <c r="T2311" s="111" t="str">
        <f t="shared" ref="T2311:Z2311" si="1035">IF(T2135,SUM(H2311),"")</f>
        <v/>
      </c>
      <c r="U2311" s="111" t="str">
        <f t="shared" si="1035"/>
        <v/>
      </c>
      <c r="V2311" s="111" t="str">
        <f t="shared" si="1035"/>
        <v/>
      </c>
      <c r="W2311" s="111" t="str">
        <f t="shared" si="1035"/>
        <v/>
      </c>
      <c r="X2311" s="111" t="str">
        <f t="shared" si="1035"/>
        <v/>
      </c>
      <c r="Y2311" s="111" t="str">
        <f t="shared" si="1035"/>
        <v/>
      </c>
      <c r="Z2311" s="112" t="str">
        <f t="shared" si="1035"/>
        <v/>
      </c>
      <c r="AA2311" s="2"/>
      <c r="AB2311" s="672" t="s">
        <v>782</v>
      </c>
      <c r="AC2311" s="108" t="b">
        <f>AC2197</f>
        <v>0</v>
      </c>
      <c r="AD2311" s="108" t="b">
        <f t="shared" ref="AD2311:AI2311" si="1036">AD2197</f>
        <v>0</v>
      </c>
      <c r="AE2311" s="108" t="b">
        <f t="shared" si="1036"/>
        <v>0</v>
      </c>
      <c r="AF2311" s="108" t="b">
        <f t="shared" si="1036"/>
        <v>0</v>
      </c>
      <c r="AG2311" s="108" t="b">
        <f t="shared" si="1036"/>
        <v>0</v>
      </c>
      <c r="AH2311" s="108" t="b">
        <f t="shared" si="1036"/>
        <v>0</v>
      </c>
      <c r="AI2311" s="108" t="b">
        <f t="shared" si="1036"/>
        <v>0</v>
      </c>
      <c r="AJ2311" s="553" t="s">
        <v>2248</v>
      </c>
      <c r="AK2311" s="663" t="str">
        <f>IF(AND(CNTR_ExistSubInstEntries,MSconst_RequireSubAttrEmissions,COUNTIFS(AC2311:AI2311,FALSE,H2311:N2311,"")&gt;0),EUconst_Error&amp;"BM"&amp;$Q2127,"")</f>
        <v/>
      </c>
      <c r="AL2311" s="2"/>
    </row>
    <row r="2312" spans="1:38" ht="12.75" customHeight="1" x14ac:dyDescent="0.25">
      <c r="A2312" s="2"/>
      <c r="B2312" s="178"/>
      <c r="C2312" s="779"/>
      <c r="D2312" s="780"/>
      <c r="E2312" s="780"/>
      <c r="F2312" s="780"/>
      <c r="G2312" s="780"/>
      <c r="H2312" s="780"/>
      <c r="I2312" s="780"/>
      <c r="J2312" s="780"/>
      <c r="K2312" s="780"/>
      <c r="L2312" s="780"/>
      <c r="M2312" s="623"/>
      <c r="N2312" s="519"/>
      <c r="O2312" s="15"/>
      <c r="P2312" s="15"/>
      <c r="Q2312" s="343"/>
      <c r="R2312" s="2"/>
      <c r="S2312" s="343"/>
      <c r="T2312" s="2"/>
      <c r="U2312" s="2"/>
      <c r="V2312" s="2"/>
      <c r="W2312" s="2"/>
      <c r="X2312" s="2"/>
      <c r="Y2312" s="2"/>
      <c r="Z2312" s="2"/>
      <c r="AA2312" s="2"/>
      <c r="AB2312" s="2"/>
      <c r="AC2312" s="2"/>
      <c r="AD2312" s="2"/>
      <c r="AE2312" s="2"/>
      <c r="AF2312" s="2"/>
      <c r="AG2312" s="2"/>
      <c r="AH2312" s="2"/>
      <c r="AI2312" s="2"/>
      <c r="AJ2312" s="2"/>
      <c r="AK2312" s="2"/>
      <c r="AL2312" s="2"/>
    </row>
    <row r="2313" spans="1:38" ht="12.75" customHeight="1" x14ac:dyDescent="0.25">
      <c r="A2313" s="2"/>
      <c r="B2313" s="178"/>
      <c r="C2313" s="779"/>
      <c r="D2313" s="373" t="s">
        <v>524</v>
      </c>
      <c r="E2313" s="2614" t="str">
        <f>Translations!$B$597</f>
        <v>Import till och export från delanläggningen av mätbar värme</v>
      </c>
      <c r="F2313" s="1960"/>
      <c r="G2313" s="1960"/>
      <c r="H2313" s="1960"/>
      <c r="I2313" s="1960"/>
      <c r="J2313" s="1960"/>
      <c r="K2313" s="1960"/>
      <c r="L2313" s="1960"/>
      <c r="M2313" s="1960"/>
      <c r="N2313" s="2597"/>
      <c r="O2313" s="15"/>
      <c r="P2313" s="15"/>
      <c r="Q2313" s="343"/>
      <c r="R2313" s="2"/>
      <c r="S2313" s="343"/>
      <c r="T2313" s="2"/>
      <c r="U2313" s="2"/>
      <c r="V2313" s="2"/>
      <c r="W2313" s="2"/>
      <c r="X2313" s="2"/>
      <c r="Y2313" s="2"/>
      <c r="Z2313" s="2"/>
      <c r="AA2313" s="2"/>
      <c r="AB2313" s="2"/>
      <c r="AC2313" s="2"/>
      <c r="AD2313" s="2"/>
      <c r="AE2313" s="2"/>
      <c r="AF2313" s="2"/>
      <c r="AG2313" s="2"/>
      <c r="AH2313" s="2"/>
      <c r="AI2313" s="2"/>
      <c r="AJ2313" s="2"/>
      <c r="AK2313" s="2"/>
      <c r="AL2313" s="2"/>
    </row>
    <row r="2314" spans="1:38" ht="12.75" customHeight="1" x14ac:dyDescent="0.25">
      <c r="A2314" s="2"/>
      <c r="B2314" s="178"/>
      <c r="C2314" s="779"/>
      <c r="D2314" s="416"/>
      <c r="E2314" s="2596" t="str">
        <f>Translations!$B$598</f>
        <v>De uppgifter som anges här påverkar de utsläpp som kan tillskrivas i enlighet med avsnitt 10.1.2 och 10.1.3 i bilaga VII till FAR.</v>
      </c>
      <c r="F2314" s="1960"/>
      <c r="G2314" s="1960"/>
      <c r="H2314" s="1960"/>
      <c r="I2314" s="1960"/>
      <c r="J2314" s="1960"/>
      <c r="K2314" s="1960"/>
      <c r="L2314" s="1960"/>
      <c r="M2314" s="1960"/>
      <c r="N2314" s="2597"/>
      <c r="O2314" s="15"/>
      <c r="P2314" s="15"/>
      <c r="Q2314" s="343"/>
      <c r="R2314" s="2"/>
      <c r="S2314" s="343"/>
      <c r="T2314" s="343"/>
      <c r="U2314" s="343"/>
      <c r="V2314" s="343"/>
      <c r="W2314" s="2"/>
      <c r="X2314" s="2"/>
      <c r="Y2314" s="2"/>
      <c r="Z2314" s="2"/>
      <c r="AA2314" s="2"/>
      <c r="AB2314" s="2"/>
      <c r="AC2314" s="2"/>
      <c r="AD2314" s="2"/>
      <c r="AE2314" s="2"/>
      <c r="AF2314" s="2"/>
      <c r="AG2314" s="2"/>
      <c r="AH2314" s="2"/>
      <c r="AI2314" s="2"/>
      <c r="AJ2314" s="2"/>
      <c r="AK2314" s="2"/>
      <c r="AL2314" s="2"/>
    </row>
    <row r="2315" spans="1:38" ht="38.9" customHeight="1" x14ac:dyDescent="0.25">
      <c r="A2315" s="2"/>
      <c r="B2315" s="178"/>
      <c r="C2315" s="779"/>
      <c r="D2315" s="780"/>
      <c r="E2315" s="2610" t="str">
        <f>Translations!$B$599</f>
        <v>Detta innefattar den totala mängd värme som produceras i, importeras från eller exporteras till (del)anläggningar inom ETS eller anläggningar eller enheter utanför ETS. De särskilda emissionsfaktorerna för värmen bör vara förenliga med bestämmelserna i avsnitten 8 och 10 i bilaga VII till FAR, särskilt avsnitt 10.1.2 och 10.1.3.</v>
      </c>
      <c r="F2315" s="1960"/>
      <c r="G2315" s="1960"/>
      <c r="H2315" s="1960"/>
      <c r="I2315" s="1960"/>
      <c r="J2315" s="1960"/>
      <c r="K2315" s="1960"/>
      <c r="L2315" s="1960"/>
      <c r="M2315" s="1960"/>
      <c r="N2315" s="2597"/>
      <c r="O2315" s="15"/>
      <c r="P2315" s="15"/>
      <c r="Q2315" s="343"/>
      <c r="R2315" s="2"/>
      <c r="S2315" s="343"/>
      <c r="T2315" s="2"/>
      <c r="U2315" s="2"/>
      <c r="V2315" s="2"/>
      <c r="W2315" s="2"/>
      <c r="X2315" s="2"/>
      <c r="Y2315" s="2"/>
      <c r="Z2315" s="2"/>
      <c r="AA2315" s="2"/>
      <c r="AB2315" s="2"/>
      <c r="AC2315" s="2"/>
      <c r="AD2315" s="2"/>
      <c r="AE2315" s="2"/>
      <c r="AF2315" s="2"/>
      <c r="AG2315" s="2"/>
      <c r="AH2315" s="2"/>
      <c r="AI2315" s="2"/>
      <c r="AJ2315" s="2"/>
      <c r="AK2315" s="2"/>
      <c r="AL2315" s="2"/>
    </row>
    <row r="2316" spans="1:38" ht="25.5" customHeight="1" x14ac:dyDescent="0.25">
      <c r="A2316" s="2"/>
      <c r="B2316" s="178"/>
      <c r="C2316" s="779"/>
      <c r="D2316" s="780"/>
      <c r="E2316" s="2610" t="str">
        <f>Translations!$B$600</f>
        <v>Utsläpp avseende mätbar värme som produceras på platsen från enheter som tjänar mer än en delanläggning bör också anges här under ”import” i stället för att utsläppen direkt tillskrivs genom bränslets emissionsfaktor i punkt g ovan. Detsamma gäller för all värme som ”importeras” från andra delanläggningar.</v>
      </c>
      <c r="F2316" s="1960"/>
      <c r="G2316" s="1960"/>
      <c r="H2316" s="1960"/>
      <c r="I2316" s="1960"/>
      <c r="J2316" s="1960"/>
      <c r="K2316" s="1960"/>
      <c r="L2316" s="1960"/>
      <c r="M2316" s="1960"/>
      <c r="N2316" s="2597"/>
      <c r="O2316" s="15"/>
      <c r="P2316" s="15"/>
      <c r="Q2316" s="343"/>
      <c r="R2316" s="2"/>
      <c r="S2316" s="343"/>
      <c r="T2316" s="2"/>
      <c r="U2316" s="2"/>
      <c r="V2316" s="2"/>
      <c r="W2316" s="2"/>
      <c r="X2316" s="2"/>
      <c r="Y2316" s="2"/>
      <c r="Z2316" s="2"/>
      <c r="AA2316" s="2"/>
      <c r="AB2316" s="2"/>
      <c r="AC2316" s="2"/>
      <c r="AD2316" s="2"/>
      <c r="AE2316" s="2"/>
      <c r="AF2316" s="2"/>
      <c r="AG2316" s="2"/>
      <c r="AH2316" s="2"/>
      <c r="AI2316" s="2"/>
      <c r="AJ2316" s="2"/>
      <c r="AK2316" s="2"/>
      <c r="AL2316" s="2"/>
    </row>
    <row r="2317" spans="1:38" ht="25.5" customHeight="1" x14ac:dyDescent="0.25">
      <c r="A2317" s="2"/>
      <c r="B2317" s="178"/>
      <c r="C2317" s="779"/>
      <c r="D2317" s="780"/>
      <c r="E2317" s="2610" t="str">
        <f>Translations!$B$601</f>
        <v xml:space="preserve">Om värmen endast produceras för en delanläggning och de motsvarande utsläppen därför anges i punkt g ovan, bör mängderna inte anges här som import för att undvika dubbelräkning. </v>
      </c>
      <c r="F2317" s="1960"/>
      <c r="G2317" s="1960"/>
      <c r="H2317" s="1960"/>
      <c r="I2317" s="1960"/>
      <c r="J2317" s="1960"/>
      <c r="K2317" s="1960"/>
      <c r="L2317" s="1960"/>
      <c r="M2317" s="1960"/>
      <c r="N2317" s="2597"/>
      <c r="O2317" s="15"/>
      <c r="P2317" s="15"/>
      <c r="Q2317" s="343"/>
      <c r="R2317" s="2"/>
      <c r="S2317" s="343"/>
      <c r="T2317" s="2"/>
      <c r="U2317" s="2"/>
      <c r="V2317" s="2"/>
      <c r="W2317" s="2"/>
      <c r="X2317" s="2"/>
      <c r="Y2317" s="2"/>
      <c r="Z2317" s="2"/>
      <c r="AA2317" s="2"/>
      <c r="AB2317" s="2"/>
      <c r="AC2317" s="2"/>
      <c r="AD2317" s="2"/>
      <c r="AE2317" s="2"/>
      <c r="AF2317" s="2"/>
      <c r="AG2317" s="2"/>
      <c r="AH2317" s="2"/>
      <c r="AI2317" s="2"/>
      <c r="AJ2317" s="2"/>
      <c r="AK2317" s="2"/>
      <c r="AL2317" s="2"/>
    </row>
    <row r="2318" spans="1:38" ht="12.75" customHeight="1" thickBot="1" x14ac:dyDescent="0.3">
      <c r="A2318" s="2"/>
      <c r="B2318" s="178"/>
      <c r="C2318" s="779"/>
      <c r="D2318" s="780"/>
      <c r="E2318" s="2622" t="str">
        <f>Translations!$B$602</f>
        <v>Kraftvärmeverktyget i avsnitt D.III i bladet "D_Emissions" måste användas för att tillskriva utsläpp från kraftvärme till produktion av mätbar värme.</v>
      </c>
      <c r="F2318" s="2623"/>
      <c r="G2318" s="2623"/>
      <c r="H2318" s="2623"/>
      <c r="I2318" s="2623"/>
      <c r="J2318" s="2623"/>
      <c r="K2318" s="2623"/>
      <c r="L2318" s="2623"/>
      <c r="M2318" s="2623"/>
      <c r="N2318" s="2624"/>
      <c r="O2318" s="15"/>
      <c r="P2318" s="15"/>
      <c r="Q2318" s="343"/>
      <c r="R2318" s="2"/>
      <c r="S2318" s="2"/>
      <c r="T2318" s="2"/>
      <c r="U2318" s="2"/>
      <c r="V2318" s="2"/>
      <c r="W2318" s="2"/>
      <c r="X2318" s="2"/>
      <c r="Y2318" s="2"/>
      <c r="Z2318" s="2"/>
      <c r="AA2318" s="2"/>
      <c r="AB2318" s="2"/>
      <c r="AC2318" s="2"/>
      <c r="AD2318" s="2"/>
      <c r="AE2318" s="2"/>
      <c r="AF2318" s="2"/>
      <c r="AG2318" s="2"/>
      <c r="AH2318" s="2"/>
      <c r="AI2318" s="2"/>
      <c r="AJ2318" s="2"/>
      <c r="AK2318" s="2"/>
      <c r="AL2318" s="2"/>
    </row>
    <row r="2319" spans="1:38" ht="12.75" customHeight="1" thickBot="1" x14ac:dyDescent="0.3">
      <c r="A2319" s="2"/>
      <c r="B2319" s="178"/>
      <c r="C2319" s="779"/>
      <c r="D2319" s="780"/>
      <c r="E2319" s="2605" t="str">
        <f>Translations!$B$603</f>
        <v>Total importerad värme</v>
      </c>
      <c r="F2319" s="2497"/>
      <c r="G2319" s="361" t="str">
        <f>EUconst_Unit</f>
        <v>Enhet</v>
      </c>
      <c r="H2319" s="362">
        <f t="shared" ref="H2319:N2319" si="1037">H$3042</f>
        <v>2019</v>
      </c>
      <c r="I2319" s="1103">
        <f t="shared" si="1037"/>
        <v>2020</v>
      </c>
      <c r="J2319" s="1104">
        <f t="shared" si="1037"/>
        <v>2021</v>
      </c>
      <c r="K2319" s="362">
        <f t="shared" si="1037"/>
        <v>2022</v>
      </c>
      <c r="L2319" s="362">
        <f t="shared" si="1037"/>
        <v>2023</v>
      </c>
      <c r="M2319" s="362">
        <f t="shared" si="1037"/>
        <v>2024</v>
      </c>
      <c r="N2319" s="1141">
        <f t="shared" si="1037"/>
        <v>2025</v>
      </c>
      <c r="O2319" s="15"/>
      <c r="P2319" s="15"/>
      <c r="Q2319" s="343"/>
      <c r="R2319" s="2"/>
      <c r="S2319" s="772"/>
      <c r="T2319" s="609">
        <f t="shared" ref="T2319:Z2319" si="1038">H2319</f>
        <v>2019</v>
      </c>
      <c r="U2319" s="609">
        <f t="shared" si="1038"/>
        <v>2020</v>
      </c>
      <c r="V2319" s="609">
        <f t="shared" si="1038"/>
        <v>2021</v>
      </c>
      <c r="W2319" s="609">
        <f t="shared" si="1038"/>
        <v>2022</v>
      </c>
      <c r="X2319" s="609">
        <f t="shared" si="1038"/>
        <v>2023</v>
      </c>
      <c r="Y2319" s="609">
        <f t="shared" si="1038"/>
        <v>2024</v>
      </c>
      <c r="Z2319" s="610">
        <f t="shared" si="1038"/>
        <v>2025</v>
      </c>
      <c r="AA2319" s="2"/>
      <c r="AB2319" s="2"/>
      <c r="AC2319" s="1044">
        <f t="shared" ref="AC2319:AI2319" si="1039">H$20</f>
        <v>2019</v>
      </c>
      <c r="AD2319" s="1044">
        <f t="shared" si="1039"/>
        <v>2020</v>
      </c>
      <c r="AE2319" s="1044">
        <f t="shared" si="1039"/>
        <v>2021</v>
      </c>
      <c r="AF2319" s="1044">
        <f t="shared" si="1039"/>
        <v>2022</v>
      </c>
      <c r="AG2319" s="1044">
        <f t="shared" si="1039"/>
        <v>2023</v>
      </c>
      <c r="AH2319" s="1044">
        <f t="shared" si="1039"/>
        <v>2024</v>
      </c>
      <c r="AI2319" s="1044">
        <f t="shared" si="1039"/>
        <v>2025</v>
      </c>
      <c r="AJ2319" s="2"/>
      <c r="AK2319" s="2"/>
      <c r="AL2319" s="2"/>
    </row>
    <row r="2320" spans="1:38" ht="12.75" customHeight="1" x14ac:dyDescent="0.25">
      <c r="A2320" s="2"/>
      <c r="B2320" s="178"/>
      <c r="C2320" s="779"/>
      <c r="D2320" s="416" t="s">
        <v>8</v>
      </c>
      <c r="E2320" s="2613" t="str">
        <f>Translations!$B$604</f>
        <v>Nettomängd importerad värme</v>
      </c>
      <c r="F2320" s="1997"/>
      <c r="G2320" s="364" t="str">
        <f>EUconst_TJpa</f>
        <v>TJ / år</v>
      </c>
      <c r="H2320" s="582"/>
      <c r="I2320" s="1105"/>
      <c r="J2320" s="1115"/>
      <c r="K2320" s="582"/>
      <c r="L2320" s="582"/>
      <c r="M2320" s="582"/>
      <c r="N2320" s="1146"/>
      <c r="O2320" s="15"/>
      <c r="P2320" s="1362"/>
      <c r="Q2320" s="165" t="str">
        <f>EUconst_CNTR_HeatImport &amp; I2127</f>
        <v>HeatIm_</v>
      </c>
      <c r="R2320" s="2"/>
      <c r="S2320" s="1751" t="str">
        <f>EUconst_ERR_AttrEmBMapplied &amp; I2127</f>
        <v>ERR_AttrEmBM_</v>
      </c>
      <c r="T2320" s="108">
        <f t="shared" ref="T2320:Z2320" si="1040">IF(AND(H2320&lt;&gt;0,H2321="",EUconst_StatusOfDataCollection=FALSE),1,0)</f>
        <v>0</v>
      </c>
      <c r="U2320" s="108">
        <f t="shared" si="1040"/>
        <v>0</v>
      </c>
      <c r="V2320" s="108">
        <f t="shared" si="1040"/>
        <v>0</v>
      </c>
      <c r="W2320" s="108">
        <f t="shared" si="1040"/>
        <v>0</v>
      </c>
      <c r="X2320" s="108">
        <f t="shared" si="1040"/>
        <v>0</v>
      </c>
      <c r="Y2320" s="108">
        <f t="shared" si="1040"/>
        <v>0</v>
      </c>
      <c r="Z2320" s="109">
        <f t="shared" si="1040"/>
        <v>0</v>
      </c>
      <c r="AA2320" s="40"/>
      <c r="AB2320" s="672" t="s">
        <v>782</v>
      </c>
      <c r="AC2320" s="108" t="b">
        <f t="shared" ref="AC2320:AI2320" si="1041">AC2197</f>
        <v>0</v>
      </c>
      <c r="AD2320" s="108" t="b">
        <f t="shared" si="1041"/>
        <v>0</v>
      </c>
      <c r="AE2320" s="108" t="b">
        <f t="shared" si="1041"/>
        <v>0</v>
      </c>
      <c r="AF2320" s="108" t="b">
        <f t="shared" si="1041"/>
        <v>0</v>
      </c>
      <c r="AG2320" s="108" t="b">
        <f t="shared" si="1041"/>
        <v>0</v>
      </c>
      <c r="AH2320" s="108" t="b">
        <f t="shared" si="1041"/>
        <v>0</v>
      </c>
      <c r="AI2320" s="108" t="b">
        <f t="shared" si="1041"/>
        <v>0</v>
      </c>
      <c r="AJ2320" s="553" t="s">
        <v>2248</v>
      </c>
      <c r="AK2320" s="663" t="str">
        <f>IF(AND(CNTR_ExistSubInstEntries,MSconst_RequireSubAttrEmissions,COUNTIFS(AC2320:AI2320,FALSE,H2320:N2320,"")&gt;0),EUconst_Error&amp;"BM"&amp;$Q2127,"")</f>
        <v/>
      </c>
      <c r="AL2320" s="2"/>
    </row>
    <row r="2321" spans="1:38" ht="12.75" customHeight="1" thickBot="1" x14ac:dyDescent="0.3">
      <c r="A2321" s="2"/>
      <c r="B2321" s="178"/>
      <c r="C2321" s="779"/>
      <c r="D2321" s="416" t="s">
        <v>9</v>
      </c>
      <c r="E2321" s="2613" t="str">
        <f>Translations!$B$605</f>
        <v>Särskild emissionsfaktor (importerad värme)</v>
      </c>
      <c r="F2321" s="1997"/>
      <c r="G2321" s="364" t="str">
        <f>EUconst_tCO2pTJ</f>
        <v>t CO2 / TJ</v>
      </c>
      <c r="H2321" s="582"/>
      <c r="I2321" s="1105"/>
      <c r="J2321" s="1115"/>
      <c r="K2321" s="582"/>
      <c r="L2321" s="582"/>
      <c r="M2321" s="582"/>
      <c r="N2321" s="1146"/>
      <c r="O2321" s="15"/>
      <c r="P2321" s="1362"/>
      <c r="Q2321" s="165" t="str">
        <f>EUconst_CNTR_HeatImportEF &amp; I2127</f>
        <v>HeatImEF_</v>
      </c>
      <c r="R2321" s="2"/>
      <c r="S2321" s="773" t="str">
        <f>EUconst_CNTR_AttributedEmissions &amp; I2127</f>
        <v>AttrEmissions_</v>
      </c>
      <c r="T2321" s="111" t="str">
        <f t="shared" ref="T2321:Z2321" si="1042">IF(T2135,SUM(H2320)*IF(ISNUMBER(H2321),H2321,EUconst_HeatBMvalue),"")</f>
        <v/>
      </c>
      <c r="U2321" s="111" t="str">
        <f t="shared" si="1042"/>
        <v/>
      </c>
      <c r="V2321" s="111" t="str">
        <f t="shared" si="1042"/>
        <v/>
      </c>
      <c r="W2321" s="111" t="str">
        <f t="shared" si="1042"/>
        <v/>
      </c>
      <c r="X2321" s="111" t="str">
        <f t="shared" si="1042"/>
        <v/>
      </c>
      <c r="Y2321" s="111" t="str">
        <f t="shared" si="1042"/>
        <v/>
      </c>
      <c r="Z2321" s="112" t="str">
        <f t="shared" si="1042"/>
        <v/>
      </c>
      <c r="AA2321" s="2"/>
      <c r="AB2321" s="2"/>
      <c r="AC2321" s="108" t="b">
        <f>AC2320</f>
        <v>0</v>
      </c>
      <c r="AD2321" s="108" t="b">
        <f t="shared" ref="AD2321:AI2321" si="1043">AD2320</f>
        <v>0</v>
      </c>
      <c r="AE2321" s="108" t="b">
        <f t="shared" si="1043"/>
        <v>0</v>
      </c>
      <c r="AF2321" s="108" t="b">
        <f t="shared" si="1043"/>
        <v>0</v>
      </c>
      <c r="AG2321" s="108" t="b">
        <f t="shared" si="1043"/>
        <v>0</v>
      </c>
      <c r="AH2321" s="108" t="b">
        <f t="shared" si="1043"/>
        <v>0</v>
      </c>
      <c r="AI2321" s="108" t="b">
        <f t="shared" si="1043"/>
        <v>0</v>
      </c>
      <c r="AJ2321" s="2"/>
      <c r="AK2321" s="2"/>
      <c r="AL2321" s="2"/>
    </row>
    <row r="2322" spans="1:38" ht="5.15" customHeight="1" x14ac:dyDescent="0.25">
      <c r="A2322" s="2"/>
      <c r="B2322" s="178"/>
      <c r="C2322" s="779"/>
      <c r="D2322" s="780"/>
      <c r="E2322" s="780"/>
      <c r="F2322" s="780"/>
      <c r="G2322" s="780"/>
      <c r="H2322" s="780"/>
      <c r="I2322" s="780"/>
      <c r="J2322" s="780"/>
      <c r="K2322" s="780"/>
      <c r="L2322" s="780"/>
      <c r="M2322" s="780"/>
      <c r="N2322" s="519"/>
      <c r="O2322" s="15"/>
      <c r="P2322" s="15"/>
      <c r="Q2322" s="343"/>
      <c r="R2322" s="2"/>
      <c r="S2322" s="343"/>
      <c r="T2322" s="343"/>
      <c r="U2322" s="343"/>
      <c r="V2322" s="343"/>
      <c r="W2322" s="2"/>
      <c r="X2322" s="2"/>
      <c r="Y2322" s="2"/>
      <c r="Z2322" s="2"/>
      <c r="AA2322" s="2"/>
      <c r="AB2322" s="2"/>
      <c r="AC2322" s="2"/>
      <c r="AD2322" s="2"/>
      <c r="AE2322" s="2"/>
      <c r="AF2322" s="2"/>
      <c r="AG2322" s="2"/>
      <c r="AH2322" s="2"/>
      <c r="AI2322" s="2"/>
      <c r="AJ2322" s="2"/>
      <c r="AK2322" s="2"/>
      <c r="AL2322" s="2"/>
    </row>
    <row r="2323" spans="1:38" ht="12.75" customHeight="1" thickBot="1" x14ac:dyDescent="0.3">
      <c r="A2323" s="2"/>
      <c r="B2323" s="178"/>
      <c r="C2323" s="779"/>
      <c r="D2323" s="780"/>
      <c r="E2323" s="2605" t="str">
        <f>Translations!$B$606</f>
        <v>Särskild värmeimport</v>
      </c>
      <c r="F2323" s="2497"/>
      <c r="G2323" s="361" t="str">
        <f>EUconst_Unit</f>
        <v>Enhet</v>
      </c>
      <c r="H2323" s="362">
        <f t="shared" ref="H2323:N2323" si="1044">H$3042</f>
        <v>2019</v>
      </c>
      <c r="I2323" s="1103">
        <f t="shared" si="1044"/>
        <v>2020</v>
      </c>
      <c r="J2323" s="1104">
        <f t="shared" si="1044"/>
        <v>2021</v>
      </c>
      <c r="K2323" s="362">
        <f t="shared" si="1044"/>
        <v>2022</v>
      </c>
      <c r="L2323" s="362">
        <f t="shared" si="1044"/>
        <v>2023</v>
      </c>
      <c r="M2323" s="362">
        <f t="shared" si="1044"/>
        <v>2024</v>
      </c>
      <c r="N2323" s="1141">
        <f t="shared" si="1044"/>
        <v>2025</v>
      </c>
      <c r="O2323" s="15"/>
      <c r="P2323" s="15"/>
      <c r="Q2323" s="343"/>
      <c r="R2323" s="2"/>
      <c r="S2323" s="343"/>
      <c r="T2323" s="343"/>
      <c r="U2323" s="343"/>
      <c r="V2323" s="343"/>
      <c r="W2323" s="2"/>
      <c r="X2323" s="2"/>
      <c r="Y2323" s="2"/>
      <c r="Z2323" s="2"/>
      <c r="AA2323" s="2"/>
      <c r="AB2323" s="2"/>
      <c r="AC2323" s="1044">
        <f t="shared" ref="AC2323:AI2323" si="1045">H$20</f>
        <v>2019</v>
      </c>
      <c r="AD2323" s="1044">
        <f t="shared" si="1045"/>
        <v>2020</v>
      </c>
      <c r="AE2323" s="1044">
        <f t="shared" si="1045"/>
        <v>2021</v>
      </c>
      <c r="AF2323" s="1044">
        <f t="shared" si="1045"/>
        <v>2022</v>
      </c>
      <c r="AG2323" s="1044">
        <f t="shared" si="1045"/>
        <v>2023</v>
      </c>
      <c r="AH2323" s="1044">
        <f t="shared" si="1045"/>
        <v>2024</v>
      </c>
      <c r="AI2323" s="1044">
        <f t="shared" si="1045"/>
        <v>2025</v>
      </c>
      <c r="AJ2323" s="2"/>
      <c r="AK2323" s="2"/>
      <c r="AL2323" s="2"/>
    </row>
    <row r="2324" spans="1:38" ht="12.75" customHeight="1" x14ac:dyDescent="0.25">
      <c r="A2324" s="2"/>
      <c r="B2324" s="178"/>
      <c r="C2324" s="779"/>
      <c r="D2324" s="416" t="s">
        <v>10</v>
      </c>
      <c r="E2324" s="2613" t="str">
        <f>Translations!$B$607</f>
        <v>Nettomängd importerad värme från massadelanläggningar</v>
      </c>
      <c r="F2324" s="1997"/>
      <c r="G2324" s="364" t="str">
        <f>EUconst_TJpa</f>
        <v>TJ / år</v>
      </c>
      <c r="H2324" s="1310"/>
      <c r="I2324" s="1311"/>
      <c r="J2324" s="1312"/>
      <c r="K2324" s="1310"/>
      <c r="L2324" s="1310"/>
      <c r="M2324" s="1310"/>
      <c r="N2324" s="1313"/>
      <c r="O2324" s="15"/>
      <c r="P2324" s="1362"/>
      <c r="Q2324" s="165" t="str">
        <f>EUconst_CNTR_HeatImportPulp &amp; I2127</f>
        <v>HeatImPulp_</v>
      </c>
      <c r="R2324" s="2"/>
      <c r="S2324" s="343"/>
      <c r="T2324" s="343"/>
      <c r="U2324" s="343"/>
      <c r="V2324" s="343"/>
      <c r="W2324" s="2"/>
      <c r="X2324" s="2"/>
      <c r="Y2324" s="2"/>
      <c r="Z2324" s="2"/>
      <c r="AA2324" s="2"/>
      <c r="AB2324" s="672" t="s">
        <v>782</v>
      </c>
      <c r="AC2324" s="108" t="b">
        <f>AC2197</f>
        <v>0</v>
      </c>
      <c r="AD2324" s="108" t="b">
        <f t="shared" ref="AD2324:AI2324" si="1046">AD2197</f>
        <v>0</v>
      </c>
      <c r="AE2324" s="108" t="b">
        <f t="shared" si="1046"/>
        <v>0</v>
      </c>
      <c r="AF2324" s="108" t="b">
        <f t="shared" si="1046"/>
        <v>0</v>
      </c>
      <c r="AG2324" s="108" t="b">
        <f t="shared" si="1046"/>
        <v>0</v>
      </c>
      <c r="AH2324" s="108" t="b">
        <f t="shared" si="1046"/>
        <v>0</v>
      </c>
      <c r="AI2324" s="108" t="b">
        <f t="shared" si="1046"/>
        <v>0</v>
      </c>
      <c r="AJ2324" s="553" t="s">
        <v>2248</v>
      </c>
      <c r="AK2324" s="663" t="str">
        <f>IF(AND(CNTR_ExistSubInstEntries,MSconst_RequireSubAttrEmissions,COUNTIFS(AC2324:AI2324,FALSE,H2324:N2324,"")&gt;0),EUconst_Error&amp;"BM"&amp;$Q2127,"")</f>
        <v/>
      </c>
      <c r="AL2324" s="2"/>
    </row>
    <row r="2325" spans="1:38" ht="25.5" customHeight="1" x14ac:dyDescent="0.25">
      <c r="A2325" s="2"/>
      <c r="B2325" s="178"/>
      <c r="C2325" s="779"/>
      <c r="D2325" s="416" t="s">
        <v>23</v>
      </c>
      <c r="E2325" s="2613" t="str">
        <f>Translations!$B$608</f>
        <v>Nettomängd importerad värme från delanläggningar för salpetersyra</v>
      </c>
      <c r="F2325" s="1997"/>
      <c r="G2325" s="364" t="str">
        <f>EUconst_TJpa</f>
        <v>TJ / år</v>
      </c>
      <c r="H2325" s="582"/>
      <c r="I2325" s="1105"/>
      <c r="J2325" s="1115"/>
      <c r="K2325" s="582"/>
      <c r="L2325" s="582"/>
      <c r="M2325" s="582"/>
      <c r="N2325" s="1146"/>
      <c r="O2325" s="15"/>
      <c r="P2325" s="1362"/>
      <c r="Q2325" s="165" t="str">
        <f>EUconst_CNTR_HeatImportNitric &amp; I2127</f>
        <v>HeatImNitric_</v>
      </c>
      <c r="R2325" s="2"/>
      <c r="S2325" s="343"/>
      <c r="T2325" s="343"/>
      <c r="U2325" s="343"/>
      <c r="V2325" s="343"/>
      <c r="W2325" s="2"/>
      <c r="X2325" s="2"/>
      <c r="Y2325" s="2"/>
      <c r="Z2325" s="2"/>
      <c r="AA2325" s="2"/>
      <c r="AB2325" s="2"/>
      <c r="AC2325" s="108" t="b">
        <f>AC2324</f>
        <v>0</v>
      </c>
      <c r="AD2325" s="108" t="b">
        <f t="shared" ref="AD2325:AI2325" si="1047">AD2324</f>
        <v>0</v>
      </c>
      <c r="AE2325" s="108" t="b">
        <f t="shared" si="1047"/>
        <v>0</v>
      </c>
      <c r="AF2325" s="108" t="b">
        <f t="shared" si="1047"/>
        <v>0</v>
      </c>
      <c r="AG2325" s="108" t="b">
        <f t="shared" si="1047"/>
        <v>0</v>
      </c>
      <c r="AH2325" s="108" t="b">
        <f t="shared" si="1047"/>
        <v>0</v>
      </c>
      <c r="AI2325" s="108" t="b">
        <f t="shared" si="1047"/>
        <v>0</v>
      </c>
      <c r="AJ2325" s="553" t="s">
        <v>2248</v>
      </c>
      <c r="AK2325" s="663" t="str">
        <f>IF(AND(CNTR_ExistSubInstEntries,MSconst_RequireSubAttrEmissions,COUNTIFS(AC2325:AI2325,FALSE,H2325:N2325,"")&gt;0),EUconst_Error&amp;"BM"&amp;$Q2127,"")</f>
        <v/>
      </c>
      <c r="AL2325" s="2"/>
    </row>
    <row r="2326" spans="1:38" ht="5.15" customHeight="1" thickBot="1" x14ac:dyDescent="0.3">
      <c r="A2326" s="2"/>
      <c r="B2326" s="178"/>
      <c r="C2326" s="779"/>
      <c r="D2326" s="780"/>
      <c r="E2326" s="780"/>
      <c r="F2326" s="780"/>
      <c r="G2326" s="780"/>
      <c r="H2326" s="780"/>
      <c r="I2326" s="780"/>
      <c r="J2326" s="780"/>
      <c r="K2326" s="780"/>
      <c r="L2326" s="780"/>
      <c r="M2326" s="780"/>
      <c r="N2326" s="519"/>
      <c r="O2326" s="15"/>
      <c r="P2326" s="15"/>
      <c r="Q2326" s="343"/>
      <c r="R2326" s="2"/>
      <c r="S2326" s="343"/>
      <c r="T2326" s="343"/>
      <c r="U2326" s="343"/>
      <c r="V2326" s="343"/>
      <c r="W2326" s="2"/>
      <c r="X2326" s="2"/>
      <c r="Y2326" s="2"/>
      <c r="Z2326" s="2"/>
      <c r="AA2326" s="2"/>
      <c r="AB2326" s="2"/>
      <c r="AC2326" s="2"/>
      <c r="AD2326" s="2"/>
      <c r="AE2326" s="2"/>
      <c r="AF2326" s="2"/>
      <c r="AG2326" s="2"/>
      <c r="AH2326" s="2"/>
      <c r="AI2326" s="2"/>
      <c r="AJ2326" s="2"/>
      <c r="AK2326" s="2"/>
      <c r="AL2326" s="2"/>
    </row>
    <row r="2327" spans="1:38" ht="12.75" customHeight="1" thickBot="1" x14ac:dyDescent="0.3">
      <c r="A2327" s="2"/>
      <c r="B2327" s="178"/>
      <c r="C2327" s="779"/>
      <c r="D2327" s="780"/>
      <c r="E2327" s="2605" t="str">
        <f>Translations!$B$609</f>
        <v>Total exporterad värme</v>
      </c>
      <c r="F2327" s="2497"/>
      <c r="G2327" s="361" t="str">
        <f>EUconst_Unit</f>
        <v>Enhet</v>
      </c>
      <c r="H2327" s="362">
        <f t="shared" ref="H2327:N2327" si="1048">H$3042</f>
        <v>2019</v>
      </c>
      <c r="I2327" s="1103">
        <f t="shared" si="1048"/>
        <v>2020</v>
      </c>
      <c r="J2327" s="1104">
        <f t="shared" si="1048"/>
        <v>2021</v>
      </c>
      <c r="K2327" s="362">
        <f t="shared" si="1048"/>
        <v>2022</v>
      </c>
      <c r="L2327" s="362">
        <f t="shared" si="1048"/>
        <v>2023</v>
      </c>
      <c r="M2327" s="362">
        <f t="shared" si="1048"/>
        <v>2024</v>
      </c>
      <c r="N2327" s="1141">
        <f t="shared" si="1048"/>
        <v>2025</v>
      </c>
      <c r="O2327" s="15"/>
      <c r="P2327" s="15"/>
      <c r="Q2327" s="343"/>
      <c r="R2327" s="2"/>
      <c r="S2327" s="772"/>
      <c r="T2327" s="609">
        <f t="shared" ref="T2327:Z2327" si="1049">H2327</f>
        <v>2019</v>
      </c>
      <c r="U2327" s="609">
        <f t="shared" si="1049"/>
        <v>2020</v>
      </c>
      <c r="V2327" s="609">
        <f t="shared" si="1049"/>
        <v>2021</v>
      </c>
      <c r="W2327" s="609">
        <f t="shared" si="1049"/>
        <v>2022</v>
      </c>
      <c r="X2327" s="609">
        <f t="shared" si="1049"/>
        <v>2023</v>
      </c>
      <c r="Y2327" s="609">
        <f t="shared" si="1049"/>
        <v>2024</v>
      </c>
      <c r="Z2327" s="610">
        <f t="shared" si="1049"/>
        <v>2025</v>
      </c>
      <c r="AA2327" s="2"/>
      <c r="AB2327" s="2"/>
      <c r="AC2327" s="1044">
        <f t="shared" ref="AC2327:AI2327" si="1050">H$20</f>
        <v>2019</v>
      </c>
      <c r="AD2327" s="1044">
        <f t="shared" si="1050"/>
        <v>2020</v>
      </c>
      <c r="AE2327" s="1044">
        <f t="shared" si="1050"/>
        <v>2021</v>
      </c>
      <c r="AF2327" s="1044">
        <f t="shared" si="1050"/>
        <v>2022</v>
      </c>
      <c r="AG2327" s="1044">
        <f t="shared" si="1050"/>
        <v>2023</v>
      </c>
      <c r="AH2327" s="1044">
        <f t="shared" si="1050"/>
        <v>2024</v>
      </c>
      <c r="AI2327" s="1044">
        <f t="shared" si="1050"/>
        <v>2025</v>
      </c>
      <c r="AJ2327" s="2"/>
      <c r="AK2327" s="2"/>
      <c r="AL2327" s="2"/>
    </row>
    <row r="2328" spans="1:38" ht="12.75" customHeight="1" x14ac:dyDescent="0.25">
      <c r="A2328" s="2"/>
      <c r="B2328" s="178"/>
      <c r="C2328" s="779"/>
      <c r="D2328" s="416" t="s">
        <v>859</v>
      </c>
      <c r="E2328" s="2613" t="str">
        <f>Translations!$B$610</f>
        <v>Nettomängd exporterad värme</v>
      </c>
      <c r="F2328" s="1997"/>
      <c r="G2328" s="364" t="str">
        <f>EUconst_TJpa</f>
        <v>TJ / år</v>
      </c>
      <c r="H2328" s="582"/>
      <c r="I2328" s="1105"/>
      <c r="J2328" s="1115"/>
      <c r="K2328" s="582"/>
      <c r="L2328" s="582"/>
      <c r="M2328" s="582"/>
      <c r="N2328" s="1146"/>
      <c r="O2328" s="15"/>
      <c r="P2328" s="1362"/>
      <c r="Q2328" s="165" t="str">
        <f>EUconst_CNTR_HeatExport &amp; I2127</f>
        <v>HeatEx_</v>
      </c>
      <c r="R2328" s="2"/>
      <c r="S2328" s="1751" t="str">
        <f>EUconst_ERR_AttrEmBMapplied &amp; I2127</f>
        <v>ERR_AttrEmBM_</v>
      </c>
      <c r="T2328" s="108">
        <f t="shared" ref="T2328:Z2328" si="1051">IF(AND(H2328&lt;&gt;0,H2329="",EUconst_StatusOfDataCollection=FALSE),1,0)</f>
        <v>0</v>
      </c>
      <c r="U2328" s="108">
        <f t="shared" si="1051"/>
        <v>0</v>
      </c>
      <c r="V2328" s="108">
        <f t="shared" si="1051"/>
        <v>0</v>
      </c>
      <c r="W2328" s="108">
        <f t="shared" si="1051"/>
        <v>0</v>
      </c>
      <c r="X2328" s="108">
        <f t="shared" si="1051"/>
        <v>0</v>
      </c>
      <c r="Y2328" s="108">
        <f t="shared" si="1051"/>
        <v>0</v>
      </c>
      <c r="Z2328" s="109">
        <f t="shared" si="1051"/>
        <v>0</v>
      </c>
      <c r="AA2328" s="2"/>
      <c r="AB2328" s="672" t="s">
        <v>782</v>
      </c>
      <c r="AC2328" s="108" t="b">
        <f>AC2324</f>
        <v>0</v>
      </c>
      <c r="AD2328" s="108" t="b">
        <f t="shared" ref="AD2328:AI2328" si="1052">AD2324</f>
        <v>0</v>
      </c>
      <c r="AE2328" s="108" t="b">
        <f t="shared" si="1052"/>
        <v>0</v>
      </c>
      <c r="AF2328" s="108" t="b">
        <f t="shared" si="1052"/>
        <v>0</v>
      </c>
      <c r="AG2328" s="108" t="b">
        <f t="shared" si="1052"/>
        <v>0</v>
      </c>
      <c r="AH2328" s="108" t="b">
        <f t="shared" si="1052"/>
        <v>0</v>
      </c>
      <c r="AI2328" s="108" t="b">
        <f t="shared" si="1052"/>
        <v>0</v>
      </c>
      <c r="AJ2328" s="553" t="s">
        <v>2248</v>
      </c>
      <c r="AK2328" s="663" t="str">
        <f>IF(AND(CNTR_ExistSubInstEntries,MSconst_RequireSubAttrEmissions,COUNTIFS(AC2328:AI2328,FALSE,H2328:N2328,"")&gt;0),EUconst_Error&amp;"BM"&amp;$Q2127,"")</f>
        <v/>
      </c>
      <c r="AL2328" s="2"/>
    </row>
    <row r="2329" spans="1:38" ht="12.75" customHeight="1" thickBot="1" x14ac:dyDescent="0.3">
      <c r="A2329" s="2"/>
      <c r="B2329" s="178"/>
      <c r="C2329" s="779"/>
      <c r="D2329" s="416" t="s">
        <v>860</v>
      </c>
      <c r="E2329" s="2613" t="str">
        <f>Translations!$B$611</f>
        <v>Särskild emissionsfaktor (exporterad värme)</v>
      </c>
      <c r="F2329" s="1997"/>
      <c r="G2329" s="364" t="str">
        <f>EUconst_tCO2pTJ</f>
        <v>t CO2 / TJ</v>
      </c>
      <c r="H2329" s="582"/>
      <c r="I2329" s="1105"/>
      <c r="J2329" s="1115"/>
      <c r="K2329" s="582"/>
      <c r="L2329" s="582"/>
      <c r="M2329" s="582"/>
      <c r="N2329" s="1146"/>
      <c r="O2329" s="15"/>
      <c r="P2329" s="1362"/>
      <c r="Q2329" s="165" t="str">
        <f>EUconst_CNTR_HeatExportEF &amp; I2127</f>
        <v>HeatExEF_</v>
      </c>
      <c r="R2329" s="2"/>
      <c r="S2329" s="773" t="str">
        <f>EUconst_CNTR_AttributedEmissions &amp; I2127</f>
        <v>AttrEmissions_</v>
      </c>
      <c r="T2329" s="111" t="str">
        <f t="shared" ref="T2329:Z2329" si="1053">IF(T2135,-SUM(H2328)*IF(INDEX(EUconst_BMlistNumberOfBM,MATCH($I2127,EUconst_BMlistNames,0))=39,0,IF(ISNUMBER(H2329),H2329,EUconst_HeatBMvalue)),"")</f>
        <v/>
      </c>
      <c r="U2329" s="111" t="str">
        <f t="shared" si="1053"/>
        <v/>
      </c>
      <c r="V2329" s="111" t="str">
        <f t="shared" si="1053"/>
        <v/>
      </c>
      <c r="W2329" s="111" t="str">
        <f t="shared" si="1053"/>
        <v/>
      </c>
      <c r="X2329" s="111" t="str">
        <f t="shared" si="1053"/>
        <v/>
      </c>
      <c r="Y2329" s="111" t="str">
        <f t="shared" si="1053"/>
        <v/>
      </c>
      <c r="Z2329" s="112" t="str">
        <f t="shared" si="1053"/>
        <v/>
      </c>
      <c r="AA2329" s="2"/>
      <c r="AB2329" s="2"/>
      <c r="AC2329" s="108" t="b">
        <f>AC2328</f>
        <v>0</v>
      </c>
      <c r="AD2329" s="108" t="b">
        <f t="shared" ref="AD2329:AI2329" si="1054">AD2328</f>
        <v>0</v>
      </c>
      <c r="AE2329" s="108" t="b">
        <f t="shared" si="1054"/>
        <v>0</v>
      </c>
      <c r="AF2329" s="108" t="b">
        <f t="shared" si="1054"/>
        <v>0</v>
      </c>
      <c r="AG2329" s="108" t="b">
        <f t="shared" si="1054"/>
        <v>0</v>
      </c>
      <c r="AH2329" s="108" t="b">
        <f t="shared" si="1054"/>
        <v>0</v>
      </c>
      <c r="AI2329" s="108" t="b">
        <f t="shared" si="1054"/>
        <v>0</v>
      </c>
      <c r="AJ2329" s="2"/>
      <c r="AK2329" s="2"/>
      <c r="AL2329" s="2"/>
    </row>
    <row r="2330" spans="1:38" ht="12.75" customHeight="1" x14ac:dyDescent="0.25">
      <c r="A2330" s="2"/>
      <c r="B2330" s="178"/>
      <c r="C2330" s="779"/>
      <c r="D2330" s="780"/>
      <c r="E2330" s="780"/>
      <c r="F2330" s="780"/>
      <c r="G2330" s="780"/>
      <c r="H2330" s="780"/>
      <c r="I2330" s="780"/>
      <c r="J2330" s="780"/>
      <c r="K2330" s="780"/>
      <c r="L2330" s="780"/>
      <c r="M2330" s="623"/>
      <c r="N2330" s="519"/>
      <c r="O2330" s="15"/>
      <c r="P2330" s="15"/>
      <c r="Q2330" s="343"/>
      <c r="R2330" s="2"/>
      <c r="S2330" s="343"/>
      <c r="T2330" s="343"/>
      <c r="U2330" s="343"/>
      <c r="V2330" s="343"/>
      <c r="W2330" s="2"/>
      <c r="X2330" s="2"/>
      <c r="Y2330" s="2"/>
      <c r="Z2330" s="2"/>
      <c r="AA2330" s="2"/>
      <c r="AB2330" s="2"/>
      <c r="AC2330" s="2"/>
      <c r="AD2330" s="2"/>
      <c r="AE2330" s="2"/>
      <c r="AF2330" s="2"/>
      <c r="AG2330" s="2"/>
      <c r="AH2330" s="2"/>
      <c r="AI2330" s="2"/>
      <c r="AJ2330" s="2"/>
      <c r="AK2330" s="2"/>
      <c r="AL2330" s="2"/>
    </row>
    <row r="2331" spans="1:38" ht="12.75" customHeight="1" x14ac:dyDescent="0.25">
      <c r="A2331" s="2"/>
      <c r="B2331" s="178"/>
      <c r="C2331" s="779"/>
      <c r="D2331" s="373" t="s">
        <v>526</v>
      </c>
      <c r="E2331" s="2614" t="str">
        <f>Translations!$B$612</f>
        <v>Delanläggningens restgasbalans</v>
      </c>
      <c r="F2331" s="1960"/>
      <c r="G2331" s="1960"/>
      <c r="H2331" s="1960"/>
      <c r="I2331" s="1960"/>
      <c r="J2331" s="1960"/>
      <c r="K2331" s="1960"/>
      <c r="L2331" s="1960"/>
      <c r="M2331" s="1960"/>
      <c r="N2331" s="2597"/>
      <c r="O2331" s="15"/>
      <c r="P2331" s="15"/>
      <c r="Q2331" s="343"/>
      <c r="R2331" s="2"/>
      <c r="S2331" s="343"/>
      <c r="T2331" s="343"/>
      <c r="U2331" s="343"/>
      <c r="V2331" s="343"/>
      <c r="W2331" s="2"/>
      <c r="X2331" s="2"/>
      <c r="Y2331" s="2"/>
      <c r="Z2331" s="2"/>
      <c r="AA2331" s="2"/>
      <c r="AB2331" s="2"/>
      <c r="AC2331" s="2"/>
      <c r="AD2331" s="2"/>
      <c r="AE2331" s="2"/>
      <c r="AF2331" s="2"/>
      <c r="AG2331" s="2"/>
      <c r="AH2331" s="2"/>
      <c r="AI2331" s="2"/>
      <c r="AJ2331" s="2"/>
      <c r="AK2331" s="2"/>
      <c r="AL2331" s="2"/>
    </row>
    <row r="2332" spans="1:38" ht="5.15" customHeight="1" x14ac:dyDescent="0.25">
      <c r="A2332" s="2"/>
      <c r="B2332" s="178"/>
      <c r="C2332" s="779"/>
      <c r="D2332" s="780"/>
      <c r="E2332" s="1804"/>
      <c r="F2332" s="1804"/>
      <c r="G2332" s="1804"/>
      <c r="H2332" s="1804"/>
      <c r="I2332" s="1804"/>
      <c r="J2332" s="1804"/>
      <c r="K2332" s="1804"/>
      <c r="L2332" s="1804"/>
      <c r="M2332" s="1804"/>
      <c r="N2332" s="1810"/>
      <c r="O2332" s="15"/>
      <c r="P2332" s="15"/>
      <c r="Q2332" s="343"/>
      <c r="R2332" s="2"/>
      <c r="S2332" s="343"/>
      <c r="T2332" s="343"/>
      <c r="U2332" s="343"/>
      <c r="V2332" s="343"/>
      <c r="W2332" s="2"/>
      <c r="X2332" s="2"/>
      <c r="Y2332" s="2"/>
      <c r="Z2332" s="2"/>
      <c r="AA2332" s="2"/>
      <c r="AB2332" s="2"/>
      <c r="AC2332" s="2"/>
      <c r="AD2332" s="2"/>
      <c r="AE2332" s="2"/>
      <c r="AF2332" s="2"/>
      <c r="AG2332" s="2"/>
      <c r="AH2332" s="2"/>
      <c r="AI2332" s="2"/>
      <c r="AJ2332" s="2"/>
      <c r="AK2332" s="2"/>
      <c r="AL2332" s="2"/>
    </row>
    <row r="2333" spans="1:38" ht="12.75" customHeight="1" x14ac:dyDescent="0.25">
      <c r="A2333" s="2"/>
      <c r="B2333" s="178"/>
      <c r="C2333" s="779"/>
      <c r="D2333" s="416" t="s">
        <v>8</v>
      </c>
      <c r="E2333" s="2614" t="str">
        <f>Translations!$B$613</f>
        <v>Är restgaser relevanta för delanläggningen?</v>
      </c>
      <c r="F2333" s="1960"/>
      <c r="G2333" s="1960"/>
      <c r="H2333" s="1960"/>
      <c r="I2333" s="1960"/>
      <c r="J2333" s="1960"/>
      <c r="K2333" s="2520"/>
      <c r="L2333" s="749"/>
      <c r="M2333" s="1806"/>
      <c r="N2333" s="1807"/>
      <c r="O2333" s="15"/>
      <c r="P2333" s="1362"/>
      <c r="Q2333" s="343"/>
      <c r="R2333" s="2"/>
      <c r="S2333" s="343"/>
      <c r="T2333" s="2"/>
      <c r="U2333" s="2"/>
      <c r="V2333" s="2"/>
      <c r="W2333" s="2"/>
      <c r="X2333" s="2"/>
      <c r="Y2333" s="2"/>
      <c r="Z2333" s="2"/>
      <c r="AA2333" s="2"/>
      <c r="AB2333" s="2"/>
      <c r="AC2333" s="2"/>
      <c r="AD2333" s="2"/>
      <c r="AE2333" s="2"/>
      <c r="AF2333" s="672" t="s">
        <v>782</v>
      </c>
      <c r="AG2333" s="1196" t="b">
        <f>AND(CNTR_ExistSubInstEntries,I2127="")</f>
        <v>0</v>
      </c>
      <c r="AH2333" s="2"/>
      <c r="AI2333" s="2"/>
      <c r="AJ2333" s="2"/>
      <c r="AK2333" s="2"/>
      <c r="AL2333" s="2"/>
    </row>
    <row r="2334" spans="1:38" ht="12.75" customHeight="1" x14ac:dyDescent="0.25">
      <c r="A2334" s="2"/>
      <c r="B2334" s="178"/>
      <c r="C2334" s="779"/>
      <c r="D2334" s="780"/>
      <c r="E2334" s="2610" t="str">
        <f>Translations!$B$614</f>
        <v>Om svaret ”FALSKT” anges kommer hela avsnittet att gråmarkeras och ni kan gå vidare till nästa punkt nedan.</v>
      </c>
      <c r="F2334" s="1960"/>
      <c r="G2334" s="1960"/>
      <c r="H2334" s="1960"/>
      <c r="I2334" s="1960"/>
      <c r="J2334" s="1960"/>
      <c r="K2334" s="1960"/>
      <c r="L2334" s="1960"/>
      <c r="M2334" s="1960"/>
      <c r="N2334" s="2597"/>
      <c r="O2334" s="15"/>
      <c r="P2334" s="15"/>
      <c r="Q2334" s="343"/>
      <c r="R2334" s="2"/>
      <c r="S2334" s="343"/>
      <c r="T2334" s="2"/>
      <c r="U2334" s="2"/>
      <c r="V2334" s="2"/>
      <c r="W2334" s="2"/>
      <c r="X2334" s="2"/>
      <c r="Y2334" s="2"/>
      <c r="Z2334" s="2"/>
      <c r="AA2334" s="2"/>
      <c r="AB2334" s="2"/>
      <c r="AC2334" s="2"/>
      <c r="AD2334" s="2"/>
      <c r="AE2334" s="2"/>
      <c r="AF2334" s="2"/>
      <c r="AG2334" s="2"/>
      <c r="AH2334" s="2"/>
      <c r="AI2334" s="2"/>
      <c r="AJ2334" s="2"/>
      <c r="AK2334" s="2"/>
      <c r="AL2334" s="2"/>
    </row>
    <row r="2335" spans="1:38" ht="12.75" customHeight="1" x14ac:dyDescent="0.25">
      <c r="A2335" s="2"/>
      <c r="B2335" s="178"/>
      <c r="C2335" s="779"/>
      <c r="D2335" s="416" t="s">
        <v>9</v>
      </c>
      <c r="E2335" s="2614" t="str">
        <f>Translations!$B$615</f>
        <v>Typer av producerade restgaser:</v>
      </c>
      <c r="F2335" s="1960"/>
      <c r="G2335" s="1960"/>
      <c r="H2335" s="2520"/>
      <c r="I2335" s="2621"/>
      <c r="J2335" s="2510"/>
      <c r="K2335" s="2510"/>
      <c r="L2335" s="2510"/>
      <c r="M2335" s="2511"/>
      <c r="N2335" s="1807"/>
      <c r="O2335" s="15"/>
      <c r="P2335" s="1362"/>
      <c r="Q2335" s="343"/>
      <c r="R2335" s="2"/>
      <c r="S2335" s="343"/>
      <c r="T2335" s="2"/>
      <c r="U2335" s="2"/>
      <c r="V2335" s="2"/>
      <c r="W2335" s="2"/>
      <c r="X2335" s="2"/>
      <c r="Y2335" s="2"/>
      <c r="Z2335" s="2"/>
      <c r="AA2335" s="2"/>
      <c r="AB2335" s="2"/>
      <c r="AC2335" s="672" t="s">
        <v>782</v>
      </c>
      <c r="AD2335" s="1196" t="b">
        <f>OR(AG2333,AND($L2333&lt;&gt;"",$L2333=FALSE))</f>
        <v>0</v>
      </c>
      <c r="AE2335" s="2"/>
      <c r="AF2335" s="2"/>
      <c r="AG2335" s="2"/>
      <c r="AH2335" s="2"/>
      <c r="AI2335" s="2"/>
      <c r="AJ2335" s="2"/>
      <c r="AK2335" s="2"/>
      <c r="AL2335" s="2"/>
    </row>
    <row r="2336" spans="1:38" ht="12.75" customHeight="1" x14ac:dyDescent="0.25">
      <c r="A2336" s="2"/>
      <c r="B2336" s="178"/>
      <c r="C2336" s="779"/>
      <c r="D2336" s="780"/>
      <c r="E2336" s="2610" t="str">
        <f>Translations!$B$616</f>
        <v>Ni kan välja att rapportera i ton eller i 1 000 Nm3. Enheterna måste stämma överens med de som används för effektivt värmevärde och emissionsfaktorn nedan.</v>
      </c>
      <c r="F2336" s="1960"/>
      <c r="G2336" s="1960"/>
      <c r="H2336" s="1960"/>
      <c r="I2336" s="1960"/>
      <c r="J2336" s="1960"/>
      <c r="K2336" s="1960"/>
      <c r="L2336" s="1960"/>
      <c r="M2336" s="1960"/>
      <c r="N2336" s="2597"/>
      <c r="O2336" s="15"/>
      <c r="P2336" s="15"/>
      <c r="Q2336" s="343"/>
      <c r="R2336" s="2"/>
      <c r="S2336" s="343"/>
      <c r="T2336" s="343"/>
      <c r="U2336" s="343"/>
      <c r="V2336" s="343"/>
      <c r="W2336" s="2"/>
      <c r="X2336" s="2"/>
      <c r="Y2336" s="2"/>
      <c r="Z2336" s="2"/>
      <c r="AA2336" s="2"/>
      <c r="AB2336" s="2"/>
      <c r="AC2336" s="2"/>
      <c r="AD2336" s="2"/>
      <c r="AE2336" s="2"/>
      <c r="AF2336" s="2"/>
      <c r="AG2336" s="2"/>
      <c r="AH2336" s="2"/>
      <c r="AI2336" s="2"/>
      <c r="AJ2336" s="2"/>
      <c r="AK2336" s="2"/>
      <c r="AL2336" s="2"/>
    </row>
    <row r="2337" spans="1:38" ht="12.75" customHeight="1" x14ac:dyDescent="0.25">
      <c r="A2337" s="2"/>
      <c r="B2337" s="178"/>
      <c r="C2337" s="779"/>
      <c r="D2337" s="780"/>
      <c r="E2337" s="2596" t="str">
        <f>Translations!$B$570</f>
        <v>De uppgifter som anges här används bara för konsekvenskontroll och har ingen direkt inverkan på vare sig de utsläpp som kan tillskrivas eller tilldelningen.</v>
      </c>
      <c r="F2337" s="1960"/>
      <c r="G2337" s="1960"/>
      <c r="H2337" s="1960"/>
      <c r="I2337" s="1960"/>
      <c r="J2337" s="1960"/>
      <c r="K2337" s="1960"/>
      <c r="L2337" s="1960"/>
      <c r="M2337" s="1960"/>
      <c r="N2337" s="2597"/>
      <c r="O2337" s="15"/>
      <c r="P2337" s="15"/>
      <c r="Q2337" s="343"/>
      <c r="R2337" s="2"/>
      <c r="S2337" s="343"/>
      <c r="T2337" s="343"/>
      <c r="U2337" s="343"/>
      <c r="V2337" s="343"/>
      <c r="W2337" s="2"/>
      <c r="X2337" s="2"/>
      <c r="Y2337" s="2"/>
      <c r="Z2337" s="2"/>
      <c r="AA2337" s="2"/>
      <c r="AB2337" s="2"/>
      <c r="AC2337" s="2"/>
      <c r="AD2337" s="2"/>
      <c r="AE2337" s="2"/>
      <c r="AF2337" s="2"/>
      <c r="AG2337" s="2"/>
      <c r="AH2337" s="2"/>
      <c r="AI2337" s="2"/>
      <c r="AJ2337" s="2"/>
      <c r="AK2337" s="2"/>
      <c r="AL2337" s="2"/>
    </row>
    <row r="2338" spans="1:38" ht="12.75" customHeight="1" thickBot="1" x14ac:dyDescent="0.3">
      <c r="A2338" s="2"/>
      <c r="B2338" s="178"/>
      <c r="C2338" s="779"/>
      <c r="D2338" s="780"/>
      <c r="E2338" s="1716"/>
      <c r="F2338" s="1717"/>
      <c r="G2338" s="361" t="str">
        <f>EUconst_Unit</f>
        <v>Enhet</v>
      </c>
      <c r="H2338" s="362">
        <f t="shared" ref="H2338:N2338" si="1055">H$3042</f>
        <v>2019</v>
      </c>
      <c r="I2338" s="1103">
        <f t="shared" si="1055"/>
        <v>2020</v>
      </c>
      <c r="J2338" s="1104">
        <f t="shared" si="1055"/>
        <v>2021</v>
      </c>
      <c r="K2338" s="362">
        <f t="shared" si="1055"/>
        <v>2022</v>
      </c>
      <c r="L2338" s="362">
        <f t="shared" si="1055"/>
        <v>2023</v>
      </c>
      <c r="M2338" s="362">
        <f t="shared" si="1055"/>
        <v>2024</v>
      </c>
      <c r="N2338" s="1141">
        <f t="shared" si="1055"/>
        <v>2025</v>
      </c>
      <c r="O2338" s="15"/>
      <c r="P2338" s="15"/>
      <c r="Q2338" s="343"/>
      <c r="R2338" s="2"/>
      <c r="S2338" s="343"/>
      <c r="T2338" s="343"/>
      <c r="U2338" s="343"/>
      <c r="V2338" s="343"/>
      <c r="W2338" s="2"/>
      <c r="X2338" s="2"/>
      <c r="Y2338" s="2"/>
      <c r="Z2338" s="2"/>
      <c r="AA2338" s="2"/>
      <c r="AB2338" s="2"/>
      <c r="AC2338" s="1044">
        <f t="shared" ref="AC2338:AI2338" si="1056">H$20</f>
        <v>2019</v>
      </c>
      <c r="AD2338" s="1044">
        <f t="shared" si="1056"/>
        <v>2020</v>
      </c>
      <c r="AE2338" s="1044">
        <f t="shared" si="1056"/>
        <v>2021</v>
      </c>
      <c r="AF2338" s="1044">
        <f t="shared" si="1056"/>
        <v>2022</v>
      </c>
      <c r="AG2338" s="1044">
        <f t="shared" si="1056"/>
        <v>2023</v>
      </c>
      <c r="AH2338" s="1044">
        <f t="shared" si="1056"/>
        <v>2024</v>
      </c>
      <c r="AI2338" s="1044">
        <f t="shared" si="1056"/>
        <v>2025</v>
      </c>
      <c r="AJ2338" s="2"/>
      <c r="AK2338" s="2"/>
      <c r="AL2338" s="2"/>
    </row>
    <row r="2339" spans="1:38" ht="12.75" customHeight="1" x14ac:dyDescent="0.25">
      <c r="A2339" s="2"/>
      <c r="B2339" s="178"/>
      <c r="C2339" s="779"/>
      <c r="D2339" s="416" t="s">
        <v>10</v>
      </c>
      <c r="E2339" s="2611" t="str">
        <f>Translations!$B$617</f>
        <v>Producerade mängder</v>
      </c>
      <c r="F2339" s="2484"/>
      <c r="G2339" s="1314"/>
      <c r="H2339" s="1298"/>
      <c r="I2339" s="1299"/>
      <c r="J2339" s="1300"/>
      <c r="K2339" s="1298"/>
      <c r="L2339" s="1298"/>
      <c r="M2339" s="1298"/>
      <c r="N2339" s="1301"/>
      <c r="O2339" s="15"/>
      <c r="P2339" s="1362"/>
      <c r="Q2339" s="343"/>
      <c r="R2339" s="2"/>
      <c r="S2339" s="343"/>
      <c r="T2339" s="343"/>
      <c r="U2339" s="343"/>
      <c r="V2339" s="343"/>
      <c r="W2339" s="2"/>
      <c r="X2339" s="2"/>
      <c r="Y2339" s="2"/>
      <c r="Z2339" s="2"/>
      <c r="AA2339" s="2"/>
      <c r="AB2339" s="672" t="s">
        <v>782</v>
      </c>
      <c r="AC2339" s="1196" t="b">
        <f>OR(AND($L2333&lt;&gt;"",$L2333=FALSE),AC2197)</f>
        <v>0</v>
      </c>
      <c r="AD2339" s="108" t="b">
        <f t="shared" ref="AD2339:AI2339" si="1057">OR(AND($L2333&lt;&gt;"",$L2333=FALSE),AD2197)</f>
        <v>0</v>
      </c>
      <c r="AE2339" s="108" t="b">
        <f t="shared" si="1057"/>
        <v>0</v>
      </c>
      <c r="AF2339" s="108" t="b">
        <f t="shared" si="1057"/>
        <v>0</v>
      </c>
      <c r="AG2339" s="108" t="b">
        <f t="shared" si="1057"/>
        <v>0</v>
      </c>
      <c r="AH2339" s="108" t="b">
        <f t="shared" si="1057"/>
        <v>0</v>
      </c>
      <c r="AI2339" s="108" t="b">
        <f t="shared" si="1057"/>
        <v>0</v>
      </c>
      <c r="AJ2339" s="553" t="s">
        <v>2248</v>
      </c>
      <c r="AK2339" s="663" t="str">
        <f>IF(AND(CNTR_ExistSubInstEntries,MSconst_RequireSubAttrEmissions,COUNTIFS(AC2339:AI2339,FALSE,H2339:N2339,"")&gt;0),EUconst_Error&amp;"BM"&amp;$Q2127,"")</f>
        <v/>
      </c>
      <c r="AL2339" s="2"/>
    </row>
    <row r="2340" spans="1:38" ht="12.75" customHeight="1" x14ac:dyDescent="0.25">
      <c r="A2340" s="2"/>
      <c r="B2340" s="178"/>
      <c r="C2340" s="779"/>
      <c r="D2340" s="416" t="s">
        <v>23</v>
      </c>
      <c r="E2340" s="2612" t="str">
        <f>Translations!$B$318</f>
        <v>Effektivt värmevärde</v>
      </c>
      <c r="F2340" s="2487"/>
      <c r="G2340" s="51" t="str">
        <f>IF(ISBLANK(G2339),EUconst_GJperUnit,INDEX(EUconst_GJperTorKNm3,MATCH(G2339,EUconst_TonnesOrkNm3pa,0)))</f>
        <v>GJ / Enhet</v>
      </c>
      <c r="H2340" s="1306"/>
      <c r="I2340" s="1307"/>
      <c r="J2340" s="1308"/>
      <c r="K2340" s="1306"/>
      <c r="L2340" s="1306"/>
      <c r="M2340" s="1306"/>
      <c r="N2340" s="1309"/>
      <c r="O2340" s="15"/>
      <c r="P2340" s="1362"/>
      <c r="Q2340" s="2"/>
      <c r="R2340" s="2"/>
      <c r="S2340" s="343"/>
      <c r="T2340" s="343"/>
      <c r="U2340" s="343"/>
      <c r="V2340" s="343"/>
      <c r="W2340" s="343"/>
      <c r="X2340" s="343"/>
      <c r="Y2340" s="343"/>
      <c r="Z2340" s="343"/>
      <c r="AA2340" s="2"/>
      <c r="AB2340" s="2"/>
      <c r="AC2340" s="108" t="b">
        <f>AC2339</f>
        <v>0</v>
      </c>
      <c r="AD2340" s="108" t="b">
        <f t="shared" ref="AD2340:AI2340" si="1058">AD2339</f>
        <v>0</v>
      </c>
      <c r="AE2340" s="108" t="b">
        <f t="shared" si="1058"/>
        <v>0</v>
      </c>
      <c r="AF2340" s="108" t="b">
        <f t="shared" si="1058"/>
        <v>0</v>
      </c>
      <c r="AG2340" s="108" t="b">
        <f t="shared" si="1058"/>
        <v>0</v>
      </c>
      <c r="AH2340" s="108" t="b">
        <f t="shared" si="1058"/>
        <v>0</v>
      </c>
      <c r="AI2340" s="108" t="b">
        <f t="shared" si="1058"/>
        <v>0</v>
      </c>
      <c r="AJ2340" s="553" t="s">
        <v>2248</v>
      </c>
      <c r="AK2340" s="663" t="str">
        <f>IF(AND(CNTR_ExistSubInstEntries,MSconst_RequireSubAttrEmissions,COUNTIFS(AC2340:AI2340,FALSE,H2340:N2340,"")&gt;0),EUconst_Error&amp;"BM"&amp;$Q2127,"")</f>
        <v/>
      </c>
      <c r="AL2340" s="2"/>
    </row>
    <row r="2341" spans="1:38" ht="12.75" customHeight="1" x14ac:dyDescent="0.25">
      <c r="A2341" s="2"/>
      <c r="B2341" s="178"/>
      <c r="C2341" s="779"/>
      <c r="D2341" s="416" t="s">
        <v>859</v>
      </c>
      <c r="E2341" s="2613" t="str">
        <f>Translations!$B$618</f>
        <v>Producerad restgas</v>
      </c>
      <c r="F2341" s="1997"/>
      <c r="G2341" s="364" t="str">
        <f>EUconst_TJpa</f>
        <v>TJ / år</v>
      </c>
      <c r="H2341" s="414" t="str">
        <f t="shared" ref="H2341:N2341" si="1059">IF(COUNT(H2339:H2340)=2,H2339*H2340/1000,"")</f>
        <v/>
      </c>
      <c r="I2341" s="1108" t="str">
        <f t="shared" si="1059"/>
        <v/>
      </c>
      <c r="J2341" s="1114" t="str">
        <f t="shared" si="1059"/>
        <v/>
      </c>
      <c r="K2341" s="414" t="str">
        <f t="shared" si="1059"/>
        <v/>
      </c>
      <c r="L2341" s="414" t="str">
        <f t="shared" si="1059"/>
        <v/>
      </c>
      <c r="M2341" s="414" t="str">
        <f t="shared" si="1059"/>
        <v/>
      </c>
      <c r="N2341" s="1147" t="str">
        <f t="shared" si="1059"/>
        <v/>
      </c>
      <c r="O2341" s="15"/>
      <c r="P2341" s="15"/>
      <c r="Q2341" s="165" t="str">
        <f>EUconst_CNTR_WGProduced &amp; I2127</f>
        <v>WasteGasProd_</v>
      </c>
      <c r="R2341" s="2"/>
      <c r="S2341" s="343"/>
      <c r="T2341" s="343"/>
      <c r="U2341" s="343"/>
      <c r="V2341" s="343"/>
      <c r="W2341" s="343"/>
      <c r="X2341" s="343"/>
      <c r="Y2341" s="343"/>
      <c r="Z2341" s="343"/>
      <c r="AA2341" s="2"/>
      <c r="AB2341" s="2"/>
      <c r="AC2341" s="2"/>
      <c r="AD2341" s="2"/>
      <c r="AE2341" s="2"/>
      <c r="AF2341" s="2"/>
      <c r="AG2341" s="2"/>
      <c r="AH2341" s="2"/>
      <c r="AI2341" s="2"/>
      <c r="AJ2341" s="2"/>
      <c r="AK2341" s="2"/>
      <c r="AL2341" s="2"/>
    </row>
    <row r="2342" spans="1:38" ht="12.75" customHeight="1" x14ac:dyDescent="0.25">
      <c r="A2342" s="2"/>
      <c r="B2342" s="178"/>
      <c r="C2342" s="779"/>
      <c r="D2342" s="416" t="s">
        <v>860</v>
      </c>
      <c r="E2342" s="2613" t="str">
        <f>Translations!$B$619</f>
        <v>Särskild emissionsfaktor (producerad restgas)</v>
      </c>
      <c r="F2342" s="1997"/>
      <c r="G2342" s="364" t="str">
        <f>EUconst_tCO2pTJ</f>
        <v>t CO2 / TJ</v>
      </c>
      <c r="H2342" s="582"/>
      <c r="I2342" s="1105"/>
      <c r="J2342" s="1115"/>
      <c r="K2342" s="582"/>
      <c r="L2342" s="582"/>
      <c r="M2342" s="582"/>
      <c r="N2342" s="1146"/>
      <c r="O2342" s="15"/>
      <c r="P2342" s="1362"/>
      <c r="Q2342" s="165" t="str">
        <f>EUconst_CNTR_WGProducedEF &amp; I2127</f>
        <v>WasteGasProdEF_</v>
      </c>
      <c r="R2342" s="2"/>
      <c r="S2342" s="343"/>
      <c r="T2342" s="343"/>
      <c r="U2342" s="343"/>
      <c r="V2342" s="343"/>
      <c r="W2342" s="343"/>
      <c r="X2342" s="343"/>
      <c r="Y2342" s="343"/>
      <c r="Z2342" s="343"/>
      <c r="AA2342" s="2"/>
      <c r="AB2342" s="672" t="s">
        <v>782</v>
      </c>
      <c r="AC2342" s="108" t="b">
        <f>AC2340</f>
        <v>0</v>
      </c>
      <c r="AD2342" s="108" t="b">
        <f t="shared" ref="AD2342:AI2342" si="1060">AD2340</f>
        <v>0</v>
      </c>
      <c r="AE2342" s="108" t="b">
        <f t="shared" si="1060"/>
        <v>0</v>
      </c>
      <c r="AF2342" s="108" t="b">
        <f t="shared" si="1060"/>
        <v>0</v>
      </c>
      <c r="AG2342" s="108" t="b">
        <f t="shared" si="1060"/>
        <v>0</v>
      </c>
      <c r="AH2342" s="108" t="b">
        <f t="shared" si="1060"/>
        <v>0</v>
      </c>
      <c r="AI2342" s="108" t="b">
        <f t="shared" si="1060"/>
        <v>0</v>
      </c>
      <c r="AJ2342" s="553" t="s">
        <v>2248</v>
      </c>
      <c r="AK2342" s="663" t="str">
        <f>IF(AND(CNTR_ExistSubInstEntries,MSconst_RequireSubAttrEmissions,COUNTIFS(AC2342:AI2342,FALSE,H2342:N2342,"")&gt;0),EUconst_Error&amp;"BM"&amp;$Q2127,"")</f>
        <v/>
      </c>
      <c r="AL2342" s="2"/>
    </row>
    <row r="2343" spans="1:38" ht="12.75" customHeight="1" x14ac:dyDescent="0.25">
      <c r="A2343" s="2"/>
      <c r="B2343" s="178"/>
      <c r="C2343" s="779"/>
      <c r="D2343" s="780"/>
      <c r="E2343" s="780"/>
      <c r="F2343" s="780"/>
      <c r="G2343" s="780"/>
      <c r="H2343" s="1805"/>
      <c r="I2343" s="780"/>
      <c r="J2343" s="780"/>
      <c r="K2343" s="780"/>
      <c r="L2343" s="780"/>
      <c r="M2343" s="623"/>
      <c r="N2343" s="519"/>
      <c r="O2343" s="15"/>
      <c r="P2343" s="15"/>
      <c r="Q2343" s="343"/>
      <c r="R2343" s="2"/>
      <c r="S2343" s="343"/>
      <c r="T2343" s="343"/>
      <c r="U2343" s="343"/>
      <c r="V2343" s="343"/>
      <c r="W2343" s="343"/>
      <c r="X2343" s="343"/>
      <c r="Y2343" s="343"/>
      <c r="Z2343" s="343"/>
      <c r="AA2343" s="2"/>
      <c r="AB2343" s="2"/>
      <c r="AC2343" s="2"/>
      <c r="AD2343" s="2"/>
      <c r="AE2343" s="2"/>
      <c r="AF2343" s="2"/>
      <c r="AG2343" s="2"/>
      <c r="AH2343" s="2"/>
      <c r="AI2343" s="2"/>
      <c r="AJ2343" s="2"/>
      <c r="AK2343" s="2"/>
      <c r="AL2343" s="2"/>
    </row>
    <row r="2344" spans="1:38" ht="12.75" customHeight="1" x14ac:dyDescent="0.25">
      <c r="A2344" s="2"/>
      <c r="B2344" s="178"/>
      <c r="C2344" s="779"/>
      <c r="D2344" s="416" t="s">
        <v>861</v>
      </c>
      <c r="E2344" s="2614" t="str">
        <f>Translations!$B$620</f>
        <v>Typer av restgaser som förbrukas:</v>
      </c>
      <c r="F2344" s="1960"/>
      <c r="G2344" s="1960"/>
      <c r="H2344" s="2520"/>
      <c r="I2344" s="2621"/>
      <c r="J2344" s="2510"/>
      <c r="K2344" s="2510"/>
      <c r="L2344" s="2510"/>
      <c r="M2344" s="2511"/>
      <c r="N2344" s="1807"/>
      <c r="O2344" s="15"/>
      <c r="P2344" s="1362"/>
      <c r="Q2344" s="343"/>
      <c r="R2344" s="2"/>
      <c r="S2344" s="343"/>
      <c r="T2344" s="343"/>
      <c r="U2344" s="343"/>
      <c r="V2344" s="343"/>
      <c r="W2344" s="343"/>
      <c r="X2344" s="343"/>
      <c r="Y2344" s="343"/>
      <c r="Z2344" s="343"/>
      <c r="AA2344" s="2"/>
      <c r="AB2344" s="2"/>
      <c r="AC2344" s="672" t="s">
        <v>782</v>
      </c>
      <c r="AD2344" s="108" t="b">
        <f>AD2335</f>
        <v>0</v>
      </c>
      <c r="AE2344" s="2"/>
      <c r="AF2344" s="2"/>
      <c r="AG2344" s="2"/>
      <c r="AH2344" s="2"/>
      <c r="AI2344" s="2"/>
      <c r="AJ2344" s="2"/>
      <c r="AK2344" s="2"/>
      <c r="AL2344" s="2"/>
    </row>
    <row r="2345" spans="1:38" ht="25.5" customHeight="1" x14ac:dyDescent="0.25">
      <c r="A2345" s="2"/>
      <c r="B2345" s="178"/>
      <c r="C2345" s="779"/>
      <c r="D2345" s="416"/>
      <c r="E2345" s="2610" t="str">
        <f>Translations!$B$621</f>
        <v>Detta innefattar alla restgastyper som förbrukas av delanläggningen för produktion av mätbar värme, icke-mätbar värme (inklusive för säkerhetsfackling) eller mekanisk energi (annan än för elproduktion). Mängden avgaser för fackling utom för säkerhetsfackling bör rapporteras i nästa punkt nedan.</v>
      </c>
      <c r="F2345" s="1960"/>
      <c r="G2345" s="1960"/>
      <c r="H2345" s="1960"/>
      <c r="I2345" s="1960"/>
      <c r="J2345" s="1960"/>
      <c r="K2345" s="1960"/>
      <c r="L2345" s="1960"/>
      <c r="M2345" s="1960"/>
      <c r="N2345" s="2597"/>
      <c r="O2345" s="15"/>
      <c r="P2345" s="15"/>
      <c r="Q2345" s="343"/>
      <c r="R2345" s="2"/>
      <c r="S2345" s="343"/>
      <c r="T2345" s="343"/>
      <c r="U2345" s="343"/>
      <c r="V2345" s="343"/>
      <c r="W2345" s="343"/>
      <c r="X2345" s="343"/>
      <c r="Y2345" s="343"/>
      <c r="Z2345" s="343"/>
      <c r="AA2345" s="2"/>
      <c r="AB2345" s="2"/>
      <c r="AC2345" s="2"/>
      <c r="AD2345" s="2"/>
      <c r="AE2345" s="2"/>
      <c r="AF2345" s="2"/>
      <c r="AG2345" s="2"/>
      <c r="AH2345" s="2"/>
      <c r="AI2345" s="2"/>
      <c r="AJ2345" s="2"/>
      <c r="AK2345" s="2"/>
      <c r="AL2345" s="2"/>
    </row>
    <row r="2346" spans="1:38" ht="12.75" customHeight="1" x14ac:dyDescent="0.25">
      <c r="A2346" s="2"/>
      <c r="B2346" s="178"/>
      <c r="C2346" s="779"/>
      <c r="D2346" s="780"/>
      <c r="E2346" s="2596" t="str">
        <f>Translations!$B$570</f>
        <v>De uppgifter som anges här används bara för konsekvenskontroll och har ingen direkt inverkan på vare sig de utsläpp som kan tillskrivas eller tilldelningen.</v>
      </c>
      <c r="F2346" s="1960"/>
      <c r="G2346" s="1960"/>
      <c r="H2346" s="1960"/>
      <c r="I2346" s="1960"/>
      <c r="J2346" s="1960"/>
      <c r="K2346" s="1960"/>
      <c r="L2346" s="1960"/>
      <c r="M2346" s="1960"/>
      <c r="N2346" s="2597"/>
      <c r="O2346" s="15"/>
      <c r="P2346" s="15"/>
      <c r="Q2346" s="343"/>
      <c r="R2346" s="2"/>
      <c r="S2346" s="343"/>
      <c r="T2346" s="343"/>
      <c r="U2346" s="343"/>
      <c r="V2346" s="343"/>
      <c r="W2346" s="343"/>
      <c r="X2346" s="343"/>
      <c r="Y2346" s="343"/>
      <c r="Z2346" s="343"/>
      <c r="AA2346" s="2"/>
      <c r="AB2346" s="2"/>
      <c r="AC2346" s="2"/>
      <c r="AD2346" s="2"/>
      <c r="AE2346" s="2"/>
      <c r="AF2346" s="2"/>
      <c r="AG2346" s="2"/>
      <c r="AH2346" s="2"/>
      <c r="AI2346" s="2"/>
      <c r="AJ2346" s="2"/>
      <c r="AK2346" s="2"/>
      <c r="AL2346" s="2"/>
    </row>
    <row r="2347" spans="1:38" ht="12.75" customHeight="1" thickBot="1" x14ac:dyDescent="0.3">
      <c r="A2347" s="2"/>
      <c r="B2347" s="178"/>
      <c r="C2347" s="779"/>
      <c r="D2347" s="780"/>
      <c r="E2347" s="1716"/>
      <c r="F2347" s="1717"/>
      <c r="G2347" s="361" t="str">
        <f>EUconst_Unit</f>
        <v>Enhet</v>
      </c>
      <c r="H2347" s="362">
        <f t="shared" ref="H2347:N2347" si="1061">H$3042</f>
        <v>2019</v>
      </c>
      <c r="I2347" s="1103">
        <f t="shared" si="1061"/>
        <v>2020</v>
      </c>
      <c r="J2347" s="1104">
        <f t="shared" si="1061"/>
        <v>2021</v>
      </c>
      <c r="K2347" s="362">
        <f t="shared" si="1061"/>
        <v>2022</v>
      </c>
      <c r="L2347" s="362">
        <f t="shared" si="1061"/>
        <v>2023</v>
      </c>
      <c r="M2347" s="362">
        <f t="shared" si="1061"/>
        <v>2024</v>
      </c>
      <c r="N2347" s="1141">
        <f t="shared" si="1061"/>
        <v>2025</v>
      </c>
      <c r="O2347" s="15"/>
      <c r="P2347" s="15"/>
      <c r="Q2347" s="343"/>
      <c r="R2347" s="2"/>
      <c r="S2347" s="343"/>
      <c r="T2347" s="343"/>
      <c r="U2347" s="343"/>
      <c r="V2347" s="343"/>
      <c r="W2347" s="343"/>
      <c r="X2347" s="343"/>
      <c r="Y2347" s="343"/>
      <c r="Z2347" s="343"/>
      <c r="AA2347" s="2"/>
      <c r="AB2347" s="2"/>
      <c r="AC2347" s="1044">
        <f t="shared" ref="AC2347:AI2347" si="1062">H$20</f>
        <v>2019</v>
      </c>
      <c r="AD2347" s="1044">
        <f t="shared" si="1062"/>
        <v>2020</v>
      </c>
      <c r="AE2347" s="1044">
        <f t="shared" si="1062"/>
        <v>2021</v>
      </c>
      <c r="AF2347" s="1044">
        <f t="shared" si="1062"/>
        <v>2022</v>
      </c>
      <c r="AG2347" s="1044">
        <f t="shared" si="1062"/>
        <v>2023</v>
      </c>
      <c r="AH2347" s="1044">
        <f t="shared" si="1062"/>
        <v>2024</v>
      </c>
      <c r="AI2347" s="1044">
        <f t="shared" si="1062"/>
        <v>2025</v>
      </c>
      <c r="AJ2347" s="2"/>
      <c r="AK2347" s="2"/>
      <c r="AL2347" s="2"/>
    </row>
    <row r="2348" spans="1:38" ht="12.75" customHeight="1" x14ac:dyDescent="0.25">
      <c r="A2348" s="2"/>
      <c r="B2348" s="178"/>
      <c r="C2348" s="779"/>
      <c r="D2348" s="416" t="s">
        <v>862</v>
      </c>
      <c r="E2348" s="2611" t="str">
        <f>Translations!$B$622</f>
        <v>Förbrukade mängder</v>
      </c>
      <c r="F2348" s="2484"/>
      <c r="G2348" s="1314"/>
      <c r="H2348" s="1298"/>
      <c r="I2348" s="1299"/>
      <c r="J2348" s="1300"/>
      <c r="K2348" s="1298"/>
      <c r="L2348" s="1298"/>
      <c r="M2348" s="1298"/>
      <c r="N2348" s="1301"/>
      <c r="O2348" s="15"/>
      <c r="P2348" s="1362"/>
      <c r="Q2348" s="343"/>
      <c r="R2348" s="2"/>
      <c r="S2348" s="343"/>
      <c r="T2348" s="343"/>
      <c r="U2348" s="343"/>
      <c r="V2348" s="343"/>
      <c r="W2348" s="343"/>
      <c r="X2348" s="343"/>
      <c r="Y2348" s="343"/>
      <c r="Z2348" s="343"/>
      <c r="AA2348" s="2"/>
      <c r="AB2348" s="672" t="s">
        <v>782</v>
      </c>
      <c r="AC2348" s="108" t="b">
        <f>AC2339</f>
        <v>0</v>
      </c>
      <c r="AD2348" s="108" t="b">
        <f t="shared" ref="AD2348:AI2348" si="1063">AD2339</f>
        <v>0</v>
      </c>
      <c r="AE2348" s="108" t="b">
        <f t="shared" si="1063"/>
        <v>0</v>
      </c>
      <c r="AF2348" s="108" t="b">
        <f t="shared" si="1063"/>
        <v>0</v>
      </c>
      <c r="AG2348" s="108" t="b">
        <f t="shared" si="1063"/>
        <v>0</v>
      </c>
      <c r="AH2348" s="108" t="b">
        <f t="shared" si="1063"/>
        <v>0</v>
      </c>
      <c r="AI2348" s="108" t="b">
        <f t="shared" si="1063"/>
        <v>0</v>
      </c>
      <c r="AJ2348" s="553" t="s">
        <v>2248</v>
      </c>
      <c r="AK2348" s="663" t="str">
        <f>IF(AND(CNTR_ExistSubInstEntries,MSconst_RequireSubAttrEmissions,COUNTIFS(AC2348:AI2348,FALSE,H2348:N2348,"")&gt;0),EUconst_Error&amp;"BM"&amp;$Q2127,"")</f>
        <v/>
      </c>
      <c r="AL2348" s="2"/>
    </row>
    <row r="2349" spans="1:38" ht="12.75" customHeight="1" x14ac:dyDescent="0.25">
      <c r="A2349" s="2"/>
      <c r="B2349" s="178"/>
      <c r="C2349" s="779"/>
      <c r="D2349" s="416" t="s">
        <v>863</v>
      </c>
      <c r="E2349" s="2612" t="str">
        <f>Translations!$B$318</f>
        <v>Effektivt värmevärde</v>
      </c>
      <c r="F2349" s="2487"/>
      <c r="G2349" s="51" t="str">
        <f>IF(ISBLANK(G2348),EUconst_GJperUnit,INDEX(EUconst_GJperTorKNm3,MATCH(G2348,EUconst_TonnesOrkNm3pa,0)))</f>
        <v>GJ / Enhet</v>
      </c>
      <c r="H2349" s="1306"/>
      <c r="I2349" s="1307"/>
      <c r="J2349" s="1308"/>
      <c r="K2349" s="1306"/>
      <c r="L2349" s="1306"/>
      <c r="M2349" s="1306"/>
      <c r="N2349" s="1309"/>
      <c r="O2349" s="15"/>
      <c r="P2349" s="1362"/>
      <c r="Q2349" s="2"/>
      <c r="R2349" s="2"/>
      <c r="S2349" s="343"/>
      <c r="T2349" s="343"/>
      <c r="U2349" s="343"/>
      <c r="V2349" s="343"/>
      <c r="W2349" s="343"/>
      <c r="X2349" s="343"/>
      <c r="Y2349" s="343"/>
      <c r="Z2349" s="343"/>
      <c r="AA2349" s="2"/>
      <c r="AB2349" s="2"/>
      <c r="AC2349" s="108" t="b">
        <f>AC2348</f>
        <v>0</v>
      </c>
      <c r="AD2349" s="108" t="b">
        <f t="shared" ref="AD2349:AI2349" si="1064">AD2348</f>
        <v>0</v>
      </c>
      <c r="AE2349" s="108" t="b">
        <f t="shared" si="1064"/>
        <v>0</v>
      </c>
      <c r="AF2349" s="108" t="b">
        <f t="shared" si="1064"/>
        <v>0</v>
      </c>
      <c r="AG2349" s="108" t="b">
        <f t="shared" si="1064"/>
        <v>0</v>
      </c>
      <c r="AH2349" s="108" t="b">
        <f t="shared" si="1064"/>
        <v>0</v>
      </c>
      <c r="AI2349" s="108" t="b">
        <f t="shared" si="1064"/>
        <v>0</v>
      </c>
      <c r="AJ2349" s="553" t="s">
        <v>2248</v>
      </c>
      <c r="AK2349" s="663" t="str">
        <f>IF(AND(CNTR_ExistSubInstEntries,MSconst_RequireSubAttrEmissions,COUNTIFS(AC2349:AI2349,FALSE,H2349:N2349,"")&gt;0),EUconst_Error&amp;"BM"&amp;$Q2127,"")</f>
        <v/>
      </c>
      <c r="AL2349" s="2"/>
    </row>
    <row r="2350" spans="1:38" ht="12.75" customHeight="1" x14ac:dyDescent="0.25">
      <c r="A2350" s="2"/>
      <c r="B2350" s="178"/>
      <c r="C2350" s="779"/>
      <c r="D2350" s="416" t="s">
        <v>72</v>
      </c>
      <c r="E2350" s="2613" t="str">
        <f>Translations!$B$623</f>
        <v>Förbrukad restgas</v>
      </c>
      <c r="F2350" s="1997"/>
      <c r="G2350" s="364" t="str">
        <f>EUconst_TJpa</f>
        <v>TJ / år</v>
      </c>
      <c r="H2350" s="414" t="str">
        <f t="shared" ref="H2350:N2350" si="1065">IF(COUNT(H2348:H2349)=2,H2348*H2349/1000,"")</f>
        <v/>
      </c>
      <c r="I2350" s="1108" t="str">
        <f t="shared" si="1065"/>
        <v/>
      </c>
      <c r="J2350" s="1114" t="str">
        <f t="shared" si="1065"/>
        <v/>
      </c>
      <c r="K2350" s="414" t="str">
        <f t="shared" si="1065"/>
        <v/>
      </c>
      <c r="L2350" s="414" t="str">
        <f t="shared" si="1065"/>
        <v/>
      </c>
      <c r="M2350" s="414" t="str">
        <f t="shared" si="1065"/>
        <v/>
      </c>
      <c r="N2350" s="1147" t="str">
        <f t="shared" si="1065"/>
        <v/>
      </c>
      <c r="O2350" s="15"/>
      <c r="P2350" s="15"/>
      <c r="Q2350" s="165" t="str">
        <f>EUconst_CNTR_WGConsumed &amp; I2127</f>
        <v>WasteGasCons_</v>
      </c>
      <c r="R2350" s="2"/>
      <c r="S2350" s="343"/>
      <c r="T2350" s="343"/>
      <c r="U2350" s="343"/>
      <c r="V2350" s="343"/>
      <c r="W2350" s="343"/>
      <c r="X2350" s="343"/>
      <c r="Y2350" s="343"/>
      <c r="Z2350" s="343"/>
      <c r="AA2350" s="2"/>
      <c r="AB2350" s="2"/>
      <c r="AC2350" s="2"/>
      <c r="AD2350" s="2"/>
      <c r="AE2350" s="2"/>
      <c r="AF2350" s="2"/>
      <c r="AG2350" s="2"/>
      <c r="AH2350" s="2"/>
      <c r="AI2350" s="2"/>
      <c r="AJ2350" s="2"/>
      <c r="AK2350" s="2"/>
      <c r="AL2350" s="2"/>
    </row>
    <row r="2351" spans="1:38" ht="12.75" customHeight="1" x14ac:dyDescent="0.25">
      <c r="A2351" s="2"/>
      <c r="B2351" s="178"/>
      <c r="C2351" s="779"/>
      <c r="D2351" s="416" t="s">
        <v>73</v>
      </c>
      <c r="E2351" s="2613" t="str">
        <f>Translations!$B$624</f>
        <v>Särskild emissionsfaktor (förbrukad restgas)</v>
      </c>
      <c r="F2351" s="1997"/>
      <c r="G2351" s="364" t="str">
        <f>EUconst_tCO2pTJ</f>
        <v>t CO2 / TJ</v>
      </c>
      <c r="H2351" s="582"/>
      <c r="I2351" s="1105"/>
      <c r="J2351" s="1115"/>
      <c r="K2351" s="582"/>
      <c r="L2351" s="582"/>
      <c r="M2351" s="582"/>
      <c r="N2351" s="1146"/>
      <c r="O2351" s="15"/>
      <c r="P2351" s="1362"/>
      <c r="Q2351" s="165" t="str">
        <f>EUconst_CNTR_WGConsumedEF &amp; I2127</f>
        <v>WasteGasConsEF_</v>
      </c>
      <c r="R2351" s="2"/>
      <c r="S2351" s="343"/>
      <c r="T2351" s="343"/>
      <c r="U2351" s="343"/>
      <c r="V2351" s="343"/>
      <c r="W2351" s="343"/>
      <c r="X2351" s="343"/>
      <c r="Y2351" s="343"/>
      <c r="Z2351" s="343"/>
      <c r="AA2351" s="2"/>
      <c r="AB2351" s="672" t="s">
        <v>782</v>
      </c>
      <c r="AC2351" s="108" t="b">
        <f>AC2349</f>
        <v>0</v>
      </c>
      <c r="AD2351" s="108" t="b">
        <f t="shared" ref="AD2351:AI2351" si="1066">AD2349</f>
        <v>0</v>
      </c>
      <c r="AE2351" s="108" t="b">
        <f t="shared" si="1066"/>
        <v>0</v>
      </c>
      <c r="AF2351" s="108" t="b">
        <f t="shared" si="1066"/>
        <v>0</v>
      </c>
      <c r="AG2351" s="108" t="b">
        <f t="shared" si="1066"/>
        <v>0</v>
      </c>
      <c r="AH2351" s="108" t="b">
        <f t="shared" si="1066"/>
        <v>0</v>
      </c>
      <c r="AI2351" s="108" t="b">
        <f t="shared" si="1066"/>
        <v>0</v>
      </c>
      <c r="AJ2351" s="553" t="s">
        <v>2248</v>
      </c>
      <c r="AK2351" s="663" t="str">
        <f>IF(AND(CNTR_ExistSubInstEntries,MSconst_RequireSubAttrEmissions,COUNTIFS(AC2351:AI2351,FALSE,H2351:N2351,"")&gt;0),EUconst_Error&amp;"BM"&amp;$Q2127,"")</f>
        <v/>
      </c>
      <c r="AL2351" s="2"/>
    </row>
    <row r="2352" spans="1:38" ht="12.75" customHeight="1" x14ac:dyDescent="0.25">
      <c r="A2352" s="2"/>
      <c r="B2352" s="178"/>
      <c r="C2352" s="779"/>
      <c r="D2352" s="780"/>
      <c r="E2352" s="780"/>
      <c r="F2352" s="780"/>
      <c r="G2352" s="780"/>
      <c r="H2352" s="1805"/>
      <c r="I2352" s="780"/>
      <c r="J2352" s="780"/>
      <c r="K2352" s="780"/>
      <c r="L2352" s="780"/>
      <c r="M2352" s="623"/>
      <c r="N2352" s="519"/>
      <c r="O2352" s="15"/>
      <c r="P2352" s="15"/>
      <c r="Q2352" s="343"/>
      <c r="R2352" s="2"/>
      <c r="S2352" s="343"/>
      <c r="T2352" s="343"/>
      <c r="U2352" s="343"/>
      <c r="V2352" s="343"/>
      <c r="W2352" s="2"/>
      <c r="X2352" s="2"/>
      <c r="Y2352" s="2"/>
      <c r="Z2352" s="2"/>
      <c r="AA2352" s="2"/>
      <c r="AB2352" s="2"/>
      <c r="AC2352" s="2"/>
      <c r="AD2352" s="2"/>
      <c r="AE2352" s="2"/>
      <c r="AF2352" s="2"/>
      <c r="AG2352" s="2"/>
      <c r="AH2352" s="2"/>
      <c r="AI2352" s="2"/>
      <c r="AJ2352" s="2"/>
      <c r="AK2352" s="2"/>
      <c r="AL2352" s="2"/>
    </row>
    <row r="2353" spans="1:38" ht="12.75" customHeight="1" x14ac:dyDescent="0.25">
      <c r="A2353" s="2"/>
      <c r="B2353" s="178"/>
      <c r="C2353" s="779"/>
      <c r="D2353" s="416" t="s">
        <v>74</v>
      </c>
      <c r="E2353" s="2614" t="str">
        <f>Translations!$B$625</f>
        <v>Facklade restgastyper:</v>
      </c>
      <c r="F2353" s="1960"/>
      <c r="G2353" s="1960"/>
      <c r="H2353" s="2520"/>
      <c r="I2353" s="2621"/>
      <c r="J2353" s="2510"/>
      <c r="K2353" s="2510"/>
      <c r="L2353" s="2510"/>
      <c r="M2353" s="2511"/>
      <c r="N2353" s="1807"/>
      <c r="O2353" s="15"/>
      <c r="P2353" s="1362"/>
      <c r="Q2353" s="343"/>
      <c r="R2353" s="2"/>
      <c r="S2353" s="343"/>
      <c r="T2353" s="2"/>
      <c r="U2353" s="2"/>
      <c r="V2353" s="2"/>
      <c r="W2353" s="2"/>
      <c r="X2353" s="2"/>
      <c r="Y2353" s="2"/>
      <c r="Z2353" s="2"/>
      <c r="AA2353" s="2"/>
      <c r="AB2353" s="2"/>
      <c r="AC2353" s="672" t="s">
        <v>782</v>
      </c>
      <c r="AD2353" s="108" t="b">
        <f>AD2344</f>
        <v>0</v>
      </c>
      <c r="AE2353" s="2"/>
      <c r="AF2353" s="2"/>
      <c r="AG2353" s="2"/>
      <c r="AH2353" s="2"/>
      <c r="AI2353" s="2"/>
      <c r="AJ2353" s="2"/>
      <c r="AK2353" s="2"/>
      <c r="AL2353" s="2"/>
    </row>
    <row r="2354" spans="1:38" ht="12.75" customHeight="1" x14ac:dyDescent="0.25">
      <c r="A2354" s="2"/>
      <c r="B2354" s="178"/>
      <c r="C2354" s="779"/>
      <c r="D2354" s="416"/>
      <c r="E2354" s="2610" t="str">
        <f>Translations!$B$626</f>
        <v>Detta innefattar alla restgastyper som i slutändan blir föremål för annan fackling än säkerhetsfackling, antingen inom eller utanför delanläggningen.</v>
      </c>
      <c r="F2354" s="1960"/>
      <c r="G2354" s="1960"/>
      <c r="H2354" s="1960"/>
      <c r="I2354" s="1960"/>
      <c r="J2354" s="1960"/>
      <c r="K2354" s="1960"/>
      <c r="L2354" s="1960"/>
      <c r="M2354" s="1960"/>
      <c r="N2354" s="2597"/>
      <c r="O2354" s="15"/>
      <c r="P2354" s="15"/>
      <c r="Q2354" s="343"/>
      <c r="R2354" s="2"/>
      <c r="S2354" s="2"/>
      <c r="T2354" s="343"/>
      <c r="U2354" s="343"/>
      <c r="V2354" s="343"/>
      <c r="W2354" s="2"/>
      <c r="X2354" s="2"/>
      <c r="Y2354" s="2"/>
      <c r="Z2354" s="2"/>
      <c r="AA2354" s="2"/>
      <c r="AB2354" s="2"/>
      <c r="AC2354" s="2"/>
      <c r="AD2354" s="2"/>
      <c r="AE2354" s="2"/>
      <c r="AF2354" s="2"/>
      <c r="AG2354" s="2"/>
      <c r="AH2354" s="2"/>
      <c r="AI2354" s="2"/>
      <c r="AJ2354" s="2"/>
      <c r="AK2354" s="2"/>
      <c r="AL2354" s="2"/>
    </row>
    <row r="2355" spans="1:38" ht="12.75" customHeight="1" x14ac:dyDescent="0.25">
      <c r="A2355" s="2"/>
      <c r="B2355" s="178"/>
      <c r="C2355" s="779"/>
      <c r="D2355" s="780"/>
      <c r="E2355" s="2610" t="str">
        <f>Translations!$B$627</f>
        <v>De uppgifter som anges här används bara i konsekvenskontrollsyfte och får ingen direkt påverkan på de utsläpp som kan tillskrivas.</v>
      </c>
      <c r="F2355" s="1960"/>
      <c r="G2355" s="1960"/>
      <c r="H2355" s="1960"/>
      <c r="I2355" s="1960"/>
      <c r="J2355" s="1960"/>
      <c r="K2355" s="1960"/>
      <c r="L2355" s="1960"/>
      <c r="M2355" s="1960"/>
      <c r="N2355" s="2597"/>
      <c r="O2355" s="15"/>
      <c r="P2355" s="15"/>
      <c r="Q2355" s="343"/>
      <c r="R2355" s="2"/>
      <c r="S2355" s="343"/>
      <c r="T2355" s="343"/>
      <c r="U2355" s="343"/>
      <c r="V2355" s="343"/>
      <c r="W2355" s="2"/>
      <c r="X2355" s="2"/>
      <c r="Y2355" s="2"/>
      <c r="Z2355" s="2"/>
      <c r="AA2355" s="2"/>
      <c r="AB2355" s="2"/>
      <c r="AC2355" s="2"/>
      <c r="AD2355" s="2"/>
      <c r="AE2355" s="2"/>
      <c r="AF2355" s="2"/>
      <c r="AG2355" s="2"/>
      <c r="AH2355" s="2"/>
      <c r="AI2355" s="2"/>
      <c r="AJ2355" s="2"/>
      <c r="AK2355" s="2"/>
      <c r="AL2355" s="2"/>
    </row>
    <row r="2356" spans="1:38" ht="12.75" customHeight="1" x14ac:dyDescent="0.25">
      <c r="A2356" s="2"/>
      <c r="B2356" s="178"/>
      <c r="C2356" s="779"/>
      <c r="D2356" s="780"/>
      <c r="E2356" s="2596" t="str">
        <f>Translations!$B$628</f>
        <v>Från och med 2026 kommer dock tilldelningen att minskas med avseende på annan fackling av restgaser än säkerhetsfackling.</v>
      </c>
      <c r="F2356" s="1960"/>
      <c r="G2356" s="1960"/>
      <c r="H2356" s="1960"/>
      <c r="I2356" s="1960"/>
      <c r="J2356" s="1960"/>
      <c r="K2356" s="1960"/>
      <c r="L2356" s="1960"/>
      <c r="M2356" s="1960"/>
      <c r="N2356" s="2597"/>
      <c r="O2356" s="15"/>
      <c r="P2356" s="15"/>
      <c r="Q2356" s="343"/>
      <c r="R2356" s="2"/>
      <c r="S2356" s="343"/>
      <c r="T2356" s="343"/>
      <c r="U2356" s="343"/>
      <c r="V2356" s="343"/>
      <c r="W2356" s="343"/>
      <c r="X2356" s="343"/>
      <c r="Y2356" s="343"/>
      <c r="Z2356" s="343"/>
      <c r="AA2356" s="2"/>
      <c r="AB2356" s="2"/>
      <c r="AC2356" s="2"/>
      <c r="AD2356" s="2"/>
      <c r="AE2356" s="2"/>
      <c r="AF2356" s="2"/>
      <c r="AG2356" s="2"/>
      <c r="AH2356" s="2"/>
      <c r="AI2356" s="2"/>
      <c r="AJ2356" s="2"/>
      <c r="AK2356" s="2"/>
      <c r="AL2356" s="2"/>
    </row>
    <row r="2357" spans="1:38" ht="12.75" customHeight="1" thickBot="1" x14ac:dyDescent="0.3">
      <c r="A2357" s="2"/>
      <c r="B2357" s="178"/>
      <c r="C2357" s="779"/>
      <c r="D2357" s="780"/>
      <c r="E2357" s="1716"/>
      <c r="F2357" s="1717"/>
      <c r="G2357" s="361" t="str">
        <f>EUconst_Unit</f>
        <v>Enhet</v>
      </c>
      <c r="H2357" s="362">
        <f t="shared" ref="H2357:N2357" si="1067">H$3042</f>
        <v>2019</v>
      </c>
      <c r="I2357" s="1103">
        <f t="shared" si="1067"/>
        <v>2020</v>
      </c>
      <c r="J2357" s="1104">
        <f t="shared" si="1067"/>
        <v>2021</v>
      </c>
      <c r="K2357" s="362">
        <f t="shared" si="1067"/>
        <v>2022</v>
      </c>
      <c r="L2357" s="362">
        <f t="shared" si="1067"/>
        <v>2023</v>
      </c>
      <c r="M2357" s="362">
        <f t="shared" si="1067"/>
        <v>2024</v>
      </c>
      <c r="N2357" s="1141">
        <f t="shared" si="1067"/>
        <v>2025</v>
      </c>
      <c r="O2357" s="15"/>
      <c r="P2357" s="15"/>
      <c r="Q2357" s="343"/>
      <c r="R2357" s="2"/>
      <c r="S2357" s="343"/>
      <c r="T2357" s="343"/>
      <c r="U2357" s="343"/>
      <c r="V2357" s="343"/>
      <c r="W2357" s="343"/>
      <c r="X2357" s="343"/>
      <c r="Y2357" s="343"/>
      <c r="Z2357" s="343"/>
      <c r="AA2357" s="2"/>
      <c r="AB2357" s="2"/>
      <c r="AC2357" s="1044">
        <f t="shared" ref="AC2357:AI2357" si="1068">H$20</f>
        <v>2019</v>
      </c>
      <c r="AD2357" s="1044">
        <f t="shared" si="1068"/>
        <v>2020</v>
      </c>
      <c r="AE2357" s="1044">
        <f t="shared" si="1068"/>
        <v>2021</v>
      </c>
      <c r="AF2357" s="1044">
        <f t="shared" si="1068"/>
        <v>2022</v>
      </c>
      <c r="AG2357" s="1044">
        <f t="shared" si="1068"/>
        <v>2023</v>
      </c>
      <c r="AH2357" s="1044">
        <f t="shared" si="1068"/>
        <v>2024</v>
      </c>
      <c r="AI2357" s="1044">
        <f t="shared" si="1068"/>
        <v>2025</v>
      </c>
      <c r="AJ2357" s="2"/>
      <c r="AK2357" s="2"/>
      <c r="AL2357" s="2"/>
    </row>
    <row r="2358" spans="1:38" ht="12.75" customHeight="1" x14ac:dyDescent="0.25">
      <c r="A2358" s="2"/>
      <c r="B2358" s="178"/>
      <c r="C2358" s="779"/>
      <c r="D2358" s="416" t="s">
        <v>1201</v>
      </c>
      <c r="E2358" s="2611" t="str">
        <f>Translations!$B$629</f>
        <v>Facklade mängder</v>
      </c>
      <c r="F2358" s="2484"/>
      <c r="G2358" s="1314" t="s">
        <v>2202</v>
      </c>
      <c r="H2358" s="1298"/>
      <c r="I2358" s="1299"/>
      <c r="J2358" s="1300"/>
      <c r="K2358" s="1298"/>
      <c r="L2358" s="1298"/>
      <c r="M2358" s="1298"/>
      <c r="N2358" s="1301"/>
      <c r="O2358" s="15"/>
      <c r="P2358" s="1362"/>
      <c r="Q2358" s="343"/>
      <c r="R2358" s="2"/>
      <c r="S2358" s="343"/>
      <c r="T2358" s="343"/>
      <c r="U2358" s="343"/>
      <c r="V2358" s="343"/>
      <c r="W2358" s="343"/>
      <c r="X2358" s="343"/>
      <c r="Y2358" s="343"/>
      <c r="Z2358" s="343"/>
      <c r="AA2358" s="2"/>
      <c r="AB2358" s="672" t="s">
        <v>782</v>
      </c>
      <c r="AC2358" s="108" t="b">
        <f>AC2348</f>
        <v>0</v>
      </c>
      <c r="AD2358" s="108" t="b">
        <f t="shared" ref="AD2358:AI2358" si="1069">AD2348</f>
        <v>0</v>
      </c>
      <c r="AE2358" s="108" t="b">
        <f t="shared" si="1069"/>
        <v>0</v>
      </c>
      <c r="AF2358" s="108" t="b">
        <f t="shared" si="1069"/>
        <v>0</v>
      </c>
      <c r="AG2358" s="108" t="b">
        <f t="shared" si="1069"/>
        <v>0</v>
      </c>
      <c r="AH2358" s="108" t="b">
        <f t="shared" si="1069"/>
        <v>0</v>
      </c>
      <c r="AI2358" s="108" t="b">
        <f t="shared" si="1069"/>
        <v>0</v>
      </c>
      <c r="AJ2358" s="553" t="s">
        <v>2248</v>
      </c>
      <c r="AK2358" s="663" t="str">
        <f>IF(AND(CNTR_ExistSubInstEntries,MSconst_RequireSubAttrEmissions,COUNTIFS(AC2358:AI2358,FALSE,H2358:N2358,"")&gt;0),EUconst_Error&amp;"BM"&amp;$Q2127,"")</f>
        <v/>
      </c>
      <c r="AL2358" s="2"/>
    </row>
    <row r="2359" spans="1:38" ht="12.75" customHeight="1" x14ac:dyDescent="0.25">
      <c r="A2359" s="2"/>
      <c r="B2359" s="178"/>
      <c r="C2359" s="779"/>
      <c r="D2359" s="416" t="s">
        <v>1202</v>
      </c>
      <c r="E2359" s="2612" t="str">
        <f>Translations!$B$318</f>
        <v>Effektivt värmevärde</v>
      </c>
      <c r="F2359" s="2487"/>
      <c r="G2359" s="51" t="e">
        <f>IF(ISBLANK(G2358),EUconst_GJperUnit,INDEX(EUconst_GJperTorKNm3,MATCH(G2358,EUconst_TonnesOrkNm3pa,0)))</f>
        <v>#N/A</v>
      </c>
      <c r="H2359" s="1306"/>
      <c r="I2359" s="1307"/>
      <c r="J2359" s="1308"/>
      <c r="K2359" s="1306"/>
      <c r="L2359" s="1306"/>
      <c r="M2359" s="1306"/>
      <c r="N2359" s="1309"/>
      <c r="O2359" s="15"/>
      <c r="P2359" s="1362"/>
      <c r="Q2359" s="2"/>
      <c r="R2359" s="2"/>
      <c r="S2359" s="343"/>
      <c r="T2359" s="343"/>
      <c r="U2359" s="343"/>
      <c r="V2359" s="343"/>
      <c r="W2359" s="343"/>
      <c r="X2359" s="343"/>
      <c r="Y2359" s="343"/>
      <c r="Z2359" s="343"/>
      <c r="AA2359" s="2"/>
      <c r="AB2359" s="2"/>
      <c r="AC2359" s="108" t="b">
        <f>AC2358</f>
        <v>0</v>
      </c>
      <c r="AD2359" s="108" t="b">
        <f t="shared" ref="AD2359:AI2359" si="1070">AD2358</f>
        <v>0</v>
      </c>
      <c r="AE2359" s="108" t="b">
        <f t="shared" si="1070"/>
        <v>0</v>
      </c>
      <c r="AF2359" s="108" t="b">
        <f t="shared" si="1070"/>
        <v>0</v>
      </c>
      <c r="AG2359" s="108" t="b">
        <f t="shared" si="1070"/>
        <v>0</v>
      </c>
      <c r="AH2359" s="108" t="b">
        <f t="shared" si="1070"/>
        <v>0</v>
      </c>
      <c r="AI2359" s="108" t="b">
        <f t="shared" si="1070"/>
        <v>0</v>
      </c>
      <c r="AJ2359" s="553" t="s">
        <v>2248</v>
      </c>
      <c r="AK2359" s="663" t="str">
        <f>IF(AND(CNTR_ExistSubInstEntries,MSconst_RequireSubAttrEmissions,COUNTIFS(AC2359:AI2359,FALSE,H2359:N2359,"")&gt;0),EUconst_Error&amp;"BM"&amp;$Q2127,"")</f>
        <v/>
      </c>
      <c r="AL2359" s="2"/>
    </row>
    <row r="2360" spans="1:38" ht="12.75" customHeight="1" x14ac:dyDescent="0.25">
      <c r="A2360" s="2"/>
      <c r="B2360" s="178"/>
      <c r="C2360" s="779"/>
      <c r="D2360" s="416" t="s">
        <v>1203</v>
      </c>
      <c r="E2360" s="2613" t="str">
        <f>Translations!$B$630</f>
        <v>Facklad restgas</v>
      </c>
      <c r="F2360" s="1997"/>
      <c r="G2360" s="364" t="str">
        <f>EUconst_TJpa</f>
        <v>TJ / år</v>
      </c>
      <c r="H2360" s="414" t="str">
        <f t="shared" ref="H2360:N2360" si="1071">IF(COUNT(H2358:H2359)=2,H2358*H2359/1000,"")</f>
        <v/>
      </c>
      <c r="I2360" s="1108" t="str">
        <f t="shared" si="1071"/>
        <v/>
      </c>
      <c r="J2360" s="1114" t="str">
        <f t="shared" si="1071"/>
        <v/>
      </c>
      <c r="K2360" s="414" t="str">
        <f t="shared" si="1071"/>
        <v/>
      </c>
      <c r="L2360" s="414" t="str">
        <f t="shared" si="1071"/>
        <v/>
      </c>
      <c r="M2360" s="414" t="str">
        <f t="shared" si="1071"/>
        <v/>
      </c>
      <c r="N2360" s="1147" t="str">
        <f t="shared" si="1071"/>
        <v/>
      </c>
      <c r="O2360" s="15"/>
      <c r="P2360" s="15"/>
      <c r="Q2360" s="165" t="str">
        <f>EUconst_CNTR_WGFlared &amp; I2127</f>
        <v>WasteGasFlare_</v>
      </c>
      <c r="R2360" s="2"/>
      <c r="S2360" s="343"/>
      <c r="T2360" s="343"/>
      <c r="U2360" s="343"/>
      <c r="V2360" s="343"/>
      <c r="W2360" s="343"/>
      <c r="X2360" s="343"/>
      <c r="Y2360" s="343"/>
      <c r="Z2360" s="343"/>
      <c r="AA2360" s="2"/>
      <c r="AB2360" s="2"/>
      <c r="AC2360" s="2"/>
      <c r="AD2360" s="2"/>
      <c r="AE2360" s="2"/>
      <c r="AF2360" s="2"/>
      <c r="AG2360" s="2"/>
      <c r="AH2360" s="2"/>
      <c r="AI2360" s="2"/>
      <c r="AJ2360" s="2"/>
      <c r="AK2360" s="2"/>
      <c r="AL2360" s="2"/>
    </row>
    <row r="2361" spans="1:38" ht="12.75" customHeight="1" x14ac:dyDescent="0.25">
      <c r="A2361" s="2"/>
      <c r="B2361" s="178"/>
      <c r="C2361" s="779"/>
      <c r="D2361" s="416" t="s">
        <v>1204</v>
      </c>
      <c r="E2361" s="2613" t="str">
        <f>Translations!$B$631</f>
        <v>Särskild emissionsfaktor (facklad restgas)</v>
      </c>
      <c r="F2361" s="1997"/>
      <c r="G2361" s="364" t="str">
        <f>EUconst_tCO2pTJ</f>
        <v>t CO2 / TJ</v>
      </c>
      <c r="H2361" s="582"/>
      <c r="I2361" s="1105"/>
      <c r="J2361" s="1115"/>
      <c r="K2361" s="582"/>
      <c r="L2361" s="582"/>
      <c r="M2361" s="582"/>
      <c r="N2361" s="1146"/>
      <c r="O2361" s="15"/>
      <c r="P2361" s="1362"/>
      <c r="Q2361" s="165" t="str">
        <f>EUconst_CNTR_WGFlaredEF &amp; I2127</f>
        <v>WasteGasFlareEF_</v>
      </c>
      <c r="R2361" s="2"/>
      <c r="S2361" s="343"/>
      <c r="T2361" s="343"/>
      <c r="U2361" s="343"/>
      <c r="V2361" s="343"/>
      <c r="W2361" s="343"/>
      <c r="X2361" s="343"/>
      <c r="Y2361" s="343"/>
      <c r="Z2361" s="343"/>
      <c r="AA2361" s="2"/>
      <c r="AB2361" s="672" t="s">
        <v>782</v>
      </c>
      <c r="AC2361" s="108" t="b">
        <f>AC2359</f>
        <v>0</v>
      </c>
      <c r="AD2361" s="108" t="b">
        <f t="shared" ref="AD2361:AI2361" si="1072">AD2359</f>
        <v>0</v>
      </c>
      <c r="AE2361" s="108" t="b">
        <f t="shared" si="1072"/>
        <v>0</v>
      </c>
      <c r="AF2361" s="108" t="b">
        <f t="shared" si="1072"/>
        <v>0</v>
      </c>
      <c r="AG2361" s="108" t="b">
        <f t="shared" si="1072"/>
        <v>0</v>
      </c>
      <c r="AH2361" s="108" t="b">
        <f t="shared" si="1072"/>
        <v>0</v>
      </c>
      <c r="AI2361" s="108" t="b">
        <f t="shared" si="1072"/>
        <v>0</v>
      </c>
      <c r="AJ2361" s="553" t="s">
        <v>2248</v>
      </c>
      <c r="AK2361" s="663" t="str">
        <f>IF(AND(CNTR_ExistSubInstEntries,MSconst_RequireSubAttrEmissions,COUNTIFS(AC2361:AI2361,FALSE,H2361:N2361,"")&gt;0),EUconst_Error&amp;"BM"&amp;$Q2127,"")</f>
        <v/>
      </c>
      <c r="AL2361" s="2"/>
    </row>
    <row r="2362" spans="1:38" ht="5.15" customHeight="1" thickBot="1" x14ac:dyDescent="0.3">
      <c r="A2362" s="2"/>
      <c r="B2362" s="178"/>
      <c r="C2362" s="779"/>
      <c r="D2362" s="780"/>
      <c r="E2362" s="780"/>
      <c r="F2362" s="780"/>
      <c r="G2362" s="780"/>
      <c r="H2362" s="1805"/>
      <c r="I2362" s="780"/>
      <c r="J2362" s="780"/>
      <c r="K2362" s="780"/>
      <c r="L2362" s="780"/>
      <c r="M2362" s="623"/>
      <c r="N2362" s="519"/>
      <c r="O2362" s="15"/>
      <c r="P2362" s="15"/>
      <c r="Q2362" s="343"/>
      <c r="R2362" s="2"/>
      <c r="S2362" s="343"/>
      <c r="T2362" s="343"/>
      <c r="U2362" s="343"/>
      <c r="V2362" s="343"/>
      <c r="W2362" s="2"/>
      <c r="X2362" s="2"/>
      <c r="Y2362" s="2"/>
      <c r="Z2362" s="2"/>
      <c r="AA2362" s="2"/>
      <c r="AB2362" s="2"/>
      <c r="AC2362" s="2"/>
      <c r="AD2362" s="2"/>
      <c r="AE2362" s="2"/>
      <c r="AF2362" s="2"/>
      <c r="AG2362" s="2"/>
      <c r="AH2362" s="2"/>
      <c r="AI2362" s="2"/>
      <c r="AJ2362" s="2"/>
      <c r="AK2362" s="2"/>
      <c r="AL2362" s="2"/>
    </row>
    <row r="2363" spans="1:38" ht="12.75" customHeight="1" thickBot="1" x14ac:dyDescent="0.3">
      <c r="A2363" s="2"/>
      <c r="B2363" s="178"/>
      <c r="C2363" s="779"/>
      <c r="D2363" s="780"/>
      <c r="E2363" s="2613" t="str">
        <f>Translations!$B$1484</f>
        <v>Mängd facklad restgas</v>
      </c>
      <c r="F2363" s="2613"/>
      <c r="G2363" s="1206" t="str">
        <f>EUconst_tCO2</f>
        <v>t CO2</v>
      </c>
      <c r="H2363" s="626" t="str">
        <f t="shared" ref="H2363:N2363" si="1073">IF(T2135,SUM(H2360)*SUM(H2361),"")</f>
        <v/>
      </c>
      <c r="I2363" s="1364" t="str">
        <f t="shared" si="1073"/>
        <v/>
      </c>
      <c r="J2363" s="1365" t="str">
        <f t="shared" si="1073"/>
        <v/>
      </c>
      <c r="K2363" s="626" t="str">
        <f t="shared" si="1073"/>
        <v/>
      </c>
      <c r="L2363" s="626" t="str">
        <f t="shared" si="1073"/>
        <v/>
      </c>
      <c r="M2363" s="626" t="str">
        <f t="shared" si="1073"/>
        <v/>
      </c>
      <c r="N2363" s="626" t="str">
        <f t="shared" si="1073"/>
        <v/>
      </c>
      <c r="O2363" s="15"/>
      <c r="P2363" s="15"/>
      <c r="Q2363" s="165" t="str">
        <f>EUconst_CNTR_HAL &amp; EUconst_CNTR_WGFlared &amp; I2127</f>
        <v>HAL_WasteGasFlare_</v>
      </c>
      <c r="R2363" s="2"/>
      <c r="S2363" s="553" t="s">
        <v>1962</v>
      </c>
      <c r="T2363" s="445" t="b">
        <f>CNTR_SubPeriod=2</f>
        <v>1</v>
      </c>
      <c r="U2363" s="343"/>
      <c r="V2363" s="343"/>
      <c r="W2363" s="2"/>
      <c r="X2363" s="2"/>
      <c r="Y2363" s="2"/>
      <c r="Z2363" s="2"/>
      <c r="AA2363" s="2"/>
      <c r="AB2363" s="2"/>
      <c r="AC2363" s="2"/>
      <c r="AD2363" s="2"/>
      <c r="AE2363" s="2"/>
      <c r="AF2363" s="2"/>
      <c r="AG2363" s="2"/>
      <c r="AH2363" s="2"/>
      <c r="AI2363" s="2"/>
      <c r="AJ2363" s="2"/>
      <c r="AK2363" s="2"/>
      <c r="AL2363" s="2"/>
    </row>
    <row r="2364" spans="1:38" ht="5.15" customHeight="1" thickBot="1" x14ac:dyDescent="0.3">
      <c r="A2364" s="2"/>
      <c r="B2364" s="178"/>
      <c r="C2364" s="779"/>
      <c r="D2364" s="780"/>
      <c r="E2364" s="780"/>
      <c r="F2364" s="780"/>
      <c r="G2364" s="780"/>
      <c r="H2364" s="1805"/>
      <c r="I2364" s="780"/>
      <c r="J2364" s="780"/>
      <c r="K2364" s="780"/>
      <c r="L2364" s="780"/>
      <c r="M2364" s="623"/>
      <c r="N2364" s="519"/>
      <c r="O2364" s="15"/>
      <c r="P2364" s="15"/>
      <c r="Q2364" s="343"/>
      <c r="R2364" s="2"/>
      <c r="S2364" s="343"/>
      <c r="T2364" s="343"/>
      <c r="U2364" s="343"/>
      <c r="V2364" s="343"/>
      <c r="W2364" s="2"/>
      <c r="X2364" s="2"/>
      <c r="Y2364" s="2"/>
      <c r="Z2364" s="2"/>
      <c r="AA2364" s="2"/>
      <c r="AB2364" s="2"/>
      <c r="AC2364" s="2"/>
      <c r="AD2364" s="2"/>
      <c r="AE2364" s="2"/>
      <c r="AF2364" s="2"/>
      <c r="AG2364" s="2"/>
      <c r="AH2364" s="2"/>
      <c r="AI2364" s="2"/>
      <c r="AJ2364" s="2"/>
      <c r="AK2364" s="2"/>
      <c r="AL2364" s="2"/>
    </row>
    <row r="2365" spans="1:38" ht="5.15" customHeight="1" thickBot="1" x14ac:dyDescent="0.3">
      <c r="A2365" s="2"/>
      <c r="B2365" s="178"/>
      <c r="C2365" s="779"/>
      <c r="D2365" s="1263"/>
      <c r="E2365" s="1264"/>
      <c r="F2365" s="1264"/>
      <c r="G2365" s="1264"/>
      <c r="H2365" s="1265"/>
      <c r="I2365" s="1264"/>
      <c r="J2365" s="1264"/>
      <c r="K2365" s="1264"/>
      <c r="L2365" s="1264"/>
      <c r="M2365" s="1266"/>
      <c r="N2365" s="1267"/>
      <c r="O2365" s="15"/>
      <c r="P2365" s="15"/>
      <c r="Q2365" s="343"/>
      <c r="R2365" s="2"/>
      <c r="S2365" s="343"/>
      <c r="T2365" s="343"/>
      <c r="U2365" s="343"/>
      <c r="V2365" s="343"/>
      <c r="W2365" s="2"/>
      <c r="X2365" s="2"/>
      <c r="Y2365" s="2"/>
      <c r="Z2365" s="2"/>
      <c r="AA2365" s="2"/>
      <c r="AB2365" s="2"/>
      <c r="AC2365" s="2"/>
      <c r="AD2365" s="2"/>
      <c r="AE2365" s="2"/>
      <c r="AF2365" s="2"/>
      <c r="AG2365" s="2"/>
      <c r="AH2365" s="2"/>
      <c r="AI2365" s="2"/>
      <c r="AJ2365" s="2"/>
      <c r="AK2365" s="2"/>
      <c r="AL2365" s="2"/>
    </row>
    <row r="2366" spans="1:38" ht="12.75" customHeight="1" x14ac:dyDescent="0.25">
      <c r="A2366" s="2"/>
      <c r="B2366" s="178"/>
      <c r="C2366" s="779"/>
      <c r="D2366" s="1290" t="s">
        <v>2193</v>
      </c>
      <c r="E2366" s="2619" t="str">
        <f>Translations!$B$1485</f>
        <v>Justeringar: facklad restgas</v>
      </c>
      <c r="F2366" s="2497"/>
      <c r="G2366" s="2497"/>
      <c r="H2366" s="1228" t="str">
        <f>EUconst_Unit</f>
        <v>Enhet</v>
      </c>
      <c r="I2366" s="1229" t="str">
        <f>Translations!$B$1481</f>
        <v>Värde (NIMs)</v>
      </c>
      <c r="J2366" s="1268">
        <f>J$3042</f>
        <v>2021</v>
      </c>
      <c r="K2366" s="1230">
        <f>K$3042</f>
        <v>2022</v>
      </c>
      <c r="L2366" s="1230">
        <f>L$3042</f>
        <v>2023</v>
      </c>
      <c r="M2366" s="1230">
        <f>M$3042</f>
        <v>2024</v>
      </c>
      <c r="N2366" s="1258">
        <f>N$3042</f>
        <v>2025</v>
      </c>
      <c r="O2366" s="15"/>
      <c r="P2366" s="15"/>
      <c r="Q2366" s="343"/>
      <c r="R2366" s="2"/>
      <c r="S2366" s="2"/>
      <c r="T2366" s="2"/>
      <c r="U2366" s="772"/>
      <c r="V2366" s="1077">
        <f>J2366</f>
        <v>2021</v>
      </c>
      <c r="W2366" s="1077">
        <f>K2366</f>
        <v>2022</v>
      </c>
      <c r="X2366" s="1077">
        <f>L2366</f>
        <v>2023</v>
      </c>
      <c r="Y2366" s="1077">
        <f>M2366</f>
        <v>2024</v>
      </c>
      <c r="Z2366" s="1078">
        <f>N2366</f>
        <v>2025</v>
      </c>
      <c r="AA2366" s="2"/>
      <c r="AB2366" s="2"/>
      <c r="AC2366" s="2"/>
      <c r="AD2366" s="2"/>
      <c r="AE2366" s="2"/>
      <c r="AF2366" s="2"/>
      <c r="AG2366" s="2"/>
      <c r="AH2366" s="2"/>
      <c r="AI2366" s="2"/>
      <c r="AJ2366" s="2"/>
      <c r="AK2366" s="2"/>
      <c r="AL2366" s="2"/>
    </row>
    <row r="2367" spans="1:38" ht="12.75" customHeight="1" x14ac:dyDescent="0.25">
      <c r="A2367" s="2"/>
      <c r="B2367" s="178"/>
      <c r="C2367" s="779"/>
      <c r="D2367" s="1246" t="s">
        <v>8</v>
      </c>
      <c r="E2367" s="2618" t="str">
        <f>Translations!$B$1482</f>
        <v>Genomsnittligt årligt värde</v>
      </c>
      <c r="F2367" s="1997"/>
      <c r="G2367" s="1997"/>
      <c r="H2367" s="1232" t="str">
        <f>G2363</f>
        <v>t CO2</v>
      </c>
      <c r="I2367" s="990" t="str">
        <f>INDEX('B+C_SubInstallations'!$K:$K,MATCH(Q2367,'B+C_SubInstallations'!$V:$V,0))</f>
        <v/>
      </c>
      <c r="J2367" s="1215" t="str">
        <f>IF($T2363&lt;&gt;TRUE,"",IF(AND(V2367&gt;=3,CNTR_ReportingYear&gt;J2366-1),AVERAGE(SUM(H2363),SUM(I2363)),""))</f>
        <v/>
      </c>
      <c r="K2367" s="1216" t="str">
        <f>IF($T2363&lt;&gt;TRUE,"",IF(AND(W2367&gt;=3,CNTR_ReportingYear&gt;K2366-1),AVERAGE(SUM(I2363),SUM(J2363)),""))</f>
        <v/>
      </c>
      <c r="L2367" s="1216" t="str">
        <f>IF($T2363&lt;&gt;TRUE,"",IF(AND(X2367&gt;=3,CNTR_ReportingYear&gt;L2366-1),AVERAGE(SUM(J2363),SUM(K2363)),""))</f>
        <v/>
      </c>
      <c r="M2367" s="1216" t="str">
        <f>IF($T2363&lt;&gt;TRUE,"",IF(AND(Y2367&gt;=3,CNTR_ReportingYear&gt;M2366-1),AVERAGE(SUM(K2363),SUM(L2363)),""))</f>
        <v/>
      </c>
      <c r="N2367" s="1227" t="str">
        <f>IF($T2363&lt;&gt;TRUE,"",IF(AND(Z2367&gt;=3,CNTR_ReportingYear&gt;N2366-1),AVERAGE(SUM(L2363),SUM(M2363)),""))</f>
        <v/>
      </c>
      <c r="O2367" s="15"/>
      <c r="P2367" s="15"/>
      <c r="Q2367" s="165" t="str">
        <f>EUconst_CNTR_HALinitial &amp; EUconst_CNTR_WGFlared &amp; I2127</f>
        <v>HALini_WasteGasFlare_</v>
      </c>
      <c r="R2367" s="2"/>
      <c r="S2367" s="2"/>
      <c r="T2367" s="2"/>
      <c r="U2367" s="1079" t="s">
        <v>1850</v>
      </c>
      <c r="V2367" s="663">
        <f>V2149</f>
        <v>0</v>
      </c>
      <c r="W2367" s="663">
        <f>W2149</f>
        <v>0</v>
      </c>
      <c r="X2367" s="663">
        <f>X2149</f>
        <v>0</v>
      </c>
      <c r="Y2367" s="663">
        <f>Y2149</f>
        <v>0</v>
      </c>
      <c r="Z2367" s="1080">
        <f>Z2149</f>
        <v>0</v>
      </c>
      <c r="AA2367" s="2"/>
      <c r="AB2367" s="2"/>
      <c r="AC2367" s="2"/>
      <c r="AD2367" s="2"/>
      <c r="AE2367" s="2"/>
      <c r="AF2367" s="2"/>
      <c r="AG2367" s="2"/>
      <c r="AH2367" s="2"/>
      <c r="AI2367" s="2"/>
      <c r="AJ2367" s="2"/>
      <c r="AK2367" s="2"/>
      <c r="AL2367" s="2"/>
    </row>
    <row r="2368" spans="1:38" ht="12.75" hidden="1" customHeight="1" x14ac:dyDescent="0.25">
      <c r="A2368" s="343" t="s">
        <v>346</v>
      </c>
      <c r="B2368" s="178"/>
      <c r="C2368" s="779"/>
      <c r="D2368" s="1246"/>
      <c r="E2368" s="2618" t="s">
        <v>1980</v>
      </c>
      <c r="F2368" s="1997"/>
      <c r="G2368" s="1997"/>
      <c r="H2368" s="1233"/>
      <c r="I2368" s="1235"/>
      <c r="J2368" s="1013" t="str">
        <f>IF(J2367="","",IF($I2370=0,IF(J2367=0,0%,100%),J2367/$I2370-1))</f>
        <v/>
      </c>
      <c r="K2368" s="938" t="str">
        <f>IF(K2367="","",IF($I2370=0,IF(K2367=0,0%,100%),K2367/$I2370-1))</f>
        <v/>
      </c>
      <c r="L2368" s="938" t="str">
        <f>IF(L2367="","",IF($I2370=0,IF(L2367=0,0%,100%),L2367/$I2370-1))</f>
        <v/>
      </c>
      <c r="M2368" s="938" t="str">
        <f>IF(M2367="","",IF($I2370=0,IF(M2367=0,0%,100%),M2367/$I2370-1))</f>
        <v/>
      </c>
      <c r="N2368" s="1223" t="str">
        <f>IF(N2367="","",IF($I2370=0,IF(N2367=0,0%,100%),N2367/$I2370-1))</f>
        <v/>
      </c>
      <c r="O2368" s="15"/>
      <c r="P2368" s="15"/>
      <c r="Q2368" s="165" t="str">
        <f>EUconst_CNTR_RelThreshold &amp; Q2370</f>
        <v>RelThresh_HALprelim_WasteGasFlare_</v>
      </c>
      <c r="R2368" s="2"/>
      <c r="S2368" s="2"/>
      <c r="T2368" s="2"/>
      <c r="U2368" s="1079" t="s">
        <v>1855</v>
      </c>
      <c r="V2368" s="603" t="str">
        <f>IF(J2367="","",ABS(J2368)&gt;15%)</f>
        <v/>
      </c>
      <c r="W2368" s="603" t="str">
        <f>IF(K2367="","",ABS(K2368)&gt;15%)</f>
        <v/>
      </c>
      <c r="X2368" s="603" t="str">
        <f>IF(L2367="","",ABS(L2368)&gt;15%)</f>
        <v/>
      </c>
      <c r="Y2368" s="603" t="str">
        <f>IF(M2367="","",ABS(M2368)&gt;15%)</f>
        <v/>
      </c>
      <c r="Z2368" s="1756" t="str">
        <f>IF(N2367="","",ABS(N2368)&gt;15%)</f>
        <v/>
      </c>
      <c r="AA2368" s="2"/>
      <c r="AB2368" s="2"/>
      <c r="AC2368" s="2"/>
      <c r="AD2368" s="2"/>
      <c r="AE2368" s="2"/>
      <c r="AF2368" s="2"/>
      <c r="AG2368" s="2"/>
      <c r="AH2368" s="2"/>
      <c r="AI2368" s="2"/>
      <c r="AJ2368" s="2"/>
      <c r="AK2368" s="2"/>
      <c r="AL2368" s="2"/>
    </row>
    <row r="2369" spans="1:38" ht="12.75" customHeight="1" x14ac:dyDescent="0.25">
      <c r="A2369" s="343"/>
      <c r="B2369" s="178"/>
      <c r="C2369" s="779"/>
      <c r="D2369" s="1246" t="s">
        <v>9</v>
      </c>
      <c r="E2369" s="2618" t="str">
        <f>Translations!$B$1474</f>
        <v>Preliminär justering (om relativa tröskelvärden överskrids)</v>
      </c>
      <c r="F2369" s="1997"/>
      <c r="G2369" s="1997"/>
      <c r="H2369" s="1233"/>
      <c r="I2369" s="1235"/>
      <c r="J2369" s="992" t="str">
        <f>IF(J2367="","",IF(V2368=FALSE,0%,J2368))</f>
        <v/>
      </c>
      <c r="K2369" s="937" t="str">
        <f>IF(K2367="","",IF(W2368=FALSE,0%,K2368))</f>
        <v/>
      </c>
      <c r="L2369" s="937" t="str">
        <f>IF(L2367="","",IF(X2368=FALSE,0%,L2368))</f>
        <v/>
      </c>
      <c r="M2369" s="937" t="str">
        <f>IF(M2367="","",IF(Y2368=FALSE,0%,M2368))</f>
        <v/>
      </c>
      <c r="N2369" s="1220" t="str">
        <f>IF(N2367="","",IF(Z2368=FALSE,0%,N2368))</f>
        <v/>
      </c>
      <c r="O2369" s="15"/>
      <c r="P2369" s="15"/>
      <c r="Q2369" s="343"/>
      <c r="R2369" s="2"/>
      <c r="S2369" s="2"/>
      <c r="T2369" s="2"/>
      <c r="U2369" s="1081"/>
      <c r="V2369" s="2"/>
      <c r="W2369" s="2"/>
      <c r="X2369" s="2"/>
      <c r="Y2369" s="2"/>
      <c r="Z2369" s="228"/>
      <c r="AA2369" s="2"/>
      <c r="AB2369" s="2"/>
      <c r="AC2369" s="2"/>
      <c r="AD2369" s="2"/>
      <c r="AE2369" s="2"/>
      <c r="AF2369" s="2"/>
      <c r="AG2369" s="2"/>
      <c r="AH2369" s="2"/>
      <c r="AI2369" s="2"/>
      <c r="AJ2369" s="2"/>
      <c r="AK2369" s="2"/>
      <c r="AL2369" s="2"/>
    </row>
    <row r="2370" spans="1:38" ht="12.75" hidden="1" customHeight="1" x14ac:dyDescent="0.25">
      <c r="A2370" s="343" t="s">
        <v>346</v>
      </c>
      <c r="B2370" s="178"/>
      <c r="C2370" s="779"/>
      <c r="D2370" s="1246"/>
      <c r="E2370" s="2618" t="s">
        <v>1889</v>
      </c>
      <c r="F2370" s="1997"/>
      <c r="G2370" s="1997"/>
      <c r="H2370" s="1232" t="str">
        <f>H2367</f>
        <v>t CO2</v>
      </c>
      <c r="I2370" s="990" t="str">
        <f>IF($I2127="","",IF(AB2127=FALSE,EUconst_NA,IF(V2127&gt;($J$3042-3),INDEX(H2363:N2363,MATCH(V2127,H2357:N2357,0)),SUM(I2367))))</f>
        <v/>
      </c>
      <c r="J2370" s="993" t="str">
        <f>IF($I2127="","",IF(V2367&lt;2,SUM(J2363),IF(V2367&lt;3,SUM(I2363),IF(V2370="",I2370,V2370))))</f>
        <v/>
      </c>
      <c r="K2370" s="920" t="str">
        <f>IF($I2127="","",IF(W2367&lt;2,SUM(K2363),IF(W2367&lt;3,SUM(J2363),IF(W2370="",J2370,W2370))))</f>
        <v/>
      </c>
      <c r="L2370" s="920" t="str">
        <f>IF($I2127="","",IF(X2367&lt;2,SUM(L2363),IF(X2367&lt;3,SUM(K2363),IF(X2370="",K2370,X2370))))</f>
        <v/>
      </c>
      <c r="M2370" s="920" t="str">
        <f>IF($I2127="","",IF(Y2367&lt;2,SUM(M2363),IF(Y2367&lt;3,SUM(L2363),IF(Y2370="",L2370,Y2370))))</f>
        <v/>
      </c>
      <c r="N2370" s="1218" t="str">
        <f>IF($I2127="","",IF(Z2367&lt;2,SUM(N2363),IF(Z2367&lt;3,SUM(M2363),IF(Z2370="",M2370,Z2370))))</f>
        <v/>
      </c>
      <c r="O2370" s="15"/>
      <c r="P2370" s="15"/>
      <c r="Q2370" s="165" t="str">
        <f>EUconst_CNTR_HALprelim&amp;EUconst_CNTR_WGFlared &amp; I2127</f>
        <v>HALprelim_WasteGasFlare_</v>
      </c>
      <c r="R2370" s="2"/>
      <c r="S2370" s="2"/>
      <c r="T2370" s="2"/>
      <c r="U2370" s="1079" t="s">
        <v>1898</v>
      </c>
      <c r="V2370" s="1752" t="str">
        <f>IF(J2367="","",IF(CNTR_ReportingYear&lt;J2366,I2369,IF($I2370=0,J2367,$I2370*(1+J2369))))</f>
        <v/>
      </c>
      <c r="W2370" s="1752" t="str">
        <f>IF(K2367="","",IF(CNTR_ReportingYear&lt;K2366,J2369,IF($I2370=0,K2367,$I2370*(1+K2369))))</f>
        <v/>
      </c>
      <c r="X2370" s="1752" t="str">
        <f>IF(L2367="","",IF(CNTR_ReportingYear&lt;L2366,K2369,IF($I2370=0,L2367,$I2370*(1+L2369))))</f>
        <v/>
      </c>
      <c r="Y2370" s="1752" t="str">
        <f>IF(M2367="","",IF(CNTR_ReportingYear&lt;M2366,L2369,IF($I2370=0,M2367,$I2370*(1+M2369))))</f>
        <v/>
      </c>
      <c r="Z2370" s="1761" t="str">
        <f>IF(N2367="","",IF(CNTR_ReportingYear&lt;N2366,M2369,IF($I2370=0,N2367,$I2370*(1+N2369))))</f>
        <v/>
      </c>
      <c r="AA2370" s="2"/>
      <c r="AB2370" s="2"/>
      <c r="AC2370" s="2"/>
      <c r="AD2370" s="2"/>
      <c r="AE2370" s="2"/>
      <c r="AF2370" s="2"/>
      <c r="AG2370" s="2"/>
      <c r="AH2370" s="2"/>
      <c r="AI2370" s="2"/>
      <c r="AJ2370" s="2"/>
      <c r="AK2370" s="2"/>
      <c r="AL2370" s="2"/>
    </row>
    <row r="2371" spans="1:38" ht="5.15" customHeight="1" x14ac:dyDescent="0.25">
      <c r="A2371" s="343"/>
      <c r="B2371" s="178"/>
      <c r="C2371" s="779"/>
      <c r="D2371" s="1246"/>
      <c r="E2371" s="1244"/>
      <c r="F2371" s="1244"/>
      <c r="G2371" s="1244"/>
      <c r="H2371" s="1244"/>
      <c r="I2371" s="1244"/>
      <c r="J2371" s="1236"/>
      <c r="K2371" s="1236"/>
      <c r="L2371" s="1236"/>
      <c r="M2371" s="1236"/>
      <c r="N2371" s="1247"/>
      <c r="O2371" s="15"/>
      <c r="P2371" s="15"/>
      <c r="Q2371" s="343"/>
      <c r="R2371" s="2"/>
      <c r="S2371" s="2"/>
      <c r="T2371" s="2"/>
      <c r="U2371" s="1086"/>
      <c r="V2371" s="343"/>
      <c r="W2371" s="2"/>
      <c r="X2371" s="2"/>
      <c r="Y2371" s="2"/>
      <c r="Z2371" s="228"/>
      <c r="AA2371" s="2"/>
      <c r="AB2371" s="2"/>
      <c r="AC2371" s="2"/>
      <c r="AD2371" s="2"/>
      <c r="AE2371" s="2"/>
      <c r="AF2371" s="2"/>
      <c r="AG2371" s="2"/>
      <c r="AH2371" s="2"/>
      <c r="AI2371" s="2"/>
      <c r="AJ2371" s="2"/>
      <c r="AK2371" s="2"/>
      <c r="AL2371" s="2"/>
    </row>
    <row r="2372" spans="1:38" ht="12.75" customHeight="1" x14ac:dyDescent="0.25">
      <c r="A2372" s="343"/>
      <c r="B2372" s="178"/>
      <c r="C2372" s="779"/>
      <c r="D2372" s="1246"/>
      <c r="E2372" s="2619" t="str">
        <f>Translations!$B$1475</f>
        <v>Faktisk justering (grund för följande år)</v>
      </c>
      <c r="F2372" s="2497"/>
      <c r="G2372" s="2497"/>
      <c r="H2372" s="2497"/>
      <c r="I2372" s="2616"/>
      <c r="J2372" s="1268">
        <f>J$3042</f>
        <v>2021</v>
      </c>
      <c r="K2372" s="1230">
        <f>K$3042</f>
        <v>2022</v>
      </c>
      <c r="L2372" s="1230">
        <f>L$3042</f>
        <v>2023</v>
      </c>
      <c r="M2372" s="1230">
        <f>M$3042</f>
        <v>2024</v>
      </c>
      <c r="N2372" s="1258">
        <f>N$3042</f>
        <v>2025</v>
      </c>
      <c r="O2372" s="15"/>
      <c r="P2372" s="15"/>
      <c r="Q2372" s="343"/>
      <c r="R2372" s="2"/>
      <c r="S2372" s="2"/>
      <c r="T2372" s="2"/>
      <c r="U2372" s="584"/>
      <c r="V2372" s="2"/>
      <c r="W2372" s="2"/>
      <c r="X2372" s="2"/>
      <c r="Y2372" s="2"/>
      <c r="Z2372" s="228"/>
      <c r="AA2372" s="2"/>
      <c r="AB2372" s="2"/>
      <c r="AC2372" s="2"/>
      <c r="AD2372" s="2"/>
      <c r="AE2372" s="2"/>
      <c r="AF2372" s="2"/>
      <c r="AG2372" s="2"/>
      <c r="AH2372" s="2"/>
      <c r="AI2372" s="2"/>
      <c r="AJ2372" s="2"/>
      <c r="AK2372" s="2"/>
      <c r="AL2372" s="2"/>
    </row>
    <row r="2373" spans="1:38" ht="12.75" customHeight="1" x14ac:dyDescent="0.25">
      <c r="A2373" s="343"/>
      <c r="B2373" s="178"/>
      <c r="C2373" s="779"/>
      <c r="D2373" s="1246" t="s">
        <v>10</v>
      </c>
      <c r="E2373" s="2618" t="str">
        <f>Translations!$B$1476</f>
        <v>&gt;= 100 utsläppsrätter kriterium uppnått?</v>
      </c>
      <c r="F2373" s="1997"/>
      <c r="G2373" s="1997"/>
      <c r="H2373" s="1997"/>
      <c r="I2373" s="2620"/>
      <c r="J2373" s="994" t="str">
        <f>IF($I2127="","",INDEX(K_Summary!J:J,MATCH($Q2373,K_Summary!$P:$P,0)))</f>
        <v/>
      </c>
      <c r="K2373" s="912" t="str">
        <f>IF($I2127="","",INDEX(K_Summary!K:K,MATCH($Q2373,K_Summary!$P:$P,0)))</f>
        <v/>
      </c>
      <c r="L2373" s="912" t="str">
        <f>IF($I2127="","",INDEX(K_Summary!L:L,MATCH($Q2373,K_Summary!$P:$P,0)))</f>
        <v/>
      </c>
      <c r="M2373" s="912" t="str">
        <f>IF($I2127="","",INDEX(K_Summary!M:M,MATCH($Q2373,K_Summary!$P:$P,0)))</f>
        <v/>
      </c>
      <c r="N2373" s="1221" t="str">
        <f>IF($I2127="","",INDEX(K_Summary!N:N,MATCH($Q2373,K_Summary!$P:$P,0)))</f>
        <v/>
      </c>
      <c r="O2373" s="15"/>
      <c r="P2373" s="15"/>
      <c r="Q2373" s="165" t="str">
        <f>EUconst_CNTR_100EUA_WGFlare&amp;I2127</f>
        <v>EUA100WGFlare_</v>
      </c>
      <c r="R2373" s="2"/>
      <c r="S2373" s="2"/>
      <c r="T2373" s="2"/>
      <c r="U2373" s="584"/>
      <c r="V2373" s="2"/>
      <c r="W2373" s="2"/>
      <c r="X2373" s="2"/>
      <c r="Y2373" s="2"/>
      <c r="Z2373" s="228"/>
      <c r="AA2373" s="2"/>
      <c r="AB2373" s="2"/>
      <c r="AC2373" s="2"/>
      <c r="AD2373" s="2"/>
      <c r="AE2373" s="2"/>
      <c r="AF2373" s="2"/>
      <c r="AG2373" s="2"/>
      <c r="AH2373" s="2"/>
      <c r="AI2373" s="2"/>
      <c r="AJ2373" s="2"/>
      <c r="AK2373" s="2"/>
      <c r="AL2373" s="2"/>
    </row>
    <row r="2374" spans="1:38" ht="5.15" customHeight="1" thickBot="1" x14ac:dyDescent="0.3">
      <c r="A2374" s="343"/>
      <c r="B2374" s="178"/>
      <c r="C2374" s="779"/>
      <c r="D2374" s="1246"/>
      <c r="E2374" s="1244"/>
      <c r="F2374" s="1244"/>
      <c r="G2374" s="1244"/>
      <c r="H2374" s="1244"/>
      <c r="I2374" s="1244"/>
      <c r="J2374" s="1244"/>
      <c r="K2374" s="1244"/>
      <c r="L2374" s="1244"/>
      <c r="M2374" s="1244"/>
      <c r="N2374" s="1248"/>
      <c r="O2374" s="15"/>
      <c r="P2374" s="15"/>
      <c r="Q2374" s="343"/>
      <c r="R2374" s="2"/>
      <c r="S2374" s="2"/>
      <c r="T2374" s="2"/>
      <c r="U2374" s="1086"/>
      <c r="V2374" s="343"/>
      <c r="W2374" s="2"/>
      <c r="X2374" s="2"/>
      <c r="Y2374" s="2"/>
      <c r="Z2374" s="228"/>
      <c r="AA2374" s="2"/>
      <c r="AB2374" s="2"/>
      <c r="AC2374" s="2"/>
      <c r="AD2374" s="2"/>
      <c r="AE2374" s="2"/>
      <c r="AF2374" s="2"/>
      <c r="AG2374" s="2"/>
      <c r="AH2374" s="2"/>
      <c r="AI2374" s="2"/>
      <c r="AJ2374" s="2"/>
      <c r="AK2374" s="2"/>
      <c r="AL2374" s="2"/>
    </row>
    <row r="2375" spans="1:38" ht="12.75" customHeight="1" thickBot="1" x14ac:dyDescent="0.3">
      <c r="A2375" s="2"/>
      <c r="B2375" s="178"/>
      <c r="C2375" s="779"/>
      <c r="D2375" s="1246" t="s">
        <v>23</v>
      </c>
      <c r="E2375" s="2618" t="str">
        <f>Translations!$B$1477</f>
        <v>Faktisk justering (om alla tröskelvärden överskrids)</v>
      </c>
      <c r="F2375" s="1997"/>
      <c r="G2375" s="1997"/>
      <c r="H2375" s="1997"/>
      <c r="I2375" s="2620"/>
      <c r="J2375" s="1099" t="str">
        <f>IF(J2373="","",IF(OR(J2373,V2367&lt;1),J2369,I2375))</f>
        <v/>
      </c>
      <c r="K2375" s="1100" t="str">
        <f>IF(K2373="","",IF(OR(K2373,W2367&lt;1),K2369,J2375))</f>
        <v/>
      </c>
      <c r="L2375" s="1100" t="str">
        <f>IF(L2373="","",IF(OR(L2373,X2367&lt;1),L2369,K2375))</f>
        <v/>
      </c>
      <c r="M2375" s="1100" t="str">
        <f>IF(M2373="","",IF(OR(M2373,Y2367&lt;1),M2369,L2375))</f>
        <v/>
      </c>
      <c r="N2375" s="1101" t="str">
        <f>IF(N2373="","",IF(OR(N2373,Z2367&lt;1),N2369,M2375))</f>
        <v/>
      </c>
      <c r="O2375" s="15"/>
      <c r="P2375" s="15"/>
      <c r="Q2375" s="343"/>
      <c r="R2375" s="2"/>
      <c r="S2375" s="2"/>
      <c r="T2375" s="2"/>
      <c r="U2375" s="1086" t="s">
        <v>1858</v>
      </c>
      <c r="V2375" s="1068">
        <f>J2372</f>
        <v>2021</v>
      </c>
      <c r="W2375" s="1068">
        <f>K2372</f>
        <v>2022</v>
      </c>
      <c r="X2375" s="1068">
        <f>L2372</f>
        <v>2023</v>
      </c>
      <c r="Y2375" s="1068">
        <f>M2372</f>
        <v>2024</v>
      </c>
      <c r="Z2375" s="1087">
        <f>N2372</f>
        <v>2025</v>
      </c>
      <c r="AA2375" s="2"/>
      <c r="AB2375" s="2"/>
      <c r="AC2375" s="2"/>
      <c r="AD2375" s="2"/>
      <c r="AE2375" s="2"/>
      <c r="AF2375" s="2"/>
      <c r="AG2375" s="2"/>
      <c r="AH2375" s="2"/>
      <c r="AI2375" s="2"/>
      <c r="AJ2375" s="2"/>
      <c r="AK2375" s="2"/>
      <c r="AL2375" s="2"/>
    </row>
    <row r="2376" spans="1:38" ht="12.75" customHeight="1" thickBot="1" x14ac:dyDescent="0.3">
      <c r="A2376" s="343"/>
      <c r="B2376" s="178"/>
      <c r="C2376" s="779"/>
      <c r="D2376" s="1246" t="s">
        <v>859</v>
      </c>
      <c r="E2376" s="2618" t="str">
        <f>Translations!$B$1478</f>
        <v>Faktiskt värde</v>
      </c>
      <c r="F2376" s="1997"/>
      <c r="G2376" s="1997"/>
      <c r="H2376" s="1232" t="str">
        <f>H2367</f>
        <v>t CO2</v>
      </c>
      <c r="I2376" s="990" t="str">
        <f>I2370</f>
        <v/>
      </c>
      <c r="J2376" s="1072" t="str">
        <f>IF($I2127="","",IF(OR($I2376=0,$I2376=EUconst_NA),IF(OR(J2373=TRUE,J2372=$V2127),J2370,SUM(I2376)),IF(J2375="",J2370,$I2376*(1+SUM(J2375)))))</f>
        <v/>
      </c>
      <c r="K2376" s="1073" t="str">
        <f>IF($I2127="","",IF(OR($I2376=0,$I2376=EUconst_NA),IF(OR(K2373=TRUE,K2372=$V2127),K2370,SUM(J2376)),IF(K2375="",K2370,$I2376*(1+SUM(K2375)))))</f>
        <v/>
      </c>
      <c r="L2376" s="1073" t="str">
        <f>IF($I2127="","",IF(OR($I2376=0,$I2376=EUconst_NA),IF(OR(L2373=TRUE,L2372=$V2127),L2370,SUM(K2376)),IF(L2375="",L2370,$I2376*(1+SUM(L2375)))))</f>
        <v/>
      </c>
      <c r="M2376" s="1073" t="str">
        <f>IF($I2127="","",IF(OR($I2376=0,$I2376=EUconst_NA),IF(OR(M2373=TRUE,M2372=$V2127),M2370,SUM(L2376)),IF(M2375="",M2370,$I2376*(1+SUM(M2375)))))</f>
        <v/>
      </c>
      <c r="N2376" s="1074" t="str">
        <f>IF($I2127="","",IF(OR($I2376=0,$I2376=EUconst_NA),IF(OR(N2373=TRUE,N2372=$V2127),N2370,SUM(M2376)),IF(N2375="",N2370,$I2376*(1+SUM(N2375)))))</f>
        <v/>
      </c>
      <c r="O2376" s="15"/>
      <c r="P2376" s="15"/>
      <c r="Q2376" s="165" t="str">
        <f>EUconst_CNTR_HALfinal&amp;EUconst_CNTR_WGFlared &amp; I2127</f>
        <v>HALfinal_WasteGasFlare_</v>
      </c>
      <c r="R2376" s="2"/>
      <c r="S2376" s="2"/>
      <c r="T2376" s="2"/>
      <c r="U2376" s="1765" t="b">
        <v>0</v>
      </c>
      <c r="V2376" s="1757" t="str">
        <f>IF(V2326,IF(J2373=TRUE,V2135,U2376),"")</f>
        <v/>
      </c>
      <c r="W2376" s="1757" t="str">
        <f>IF(W2326,IF(K2373=TRUE,W2135,V2376),"")</f>
        <v/>
      </c>
      <c r="X2376" s="1757" t="str">
        <f>IF(X2326,IF(L2373=TRUE,X2135,W2376),"")</f>
        <v/>
      </c>
      <c r="Y2376" s="1757" t="str">
        <f>IF(Y2326,IF(M2373=TRUE,Y2135,X2376),"")</f>
        <v/>
      </c>
      <c r="Z2376" s="1758" t="str">
        <f>IF(Z2326,IF(N2373=TRUE,Z2135,Y2376),"")</f>
        <v/>
      </c>
      <c r="AA2376" s="2"/>
      <c r="AB2376" s="2"/>
      <c r="AC2376" s="2"/>
      <c r="AD2376" s="2"/>
      <c r="AE2376" s="2"/>
      <c r="AF2376" s="2"/>
      <c r="AG2376" s="2"/>
      <c r="AH2376" s="2"/>
      <c r="AI2376" s="2"/>
      <c r="AJ2376" s="553" t="s">
        <v>2242</v>
      </c>
      <c r="AK2376" s="108" t="str">
        <f>IF(OR(ISERROR(J2376),ISERROR(K2376),ISERROR(L2376),ISERROR(M2376),ISERROR(N2376)),EUconst_Error &amp; "BM" &amp; Q2127,"")</f>
        <v/>
      </c>
      <c r="AL2376" s="2"/>
    </row>
    <row r="2377" spans="1:38" ht="5.15" customHeight="1" thickBot="1" x14ac:dyDescent="0.3">
      <c r="A2377" s="2"/>
      <c r="B2377" s="178"/>
      <c r="C2377" s="779"/>
      <c r="D2377" s="1269"/>
      <c r="E2377" s="1270"/>
      <c r="F2377" s="1270"/>
      <c r="G2377" s="1270"/>
      <c r="H2377" s="1271"/>
      <c r="I2377" s="1270"/>
      <c r="J2377" s="1270"/>
      <c r="K2377" s="1270"/>
      <c r="L2377" s="1270"/>
      <c r="M2377" s="1272"/>
      <c r="N2377" s="1273"/>
      <c r="O2377" s="15"/>
      <c r="P2377" s="15"/>
      <c r="Q2377" s="343"/>
      <c r="R2377" s="2"/>
      <c r="S2377" s="343"/>
      <c r="T2377" s="343"/>
      <c r="U2377" s="343"/>
      <c r="V2377" s="343"/>
      <c r="W2377" s="2"/>
      <c r="X2377" s="2"/>
      <c r="Y2377" s="2"/>
      <c r="Z2377" s="2"/>
      <c r="AA2377" s="2"/>
      <c r="AB2377" s="2"/>
      <c r="AC2377" s="2"/>
      <c r="AD2377" s="2"/>
      <c r="AE2377" s="2"/>
      <c r="AF2377" s="2"/>
      <c r="AG2377" s="2"/>
      <c r="AH2377" s="2"/>
      <c r="AI2377" s="2"/>
      <c r="AJ2377" s="2"/>
      <c r="AK2377" s="2"/>
      <c r="AL2377" s="2"/>
    </row>
    <row r="2378" spans="1:38" ht="5.15" customHeight="1" x14ac:dyDescent="0.25">
      <c r="A2378" s="2"/>
      <c r="B2378" s="178"/>
      <c r="C2378" s="779"/>
      <c r="D2378" s="780"/>
      <c r="E2378" s="780"/>
      <c r="F2378" s="780"/>
      <c r="G2378" s="780"/>
      <c r="H2378" s="1805"/>
      <c r="I2378" s="780"/>
      <c r="J2378" s="780"/>
      <c r="K2378" s="780"/>
      <c r="L2378" s="780"/>
      <c r="M2378" s="623"/>
      <c r="N2378" s="519"/>
      <c r="O2378" s="15"/>
      <c r="P2378" s="15"/>
      <c r="Q2378" s="343"/>
      <c r="R2378" s="2"/>
      <c r="S2378" s="343"/>
      <c r="T2378" s="343"/>
      <c r="U2378" s="343"/>
      <c r="V2378" s="343"/>
      <c r="W2378" s="2"/>
      <c r="X2378" s="2"/>
      <c r="Y2378" s="2"/>
      <c r="Z2378" s="2"/>
      <c r="AA2378" s="2"/>
      <c r="AB2378" s="2"/>
      <c r="AC2378" s="2"/>
      <c r="AD2378" s="2"/>
      <c r="AE2378" s="2"/>
      <c r="AF2378" s="2"/>
      <c r="AG2378" s="2"/>
      <c r="AH2378" s="2"/>
      <c r="AI2378" s="2"/>
      <c r="AJ2378" s="2"/>
      <c r="AK2378" s="2"/>
      <c r="AL2378" s="2"/>
    </row>
    <row r="2379" spans="1:38" ht="12.75" customHeight="1" x14ac:dyDescent="0.25">
      <c r="A2379" s="2"/>
      <c r="B2379" s="178"/>
      <c r="C2379" s="779"/>
      <c r="D2379" s="416" t="s">
        <v>1205</v>
      </c>
      <c r="E2379" s="2614" t="str">
        <f>Translations!$B$632</f>
        <v>Importerade restgastyper:</v>
      </c>
      <c r="F2379" s="1960"/>
      <c r="G2379" s="1960"/>
      <c r="H2379" s="2520"/>
      <c r="I2379" s="2621"/>
      <c r="J2379" s="2510"/>
      <c r="K2379" s="2510"/>
      <c r="L2379" s="2510"/>
      <c r="M2379" s="2511"/>
      <c r="N2379" s="519"/>
      <c r="O2379" s="15"/>
      <c r="P2379" s="1362"/>
      <c r="Q2379" s="343"/>
      <c r="R2379" s="2"/>
      <c r="S2379" s="343"/>
      <c r="T2379" s="2"/>
      <c r="U2379" s="2"/>
      <c r="V2379" s="2"/>
      <c r="W2379" s="2"/>
      <c r="X2379" s="2"/>
      <c r="Y2379" s="2"/>
      <c r="Z2379" s="2"/>
      <c r="AA2379" s="2"/>
      <c r="AB2379" s="2"/>
      <c r="AC2379" s="672" t="s">
        <v>782</v>
      </c>
      <c r="AD2379" s="108" t="b">
        <f>AD2353</f>
        <v>0</v>
      </c>
      <c r="AE2379" s="2"/>
      <c r="AF2379" s="2"/>
      <c r="AG2379" s="2"/>
      <c r="AH2379" s="2"/>
      <c r="AI2379" s="2"/>
      <c r="AJ2379" s="2"/>
      <c r="AK2379" s="2"/>
      <c r="AL2379" s="2"/>
    </row>
    <row r="2380" spans="1:38" ht="12.75" customHeight="1" x14ac:dyDescent="0.25">
      <c r="A2380" s="2"/>
      <c r="B2380" s="178"/>
      <c r="C2380" s="779"/>
      <c r="D2380" s="416"/>
      <c r="E2380" s="2596" t="str">
        <f>Translations!$B$633</f>
        <v>De uppgifter som anges här påverkar de utsläpp som kan tillskrivas i enlighet med avsnitt 10.1.5 i bilaga VII till FAR.</v>
      </c>
      <c r="F2380" s="1960"/>
      <c r="G2380" s="1960"/>
      <c r="H2380" s="1960"/>
      <c r="I2380" s="1960"/>
      <c r="J2380" s="1960"/>
      <c r="K2380" s="1960"/>
      <c r="L2380" s="1960"/>
      <c r="M2380" s="1960"/>
      <c r="N2380" s="2597"/>
      <c r="O2380" s="15"/>
      <c r="P2380" s="15"/>
      <c r="Q2380" s="343"/>
      <c r="R2380" s="2"/>
      <c r="S2380" s="343"/>
      <c r="T2380" s="343"/>
      <c r="U2380" s="343"/>
      <c r="V2380" s="343"/>
      <c r="W2380" s="2"/>
      <c r="X2380" s="2"/>
      <c r="Y2380" s="2"/>
      <c r="Z2380" s="2"/>
      <c r="AA2380" s="2"/>
      <c r="AB2380" s="2"/>
      <c r="AC2380" s="2"/>
      <c r="AD2380" s="2"/>
      <c r="AE2380" s="2"/>
      <c r="AF2380" s="2"/>
      <c r="AG2380" s="2"/>
      <c r="AH2380" s="2"/>
      <c r="AI2380" s="2"/>
      <c r="AJ2380" s="2"/>
      <c r="AK2380" s="2"/>
      <c r="AL2380" s="2"/>
    </row>
    <row r="2381" spans="1:38" ht="25.5" customHeight="1" x14ac:dyDescent="0.25">
      <c r="A2381" s="2"/>
      <c r="B2381" s="178"/>
      <c r="C2381" s="779"/>
      <c r="D2381" s="416"/>
      <c r="E2381" s="2610" t="str">
        <f>Translations!$B$634</f>
        <v>Detta innefattar alla restgastyper som produceras utanför delanläggningens systemgränser men som importeras till delanläggningen och används för produktion av mätbar värme, icke-mätbar värme (inklusive för säkerhetsfackling) eller mekanisk energi (annat än för elproduktion).</v>
      </c>
      <c r="F2381" s="1960"/>
      <c r="G2381" s="1960"/>
      <c r="H2381" s="1960"/>
      <c r="I2381" s="1960"/>
      <c r="J2381" s="1960"/>
      <c r="K2381" s="1960"/>
      <c r="L2381" s="1960"/>
      <c r="M2381" s="1960"/>
      <c r="N2381" s="2597"/>
      <c r="O2381" s="15"/>
      <c r="P2381" s="15"/>
      <c r="Q2381" s="343"/>
      <c r="R2381" s="2"/>
      <c r="S2381" s="343"/>
      <c r="T2381" s="343"/>
      <c r="U2381" s="343"/>
      <c r="V2381" s="343"/>
      <c r="W2381" s="2"/>
      <c r="X2381" s="2"/>
      <c r="Y2381" s="2"/>
      <c r="Z2381" s="2"/>
      <c r="AA2381" s="2"/>
      <c r="AB2381" s="2"/>
      <c r="AC2381" s="2"/>
      <c r="AD2381" s="2"/>
      <c r="AE2381" s="2"/>
      <c r="AF2381" s="2"/>
      <c r="AG2381" s="2"/>
      <c r="AH2381" s="2"/>
      <c r="AI2381" s="2"/>
      <c r="AJ2381" s="2"/>
      <c r="AK2381" s="2"/>
      <c r="AL2381" s="2"/>
    </row>
    <row r="2382" spans="1:38" ht="12.75" customHeight="1" thickBot="1" x14ac:dyDescent="0.3">
      <c r="A2382" s="2"/>
      <c r="B2382" s="178"/>
      <c r="C2382" s="779"/>
      <c r="D2382" s="780"/>
      <c r="E2382" s="1716"/>
      <c r="F2382" s="1717"/>
      <c r="G2382" s="361" t="str">
        <f>EUconst_Unit</f>
        <v>Enhet</v>
      </c>
      <c r="H2382" s="362">
        <f t="shared" ref="H2382:N2382" si="1074">H$3042</f>
        <v>2019</v>
      </c>
      <c r="I2382" s="1103">
        <f t="shared" si="1074"/>
        <v>2020</v>
      </c>
      <c r="J2382" s="1104">
        <f t="shared" si="1074"/>
        <v>2021</v>
      </c>
      <c r="K2382" s="362">
        <f t="shared" si="1074"/>
        <v>2022</v>
      </c>
      <c r="L2382" s="362">
        <f t="shared" si="1074"/>
        <v>2023</v>
      </c>
      <c r="M2382" s="362">
        <f t="shared" si="1074"/>
        <v>2024</v>
      </c>
      <c r="N2382" s="1141">
        <f t="shared" si="1074"/>
        <v>2025</v>
      </c>
      <c r="O2382" s="15"/>
      <c r="P2382" s="15"/>
      <c r="Q2382" s="343"/>
      <c r="R2382" s="2"/>
      <c r="S2382" s="343"/>
      <c r="T2382" s="343"/>
      <c r="U2382" s="343"/>
      <c r="V2382" s="343"/>
      <c r="W2382" s="2"/>
      <c r="X2382" s="2"/>
      <c r="Y2382" s="2"/>
      <c r="Z2382" s="2"/>
      <c r="AA2382" s="2"/>
      <c r="AB2382" s="2"/>
      <c r="AC2382" s="1044">
        <f t="shared" ref="AC2382:AI2382" si="1075">H$20</f>
        <v>2019</v>
      </c>
      <c r="AD2382" s="1044">
        <f t="shared" si="1075"/>
        <v>2020</v>
      </c>
      <c r="AE2382" s="1044">
        <f t="shared" si="1075"/>
        <v>2021</v>
      </c>
      <c r="AF2382" s="1044">
        <f t="shared" si="1075"/>
        <v>2022</v>
      </c>
      <c r="AG2382" s="1044">
        <f t="shared" si="1075"/>
        <v>2023</v>
      </c>
      <c r="AH2382" s="1044">
        <f t="shared" si="1075"/>
        <v>2024</v>
      </c>
      <c r="AI2382" s="1044">
        <f t="shared" si="1075"/>
        <v>2025</v>
      </c>
      <c r="AJ2382" s="2"/>
      <c r="AK2382" s="2"/>
      <c r="AL2382" s="2"/>
    </row>
    <row r="2383" spans="1:38" ht="12.75" customHeight="1" thickBot="1" x14ac:dyDescent="0.3">
      <c r="A2383" s="2"/>
      <c r="B2383" s="178"/>
      <c r="C2383" s="779"/>
      <c r="D2383" s="416" t="s">
        <v>1206</v>
      </c>
      <c r="E2383" s="2611" t="str">
        <f>Translations!$B$635</f>
        <v>Importerade mängder</v>
      </c>
      <c r="F2383" s="2484"/>
      <c r="G2383" s="1314"/>
      <c r="H2383" s="1298"/>
      <c r="I2383" s="1299"/>
      <c r="J2383" s="1300"/>
      <c r="K2383" s="1298"/>
      <c r="L2383" s="1298"/>
      <c r="M2383" s="1298"/>
      <c r="N2383" s="1301"/>
      <c r="O2383" s="15"/>
      <c r="P2383" s="1362"/>
      <c r="Q2383" s="343"/>
      <c r="R2383" s="2"/>
      <c r="S2383" s="343"/>
      <c r="T2383" s="343"/>
      <c r="U2383" s="343"/>
      <c r="V2383" s="343"/>
      <c r="W2383" s="2"/>
      <c r="X2383" s="2"/>
      <c r="Y2383" s="2"/>
      <c r="Z2383" s="2"/>
      <c r="AA2383" s="2"/>
      <c r="AB2383" s="672" t="s">
        <v>782</v>
      </c>
      <c r="AC2383" s="108" t="b">
        <f t="shared" ref="AC2383:AI2383" si="1076">AC2339</f>
        <v>0</v>
      </c>
      <c r="AD2383" s="108" t="b">
        <f t="shared" si="1076"/>
        <v>0</v>
      </c>
      <c r="AE2383" s="108" t="b">
        <f t="shared" si="1076"/>
        <v>0</v>
      </c>
      <c r="AF2383" s="108" t="b">
        <f t="shared" si="1076"/>
        <v>0</v>
      </c>
      <c r="AG2383" s="108" t="b">
        <f t="shared" si="1076"/>
        <v>0</v>
      </c>
      <c r="AH2383" s="108" t="b">
        <f t="shared" si="1076"/>
        <v>0</v>
      </c>
      <c r="AI2383" s="108" t="b">
        <f t="shared" si="1076"/>
        <v>0</v>
      </c>
      <c r="AJ2383" s="553" t="s">
        <v>2248</v>
      </c>
      <c r="AK2383" s="663" t="str">
        <f>IF(AND(CNTR_ExistSubInstEntries,MSconst_RequireSubAttrEmissions,COUNTIFS(AC2383:AI2383,FALSE,H2383:N2383,"")&gt;0),EUconst_Error&amp;"BM"&amp;$Q2127,"")</f>
        <v/>
      </c>
      <c r="AL2383" s="2"/>
    </row>
    <row r="2384" spans="1:38" ht="12.75" customHeight="1" x14ac:dyDescent="0.25">
      <c r="A2384" s="2"/>
      <c r="B2384" s="178"/>
      <c r="C2384" s="779"/>
      <c r="D2384" s="416" t="s">
        <v>1207</v>
      </c>
      <c r="E2384" s="2612" t="str">
        <f>Translations!$B$318</f>
        <v>Effektivt värmevärde</v>
      </c>
      <c r="F2384" s="2487"/>
      <c r="G2384" s="51" t="str">
        <f>IF(ISBLANK(G2383),EUconst_GJperUnit,INDEX(EUconst_GJperTorKNm3,MATCH(G2383,EUconst_TonnesOrkNm3pa,0)))</f>
        <v>GJ / Enhet</v>
      </c>
      <c r="H2384" s="1306"/>
      <c r="I2384" s="1307"/>
      <c r="J2384" s="1308"/>
      <c r="K2384" s="1306"/>
      <c r="L2384" s="1306"/>
      <c r="M2384" s="1306"/>
      <c r="N2384" s="1309"/>
      <c r="O2384" s="15"/>
      <c r="P2384" s="1362"/>
      <c r="Q2384" s="343"/>
      <c r="R2384" s="2"/>
      <c r="S2384" s="772"/>
      <c r="T2384" s="609">
        <f t="shared" ref="T2384:Z2384" si="1077">H2382</f>
        <v>2019</v>
      </c>
      <c r="U2384" s="609">
        <f t="shared" si="1077"/>
        <v>2020</v>
      </c>
      <c r="V2384" s="609">
        <f t="shared" si="1077"/>
        <v>2021</v>
      </c>
      <c r="W2384" s="609">
        <f t="shared" si="1077"/>
        <v>2022</v>
      </c>
      <c r="X2384" s="609">
        <f t="shared" si="1077"/>
        <v>2023</v>
      </c>
      <c r="Y2384" s="609">
        <f t="shared" si="1077"/>
        <v>2024</v>
      </c>
      <c r="Z2384" s="610">
        <f t="shared" si="1077"/>
        <v>2025</v>
      </c>
      <c r="AA2384" s="2"/>
      <c r="AB2384" s="2"/>
      <c r="AC2384" s="108" t="b">
        <f>AC2383</f>
        <v>0</v>
      </c>
      <c r="AD2384" s="108" t="b">
        <f t="shared" ref="AD2384:AI2384" si="1078">AD2383</f>
        <v>0</v>
      </c>
      <c r="AE2384" s="108" t="b">
        <f t="shared" si="1078"/>
        <v>0</v>
      </c>
      <c r="AF2384" s="108" t="b">
        <f t="shared" si="1078"/>
        <v>0</v>
      </c>
      <c r="AG2384" s="108" t="b">
        <f t="shared" si="1078"/>
        <v>0</v>
      </c>
      <c r="AH2384" s="108" t="b">
        <f t="shared" si="1078"/>
        <v>0</v>
      </c>
      <c r="AI2384" s="108" t="b">
        <f t="shared" si="1078"/>
        <v>0</v>
      </c>
      <c r="AJ2384" s="553" t="s">
        <v>2248</v>
      </c>
      <c r="AK2384" s="663" t="str">
        <f>IF(AND(CNTR_ExistSubInstEntries,MSconst_RequireSubAttrEmissions,COUNTIFS(AC2384:AI2384,FALSE,H2384:N2384,"")&gt;0),EUconst_Error&amp;"BM"&amp;$Q2127,"")</f>
        <v/>
      </c>
      <c r="AL2384" s="2"/>
    </row>
    <row r="2385" spans="1:38" ht="12.75" customHeight="1" x14ac:dyDescent="0.25">
      <c r="A2385" s="2"/>
      <c r="B2385" s="178"/>
      <c r="C2385" s="779"/>
      <c r="D2385" s="416" t="s">
        <v>1208</v>
      </c>
      <c r="E2385" s="2613" t="str">
        <f>Translations!$B$636</f>
        <v>Importerad restgas</v>
      </c>
      <c r="F2385" s="1997"/>
      <c r="G2385" s="364" t="str">
        <f>EUconst_TJpa</f>
        <v>TJ / år</v>
      </c>
      <c r="H2385" s="351" t="str">
        <f t="shared" ref="H2385:N2385" si="1079">IF(COUNT(H2383:H2384)=2,H2383*H2384/1000,"")</f>
        <v/>
      </c>
      <c r="I2385" s="1107" t="str">
        <f t="shared" si="1079"/>
        <v/>
      </c>
      <c r="J2385" s="1113" t="str">
        <f t="shared" si="1079"/>
        <v/>
      </c>
      <c r="K2385" s="351" t="str">
        <f t="shared" si="1079"/>
        <v/>
      </c>
      <c r="L2385" s="351" t="str">
        <f t="shared" si="1079"/>
        <v/>
      </c>
      <c r="M2385" s="351" t="str">
        <f t="shared" si="1079"/>
        <v/>
      </c>
      <c r="N2385" s="1148" t="str">
        <f t="shared" si="1079"/>
        <v/>
      </c>
      <c r="O2385" s="15"/>
      <c r="P2385" s="15"/>
      <c r="Q2385" s="165" t="str">
        <f>EUconst_CNTR_WGImport &amp; I2127</f>
        <v>WasteGasIm_</v>
      </c>
      <c r="R2385" s="2"/>
      <c r="S2385" s="1751" t="str">
        <f>EUconst_ERR_AttrEmBMapplied &amp; I2127</f>
        <v>ERR_AttrEmBM_</v>
      </c>
      <c r="T2385" s="108">
        <f t="shared" ref="T2385:Z2385" si="1080">IF(AND(H2385&lt;&gt;"",EUconst_StatusOfDataCollection=FALSE),1,0)</f>
        <v>0</v>
      </c>
      <c r="U2385" s="108">
        <f t="shared" si="1080"/>
        <v>0</v>
      </c>
      <c r="V2385" s="108">
        <f t="shared" si="1080"/>
        <v>0</v>
      </c>
      <c r="W2385" s="108">
        <f t="shared" si="1080"/>
        <v>0</v>
      </c>
      <c r="X2385" s="108">
        <f t="shared" si="1080"/>
        <v>0</v>
      </c>
      <c r="Y2385" s="108">
        <f t="shared" si="1080"/>
        <v>0</v>
      </c>
      <c r="Z2385" s="109">
        <f t="shared" si="1080"/>
        <v>0</v>
      </c>
      <c r="AA2385" s="2"/>
      <c r="AB2385" s="2"/>
      <c r="AC2385" s="2"/>
      <c r="AD2385" s="2"/>
      <c r="AE2385" s="2"/>
      <c r="AF2385" s="2"/>
      <c r="AG2385" s="2"/>
      <c r="AH2385" s="2"/>
      <c r="AI2385" s="2"/>
      <c r="AJ2385" s="2"/>
      <c r="AK2385" s="2"/>
      <c r="AL2385" s="2"/>
    </row>
    <row r="2386" spans="1:38" s="534" customFormat="1" ht="12.75" customHeight="1" thickBot="1" x14ac:dyDescent="0.3">
      <c r="A2386" s="343"/>
      <c r="B2386" s="178"/>
      <c r="C2386" s="779"/>
      <c r="D2386" s="416" t="s">
        <v>1209</v>
      </c>
      <c r="E2386" s="2613" t="str">
        <f>Translations!$B$637</f>
        <v>Särskild emissionsfaktor (importerad restgas)</v>
      </c>
      <c r="F2386" s="1997"/>
      <c r="G2386" s="363" t="str">
        <f>EUconst_tCO2pTJ</f>
        <v>t CO2 / TJ</v>
      </c>
      <c r="H2386" s="1315"/>
      <c r="I2386" s="1316"/>
      <c r="J2386" s="1317"/>
      <c r="K2386" s="1315"/>
      <c r="L2386" s="1315"/>
      <c r="M2386" s="1315"/>
      <c r="N2386" s="1318"/>
      <c r="O2386" s="15"/>
      <c r="P2386" s="1362"/>
      <c r="Q2386" s="165" t="str">
        <f>EUconst_CNTR_WGImportEF &amp; I2127</f>
        <v>WasteGasImEF_</v>
      </c>
      <c r="R2386" s="343"/>
      <c r="S2386" s="773" t="str">
        <f>EUconst_CNTR_AttributedEmissions &amp; I2127</f>
        <v>AttrEmissions_</v>
      </c>
      <c r="T2386" s="111" t="str">
        <f t="shared" ref="T2386:Z2386" si="1081">IF(T2135,SUM(H2385)*EUconst_FuelBMvalue,"")</f>
        <v/>
      </c>
      <c r="U2386" s="111" t="str">
        <f t="shared" si="1081"/>
        <v/>
      </c>
      <c r="V2386" s="111" t="str">
        <f t="shared" si="1081"/>
        <v/>
      </c>
      <c r="W2386" s="111" t="str">
        <f t="shared" si="1081"/>
        <v/>
      </c>
      <c r="X2386" s="111" t="str">
        <f t="shared" si="1081"/>
        <v/>
      </c>
      <c r="Y2386" s="111" t="str">
        <f t="shared" si="1081"/>
        <v/>
      </c>
      <c r="Z2386" s="112" t="str">
        <f t="shared" si="1081"/>
        <v/>
      </c>
      <c r="AA2386" s="343"/>
      <c r="AB2386" s="672" t="s">
        <v>782</v>
      </c>
      <c r="AC2386" s="108" t="b">
        <f>AC2384</f>
        <v>0</v>
      </c>
      <c r="AD2386" s="108" t="b">
        <f t="shared" ref="AD2386:AI2386" si="1082">AD2384</f>
        <v>0</v>
      </c>
      <c r="AE2386" s="108" t="b">
        <f t="shared" si="1082"/>
        <v>0</v>
      </c>
      <c r="AF2386" s="108" t="b">
        <f t="shared" si="1082"/>
        <v>0</v>
      </c>
      <c r="AG2386" s="108" t="b">
        <f t="shared" si="1082"/>
        <v>0</v>
      </c>
      <c r="AH2386" s="108" t="b">
        <f t="shared" si="1082"/>
        <v>0</v>
      </c>
      <c r="AI2386" s="108" t="b">
        <f t="shared" si="1082"/>
        <v>0</v>
      </c>
      <c r="AJ2386" s="553" t="s">
        <v>2248</v>
      </c>
      <c r="AK2386" s="663" t="str">
        <f>IF(AND(CNTR_ExistSubInstEntries,MSconst_RequireSubAttrEmissions,COUNTIFS(AC2386:AI2386,FALSE,H2386:N2386,"")&gt;0),EUconst_Error&amp;"BM"&amp;$Q2127,"")</f>
        <v/>
      </c>
      <c r="AL2386" s="2"/>
    </row>
    <row r="2387" spans="1:38" ht="12.75" customHeight="1" x14ac:dyDescent="0.25">
      <c r="A2387" s="2"/>
      <c r="B2387" s="178"/>
      <c r="C2387" s="779"/>
      <c r="D2387" s="780"/>
      <c r="E2387" s="780"/>
      <c r="F2387" s="780"/>
      <c r="G2387" s="780"/>
      <c r="H2387" s="1805"/>
      <c r="I2387" s="780"/>
      <c r="J2387" s="780"/>
      <c r="K2387" s="780"/>
      <c r="L2387" s="780"/>
      <c r="M2387" s="623"/>
      <c r="N2387" s="519"/>
      <c r="O2387" s="15"/>
      <c r="P2387" s="15"/>
      <c r="Q2387" s="343"/>
      <c r="R2387" s="2"/>
      <c r="S2387" s="343"/>
      <c r="T2387" s="343"/>
      <c r="U2387" s="343"/>
      <c r="V2387" s="343"/>
      <c r="W2387" s="2"/>
      <c r="X2387" s="2"/>
      <c r="Y2387" s="2"/>
      <c r="Z2387" s="2"/>
      <c r="AA2387" s="2"/>
      <c r="AB2387" s="2"/>
      <c r="AC2387" s="2"/>
      <c r="AD2387" s="2"/>
      <c r="AE2387" s="2"/>
      <c r="AF2387" s="2"/>
      <c r="AG2387" s="2"/>
      <c r="AH2387" s="2"/>
      <c r="AI2387" s="2"/>
      <c r="AJ2387" s="2"/>
      <c r="AK2387" s="2"/>
      <c r="AL2387" s="2"/>
    </row>
    <row r="2388" spans="1:38" ht="12.75" customHeight="1" x14ac:dyDescent="0.25">
      <c r="A2388" s="2"/>
      <c r="B2388" s="178"/>
      <c r="C2388" s="779"/>
      <c r="D2388" s="416" t="s">
        <v>1210</v>
      </c>
      <c r="E2388" s="2614" t="str">
        <f>Translations!$B$638</f>
        <v>Exporterade restgastyper:</v>
      </c>
      <c r="F2388" s="1960"/>
      <c r="G2388" s="1960"/>
      <c r="H2388" s="2520"/>
      <c r="I2388" s="2621"/>
      <c r="J2388" s="2510"/>
      <c r="K2388" s="2510"/>
      <c r="L2388" s="2510"/>
      <c r="M2388" s="2511"/>
      <c r="N2388" s="1807"/>
      <c r="O2388" s="15"/>
      <c r="P2388" s="1362"/>
      <c r="Q2388" s="343"/>
      <c r="R2388" s="2"/>
      <c r="S2388" s="343"/>
      <c r="T2388" s="2"/>
      <c r="U2388" s="2"/>
      <c r="V2388" s="2"/>
      <c r="W2388" s="2"/>
      <c r="X2388" s="2"/>
      <c r="Y2388" s="2"/>
      <c r="Z2388" s="2"/>
      <c r="AA2388" s="2"/>
      <c r="AB2388" s="2"/>
      <c r="AC2388" s="672" t="s">
        <v>782</v>
      </c>
      <c r="AD2388" s="108" t="b">
        <f>AD2379</f>
        <v>0</v>
      </c>
      <c r="AE2388" s="2"/>
      <c r="AF2388" s="2"/>
      <c r="AG2388" s="2"/>
      <c r="AH2388" s="2"/>
      <c r="AI2388" s="2"/>
      <c r="AJ2388" s="2"/>
      <c r="AK2388" s="2"/>
      <c r="AL2388" s="2"/>
    </row>
    <row r="2389" spans="1:38" ht="12.75" customHeight="1" x14ac:dyDescent="0.25">
      <c r="A2389" s="2"/>
      <c r="B2389" s="178"/>
      <c r="C2389" s="779"/>
      <c r="D2389" s="416"/>
      <c r="E2389" s="2596" t="str">
        <f>Translations!$B$633</f>
        <v>De uppgifter som anges här påverkar de utsläpp som kan tillskrivas i enlighet med avsnitt 10.1.5 i bilaga VII till FAR.</v>
      </c>
      <c r="F2389" s="1960"/>
      <c r="G2389" s="1960"/>
      <c r="H2389" s="1960"/>
      <c r="I2389" s="1960"/>
      <c r="J2389" s="1960"/>
      <c r="K2389" s="1960"/>
      <c r="L2389" s="1960"/>
      <c r="M2389" s="1960"/>
      <c r="N2389" s="2597"/>
      <c r="O2389" s="15"/>
      <c r="P2389" s="15"/>
      <c r="Q2389" s="343"/>
      <c r="R2389" s="2"/>
      <c r="S2389" s="343"/>
      <c r="T2389" s="343"/>
      <c r="U2389" s="343"/>
      <c r="V2389" s="343"/>
      <c r="W2389" s="2"/>
      <c r="X2389" s="2"/>
      <c r="Y2389" s="2"/>
      <c r="Z2389" s="2"/>
      <c r="AA2389" s="2"/>
      <c r="AB2389" s="2"/>
      <c r="AC2389" s="2"/>
      <c r="AD2389" s="2"/>
      <c r="AE2389" s="2"/>
      <c r="AF2389" s="2"/>
      <c r="AG2389" s="2"/>
      <c r="AH2389" s="2"/>
      <c r="AI2389" s="2"/>
      <c r="AJ2389" s="2"/>
      <c r="AK2389" s="2"/>
      <c r="AL2389" s="2"/>
    </row>
    <row r="2390" spans="1:38" ht="25.5" customHeight="1" x14ac:dyDescent="0.25">
      <c r="A2390" s="2"/>
      <c r="B2390" s="178"/>
      <c r="C2390" s="779"/>
      <c r="D2390" s="416"/>
      <c r="E2390" s="2610" t="str">
        <f>Translations!$B$639</f>
        <v>Detta innefattar alla restgastyper som produceras inom delanläggningens systemgränser och som exporteras från delanläggningen till en annan delanläggning samt till eventuella andra anläggningar eller enheter.</v>
      </c>
      <c r="F2390" s="1960"/>
      <c r="G2390" s="1960"/>
      <c r="H2390" s="1960"/>
      <c r="I2390" s="1960"/>
      <c r="J2390" s="1960"/>
      <c r="K2390" s="1960"/>
      <c r="L2390" s="1960"/>
      <c r="M2390" s="1960"/>
      <c r="N2390" s="2597"/>
      <c r="O2390" s="15"/>
      <c r="P2390" s="15"/>
      <c r="Q2390" s="343"/>
      <c r="R2390" s="2"/>
      <c r="S2390" s="343"/>
      <c r="T2390" s="343"/>
      <c r="U2390" s="343"/>
      <c r="V2390" s="343"/>
      <c r="W2390" s="2"/>
      <c r="X2390" s="2"/>
      <c r="Y2390" s="2"/>
      <c r="Z2390" s="2"/>
      <c r="AA2390" s="2"/>
      <c r="AB2390" s="2"/>
      <c r="AC2390" s="2"/>
      <c r="AD2390" s="2"/>
      <c r="AE2390" s="2"/>
      <c r="AF2390" s="2"/>
      <c r="AG2390" s="2"/>
      <c r="AH2390" s="2"/>
      <c r="AI2390" s="2"/>
      <c r="AJ2390" s="2"/>
      <c r="AK2390" s="2"/>
      <c r="AL2390" s="2"/>
    </row>
    <row r="2391" spans="1:38" ht="12.75" customHeight="1" thickBot="1" x14ac:dyDescent="0.3">
      <c r="A2391" s="2"/>
      <c r="B2391" s="178"/>
      <c r="C2391" s="779"/>
      <c r="D2391" s="780"/>
      <c r="E2391" s="1716"/>
      <c r="F2391" s="1717"/>
      <c r="G2391" s="361" t="str">
        <f>EUconst_Unit</f>
        <v>Enhet</v>
      </c>
      <c r="H2391" s="362">
        <f t="shared" ref="H2391:N2391" si="1083">H$3042</f>
        <v>2019</v>
      </c>
      <c r="I2391" s="1103">
        <f t="shared" si="1083"/>
        <v>2020</v>
      </c>
      <c r="J2391" s="1104">
        <f t="shared" si="1083"/>
        <v>2021</v>
      </c>
      <c r="K2391" s="362">
        <f t="shared" si="1083"/>
        <v>2022</v>
      </c>
      <c r="L2391" s="362">
        <f t="shared" si="1083"/>
        <v>2023</v>
      </c>
      <c r="M2391" s="362">
        <f t="shared" si="1083"/>
        <v>2024</v>
      </c>
      <c r="N2391" s="1141">
        <f t="shared" si="1083"/>
        <v>2025</v>
      </c>
      <c r="O2391" s="15"/>
      <c r="P2391" s="15"/>
      <c r="Q2391" s="343"/>
      <c r="R2391" s="2"/>
      <c r="S2391" s="343"/>
      <c r="T2391" s="343"/>
      <c r="U2391" s="343"/>
      <c r="V2391" s="343"/>
      <c r="W2391" s="2"/>
      <c r="X2391" s="2"/>
      <c r="Y2391" s="2"/>
      <c r="Z2391" s="2"/>
      <c r="AA2391" s="2"/>
      <c r="AB2391" s="2"/>
      <c r="AC2391" s="1044">
        <f t="shared" ref="AC2391:AI2391" si="1084">H$20</f>
        <v>2019</v>
      </c>
      <c r="AD2391" s="1044">
        <f t="shared" si="1084"/>
        <v>2020</v>
      </c>
      <c r="AE2391" s="1044">
        <f t="shared" si="1084"/>
        <v>2021</v>
      </c>
      <c r="AF2391" s="1044">
        <f t="shared" si="1084"/>
        <v>2022</v>
      </c>
      <c r="AG2391" s="1044">
        <f t="shared" si="1084"/>
        <v>2023</v>
      </c>
      <c r="AH2391" s="1044">
        <f t="shared" si="1084"/>
        <v>2024</v>
      </c>
      <c r="AI2391" s="1044">
        <f t="shared" si="1084"/>
        <v>2025</v>
      </c>
      <c r="AJ2391" s="2"/>
      <c r="AK2391" s="2"/>
      <c r="AL2391" s="2"/>
    </row>
    <row r="2392" spans="1:38" ht="12.75" customHeight="1" x14ac:dyDescent="0.25">
      <c r="A2392" s="2"/>
      <c r="B2392" s="178"/>
      <c r="C2392" s="779"/>
      <c r="D2392" s="416" t="s">
        <v>1211</v>
      </c>
      <c r="E2392" s="2611" t="str">
        <f>Translations!$B$640</f>
        <v>Exporterade mängder</v>
      </c>
      <c r="F2392" s="2484"/>
      <c r="G2392" s="1314"/>
      <c r="H2392" s="1298"/>
      <c r="I2392" s="1299"/>
      <c r="J2392" s="1300"/>
      <c r="K2392" s="1298"/>
      <c r="L2392" s="1298"/>
      <c r="M2392" s="1298"/>
      <c r="N2392" s="1301"/>
      <c r="O2392" s="15"/>
      <c r="P2392" s="1362"/>
      <c r="Q2392" s="343"/>
      <c r="R2392" s="2"/>
      <c r="S2392" s="343"/>
      <c r="T2392" s="343"/>
      <c r="U2392" s="343"/>
      <c r="V2392" s="343"/>
      <c r="W2392" s="2"/>
      <c r="X2392" s="2"/>
      <c r="Y2392" s="2"/>
      <c r="Z2392" s="2"/>
      <c r="AA2392" s="2"/>
      <c r="AB2392" s="672" t="s">
        <v>782</v>
      </c>
      <c r="AC2392" s="108" t="b">
        <f>AC2339</f>
        <v>0</v>
      </c>
      <c r="AD2392" s="108" t="b">
        <f t="shared" ref="AD2392:AI2392" si="1085">AD2339</f>
        <v>0</v>
      </c>
      <c r="AE2392" s="108" t="b">
        <f t="shared" si="1085"/>
        <v>0</v>
      </c>
      <c r="AF2392" s="108" t="b">
        <f t="shared" si="1085"/>
        <v>0</v>
      </c>
      <c r="AG2392" s="108" t="b">
        <f t="shared" si="1085"/>
        <v>0</v>
      </c>
      <c r="AH2392" s="108" t="b">
        <f t="shared" si="1085"/>
        <v>0</v>
      </c>
      <c r="AI2392" s="108" t="b">
        <f t="shared" si="1085"/>
        <v>0</v>
      </c>
      <c r="AJ2392" s="553" t="s">
        <v>2248</v>
      </c>
      <c r="AK2392" s="663" t="str">
        <f>IF(AND(CNTR_ExistSubInstEntries,MSconst_RequireSubAttrEmissions,COUNTIFS(AC2392:AI2392,FALSE,H2392:N2392,"")&gt;0),EUconst_Error&amp;"BM"&amp;$Q2127,"")</f>
        <v/>
      </c>
      <c r="AL2392" s="2"/>
    </row>
    <row r="2393" spans="1:38" ht="12.75" customHeight="1" thickBot="1" x14ac:dyDescent="0.3">
      <c r="A2393" s="2"/>
      <c r="B2393" s="178"/>
      <c r="C2393" s="779"/>
      <c r="D2393" s="416" t="s">
        <v>1733</v>
      </c>
      <c r="E2393" s="2612" t="str">
        <f>Translations!$B$318</f>
        <v>Effektivt värmevärde</v>
      </c>
      <c r="F2393" s="2487"/>
      <c r="G2393" s="51" t="str">
        <f>IF(ISBLANK(G2392),EUconst_GJperUnit,INDEX(EUconst_GJperTorKNm3,MATCH(G2392,EUconst_TonnesOrkNm3pa,0)))</f>
        <v>GJ / Enhet</v>
      </c>
      <c r="H2393" s="1306"/>
      <c r="I2393" s="1307"/>
      <c r="J2393" s="1308"/>
      <c r="K2393" s="1306"/>
      <c r="L2393" s="1306"/>
      <c r="M2393" s="1306"/>
      <c r="N2393" s="1309"/>
      <c r="O2393" s="15"/>
      <c r="P2393" s="1362"/>
      <c r="Q2393" s="343"/>
      <c r="R2393" s="2"/>
      <c r="S2393" s="343"/>
      <c r="T2393" s="343"/>
      <c r="U2393" s="343"/>
      <c r="V2393" s="343"/>
      <c r="W2393" s="2"/>
      <c r="X2393" s="2"/>
      <c r="Y2393" s="2"/>
      <c r="Z2393" s="2"/>
      <c r="AA2393" s="2"/>
      <c r="AB2393" s="2"/>
      <c r="AC2393" s="108" t="b">
        <f>AC2392</f>
        <v>0</v>
      </c>
      <c r="AD2393" s="108" t="b">
        <f t="shared" ref="AD2393:AI2393" si="1086">AD2392</f>
        <v>0</v>
      </c>
      <c r="AE2393" s="108" t="b">
        <f t="shared" si="1086"/>
        <v>0</v>
      </c>
      <c r="AF2393" s="108" t="b">
        <f t="shared" si="1086"/>
        <v>0</v>
      </c>
      <c r="AG2393" s="108" t="b">
        <f t="shared" si="1086"/>
        <v>0</v>
      </c>
      <c r="AH2393" s="108" t="b">
        <f t="shared" si="1086"/>
        <v>0</v>
      </c>
      <c r="AI2393" s="108" t="b">
        <f t="shared" si="1086"/>
        <v>0</v>
      </c>
      <c r="AJ2393" s="553" t="s">
        <v>2248</v>
      </c>
      <c r="AK2393" s="663" t="str">
        <f>IF(AND(CNTR_ExistSubInstEntries,MSconst_RequireSubAttrEmissions,COUNTIFS(AC2393:AI2393,FALSE,H2393:N2393,"")&gt;0),EUconst_Error&amp;"BM"&amp;$Q2127,"")</f>
        <v/>
      </c>
      <c r="AL2393" s="2"/>
    </row>
    <row r="2394" spans="1:38" ht="12.75" customHeight="1" x14ac:dyDescent="0.25">
      <c r="A2394" s="2"/>
      <c r="B2394" s="178"/>
      <c r="C2394" s="779"/>
      <c r="D2394" s="416" t="s">
        <v>1787</v>
      </c>
      <c r="E2394" s="2613" t="str">
        <f>Translations!$B$641</f>
        <v>Exporterad restgas</v>
      </c>
      <c r="F2394" s="1997"/>
      <c r="G2394" s="364" t="str">
        <f>EUconst_TJpa</f>
        <v>TJ / år</v>
      </c>
      <c r="H2394" s="351" t="str">
        <f t="shared" ref="H2394:N2394" si="1087">IF(COUNT(H2392:H2393)=2,H2392*H2393/1000,"")</f>
        <v/>
      </c>
      <c r="I2394" s="1107" t="str">
        <f t="shared" si="1087"/>
        <v/>
      </c>
      <c r="J2394" s="1113" t="str">
        <f t="shared" si="1087"/>
        <v/>
      </c>
      <c r="K2394" s="351" t="str">
        <f t="shared" si="1087"/>
        <v/>
      </c>
      <c r="L2394" s="351" t="str">
        <f t="shared" si="1087"/>
        <v/>
      </c>
      <c r="M2394" s="351" t="str">
        <f t="shared" si="1087"/>
        <v/>
      </c>
      <c r="N2394" s="1148" t="str">
        <f t="shared" si="1087"/>
        <v/>
      </c>
      <c r="O2394" s="15"/>
      <c r="P2394" s="15"/>
      <c r="Q2394" s="165" t="str">
        <f>EUconst_CNTR_WGExport &amp; I2127</f>
        <v>WasteGasEx_</v>
      </c>
      <c r="R2394" s="2"/>
      <c r="S2394" s="772"/>
      <c r="T2394" s="609">
        <f t="shared" ref="T2394:Z2394" si="1088">H2391</f>
        <v>2019</v>
      </c>
      <c r="U2394" s="609">
        <f t="shared" si="1088"/>
        <v>2020</v>
      </c>
      <c r="V2394" s="609">
        <f t="shared" si="1088"/>
        <v>2021</v>
      </c>
      <c r="W2394" s="609">
        <f t="shared" si="1088"/>
        <v>2022</v>
      </c>
      <c r="X2394" s="609">
        <f t="shared" si="1088"/>
        <v>2023</v>
      </c>
      <c r="Y2394" s="609">
        <f t="shared" si="1088"/>
        <v>2024</v>
      </c>
      <c r="Z2394" s="610">
        <f t="shared" si="1088"/>
        <v>2025</v>
      </c>
      <c r="AA2394" s="2"/>
      <c r="AB2394" s="2"/>
      <c r="AC2394" s="2"/>
      <c r="AD2394" s="2"/>
      <c r="AE2394" s="2"/>
      <c r="AF2394" s="2"/>
      <c r="AG2394" s="2"/>
      <c r="AH2394" s="2"/>
      <c r="AI2394" s="2"/>
      <c r="AJ2394" s="2"/>
      <c r="AK2394" s="2"/>
      <c r="AL2394" s="2"/>
    </row>
    <row r="2395" spans="1:38" s="534" customFormat="1" ht="12.75" customHeight="1" thickBot="1" x14ac:dyDescent="0.3">
      <c r="A2395" s="2"/>
      <c r="B2395" s="178"/>
      <c r="C2395" s="779"/>
      <c r="D2395" s="416" t="s">
        <v>1788</v>
      </c>
      <c r="E2395" s="2613" t="str">
        <f>Translations!$B$642</f>
        <v>Särskild emissionsfaktor (exporterad restgas)</v>
      </c>
      <c r="F2395" s="1997"/>
      <c r="G2395" s="363" t="str">
        <f>EUconst_tCO2pTJ</f>
        <v>t CO2 / TJ</v>
      </c>
      <c r="H2395" s="1315"/>
      <c r="I2395" s="1316"/>
      <c r="J2395" s="1317"/>
      <c r="K2395" s="1315"/>
      <c r="L2395" s="1315"/>
      <c r="M2395" s="1315"/>
      <c r="N2395" s="1318"/>
      <c r="O2395" s="15"/>
      <c r="P2395" s="1362"/>
      <c r="Q2395" s="165" t="str">
        <f>EUconst_CNTR_WGExportEF &amp; I2127</f>
        <v>WasteGasExEF_</v>
      </c>
      <c r="R2395" s="343"/>
      <c r="S2395" s="773" t="str">
        <f>EUconst_CNTR_AttributedEmissions &amp; I2127</f>
        <v>AttrEmissions_</v>
      </c>
      <c r="T2395" s="111" t="str">
        <f t="shared" ref="T2395:Z2395" si="1089">IF(T2135,-SUM(H2394)*EUconst_NGEFvalue*EUconst_WasteGasCorrFactor,"")</f>
        <v/>
      </c>
      <c r="U2395" s="111" t="str">
        <f t="shared" si="1089"/>
        <v/>
      </c>
      <c r="V2395" s="111" t="str">
        <f t="shared" si="1089"/>
        <v/>
      </c>
      <c r="W2395" s="111" t="str">
        <f t="shared" si="1089"/>
        <v/>
      </c>
      <c r="X2395" s="111" t="str">
        <f t="shared" si="1089"/>
        <v/>
      </c>
      <c r="Y2395" s="111" t="str">
        <f t="shared" si="1089"/>
        <v/>
      </c>
      <c r="Z2395" s="112" t="str">
        <f t="shared" si="1089"/>
        <v/>
      </c>
      <c r="AA2395" s="343"/>
      <c r="AB2395" s="672" t="s">
        <v>782</v>
      </c>
      <c r="AC2395" s="108" t="b">
        <f t="shared" ref="AC2395:AI2395" si="1090">AC2342</f>
        <v>0</v>
      </c>
      <c r="AD2395" s="108" t="b">
        <f t="shared" si="1090"/>
        <v>0</v>
      </c>
      <c r="AE2395" s="108" t="b">
        <f t="shared" si="1090"/>
        <v>0</v>
      </c>
      <c r="AF2395" s="108" t="b">
        <f t="shared" si="1090"/>
        <v>0</v>
      </c>
      <c r="AG2395" s="108" t="b">
        <f t="shared" si="1090"/>
        <v>0</v>
      </c>
      <c r="AH2395" s="108" t="b">
        <f t="shared" si="1090"/>
        <v>0</v>
      </c>
      <c r="AI2395" s="108" t="b">
        <f t="shared" si="1090"/>
        <v>0</v>
      </c>
      <c r="AJ2395" s="553" t="s">
        <v>2248</v>
      </c>
      <c r="AK2395" s="663" t="str">
        <f>IF(AND(CNTR_ExistSubInstEntries,MSconst_RequireSubAttrEmissions,COUNTIFS(AC2395:AI2395,FALSE,H2395:N2395,"")&gt;0),EUconst_Error&amp;"BM"&amp;$Q2127,"")</f>
        <v/>
      </c>
      <c r="AL2395" s="2"/>
    </row>
    <row r="2396" spans="1:38" ht="12.75" customHeight="1" x14ac:dyDescent="0.25">
      <c r="A2396" s="2"/>
      <c r="B2396" s="178"/>
      <c r="C2396" s="779"/>
      <c r="D2396" s="780"/>
      <c r="E2396" s="780"/>
      <c r="F2396" s="780"/>
      <c r="G2396" s="780"/>
      <c r="H2396" s="780"/>
      <c r="I2396" s="1805"/>
      <c r="J2396" s="780"/>
      <c r="K2396" s="780"/>
      <c r="L2396" s="780"/>
      <c r="M2396" s="780"/>
      <c r="N2396" s="519"/>
      <c r="O2396" s="15"/>
      <c r="P2396" s="15"/>
      <c r="Q2396" s="343"/>
      <c r="R2396" s="2"/>
      <c r="S2396" s="343"/>
      <c r="T2396" s="2"/>
      <c r="U2396" s="2"/>
      <c r="V2396" s="2"/>
      <c r="W2396" s="2"/>
      <c r="X2396" s="2"/>
      <c r="Y2396" s="2"/>
      <c r="Z2396" s="2"/>
      <c r="AA2396" s="2"/>
      <c r="AB2396" s="2"/>
      <c r="AC2396" s="2"/>
      <c r="AD2396" s="2"/>
      <c r="AE2396" s="2"/>
      <c r="AF2396" s="2"/>
      <c r="AG2396" s="2"/>
      <c r="AH2396" s="2"/>
      <c r="AI2396" s="2"/>
      <c r="AJ2396" s="2"/>
      <c r="AK2396" s="2"/>
      <c r="AL2396" s="2"/>
    </row>
    <row r="2397" spans="1:38" ht="12.75" customHeight="1" x14ac:dyDescent="0.25">
      <c r="A2397" s="2"/>
      <c r="B2397" s="178"/>
      <c r="C2397" s="779"/>
      <c r="D2397" s="373" t="s">
        <v>527</v>
      </c>
      <c r="E2397" s="2614" t="str">
        <f>Translations!$B$268</f>
        <v>Elproduktion</v>
      </c>
      <c r="F2397" s="1960"/>
      <c r="G2397" s="1960"/>
      <c r="H2397" s="1960"/>
      <c r="I2397" s="1960"/>
      <c r="J2397" s="1960"/>
      <c r="K2397" s="1960"/>
      <c r="L2397" s="1960"/>
      <c r="M2397" s="1960"/>
      <c r="N2397" s="2597"/>
      <c r="O2397" s="15"/>
      <c r="P2397" s="15"/>
      <c r="Q2397" s="343"/>
      <c r="R2397" s="2"/>
      <c r="S2397" s="343"/>
      <c r="T2397" s="2"/>
      <c r="U2397" s="2"/>
      <c r="V2397" s="2"/>
      <c r="W2397" s="2"/>
      <c r="X2397" s="2"/>
      <c r="Y2397" s="2"/>
      <c r="Z2397" s="2"/>
      <c r="AA2397" s="2"/>
      <c r="AB2397" s="2"/>
      <c r="AC2397" s="2"/>
      <c r="AD2397" s="2"/>
      <c r="AE2397" s="2"/>
      <c r="AF2397" s="2"/>
      <c r="AG2397" s="2"/>
      <c r="AH2397" s="2"/>
      <c r="AI2397" s="2"/>
      <c r="AJ2397" s="2"/>
      <c r="AK2397" s="2"/>
      <c r="AL2397" s="2"/>
    </row>
    <row r="2398" spans="1:38" ht="12.75" customHeight="1" x14ac:dyDescent="0.25">
      <c r="A2398" s="2"/>
      <c r="B2398" s="178"/>
      <c r="C2398" s="779"/>
      <c r="D2398" s="416"/>
      <c r="E2398" s="2596" t="str">
        <f>Translations!$B$643</f>
        <v>De uppgifter som anges här påverkar de utsläpp som kan tillskrivas i enlighet med kapitel 10 i bilaga VII till FAR.</v>
      </c>
      <c r="F2398" s="1960"/>
      <c r="G2398" s="1960"/>
      <c r="H2398" s="1960"/>
      <c r="I2398" s="1960"/>
      <c r="J2398" s="1960"/>
      <c r="K2398" s="1960"/>
      <c r="L2398" s="1960"/>
      <c r="M2398" s="1960"/>
      <c r="N2398" s="2597"/>
      <c r="O2398" s="15"/>
      <c r="P2398" s="15"/>
      <c r="Q2398" s="343"/>
      <c r="R2398" s="2"/>
      <c r="S2398" s="343"/>
      <c r="T2398" s="343"/>
      <c r="U2398" s="343"/>
      <c r="V2398" s="343"/>
      <c r="W2398" s="2"/>
      <c r="X2398" s="2"/>
      <c r="Y2398" s="2"/>
      <c r="Z2398" s="2"/>
      <c r="AA2398" s="2"/>
      <c r="AB2398" s="2"/>
      <c r="AC2398" s="2"/>
      <c r="AD2398" s="2"/>
      <c r="AE2398" s="2"/>
      <c r="AF2398" s="2"/>
      <c r="AG2398" s="2"/>
      <c r="AH2398" s="2"/>
      <c r="AI2398" s="2"/>
      <c r="AJ2398" s="2"/>
      <c r="AK2398" s="2"/>
      <c r="AL2398" s="2"/>
    </row>
    <row r="2399" spans="1:38" ht="25.5" customHeight="1" thickBot="1" x14ac:dyDescent="0.3">
      <c r="A2399" s="2"/>
      <c r="B2399" s="178"/>
      <c r="C2399" s="779"/>
      <c r="D2399" s="780"/>
      <c r="E2399" s="2610" t="str">
        <f>Translations!$B$644</f>
        <v>Detta innefattar el som produceras direkt från delanläggningen i enlighet med avsnitt 3.1 (i) i bilaga IV till FAR. El som produceras via intermediär mätbar värme bör inte anges här utan som export av mätbar värme i punkt k.v ovan.</v>
      </c>
      <c r="F2399" s="1960"/>
      <c r="G2399" s="1960"/>
      <c r="H2399" s="1960"/>
      <c r="I2399" s="1960"/>
      <c r="J2399" s="1960"/>
      <c r="K2399" s="1960"/>
      <c r="L2399" s="1960"/>
      <c r="M2399" s="1960"/>
      <c r="N2399" s="2597"/>
      <c r="O2399" s="15"/>
      <c r="P2399" s="15"/>
      <c r="Q2399" s="343"/>
      <c r="R2399" s="2"/>
      <c r="S2399" s="343"/>
      <c r="T2399" s="2"/>
      <c r="U2399" s="2"/>
      <c r="V2399" s="2"/>
      <c r="W2399" s="2"/>
      <c r="X2399" s="2"/>
      <c r="Y2399" s="2"/>
      <c r="Z2399" s="2"/>
      <c r="AA2399" s="2"/>
      <c r="AB2399" s="2"/>
      <c r="AC2399" s="2"/>
      <c r="AD2399" s="2"/>
      <c r="AE2399" s="2"/>
      <c r="AF2399" s="2"/>
      <c r="AG2399" s="2"/>
      <c r="AH2399" s="2"/>
      <c r="AI2399" s="2"/>
      <c r="AJ2399" s="2"/>
      <c r="AK2399" s="2"/>
      <c r="AL2399" s="2"/>
    </row>
    <row r="2400" spans="1:38" ht="12.75" customHeight="1" thickBot="1" x14ac:dyDescent="0.3">
      <c r="A2400" s="2"/>
      <c r="B2400" s="178"/>
      <c r="C2400" s="779"/>
      <c r="D2400" s="373"/>
      <c r="E2400" s="1716"/>
      <c r="F2400" s="1717"/>
      <c r="G2400" s="361" t="str">
        <f>EUconst_Unit</f>
        <v>Enhet</v>
      </c>
      <c r="H2400" s="362">
        <f t="shared" ref="H2400:N2400" si="1091">H$3042</f>
        <v>2019</v>
      </c>
      <c r="I2400" s="1103">
        <f t="shared" si="1091"/>
        <v>2020</v>
      </c>
      <c r="J2400" s="1104">
        <f t="shared" si="1091"/>
        <v>2021</v>
      </c>
      <c r="K2400" s="362">
        <f t="shared" si="1091"/>
        <v>2022</v>
      </c>
      <c r="L2400" s="362">
        <f t="shared" si="1091"/>
        <v>2023</v>
      </c>
      <c r="M2400" s="362">
        <f t="shared" si="1091"/>
        <v>2024</v>
      </c>
      <c r="N2400" s="1141">
        <f t="shared" si="1091"/>
        <v>2025</v>
      </c>
      <c r="O2400" s="15"/>
      <c r="P2400" s="15"/>
      <c r="Q2400" s="343"/>
      <c r="R2400" s="2"/>
      <c r="S2400" s="772"/>
      <c r="T2400" s="609">
        <f t="shared" ref="T2400:Z2400" si="1092">H2400</f>
        <v>2019</v>
      </c>
      <c r="U2400" s="609">
        <f t="shared" si="1092"/>
        <v>2020</v>
      </c>
      <c r="V2400" s="609">
        <f t="shared" si="1092"/>
        <v>2021</v>
      </c>
      <c r="W2400" s="609">
        <f t="shared" si="1092"/>
        <v>2022</v>
      </c>
      <c r="X2400" s="609">
        <f t="shared" si="1092"/>
        <v>2023</v>
      </c>
      <c r="Y2400" s="609">
        <f t="shared" si="1092"/>
        <v>2024</v>
      </c>
      <c r="Z2400" s="610">
        <f t="shared" si="1092"/>
        <v>2025</v>
      </c>
      <c r="AA2400" s="2"/>
      <c r="AB2400" s="2"/>
      <c r="AC2400" s="1044">
        <f t="shared" ref="AC2400:AI2400" si="1093">H$20</f>
        <v>2019</v>
      </c>
      <c r="AD2400" s="1044">
        <f t="shared" si="1093"/>
        <v>2020</v>
      </c>
      <c r="AE2400" s="1044">
        <f t="shared" si="1093"/>
        <v>2021</v>
      </c>
      <c r="AF2400" s="1044">
        <f t="shared" si="1093"/>
        <v>2022</v>
      </c>
      <c r="AG2400" s="1044">
        <f t="shared" si="1093"/>
        <v>2023</v>
      </c>
      <c r="AH2400" s="1044">
        <f t="shared" si="1093"/>
        <v>2024</v>
      </c>
      <c r="AI2400" s="1044">
        <f t="shared" si="1093"/>
        <v>2025</v>
      </c>
      <c r="AJ2400" s="2"/>
      <c r="AK2400" s="2"/>
      <c r="AL2400" s="2"/>
    </row>
    <row r="2401" spans="1:38" ht="12.75" customHeight="1" thickBot="1" x14ac:dyDescent="0.3">
      <c r="A2401" s="2"/>
      <c r="B2401" s="178"/>
      <c r="C2401" s="779"/>
      <c r="D2401" s="416"/>
      <c r="E2401" s="2613" t="str">
        <f>Translations!$B$645</f>
        <v>Producerad el</v>
      </c>
      <c r="F2401" s="1997"/>
      <c r="G2401" s="364" t="str">
        <f>EUconst_MWhpa</f>
        <v>MWh / år</v>
      </c>
      <c r="H2401" s="582"/>
      <c r="I2401" s="1105"/>
      <c r="J2401" s="1115"/>
      <c r="K2401" s="582"/>
      <c r="L2401" s="582"/>
      <c r="M2401" s="582"/>
      <c r="N2401" s="1146"/>
      <c r="O2401" s="15"/>
      <c r="P2401" s="1362"/>
      <c r="Q2401" s="165" t="str">
        <f>EUconst_CNTR_ElectricityExported &amp; I2127</f>
        <v>ElecEx_</v>
      </c>
      <c r="R2401" s="2"/>
      <c r="S2401" s="773" t="str">
        <f>EUconst_CNTR_AttributedEmissions &amp; I2127</f>
        <v>AttrEmissions_</v>
      </c>
      <c r="T2401" s="111" t="str">
        <f t="shared" ref="T2401:Z2401" si="1094">IF(T2135,-SUM(H2401)*EUconst_ElBM,"")</f>
        <v/>
      </c>
      <c r="U2401" s="111" t="str">
        <f t="shared" si="1094"/>
        <v/>
      </c>
      <c r="V2401" s="111" t="str">
        <f t="shared" si="1094"/>
        <v/>
      </c>
      <c r="W2401" s="111" t="str">
        <f t="shared" si="1094"/>
        <v/>
      </c>
      <c r="X2401" s="111" t="str">
        <f t="shared" si="1094"/>
        <v/>
      </c>
      <c r="Y2401" s="111" t="str">
        <f t="shared" si="1094"/>
        <v/>
      </c>
      <c r="Z2401" s="112" t="str">
        <f t="shared" si="1094"/>
        <v/>
      </c>
      <c r="AA2401" s="2"/>
      <c r="AB2401" s="672" t="s">
        <v>782</v>
      </c>
      <c r="AC2401" s="108" t="b">
        <f>AC2197</f>
        <v>0</v>
      </c>
      <c r="AD2401" s="108" t="b">
        <f t="shared" ref="AD2401:AI2401" si="1095">AD2197</f>
        <v>0</v>
      </c>
      <c r="AE2401" s="108" t="b">
        <f t="shared" si="1095"/>
        <v>0</v>
      </c>
      <c r="AF2401" s="108" t="b">
        <f t="shared" si="1095"/>
        <v>0</v>
      </c>
      <c r="AG2401" s="108" t="b">
        <f t="shared" si="1095"/>
        <v>0</v>
      </c>
      <c r="AH2401" s="108" t="b">
        <f t="shared" si="1095"/>
        <v>0</v>
      </c>
      <c r="AI2401" s="108" t="b">
        <f t="shared" si="1095"/>
        <v>0</v>
      </c>
      <c r="AJ2401" s="553" t="s">
        <v>2248</v>
      </c>
      <c r="AK2401" s="663" t="str">
        <f>IF(AND(CNTR_ExistSubInstEntries,MSconst_RequireSubAttrEmissions,COUNTIFS(AC2401:AI2401,FALSE,H2401:N2401,"")&gt;0),EUconst_Error&amp;"BM"&amp;$Q2127,"")</f>
        <v/>
      </c>
      <c r="AL2401" s="2"/>
    </row>
    <row r="2402" spans="1:38" ht="12.75" customHeight="1" x14ac:dyDescent="0.25">
      <c r="A2402" s="2"/>
      <c r="B2402" s="178"/>
      <c r="C2402" s="779"/>
      <c r="D2402" s="780"/>
      <c r="E2402" s="780"/>
      <c r="F2402" s="780"/>
      <c r="G2402" s="780"/>
      <c r="H2402" s="780"/>
      <c r="I2402" s="1805"/>
      <c r="J2402" s="780"/>
      <c r="K2402" s="780"/>
      <c r="L2402" s="780"/>
      <c r="M2402" s="780"/>
      <c r="N2402" s="519"/>
      <c r="O2402" s="15"/>
      <c r="P2402" s="15"/>
      <c r="Q2402" s="343"/>
      <c r="R2402" s="2"/>
      <c r="S2402" s="343"/>
      <c r="T2402" s="2"/>
      <c r="U2402" s="2"/>
      <c r="V2402" s="343"/>
      <c r="W2402" s="2"/>
      <c r="X2402" s="2"/>
      <c r="Y2402" s="2"/>
      <c r="Z2402" s="2"/>
      <c r="AA2402" s="2"/>
      <c r="AB2402" s="2"/>
      <c r="AC2402" s="2"/>
      <c r="AD2402" s="2"/>
      <c r="AE2402" s="2"/>
      <c r="AF2402" s="2"/>
      <c r="AG2402" s="2"/>
      <c r="AH2402" s="2"/>
      <c r="AI2402" s="2"/>
      <c r="AJ2402" s="2"/>
      <c r="AK2402" s="2"/>
      <c r="AL2402" s="2"/>
    </row>
    <row r="2403" spans="1:38" ht="12.75" customHeight="1" x14ac:dyDescent="0.25">
      <c r="A2403" s="2"/>
      <c r="B2403" s="178"/>
      <c r="C2403" s="779"/>
      <c r="D2403" s="373" t="s">
        <v>271</v>
      </c>
      <c r="E2403" s="2614" t="str">
        <f>Translations!$B$646</f>
        <v>Total producerad massamängd</v>
      </c>
      <c r="F2403" s="1960"/>
      <c r="G2403" s="1960"/>
      <c r="H2403" s="1960"/>
      <c r="I2403" s="1960"/>
      <c r="J2403" s="1960"/>
      <c r="K2403" s="1960"/>
      <c r="L2403" s="1960"/>
      <c r="M2403" s="1960"/>
      <c r="N2403" s="2597"/>
      <c r="O2403" s="15"/>
      <c r="P2403" s="15"/>
      <c r="Q2403" s="2"/>
      <c r="R2403" s="2"/>
      <c r="S2403" s="2"/>
      <c r="T2403" s="2"/>
      <c r="U2403" s="2"/>
      <c r="V2403" s="343"/>
      <c r="W2403" s="2"/>
      <c r="X2403" s="2"/>
      <c r="Y2403" s="2"/>
      <c r="Z2403" s="2"/>
      <c r="AA2403" s="2"/>
      <c r="AB2403" s="2"/>
      <c r="AC2403" s="2"/>
      <c r="AD2403" s="2"/>
      <c r="AE2403" s="2"/>
      <c r="AF2403" s="2"/>
      <c r="AG2403" s="2"/>
      <c r="AH2403" s="2"/>
      <c r="AI2403" s="2"/>
      <c r="AJ2403" s="2"/>
      <c r="AK2403" s="2"/>
      <c r="AL2403" s="2"/>
    </row>
    <row r="2404" spans="1:38" ht="25.5" customHeight="1" x14ac:dyDescent="0.25">
      <c r="A2404" s="2"/>
      <c r="B2404" s="178"/>
      <c r="C2404" s="779"/>
      <c r="D2404" s="780"/>
      <c r="E2404" s="2610" t="str">
        <f>Translations!$B$647</f>
        <v>Enligt avsnitt 2.7 k i bilaga IV till FAR ska det lämnas uppgift om den totala mängden massa som produceras för delanläggningar med produktriktmärke för kortfibrig sulfatmassa, långfibrig sulfatmassa, termomekanisk massa och mekanisk massa samt sulfitmassa.</v>
      </c>
      <c r="F2404" s="1960"/>
      <c r="G2404" s="1960"/>
      <c r="H2404" s="1960"/>
      <c r="I2404" s="1960"/>
      <c r="J2404" s="1960"/>
      <c r="K2404" s="1960"/>
      <c r="L2404" s="1960"/>
      <c r="M2404" s="1960"/>
      <c r="N2404" s="2597"/>
      <c r="O2404" s="15"/>
      <c r="P2404" s="15"/>
      <c r="Q2404" s="343"/>
      <c r="R2404" s="2"/>
      <c r="S2404" s="343"/>
      <c r="T2404" s="2"/>
      <c r="U2404" s="2"/>
      <c r="V2404" s="343"/>
      <c r="W2404" s="2"/>
      <c r="X2404" s="2"/>
      <c r="Y2404" s="2"/>
      <c r="Z2404" s="2"/>
      <c r="AA2404" s="2"/>
      <c r="AB2404" s="2"/>
      <c r="AC2404" s="2"/>
      <c r="AD2404" s="2"/>
      <c r="AE2404" s="2"/>
      <c r="AF2404" s="2"/>
      <c r="AG2404" s="2"/>
      <c r="AH2404" s="2"/>
      <c r="AI2404" s="2"/>
      <c r="AJ2404" s="2"/>
      <c r="AK2404" s="2"/>
      <c r="AL2404" s="2"/>
    </row>
    <row r="2405" spans="1:38" ht="12.75" customHeight="1" x14ac:dyDescent="0.25">
      <c r="A2405" s="2"/>
      <c r="B2405" s="178"/>
      <c r="C2405" s="779"/>
      <c r="D2405" s="780"/>
      <c r="E2405" s="2610" t="str">
        <f>Translations!$B$648</f>
        <v>Avsnittet kommer att gråmarkeras om det inte rör sig om någon massaproducerande delanläggning av dessa slag. Var god gå vidare till nedanstående punkter, i sådana fall.</v>
      </c>
      <c r="F2405" s="1960"/>
      <c r="G2405" s="1960"/>
      <c r="H2405" s="1960"/>
      <c r="I2405" s="1960"/>
      <c r="J2405" s="1960"/>
      <c r="K2405" s="1960"/>
      <c r="L2405" s="1960"/>
      <c r="M2405" s="1960"/>
      <c r="N2405" s="2597"/>
      <c r="O2405" s="15"/>
      <c r="P2405" s="15"/>
      <c r="Q2405" s="343"/>
      <c r="R2405" s="2"/>
      <c r="S2405" s="343"/>
      <c r="T2405" s="2"/>
      <c r="U2405" s="2"/>
      <c r="V2405" s="343"/>
      <c r="W2405" s="2"/>
      <c r="X2405" s="2"/>
      <c r="Y2405" s="2"/>
      <c r="Z2405" s="2"/>
      <c r="AA2405" s="2"/>
      <c r="AB2405" s="2"/>
      <c r="AC2405" s="2"/>
      <c r="AD2405" s="2"/>
      <c r="AE2405" s="2"/>
      <c r="AF2405" s="2"/>
      <c r="AG2405" s="2"/>
      <c r="AH2405" s="2"/>
      <c r="AI2405" s="2"/>
      <c r="AJ2405" s="2"/>
      <c r="AK2405" s="2"/>
      <c r="AL2405" s="2"/>
    </row>
    <row r="2406" spans="1:38" ht="12.75" customHeight="1" thickBot="1" x14ac:dyDescent="0.3">
      <c r="A2406" s="2"/>
      <c r="B2406" s="178"/>
      <c r="C2406" s="779"/>
      <c r="D2406" s="416"/>
      <c r="E2406" s="2615" t="str">
        <f>Translations!$B$649</f>
        <v>De uppgifter som anges här är relevanta för uppdateringen av det särskilda riktmärket för massa.</v>
      </c>
      <c r="F2406" s="2497"/>
      <c r="G2406" s="2497"/>
      <c r="H2406" s="2497"/>
      <c r="I2406" s="2497"/>
      <c r="J2406" s="2497"/>
      <c r="K2406" s="2497"/>
      <c r="L2406" s="2497"/>
      <c r="M2406" s="2497"/>
      <c r="N2406" s="2616"/>
      <c r="O2406" s="15"/>
      <c r="P2406" s="15"/>
      <c r="Q2406" s="343"/>
      <c r="R2406" s="2"/>
      <c r="S2406" s="343"/>
      <c r="T2406" s="2"/>
      <c r="U2406" s="2"/>
      <c r="V2406" s="343"/>
      <c r="W2406" s="2"/>
      <c r="X2406" s="2"/>
      <c r="Y2406" s="2"/>
      <c r="Z2406" s="2"/>
      <c r="AA2406" s="2"/>
      <c r="AB2406" s="2"/>
      <c r="AC2406" s="1044">
        <f t="shared" ref="AC2406:AI2406" si="1096">H$20</f>
        <v>2019</v>
      </c>
      <c r="AD2406" s="1044">
        <f t="shared" si="1096"/>
        <v>2020</v>
      </c>
      <c r="AE2406" s="1044">
        <f t="shared" si="1096"/>
        <v>2021</v>
      </c>
      <c r="AF2406" s="1044">
        <f t="shared" si="1096"/>
        <v>2022</v>
      </c>
      <c r="AG2406" s="1044">
        <f t="shared" si="1096"/>
        <v>2023</v>
      </c>
      <c r="AH2406" s="1044">
        <f t="shared" si="1096"/>
        <v>2024</v>
      </c>
      <c r="AI2406" s="1044">
        <f t="shared" si="1096"/>
        <v>2025</v>
      </c>
      <c r="AJ2406" s="2"/>
      <c r="AK2406" s="2"/>
      <c r="AL2406" s="2"/>
    </row>
    <row r="2407" spans="1:38" ht="12.75" customHeight="1" x14ac:dyDescent="0.25">
      <c r="A2407" s="2"/>
      <c r="B2407" s="178"/>
      <c r="C2407" s="779"/>
      <c r="D2407" s="416"/>
      <c r="E2407" s="2617" t="str">
        <f>IF(I2127="","",IF(INDEX(EUconst_BMlistPulp,MATCH(I2127,EUconst_BMlistNames,0)),I2127,""))</f>
        <v/>
      </c>
      <c r="F2407" s="1997"/>
      <c r="G2407" s="364" t="str">
        <f>EUconst_Tons</f>
        <v>ton</v>
      </c>
      <c r="H2407" s="582"/>
      <c r="I2407" s="1105"/>
      <c r="J2407" s="1115"/>
      <c r="K2407" s="582"/>
      <c r="L2407" s="582"/>
      <c r="M2407" s="582"/>
      <c r="N2407" s="1146"/>
      <c r="O2407" s="15"/>
      <c r="P2407" s="1362"/>
      <c r="Q2407" s="165" t="str">
        <f>EUconst_CNTR_HALPulpTotal &amp; I2127</f>
        <v>HALPulpTotal_</v>
      </c>
      <c r="R2407" s="2"/>
      <c r="S2407" s="343"/>
      <c r="T2407" s="2"/>
      <c r="U2407" s="2"/>
      <c r="V2407" s="2"/>
      <c r="W2407" s="2"/>
      <c r="X2407" s="2"/>
      <c r="Y2407" s="2"/>
      <c r="Z2407" s="2"/>
      <c r="AA2407" s="2"/>
      <c r="AB2407" s="672" t="s">
        <v>782</v>
      </c>
      <c r="AC2407" s="1196" t="b">
        <f t="shared" ref="AC2407:AI2407" si="1097">IF($I2127&lt;&gt;"",IF(INDEX(EUconst_BMlistPulp,MATCH($I2127,EUconst_BMlistNames,0))=TRUE,FALSE,TRUE),AC2197)</f>
        <v>0</v>
      </c>
      <c r="AD2407" s="108" t="b">
        <f t="shared" si="1097"/>
        <v>0</v>
      </c>
      <c r="AE2407" s="108" t="b">
        <f t="shared" si="1097"/>
        <v>0</v>
      </c>
      <c r="AF2407" s="108" t="b">
        <f t="shared" si="1097"/>
        <v>0</v>
      </c>
      <c r="AG2407" s="108" t="b">
        <f t="shared" si="1097"/>
        <v>0</v>
      </c>
      <c r="AH2407" s="108" t="b">
        <f t="shared" si="1097"/>
        <v>0</v>
      </c>
      <c r="AI2407" s="108" t="b">
        <f t="shared" si="1097"/>
        <v>0</v>
      </c>
      <c r="AJ2407" s="553" t="s">
        <v>2248</v>
      </c>
      <c r="AK2407" s="663" t="str">
        <f>IF(AND(CNTR_ExistSubInstEntries,MSconst_RequireSubAttrEmissions,COUNTIFS(AC2407:AI2407,FALSE,H2407:N2407,"")&gt;0),EUconst_Error&amp;"BM"&amp;$Q2127,"")</f>
        <v/>
      </c>
      <c r="AL2407" s="2"/>
    </row>
    <row r="2408" spans="1:38" ht="12.75" customHeight="1" x14ac:dyDescent="0.25">
      <c r="A2408" s="2"/>
      <c r="B2408" s="178"/>
      <c r="C2408" s="779"/>
      <c r="D2408" s="416"/>
      <c r="E2408" s="416"/>
      <c r="F2408" s="416"/>
      <c r="G2408" s="416"/>
      <c r="H2408" s="1805"/>
      <c r="I2408" s="416"/>
      <c r="J2408" s="416"/>
      <c r="K2408" s="416"/>
      <c r="L2408" s="416"/>
      <c r="M2408" s="416"/>
      <c r="N2408" s="1810"/>
      <c r="O2408" s="15"/>
      <c r="P2408" s="15"/>
      <c r="Q2408" s="343"/>
      <c r="R2408" s="2"/>
      <c r="S2408" s="343"/>
      <c r="T2408" s="2"/>
      <c r="U2408" s="2"/>
      <c r="V2408" s="343"/>
      <c r="W2408" s="2"/>
      <c r="X2408" s="2"/>
      <c r="Y2408" s="2"/>
      <c r="Z2408" s="2"/>
      <c r="AA2408" s="2"/>
      <c r="AB2408" s="2"/>
      <c r="AC2408" s="2"/>
      <c r="AD2408" s="2"/>
      <c r="AE2408" s="2"/>
      <c r="AF2408" s="2"/>
      <c r="AG2408" s="2"/>
      <c r="AH2408" s="2"/>
      <c r="AI2408" s="2"/>
      <c r="AJ2408" s="2"/>
      <c r="AK2408" s="2"/>
      <c r="AL2408" s="2"/>
    </row>
    <row r="2409" spans="1:38" ht="12.75" customHeight="1" x14ac:dyDescent="0.25">
      <c r="A2409" s="2"/>
      <c r="B2409" s="178"/>
      <c r="C2409" s="779"/>
      <c r="D2409" s="373" t="s">
        <v>906</v>
      </c>
      <c r="E2409" s="2614" t="str">
        <f>Translations!$B$650</f>
        <v>Import eller export av mellanprodukter som omfattas av produktriktmärken</v>
      </c>
      <c r="F2409" s="1960"/>
      <c r="G2409" s="1960"/>
      <c r="H2409" s="1960"/>
      <c r="I2409" s="1960"/>
      <c r="J2409" s="1960"/>
      <c r="K2409" s="1960"/>
      <c r="L2409" s="1960"/>
      <c r="M2409" s="1960"/>
      <c r="N2409" s="2597"/>
      <c r="O2409" s="15"/>
      <c r="P2409" s="15"/>
      <c r="Q2409" s="343"/>
      <c r="R2409" s="2"/>
      <c r="S2409" s="343"/>
      <c r="T2409" s="2"/>
      <c r="U2409" s="2"/>
      <c r="V2409" s="343"/>
      <c r="W2409" s="2"/>
      <c r="X2409" s="2"/>
      <c r="Y2409" s="2"/>
      <c r="Z2409" s="2"/>
      <c r="AA2409" s="2"/>
      <c r="AB2409" s="2"/>
      <c r="AC2409" s="2"/>
      <c r="AD2409" s="2"/>
      <c r="AE2409" s="2"/>
      <c r="AF2409" s="2"/>
      <c r="AG2409" s="2"/>
      <c r="AH2409" s="2"/>
      <c r="AI2409" s="2"/>
      <c r="AJ2409" s="2"/>
      <c r="AK2409" s="2"/>
      <c r="AL2409" s="2"/>
    </row>
    <row r="2410" spans="1:38" ht="25.5" customHeight="1" x14ac:dyDescent="0.25">
      <c r="A2410" s="2"/>
      <c r="B2410" s="178"/>
      <c r="C2410" s="779"/>
      <c r="D2410" s="780"/>
      <c r="E2410" s="2610" t="str">
        <f>Translations!$B$651</f>
        <v>För att undvika eventuell dubbelräkning eller luckor i tilldelade utsläpp vid fastställandet av de uppdaterade riktmärkena ska man enligt avsnitt 2.7 d i bilaga IV till FAR ange eventuell import eller export av mellanprodukter som omfattas av något av produktriktmärkena i bilaga I till FAR.</v>
      </c>
      <c r="F2410" s="1960"/>
      <c r="G2410" s="1960"/>
      <c r="H2410" s="1960"/>
      <c r="I2410" s="1960"/>
      <c r="J2410" s="1960"/>
      <c r="K2410" s="1960"/>
      <c r="L2410" s="1960"/>
      <c r="M2410" s="1960"/>
      <c r="N2410" s="2597"/>
      <c r="O2410" s="15"/>
      <c r="P2410" s="15"/>
      <c r="Q2410" s="343"/>
      <c r="R2410" s="2"/>
      <c r="S2410" s="343"/>
      <c r="T2410" s="2"/>
      <c r="U2410" s="2"/>
      <c r="V2410" s="343"/>
      <c r="W2410" s="2"/>
      <c r="X2410" s="2"/>
      <c r="Y2410" s="2"/>
      <c r="Z2410" s="2"/>
      <c r="AA2410" s="2"/>
      <c r="AB2410" s="2"/>
      <c r="AC2410" s="2"/>
      <c r="AD2410" s="2"/>
      <c r="AE2410" s="2"/>
      <c r="AF2410" s="2"/>
      <c r="AG2410" s="2"/>
      <c r="AH2410" s="2"/>
      <c r="AI2410" s="2"/>
      <c r="AJ2410" s="2"/>
      <c r="AK2410" s="2"/>
      <c r="AL2410" s="2"/>
    </row>
    <row r="2411" spans="1:38" ht="12.75" customHeight="1" x14ac:dyDescent="0.25">
      <c r="A2411" s="2"/>
      <c r="B2411" s="178"/>
      <c r="C2411" s="779"/>
      <c r="D2411" s="780"/>
      <c r="E2411" s="2596" t="str">
        <f>Translations!$B$652</f>
        <v>De uppgifter som anges här kan påverka uppdateringen av det särskilda riktmärket.</v>
      </c>
      <c r="F2411" s="1960"/>
      <c r="G2411" s="1960"/>
      <c r="H2411" s="1960"/>
      <c r="I2411" s="1960"/>
      <c r="J2411" s="1960"/>
      <c r="K2411" s="1960"/>
      <c r="L2411" s="1960"/>
      <c r="M2411" s="1960"/>
      <c r="N2411" s="2597"/>
      <c r="O2411" s="15"/>
      <c r="P2411" s="15"/>
      <c r="Q2411" s="343"/>
      <c r="R2411" s="2"/>
      <c r="S2411" s="343"/>
      <c r="T2411" s="2"/>
      <c r="U2411" s="2"/>
      <c r="V2411" s="343"/>
      <c r="W2411" s="2"/>
      <c r="X2411" s="2"/>
      <c r="Y2411" s="2"/>
      <c r="Z2411" s="2"/>
      <c r="AA2411" s="2"/>
      <c r="AB2411" s="2"/>
      <c r="AC2411" s="2"/>
      <c r="AD2411" s="2"/>
      <c r="AE2411" s="2"/>
      <c r="AF2411" s="2"/>
      <c r="AG2411" s="2"/>
      <c r="AH2411" s="2"/>
      <c r="AI2411" s="2"/>
      <c r="AJ2411" s="2"/>
      <c r="AK2411" s="2"/>
      <c r="AL2411" s="2"/>
    </row>
    <row r="2412" spans="1:38" ht="12.75" customHeight="1" x14ac:dyDescent="0.25">
      <c r="A2412" s="2"/>
      <c r="B2412" s="19"/>
      <c r="C2412" s="779"/>
      <c r="D2412" s="416" t="s">
        <v>8</v>
      </c>
      <c r="E2412" s="2598" t="str">
        <f>Translations!$B$653</f>
        <v>Förekommer import eller export av mellanprodukter som omfattas av produktriktmärken?</v>
      </c>
      <c r="F2412" s="1960"/>
      <c r="G2412" s="1960"/>
      <c r="H2412" s="1960"/>
      <c r="I2412" s="1960"/>
      <c r="J2412" s="1960"/>
      <c r="K2412" s="2520"/>
      <c r="L2412" s="749"/>
      <c r="M2412" s="360"/>
      <c r="N2412" s="535"/>
      <c r="O2412" s="15"/>
      <c r="P2412" s="1362"/>
      <c r="Q2412" s="2"/>
      <c r="R2412" s="2"/>
      <c r="S2412" s="2"/>
      <c r="T2412" s="2"/>
      <c r="U2412" s="2"/>
      <c r="V2412" s="2"/>
      <c r="W2412" s="2"/>
      <c r="X2412" s="2"/>
      <c r="Y2412" s="2"/>
      <c r="Z2412" s="2"/>
      <c r="AA2412" s="2"/>
      <c r="AB2412" s="2"/>
      <c r="AC2412" s="2"/>
      <c r="AD2412" s="2"/>
      <c r="AE2412" s="2"/>
      <c r="AF2412" s="672" t="s">
        <v>782</v>
      </c>
      <c r="AG2412" s="1196" t="b">
        <f>AND(CNTR_ExistSubInstEntries,I2127="")</f>
        <v>0</v>
      </c>
      <c r="AH2412" s="2"/>
      <c r="AI2412" s="2"/>
      <c r="AJ2412" s="2"/>
      <c r="AK2412" s="2"/>
      <c r="AL2412" s="2"/>
    </row>
    <row r="2413" spans="1:38" ht="5.15" customHeight="1" x14ac:dyDescent="0.25">
      <c r="A2413" s="2"/>
      <c r="B2413" s="178"/>
      <c r="C2413" s="779"/>
      <c r="D2413" s="416"/>
      <c r="E2413" s="416"/>
      <c r="F2413" s="416"/>
      <c r="G2413" s="416"/>
      <c r="H2413" s="1805"/>
      <c r="I2413" s="416"/>
      <c r="J2413" s="416"/>
      <c r="K2413" s="416"/>
      <c r="L2413" s="416"/>
      <c r="M2413" s="416"/>
      <c r="N2413" s="1810"/>
      <c r="O2413" s="15"/>
      <c r="P2413" s="15"/>
      <c r="Q2413" s="343"/>
      <c r="R2413" s="2"/>
      <c r="S2413" s="343"/>
      <c r="T2413" s="2"/>
      <c r="U2413" s="2"/>
      <c r="V2413" s="343"/>
      <c r="W2413" s="2"/>
      <c r="X2413" s="2"/>
      <c r="Y2413" s="2"/>
      <c r="Z2413" s="2"/>
      <c r="AA2413" s="2"/>
      <c r="AB2413" s="2"/>
      <c r="AC2413" s="2"/>
      <c r="AD2413" s="2"/>
      <c r="AE2413" s="2"/>
      <c r="AF2413" s="2"/>
      <c r="AG2413" s="2"/>
      <c r="AH2413" s="2"/>
      <c r="AI2413" s="2"/>
      <c r="AJ2413" s="2"/>
      <c r="AK2413" s="2"/>
      <c r="AL2413" s="2"/>
    </row>
    <row r="2414" spans="1:38" ht="12.75" customHeight="1" thickBot="1" x14ac:dyDescent="0.3">
      <c r="A2414" s="2"/>
      <c r="B2414" s="178"/>
      <c r="C2414" s="779"/>
      <c r="D2414" s="373"/>
      <c r="E2414" s="2605" t="str">
        <f>Translations!$B$654</f>
        <v>Importerade mängder:</v>
      </c>
      <c r="F2414" s="2497"/>
      <c r="G2414" s="415" t="str">
        <f>EUconst_Unit</f>
        <v>Enhet</v>
      </c>
      <c r="H2414" s="362">
        <f t="shared" ref="H2414:N2414" si="1098">H$3042</f>
        <v>2019</v>
      </c>
      <c r="I2414" s="1103">
        <f t="shared" si="1098"/>
        <v>2020</v>
      </c>
      <c r="J2414" s="1104">
        <f t="shared" si="1098"/>
        <v>2021</v>
      </c>
      <c r="K2414" s="362">
        <f t="shared" si="1098"/>
        <v>2022</v>
      </c>
      <c r="L2414" s="362">
        <f t="shared" si="1098"/>
        <v>2023</v>
      </c>
      <c r="M2414" s="362">
        <f t="shared" si="1098"/>
        <v>2024</v>
      </c>
      <c r="N2414" s="1141">
        <f t="shared" si="1098"/>
        <v>2025</v>
      </c>
      <c r="O2414" s="15"/>
      <c r="P2414" s="15"/>
      <c r="Q2414" s="343"/>
      <c r="R2414" s="2"/>
      <c r="S2414" s="343"/>
      <c r="T2414" s="2"/>
      <c r="U2414" s="2"/>
      <c r="V2414" s="343"/>
      <c r="W2414" s="2"/>
      <c r="X2414" s="2"/>
      <c r="Y2414" s="2"/>
      <c r="Z2414" s="2"/>
      <c r="AA2414" s="2"/>
      <c r="AB2414" s="2"/>
      <c r="AC2414" s="1044">
        <f t="shared" ref="AC2414:AI2414" si="1099">H$20</f>
        <v>2019</v>
      </c>
      <c r="AD2414" s="1044">
        <f t="shared" si="1099"/>
        <v>2020</v>
      </c>
      <c r="AE2414" s="1044">
        <f t="shared" si="1099"/>
        <v>2021</v>
      </c>
      <c r="AF2414" s="1044">
        <f t="shared" si="1099"/>
        <v>2022</v>
      </c>
      <c r="AG2414" s="1044">
        <f t="shared" si="1099"/>
        <v>2023</v>
      </c>
      <c r="AH2414" s="1044">
        <f t="shared" si="1099"/>
        <v>2024</v>
      </c>
      <c r="AI2414" s="1044">
        <f t="shared" si="1099"/>
        <v>2025</v>
      </c>
      <c r="AJ2414" s="2"/>
      <c r="AK2414" s="2"/>
      <c r="AL2414" s="2"/>
    </row>
    <row r="2415" spans="1:38" ht="12.75" customHeight="1" x14ac:dyDescent="0.25">
      <c r="A2415" s="2"/>
      <c r="B2415" s="178"/>
      <c r="C2415" s="779"/>
      <c r="D2415" s="416" t="s">
        <v>9</v>
      </c>
      <c r="E2415" s="2606"/>
      <c r="F2415" s="2607"/>
      <c r="G2415" s="59" t="str">
        <f>IF(E2415&lt;&gt;"",INDEX(EUconst_BMlistUnits,MATCH(E2415,EUconst_BMlistNames,0)),EUconst_Tons)</f>
        <v>ton</v>
      </c>
      <c r="H2415" s="1319"/>
      <c r="I2415" s="1320"/>
      <c r="J2415" s="1321"/>
      <c r="K2415" s="1319"/>
      <c r="L2415" s="1319"/>
      <c r="M2415" s="1319"/>
      <c r="N2415" s="1322"/>
      <c r="O2415" s="15"/>
      <c r="P2415" s="1362"/>
      <c r="Q2415" s="165" t="str">
        <f>EUconst_CNTR_IntermediateImport &amp; S2415 &amp; "_" &amp; I2127</f>
        <v>IntImp_1_</v>
      </c>
      <c r="R2415" s="2"/>
      <c r="S2415" s="165">
        <v>1</v>
      </c>
      <c r="T2415" s="2"/>
      <c r="U2415" s="2"/>
      <c r="V2415" s="343"/>
      <c r="W2415" s="2"/>
      <c r="X2415" s="2"/>
      <c r="Y2415" s="2"/>
      <c r="Z2415" s="2"/>
      <c r="AA2415" s="2"/>
      <c r="AB2415" s="672" t="s">
        <v>782</v>
      </c>
      <c r="AC2415" s="1196" t="b">
        <f>OR(AND($L2412&lt;&gt;"",$L2412=FALSE),AC2197)</f>
        <v>0</v>
      </c>
      <c r="AD2415" s="108" t="b">
        <f t="shared" ref="AD2415:AI2415" si="1100">OR(AND($L2412&lt;&gt;"",$L2412=FALSE),AD2197)</f>
        <v>0</v>
      </c>
      <c r="AE2415" s="108" t="b">
        <f t="shared" si="1100"/>
        <v>0</v>
      </c>
      <c r="AF2415" s="108" t="b">
        <f t="shared" si="1100"/>
        <v>0</v>
      </c>
      <c r="AG2415" s="108" t="b">
        <f t="shared" si="1100"/>
        <v>0</v>
      </c>
      <c r="AH2415" s="108" t="b">
        <f t="shared" si="1100"/>
        <v>0</v>
      </c>
      <c r="AI2415" s="108" t="b">
        <f t="shared" si="1100"/>
        <v>0</v>
      </c>
      <c r="AJ2415" s="553" t="s">
        <v>2248</v>
      </c>
      <c r="AK2415" s="663" t="str">
        <f>IF(AND(CNTR_ExistSubInstEntries,MSconst_RequireSubAttrEmissions,COUNTIFS(AC2415:AI2415,FALSE,H2415:N2415,"")&gt;0),EUconst_Error&amp;"BM"&amp;$Q2127,"")</f>
        <v/>
      </c>
      <c r="AL2415" s="2"/>
    </row>
    <row r="2416" spans="1:38" ht="12.75" customHeight="1" x14ac:dyDescent="0.25">
      <c r="A2416" s="2"/>
      <c r="B2416" s="178"/>
      <c r="C2416" s="779"/>
      <c r="D2416" s="416" t="s">
        <v>10</v>
      </c>
      <c r="E2416" s="2608"/>
      <c r="F2416" s="2609"/>
      <c r="G2416" s="51" t="str">
        <f>IF(E2416&lt;&gt;"",INDEX(EUconst_BMlistUnits,MATCH(E2416,EUconst_BMlistNames,0)),EUconst_Tons)</f>
        <v>ton</v>
      </c>
      <c r="H2416" s="1323"/>
      <c r="I2416" s="1324"/>
      <c r="J2416" s="1325"/>
      <c r="K2416" s="1323"/>
      <c r="L2416" s="1323"/>
      <c r="M2416" s="1323"/>
      <c r="N2416" s="1326"/>
      <c r="O2416" s="15"/>
      <c r="P2416" s="1362"/>
      <c r="Q2416" s="165" t="str">
        <f>EUconst_CNTR_IntermediateImport &amp; S2416 &amp; "_" &amp; I2127</f>
        <v>IntImp_2_</v>
      </c>
      <c r="R2416" s="2"/>
      <c r="S2416" s="165">
        <v>2</v>
      </c>
      <c r="T2416" s="2"/>
      <c r="U2416" s="2"/>
      <c r="V2416" s="343"/>
      <c r="W2416" s="2"/>
      <c r="X2416" s="2"/>
      <c r="Y2416" s="2"/>
      <c r="Z2416" s="2"/>
      <c r="AA2416" s="2"/>
      <c r="AB2416" s="2"/>
      <c r="AC2416" s="108" t="b">
        <f>AC2415</f>
        <v>0</v>
      </c>
      <c r="AD2416" s="108" t="b">
        <f t="shared" ref="AD2416:AI2416" si="1101">AD2415</f>
        <v>0</v>
      </c>
      <c r="AE2416" s="108" t="b">
        <f t="shared" si="1101"/>
        <v>0</v>
      </c>
      <c r="AF2416" s="108" t="b">
        <f t="shared" si="1101"/>
        <v>0</v>
      </c>
      <c r="AG2416" s="108" t="b">
        <f t="shared" si="1101"/>
        <v>0</v>
      </c>
      <c r="AH2416" s="108" t="b">
        <f t="shared" si="1101"/>
        <v>0</v>
      </c>
      <c r="AI2416" s="108" t="b">
        <f t="shared" si="1101"/>
        <v>0</v>
      </c>
      <c r="AJ2416" s="2"/>
      <c r="AK2416" s="2"/>
      <c r="AL2416" s="2"/>
    </row>
    <row r="2417" spans="1:38" ht="5.15" customHeight="1" x14ac:dyDescent="0.25">
      <c r="A2417" s="2"/>
      <c r="B2417" s="178"/>
      <c r="C2417" s="779"/>
      <c r="D2417" s="416"/>
      <c r="E2417" s="416"/>
      <c r="F2417" s="416"/>
      <c r="G2417" s="416"/>
      <c r="H2417" s="416"/>
      <c r="I2417" s="416"/>
      <c r="J2417" s="416"/>
      <c r="K2417" s="416"/>
      <c r="L2417" s="416"/>
      <c r="M2417" s="416"/>
      <c r="N2417" s="1149"/>
      <c r="O2417" s="15"/>
      <c r="P2417" s="15"/>
      <c r="Q2417" s="343"/>
      <c r="R2417" s="2"/>
      <c r="S2417" s="343"/>
      <c r="T2417" s="2"/>
      <c r="U2417" s="2"/>
      <c r="V2417" s="343"/>
      <c r="W2417" s="2"/>
      <c r="X2417" s="2"/>
      <c r="Y2417" s="2"/>
      <c r="Z2417" s="2"/>
      <c r="AA2417" s="2"/>
      <c r="AB2417" s="2"/>
      <c r="AC2417" s="2"/>
      <c r="AD2417" s="2"/>
      <c r="AE2417" s="2"/>
      <c r="AF2417" s="2"/>
      <c r="AG2417" s="2"/>
      <c r="AH2417" s="2"/>
      <c r="AI2417" s="2"/>
      <c r="AJ2417" s="2"/>
      <c r="AK2417" s="2"/>
      <c r="AL2417" s="2"/>
    </row>
    <row r="2418" spans="1:38" ht="12.75" customHeight="1" thickBot="1" x14ac:dyDescent="0.3">
      <c r="A2418" s="2"/>
      <c r="B2418" s="178"/>
      <c r="C2418" s="779"/>
      <c r="D2418" s="373"/>
      <c r="E2418" s="2605" t="str">
        <f>Translations!$B$655</f>
        <v>Exporterade mängder:</v>
      </c>
      <c r="F2418" s="2497"/>
      <c r="G2418" s="415" t="str">
        <f>EUconst_Unit</f>
        <v>Enhet</v>
      </c>
      <c r="H2418" s="362">
        <f t="shared" ref="H2418:N2418" si="1102">H$3042</f>
        <v>2019</v>
      </c>
      <c r="I2418" s="1103">
        <f t="shared" si="1102"/>
        <v>2020</v>
      </c>
      <c r="J2418" s="1104">
        <f t="shared" si="1102"/>
        <v>2021</v>
      </c>
      <c r="K2418" s="362">
        <f t="shared" si="1102"/>
        <v>2022</v>
      </c>
      <c r="L2418" s="362">
        <f t="shared" si="1102"/>
        <v>2023</v>
      </c>
      <c r="M2418" s="362">
        <f t="shared" si="1102"/>
        <v>2024</v>
      </c>
      <c r="N2418" s="1141">
        <f t="shared" si="1102"/>
        <v>2025</v>
      </c>
      <c r="O2418" s="15"/>
      <c r="P2418" s="15"/>
      <c r="Q2418" s="343"/>
      <c r="R2418" s="2"/>
      <c r="S2418" s="343"/>
      <c r="T2418" s="2"/>
      <c r="U2418" s="2"/>
      <c r="V2418" s="343"/>
      <c r="W2418" s="2"/>
      <c r="X2418" s="2"/>
      <c r="Y2418" s="2"/>
      <c r="Z2418" s="2"/>
      <c r="AA2418" s="2"/>
      <c r="AB2418" s="2"/>
      <c r="AC2418" s="1044">
        <f t="shared" ref="AC2418:AI2418" si="1103">H$20</f>
        <v>2019</v>
      </c>
      <c r="AD2418" s="1044">
        <f t="shared" si="1103"/>
        <v>2020</v>
      </c>
      <c r="AE2418" s="1044">
        <f t="shared" si="1103"/>
        <v>2021</v>
      </c>
      <c r="AF2418" s="1044">
        <f t="shared" si="1103"/>
        <v>2022</v>
      </c>
      <c r="AG2418" s="1044">
        <f t="shared" si="1103"/>
        <v>2023</v>
      </c>
      <c r="AH2418" s="1044">
        <f t="shared" si="1103"/>
        <v>2024</v>
      </c>
      <c r="AI2418" s="1044">
        <f t="shared" si="1103"/>
        <v>2025</v>
      </c>
      <c r="AJ2418" s="2"/>
      <c r="AK2418" s="2"/>
      <c r="AL2418" s="2"/>
    </row>
    <row r="2419" spans="1:38" ht="12.75" customHeight="1" x14ac:dyDescent="0.25">
      <c r="A2419" s="2"/>
      <c r="B2419" s="178"/>
      <c r="C2419" s="779"/>
      <c r="D2419" s="416" t="s">
        <v>23</v>
      </c>
      <c r="E2419" s="2606"/>
      <c r="F2419" s="2607"/>
      <c r="G2419" s="59" t="str">
        <f>IF(E2419&lt;&gt;"",INDEX(EUconst_BMlistUnits,MATCH(E2419,EUconst_BMlistNames,0)),EUconst_Tons)</f>
        <v>ton</v>
      </c>
      <c r="H2419" s="1319"/>
      <c r="I2419" s="1320"/>
      <c r="J2419" s="1321"/>
      <c r="K2419" s="1319"/>
      <c r="L2419" s="1319"/>
      <c r="M2419" s="1319"/>
      <c r="N2419" s="1322"/>
      <c r="O2419" s="15"/>
      <c r="P2419" s="1362"/>
      <c r="Q2419" s="165" t="str">
        <f>EUconst_CNTR_IntermediateExport &amp; S2415 &amp; "_" &amp; I2127</f>
        <v>IntExp_1_</v>
      </c>
      <c r="R2419" s="2"/>
      <c r="S2419" s="165">
        <v>1</v>
      </c>
      <c r="T2419" s="2"/>
      <c r="U2419" s="2"/>
      <c r="V2419" s="343"/>
      <c r="W2419" s="2"/>
      <c r="X2419" s="413"/>
      <c r="Y2419" s="413"/>
      <c r="Z2419" s="2"/>
      <c r="AA2419" s="2"/>
      <c r="AB2419" s="672" t="s">
        <v>782</v>
      </c>
      <c r="AC2419" s="108" t="b">
        <f>AC2415</f>
        <v>0</v>
      </c>
      <c r="AD2419" s="108" t="b">
        <f t="shared" ref="AD2419:AI2419" si="1104">AD2415</f>
        <v>0</v>
      </c>
      <c r="AE2419" s="108" t="b">
        <f t="shared" si="1104"/>
        <v>0</v>
      </c>
      <c r="AF2419" s="108" t="b">
        <f t="shared" si="1104"/>
        <v>0</v>
      </c>
      <c r="AG2419" s="108" t="b">
        <f t="shared" si="1104"/>
        <v>0</v>
      </c>
      <c r="AH2419" s="108" t="b">
        <f t="shared" si="1104"/>
        <v>0</v>
      </c>
      <c r="AI2419" s="108" t="b">
        <f t="shared" si="1104"/>
        <v>0</v>
      </c>
      <c r="AJ2419" s="553" t="s">
        <v>2248</v>
      </c>
      <c r="AK2419" s="663" t="str">
        <f>IF(AND(CNTR_ExistSubInstEntries,MSconst_RequireSubAttrEmissions,COUNTIFS(AC2419:AI2419,FALSE,H2419:N2419,"")&gt;0),EUconst_Error&amp;"BM"&amp;$Q2127,"")</f>
        <v/>
      </c>
      <c r="AL2419" s="2"/>
    </row>
    <row r="2420" spans="1:38" ht="12.75" customHeight="1" x14ac:dyDescent="0.25">
      <c r="A2420" s="2"/>
      <c r="B2420" s="178"/>
      <c r="C2420" s="779"/>
      <c r="D2420" s="416" t="s">
        <v>859</v>
      </c>
      <c r="E2420" s="2608"/>
      <c r="F2420" s="2609"/>
      <c r="G2420" s="51" t="str">
        <f>IF(E2420&lt;&gt;"",INDEX(EUconst_BMlistUnits,MATCH(E2420,EUconst_BMlistNames,0)),EUconst_Tons)</f>
        <v>ton</v>
      </c>
      <c r="H2420" s="1323"/>
      <c r="I2420" s="1324"/>
      <c r="J2420" s="1325"/>
      <c r="K2420" s="1323"/>
      <c r="L2420" s="1323"/>
      <c r="M2420" s="1323"/>
      <c r="N2420" s="1326"/>
      <c r="O2420" s="15"/>
      <c r="P2420" s="1362"/>
      <c r="Q2420" s="165" t="str">
        <f>EUconst_CNTR_IntermediateExport &amp; S2420 &amp; "_" &amp; I2127</f>
        <v>IntExp_2_</v>
      </c>
      <c r="R2420" s="2"/>
      <c r="S2420" s="165">
        <v>2</v>
      </c>
      <c r="T2420" s="2"/>
      <c r="U2420" s="2"/>
      <c r="V2420" s="343"/>
      <c r="W2420" s="2"/>
      <c r="X2420" s="413"/>
      <c r="Y2420" s="413"/>
      <c r="Z2420" s="2"/>
      <c r="AA2420" s="2"/>
      <c r="AB2420" s="2"/>
      <c r="AC2420" s="108" t="b">
        <f t="shared" ref="AC2420:AI2420" si="1105">AC2416</f>
        <v>0</v>
      </c>
      <c r="AD2420" s="108" t="b">
        <f t="shared" si="1105"/>
        <v>0</v>
      </c>
      <c r="AE2420" s="108" t="b">
        <f t="shared" si="1105"/>
        <v>0</v>
      </c>
      <c r="AF2420" s="108" t="b">
        <f t="shared" si="1105"/>
        <v>0</v>
      </c>
      <c r="AG2420" s="108" t="b">
        <f t="shared" si="1105"/>
        <v>0</v>
      </c>
      <c r="AH2420" s="108" t="b">
        <f t="shared" si="1105"/>
        <v>0</v>
      </c>
      <c r="AI2420" s="108" t="b">
        <f t="shared" si="1105"/>
        <v>0</v>
      </c>
      <c r="AJ2420" s="2"/>
      <c r="AK2420" s="2"/>
      <c r="AL2420" s="2"/>
    </row>
    <row r="2421" spans="1:38" ht="5.15" customHeight="1" x14ac:dyDescent="0.25">
      <c r="A2421" s="2"/>
      <c r="B2421" s="178"/>
      <c r="C2421" s="779"/>
      <c r="D2421" s="416"/>
      <c r="E2421" s="416"/>
      <c r="F2421" s="416"/>
      <c r="G2421" s="416"/>
      <c r="H2421" s="416"/>
      <c r="I2421" s="416"/>
      <c r="J2421" s="416"/>
      <c r="K2421" s="416"/>
      <c r="L2421" s="416"/>
      <c r="M2421" s="416"/>
      <c r="N2421" s="1810"/>
      <c r="O2421" s="15"/>
      <c r="P2421" s="15"/>
      <c r="Q2421" s="343"/>
      <c r="R2421" s="2"/>
      <c r="S2421" s="343"/>
      <c r="T2421" s="2"/>
      <c r="U2421" s="2"/>
      <c r="V2421" s="343"/>
      <c r="W2421" s="2"/>
      <c r="X2421" s="413"/>
      <c r="Y2421" s="413"/>
      <c r="Z2421" s="2"/>
      <c r="AA2421" s="2"/>
      <c r="AB2421" s="2"/>
      <c r="AC2421" s="2"/>
      <c r="AD2421" s="2"/>
      <c r="AE2421" s="2"/>
      <c r="AF2421" s="2"/>
      <c r="AG2421" s="2"/>
      <c r="AH2421" s="2"/>
      <c r="AI2421" s="2"/>
      <c r="AJ2421" s="2"/>
      <c r="AK2421" s="2"/>
      <c r="AL2421" s="2"/>
    </row>
    <row r="2422" spans="1:38" ht="12.75" customHeight="1" x14ac:dyDescent="0.25">
      <c r="A2422" s="2"/>
      <c r="B2422" s="178"/>
      <c r="C2422" s="779"/>
      <c r="D2422" s="416" t="s">
        <v>860</v>
      </c>
      <c r="E2422" s="623" t="str">
        <f>Translations!$B$656</f>
        <v>Beskrivning av importerade eller exporterade mellanprodukter</v>
      </c>
      <c r="F2422" s="623"/>
      <c r="G2422" s="623"/>
      <c r="H2422" s="623"/>
      <c r="I2422" s="623"/>
      <c r="J2422" s="623"/>
      <c r="K2422" s="623"/>
      <c r="L2422" s="623"/>
      <c r="M2422" s="623"/>
      <c r="N2422" s="1810"/>
      <c r="O2422" s="15"/>
      <c r="P2422" s="15"/>
      <c r="Q2422" s="343"/>
      <c r="R2422" s="2"/>
      <c r="S2422" s="343"/>
      <c r="T2422" s="2"/>
      <c r="U2422" s="2"/>
      <c r="V2422" s="343"/>
      <c r="W2422" s="2"/>
      <c r="X2422" s="413"/>
      <c r="Y2422" s="413"/>
      <c r="Z2422" s="2"/>
      <c r="AA2422" s="2"/>
      <c r="AB2422" s="2"/>
      <c r="AC2422" s="2"/>
      <c r="AD2422" s="2"/>
      <c r="AE2422" s="2"/>
      <c r="AF2422" s="2"/>
      <c r="AG2422" s="2"/>
      <c r="AH2422" s="2"/>
      <c r="AI2422" s="2"/>
      <c r="AJ2422" s="2"/>
      <c r="AK2422" s="2"/>
      <c r="AL2422" s="2"/>
    </row>
    <row r="2423" spans="1:38" ht="12.75" customHeight="1" x14ac:dyDescent="0.25">
      <c r="A2423" s="2"/>
      <c r="B2423" s="178"/>
      <c r="C2423" s="779"/>
      <c r="D2423" s="416"/>
      <c r="E2423" s="1139" t="str">
        <f>Translations!$B$657</f>
        <v>Var god ge en kort beskrivning av produktionsprocessen för importerade eller exporterade mellanprodukter</v>
      </c>
      <c r="F2423" s="1806"/>
      <c r="G2423" s="1806"/>
      <c r="H2423" s="1806"/>
      <c r="I2423" s="1806"/>
      <c r="J2423" s="1806"/>
      <c r="K2423" s="1806"/>
      <c r="L2423" s="1806"/>
      <c r="M2423" s="1806"/>
      <c r="N2423" s="1807"/>
      <c r="O2423" s="15"/>
      <c r="P2423" s="15"/>
      <c r="Q2423" s="343"/>
      <c r="R2423" s="2"/>
      <c r="S2423" s="343"/>
      <c r="T2423" s="2"/>
      <c r="U2423" s="2"/>
      <c r="V2423" s="343"/>
      <c r="W2423" s="2"/>
      <c r="X2423" s="413"/>
      <c r="Y2423" s="413"/>
      <c r="Z2423" s="2"/>
      <c r="AA2423" s="2"/>
      <c r="AB2423" s="2"/>
      <c r="AC2423" s="2"/>
      <c r="AD2423" s="2"/>
      <c r="AE2423" s="2"/>
      <c r="AF2423" s="2"/>
      <c r="AG2423" s="2"/>
      <c r="AH2423" s="2"/>
      <c r="AI2423" s="2"/>
      <c r="AJ2423" s="2"/>
      <c r="AK2423" s="2"/>
      <c r="AL2423" s="2"/>
    </row>
    <row r="2424" spans="1:38" ht="12.75" customHeight="1" x14ac:dyDescent="0.25">
      <c r="A2424" s="2"/>
      <c r="B2424" s="178"/>
      <c r="C2424" s="779"/>
      <c r="D2424" s="416"/>
      <c r="E2424" s="2599"/>
      <c r="F2424" s="2600"/>
      <c r="G2424" s="2600"/>
      <c r="H2424" s="2600"/>
      <c r="I2424" s="2600"/>
      <c r="J2424" s="2600"/>
      <c r="K2424" s="2600"/>
      <c r="L2424" s="2600"/>
      <c r="M2424" s="2601"/>
      <c r="N2424" s="1810"/>
      <c r="O2424" s="15"/>
      <c r="P2424" s="1362"/>
      <c r="Q2424" s="343"/>
      <c r="R2424" s="2"/>
      <c r="S2424" s="343"/>
      <c r="T2424" s="2"/>
      <c r="U2424" s="2"/>
      <c r="V2424" s="343"/>
      <c r="W2424" s="2"/>
      <c r="X2424" s="413"/>
      <c r="Y2424" s="413"/>
      <c r="Z2424" s="2"/>
      <c r="AA2424" s="2"/>
      <c r="AB2424" s="672" t="s">
        <v>782</v>
      </c>
      <c r="AC2424" s="108" t="b">
        <f>AND(AC2419:AI2419)</f>
        <v>0</v>
      </c>
      <c r="AD2424" s="2"/>
      <c r="AE2424" s="2"/>
      <c r="AF2424" s="2"/>
      <c r="AG2424" s="2"/>
      <c r="AH2424" s="2"/>
      <c r="AI2424" s="2"/>
      <c r="AJ2424" s="2"/>
      <c r="AK2424" s="2"/>
      <c r="AL2424" s="2"/>
    </row>
    <row r="2425" spans="1:38" ht="12.75" customHeight="1" x14ac:dyDescent="0.25">
      <c r="A2425" s="2"/>
      <c r="B2425" s="178"/>
      <c r="C2425" s="779"/>
      <c r="D2425" s="416"/>
      <c r="E2425" s="2602"/>
      <c r="F2425" s="2603"/>
      <c r="G2425" s="2603"/>
      <c r="H2425" s="2603"/>
      <c r="I2425" s="2603"/>
      <c r="J2425" s="2603"/>
      <c r="K2425" s="2603"/>
      <c r="L2425" s="2603"/>
      <c r="M2425" s="2604"/>
      <c r="N2425" s="1810"/>
      <c r="O2425" s="15"/>
      <c r="P2425" s="15"/>
      <c r="Q2425" s="343"/>
      <c r="R2425" s="2"/>
      <c r="S2425" s="343"/>
      <c r="T2425" s="2"/>
      <c r="U2425" s="2"/>
      <c r="V2425" s="343"/>
      <c r="W2425" s="2"/>
      <c r="X2425" s="413"/>
      <c r="Y2425" s="413"/>
      <c r="Z2425" s="2"/>
      <c r="AA2425" s="2"/>
      <c r="AB2425" s="2"/>
      <c r="AC2425" s="108" t="b">
        <f>AC2424</f>
        <v>0</v>
      </c>
      <c r="AD2425" s="2"/>
      <c r="AE2425" s="2"/>
      <c r="AF2425" s="2"/>
      <c r="AG2425" s="2"/>
      <c r="AH2425" s="2"/>
      <c r="AI2425" s="2"/>
      <c r="AJ2425" s="2"/>
      <c r="AK2425" s="2"/>
      <c r="AL2425" s="2"/>
    </row>
    <row r="2426" spans="1:38" ht="12.75" customHeight="1" thickBot="1" x14ac:dyDescent="0.3">
      <c r="A2426" s="2"/>
      <c r="B2426" s="178"/>
      <c r="C2426" s="781"/>
      <c r="D2426" s="782"/>
      <c r="E2426" s="782"/>
      <c r="F2426" s="782"/>
      <c r="G2426" s="782"/>
      <c r="H2426" s="782"/>
      <c r="I2426" s="782"/>
      <c r="J2426" s="782"/>
      <c r="K2426" s="782"/>
      <c r="L2426" s="782"/>
      <c r="M2426" s="783"/>
      <c r="N2426" s="784"/>
      <c r="O2426" s="15"/>
      <c r="P2426" s="15"/>
      <c r="Q2426" s="343"/>
      <c r="R2426" s="2"/>
      <c r="S2426" s="343"/>
      <c r="T2426" s="2"/>
      <c r="U2426" s="2"/>
      <c r="V2426" s="343"/>
      <c r="W2426" s="2"/>
      <c r="X2426" s="2"/>
      <c r="Y2426" s="2"/>
      <c r="Z2426" s="2"/>
      <c r="AA2426" s="2"/>
      <c r="AB2426" s="2"/>
      <c r="AC2426" s="2"/>
      <c r="AD2426" s="2"/>
      <c r="AE2426" s="2"/>
      <c r="AF2426" s="2"/>
      <c r="AG2426" s="2"/>
      <c r="AH2426" s="2"/>
      <c r="AI2426" s="2"/>
      <c r="AJ2426" s="2"/>
      <c r="AK2426" s="2"/>
      <c r="AL2426" s="2"/>
    </row>
    <row r="2427" spans="1:38" ht="12.75" customHeight="1" thickBot="1" x14ac:dyDescent="0.3">
      <c r="A2427" s="343"/>
      <c r="B2427" s="3"/>
      <c r="C2427" s="3"/>
      <c r="D2427" s="3"/>
      <c r="E2427" s="3"/>
      <c r="F2427" s="3"/>
      <c r="G2427" s="3"/>
      <c r="H2427" s="3"/>
      <c r="I2427" s="3"/>
      <c r="J2427" s="3"/>
      <c r="K2427" s="3"/>
      <c r="L2427" s="3"/>
      <c r="M2427" s="6"/>
      <c r="N2427" s="6"/>
      <c r="O2427" s="6"/>
      <c r="P2427" s="6"/>
      <c r="Q2427" s="294" t="str">
        <f>IF(OR(AND(CNTR_ExistProductSubEntries=FALSE,Q2127=1),AND(I2127&lt;&gt;"",COUNTIF(Q2428:$Q3071,"PRINT")=0)),"PRINT","")</f>
        <v/>
      </c>
      <c r="R2427" s="7"/>
      <c r="S2427" s="7"/>
      <c r="T2427" s="7"/>
      <c r="U2427" s="7"/>
      <c r="V2427" s="7"/>
      <c r="W2427" s="7"/>
      <c r="X2427" s="7"/>
      <c r="Y2427" s="7"/>
      <c r="Z2427" s="2"/>
      <c r="AA2427" s="2"/>
      <c r="AB2427" s="2"/>
      <c r="AC2427" s="2"/>
      <c r="AD2427" s="2"/>
      <c r="AE2427" s="349"/>
      <c r="AF2427" s="349"/>
      <c r="AG2427" s="349"/>
      <c r="AH2427" s="349"/>
      <c r="AI2427" s="349"/>
      <c r="AJ2427" s="349"/>
      <c r="AK2427" s="349"/>
      <c r="AL2427" s="349"/>
    </row>
    <row r="2428" spans="1:38" ht="5.15" customHeight="1" thickBot="1" x14ac:dyDescent="0.3">
      <c r="A2428" s="2"/>
      <c r="B2428" s="178"/>
      <c r="C2428" s="785"/>
      <c r="D2428" s="785"/>
      <c r="E2428" s="785"/>
      <c r="F2428" s="785"/>
      <c r="G2428" s="785"/>
      <c r="H2428" s="785"/>
      <c r="I2428" s="785"/>
      <c r="J2428" s="785"/>
      <c r="K2428" s="785"/>
      <c r="L2428" s="785"/>
      <c r="M2428" s="785"/>
      <c r="N2428" s="785"/>
      <c r="O2428" s="15"/>
      <c r="P2428" s="15"/>
      <c r="Q2428" s="1723"/>
      <c r="R2428" s="1723"/>
      <c r="S2428" s="1723"/>
      <c r="T2428" s="1723"/>
      <c r="U2428" s="1723"/>
      <c r="V2428" s="1723"/>
      <c r="W2428" s="1723"/>
      <c r="X2428" s="1723"/>
      <c r="Y2428" s="1723"/>
      <c r="Z2428" s="1723"/>
      <c r="AA2428" s="1723"/>
      <c r="AB2428" s="1723"/>
      <c r="AC2428" s="1723"/>
      <c r="AD2428" s="1723"/>
      <c r="AE2428" s="1723"/>
      <c r="AF2428" s="1723"/>
      <c r="AG2428" s="1723"/>
      <c r="AH2428" s="1723"/>
      <c r="AI2428" s="1723"/>
      <c r="AJ2428" s="1723"/>
      <c r="AK2428" s="1723"/>
      <c r="AL2428" s="1723"/>
    </row>
    <row r="2429" spans="1:38" ht="14.5" thickBot="1" x14ac:dyDescent="0.3">
      <c r="A2429" s="2"/>
      <c r="B2429" s="178"/>
      <c r="C2429" s="771">
        <f>C2127+1</f>
        <v>9</v>
      </c>
      <c r="D2429" s="2053" t="str">
        <f>EUconst_BMSubinst &amp; ":"</f>
        <v>Delanläggning med produktriktmärke:</v>
      </c>
      <c r="E2429" s="1963"/>
      <c r="F2429" s="1963"/>
      <c r="G2429" s="1963"/>
      <c r="H2429" s="2060"/>
      <c r="I2429" s="2090" t="str">
        <f>IF(INDEX(CNTR_SubInstListIsProdBM,$C2429),INDEX(CNTR_SubInstListNames,$C2429),"")</f>
        <v/>
      </c>
      <c r="J2429" s="2120"/>
      <c r="K2429" s="2120"/>
      <c r="L2429" s="2120"/>
      <c r="M2429" s="2120"/>
      <c r="N2429" s="2154"/>
      <c r="O2429" s="15"/>
      <c r="P2429" s="15"/>
      <c r="Q2429" s="294">
        <f>C2429</f>
        <v>9</v>
      </c>
      <c r="R2429" s="2"/>
      <c r="S2429" s="553" t="s">
        <v>608</v>
      </c>
      <c r="T2429" s="979" t="str">
        <f>IF(I2429="","",MAX(INDEX(CNTR_SubInstStartDate,MATCH($I2429,CNTR_SubInstListNames,0)),DATE(2005,1,1)))</f>
        <v/>
      </c>
      <c r="U2429" s="343" t="s">
        <v>1873</v>
      </c>
      <c r="V2429" s="663">
        <f>IF(ISNUMBER(T2429),YEAR($T2429-IF(YEAR(T2429)&gt;=2022,0,1))+1,2005)</f>
        <v>2005</v>
      </c>
      <c r="W2429" s="553" t="s">
        <v>1876</v>
      </c>
      <c r="X2429" s="979" t="str">
        <f>IF(I2429="","",INDEX(CNTR_SubInstCessationDate,MATCH($I2429,CNTR_SubInstListNames,0)))</f>
        <v/>
      </c>
      <c r="Y2429" s="553" t="s">
        <v>1877</v>
      </c>
      <c r="Z2429" s="663">
        <f>IF(SUM(X2429)=0,2050,YEAR($X2429))</f>
        <v>2050</v>
      </c>
      <c r="AA2429" s="553" t="s">
        <v>2201</v>
      </c>
      <c r="AB2429" s="663" t="b">
        <f>CNTR_ReportingYear&gt;V2429</f>
        <v>1</v>
      </c>
      <c r="AC2429" s="2"/>
      <c r="AD2429" s="2"/>
      <c r="AE2429" s="2"/>
      <c r="AF2429" s="2"/>
      <c r="AG2429" s="2"/>
      <c r="AH2429" s="2"/>
      <c r="AI2429" s="2"/>
      <c r="AJ2429" s="2"/>
      <c r="AK2429" s="2"/>
      <c r="AL2429" s="555" t="b">
        <f>AND(CNTR_ExistSubInstEntries,I2429="")</f>
        <v>0</v>
      </c>
    </row>
    <row r="2430" spans="1:38" ht="12.75" customHeight="1" x14ac:dyDescent="0.25">
      <c r="A2430" s="2"/>
      <c r="B2430" s="178"/>
      <c r="C2430" s="178"/>
      <c r="D2430" s="15"/>
      <c r="E2430" s="2061" t="str">
        <f>Translations!$B$360</f>
        <v>Namnet på delanläggningen med produktriktmärke visas automatiskt i inmatningsfälten i blad ”A_InstallationData”.</v>
      </c>
      <c r="F2430" s="1963"/>
      <c r="G2430" s="1963"/>
      <c r="H2430" s="1963"/>
      <c r="I2430" s="1963"/>
      <c r="J2430" s="1963"/>
      <c r="K2430" s="1963"/>
      <c r="L2430" s="1963"/>
      <c r="M2430" s="1963"/>
      <c r="N2430" s="1963"/>
      <c r="O2430" s="15"/>
      <c r="P2430" s="15"/>
      <c r="Q2430" s="343"/>
      <c r="R2430" s="2"/>
      <c r="S2430" s="343"/>
      <c r="T2430" s="343"/>
      <c r="U2430" s="2"/>
      <c r="V2430" s="2"/>
      <c r="W2430" s="2"/>
      <c r="X2430" s="2"/>
      <c r="Y2430" s="2"/>
      <c r="Z2430" s="2"/>
      <c r="AA2430" s="2"/>
      <c r="AB2430" s="2"/>
      <c r="AC2430" s="2"/>
      <c r="AD2430" s="2"/>
      <c r="AE2430" s="2"/>
      <c r="AF2430" s="2"/>
      <c r="AG2430" s="2"/>
      <c r="AH2430" s="2"/>
      <c r="AI2430" s="2"/>
      <c r="AJ2430" s="2"/>
      <c r="AK2430" s="2"/>
      <c r="AL2430" s="2"/>
    </row>
    <row r="2431" spans="1:38" ht="5.15" customHeight="1" x14ac:dyDescent="0.25">
      <c r="A2431" s="2"/>
      <c r="B2431" s="178"/>
      <c r="C2431" s="178"/>
      <c r="D2431" s="178"/>
      <c r="E2431" s="178"/>
      <c r="F2431" s="178"/>
      <c r="G2431" s="178"/>
      <c r="H2431" s="178"/>
      <c r="I2431" s="178"/>
      <c r="J2431" s="178"/>
      <c r="K2431" s="178"/>
      <c r="L2431" s="178"/>
      <c r="M2431" s="15"/>
      <c r="N2431" s="15"/>
      <c r="O2431" s="15"/>
      <c r="P2431" s="15"/>
      <c r="Q2431" s="343"/>
      <c r="R2431" s="2"/>
      <c r="S2431" s="343"/>
      <c r="T2431" s="343"/>
      <c r="U2431" s="2"/>
      <c r="V2431" s="2"/>
      <c r="W2431" s="2"/>
      <c r="X2431" s="2"/>
      <c r="Y2431" s="2"/>
      <c r="Z2431" s="2"/>
      <c r="AA2431" s="2"/>
      <c r="AB2431" s="2"/>
      <c r="AC2431" s="2"/>
      <c r="AD2431" s="2"/>
      <c r="AE2431" s="2"/>
      <c r="AF2431" s="2"/>
      <c r="AG2431" s="2"/>
      <c r="AH2431" s="2"/>
      <c r="AI2431" s="2"/>
      <c r="AJ2431" s="2"/>
      <c r="AK2431" s="2"/>
      <c r="AL2431" s="2"/>
    </row>
    <row r="2432" spans="1:38" ht="13" x14ac:dyDescent="0.25">
      <c r="A2432" s="2"/>
      <c r="B2432" s="178"/>
      <c r="C2432" s="178"/>
      <c r="D2432" s="13" t="s">
        <v>442</v>
      </c>
      <c r="E2432" s="1943" t="str">
        <f>Translations!$B$1466</f>
        <v>Verksamhetsnivåer</v>
      </c>
      <c r="F2432" s="1963"/>
      <c r="G2432" s="1963"/>
      <c r="H2432" s="1963"/>
      <c r="I2432" s="1963"/>
      <c r="J2432" s="1963"/>
      <c r="K2432" s="1963"/>
      <c r="L2432" s="1963"/>
      <c r="M2432" s="1963"/>
      <c r="N2432" s="1963"/>
      <c r="O2432" s="15"/>
      <c r="P2432" s="15"/>
      <c r="Q2432" s="343"/>
      <c r="R2432" s="2"/>
      <c r="S2432" s="2"/>
      <c r="T2432" s="2"/>
      <c r="U2432" s="2"/>
      <c r="V2432" s="2"/>
      <c r="W2432" s="2"/>
      <c r="X2432" s="2"/>
      <c r="Y2432" s="2"/>
      <c r="Z2432" s="2"/>
      <c r="AA2432" s="2"/>
      <c r="AB2432" s="2"/>
      <c r="AC2432" s="2"/>
      <c r="AD2432" s="2"/>
      <c r="AE2432" s="2"/>
      <c r="AF2432" s="2"/>
      <c r="AG2432" s="2"/>
      <c r="AH2432" s="2"/>
      <c r="AI2432" s="2"/>
      <c r="AJ2432" s="2"/>
      <c r="AK2432" s="2"/>
      <c r="AL2432" s="2"/>
    </row>
    <row r="2433" spans="1:38" ht="12.75" customHeight="1" x14ac:dyDescent="0.25">
      <c r="A2433" s="2"/>
      <c r="B2433" s="178"/>
      <c r="C2433" s="178"/>
      <c r="D2433" s="15"/>
      <c r="E2433" s="2061" t="str">
        <f>Translations!$B$514</f>
        <v>I denna punkt ska de ”huvudsakliga verksamhetsnivåerna” anges, dvs. de uppgifter som är direkt tillämpliga för att beräkna tilldelningen.</v>
      </c>
      <c r="F2433" s="1963"/>
      <c r="G2433" s="1963"/>
      <c r="H2433" s="1963"/>
      <c r="I2433" s="1963"/>
      <c r="J2433" s="1963"/>
      <c r="K2433" s="1963"/>
      <c r="L2433" s="1963"/>
      <c r="M2433" s="1963"/>
      <c r="N2433" s="1963"/>
      <c r="O2433" s="15"/>
      <c r="P2433" s="15"/>
      <c r="Q2433" s="343"/>
      <c r="R2433" s="2"/>
      <c r="S2433" s="343"/>
      <c r="T2433" s="343"/>
      <c r="U2433" s="343"/>
      <c r="V2433" s="2"/>
      <c r="W2433" s="2"/>
      <c r="X2433" s="2"/>
      <c r="Y2433" s="2"/>
      <c r="Z2433" s="2"/>
      <c r="AA2433" s="2"/>
      <c r="AB2433" s="2"/>
      <c r="AC2433" s="2"/>
      <c r="AD2433" s="2"/>
      <c r="AE2433" s="2"/>
      <c r="AF2433" s="2"/>
      <c r="AG2433" s="2"/>
      <c r="AH2433" s="2"/>
      <c r="AI2433" s="2"/>
      <c r="AJ2433" s="2"/>
      <c r="AK2433" s="2"/>
      <c r="AL2433" s="2"/>
    </row>
    <row r="2434" spans="1:38" ht="12.75" customHeight="1" x14ac:dyDescent="0.25">
      <c r="A2434" s="2"/>
      <c r="B2434" s="178"/>
      <c r="C2434" s="178"/>
      <c r="D2434" s="15"/>
      <c r="E2434" s="2061" t="str">
        <f>Translations!$B$515</f>
        <v xml:space="preserve">Detta är i regel produktionsuppgifter för produkten, t.ex. grå cementklinker i ton eller glasflaskor i ton, i enlighet med bilaga I till FAR. </v>
      </c>
      <c r="F2434" s="1963"/>
      <c r="G2434" s="1963"/>
      <c r="H2434" s="1963"/>
      <c r="I2434" s="1963"/>
      <c r="J2434" s="1963"/>
      <c r="K2434" s="1963"/>
      <c r="L2434" s="1963"/>
      <c r="M2434" s="1963"/>
      <c r="N2434" s="1963"/>
      <c r="O2434" s="15"/>
      <c r="P2434" s="15"/>
      <c r="Q2434" s="343"/>
      <c r="R2434" s="2"/>
      <c r="S2434" s="343"/>
      <c r="T2434" s="343"/>
      <c r="U2434" s="343"/>
      <c r="V2434" s="2"/>
      <c r="W2434" s="2"/>
      <c r="X2434" s="2"/>
      <c r="Y2434" s="2"/>
      <c r="Z2434" s="2"/>
      <c r="AA2434" s="2"/>
      <c r="AB2434" s="2"/>
      <c r="AC2434" s="2"/>
      <c r="AD2434" s="2"/>
      <c r="AE2434" s="2"/>
      <c r="AF2434" s="2"/>
      <c r="AG2434" s="2"/>
      <c r="AH2434" s="2"/>
      <c r="AI2434" s="2"/>
      <c r="AJ2434" s="2"/>
      <c r="AK2434" s="2"/>
      <c r="AL2434" s="2"/>
    </row>
    <row r="2435" spans="1:38" ht="12.75" customHeight="1" x14ac:dyDescent="0.25">
      <c r="A2435" s="2"/>
      <c r="B2435" s="178"/>
      <c r="C2435" s="178"/>
      <c r="D2435" s="15"/>
      <c r="E2435" s="2061" t="str">
        <f>Translations!$B$516</f>
        <v>Om ett meddelande visas i punkt iv måste dock lämpligt beräkningsverktyg användas, och resultaten kopieras automatiskt in i tabellen i punkt ii.</v>
      </c>
      <c r="F2435" s="1963"/>
      <c r="G2435" s="1963"/>
      <c r="H2435" s="1963"/>
      <c r="I2435" s="1963"/>
      <c r="J2435" s="1963"/>
      <c r="K2435" s="1963"/>
      <c r="L2435" s="1963"/>
      <c r="M2435" s="1963"/>
      <c r="N2435" s="1963"/>
      <c r="O2435" s="15"/>
      <c r="P2435" s="15"/>
      <c r="Q2435" s="343"/>
      <c r="R2435" s="2"/>
      <c r="S2435" s="343"/>
      <c r="T2435" s="2"/>
      <c r="U2435" s="2"/>
      <c r="V2435" s="2"/>
      <c r="W2435" s="2"/>
      <c r="X2435" s="2"/>
      <c r="Y2435" s="2"/>
      <c r="Z2435" s="343"/>
      <c r="AA2435" s="2"/>
      <c r="AB2435" s="2"/>
      <c r="AC2435" s="2"/>
      <c r="AD2435" s="2"/>
      <c r="AE2435" s="2"/>
      <c r="AF2435" s="2"/>
      <c r="AG2435" s="2"/>
      <c r="AH2435" s="2"/>
      <c r="AI2435" s="2"/>
      <c r="AJ2435" s="2"/>
      <c r="AK2435" s="2"/>
      <c r="AL2435" s="2"/>
    </row>
    <row r="2436" spans="1:38" ht="13.5" customHeight="1" thickBot="1" x14ac:dyDescent="0.3">
      <c r="A2436" s="2"/>
      <c r="B2436" s="19"/>
      <c r="C2436" s="19"/>
      <c r="D2436" s="13"/>
      <c r="E2436" s="2062" t="str">
        <f>Translations!$B$517</f>
        <v>Årliga verksamhetsnivåer:</v>
      </c>
      <c r="F2436" s="2062"/>
      <c r="G2436" s="30" t="str">
        <f>EUconst_Unit</f>
        <v>Enhet</v>
      </c>
      <c r="H2436" s="320">
        <f t="shared" ref="H2436:N2436" si="1106">H$3042</f>
        <v>2019</v>
      </c>
      <c r="I2436" s="342">
        <f t="shared" si="1106"/>
        <v>2020</v>
      </c>
      <c r="J2436" s="987">
        <f t="shared" si="1106"/>
        <v>2021</v>
      </c>
      <c r="K2436" s="320">
        <f t="shared" si="1106"/>
        <v>2022</v>
      </c>
      <c r="L2436" s="320">
        <f t="shared" si="1106"/>
        <v>2023</v>
      </c>
      <c r="M2436" s="320">
        <f t="shared" si="1106"/>
        <v>2024</v>
      </c>
      <c r="N2436" s="350">
        <f t="shared" si="1106"/>
        <v>2025</v>
      </c>
      <c r="O2436" s="15"/>
      <c r="P2436" s="15"/>
      <c r="Q2436" s="343"/>
      <c r="R2436" s="2"/>
      <c r="S2436" s="2"/>
      <c r="T2436" s="1044">
        <f t="shared" ref="T2436:Z2436" si="1107">H2436</f>
        <v>2019</v>
      </c>
      <c r="U2436" s="1044">
        <f t="shared" si="1107"/>
        <v>2020</v>
      </c>
      <c r="V2436" s="1044">
        <f t="shared" si="1107"/>
        <v>2021</v>
      </c>
      <c r="W2436" s="1044">
        <f t="shared" si="1107"/>
        <v>2022</v>
      </c>
      <c r="X2436" s="1044">
        <f t="shared" si="1107"/>
        <v>2023</v>
      </c>
      <c r="Y2436" s="1044">
        <f t="shared" si="1107"/>
        <v>2024</v>
      </c>
      <c r="Z2436" s="1044">
        <f t="shared" si="1107"/>
        <v>2025</v>
      </c>
      <c r="AA2436" s="2"/>
      <c r="AB2436" s="2"/>
      <c r="AC2436" s="1044">
        <f t="shared" ref="AC2436:AI2436" si="1108">H$20</f>
        <v>2019</v>
      </c>
      <c r="AD2436" s="1044">
        <f t="shared" si="1108"/>
        <v>2020</v>
      </c>
      <c r="AE2436" s="1044">
        <f t="shared" si="1108"/>
        <v>2021</v>
      </c>
      <c r="AF2436" s="1044">
        <f t="shared" si="1108"/>
        <v>2022</v>
      </c>
      <c r="AG2436" s="1044">
        <f t="shared" si="1108"/>
        <v>2023</v>
      </c>
      <c r="AH2436" s="1044">
        <f t="shared" si="1108"/>
        <v>2024</v>
      </c>
      <c r="AI2436" s="1044">
        <f t="shared" si="1108"/>
        <v>2025</v>
      </c>
      <c r="AJ2436" s="2"/>
      <c r="AK2436" s="2"/>
      <c r="AL2436" s="343"/>
    </row>
    <row r="2437" spans="1:38" ht="13" thickBot="1" x14ac:dyDescent="0.3">
      <c r="A2437" s="2"/>
      <c r="B2437" s="19"/>
      <c r="C2437" s="19"/>
      <c r="D2437" s="175" t="s">
        <v>8</v>
      </c>
      <c r="E2437" s="2655" t="str">
        <f>I2429</f>
        <v/>
      </c>
      <c r="F2437" s="2655"/>
      <c r="G2437" s="91" t="str">
        <f>IF(INDEX(CNTR_SubInstListIsProdBM,$C2429),INDEX(CNTR_SubInstListHALUnit,$C2429),EUconst_Tons)</f>
        <v>ton</v>
      </c>
      <c r="H2437" s="921"/>
      <c r="I2437" s="985"/>
      <c r="J2437" s="988"/>
      <c r="K2437" s="921"/>
      <c r="L2437" s="921"/>
      <c r="M2437" s="921"/>
      <c r="N2437" s="1124"/>
      <c r="O2437" s="15"/>
      <c r="P2437" s="1362"/>
      <c r="Q2437" s="2"/>
      <c r="R2437" s="2"/>
      <c r="S2437" s="343" t="s">
        <v>1874</v>
      </c>
      <c r="T2437" s="1762" t="b">
        <f t="shared" ref="T2437:Z2437" si="1109">AND($I2429&lt;&gt;"",H2436&lt;CNTR_ReportingYear,H2436&gt;=$V2429-1)</f>
        <v>0</v>
      </c>
      <c r="U2437" s="1763" t="b">
        <f t="shared" si="1109"/>
        <v>0</v>
      </c>
      <c r="V2437" s="1763" t="b">
        <f t="shared" si="1109"/>
        <v>0</v>
      </c>
      <c r="W2437" s="1763" t="b">
        <f t="shared" si="1109"/>
        <v>0</v>
      </c>
      <c r="X2437" s="1763" t="b">
        <f t="shared" si="1109"/>
        <v>0</v>
      </c>
      <c r="Y2437" s="1763" t="b">
        <f t="shared" si="1109"/>
        <v>0</v>
      </c>
      <c r="Z2437" s="1764" t="b">
        <f t="shared" si="1109"/>
        <v>0</v>
      </c>
      <c r="AA2437" s="343"/>
      <c r="AB2437" s="672" t="s">
        <v>782</v>
      </c>
      <c r="AC2437" s="1755" t="b">
        <f t="shared" ref="AC2437:AI2437" si="1110">IF(CNTR_ExistSubInstEntries,OR($I2429="",$R2441,H2436&gt;=CNTR_ReportingYear,AC2436&lt;$V2429-1),FALSE)</f>
        <v>0</v>
      </c>
      <c r="AD2437" s="1042" t="b">
        <f t="shared" si="1110"/>
        <v>0</v>
      </c>
      <c r="AE2437" s="1042" t="b">
        <f t="shared" si="1110"/>
        <v>0</v>
      </c>
      <c r="AF2437" s="1042" t="b">
        <f t="shared" si="1110"/>
        <v>0</v>
      </c>
      <c r="AG2437" s="1042" t="b">
        <f t="shared" si="1110"/>
        <v>0</v>
      </c>
      <c r="AH2437" s="1042" t="b">
        <f t="shared" si="1110"/>
        <v>0</v>
      </c>
      <c r="AI2437" s="1043" t="b">
        <f t="shared" si="1110"/>
        <v>0</v>
      </c>
      <c r="AJ2437" s="553" t="s">
        <v>2248</v>
      </c>
      <c r="AK2437" s="663" t="str">
        <f>IF(AND(CNTR_ExistSubInstEntries,COUNTIFS(AC2437:AI2437,FALSE,H2437:N2437,"")&gt;0),EUconst_Error&amp;"BM"&amp;$Q2429,"")</f>
        <v/>
      </c>
      <c r="AL2437" s="2"/>
    </row>
    <row r="2438" spans="1:38" ht="13" customHeight="1" thickBot="1" x14ac:dyDescent="0.3">
      <c r="A2438" s="2"/>
      <c r="B2438" s="19"/>
      <c r="C2438" s="19"/>
      <c r="D2438" s="175" t="s">
        <v>9</v>
      </c>
      <c r="E2438" s="2655" t="str">
        <f>Translations!$B$518</f>
        <v>Från blad ”H_SpecialBM”:</v>
      </c>
      <c r="F2438" s="2655"/>
      <c r="G2438" s="91" t="str">
        <f>G2437</f>
        <v>ton</v>
      </c>
      <c r="H2438" s="922" t="str">
        <f>IF(OR($I2429="",H2436&gt;=CNTR_ReportingYear),"",IF($R2441,SUMIF(H_SpecialBM!$Q$9:$Q$414,$Q2438,H_SpecialBM!H$9:H$414),""))</f>
        <v/>
      </c>
      <c r="I2438" s="986" t="str">
        <f>IF(OR($I2429="",I2436&gt;=CNTR_ReportingYear),"",IF($R2441,SUMIF(H_SpecialBM!$Q$9:$Q$414,$Q2438,H_SpecialBM!I$9:I$414),""))</f>
        <v/>
      </c>
      <c r="J2438" s="989" t="str">
        <f>IF(OR($I2429="",J2436&gt;=CNTR_ReportingYear),"",IF($R2441,SUMIF(H_SpecialBM!$Q$9:$Q$414,$Q2438,H_SpecialBM!J$9:J$414),""))</f>
        <v/>
      </c>
      <c r="K2438" s="922" t="str">
        <f>IF(OR($I2429="",K2436&gt;=CNTR_ReportingYear),"",IF($R2441,SUMIF(H_SpecialBM!$Q$9:$Q$414,$Q2438,H_SpecialBM!K$9:K$414),""))</f>
        <v/>
      </c>
      <c r="L2438" s="922" t="str">
        <f>IF(OR($I2429="",L2436&gt;=CNTR_ReportingYear),"",IF($R2441,SUMIF(H_SpecialBM!$Q$9:$Q$414,$Q2438,H_SpecialBM!L$9:L$414),""))</f>
        <v/>
      </c>
      <c r="M2438" s="922" t="str">
        <f>IF(OR($I2429="",M2436&gt;=CNTR_ReportingYear),"",IF($R2441,SUMIF(H_SpecialBM!$Q$9:$Q$414,$Q2438,H_SpecialBM!M$9:M$414),""))</f>
        <v/>
      </c>
      <c r="N2438" s="1125" t="str">
        <f>IF(OR($I2429="",N2436&gt;=CNTR_ReportingYear),"",IF($R2441,SUMIF(H_SpecialBM!$Q$9:$Q$414,$Q2438,H_SpecialBM!N$9:N$414),""))</f>
        <v/>
      </c>
      <c r="O2438" s="15"/>
      <c r="P2438" s="15"/>
      <c r="Q2438" s="165" t="str">
        <f>EUconst_CNTR_HALspecial&amp;I2429</f>
        <v>HALspecial_</v>
      </c>
      <c r="R2438" s="2"/>
      <c r="S2438" s="2"/>
      <c r="T2438" s="2"/>
      <c r="U2438" s="2"/>
      <c r="V2438" s="2"/>
      <c r="W2438" s="2"/>
      <c r="X2438" s="2"/>
      <c r="Y2438" s="2"/>
      <c r="Z2438" s="2"/>
      <c r="AA2438" s="2"/>
      <c r="AB2438" s="672" t="s">
        <v>782</v>
      </c>
      <c r="AC2438" s="1755" t="b">
        <f t="shared" ref="AC2438:AI2438" si="1111">AND(CNTR_HasEntries_A_I,OR($R2441=FALSE,H2436&gt;=CNTR_ReportingYear))</f>
        <v>0</v>
      </c>
      <c r="AD2438" s="1042" t="b">
        <f t="shared" si="1111"/>
        <v>0</v>
      </c>
      <c r="AE2438" s="1042" t="b">
        <f t="shared" si="1111"/>
        <v>0</v>
      </c>
      <c r="AF2438" s="1042" t="b">
        <f t="shared" si="1111"/>
        <v>0</v>
      </c>
      <c r="AG2438" s="1042" t="b">
        <f t="shared" si="1111"/>
        <v>0</v>
      </c>
      <c r="AH2438" s="1042" t="b">
        <f t="shared" si="1111"/>
        <v>0</v>
      </c>
      <c r="AI2438" s="1043" t="b">
        <f t="shared" si="1111"/>
        <v>0</v>
      </c>
      <c r="AJ2438" s="766"/>
      <c r="AK2438" s="766"/>
      <c r="AL2438" s="343"/>
    </row>
    <row r="2439" spans="1:38" ht="13" customHeight="1" x14ac:dyDescent="0.25">
      <c r="A2439" s="2"/>
      <c r="B2439" s="19"/>
      <c r="C2439" s="19"/>
      <c r="D2439" s="175" t="s">
        <v>10</v>
      </c>
      <c r="E2439" s="2655" t="str">
        <f>Translations!$B$519</f>
        <v>Värden som används för beräkning:</v>
      </c>
      <c r="F2439" s="2655"/>
      <c r="G2439" s="91" t="str">
        <f>G2438</f>
        <v>ton</v>
      </c>
      <c r="H2439" s="922" t="str">
        <f t="shared" ref="H2439:N2439" si="1112">IF(OR($I2429="",H2436&gt;=CNTR_ReportingYear),"",IF($R2441=TRUE,IF(ISNUMBER(H2438),H2438,0),IF(AND(H2436&gt;=$V2429-1,ISNUMBER(H2437)),H2437,0)))</f>
        <v/>
      </c>
      <c r="I2439" s="986" t="str">
        <f t="shared" si="1112"/>
        <v/>
      </c>
      <c r="J2439" s="989" t="str">
        <f t="shared" si="1112"/>
        <v/>
      </c>
      <c r="K2439" s="922" t="str">
        <f t="shared" si="1112"/>
        <v/>
      </c>
      <c r="L2439" s="922" t="str">
        <f t="shared" si="1112"/>
        <v/>
      </c>
      <c r="M2439" s="922" t="str">
        <f t="shared" si="1112"/>
        <v/>
      </c>
      <c r="N2439" s="1125" t="str">
        <f t="shared" si="1112"/>
        <v/>
      </c>
      <c r="O2439" s="15"/>
      <c r="P2439" s="918"/>
      <c r="Q2439" s="165" t="str">
        <f>EUconst_CNTR_HAL&amp;I2429</f>
        <v>HAL_</v>
      </c>
      <c r="R2439" s="2"/>
      <c r="S2439" s="2"/>
      <c r="T2439" s="2"/>
      <c r="U2439" s="2"/>
      <c r="V2439" s="2"/>
      <c r="W2439" s="2"/>
      <c r="X2439" s="2"/>
      <c r="Y2439" s="2"/>
      <c r="Z2439" s="2"/>
      <c r="AA2439" s="2"/>
      <c r="AB2439" s="2"/>
      <c r="AC2439" s="2"/>
      <c r="AD2439" s="2"/>
      <c r="AE2439" s="2"/>
      <c r="AF2439" s="2"/>
      <c r="AG2439" s="2"/>
      <c r="AH2439" s="2"/>
      <c r="AI2439" s="2"/>
      <c r="AJ2439" s="553" t="s">
        <v>2242</v>
      </c>
      <c r="AK2439" s="108" t="str">
        <f>IF(COUNTIFS(H2436:N2436,"&lt;"&amp;YEAR(SUM(T2429)),H2439:N2439,"&gt;"&amp;0)&gt;0,EUconst_Error&amp;"BM"&amp;Q2429,"")</f>
        <v/>
      </c>
      <c r="AL2439" s="343"/>
    </row>
    <row r="2440" spans="1:38" ht="5.15" customHeight="1" x14ac:dyDescent="0.25">
      <c r="A2440" s="2"/>
      <c r="B2440" s="178"/>
      <c r="C2440" s="178"/>
      <c r="D2440" s="178"/>
      <c r="E2440" s="178"/>
      <c r="F2440" s="178"/>
      <c r="G2440" s="178"/>
      <c r="H2440" s="178"/>
      <c r="I2440" s="178"/>
      <c r="J2440" s="178"/>
      <c r="K2440" s="178"/>
      <c r="L2440" s="178"/>
      <c r="M2440" s="15"/>
      <c r="N2440" s="15"/>
      <c r="O2440" s="15"/>
      <c r="P2440" s="15"/>
      <c r="Q2440" s="343"/>
      <c r="R2440" s="2"/>
      <c r="S2440" s="343"/>
      <c r="T2440" s="343"/>
      <c r="U2440" s="2"/>
      <c r="V2440" s="2"/>
      <c r="W2440" s="2"/>
      <c r="X2440" s="2"/>
      <c r="Y2440" s="2"/>
      <c r="Z2440" s="2"/>
      <c r="AA2440" s="2"/>
      <c r="AB2440" s="2"/>
      <c r="AC2440" s="2"/>
      <c r="AD2440" s="2"/>
      <c r="AE2440" s="2"/>
      <c r="AF2440" s="2"/>
      <c r="AG2440" s="2"/>
      <c r="AH2440" s="2"/>
      <c r="AI2440" s="2"/>
      <c r="AJ2440" s="2"/>
      <c r="AK2440" s="2"/>
      <c r="AL2440" s="2"/>
    </row>
    <row r="2441" spans="1:38" ht="12.75" customHeight="1" x14ac:dyDescent="0.25">
      <c r="A2441" s="2"/>
      <c r="B2441" s="178"/>
      <c r="C2441" s="178"/>
      <c r="D2441" s="289" t="s">
        <v>23</v>
      </c>
      <c r="E2441" s="1943" t="str">
        <f>Translations!$B$520</f>
        <v>Särskilda rapporteringskrav:</v>
      </c>
      <c r="F2441" s="1943"/>
      <c r="G2441" s="2067"/>
      <c r="H2441" s="2652" t="str">
        <f>IF(I2429="","",HYPERLINK(INDEX(EUconst_BMlistSpecialJumpTable,MATCH(I2429,EUconst_BMlistNames,0)),INDEX(EUconst_BMlistSpecialReporting,MATCH(I2429,EUconst_BMlistNames,0))))</f>
        <v/>
      </c>
      <c r="I2441" s="2656"/>
      <c r="J2441" s="2656"/>
      <c r="K2441" s="2656"/>
      <c r="L2441" s="2656"/>
      <c r="M2441" s="2656"/>
      <c r="N2441" s="2657"/>
      <c r="O2441" s="15"/>
      <c r="P2441" s="15"/>
      <c r="Q2441" s="553" t="s">
        <v>133</v>
      </c>
      <c r="R2441" s="108" t="str">
        <f>IF(I2429="","",IF(AND(INDEX(EUconst_BMlistSpecialJumpTable,MATCH(I2429,EUconst_BMlistNames,0))&lt;&gt;"",MATCH(I2429,EUconst_BMlistNames,0)&lt;&gt;47),TRUE,FALSE))</f>
        <v/>
      </c>
      <c r="S2441" s="343"/>
      <c r="T2441" s="343"/>
      <c r="U2441" s="2"/>
      <c r="V2441" s="2"/>
      <c r="W2441" s="2"/>
      <c r="X2441" s="2"/>
      <c r="Y2441" s="2"/>
      <c r="Z2441" s="2"/>
      <c r="AA2441" s="2"/>
      <c r="AB2441" s="2"/>
      <c r="AC2441" s="2"/>
      <c r="AD2441" s="2"/>
      <c r="AE2441" s="2"/>
      <c r="AF2441" s="2"/>
      <c r="AG2441" s="2"/>
      <c r="AH2441" s="2"/>
      <c r="AI2441" s="2"/>
      <c r="AJ2441" s="2"/>
      <c r="AK2441" s="2"/>
      <c r="AL2441" s="2"/>
    </row>
    <row r="2442" spans="1:38" ht="12.75" customHeight="1" x14ac:dyDescent="0.25">
      <c r="A2442" s="2"/>
      <c r="B2442" s="178"/>
      <c r="C2442" s="178"/>
      <c r="D2442" s="15"/>
      <c r="E2442" s="2061" t="str">
        <f>Translations!$B$521</f>
        <v>Särskild information måste ges när det gäller vissa produktriktmärken (t.ex. CWT-värden). Ett automatiskt meddelande kommer att visas här, i relevanta fall.</v>
      </c>
      <c r="F2442" s="1963"/>
      <c r="G2442" s="1963"/>
      <c r="H2442" s="1963"/>
      <c r="I2442" s="1963"/>
      <c r="J2442" s="1963"/>
      <c r="K2442" s="1963"/>
      <c r="L2442" s="1963"/>
      <c r="M2442" s="1963"/>
      <c r="N2442" s="1963"/>
      <c r="O2442" s="15"/>
      <c r="P2442" s="15"/>
      <c r="Q2442" s="343"/>
      <c r="R2442" s="2"/>
      <c r="S2442" s="343"/>
      <c r="T2442" s="343"/>
      <c r="U2442" s="2"/>
      <c r="V2442" s="2"/>
      <c r="W2442" s="2"/>
      <c r="X2442" s="2"/>
      <c r="Y2442" s="2"/>
      <c r="Z2442" s="2"/>
      <c r="AA2442" s="2"/>
      <c r="AB2442" s="2"/>
      <c r="AC2442" s="2"/>
      <c r="AD2442" s="2"/>
      <c r="AE2442" s="2"/>
      <c r="AF2442" s="2"/>
      <c r="AG2442" s="2"/>
      <c r="AH2442" s="2"/>
      <c r="AI2442" s="2"/>
      <c r="AJ2442" s="2"/>
      <c r="AK2442" s="2"/>
      <c r="AL2442" s="2"/>
    </row>
    <row r="2443" spans="1:38" ht="5.15" customHeight="1" x14ac:dyDescent="0.25">
      <c r="A2443" s="2"/>
      <c r="B2443" s="178"/>
      <c r="C2443" s="178"/>
      <c r="D2443" s="15"/>
      <c r="E2443" s="15"/>
      <c r="F2443" s="15"/>
      <c r="G2443" s="15"/>
      <c r="H2443" s="15"/>
      <c r="I2443" s="15"/>
      <c r="J2443" s="15"/>
      <c r="K2443" s="15"/>
      <c r="L2443" s="15"/>
      <c r="M2443" s="15"/>
      <c r="N2443" s="15"/>
      <c r="O2443" s="15"/>
      <c r="P2443" s="15"/>
      <c r="Q2443" s="343"/>
      <c r="R2443" s="2"/>
      <c r="S2443" s="343"/>
      <c r="T2443" s="343"/>
      <c r="U2443" s="2"/>
      <c r="V2443" s="2"/>
      <c r="W2443" s="2"/>
      <c r="X2443" s="2"/>
      <c r="Y2443" s="2"/>
      <c r="Z2443" s="343"/>
      <c r="AA2443" s="2"/>
      <c r="AB2443" s="2"/>
      <c r="AC2443" s="2"/>
      <c r="AD2443" s="2"/>
      <c r="AE2443" s="2"/>
      <c r="AF2443" s="2"/>
      <c r="AG2443" s="2"/>
      <c r="AH2443" s="2"/>
      <c r="AI2443" s="2"/>
      <c r="AJ2443" s="2"/>
      <c r="AK2443" s="2"/>
      <c r="AL2443" s="343"/>
    </row>
    <row r="2444" spans="1:38" ht="12.75" customHeight="1" x14ac:dyDescent="0.25">
      <c r="A2444" s="2"/>
      <c r="B2444" s="178"/>
      <c r="C2444" s="178"/>
      <c r="D2444" s="13" t="s">
        <v>955</v>
      </c>
      <c r="E2444" s="1943" t="str">
        <f>Translations!$B$1467</f>
        <v>Eventuella justeringar av verksamhetsnivå</v>
      </c>
      <c r="F2444" s="1963"/>
      <c r="G2444" s="1963"/>
      <c r="H2444" s="1963"/>
      <c r="I2444" s="1963"/>
      <c r="J2444" s="1963"/>
      <c r="K2444" s="1963"/>
      <c r="L2444" s="1963"/>
      <c r="M2444" s="1963"/>
      <c r="N2444" s="1963"/>
      <c r="O2444" s="15"/>
      <c r="P2444" s="15"/>
      <c r="Q2444" s="343"/>
      <c r="R2444" s="2"/>
      <c r="S2444" s="343"/>
      <c r="T2444" s="343"/>
      <c r="U2444" s="2"/>
      <c r="V2444" s="2"/>
      <c r="W2444" s="2"/>
      <c r="X2444" s="2"/>
      <c r="Y2444" s="2"/>
      <c r="Z2444" s="343"/>
      <c r="AA2444" s="2"/>
      <c r="AB2444" s="2"/>
      <c r="AC2444" s="2"/>
      <c r="AD2444" s="2"/>
      <c r="AE2444" s="2"/>
      <c r="AF2444" s="2"/>
      <c r="AG2444" s="2"/>
      <c r="AH2444" s="2"/>
      <c r="AI2444" s="2"/>
      <c r="AJ2444" s="2"/>
      <c r="AK2444" s="2"/>
      <c r="AL2444" s="343"/>
    </row>
    <row r="2445" spans="1:38" ht="12.75" customHeight="1" x14ac:dyDescent="0.25">
      <c r="A2445" s="2"/>
      <c r="B2445" s="178"/>
      <c r="C2445" s="178"/>
      <c r="D2445" s="15"/>
      <c r="E2445" s="2061" t="str">
        <f>Translations!$B$1468</f>
        <v>Den historiska verksamhetsnivån (HAL) kommer att bestämmas automatiskt baserat på uppgifter under punkt a) ovan och uppgifter i blad B+C_SubInstallations. För nya delanläggningar kommer HAL att visas under v) baserat på det första fullständiga verksamhetsåret.</v>
      </c>
      <c r="F2445" s="1963"/>
      <c r="G2445" s="1963"/>
      <c r="H2445" s="1963"/>
      <c r="I2445" s="1963"/>
      <c r="J2445" s="1963"/>
      <c r="K2445" s="1963"/>
      <c r="L2445" s="1963"/>
      <c r="M2445" s="1963"/>
      <c r="N2445" s="1963"/>
      <c r="O2445" s="15"/>
      <c r="P2445" s="15"/>
      <c r="Q2445" s="343"/>
      <c r="R2445" s="2"/>
      <c r="S2445" s="343"/>
      <c r="T2445" s="343"/>
      <c r="U2445" s="343"/>
      <c r="V2445" s="2"/>
      <c r="W2445" s="2"/>
      <c r="X2445" s="2"/>
      <c r="Y2445" s="2"/>
      <c r="Z2445" s="2"/>
      <c r="AA2445" s="2"/>
      <c r="AB2445" s="2"/>
      <c r="AC2445" s="2"/>
      <c r="AD2445" s="2"/>
      <c r="AE2445" s="2"/>
      <c r="AF2445" s="2"/>
      <c r="AG2445" s="2"/>
      <c r="AH2445" s="2"/>
      <c r="AI2445" s="2"/>
      <c r="AJ2445" s="2"/>
      <c r="AK2445" s="2"/>
      <c r="AL2445" s="2"/>
    </row>
    <row r="2446" spans="1:38" ht="25.5" customHeight="1" x14ac:dyDescent="0.25">
      <c r="A2446" s="2"/>
      <c r="B2446" s="178"/>
      <c r="C2446" s="178"/>
      <c r="D2446" s="15"/>
      <c r="E2446" s="2061" t="str">
        <f>Translations!$B$1469</f>
        <v>Baserat på värdena för HAL och värdena under punkt a) ovan bestäms de genomsnittliga verksamhetsnivåerna här. Tilldelningen kommer endast att ändras om alla följande tröskelvärden i artikel 5 i verksamhetsändringsförordningen överskrids:</v>
      </c>
      <c r="F2446" s="1963"/>
      <c r="G2446" s="1963"/>
      <c r="H2446" s="1963"/>
      <c r="I2446" s="1963"/>
      <c r="J2446" s="1963"/>
      <c r="K2446" s="1963"/>
      <c r="L2446" s="1963"/>
      <c r="M2446" s="1963"/>
      <c r="N2446" s="1963"/>
      <c r="O2446" s="15"/>
      <c r="P2446" s="15"/>
      <c r="Q2446" s="343"/>
      <c r="R2446" s="2"/>
      <c r="S2446" s="343"/>
      <c r="T2446" s="343"/>
      <c r="U2446" s="343"/>
      <c r="V2446" s="2"/>
      <c r="W2446" s="2"/>
      <c r="X2446" s="2"/>
      <c r="Y2446" s="2"/>
      <c r="Z2446" s="2"/>
      <c r="AA2446" s="2"/>
      <c r="AB2446" s="2"/>
      <c r="AC2446" s="2"/>
      <c r="AD2446" s="2"/>
      <c r="AE2446" s="2"/>
      <c r="AF2446" s="2"/>
      <c r="AG2446" s="2"/>
      <c r="AH2446" s="2"/>
      <c r="AI2446" s="2"/>
      <c r="AJ2446" s="2"/>
      <c r="AK2446" s="2"/>
      <c r="AL2446" s="2"/>
    </row>
    <row r="2447" spans="1:38" ht="12.75" customHeight="1" x14ac:dyDescent="0.25">
      <c r="A2447" s="2"/>
      <c r="B2447" s="178"/>
      <c r="C2447" s="178"/>
      <c r="D2447" s="15"/>
      <c r="E2447" s="1102" t="s">
        <v>1112</v>
      </c>
      <c r="F2447" s="2095" t="str">
        <f>Translations!$B$1470</f>
        <v>De relativa tröskelvärdena (15 % och 5 % för efterföljande ändringar) för de genomsnittliga verksamhetsnivåerna jämfört med HAL</v>
      </c>
      <c r="G2447" s="2159"/>
      <c r="H2447" s="2159"/>
      <c r="I2447" s="2159"/>
      <c r="J2447" s="2159"/>
      <c r="K2447" s="2159"/>
      <c r="L2447" s="2159"/>
      <c r="M2447" s="2159"/>
      <c r="N2447" s="2159"/>
      <c r="O2447" s="15"/>
      <c r="P2447" s="15"/>
      <c r="Q2447" s="343"/>
      <c r="R2447" s="2"/>
      <c r="S2447" s="343"/>
      <c r="T2447" s="343"/>
      <c r="U2447" s="343"/>
      <c r="V2447" s="2"/>
      <c r="W2447" s="2"/>
      <c r="X2447" s="2"/>
      <c r="Y2447" s="2"/>
      <c r="Z2447" s="2"/>
      <c r="AA2447" s="2"/>
      <c r="AB2447" s="2"/>
      <c r="AC2447" s="2"/>
      <c r="AD2447" s="2"/>
      <c r="AE2447" s="2"/>
      <c r="AF2447" s="2"/>
      <c r="AG2447" s="2"/>
      <c r="AH2447" s="2"/>
      <c r="AI2447" s="2"/>
      <c r="AJ2447" s="2"/>
      <c r="AK2447" s="2"/>
      <c r="AL2447" s="2"/>
    </row>
    <row r="2448" spans="1:38" ht="12.75" customHeight="1" thickBot="1" x14ac:dyDescent="0.3">
      <c r="A2448" s="2"/>
      <c r="B2448" s="178"/>
      <c r="C2448" s="178"/>
      <c r="D2448" s="15"/>
      <c r="E2448" s="1102" t="s">
        <v>1112</v>
      </c>
      <c r="F2448" s="2095" t="str">
        <f>Translations!$B$1471</f>
        <v>Det absoluta tröskelvärdet, dvs. en ändring skulle leda till en ändring av den preliminära tilldelningen på minst 100 utsläppsrätter</v>
      </c>
      <c r="G2448" s="2159"/>
      <c r="H2448" s="2159"/>
      <c r="I2448" s="2159"/>
      <c r="J2448" s="2159"/>
      <c r="K2448" s="2159"/>
      <c r="L2448" s="2159"/>
      <c r="M2448" s="2159"/>
      <c r="N2448" s="2159"/>
      <c r="O2448" s="15"/>
      <c r="P2448" s="15"/>
      <c r="Q2448" s="343"/>
      <c r="R2448" s="2"/>
      <c r="S2448" s="343"/>
      <c r="T2448" s="343"/>
      <c r="U2448" s="343"/>
      <c r="V2448" s="2"/>
      <c r="W2448" s="2"/>
      <c r="X2448" s="2"/>
      <c r="Y2448" s="2"/>
      <c r="Z2448" s="2"/>
      <c r="AA2448" s="2"/>
      <c r="AB2448" s="2"/>
      <c r="AC2448" s="2"/>
      <c r="AD2448" s="2"/>
      <c r="AE2448" s="2"/>
      <c r="AF2448" s="2"/>
      <c r="AG2448" s="2"/>
      <c r="AH2448" s="2"/>
      <c r="AI2448" s="2"/>
      <c r="AJ2448" s="2"/>
      <c r="AK2448" s="2"/>
      <c r="AL2448" s="2"/>
    </row>
    <row r="2449" spans="1:38" ht="5.15" customHeight="1" thickBot="1" x14ac:dyDescent="0.3">
      <c r="A2449" s="2"/>
      <c r="B2449" s="178"/>
      <c r="C2449" s="178"/>
      <c r="D2449" s="1238"/>
      <c r="E2449" s="1278"/>
      <c r="F2449" s="1239"/>
      <c r="G2449" s="1279"/>
      <c r="H2449" s="1279"/>
      <c r="I2449" s="1279"/>
      <c r="J2449" s="1279"/>
      <c r="K2449" s="1279"/>
      <c r="L2449" s="1279"/>
      <c r="M2449" s="1279"/>
      <c r="N2449" s="1280"/>
      <c r="O2449" s="15"/>
      <c r="P2449" s="15"/>
      <c r="Q2449" s="343"/>
      <c r="R2449" s="2"/>
      <c r="S2449" s="343"/>
      <c r="T2449" s="343"/>
      <c r="U2449" s="343"/>
      <c r="V2449" s="2"/>
      <c r="W2449" s="2"/>
      <c r="X2449" s="2"/>
      <c r="Y2449" s="2"/>
      <c r="Z2449" s="2"/>
      <c r="AA2449" s="2"/>
      <c r="AB2449" s="2"/>
      <c r="AC2449" s="2"/>
      <c r="AD2449" s="2"/>
      <c r="AE2449" s="2"/>
      <c r="AF2449" s="2"/>
      <c r="AG2449" s="2"/>
      <c r="AH2449" s="2"/>
      <c r="AI2449" s="2"/>
      <c r="AJ2449" s="2"/>
      <c r="AK2449" s="2"/>
      <c r="AL2449" s="2"/>
    </row>
    <row r="2450" spans="1:38" ht="12.75" customHeight="1" x14ac:dyDescent="0.25">
      <c r="A2450" s="2"/>
      <c r="B2450" s="178"/>
      <c r="C2450" s="178"/>
      <c r="D2450" s="1290"/>
      <c r="E2450" s="1243" t="str">
        <f>Translations!$B$1340</f>
        <v>Justeringar</v>
      </c>
      <c r="F2450" s="1244"/>
      <c r="G2450" s="1244"/>
      <c r="H2450" s="1228" t="str">
        <f>EUconst_Unit</f>
        <v>Enhet</v>
      </c>
      <c r="I2450" s="1229" t="str">
        <f>Translations!$B$1472</f>
        <v>HAL</v>
      </c>
      <c r="J2450" s="1268">
        <f>J$3042</f>
        <v>2021</v>
      </c>
      <c r="K2450" s="1230">
        <f>K$3042</f>
        <v>2022</v>
      </c>
      <c r="L2450" s="1230">
        <f>L$3042</f>
        <v>2023</v>
      </c>
      <c r="M2450" s="1230">
        <f>M$3042</f>
        <v>2024</v>
      </c>
      <c r="N2450" s="1258">
        <f>N$3042</f>
        <v>2025</v>
      </c>
      <c r="O2450" s="15"/>
      <c r="P2450" s="15"/>
      <c r="Q2450" s="343"/>
      <c r="R2450" s="2"/>
      <c r="S2450" s="2"/>
      <c r="T2450" s="2"/>
      <c r="U2450" s="772"/>
      <c r="V2450" s="1077">
        <f>J2450</f>
        <v>2021</v>
      </c>
      <c r="W2450" s="1077">
        <f>K2450</f>
        <v>2022</v>
      </c>
      <c r="X2450" s="1077">
        <f>L2450</f>
        <v>2023</v>
      </c>
      <c r="Y2450" s="1077">
        <f>M2450</f>
        <v>2024</v>
      </c>
      <c r="Z2450" s="1078">
        <f>N2450</f>
        <v>2025</v>
      </c>
      <c r="AA2450" s="2"/>
      <c r="AB2450" s="2"/>
      <c r="AC2450" s="2"/>
      <c r="AD2450" s="2"/>
      <c r="AE2450" s="2"/>
      <c r="AF2450" s="2"/>
      <c r="AG2450" s="2"/>
      <c r="AH2450" s="2"/>
      <c r="AI2450" s="2"/>
      <c r="AJ2450" s="2"/>
      <c r="AK2450" s="2"/>
      <c r="AL2450" s="2"/>
    </row>
    <row r="2451" spans="1:38" ht="12.75" customHeight="1" x14ac:dyDescent="0.25">
      <c r="A2451" s="2"/>
      <c r="B2451" s="178"/>
      <c r="C2451" s="178"/>
      <c r="D2451" s="1246" t="s">
        <v>8</v>
      </c>
      <c r="E2451" s="1231" t="str">
        <f>Translations!$B$1473</f>
        <v>Genomsnittlig årlig verksamhetsnivå</v>
      </c>
      <c r="F2451" s="1231"/>
      <c r="G2451" s="1231"/>
      <c r="H2451" s="917" t="str">
        <f>IF(INDEX(CNTR_SubInstListIsProdBM,$C2429),INDEX(CNTR_SubInstListHALUnit,$C2429),EUconst_Tons)</f>
        <v>ton</v>
      </c>
      <c r="I2451" s="990" t="str">
        <f>IF(V2429&gt;($J$3042-3),EUconst_NA,INDEX('B+C_SubInstallations'!$I:$I,MATCH(Q2451,'B+C_SubInstallations'!$T:$T,0)))</f>
        <v/>
      </c>
      <c r="J2451" s="993" t="str">
        <f>IF(AND(V2451&gt;=3,CNTR_ReportingYear&gt;J2450-1),AVERAGE(H2439:I2439),"")</f>
        <v/>
      </c>
      <c r="K2451" s="920" t="str">
        <f>IF(AND(W2451&gt;=3,CNTR_ReportingYear&gt;K2450-1),AVERAGE(I2439:J2439),"")</f>
        <v/>
      </c>
      <c r="L2451" s="920" t="str">
        <f>IF(AND(X2451&gt;=3,CNTR_ReportingYear&gt;L2450-1),AVERAGE(J2439:K2439),"")</f>
        <v/>
      </c>
      <c r="M2451" s="920" t="str">
        <f>IF(AND(Y2451&gt;=3,CNTR_ReportingYear&gt;M2450-1),AVERAGE(K2439:L2439),"")</f>
        <v/>
      </c>
      <c r="N2451" s="1218" t="str">
        <f>IF(AND(Z2451&gt;=3,CNTR_ReportingYear&gt;N2450-1),AVERAGE(L2439:M2439),"")</f>
        <v/>
      </c>
      <c r="O2451" s="15"/>
      <c r="P2451" s="15"/>
      <c r="Q2451" s="672" t="str">
        <f>EUconst_CNTR_HALinitial&amp;I2429</f>
        <v>HALini_</v>
      </c>
      <c r="R2451" s="2"/>
      <c r="S2451" s="2"/>
      <c r="T2451" s="2"/>
      <c r="U2451" s="1088" t="s">
        <v>1850</v>
      </c>
      <c r="V2451" s="663">
        <f>IF($I2429="",0,V2450-$V2429+1)</f>
        <v>0</v>
      </c>
      <c r="W2451" s="663">
        <f>IF($I2429="",0,W2450-$V2429+1)</f>
        <v>0</v>
      </c>
      <c r="X2451" s="663">
        <f>IF($I2429="",0,X2450-$V2429+1)</f>
        <v>0</v>
      </c>
      <c r="Y2451" s="663">
        <f>IF($I2429="",0,Y2450-$V2429+1)</f>
        <v>0</v>
      </c>
      <c r="Z2451" s="1080">
        <f>IF($I2429="",0,Z2450-$V2429+1)</f>
        <v>0</v>
      </c>
      <c r="AA2451" s="2"/>
      <c r="AB2451" s="2"/>
      <c r="AC2451" s="2"/>
      <c r="AD2451" s="2"/>
      <c r="AE2451" s="2"/>
      <c r="AF2451" s="2"/>
      <c r="AG2451" s="2"/>
      <c r="AH2451" s="2"/>
      <c r="AI2451" s="2"/>
      <c r="AJ2451" s="2"/>
      <c r="AK2451" s="2"/>
      <c r="AL2451" s="2"/>
    </row>
    <row r="2452" spans="1:38" ht="12.75" hidden="1" customHeight="1" x14ac:dyDescent="0.25">
      <c r="A2452" s="343" t="s">
        <v>346</v>
      </c>
      <c r="B2452" s="178"/>
      <c r="C2452" s="178"/>
      <c r="D2452" s="1242"/>
      <c r="E2452" s="1281" t="s">
        <v>1848</v>
      </c>
      <c r="F2452" s="1281"/>
      <c r="G2452" s="1281"/>
      <c r="H2452" s="1283"/>
      <c r="I2452" s="1284"/>
      <c r="J2452" s="991" t="str">
        <f>IF(J2451="","",IF($I2454=0,IF(J2451=0,0%,100%),J2451/$I2454-1))</f>
        <v/>
      </c>
      <c r="K2452" s="960" t="str">
        <f>IF(K2451="","",IF($I2454=0,IF(K2451=0,0%,100%),K2451/$I2454-1))</f>
        <v/>
      </c>
      <c r="L2452" s="960" t="str">
        <f>IF(L2451="","",IF($I2454=0,IF(L2451=0,0%,100%),L2451/$I2454-1))</f>
        <v/>
      </c>
      <c r="M2452" s="960" t="str">
        <f>IF(M2451="","",IF($I2454=0,IF(M2451=0,0%,100%),M2451/$I2454-1))</f>
        <v/>
      </c>
      <c r="N2452" s="1219" t="str">
        <f>IF(N2451="","",IF($I2454=0,IF(N2451=0,0%,100%),N2451/$I2454-1))</f>
        <v/>
      </c>
      <c r="O2452" s="15"/>
      <c r="P2452" s="15"/>
      <c r="Q2452" s="165" t="str">
        <f>EUconst_CNTR_RelThreshold &amp; Q2454</f>
        <v>RelThresh_HALprelim_</v>
      </c>
      <c r="R2452" s="2"/>
      <c r="S2452" s="2"/>
      <c r="T2452" s="2"/>
      <c r="U2452" s="1088" t="s">
        <v>1855</v>
      </c>
      <c r="V2452" s="603" t="str">
        <f>IF(J2451="","",ABS(J2452)&gt;15%)</f>
        <v/>
      </c>
      <c r="W2452" s="603" t="str">
        <f>IF(K2451="","",ABS(K2452)&gt;15%)</f>
        <v/>
      </c>
      <c r="X2452" s="603" t="str">
        <f>IF(L2451="","",ABS(L2452)&gt;15%)</f>
        <v/>
      </c>
      <c r="Y2452" s="603" t="str">
        <f>IF(M2451="","",ABS(M2452)&gt;15%)</f>
        <v/>
      </c>
      <c r="Z2452" s="1756" t="str">
        <f>IF(N2451="","",ABS(N2452)&gt;15%)</f>
        <v/>
      </c>
      <c r="AA2452" s="2"/>
      <c r="AB2452" s="2"/>
      <c r="AC2452" s="2"/>
      <c r="AD2452" s="2"/>
      <c r="AE2452" s="2"/>
      <c r="AF2452" s="2"/>
      <c r="AG2452" s="2"/>
      <c r="AH2452" s="2"/>
      <c r="AI2452" s="2"/>
      <c r="AJ2452" s="2"/>
      <c r="AK2452" s="2"/>
      <c r="AL2452" s="343"/>
    </row>
    <row r="2453" spans="1:38" ht="12.75" customHeight="1" x14ac:dyDescent="0.25">
      <c r="A2453" s="343"/>
      <c r="B2453" s="178"/>
      <c r="C2453" s="178"/>
      <c r="D2453" s="1246" t="s">
        <v>9</v>
      </c>
      <c r="E2453" s="1231" t="str">
        <f>Translations!$B$1474</f>
        <v>Preliminär justering (om relativa tröskelvärden överskrids)</v>
      </c>
      <c r="F2453" s="1231"/>
      <c r="G2453" s="1231"/>
      <c r="H2453" s="1233"/>
      <c r="I2453" s="1235"/>
      <c r="J2453" s="992" t="str">
        <f>IF(J2451="","",IF(V2452=FALSE,0%,IF(V2453,J2452,I2459)))</f>
        <v/>
      </c>
      <c r="K2453" s="937" t="str">
        <f>IF(K2451="","",IF(W2452=FALSE,0%,IF(W2453,K2452,J2459)))</f>
        <v/>
      </c>
      <c r="L2453" s="937" t="str">
        <f>IF(L2451="","",IF(X2452=FALSE,0%,IF(X2453,L2452,K2459)))</f>
        <v/>
      </c>
      <c r="M2453" s="937" t="str">
        <f>IF(M2451="","",IF(Y2452=FALSE,0%,IF(Y2453,M2452,L2459)))</f>
        <v/>
      </c>
      <c r="N2453" s="1220" t="str">
        <f>IF(N2451="","",IF(Z2452=FALSE,0%,IF(Z2453,N2452,M2459)))</f>
        <v/>
      </c>
      <c r="O2453" s="15"/>
      <c r="P2453" s="15"/>
      <c r="Q2453" s="2"/>
      <c r="R2453" s="2"/>
      <c r="S2453" s="2"/>
      <c r="T2453" s="2"/>
      <c r="U2453" s="1088" t="s">
        <v>1856</v>
      </c>
      <c r="V2453" s="603" t="str">
        <f>IF(J2451="","",AND(V2452,IF(SUM(I2459)&lt;0,OR(SUM(J2452)&lt;SUM(I2459)-MOD(SUM(I2459),5%),J2452&gt;=SUM(I2459)+5%-MOD(SUM(I2459),5%)),OR(SUM(J2452)&lt;=SUM(I2459)-MOD(SUM(I2459),5%),SUM(J2452)&gt;SUM(I2459)+5%-MOD(SUM(I2459),5%)))))</f>
        <v/>
      </c>
      <c r="W2453" s="603" t="str">
        <f>IF(K2451="","",AND(W2452,IF(SUM(J2459)&lt;0,OR(SUM(K2452)&lt;SUM(J2459)-MOD(SUM(J2459),5%),K2452&gt;=SUM(J2459)+5%-MOD(SUM(J2459),5%)),OR(SUM(K2452)&lt;=SUM(J2459)-MOD(SUM(J2459),5%),SUM(K2452)&gt;SUM(J2459)+5%-MOD(SUM(J2459),5%)))))</f>
        <v/>
      </c>
      <c r="X2453" s="603" t="str">
        <f>IF(L2451="","",AND(X2452,IF(SUM(K2459)&lt;0,OR(SUM(L2452)&lt;SUM(K2459)-MOD(SUM(K2459),5%),L2452&gt;=SUM(K2459)+5%-MOD(SUM(K2459),5%)),OR(SUM(L2452)&lt;=SUM(K2459)-MOD(SUM(K2459),5%),SUM(L2452)&gt;SUM(K2459)+5%-MOD(SUM(K2459),5%)))))</f>
        <v/>
      </c>
      <c r="Y2453" s="603" t="str">
        <f>IF(M2451="","",AND(Y2452,IF(SUM(L2459)&lt;0,OR(SUM(M2452)&lt;SUM(L2459)-MOD(SUM(L2459),5%),M2452&gt;=SUM(L2459)+5%-MOD(SUM(L2459),5%)),OR(SUM(M2452)&lt;=SUM(L2459)-MOD(SUM(L2459),5%),SUM(M2452)&gt;SUM(L2459)+5%-MOD(SUM(L2459),5%)))))</f>
        <v/>
      </c>
      <c r="Z2453" s="1756" t="str">
        <f>IF(N2451="","",AND(Z2452,IF(SUM(M2459)&lt;0,OR(SUM(N2452)&lt;SUM(M2459)-MOD(SUM(M2459),5%),N2452&gt;=SUM(M2459)+5%-MOD(SUM(M2459),5%)),OR(SUM(N2452)&lt;=SUM(M2459)-MOD(SUM(M2459),5%),SUM(N2452)&gt;SUM(M2459)+5%-MOD(SUM(M2459),5%)))))</f>
        <v/>
      </c>
      <c r="AA2453" s="2"/>
      <c r="AB2453" s="2"/>
      <c r="AC2453" s="2"/>
      <c r="AD2453" s="2"/>
      <c r="AE2453" s="2"/>
      <c r="AF2453" s="2"/>
      <c r="AG2453" s="2"/>
      <c r="AH2453" s="2"/>
      <c r="AI2453" s="2"/>
      <c r="AJ2453" s="2"/>
      <c r="AK2453" s="2"/>
      <c r="AL2453" s="343"/>
    </row>
    <row r="2454" spans="1:38" ht="12.75" hidden="1" customHeight="1" x14ac:dyDescent="0.25">
      <c r="A2454" s="343" t="s">
        <v>346</v>
      </c>
      <c r="B2454" s="178"/>
      <c r="C2454" s="178"/>
      <c r="D2454" s="1242"/>
      <c r="E2454" s="1231" t="s">
        <v>1889</v>
      </c>
      <c r="F2454" s="1231"/>
      <c r="G2454" s="1231"/>
      <c r="H2454" s="917" t="str">
        <f>H2451</f>
        <v>ton</v>
      </c>
      <c r="I2454" s="990" t="str">
        <f>IF(I2429="","",IF(AB2429=FALSE,EUconst_NA,IF(V2429&gt;($J$3042-3),INDEX(H2439:N2439,MATCH(V2429,H2436:N2436,0)),SUM(I2451))))</f>
        <v/>
      </c>
      <c r="J2454" s="993" t="str">
        <f>IF($I2429="","",IF(V2451&lt;2,SUM(J2439),IF(V2451&lt;3,SUM(I2439),IF(V2454="",I2454,V2454))))</f>
        <v/>
      </c>
      <c r="K2454" s="920" t="str">
        <f>IF($I2429="","",IF(W2451&lt;2,SUM(K2439),IF(W2451&lt;3,SUM(J2439),IF(W2454="",J2454,W2454))))</f>
        <v/>
      </c>
      <c r="L2454" s="920" t="str">
        <f>IF($I2429="","",IF(X2451&lt;2,SUM(L2439),IF(X2451&lt;3,SUM(K2439),IF(X2454="",K2454,X2454))))</f>
        <v/>
      </c>
      <c r="M2454" s="920" t="str">
        <f>IF($I2429="","",IF(Y2451&lt;2,SUM(M2439),IF(Y2451&lt;3,SUM(L2439),IF(Y2454="",L2454,Y2454))))</f>
        <v/>
      </c>
      <c r="N2454" s="1218" t="str">
        <f>IF($I2429="","",IF(Z2451&lt;2,SUM(N2439),IF(Z2451&lt;3,SUM(M2439),IF(Z2454="",M2454,Z2454))))</f>
        <v/>
      </c>
      <c r="O2454" s="15"/>
      <c r="P2454" s="15"/>
      <c r="Q2454" s="672" t="str">
        <f>EUconst_CNTR_HALprelim&amp;I2429</f>
        <v>HALprelim_</v>
      </c>
      <c r="R2454" s="2"/>
      <c r="S2454" s="2"/>
      <c r="T2454" s="2"/>
      <c r="U2454" s="1088" t="s">
        <v>1898</v>
      </c>
      <c r="V2454" s="1752" t="str">
        <f>IF(J2451="","",IF(CNTR_ReportingYear&lt;J2450,I2453,IF($I2454=0,J2451,$I2454*(1+J2453))))</f>
        <v/>
      </c>
      <c r="W2454" s="1752" t="str">
        <f>IF(K2451="","",IF(CNTR_ReportingYear&lt;K2450,J2453,IF($I2454=0,K2451,$I2454*(1+K2453))))</f>
        <v/>
      </c>
      <c r="X2454" s="1752" t="str">
        <f>IF(L2451="","",IF(CNTR_ReportingYear&lt;L2450,K2453,IF($I2454=0,L2451,$I2454*(1+L2453))))</f>
        <v/>
      </c>
      <c r="Y2454" s="1752" t="str">
        <f>IF(M2451="","",IF(CNTR_ReportingYear&lt;M2450,L2453,IF($I2454=0,M2451,$I2454*(1+M2453))))</f>
        <v/>
      </c>
      <c r="Z2454" s="1761" t="str">
        <f>IF(N2451="","",IF(CNTR_ReportingYear&lt;N2450,M2453,IF($I2454=0,N2451,$I2454*(1+N2453))))</f>
        <v/>
      </c>
      <c r="AA2454" s="2"/>
      <c r="AB2454" s="2"/>
      <c r="AC2454" s="2"/>
      <c r="AD2454" s="2"/>
      <c r="AE2454" s="2"/>
      <c r="AF2454" s="2"/>
      <c r="AG2454" s="2"/>
      <c r="AH2454" s="2"/>
      <c r="AI2454" s="2"/>
      <c r="AJ2454" s="2"/>
      <c r="AK2454" s="2"/>
      <c r="AL2454" s="343"/>
    </row>
    <row r="2455" spans="1:38" ht="5.15" customHeight="1" x14ac:dyDescent="0.25">
      <c r="A2455" s="343"/>
      <c r="B2455" s="178"/>
      <c r="C2455" s="178"/>
      <c r="D2455" s="1242"/>
      <c r="E2455" s="1244"/>
      <c r="F2455" s="1244"/>
      <c r="G2455" s="1244"/>
      <c r="H2455" s="1244"/>
      <c r="I2455" s="1244"/>
      <c r="J2455" s="1236"/>
      <c r="K2455" s="1236"/>
      <c r="L2455" s="1236"/>
      <c r="M2455" s="1236"/>
      <c r="N2455" s="1247"/>
      <c r="O2455" s="15"/>
      <c r="P2455" s="15"/>
      <c r="Q2455" s="343"/>
      <c r="R2455" s="2"/>
      <c r="S2455" s="2"/>
      <c r="T2455" s="2"/>
      <c r="U2455" s="1086"/>
      <c r="V2455" s="343"/>
      <c r="W2455" s="2"/>
      <c r="X2455" s="2"/>
      <c r="Y2455" s="2"/>
      <c r="Z2455" s="228"/>
      <c r="AA2455" s="2"/>
      <c r="AB2455" s="2"/>
      <c r="AC2455" s="2"/>
      <c r="AD2455" s="2"/>
      <c r="AE2455" s="2"/>
      <c r="AF2455" s="2"/>
      <c r="AG2455" s="2"/>
      <c r="AH2455" s="2"/>
      <c r="AI2455" s="2"/>
      <c r="AJ2455" s="2"/>
      <c r="AK2455" s="2"/>
      <c r="AL2455" s="343"/>
    </row>
    <row r="2456" spans="1:38" ht="12.75" customHeight="1" x14ac:dyDescent="0.25">
      <c r="A2456" s="343"/>
      <c r="B2456" s="178"/>
      <c r="C2456" s="178"/>
      <c r="D2456" s="1242"/>
      <c r="E2456" s="1234" t="str">
        <f>Translations!$B$1475</f>
        <v>Faktisk justering (grund för följande år)</v>
      </c>
      <c r="F2456" s="1234"/>
      <c r="G2456" s="1234"/>
      <c r="H2456" s="1234"/>
      <c r="I2456" s="1234"/>
      <c r="J2456" s="1268">
        <f>J$3042</f>
        <v>2021</v>
      </c>
      <c r="K2456" s="1230">
        <f>K$3042</f>
        <v>2022</v>
      </c>
      <c r="L2456" s="1230">
        <f>L$3042</f>
        <v>2023</v>
      </c>
      <c r="M2456" s="1230">
        <f>M$3042</f>
        <v>2024</v>
      </c>
      <c r="N2456" s="1258">
        <f>N$3042</f>
        <v>2025</v>
      </c>
      <c r="O2456" s="15"/>
      <c r="P2456" s="15"/>
      <c r="Q2456" s="343"/>
      <c r="R2456" s="2"/>
      <c r="S2456" s="2"/>
      <c r="T2456" s="2"/>
      <c r="U2456" s="584"/>
      <c r="V2456" s="2"/>
      <c r="W2456" s="2"/>
      <c r="X2456" s="2"/>
      <c r="Y2456" s="2"/>
      <c r="Z2456" s="228"/>
      <c r="AA2456" s="2"/>
      <c r="AB2456" s="2"/>
      <c r="AC2456" s="2"/>
      <c r="AD2456" s="2"/>
      <c r="AE2456" s="2"/>
      <c r="AF2456" s="2"/>
      <c r="AG2456" s="2"/>
      <c r="AH2456" s="2"/>
      <c r="AI2456" s="2"/>
      <c r="AJ2456" s="2"/>
      <c r="AK2456" s="2"/>
      <c r="AL2456" s="343"/>
    </row>
    <row r="2457" spans="1:38" ht="12.75" customHeight="1" x14ac:dyDescent="0.25">
      <c r="A2457" s="343"/>
      <c r="B2457" s="178"/>
      <c r="C2457" s="178"/>
      <c r="D2457" s="1246" t="s">
        <v>10</v>
      </c>
      <c r="E2457" s="1231" t="str">
        <f>Translations!$B$1476</f>
        <v>&gt;= 100 utsläppsrätter kriterium uppnått?</v>
      </c>
      <c r="F2457" s="1231"/>
      <c r="G2457" s="1231"/>
      <c r="H2457" s="1231"/>
      <c r="I2457" s="1231"/>
      <c r="J2457" s="994" t="str">
        <f>IF($I2429="","",INDEX(K_Summary!J:J,MATCH($Q2457,K_Summary!$P:$P,0)))</f>
        <v/>
      </c>
      <c r="K2457" s="912" t="str">
        <f>IF($I2429="","",INDEX(K_Summary!K:K,MATCH($Q2457,K_Summary!$P:$P,0)))</f>
        <v/>
      </c>
      <c r="L2457" s="912" t="str">
        <f>IF($I2429="","",INDEX(K_Summary!L:L,MATCH($Q2457,K_Summary!$P:$P,0)))</f>
        <v/>
      </c>
      <c r="M2457" s="912" t="str">
        <f>IF($I2429="","",INDEX(K_Summary!M:M,MATCH($Q2457,K_Summary!$P:$P,0)))</f>
        <v/>
      </c>
      <c r="N2457" s="1221" t="str">
        <f>IF($I2429="","",INDEX(K_Summary!N:N,MATCH($Q2457,K_Summary!$P:$P,0)))</f>
        <v/>
      </c>
      <c r="O2457" s="15"/>
      <c r="P2457" s="15"/>
      <c r="Q2457" s="672" t="str">
        <f>EUconst_CNTR_100EUA_ActivityLevel&amp;I2429</f>
        <v>EUA100AL_</v>
      </c>
      <c r="R2457" s="2"/>
      <c r="S2457" s="2"/>
      <c r="T2457" s="2"/>
      <c r="U2457" s="584"/>
      <c r="V2457" s="1123"/>
      <c r="W2457" s="1123"/>
      <c r="X2457" s="1123"/>
      <c r="Y2457" s="1123"/>
      <c r="Z2457" s="228"/>
      <c r="AA2457" s="2"/>
      <c r="AB2457" s="2"/>
      <c r="AC2457" s="2"/>
      <c r="AD2457" s="2"/>
      <c r="AE2457" s="2"/>
      <c r="AF2457" s="2"/>
      <c r="AG2457" s="2"/>
      <c r="AH2457" s="2"/>
      <c r="AI2457" s="2"/>
      <c r="AJ2457" s="2"/>
      <c r="AK2457" s="2"/>
      <c r="AL2457" s="343"/>
    </row>
    <row r="2458" spans="1:38" ht="5.15" customHeight="1" thickBot="1" x14ac:dyDescent="0.3">
      <c r="A2458" s="343"/>
      <c r="B2458" s="178"/>
      <c r="C2458" s="178"/>
      <c r="D2458" s="1242"/>
      <c r="E2458" s="1244"/>
      <c r="F2458" s="1244"/>
      <c r="G2458" s="1244"/>
      <c r="H2458" s="1244"/>
      <c r="I2458" s="1244"/>
      <c r="J2458" s="1244"/>
      <c r="K2458" s="1244"/>
      <c r="L2458" s="1244"/>
      <c r="M2458" s="1244"/>
      <c r="N2458" s="1248"/>
      <c r="O2458" s="15"/>
      <c r="P2458" s="15"/>
      <c r="Q2458" s="343"/>
      <c r="R2458" s="2"/>
      <c r="S2458" s="2"/>
      <c r="T2458" s="2"/>
      <c r="U2458" s="1086"/>
      <c r="V2458" s="343"/>
      <c r="W2458" s="2"/>
      <c r="X2458" s="2"/>
      <c r="Y2458" s="2"/>
      <c r="Z2458" s="228"/>
      <c r="AA2458" s="2"/>
      <c r="AB2458" s="2"/>
      <c r="AC2458" s="2"/>
      <c r="AD2458" s="2"/>
      <c r="AE2458" s="2"/>
      <c r="AF2458" s="2"/>
      <c r="AG2458" s="2"/>
      <c r="AH2458" s="2"/>
      <c r="AI2458" s="2"/>
      <c r="AJ2458" s="2"/>
      <c r="AK2458" s="2"/>
      <c r="AL2458" s="343"/>
    </row>
    <row r="2459" spans="1:38" ht="12.75" customHeight="1" thickBot="1" x14ac:dyDescent="0.3">
      <c r="A2459" s="2"/>
      <c r="B2459" s="178"/>
      <c r="C2459" s="178"/>
      <c r="D2459" s="1246" t="s">
        <v>23</v>
      </c>
      <c r="E2459" s="1231" t="str">
        <f>Translations!$B$1477</f>
        <v>Faktisk justering (om alla tröskelvärden överskrids)</v>
      </c>
      <c r="F2459" s="1231"/>
      <c r="G2459" s="1231"/>
      <c r="H2459" s="1233"/>
      <c r="I2459" s="1237"/>
      <c r="J2459" s="1099" t="str">
        <f>IF(J2457="","",IF(J2450&gt;$Z2429,-100%,IF(OR(J2457,V2451&lt;1),J2453,I2459)))</f>
        <v/>
      </c>
      <c r="K2459" s="1100" t="str">
        <f>IF(K2457="","",IF(K2450&gt;$Z2429,-100%,IF(OR(K2457,W2451&lt;1),K2453,J2459)))</f>
        <v/>
      </c>
      <c r="L2459" s="1100" t="str">
        <f>IF(L2457="","",IF(L2450&gt;$Z2429,-100%,IF(OR(L2457,X2451&lt;1),L2453,K2459)))</f>
        <v/>
      </c>
      <c r="M2459" s="1100" t="str">
        <f>IF(M2457="","",IF(M2450&gt;$Z2429,-100%,IF(OR(M2457,Y2451&lt;1),M2453,L2459)))</f>
        <v/>
      </c>
      <c r="N2459" s="1101" t="str">
        <f>IF(N2457="","",IF(N2450&gt;$Z2429,-100%,IF(OR(N2457,Z2451&lt;1),N2453,M2459)))</f>
        <v/>
      </c>
      <c r="O2459" s="15"/>
      <c r="P2459" s="918"/>
      <c r="Q2459" s="165" t="str">
        <f>EUconst_CNTR_HALAdjPct &amp; I2429</f>
        <v>HALAdjPct_</v>
      </c>
      <c r="R2459" s="2"/>
      <c r="S2459" s="2"/>
      <c r="T2459" s="2"/>
      <c r="U2459" s="1086" t="s">
        <v>1858</v>
      </c>
      <c r="V2459" s="1068">
        <f>J2456</f>
        <v>2021</v>
      </c>
      <c r="W2459" s="1068">
        <f>K2456</f>
        <v>2022</v>
      </c>
      <c r="X2459" s="1068">
        <f>L2456</f>
        <v>2023</v>
      </c>
      <c r="Y2459" s="1068">
        <f>M2456</f>
        <v>2024</v>
      </c>
      <c r="Z2459" s="1087">
        <f>N2456</f>
        <v>2025</v>
      </c>
      <c r="AA2459" s="2"/>
      <c r="AB2459" s="2"/>
      <c r="AC2459" s="2"/>
      <c r="AD2459" s="2"/>
      <c r="AE2459" s="2"/>
      <c r="AF2459" s="2"/>
      <c r="AG2459" s="2"/>
      <c r="AH2459" s="2"/>
      <c r="AI2459" s="2"/>
      <c r="AJ2459" s="2"/>
      <c r="AK2459" s="2"/>
      <c r="AL2459" s="343"/>
    </row>
    <row r="2460" spans="1:38" ht="12.75" customHeight="1" thickBot="1" x14ac:dyDescent="0.3">
      <c r="A2460" s="343"/>
      <c r="B2460" s="178"/>
      <c r="C2460" s="178"/>
      <c r="D2460" s="1246" t="s">
        <v>859</v>
      </c>
      <c r="E2460" s="1231" t="str">
        <f>Translations!$B$1478</f>
        <v>Faktiskt värde</v>
      </c>
      <c r="F2460" s="1231"/>
      <c r="G2460" s="1231"/>
      <c r="H2460" s="917" t="str">
        <f>H2451</f>
        <v>ton</v>
      </c>
      <c r="I2460" s="990" t="str">
        <f>I2454</f>
        <v/>
      </c>
      <c r="J2460" s="1072" t="str">
        <f>IF($I2429="","",IF(OR($I2460=0,J2459="",$I2460=EUconst_NA),IF(OR(J2457=TRUE,J2456&lt;=$V2429),J2454,SUM(I2460)),$I2460*(1+SUM(J2459))))</f>
        <v/>
      </c>
      <c r="K2460" s="1073" t="str">
        <f>IF($I2429="","",IF(OR($I2460=0,K2459="",$I2460=EUconst_NA),IF(OR(K2457=TRUE,K2456&lt;=$V2429),K2454,SUM(J2460)),$I2460*(1+SUM(K2459))))</f>
        <v/>
      </c>
      <c r="L2460" s="1073" t="str">
        <f>IF($I2429="","",IF(OR($I2460=0,L2459="",$I2460=EUconst_NA),IF(OR(L2457=TRUE,L2456&lt;=$V2429),L2454,SUM(K2460)),$I2460*(1+SUM(L2459))))</f>
        <v/>
      </c>
      <c r="M2460" s="1073" t="str">
        <f>IF($I2429="","",IF(OR($I2460=0,M2459="",$I2460=EUconst_NA),IF(OR(M2457=TRUE,M2456&lt;=$V2429),M2454,SUM(L2460)),$I2460*(1+SUM(M2459))))</f>
        <v/>
      </c>
      <c r="N2460" s="1074" t="str">
        <f>IF($I2429="","",IF(OR($I2460=0,N2459="",$I2460=EUconst_NA),IF(OR(N2457=TRUE,N2456&lt;=$V2429),N2454,SUM(M2460)),$I2460*(1+SUM(N2459))))</f>
        <v/>
      </c>
      <c r="O2460" s="15"/>
      <c r="P2460" s="15"/>
      <c r="Q2460" s="672" t="str">
        <f>EUconst_CNTR_HALfinal&amp;I2429</f>
        <v>HALfinal_</v>
      </c>
      <c r="R2460" s="2"/>
      <c r="S2460" s="2"/>
      <c r="T2460" s="2"/>
      <c r="U2460" s="1765" t="b">
        <v>0</v>
      </c>
      <c r="V2460" s="1757" t="str">
        <f>IF(V2437,IF(J2457=TRUE,V2452,U2460),"")</f>
        <v/>
      </c>
      <c r="W2460" s="1757" t="str">
        <f>IF(W2437,IF(K2457=TRUE,W2452,V2460),"")</f>
        <v/>
      </c>
      <c r="X2460" s="1757" t="str">
        <f>IF(X2437,IF(L2457=TRUE,X2452,W2460),"")</f>
        <v/>
      </c>
      <c r="Y2460" s="1757" t="str">
        <f>IF(Y2437,IF(M2457=TRUE,Y2452,X2460),"")</f>
        <v/>
      </c>
      <c r="Z2460" s="1758" t="str">
        <f>IF(Z2437,IF(N2457=TRUE,Z2452,Y2460),"")</f>
        <v/>
      </c>
      <c r="AA2460" s="2"/>
      <c r="AB2460" s="2"/>
      <c r="AC2460" s="2"/>
      <c r="AD2460" s="2"/>
      <c r="AE2460" s="2"/>
      <c r="AF2460" s="2"/>
      <c r="AG2460" s="2"/>
      <c r="AH2460" s="2"/>
      <c r="AI2460" s="2"/>
      <c r="AJ2460" s="553" t="s">
        <v>2242</v>
      </c>
      <c r="AK2460" s="108" t="str">
        <f>IF(OR(ISERROR(J2460),ISERROR(K2460),ISERROR(L2460),ISERROR(M2460),ISERROR(N2460)),EUconst_Error &amp; "BM" &amp; Q2429,"")</f>
        <v/>
      </c>
      <c r="AL2460" s="343"/>
    </row>
    <row r="2461" spans="1:38" ht="5.15" customHeight="1" thickBot="1" x14ac:dyDescent="0.3">
      <c r="A2461" s="2"/>
      <c r="B2461" s="178"/>
      <c r="C2461" s="178"/>
      <c r="D2461" s="1282"/>
      <c r="E2461" s="1272"/>
      <c r="F2461" s="1272"/>
      <c r="G2461" s="1272"/>
      <c r="H2461" s="1272"/>
      <c r="I2461" s="1272"/>
      <c r="J2461" s="1272"/>
      <c r="K2461" s="1272"/>
      <c r="L2461" s="1272"/>
      <c r="M2461" s="1272"/>
      <c r="N2461" s="1273"/>
      <c r="O2461" s="15"/>
      <c r="P2461" s="15"/>
      <c r="Q2461" s="343"/>
      <c r="R2461" s="2"/>
      <c r="S2461" s="2"/>
      <c r="T2461" s="2"/>
      <c r="U2461" s="343"/>
      <c r="V2461" s="343"/>
      <c r="W2461" s="2"/>
      <c r="X2461" s="2"/>
      <c r="Y2461" s="2"/>
      <c r="Z2461" s="2"/>
      <c r="AA2461" s="2"/>
      <c r="AB2461" s="2"/>
      <c r="AC2461" s="2"/>
      <c r="AD2461" s="2"/>
      <c r="AE2461" s="2"/>
      <c r="AF2461" s="2"/>
      <c r="AG2461" s="2"/>
      <c r="AH2461" s="2"/>
      <c r="AI2461" s="2"/>
      <c r="AJ2461" s="2"/>
      <c r="AK2461" s="2"/>
      <c r="AL2461" s="343"/>
    </row>
    <row r="2462" spans="1:38" ht="5.15" customHeight="1" x14ac:dyDescent="0.25">
      <c r="A2462" s="2"/>
      <c r="B2462" s="178"/>
      <c r="C2462" s="178"/>
      <c r="D2462" s="15"/>
      <c r="E2462" s="15"/>
      <c r="F2462" s="15"/>
      <c r="G2462" s="15"/>
      <c r="H2462" s="15"/>
      <c r="I2462" s="15"/>
      <c r="J2462" s="15"/>
      <c r="K2462" s="15"/>
      <c r="L2462" s="15"/>
      <c r="M2462" s="15"/>
      <c r="N2462" s="15"/>
      <c r="O2462" s="15"/>
      <c r="P2462" s="15"/>
      <c r="Q2462" s="343"/>
      <c r="R2462" s="2"/>
      <c r="S2462" s="2"/>
      <c r="T2462" s="2"/>
      <c r="U2462" s="343"/>
      <c r="V2462" s="343"/>
      <c r="W2462" s="2"/>
      <c r="X2462" s="2"/>
      <c r="Y2462" s="2"/>
      <c r="Z2462" s="2"/>
      <c r="AA2462" s="2"/>
      <c r="AB2462" s="2"/>
      <c r="AC2462" s="2"/>
      <c r="AD2462" s="2"/>
      <c r="AE2462" s="2"/>
      <c r="AF2462" s="2"/>
      <c r="AG2462" s="2"/>
      <c r="AH2462" s="2"/>
      <c r="AI2462" s="2"/>
      <c r="AJ2462" s="2"/>
      <c r="AK2462" s="2"/>
      <c r="AL2462" s="343"/>
    </row>
    <row r="2463" spans="1:38" ht="15" customHeight="1" x14ac:dyDescent="0.25">
      <c r="A2463" s="2"/>
      <c r="B2463" s="19"/>
      <c r="C2463" s="178"/>
      <c r="D2463" s="2053" t="str">
        <f>Translations!$B$522</f>
        <v>Andra korrigeringsfaktorer</v>
      </c>
      <c r="E2463" s="1963"/>
      <c r="F2463" s="1963"/>
      <c r="G2463" s="1963"/>
      <c r="H2463" s="1963"/>
      <c r="I2463" s="1963"/>
      <c r="J2463" s="1963"/>
      <c r="K2463" s="1963"/>
      <c r="L2463" s="1963"/>
      <c r="M2463" s="1963"/>
      <c r="N2463" s="1963"/>
      <c r="O2463" s="15"/>
      <c r="P2463" s="15"/>
      <c r="Q2463" s="2"/>
      <c r="R2463" s="2"/>
      <c r="S2463" s="2"/>
      <c r="T2463" s="2"/>
      <c r="U2463" s="343"/>
      <c r="V2463" s="343"/>
      <c r="W2463" s="2"/>
      <c r="X2463" s="2"/>
      <c r="Y2463" s="2"/>
      <c r="Z2463" s="2"/>
      <c r="AA2463" s="2"/>
      <c r="AB2463" s="2"/>
      <c r="AC2463" s="2"/>
      <c r="AD2463" s="2"/>
      <c r="AE2463" s="2"/>
      <c r="AF2463" s="2"/>
      <c r="AG2463" s="2"/>
      <c r="AH2463" s="2"/>
      <c r="AI2463" s="2"/>
      <c r="AJ2463" s="2"/>
      <c r="AK2463" s="2"/>
      <c r="AL2463" s="2"/>
    </row>
    <row r="2464" spans="1:38" ht="5.15" customHeight="1" x14ac:dyDescent="0.25">
      <c r="A2464" s="2"/>
      <c r="B2464" s="178"/>
      <c r="C2464" s="178"/>
      <c r="D2464" s="178"/>
      <c r="E2464" s="178"/>
      <c r="F2464" s="178"/>
      <c r="G2464" s="178"/>
      <c r="H2464" s="178"/>
      <c r="I2464" s="178"/>
      <c r="J2464" s="178"/>
      <c r="K2464" s="178"/>
      <c r="L2464" s="178"/>
      <c r="M2464" s="178"/>
      <c r="N2464" s="178"/>
      <c r="O2464" s="15"/>
      <c r="P2464" s="15"/>
      <c r="Q2464" s="343"/>
      <c r="R2464" s="2"/>
      <c r="S2464" s="2"/>
      <c r="T2464" s="2"/>
      <c r="U2464" s="343"/>
      <c r="V2464" s="343"/>
      <c r="W2464" s="2"/>
      <c r="X2464" s="2"/>
      <c r="Y2464" s="2"/>
      <c r="Z2464" s="2"/>
      <c r="AA2464" s="2"/>
      <c r="AB2464" s="2"/>
      <c r="AC2464" s="2"/>
      <c r="AD2464" s="2"/>
      <c r="AE2464" s="2"/>
      <c r="AF2464" s="2"/>
      <c r="AG2464" s="2"/>
      <c r="AH2464" s="2"/>
      <c r="AI2464" s="2"/>
      <c r="AJ2464" s="2"/>
      <c r="AK2464" s="2"/>
      <c r="AL2464" s="2"/>
    </row>
    <row r="2465" spans="1:38" ht="12.75" customHeight="1" x14ac:dyDescent="0.25">
      <c r="A2465" s="2"/>
      <c r="B2465" s="19"/>
      <c r="C2465" s="19"/>
      <c r="D2465" s="13" t="s">
        <v>55</v>
      </c>
      <c r="E2465" s="1943" t="str">
        <f>Translations!$B$523</f>
        <v>Utbytbarhet mellan bränsle och el:</v>
      </c>
      <c r="F2465" s="1963"/>
      <c r="G2465" s="1963"/>
      <c r="H2465" s="1963"/>
      <c r="I2465" s="2060"/>
      <c r="J2465" s="2652" t="str">
        <f>IF(I2429="","",IF(T2465,EUconst_MsgEnterThisSection,HYPERLINK(R2465,EUconst_MsgGoOn)))</f>
        <v/>
      </c>
      <c r="K2465" s="2653"/>
      <c r="L2465" s="2653"/>
      <c r="M2465" s="2653"/>
      <c r="N2465" s="2654"/>
      <c r="O2465" s="15"/>
      <c r="P2465" s="15"/>
      <c r="Q2465" s="2" t="s">
        <v>484</v>
      </c>
      <c r="R2465" s="294" t="str">
        <f>"#"&amp;ADDRESS(ROW(D2493),COLUMN(D2493))</f>
        <v>#$D$2493</v>
      </c>
      <c r="S2465" s="553" t="s">
        <v>1874</v>
      </c>
      <c r="T2465" s="165" t="str">
        <f>IF(I2429="","",INDEX(EUconst_BMlistElExchangability,MATCH(I2429,EUconst_BMlistNames,0)))</f>
        <v/>
      </c>
      <c r="U2465" s="343"/>
      <c r="V2465" s="343"/>
      <c r="W2465" s="2"/>
      <c r="X2465" s="2"/>
      <c r="Y2465" s="2"/>
      <c r="Z2465" s="2"/>
      <c r="AA2465" s="2"/>
      <c r="AB2465" s="2"/>
      <c r="AC2465" s="2"/>
      <c r="AD2465" s="2"/>
      <c r="AE2465" s="2"/>
      <c r="AF2465" s="2"/>
      <c r="AG2465" s="2"/>
      <c r="AH2465" s="2"/>
      <c r="AI2465" s="2"/>
      <c r="AJ2465" s="2"/>
      <c r="AK2465" s="2"/>
      <c r="AL2465" s="2"/>
    </row>
    <row r="2466" spans="1:38" ht="12.75" customHeight="1" x14ac:dyDescent="0.25">
      <c r="A2466" s="2"/>
      <c r="B2466" s="178"/>
      <c r="C2466" s="178"/>
      <c r="D2466" s="15"/>
      <c r="E2466" s="2061" t="str">
        <f>Translations!$B$524</f>
        <v>Ett automatiskt meddelande kommer att visas här, i relevanta fall, där ni ombeds göra den inmatning som krävs för att utbytbarheten mellan bränsle och el (ElExch-F) ska kunna beaktas.</v>
      </c>
      <c r="F2466" s="1963"/>
      <c r="G2466" s="1963"/>
      <c r="H2466" s="1963"/>
      <c r="I2466" s="1963"/>
      <c r="J2466" s="1963"/>
      <c r="K2466" s="1963"/>
      <c r="L2466" s="1963"/>
      <c r="M2466" s="1963"/>
      <c r="N2466" s="1963"/>
      <c r="O2466" s="15"/>
      <c r="P2466" s="15"/>
      <c r="Q2466" s="2"/>
      <c r="R2466" s="2"/>
      <c r="S2466" s="2"/>
      <c r="T2466" s="2"/>
      <c r="U2466" s="343"/>
      <c r="V2466" s="343"/>
      <c r="W2466" s="2"/>
      <c r="X2466" s="2"/>
      <c r="Y2466" s="2"/>
      <c r="Z2466" s="2"/>
      <c r="AA2466" s="2"/>
      <c r="AB2466" s="2"/>
      <c r="AC2466" s="2"/>
      <c r="AD2466" s="2"/>
      <c r="AE2466" s="2"/>
      <c r="AF2466" s="2"/>
      <c r="AG2466" s="2"/>
      <c r="AH2466" s="2"/>
      <c r="AI2466" s="2"/>
      <c r="AJ2466" s="2"/>
      <c r="AK2466" s="2"/>
      <c r="AL2466" s="2"/>
    </row>
    <row r="2467" spans="1:38" ht="12.75" customHeight="1" x14ac:dyDescent="0.25">
      <c r="A2467" s="2"/>
      <c r="B2467" s="178"/>
      <c r="C2467" s="178"/>
      <c r="D2467" s="15"/>
      <c r="E2467" s="2061" t="str">
        <f>Translations!$B$525</f>
        <v>Enligt artikel 22 i FAR krävs ”direkta utsläpp”, nettomängd ”importerad värme” och ”relevant elförbrukning”.</v>
      </c>
      <c r="F2467" s="1963"/>
      <c r="G2467" s="1963"/>
      <c r="H2467" s="1963"/>
      <c r="I2467" s="1963"/>
      <c r="J2467" s="1963"/>
      <c r="K2467" s="1963"/>
      <c r="L2467" s="1963"/>
      <c r="M2467" s="1963"/>
      <c r="N2467" s="1963"/>
      <c r="O2467" s="15"/>
      <c r="P2467" s="15"/>
      <c r="Q2467" s="343"/>
      <c r="R2467" s="2"/>
      <c r="S2467" s="2"/>
      <c r="T2467" s="2"/>
      <c r="U2467" s="343"/>
      <c r="V2467" s="343"/>
      <c r="W2467" s="343"/>
      <c r="X2467" s="343"/>
      <c r="Y2467" s="343"/>
      <c r="Z2467" s="343"/>
      <c r="AA2467" s="2"/>
      <c r="AB2467" s="2"/>
      <c r="AC2467" s="2"/>
      <c r="AD2467" s="2"/>
      <c r="AE2467" s="2"/>
      <c r="AF2467" s="2"/>
      <c r="AG2467" s="2"/>
      <c r="AH2467" s="2"/>
      <c r="AI2467" s="2"/>
      <c r="AJ2467" s="2"/>
      <c r="AK2467" s="2"/>
      <c r="AL2467" s="2"/>
    </row>
    <row r="2468" spans="1:38" ht="25.5" customHeight="1" x14ac:dyDescent="0.25">
      <c r="A2468" s="2"/>
      <c r="B2468" s="178"/>
      <c r="C2468" s="178"/>
      <c r="D2468" s="15"/>
      <c r="E2468" s="2061" t="str">
        <f>Translations!$B$526</f>
        <v>De totala direkta utsläppen är i regel identiska med de värden som anges i punkt g nedan. Ytterligare korrigeringar kan dock behöva göras, framför allt vid användning av restgaser. Var god se vägledningen i punkt g nedan. Uppgifter om nettomängd importerad värme hämtas automatiskt från punkt k.i nedan.</v>
      </c>
      <c r="F2468" s="1963"/>
      <c r="G2468" s="1963"/>
      <c r="H2468" s="1963"/>
      <c r="I2468" s="1963"/>
      <c r="J2468" s="1963"/>
      <c r="K2468" s="1963"/>
      <c r="L2468" s="1963"/>
      <c r="M2468" s="1963"/>
      <c r="N2468" s="1963"/>
      <c r="O2468" s="15"/>
      <c r="P2468" s="15"/>
      <c r="Q2468" s="343"/>
      <c r="R2468" s="2"/>
      <c r="S2468" s="2"/>
      <c r="T2468" s="2"/>
      <c r="U2468" s="343"/>
      <c r="V2468" s="343"/>
      <c r="W2468" s="343"/>
      <c r="X2468" s="343"/>
      <c r="Y2468" s="343"/>
      <c r="Z2468" s="343"/>
      <c r="AA2468" s="2"/>
      <c r="AB2468" s="2"/>
      <c r="AC2468" s="2"/>
      <c r="AD2468" s="2"/>
      <c r="AE2468" s="2"/>
      <c r="AF2468" s="2"/>
      <c r="AG2468" s="2"/>
      <c r="AH2468" s="2"/>
      <c r="AI2468" s="2"/>
      <c r="AJ2468" s="2"/>
      <c r="AK2468" s="2"/>
      <c r="AL2468" s="2"/>
    </row>
    <row r="2469" spans="1:38" s="534" customFormat="1" ht="13.5" thickBot="1" x14ac:dyDescent="0.3">
      <c r="A2469" s="343"/>
      <c r="B2469" s="15"/>
      <c r="C2469" s="15"/>
      <c r="D2469" s="13"/>
      <c r="E2469" s="914" t="str">
        <f>Translations!$B$527</f>
        <v>Parameter</v>
      </c>
      <c r="F2469" s="913"/>
      <c r="G2469" s="30" t="str">
        <f>EUconst_Unit</f>
        <v>Enhet</v>
      </c>
      <c r="H2469" s="320">
        <f>H$3042</f>
        <v>2019</v>
      </c>
      <c r="I2469" s="342">
        <f>I$3042</f>
        <v>2020</v>
      </c>
      <c r="J2469" s="987">
        <f>J$112</f>
        <v>2021</v>
      </c>
      <c r="K2469" s="1001">
        <f>K$112</f>
        <v>2022</v>
      </c>
      <c r="L2469" s="320">
        <f>L$112</f>
        <v>2023</v>
      </c>
      <c r="M2469" s="320">
        <f>M$112</f>
        <v>2024</v>
      </c>
      <c r="N2469" s="320">
        <f>N$112</f>
        <v>2025</v>
      </c>
      <c r="O2469" s="15"/>
      <c r="P2469" s="15"/>
      <c r="Q2469" s="343"/>
      <c r="R2469" s="343"/>
      <c r="S2469" s="2"/>
      <c r="T2469" s="2"/>
      <c r="U2469" s="343"/>
      <c r="V2469" s="343"/>
      <c r="W2469" s="343"/>
      <c r="X2469" s="343"/>
      <c r="Y2469" s="343"/>
      <c r="Z2469" s="343"/>
      <c r="AA2469" s="343"/>
      <c r="AB2469" s="2"/>
      <c r="AC2469" s="1044">
        <f t="shared" ref="AC2469:AI2469" si="1113">H$20</f>
        <v>2019</v>
      </c>
      <c r="AD2469" s="1044">
        <f t="shared" si="1113"/>
        <v>2020</v>
      </c>
      <c r="AE2469" s="1044">
        <f t="shared" si="1113"/>
        <v>2021</v>
      </c>
      <c r="AF2469" s="1044">
        <f t="shared" si="1113"/>
        <v>2022</v>
      </c>
      <c r="AG2469" s="1044">
        <f t="shared" si="1113"/>
        <v>2023</v>
      </c>
      <c r="AH2469" s="1044">
        <f t="shared" si="1113"/>
        <v>2024</v>
      </c>
      <c r="AI2469" s="1044">
        <f t="shared" si="1113"/>
        <v>2025</v>
      </c>
      <c r="AJ2469" s="2"/>
      <c r="AK2469" s="2"/>
      <c r="AL2469" s="2"/>
    </row>
    <row r="2470" spans="1:38" s="534" customFormat="1" ht="13.5" customHeight="1" thickBot="1" x14ac:dyDescent="0.3">
      <c r="A2470" s="343"/>
      <c r="B2470" s="15"/>
      <c r="C2470" s="15"/>
      <c r="D2470" s="289" t="s">
        <v>8</v>
      </c>
      <c r="E2470" s="925" t="str">
        <f>Translations!$B$528</f>
        <v>Direkta utsläpp</v>
      </c>
      <c r="F2470" s="925"/>
      <c r="G2470" s="456" t="str">
        <f>EUconst_tCO2pa</f>
        <v>t CO2 / år</v>
      </c>
      <c r="H2470" s="614"/>
      <c r="I2470" s="995"/>
      <c r="J2470" s="1005"/>
      <c r="K2470" s="615"/>
      <c r="L2470" s="615"/>
      <c r="M2470" s="614"/>
      <c r="N2470" s="614"/>
      <c r="O2470" s="15"/>
      <c r="P2470" s="1362"/>
      <c r="Q2470" s="343"/>
      <c r="R2470" s="343"/>
      <c r="S2470" s="2"/>
      <c r="T2470" s="2"/>
      <c r="U2470" s="343"/>
      <c r="V2470" s="343"/>
      <c r="W2470" s="343"/>
      <c r="X2470" s="343"/>
      <c r="Y2470" s="343"/>
      <c r="Z2470" s="343"/>
      <c r="AA2470" s="343"/>
      <c r="AB2470" s="672" t="s">
        <v>782</v>
      </c>
      <c r="AC2470" s="1766" t="b">
        <f t="shared" ref="AC2470:AI2470" si="1114">IF(CNTR_ExistSubInstEntries,IF($I2429="",TRUE,OR(H2469&gt;=CNTR_ReportingYear,AC2469&lt;$V2429-1,INDEX(EUconst_BMlistElExchangability,MATCH($I2429,EUconst_BMlistNames,0))=FALSE)),FALSE)</f>
        <v>0</v>
      </c>
      <c r="AD2470" s="1052" t="b">
        <f t="shared" si="1114"/>
        <v>0</v>
      </c>
      <c r="AE2470" s="1052" t="b">
        <f t="shared" si="1114"/>
        <v>0</v>
      </c>
      <c r="AF2470" s="1052" t="b">
        <f t="shared" si="1114"/>
        <v>0</v>
      </c>
      <c r="AG2470" s="1052" t="b">
        <f t="shared" si="1114"/>
        <v>0</v>
      </c>
      <c r="AH2470" s="1052" t="b">
        <f t="shared" si="1114"/>
        <v>0</v>
      </c>
      <c r="AI2470" s="1053" t="b">
        <f t="shared" si="1114"/>
        <v>0</v>
      </c>
      <c r="AJ2470" s="553" t="s">
        <v>2248</v>
      </c>
      <c r="AK2470" s="663" t="str">
        <f>IF(AND(CNTR_ExistSubInstEntries,COUNTIFS(AC2470:AI2470,FALSE,H2470:N2470,"")&gt;0),EUconst_Error&amp;"BM"&amp;$Q2429,"")</f>
        <v/>
      </c>
      <c r="AL2470" s="2"/>
    </row>
    <row r="2471" spans="1:38" s="534" customFormat="1" ht="12.75" customHeight="1" x14ac:dyDescent="0.25">
      <c r="A2471" s="343"/>
      <c r="B2471" s="15"/>
      <c r="C2471" s="15"/>
      <c r="D2471" s="289" t="s">
        <v>9</v>
      </c>
      <c r="E2471" s="923" t="str">
        <f>Translations!$B$529</f>
        <v>Nettomängd importerad värme</v>
      </c>
      <c r="F2471" s="923"/>
      <c r="G2471" s="459" t="str">
        <f>EUconst_TJpa</f>
        <v>TJ / år</v>
      </c>
      <c r="H2471" s="460" t="str">
        <f t="shared" ref="H2471:N2471" si="1115">IF(AND($I2429&lt;&gt;"",H2469&lt;CNTR_ReportingYear),IF(INDEX(EUconst_BMlistElExchangability,MATCH($I2429,EUconst_BMlistNames,0)),SUM(H2622),""),"")</f>
        <v/>
      </c>
      <c r="I2471" s="996" t="str">
        <f t="shared" si="1115"/>
        <v/>
      </c>
      <c r="J2471" s="1006" t="str">
        <f t="shared" si="1115"/>
        <v/>
      </c>
      <c r="K2471" s="1002" t="str">
        <f t="shared" si="1115"/>
        <v/>
      </c>
      <c r="L2471" s="460" t="str">
        <f t="shared" si="1115"/>
        <v/>
      </c>
      <c r="M2471" s="460" t="str">
        <f t="shared" si="1115"/>
        <v/>
      </c>
      <c r="N2471" s="460" t="str">
        <f t="shared" si="1115"/>
        <v/>
      </c>
      <c r="O2471" s="15"/>
      <c r="P2471" s="15"/>
      <c r="Q2471" s="343"/>
      <c r="R2471" s="343"/>
      <c r="S2471" s="772"/>
      <c r="T2471" s="609">
        <f t="shared" ref="T2471:Z2471" si="1116">H2469</f>
        <v>2019</v>
      </c>
      <c r="U2471" s="609">
        <f t="shared" si="1116"/>
        <v>2020</v>
      </c>
      <c r="V2471" s="609">
        <f t="shared" si="1116"/>
        <v>2021</v>
      </c>
      <c r="W2471" s="609">
        <f t="shared" si="1116"/>
        <v>2022</v>
      </c>
      <c r="X2471" s="609">
        <f t="shared" si="1116"/>
        <v>2023</v>
      </c>
      <c r="Y2471" s="609">
        <f t="shared" si="1116"/>
        <v>2024</v>
      </c>
      <c r="Z2471" s="610">
        <f t="shared" si="1116"/>
        <v>2025</v>
      </c>
      <c r="AA2471" s="343"/>
      <c r="AB2471" s="343"/>
      <c r="AC2471" s="584"/>
      <c r="AD2471" s="343"/>
      <c r="AE2471" s="343"/>
      <c r="AF2471" s="343"/>
      <c r="AG2471" s="343"/>
      <c r="AH2471" s="343"/>
      <c r="AI2471" s="1328"/>
      <c r="AJ2471" s="343"/>
      <c r="AK2471" s="343"/>
      <c r="AL2471" s="2"/>
    </row>
    <row r="2472" spans="1:38" s="534" customFormat="1" ht="12.75" customHeight="1" thickBot="1" x14ac:dyDescent="0.3">
      <c r="A2472" s="343"/>
      <c r="B2472" s="15"/>
      <c r="C2472" s="15"/>
      <c r="D2472" s="289" t="s">
        <v>10</v>
      </c>
      <c r="E2472" s="1778" t="str">
        <f>Translations!$B$530</f>
        <v>Relevant elförbrukning</v>
      </c>
      <c r="F2472" s="1520"/>
      <c r="G2472" s="473" t="str">
        <f>EUconst_MWhpa</f>
        <v>MWh / år</v>
      </c>
      <c r="H2472" s="474"/>
      <c r="I2472" s="997"/>
      <c r="J2472" s="669"/>
      <c r="K2472" s="1003"/>
      <c r="L2472" s="474"/>
      <c r="M2472" s="474"/>
      <c r="N2472" s="474"/>
      <c r="O2472" s="15"/>
      <c r="P2472" s="1362"/>
      <c r="Q2472" s="165" t="str">
        <f>EUconst_CNTR_HAL&amp;EUconst_CNTR_ELEXCH</f>
        <v>HAL_ELEXCH_</v>
      </c>
      <c r="R2472" s="165" t="str">
        <f>EUconst_CNTR_HAL&amp;EUconst_CNTR_ELEXCH &amp; I2429</f>
        <v>HAL_ELEXCH_</v>
      </c>
      <c r="S2472" s="1888" t="str">
        <f>EUconst_CNTR_AttributedEmissions &amp; I2429</f>
        <v>AttrEmissions_</v>
      </c>
      <c r="T2472" s="1330" t="str">
        <f t="shared" ref="T2472:Z2472" si="1117">IF(T2437,SUM(H2472)*EUconst_ElBM,"")</f>
        <v/>
      </c>
      <c r="U2472" s="1330" t="str">
        <f t="shared" si="1117"/>
        <v/>
      </c>
      <c r="V2472" s="1330" t="str">
        <f t="shared" si="1117"/>
        <v/>
      </c>
      <c r="W2472" s="1330" t="str">
        <f t="shared" si="1117"/>
        <v/>
      </c>
      <c r="X2472" s="1330" t="str">
        <f t="shared" si="1117"/>
        <v/>
      </c>
      <c r="Y2472" s="1330" t="str">
        <f t="shared" si="1117"/>
        <v/>
      </c>
      <c r="Z2472" s="1331" t="str">
        <f t="shared" si="1117"/>
        <v/>
      </c>
      <c r="AA2472" s="343"/>
      <c r="AB2472" s="343"/>
      <c r="AC2472" s="1329" t="b">
        <f>AC2470</f>
        <v>0</v>
      </c>
      <c r="AD2472" s="1330" t="b">
        <f t="shared" ref="AD2472:AI2472" si="1118">AD2470</f>
        <v>0</v>
      </c>
      <c r="AE2472" s="1330" t="b">
        <f t="shared" si="1118"/>
        <v>0</v>
      </c>
      <c r="AF2472" s="1330" t="b">
        <f t="shared" si="1118"/>
        <v>0</v>
      </c>
      <c r="AG2472" s="1330" t="b">
        <f t="shared" si="1118"/>
        <v>0</v>
      </c>
      <c r="AH2472" s="1330" t="b">
        <f t="shared" si="1118"/>
        <v>0</v>
      </c>
      <c r="AI2472" s="1331" t="b">
        <f t="shared" si="1118"/>
        <v>0</v>
      </c>
      <c r="AJ2472" s="553" t="s">
        <v>2248</v>
      </c>
      <c r="AK2472" s="663" t="str">
        <f>IF(AND(CNTR_ExistSubInstEntries,COUNTIFS(AC2472:AI2472,FALSE,H2472:N2472,"")&gt;0),EUconst_Error&amp;"BM"&amp;$Q2429,"")</f>
        <v/>
      </c>
      <c r="AL2472" s="2"/>
    </row>
    <row r="2473" spans="1:38" s="534" customFormat="1" ht="13.5" customHeight="1" x14ac:dyDescent="0.25">
      <c r="A2473" s="343"/>
      <c r="B2473" s="15"/>
      <c r="C2473" s="15"/>
      <c r="D2473" s="289" t="s">
        <v>23</v>
      </c>
      <c r="E2473" s="925" t="str">
        <f>Translations!$B$531</f>
        <v>Totala direkta utsläpp</v>
      </c>
      <c r="F2473" s="925"/>
      <c r="G2473" s="456" t="str">
        <f>EUconst_tCO2pa</f>
        <v>t CO2 / år</v>
      </c>
      <c r="H2473" s="457" t="str">
        <f t="shared" ref="H2473:N2473" si="1119">IF(ISNUMBER(H2470),H2470+SUM(H2471)*EUconst_HeatBMvalue,"")</f>
        <v/>
      </c>
      <c r="I2473" s="998" t="str">
        <f t="shared" si="1119"/>
        <v/>
      </c>
      <c r="J2473" s="1007" t="str">
        <f t="shared" si="1119"/>
        <v/>
      </c>
      <c r="K2473" s="458" t="str">
        <f t="shared" si="1119"/>
        <v/>
      </c>
      <c r="L2473" s="458" t="str">
        <f t="shared" si="1119"/>
        <v/>
      </c>
      <c r="M2473" s="457" t="str">
        <f t="shared" si="1119"/>
        <v/>
      </c>
      <c r="N2473" s="457" t="str">
        <f t="shared" si="1119"/>
        <v/>
      </c>
      <c r="O2473" s="15"/>
      <c r="P2473" s="15"/>
      <c r="Q2473" s="343"/>
      <c r="R2473" s="343"/>
      <c r="S2473" s="2"/>
      <c r="T2473" s="2"/>
      <c r="U2473" s="343"/>
      <c r="V2473" s="343"/>
      <c r="W2473" s="343"/>
      <c r="X2473" s="343"/>
      <c r="Y2473" s="343"/>
      <c r="Z2473" s="343"/>
      <c r="AA2473" s="343"/>
      <c r="AB2473" s="343"/>
      <c r="AC2473" s="343"/>
      <c r="AD2473" s="343"/>
      <c r="AE2473" s="343"/>
      <c r="AF2473" s="343"/>
      <c r="AG2473" s="343"/>
      <c r="AH2473" s="343"/>
      <c r="AI2473" s="343"/>
      <c r="AJ2473" s="343"/>
      <c r="AK2473" s="343"/>
      <c r="AL2473" s="2"/>
    </row>
    <row r="2474" spans="1:38" s="534" customFormat="1" ht="13.5" customHeight="1" x14ac:dyDescent="0.25">
      <c r="A2474" s="343"/>
      <c r="B2474" s="15"/>
      <c r="C2474" s="15"/>
      <c r="D2474" s="289" t="s">
        <v>859</v>
      </c>
      <c r="E2474" s="924" t="str">
        <f>Translations!$B$532</f>
        <v>Indirekta utsläpp</v>
      </c>
      <c r="F2474" s="924"/>
      <c r="G2474" s="461" t="str">
        <f>EUconst_tCO2pa</f>
        <v>t CO2 / år</v>
      </c>
      <c r="H2474" s="462" t="str">
        <f t="shared" ref="H2474:N2474" si="1120">IF(ISNUMBER(H2472),H2472*EUconst_ElBM,"")</f>
        <v/>
      </c>
      <c r="I2474" s="999" t="str">
        <f t="shared" si="1120"/>
        <v/>
      </c>
      <c r="J2474" s="1008" t="str">
        <f t="shared" si="1120"/>
        <v/>
      </c>
      <c r="K2474" s="463" t="str">
        <f t="shared" si="1120"/>
        <v/>
      </c>
      <c r="L2474" s="463" t="str">
        <f t="shared" si="1120"/>
        <v/>
      </c>
      <c r="M2474" s="462" t="str">
        <f t="shared" si="1120"/>
        <v/>
      </c>
      <c r="N2474" s="462" t="str">
        <f t="shared" si="1120"/>
        <v/>
      </c>
      <c r="O2474" s="15"/>
      <c r="P2474" s="15"/>
      <c r="Q2474" s="343"/>
      <c r="R2474" s="343"/>
      <c r="S2474" s="2"/>
      <c r="T2474" s="2"/>
      <c r="U2474" s="343"/>
      <c r="V2474" s="343"/>
      <c r="W2474" s="343"/>
      <c r="X2474" s="343"/>
      <c r="Y2474" s="343"/>
      <c r="Z2474" s="343"/>
      <c r="AA2474" s="343"/>
      <c r="AB2474" s="343"/>
      <c r="AC2474" s="343"/>
      <c r="AD2474" s="343"/>
      <c r="AE2474" s="343"/>
      <c r="AF2474" s="343"/>
      <c r="AG2474" s="343"/>
      <c r="AH2474" s="343"/>
      <c r="AI2474" s="343"/>
      <c r="AJ2474" s="343"/>
      <c r="AK2474" s="343"/>
      <c r="AL2474" s="2"/>
    </row>
    <row r="2475" spans="1:38" ht="5.15" customHeight="1" x14ac:dyDescent="0.25">
      <c r="A2475" s="2"/>
      <c r="B2475" s="178"/>
      <c r="C2475" s="178"/>
      <c r="D2475" s="178"/>
      <c r="E2475" s="178"/>
      <c r="F2475" s="178"/>
      <c r="G2475" s="178"/>
      <c r="H2475" s="178"/>
      <c r="I2475" s="178"/>
      <c r="J2475" s="1009"/>
      <c r="K2475" s="178"/>
      <c r="L2475" s="178"/>
      <c r="M2475" s="15"/>
      <c r="N2475" s="15"/>
      <c r="O2475" s="15"/>
      <c r="P2475" s="15"/>
      <c r="Q2475" s="343"/>
      <c r="R2475" s="2"/>
      <c r="S2475" s="2"/>
      <c r="T2475" s="2"/>
      <c r="U2475" s="343"/>
      <c r="V2475" s="343"/>
      <c r="W2475" s="343"/>
      <c r="X2475" s="343"/>
      <c r="Y2475" s="343"/>
      <c r="Z2475" s="343"/>
      <c r="AA2475" s="2"/>
      <c r="AB2475" s="2"/>
      <c r="AC2475" s="2"/>
      <c r="AD2475" s="2"/>
      <c r="AE2475" s="2"/>
      <c r="AF2475" s="2"/>
      <c r="AG2475" s="2"/>
      <c r="AH2475" s="2"/>
      <c r="AI2475" s="2"/>
      <c r="AJ2475" s="2"/>
      <c r="AK2475" s="2"/>
      <c r="AL2475" s="2"/>
    </row>
    <row r="2476" spans="1:38" ht="12.75" customHeight="1" x14ac:dyDescent="0.25">
      <c r="A2476" s="2"/>
      <c r="B2476" s="178"/>
      <c r="C2476" s="178"/>
      <c r="D2476" s="289" t="s">
        <v>860</v>
      </c>
      <c r="E2476" s="514" t="s">
        <v>1526</v>
      </c>
      <c r="F2476" s="929"/>
      <c r="G2476" s="930" t="s">
        <v>1112</v>
      </c>
      <c r="H2476" s="926" t="str">
        <f t="shared" ref="H2476:N2476" si="1121">IF(COUNT(H2473:H2474)&gt;0,SUM(H2473)/SUM(H2473:H2474),IF($T2465=TRUE,IF(H2469&gt;CNTR_ReportingYear,"",1),""))</f>
        <v/>
      </c>
      <c r="I2476" s="1000" t="str">
        <f t="shared" si="1121"/>
        <v/>
      </c>
      <c r="J2476" s="1010" t="str">
        <f t="shared" si="1121"/>
        <v/>
      </c>
      <c r="K2476" s="1004" t="str">
        <f t="shared" si="1121"/>
        <v/>
      </c>
      <c r="L2476" s="926" t="str">
        <f t="shared" si="1121"/>
        <v/>
      </c>
      <c r="M2476" s="926" t="str">
        <f t="shared" si="1121"/>
        <v/>
      </c>
      <c r="N2476" s="926" t="str">
        <f t="shared" si="1121"/>
        <v/>
      </c>
      <c r="O2476" s="15"/>
      <c r="P2476" s="15"/>
      <c r="Q2476" s="165" t="str">
        <f>EUconst_CNTR_ELEXCH &amp; I2429</f>
        <v>ELEXCH_</v>
      </c>
      <c r="R2476" s="2"/>
      <c r="S2476" s="2"/>
      <c r="T2476" s="2"/>
      <c r="U2476" s="2"/>
      <c r="V2476" s="2"/>
      <c r="W2476" s="2"/>
      <c r="X2476" s="2"/>
      <c r="Y2476" s="2"/>
      <c r="Z2476" s="2"/>
      <c r="AA2476" s="2"/>
      <c r="AB2476" s="2"/>
      <c r="AC2476" s="2"/>
      <c r="AD2476" s="2"/>
      <c r="AE2476" s="2"/>
      <c r="AF2476" s="2"/>
      <c r="AG2476" s="2"/>
      <c r="AH2476" s="2"/>
      <c r="AI2476" s="2"/>
      <c r="AJ2476" s="2"/>
      <c r="AK2476" s="2"/>
      <c r="AL2476" s="2"/>
    </row>
    <row r="2477" spans="1:38" ht="5.15" customHeight="1" x14ac:dyDescent="0.25">
      <c r="A2477" s="2"/>
      <c r="B2477" s="178"/>
      <c r="C2477" s="178"/>
      <c r="D2477" s="178"/>
      <c r="E2477" s="178"/>
      <c r="F2477" s="178"/>
      <c r="G2477" s="178"/>
      <c r="H2477" s="178"/>
      <c r="I2477" s="178"/>
      <c r="J2477" s="178"/>
      <c r="K2477" s="178"/>
      <c r="L2477" s="178"/>
      <c r="M2477" s="15"/>
      <c r="N2477" s="15"/>
      <c r="O2477" s="15"/>
      <c r="P2477" s="15"/>
      <c r="Q2477" s="343"/>
      <c r="R2477" s="2"/>
      <c r="S2477" s="2"/>
      <c r="T2477" s="2"/>
      <c r="U2477" s="2"/>
      <c r="V2477" s="2"/>
      <c r="W2477" s="2"/>
      <c r="X2477" s="2"/>
      <c r="Y2477" s="2"/>
      <c r="Z2477" s="2"/>
      <c r="AA2477" s="2"/>
      <c r="AB2477" s="2"/>
      <c r="AC2477" s="2"/>
      <c r="AD2477" s="2"/>
      <c r="AE2477" s="2"/>
      <c r="AF2477" s="2"/>
      <c r="AG2477" s="2"/>
      <c r="AH2477" s="2"/>
      <c r="AI2477" s="2"/>
      <c r="AJ2477" s="2"/>
      <c r="AK2477" s="2"/>
      <c r="AL2477" s="2"/>
    </row>
    <row r="2478" spans="1:38" ht="25.5" customHeight="1" thickBot="1" x14ac:dyDescent="0.3">
      <c r="A2478" s="2"/>
      <c r="B2478" s="178"/>
      <c r="C2478" s="178"/>
      <c r="D2478" s="15"/>
      <c r="E2478" s="2061" t="str">
        <f>Translations!$B$1479</f>
        <v>Baserat på uppgifterna ovan bestäms ett genomsnittligt årligt värde. Tilldelningen kommer endast att ändras om det relativa tröskelvärdet (15 % jämfört med värdet från de nationella genomförandeåtgärderna) och det absoluta tröskelvärdet (ändring leder till mer än 100 utsläppsrätter) överskrids, enligt artikel 6.4 i verksamhetsändringsförordningen.</v>
      </c>
      <c r="F2478" s="1963"/>
      <c r="G2478" s="1963"/>
      <c r="H2478" s="1963"/>
      <c r="I2478" s="1963"/>
      <c r="J2478" s="1963"/>
      <c r="K2478" s="1963"/>
      <c r="L2478" s="1963"/>
      <c r="M2478" s="1963"/>
      <c r="N2478" s="1963"/>
      <c r="O2478" s="15"/>
      <c r="P2478" s="15"/>
      <c r="Q2478" s="343"/>
      <c r="R2478" s="2"/>
      <c r="S2478" s="343"/>
      <c r="T2478" s="343"/>
      <c r="U2478" s="343"/>
      <c r="V2478" s="2"/>
      <c r="W2478" s="2"/>
      <c r="X2478" s="2"/>
      <c r="Y2478" s="2"/>
      <c r="Z2478" s="2"/>
      <c r="AA2478" s="2"/>
      <c r="AB2478" s="2"/>
      <c r="AC2478" s="2"/>
      <c r="AD2478" s="2"/>
      <c r="AE2478" s="2"/>
      <c r="AF2478" s="2"/>
      <c r="AG2478" s="2"/>
      <c r="AH2478" s="2"/>
      <c r="AI2478" s="2"/>
      <c r="AJ2478" s="2"/>
      <c r="AK2478" s="2"/>
      <c r="AL2478" s="2"/>
    </row>
    <row r="2479" spans="1:38" ht="5.15" customHeight="1" thickBot="1" x14ac:dyDescent="0.3">
      <c r="A2479" s="2"/>
      <c r="B2479" s="178"/>
      <c r="C2479" s="178"/>
      <c r="D2479" s="1238"/>
      <c r="E2479" s="1266"/>
      <c r="F2479" s="1266"/>
      <c r="G2479" s="1266"/>
      <c r="H2479" s="1266"/>
      <c r="I2479" s="1266"/>
      <c r="J2479" s="1266"/>
      <c r="K2479" s="1266"/>
      <c r="L2479" s="1266"/>
      <c r="M2479" s="1266"/>
      <c r="N2479" s="1267"/>
      <c r="O2479" s="15"/>
      <c r="P2479" s="15"/>
      <c r="Q2479" s="343"/>
      <c r="R2479" s="2"/>
      <c r="S2479" s="343"/>
      <c r="T2479" s="343"/>
      <c r="U2479" s="343"/>
      <c r="V2479" s="2"/>
      <c r="W2479" s="2"/>
      <c r="X2479" s="2"/>
      <c r="Y2479" s="2"/>
      <c r="Z2479" s="2"/>
      <c r="AA2479" s="2"/>
      <c r="AB2479" s="2"/>
      <c r="AC2479" s="2"/>
      <c r="AD2479" s="2"/>
      <c r="AE2479" s="2"/>
      <c r="AF2479" s="2"/>
      <c r="AG2479" s="2"/>
      <c r="AH2479" s="2"/>
      <c r="AI2479" s="2"/>
      <c r="AJ2479" s="2"/>
      <c r="AK2479" s="2"/>
      <c r="AL2479" s="2"/>
    </row>
    <row r="2480" spans="1:38" ht="12.75" customHeight="1" x14ac:dyDescent="0.25">
      <c r="A2480" s="2"/>
      <c r="B2480" s="178"/>
      <c r="C2480" s="178"/>
      <c r="D2480" s="1290" t="s">
        <v>2191</v>
      </c>
      <c r="E2480" s="1243" t="str">
        <f>Translations!$B$1480</f>
        <v>Justeringar: Elutbyte</v>
      </c>
      <c r="F2480" s="1244"/>
      <c r="G2480" s="1244"/>
      <c r="H2480" s="1228" t="str">
        <f>EUconst_Unit</f>
        <v>Enhet</v>
      </c>
      <c r="I2480" s="1229" t="str">
        <f>Translations!$B$1481</f>
        <v>Värde (NIMs)</v>
      </c>
      <c r="J2480" s="1268">
        <f>J$3042</f>
        <v>2021</v>
      </c>
      <c r="K2480" s="1230">
        <f>K$3042</f>
        <v>2022</v>
      </c>
      <c r="L2480" s="1230">
        <f>L$3042</f>
        <v>2023</v>
      </c>
      <c r="M2480" s="1230">
        <f>M$3042</f>
        <v>2024</v>
      </c>
      <c r="N2480" s="1258">
        <f>N$3042</f>
        <v>2025</v>
      </c>
      <c r="O2480" s="15"/>
      <c r="P2480" s="15"/>
      <c r="Q2480" s="343"/>
      <c r="R2480" s="2"/>
      <c r="S2480" s="2"/>
      <c r="T2480" s="2"/>
      <c r="U2480" s="772"/>
      <c r="V2480" s="1077">
        <f>J2480</f>
        <v>2021</v>
      </c>
      <c r="W2480" s="1077">
        <f>K2480</f>
        <v>2022</v>
      </c>
      <c r="X2480" s="1077">
        <f>L2480</f>
        <v>2023</v>
      </c>
      <c r="Y2480" s="1077">
        <f>M2480</f>
        <v>2024</v>
      </c>
      <c r="Z2480" s="1078">
        <f>N2480</f>
        <v>2025</v>
      </c>
      <c r="AA2480" s="2"/>
      <c r="AB2480" s="2"/>
      <c r="AC2480" s="2"/>
      <c r="AD2480" s="2"/>
      <c r="AE2480" s="2"/>
      <c r="AF2480" s="2"/>
      <c r="AG2480" s="2"/>
      <c r="AH2480" s="2"/>
      <c r="AI2480" s="2"/>
      <c r="AJ2480" s="2"/>
      <c r="AK2480" s="2"/>
      <c r="AL2480" s="343"/>
    </row>
    <row r="2481" spans="1:38" ht="12.75" customHeight="1" x14ac:dyDescent="0.25">
      <c r="A2481" s="2"/>
      <c r="B2481" s="178"/>
      <c r="C2481" s="178"/>
      <c r="D2481" s="1246" t="s">
        <v>8</v>
      </c>
      <c r="E2481" s="1231" t="str">
        <f>Translations!$B$1482</f>
        <v>Genomsnittligt årligt värde</v>
      </c>
      <c r="F2481" s="1231"/>
      <c r="G2481" s="1231"/>
      <c r="H2481" s="1232" t="str">
        <f>G2476</f>
        <v>-</v>
      </c>
      <c r="I2481" s="1011" t="str">
        <f>IF($T2465&lt;&gt;TRUE,"",INDEX('B+C_SubInstallations'!$L:$L,MATCH(Q2481,'B+C_SubInstallations'!$W:$W,0)))</f>
        <v/>
      </c>
      <c r="J2481" s="1012" t="str">
        <f>IF($T2465&lt;&gt;TRUE,"",IF(AND(V2481&gt;=3,CNTR_ReportingYear&gt;J2480-1),AVERAGE(SUM(H2476),SUM(I2476)),""))</f>
        <v/>
      </c>
      <c r="K2481" s="927" t="str">
        <f>IF($T2465&lt;&gt;TRUE,"",IF(AND(W2481&gt;=3,CNTR_ReportingYear&gt;K2480-1),AVERAGE(SUM(I2476),SUM(J2476)),""))</f>
        <v/>
      </c>
      <c r="L2481" s="927" t="str">
        <f>IF($T2465&lt;&gt;TRUE,"",IF(AND(X2481&gt;=3,CNTR_ReportingYear&gt;L2480-1),AVERAGE(SUM(J2476),SUM(K2476)),""))</f>
        <v/>
      </c>
      <c r="M2481" s="927" t="str">
        <f>IF($T2465&lt;&gt;TRUE,"",IF(AND(Y2481&gt;=3,CNTR_ReportingYear&gt;M2480-1),AVERAGE(SUM(K2476),SUM(L2476)),""))</f>
        <v/>
      </c>
      <c r="N2481" s="1222" t="str">
        <f>IF($T2465&lt;&gt;TRUE,"",IF(AND(Z2481&gt;=3,CNTR_ReportingYear&gt;N2480-1),AVERAGE(SUM(L2476),SUM(M2476)),""))</f>
        <v/>
      </c>
      <c r="O2481" s="15"/>
      <c r="P2481" s="15"/>
      <c r="Q2481" s="165" t="str">
        <f>EUconst_CNTR_HAL &amp; EUconst_CNTR_ELEXCHInitial &amp; I2429</f>
        <v>HAL_ELEXCHIni_</v>
      </c>
      <c r="R2481" s="2"/>
      <c r="S2481" s="2"/>
      <c r="T2481" s="2"/>
      <c r="U2481" s="1079" t="s">
        <v>1850</v>
      </c>
      <c r="V2481" s="663">
        <f>V2451</f>
        <v>0</v>
      </c>
      <c r="W2481" s="663">
        <f>W2451</f>
        <v>0</v>
      </c>
      <c r="X2481" s="663">
        <f>X2451</f>
        <v>0</v>
      </c>
      <c r="Y2481" s="663">
        <f>Y2451</f>
        <v>0</v>
      </c>
      <c r="Z2481" s="1080">
        <f>Z2451</f>
        <v>0</v>
      </c>
      <c r="AA2481" s="2"/>
      <c r="AB2481" s="2"/>
      <c r="AC2481" s="2"/>
      <c r="AD2481" s="2"/>
      <c r="AE2481" s="2"/>
      <c r="AF2481" s="2"/>
      <c r="AG2481" s="2"/>
      <c r="AH2481" s="2"/>
      <c r="AI2481" s="2"/>
      <c r="AJ2481" s="2"/>
      <c r="AK2481" s="2"/>
      <c r="AL2481" s="343"/>
    </row>
    <row r="2482" spans="1:38" ht="12.75" hidden="1" customHeight="1" x14ac:dyDescent="0.25">
      <c r="A2482" s="343" t="s">
        <v>346</v>
      </c>
      <c r="B2482" s="178"/>
      <c r="C2482" s="178"/>
      <c r="D2482" s="1246"/>
      <c r="E2482" s="1231" t="s">
        <v>1980</v>
      </c>
      <c r="F2482" s="1231"/>
      <c r="G2482" s="1231"/>
      <c r="H2482" s="1233"/>
      <c r="I2482" s="1235"/>
      <c r="J2482" s="1013" t="str">
        <f>IF(J2481="","",IF($I2484=0,IF(J2481=0,0%,100%),J2481/$I2484-1))</f>
        <v/>
      </c>
      <c r="K2482" s="938" t="str">
        <f>IF(K2481="","",IF($I2484=0,IF(K2481=0,0%,100%),K2481/$I2484-1))</f>
        <v/>
      </c>
      <c r="L2482" s="938" t="str">
        <f>IF(L2481="","",IF($I2484=0,IF(L2481=0,0%,100%),L2481/$I2484-1))</f>
        <v/>
      </c>
      <c r="M2482" s="938" t="str">
        <f>IF(M2481="","",IF($I2484=0,IF(M2481=0,0%,100%),M2481/$I2484-1))</f>
        <v/>
      </c>
      <c r="N2482" s="1223" t="str">
        <f>IF(N2481="","",IF($I2484=0,IF(N2481=0,0%,100%),N2481/$I2484-1))</f>
        <v/>
      </c>
      <c r="O2482" s="15"/>
      <c r="P2482" s="15"/>
      <c r="Q2482" s="165" t="str">
        <f>EUconst_CNTR_RelThreshold &amp; Q2484</f>
        <v>RelThresh_HALprelim_ELEXCH_</v>
      </c>
      <c r="R2482" s="2"/>
      <c r="S2482" s="2"/>
      <c r="T2482" s="2"/>
      <c r="U2482" s="1079" t="s">
        <v>1855</v>
      </c>
      <c r="V2482" s="603" t="str">
        <f>IF(J2481="","",ABS(J2482)&gt;15%)</f>
        <v/>
      </c>
      <c r="W2482" s="603" t="str">
        <f>IF(K2481="","",ABS(K2482)&gt;15%)</f>
        <v/>
      </c>
      <c r="X2482" s="603" t="str">
        <f>IF(L2481="","",ABS(L2482)&gt;15%)</f>
        <v/>
      </c>
      <c r="Y2482" s="603" t="str">
        <f>IF(M2481="","",ABS(M2482)&gt;15%)</f>
        <v/>
      </c>
      <c r="Z2482" s="1756" t="str">
        <f>IF(N2481="","",ABS(N2482)&gt;15%)</f>
        <v/>
      </c>
      <c r="AA2482" s="2"/>
      <c r="AB2482" s="2"/>
      <c r="AC2482" s="2"/>
      <c r="AD2482" s="2"/>
      <c r="AE2482" s="2"/>
      <c r="AF2482" s="2"/>
      <c r="AG2482" s="2"/>
      <c r="AH2482" s="2"/>
      <c r="AI2482" s="2"/>
      <c r="AJ2482" s="2"/>
      <c r="AK2482" s="2"/>
      <c r="AL2482" s="343"/>
    </row>
    <row r="2483" spans="1:38" ht="12.75" customHeight="1" x14ac:dyDescent="0.25">
      <c r="A2483" s="343"/>
      <c r="B2483" s="178"/>
      <c r="C2483" s="178"/>
      <c r="D2483" s="1246" t="s">
        <v>9</v>
      </c>
      <c r="E2483" s="1231" t="str">
        <f>Translations!$B$1474</f>
        <v>Preliminär justering (om relativa tröskelvärden överskrids)</v>
      </c>
      <c r="F2483" s="1231"/>
      <c r="G2483" s="1231"/>
      <c r="H2483" s="1233"/>
      <c r="I2483" s="1235"/>
      <c r="J2483" s="992" t="str">
        <f>IF(J2481="","",IF(V2482=FALSE,0%,J2482))</f>
        <v/>
      </c>
      <c r="K2483" s="937" t="str">
        <f>IF(K2481="","",IF(W2482=FALSE,0%,K2482))</f>
        <v/>
      </c>
      <c r="L2483" s="937" t="str">
        <f>IF(L2481="","",IF(X2482=FALSE,0%,L2482))</f>
        <v/>
      </c>
      <c r="M2483" s="937" t="str">
        <f>IF(M2481="","",IF(Y2482=FALSE,0%,M2482))</f>
        <v/>
      </c>
      <c r="N2483" s="1220" t="str">
        <f>IF(N2481="","",IF(Z2482=FALSE,0%,N2482))</f>
        <v/>
      </c>
      <c r="O2483" s="15"/>
      <c r="P2483" s="15"/>
      <c r="Q2483" s="343"/>
      <c r="R2483" s="2"/>
      <c r="S2483" s="2"/>
      <c r="T2483" s="2"/>
      <c r="U2483" s="1081"/>
      <c r="V2483" s="2"/>
      <c r="W2483" s="2"/>
      <c r="X2483" s="2"/>
      <c r="Y2483" s="2"/>
      <c r="Z2483" s="228"/>
      <c r="AA2483" s="2"/>
      <c r="AB2483" s="2"/>
      <c r="AC2483" s="2"/>
      <c r="AD2483" s="2"/>
      <c r="AE2483" s="2"/>
      <c r="AF2483" s="2"/>
      <c r="AG2483" s="2"/>
      <c r="AH2483" s="2"/>
      <c r="AI2483" s="2"/>
      <c r="AJ2483" s="2"/>
      <c r="AK2483" s="2"/>
      <c r="AL2483" s="343"/>
    </row>
    <row r="2484" spans="1:38" ht="12.75" hidden="1" customHeight="1" x14ac:dyDescent="0.25">
      <c r="A2484" s="343" t="s">
        <v>346</v>
      </c>
      <c r="B2484" s="178"/>
      <c r="C2484" s="178"/>
      <c r="D2484" s="1246"/>
      <c r="E2484" s="1231" t="s">
        <v>1889</v>
      </c>
      <c r="F2484" s="1231"/>
      <c r="G2484" s="1231"/>
      <c r="H2484" s="1232" t="str">
        <f>H2481</f>
        <v>-</v>
      </c>
      <c r="I2484" s="1011" t="str">
        <f>IF($T2465&lt;&gt;TRUE,"",IF(AB2429=FALSE,EUconst_NA,IF(V2429&gt;($J$3042-3),INDEX(H2476:N2476,MATCH(V2429,H2469:N2469,0)),SUM(I2481))))</f>
        <v/>
      </c>
      <c r="J2484" s="1014" t="str">
        <f>IF(OR($I2429="",$T2465=FALSE),"",IF(V2481&lt;2,SUM(J2476),IF(V2481&lt;3,SUM(I2476),IF(V2484="",I2484,V2484))))</f>
        <v/>
      </c>
      <c r="K2484" s="928" t="str">
        <f>IF(OR($I2429="",$T2465=FALSE),"",IF(W2481&lt;2,SUM(K2476),IF(W2481&lt;3,SUM(J2476),IF(W2484="",J2484,W2484))))</f>
        <v/>
      </c>
      <c r="L2484" s="928" t="str">
        <f>IF(OR($I2429="",$T2465=FALSE),"",IF(X2481&lt;2,SUM(L2476),IF(X2481&lt;3,SUM(K2476),IF(X2484="",K2484,X2484))))</f>
        <v/>
      </c>
      <c r="M2484" s="928" t="str">
        <f>IF(OR($I2429="",$T2465=FALSE),"",IF(Y2481&lt;2,SUM(M2476),IF(Y2481&lt;3,SUM(L2476),IF(Y2484="",L2484,Y2484))))</f>
        <v/>
      </c>
      <c r="N2484" s="1224" t="str">
        <f>IF(OR($I2429="",$T2465=FALSE),"",IF(Z2481&lt;2,SUM(N2476),IF(Z2481&lt;3,SUM(M2476),IF(Z2484="",M2484,Z2484))))</f>
        <v/>
      </c>
      <c r="O2484" s="15"/>
      <c r="P2484" s="15"/>
      <c r="Q2484" s="165" t="str">
        <f>EUconst_CNTR_HALprelim&amp;EUconst_CNTR_ELEXCH &amp; I2429</f>
        <v>HALprelim_ELEXCH_</v>
      </c>
      <c r="R2484" s="2"/>
      <c r="S2484" s="2"/>
      <c r="T2484" s="2"/>
      <c r="U2484" s="1079" t="s">
        <v>1898</v>
      </c>
      <c r="V2484" s="1753" t="str">
        <f>IF(J2481="","",IF(CNTR_ReportingYear&lt;J2480,I2483,IF($I2484=0,J2481,$I2484*(1+J2483))))</f>
        <v/>
      </c>
      <c r="W2484" s="1753" t="str">
        <f>IF(K2481="","",IF(CNTR_ReportingYear&lt;K2480,J2483,IF($I2484=0,K2481,$I2484*(1+K2483))))</f>
        <v/>
      </c>
      <c r="X2484" s="1753" t="str">
        <f>IF(L2481="","",IF(CNTR_ReportingYear&lt;L2480,K2483,IF($I2484=0,L2481,$I2484*(1+L2483))))</f>
        <v/>
      </c>
      <c r="Y2484" s="1753" t="str">
        <f>IF(M2481="","",IF(CNTR_ReportingYear&lt;M2480,L2483,IF($I2484=0,M2481,$I2484*(1+M2483))))</f>
        <v/>
      </c>
      <c r="Z2484" s="1760" t="str">
        <f>IF(N2481="","",IF(CNTR_ReportingYear&lt;N2480,M2483,IF($I2484=0,N2481,$I2484*(1+N2483))))</f>
        <v/>
      </c>
      <c r="AA2484" s="2"/>
      <c r="AB2484" s="2"/>
      <c r="AC2484" s="2"/>
      <c r="AD2484" s="2"/>
      <c r="AE2484" s="2"/>
      <c r="AF2484" s="2"/>
      <c r="AG2484" s="2"/>
      <c r="AH2484" s="2"/>
      <c r="AI2484" s="2"/>
      <c r="AJ2484" s="2"/>
      <c r="AK2484" s="2"/>
      <c r="AL2484" s="343"/>
    </row>
    <row r="2485" spans="1:38" ht="5.15" customHeight="1" x14ac:dyDescent="0.25">
      <c r="A2485" s="343"/>
      <c r="B2485" s="178"/>
      <c r="C2485" s="178"/>
      <c r="D2485" s="1246"/>
      <c r="E2485" s="1244"/>
      <c r="F2485" s="1244"/>
      <c r="G2485" s="1244"/>
      <c r="H2485" s="1244"/>
      <c r="I2485" s="1244"/>
      <c r="J2485" s="1236"/>
      <c r="K2485" s="1236"/>
      <c r="L2485" s="1236"/>
      <c r="M2485" s="1236"/>
      <c r="N2485" s="1247"/>
      <c r="O2485" s="15"/>
      <c r="P2485" s="15"/>
      <c r="Q2485" s="343"/>
      <c r="R2485" s="2"/>
      <c r="S2485" s="2"/>
      <c r="T2485" s="2"/>
      <c r="U2485" s="1086"/>
      <c r="V2485" s="343"/>
      <c r="W2485" s="2"/>
      <c r="X2485" s="2"/>
      <c r="Y2485" s="2"/>
      <c r="Z2485" s="228"/>
      <c r="AA2485" s="2"/>
      <c r="AB2485" s="2"/>
      <c r="AC2485" s="2"/>
      <c r="AD2485" s="2"/>
      <c r="AE2485" s="2"/>
      <c r="AF2485" s="2"/>
      <c r="AG2485" s="2"/>
      <c r="AH2485" s="2"/>
      <c r="AI2485" s="2"/>
      <c r="AJ2485" s="2"/>
      <c r="AK2485" s="2"/>
      <c r="AL2485" s="343"/>
    </row>
    <row r="2486" spans="1:38" ht="12.75" customHeight="1" x14ac:dyDescent="0.25">
      <c r="A2486" s="343"/>
      <c r="B2486" s="178"/>
      <c r="C2486" s="178"/>
      <c r="D2486" s="1246"/>
      <c r="E2486" s="1234" t="str">
        <f>Translations!$B$1475</f>
        <v>Faktisk justering (grund för följande år)</v>
      </c>
      <c r="F2486" s="1234"/>
      <c r="G2486" s="1234"/>
      <c r="H2486" s="1234"/>
      <c r="I2486" s="1234"/>
      <c r="J2486" s="1268">
        <f>J$3042</f>
        <v>2021</v>
      </c>
      <c r="K2486" s="1230">
        <f>K$3042</f>
        <v>2022</v>
      </c>
      <c r="L2486" s="1230">
        <f>L$3042</f>
        <v>2023</v>
      </c>
      <c r="M2486" s="1230">
        <f>M$3042</f>
        <v>2024</v>
      </c>
      <c r="N2486" s="1258">
        <f>N$3042</f>
        <v>2025</v>
      </c>
      <c r="O2486" s="15"/>
      <c r="P2486" s="15"/>
      <c r="Q2486" s="343"/>
      <c r="R2486" s="2"/>
      <c r="S2486" s="2"/>
      <c r="T2486" s="2"/>
      <c r="U2486" s="584"/>
      <c r="V2486" s="2"/>
      <c r="W2486" s="2"/>
      <c r="X2486" s="2"/>
      <c r="Y2486" s="2"/>
      <c r="Z2486" s="228"/>
      <c r="AA2486" s="2"/>
      <c r="AB2486" s="2"/>
      <c r="AC2486" s="2"/>
      <c r="AD2486" s="2"/>
      <c r="AE2486" s="2"/>
      <c r="AF2486" s="2"/>
      <c r="AG2486" s="2"/>
      <c r="AH2486" s="2"/>
      <c r="AI2486" s="2"/>
      <c r="AJ2486" s="2"/>
      <c r="AK2486" s="2"/>
      <c r="AL2486" s="343"/>
    </row>
    <row r="2487" spans="1:38" ht="12.75" customHeight="1" x14ac:dyDescent="0.25">
      <c r="A2487" s="343"/>
      <c r="B2487" s="178"/>
      <c r="C2487" s="178"/>
      <c r="D2487" s="1246" t="s">
        <v>10</v>
      </c>
      <c r="E2487" s="1231" t="str">
        <f>Translations!$B$1476</f>
        <v>&gt;= 100 utsläppsrätter kriterium uppnått?</v>
      </c>
      <c r="F2487" s="1231"/>
      <c r="G2487" s="1231"/>
      <c r="H2487" s="1231"/>
      <c r="I2487" s="1231"/>
      <c r="J2487" s="994" t="str">
        <f>IF(OR($I2429="",$T2465=FALSE),"",INDEX(K_Summary!J:J,MATCH($Q2487,K_Summary!$P:$P,0)))</f>
        <v/>
      </c>
      <c r="K2487" s="912" t="str">
        <f>IF(OR($I2429="",$T2465=FALSE),"",INDEX(K_Summary!K:K,MATCH($Q2487,K_Summary!$P:$P,0)))</f>
        <v/>
      </c>
      <c r="L2487" s="912" t="str">
        <f>IF(OR($I2429="",$T2465=FALSE),"",INDEX(K_Summary!L:L,MATCH($Q2487,K_Summary!$P:$P,0)))</f>
        <v/>
      </c>
      <c r="M2487" s="912" t="str">
        <f>IF(OR($I2429="",$T2465=FALSE),"",INDEX(K_Summary!M:M,MATCH($Q2487,K_Summary!$P:$P,0)))</f>
        <v/>
      </c>
      <c r="N2487" s="1221" t="str">
        <f>IF(OR($I2429="",$T2465=FALSE),"",INDEX(K_Summary!N:N,MATCH($Q2487,K_Summary!$P:$P,0)))</f>
        <v/>
      </c>
      <c r="O2487" s="15"/>
      <c r="P2487" s="15"/>
      <c r="Q2487" s="165" t="str">
        <f>EUconst_CNTR_100EUA_ElExch&amp;I2429</f>
        <v>EUA100ElExch_</v>
      </c>
      <c r="R2487" s="2"/>
      <c r="S2487" s="2"/>
      <c r="T2487" s="2"/>
      <c r="U2487" s="584"/>
      <c r="V2487" s="2"/>
      <c r="W2487" s="2"/>
      <c r="X2487" s="2"/>
      <c r="Y2487" s="2"/>
      <c r="Z2487" s="228"/>
      <c r="AA2487" s="2"/>
      <c r="AB2487" s="2"/>
      <c r="AC2487" s="2"/>
      <c r="AD2487" s="2"/>
      <c r="AE2487" s="2"/>
      <c r="AF2487" s="2"/>
      <c r="AG2487" s="2"/>
      <c r="AH2487" s="2"/>
      <c r="AI2487" s="2"/>
      <c r="AJ2487" s="2"/>
      <c r="AK2487" s="2"/>
      <c r="AL2487" s="343"/>
    </row>
    <row r="2488" spans="1:38" ht="5.15" customHeight="1" thickBot="1" x14ac:dyDescent="0.3">
      <c r="A2488" s="343"/>
      <c r="B2488" s="178"/>
      <c r="C2488" s="178"/>
      <c r="D2488" s="1246"/>
      <c r="E2488" s="1244"/>
      <c r="F2488" s="1244"/>
      <c r="G2488" s="1244"/>
      <c r="H2488" s="1244"/>
      <c r="I2488" s="1244"/>
      <c r="J2488" s="1244"/>
      <c r="K2488" s="1244"/>
      <c r="L2488" s="1244"/>
      <c r="M2488" s="1244"/>
      <c r="N2488" s="1248"/>
      <c r="O2488" s="15"/>
      <c r="P2488" s="15"/>
      <c r="Q2488" s="343"/>
      <c r="R2488" s="2"/>
      <c r="S2488" s="2"/>
      <c r="T2488" s="2"/>
      <c r="U2488" s="1086"/>
      <c r="V2488" s="343"/>
      <c r="W2488" s="2"/>
      <c r="X2488" s="2"/>
      <c r="Y2488" s="2"/>
      <c r="Z2488" s="228"/>
      <c r="AA2488" s="2"/>
      <c r="AB2488" s="2"/>
      <c r="AC2488" s="2"/>
      <c r="AD2488" s="2"/>
      <c r="AE2488" s="2"/>
      <c r="AF2488" s="2"/>
      <c r="AG2488" s="2"/>
      <c r="AH2488" s="2"/>
      <c r="AI2488" s="2"/>
      <c r="AJ2488" s="2"/>
      <c r="AK2488" s="2"/>
      <c r="AL2488" s="343"/>
    </row>
    <row r="2489" spans="1:38" ht="12.75" customHeight="1" thickBot="1" x14ac:dyDescent="0.3">
      <c r="A2489" s="2"/>
      <c r="B2489" s="178"/>
      <c r="C2489" s="178"/>
      <c r="D2489" s="1246" t="s">
        <v>23</v>
      </c>
      <c r="E2489" s="1231" t="str">
        <f>Translations!$B$1477</f>
        <v>Faktisk justering (om alla tröskelvärden överskrids)</v>
      </c>
      <c r="F2489" s="1231"/>
      <c r="G2489" s="1231"/>
      <c r="H2489" s="1233"/>
      <c r="I2489" s="1237"/>
      <c r="J2489" s="1099" t="str">
        <f>IF(J2487="","",IF(OR(J2487,V2481&lt;1),J2483,I2489))</f>
        <v/>
      </c>
      <c r="K2489" s="1100" t="str">
        <f>IF(K2487="","",IF(OR(K2487,W2481&lt;1),K2483,J2489))</f>
        <v/>
      </c>
      <c r="L2489" s="1100" t="str">
        <f>IF(L2487="","",IF(OR(L2487,X2481&lt;1),L2483,K2489))</f>
        <v/>
      </c>
      <c r="M2489" s="1100" t="str">
        <f>IF(M2487="","",IF(OR(M2487,Y2481&lt;1),M2483,L2489))</f>
        <v/>
      </c>
      <c r="N2489" s="1101" t="str">
        <f>IF(N2487="","",IF(OR(N2487,Z2481&lt;1),N2483,M2489))</f>
        <v/>
      </c>
      <c r="O2489" s="15"/>
      <c r="P2489" s="15"/>
      <c r="Q2489" s="343"/>
      <c r="R2489" s="2"/>
      <c r="S2489" s="2"/>
      <c r="T2489" s="2"/>
      <c r="U2489" s="1086" t="s">
        <v>1858</v>
      </c>
      <c r="V2489" s="1068">
        <f>J2486</f>
        <v>2021</v>
      </c>
      <c r="W2489" s="1068">
        <f>K2486</f>
        <v>2022</v>
      </c>
      <c r="X2489" s="1068">
        <f>L2486</f>
        <v>2023</v>
      </c>
      <c r="Y2489" s="1068">
        <f>M2486</f>
        <v>2024</v>
      </c>
      <c r="Z2489" s="1087">
        <f>N2486</f>
        <v>2025</v>
      </c>
      <c r="AA2489" s="2"/>
      <c r="AB2489" s="2"/>
      <c r="AC2489" s="2"/>
      <c r="AD2489" s="2"/>
      <c r="AE2489" s="2"/>
      <c r="AF2489" s="2"/>
      <c r="AG2489" s="2"/>
      <c r="AH2489" s="2"/>
      <c r="AI2489" s="2"/>
      <c r="AJ2489" s="2"/>
      <c r="AK2489" s="2"/>
      <c r="AL2489" s="343"/>
    </row>
    <row r="2490" spans="1:38" ht="12.75" customHeight="1" thickBot="1" x14ac:dyDescent="0.3">
      <c r="A2490" s="343"/>
      <c r="B2490" s="178"/>
      <c r="C2490" s="178"/>
      <c r="D2490" s="1246" t="s">
        <v>859</v>
      </c>
      <c r="E2490" s="1231" t="str">
        <f>Translations!$B$1478</f>
        <v>Faktiskt värde</v>
      </c>
      <c r="F2490" s="1231"/>
      <c r="G2490" s="1231"/>
      <c r="H2490" s="1232" t="str">
        <f>H2481</f>
        <v>-</v>
      </c>
      <c r="I2490" s="1011" t="str">
        <f>I2484</f>
        <v/>
      </c>
      <c r="J2490" s="1069" t="str">
        <f>IF(OR($I2429="",$T2465=FALSE),"",IF(OR($I2490=0,$I2490=EUconst_NA,J2489="",J2486&lt;=$V2429),J2484,$I2490*(1+SUM(J2489))))</f>
        <v/>
      </c>
      <c r="K2490" s="1070" t="str">
        <f>IF(OR($I2429="",$T2465=FALSE),"",IF(OR($I2490=0,$I2490=EUconst_NA,K2489="",K2486&lt;=$V2429),K2484,$I2490*(1+SUM(K2489))))</f>
        <v/>
      </c>
      <c r="L2490" s="1070" t="str">
        <f>IF(OR($I2429="",$T2465=FALSE),"",IF(OR($I2490=0,$I2490=EUconst_NA,L2489="",L2486&lt;=$V2429),L2484,$I2490*(1+SUM(L2489))))</f>
        <v/>
      </c>
      <c r="M2490" s="1070" t="str">
        <f>IF(OR($I2429="",$T2465=FALSE),"",IF(OR($I2490=0,$I2490=EUconst_NA,M2489="",M2486&lt;=$V2429),M2484,$I2490*(1+SUM(M2489))))</f>
        <v/>
      </c>
      <c r="N2490" s="1071" t="str">
        <f>IF(OR($I2429="",$T2465=FALSE),"",IF(OR($I2490=0,$I2490=EUconst_NA,N2489="",N2486&lt;=$V2429),N2484,$I2490*(1+SUM(N2489))))</f>
        <v/>
      </c>
      <c r="O2490" s="15"/>
      <c r="P2490" s="15"/>
      <c r="Q2490" s="165" t="str">
        <f>EUconst_CNTR_HALfinal&amp;EUconst_CNTR_ELEXCH &amp; I2429</f>
        <v>HALfinal_ELEXCH_</v>
      </c>
      <c r="R2490" s="2"/>
      <c r="S2490" s="2"/>
      <c r="T2490" s="2"/>
      <c r="U2490" s="1765" t="b">
        <v>0</v>
      </c>
      <c r="V2490" s="1757" t="str">
        <f>IF(V2437,IF(J2487=TRUE,V2482,U2490),"")</f>
        <v/>
      </c>
      <c r="W2490" s="1757" t="str">
        <f>IF(W2437,IF(K2487=TRUE,W2482,V2490),"")</f>
        <v/>
      </c>
      <c r="X2490" s="1757" t="str">
        <f>IF(X2437,IF(L2487=TRUE,X2482,W2490),"")</f>
        <v/>
      </c>
      <c r="Y2490" s="1757" t="str">
        <f>IF(Y2437,IF(M2487=TRUE,Y2482,X2490),"")</f>
        <v/>
      </c>
      <c r="Z2490" s="1758" t="str">
        <f>IF(Z2437,IF(N2487=TRUE,Z2482,Y2490),"")</f>
        <v/>
      </c>
      <c r="AA2490" s="2"/>
      <c r="AB2490" s="2"/>
      <c r="AC2490" s="2"/>
      <c r="AD2490" s="2"/>
      <c r="AE2490" s="2"/>
      <c r="AF2490" s="2"/>
      <c r="AG2490" s="2"/>
      <c r="AH2490" s="2"/>
      <c r="AI2490" s="2"/>
      <c r="AJ2490" s="553" t="s">
        <v>2242</v>
      </c>
      <c r="AK2490" s="108" t="str">
        <f>IF(OR(ISERROR(J2490),ISERROR(K2490),ISERROR(L2490),ISERROR(M2490),ISERROR(N2490)),EUconst_Error &amp; "BM" &amp; Q2429,"")</f>
        <v/>
      </c>
      <c r="AL2490" s="343"/>
    </row>
    <row r="2491" spans="1:38" ht="5.15" customHeight="1" thickBot="1" x14ac:dyDescent="0.3">
      <c r="A2491" s="2"/>
      <c r="B2491" s="178"/>
      <c r="C2491" s="178"/>
      <c r="D2491" s="1269"/>
      <c r="E2491" s="1270"/>
      <c r="F2491" s="1270"/>
      <c r="G2491" s="1270"/>
      <c r="H2491" s="1270"/>
      <c r="I2491" s="1270"/>
      <c r="J2491" s="1270"/>
      <c r="K2491" s="1270"/>
      <c r="L2491" s="1270"/>
      <c r="M2491" s="1272"/>
      <c r="N2491" s="1273"/>
      <c r="O2491" s="15"/>
      <c r="P2491" s="15"/>
      <c r="Q2491" s="343"/>
      <c r="R2491" s="2"/>
      <c r="S2491" s="2"/>
      <c r="T2491" s="2"/>
      <c r="U2491" s="2"/>
      <c r="V2491" s="2"/>
      <c r="W2491" s="2"/>
      <c r="X2491" s="2"/>
      <c r="Y2491" s="2"/>
      <c r="Z2491" s="2"/>
      <c r="AA2491" s="2"/>
      <c r="AB2491" s="2"/>
      <c r="AC2491" s="2"/>
      <c r="AD2491" s="2"/>
      <c r="AE2491" s="2"/>
      <c r="AF2491" s="2"/>
      <c r="AG2491" s="2"/>
      <c r="AH2491" s="2"/>
      <c r="AI2491" s="2"/>
      <c r="AJ2491" s="2"/>
      <c r="AK2491" s="2"/>
      <c r="AL2491" s="2"/>
    </row>
    <row r="2492" spans="1:38" ht="5.15" customHeight="1" x14ac:dyDescent="0.25">
      <c r="A2492" s="2"/>
      <c r="B2492" s="178"/>
      <c r="C2492" s="178"/>
      <c r="D2492" s="178"/>
      <c r="E2492" s="178"/>
      <c r="F2492" s="178"/>
      <c r="G2492" s="178"/>
      <c r="H2492" s="178"/>
      <c r="I2492" s="178"/>
      <c r="J2492" s="178"/>
      <c r="K2492" s="178"/>
      <c r="L2492" s="178"/>
      <c r="M2492" s="15"/>
      <c r="N2492" s="15"/>
      <c r="O2492" s="15"/>
      <c r="P2492" s="15"/>
      <c r="Q2492" s="343"/>
      <c r="R2492" s="2"/>
      <c r="S2492" s="2"/>
      <c r="T2492" s="2"/>
      <c r="U2492" s="2"/>
      <c r="V2492" s="2"/>
      <c r="W2492" s="2"/>
      <c r="X2492" s="2"/>
      <c r="Y2492" s="2"/>
      <c r="Z2492" s="2"/>
      <c r="AA2492" s="2"/>
      <c r="AB2492" s="2"/>
      <c r="AC2492" s="2"/>
      <c r="AD2492" s="2"/>
      <c r="AE2492" s="2"/>
      <c r="AF2492" s="2"/>
      <c r="AG2492" s="2"/>
      <c r="AH2492" s="2"/>
      <c r="AI2492" s="2"/>
      <c r="AJ2492" s="2"/>
      <c r="AK2492" s="2"/>
      <c r="AL2492" s="2"/>
    </row>
    <row r="2493" spans="1:38" ht="12.75" customHeight="1" x14ac:dyDescent="0.25">
      <c r="A2493" s="2"/>
      <c r="B2493" s="178"/>
      <c r="C2493" s="178"/>
      <c r="D2493" s="13" t="s">
        <v>960</v>
      </c>
      <c r="E2493" s="1943" t="str">
        <f>Translations!$B$533</f>
        <v>Värme som importeras från anläggningar eller enheter utanför ETS:</v>
      </c>
      <c r="F2493" s="1943"/>
      <c r="G2493" s="1943"/>
      <c r="H2493" s="1943"/>
      <c r="I2493" s="2067"/>
      <c r="J2493" s="2652" t="str">
        <f>IF(I2429="","",HYPERLINK(R2493,EUconst_MsgGoOnIfNotRelevant))</f>
        <v/>
      </c>
      <c r="K2493" s="2653"/>
      <c r="L2493" s="2653"/>
      <c r="M2493" s="2653"/>
      <c r="N2493" s="2654"/>
      <c r="O2493" s="15"/>
      <c r="P2493" s="15"/>
      <c r="Q2493" s="2" t="s">
        <v>484</v>
      </c>
      <c r="R2493" s="294" t="str">
        <f>"#"&amp;ADDRESS(ROW(D2518),COLUMN(D2518))</f>
        <v>#$D$2518</v>
      </c>
      <c r="S2493" s="2"/>
      <c r="T2493" s="2"/>
      <c r="U2493" s="2"/>
      <c r="V2493" s="2"/>
      <c r="W2493" s="2"/>
      <c r="X2493" s="2"/>
      <c r="Y2493" s="2"/>
      <c r="Z2493" s="2"/>
      <c r="AA2493" s="2"/>
      <c r="AB2493" s="2"/>
      <c r="AC2493" s="2"/>
      <c r="AD2493" s="2"/>
      <c r="AE2493" s="2"/>
      <c r="AF2493" s="2"/>
      <c r="AG2493" s="2"/>
      <c r="AH2493" s="2"/>
      <c r="AI2493" s="2"/>
      <c r="AJ2493" s="2"/>
      <c r="AK2493" s="2"/>
      <c r="AL2493" s="2"/>
    </row>
    <row r="2494" spans="1:38" ht="12.75" customHeight="1" x14ac:dyDescent="0.25">
      <c r="A2494" s="2"/>
      <c r="B2494" s="178"/>
      <c r="C2494" s="178"/>
      <c r="D2494" s="15"/>
      <c r="E2494" s="2061" t="str">
        <f>Translations!$B$534</f>
        <v>Enligt artikel 21 i FAR måste en utsläppsmängd dras av från det preliminära årsantalet utsläppsrätter från delanläggningar med produktriktmärke.</v>
      </c>
      <c r="F2494" s="1963"/>
      <c r="G2494" s="1963"/>
      <c r="H2494" s="1963"/>
      <c r="I2494" s="1963"/>
      <c r="J2494" s="1963"/>
      <c r="K2494" s="1963"/>
      <c r="L2494" s="1963"/>
      <c r="M2494" s="1963"/>
      <c r="N2494" s="1963"/>
      <c r="O2494" s="15"/>
      <c r="P2494" s="15"/>
      <c r="Q2494" s="343"/>
      <c r="R2494" s="2"/>
      <c r="S2494" s="2"/>
      <c r="T2494" s="2"/>
      <c r="U2494" s="343"/>
      <c r="V2494" s="343"/>
      <c r="W2494" s="2"/>
      <c r="X2494" s="2"/>
      <c r="Y2494" s="2"/>
      <c r="Z2494" s="2"/>
      <c r="AA2494" s="2"/>
      <c r="AB2494" s="2"/>
      <c r="AC2494" s="2"/>
      <c r="AD2494" s="2"/>
      <c r="AE2494" s="2"/>
      <c r="AF2494" s="2"/>
      <c r="AG2494" s="2"/>
      <c r="AH2494" s="2"/>
      <c r="AI2494" s="2"/>
      <c r="AJ2494" s="2"/>
      <c r="AK2494" s="2"/>
      <c r="AL2494" s="2"/>
    </row>
    <row r="2495" spans="1:38" ht="12.75" customHeight="1" x14ac:dyDescent="0.25">
      <c r="A2495" s="2"/>
      <c r="B2495" s="178"/>
      <c r="C2495" s="178"/>
      <c r="D2495" s="15"/>
      <c r="E2495" s="2061" t="str">
        <f>Translations!$B$535</f>
        <v>Detta är mängden mätbar värme som importeras från anläggningar utanför ETS (inklusive eventuell värme från delanläggningar för salpetersyra) eller enheter multiplicerat med värmeriktmärket.</v>
      </c>
      <c r="F2495" s="1963"/>
      <c r="G2495" s="1963"/>
      <c r="H2495" s="1963"/>
      <c r="I2495" s="1963"/>
      <c r="J2495" s="1963"/>
      <c r="K2495" s="1963"/>
      <c r="L2495" s="1963"/>
      <c r="M2495" s="1963"/>
      <c r="N2495" s="1963"/>
      <c r="O2495" s="15"/>
      <c r="P2495" s="15"/>
      <c r="Q2495" s="343"/>
      <c r="R2495" s="2"/>
      <c r="S2495" s="2"/>
      <c r="T2495" s="2"/>
      <c r="U2495" s="343"/>
      <c r="V2495" s="343"/>
      <c r="W2495" s="2"/>
      <c r="X2495" s="2"/>
      <c r="Y2495" s="2"/>
      <c r="Z2495" s="2"/>
      <c r="AA2495" s="2"/>
      <c r="AB2495" s="2"/>
      <c r="AC2495" s="2"/>
      <c r="AD2495" s="2"/>
      <c r="AE2495" s="2"/>
      <c r="AF2495" s="2"/>
      <c r="AG2495" s="2"/>
      <c r="AH2495" s="2"/>
      <c r="AI2495" s="2"/>
      <c r="AJ2495" s="2"/>
      <c r="AK2495" s="2"/>
      <c r="AL2495" s="2"/>
    </row>
    <row r="2496" spans="1:38" ht="12.75" customHeight="1" x14ac:dyDescent="0.25">
      <c r="A2496" s="2"/>
      <c r="B2496" s="178"/>
      <c r="C2496" s="178"/>
      <c r="D2496" s="15"/>
      <c r="E2496" s="2061" t="str">
        <f>Translations!$B$536</f>
        <v>Var god ange relevanta värden här. Notera att värdena måste överensstämma med delsummorna för import från anläggningar och enheter utanför ETS enligt punkt E.II.c i bladet ”E_Energy flows”.</v>
      </c>
      <c r="F2496" s="1963"/>
      <c r="G2496" s="1963"/>
      <c r="H2496" s="1963"/>
      <c r="I2496" s="1963"/>
      <c r="J2496" s="1963"/>
      <c r="K2496" s="1963"/>
      <c r="L2496" s="1963"/>
      <c r="M2496" s="1963"/>
      <c r="N2496" s="1963"/>
      <c r="O2496" s="15"/>
      <c r="P2496" s="15"/>
      <c r="Q2496" s="343"/>
      <c r="R2496" s="2"/>
      <c r="S2496" s="2"/>
      <c r="T2496" s="2"/>
      <c r="U2496" s="343"/>
      <c r="V2496" s="343"/>
      <c r="W2496" s="2"/>
      <c r="X2496" s="2"/>
      <c r="Y2496" s="2"/>
      <c r="Z2496" s="2"/>
      <c r="AA2496" s="2"/>
      <c r="AB2496" s="2"/>
      <c r="AC2496" s="2"/>
      <c r="AD2496" s="2"/>
      <c r="AE2496" s="2"/>
      <c r="AF2496" s="2"/>
      <c r="AG2496" s="2"/>
      <c r="AH2496" s="2"/>
      <c r="AI2496" s="2"/>
      <c r="AJ2496" s="2"/>
      <c r="AK2496" s="2"/>
      <c r="AL2496" s="2"/>
    </row>
    <row r="2497" spans="1:38" ht="12.75" customHeight="1" x14ac:dyDescent="0.25">
      <c r="A2497" s="2"/>
      <c r="B2497" s="178"/>
      <c r="C2497" s="178"/>
      <c r="D2497" s="15"/>
      <c r="E2497" s="2061" t="str">
        <f>Translations!$B$537</f>
        <v>Uppgifterna måste också överensstämma med den totala mätbara nettovärme som importeras, vilken anges i punkt k.i nedan.</v>
      </c>
      <c r="F2497" s="1963"/>
      <c r="G2497" s="1963"/>
      <c r="H2497" s="1963"/>
      <c r="I2497" s="1963"/>
      <c r="J2497" s="1963"/>
      <c r="K2497" s="1963"/>
      <c r="L2497" s="1963"/>
      <c r="M2497" s="1963"/>
      <c r="N2497" s="1963"/>
      <c r="O2497" s="15"/>
      <c r="P2497" s="15"/>
      <c r="Q2497" s="343"/>
      <c r="R2497" s="2"/>
      <c r="S2497" s="2"/>
      <c r="T2497" s="2"/>
      <c r="U2497" s="343"/>
      <c r="V2497" s="343"/>
      <c r="W2497" s="343"/>
      <c r="X2497" s="343"/>
      <c r="Y2497" s="343"/>
      <c r="Z2497" s="343"/>
      <c r="AA2497" s="2"/>
      <c r="AB2497" s="2"/>
      <c r="AC2497" s="2"/>
      <c r="AD2497" s="2"/>
      <c r="AE2497" s="2"/>
      <c r="AF2497" s="2"/>
      <c r="AG2497" s="2"/>
      <c r="AH2497" s="2"/>
      <c r="AI2497" s="2"/>
      <c r="AJ2497" s="2"/>
      <c r="AK2497" s="2"/>
      <c r="AL2497" s="2"/>
    </row>
    <row r="2498" spans="1:38" ht="13.5" thickBot="1" x14ac:dyDescent="0.3">
      <c r="A2498" s="2"/>
      <c r="B2498" s="19"/>
      <c r="C2498" s="19"/>
      <c r="D2498" s="13"/>
      <c r="E2498" s="914" t="str">
        <f>Translations!$B$527</f>
        <v>Parameter</v>
      </c>
      <c r="F2498" s="913"/>
      <c r="G2498" s="30" t="str">
        <f>EUconst_Unit</f>
        <v>Enhet</v>
      </c>
      <c r="H2498" s="320">
        <f>H$3042</f>
        <v>2019</v>
      </c>
      <c r="I2498" s="342">
        <f>I$3042</f>
        <v>2020</v>
      </c>
      <c r="J2498" s="987">
        <f>J$112</f>
        <v>2021</v>
      </c>
      <c r="K2498" s="320">
        <f>K$112</f>
        <v>2022</v>
      </c>
      <c r="L2498" s="320">
        <f>L$112</f>
        <v>2023</v>
      </c>
      <c r="M2498" s="320">
        <f>M$112</f>
        <v>2024</v>
      </c>
      <c r="N2498" s="320">
        <f>N$112</f>
        <v>2025</v>
      </c>
      <c r="O2498" s="15"/>
      <c r="P2498" s="15"/>
      <c r="Q2498" s="2"/>
      <c r="R2498" s="40"/>
      <c r="S2498" s="553" t="s">
        <v>2072</v>
      </c>
      <c r="T2498" s="1044">
        <f t="shared" ref="T2498:Z2498" si="1122">H2498</f>
        <v>2019</v>
      </c>
      <c r="U2498" s="1044">
        <f t="shared" si="1122"/>
        <v>2020</v>
      </c>
      <c r="V2498" s="1044">
        <f t="shared" si="1122"/>
        <v>2021</v>
      </c>
      <c r="W2498" s="1044">
        <f t="shared" si="1122"/>
        <v>2022</v>
      </c>
      <c r="X2498" s="1044">
        <f t="shared" si="1122"/>
        <v>2023</v>
      </c>
      <c r="Y2498" s="1044">
        <f t="shared" si="1122"/>
        <v>2024</v>
      </c>
      <c r="Z2498" s="1044">
        <f t="shared" si="1122"/>
        <v>2025</v>
      </c>
      <c r="AA2498" s="40"/>
      <c r="AB2498" s="2"/>
      <c r="AC2498" s="1044">
        <f t="shared" ref="AC2498:AI2498" si="1123">H$20</f>
        <v>2019</v>
      </c>
      <c r="AD2498" s="1044">
        <f t="shared" si="1123"/>
        <v>2020</v>
      </c>
      <c r="AE2498" s="1044">
        <f t="shared" si="1123"/>
        <v>2021</v>
      </c>
      <c r="AF2498" s="1044">
        <f t="shared" si="1123"/>
        <v>2022</v>
      </c>
      <c r="AG2498" s="1044">
        <f t="shared" si="1123"/>
        <v>2023</v>
      </c>
      <c r="AH2498" s="1044">
        <f t="shared" si="1123"/>
        <v>2024</v>
      </c>
      <c r="AI2498" s="1044">
        <f t="shared" si="1123"/>
        <v>2025</v>
      </c>
      <c r="AJ2498" s="2"/>
      <c r="AK2498" s="2"/>
      <c r="AL2498" s="2"/>
    </row>
    <row r="2499" spans="1:38" ht="13" customHeight="1" thickBot="1" x14ac:dyDescent="0.3">
      <c r="A2499" s="2"/>
      <c r="B2499" s="19"/>
      <c r="C2499" s="19"/>
      <c r="D2499" s="175" t="s">
        <v>8</v>
      </c>
      <c r="E2499" s="915" t="str">
        <f>Translations!$B$538</f>
        <v>Mätbar värme som importeras från anläggningar utanför ETS:</v>
      </c>
      <c r="F2499" s="915"/>
      <c r="G2499" s="43" t="str">
        <f>EUconst_TJpa</f>
        <v>TJ / år</v>
      </c>
      <c r="H2499" s="260"/>
      <c r="I2499" s="670"/>
      <c r="J2499" s="671"/>
      <c r="K2499" s="260"/>
      <c r="L2499" s="260"/>
      <c r="M2499" s="260"/>
      <c r="N2499" s="260"/>
      <c r="O2499" s="15"/>
      <c r="P2499" s="1362"/>
      <c r="Q2499" s="108" t="str">
        <f>EUconst_CNTR_HAL&amp;EUconst_CNTR_nonETSMeasHeat</f>
        <v>HAL_mätbar värme utanför ETS</v>
      </c>
      <c r="R2499" s="2"/>
      <c r="S2499" s="553"/>
      <c r="T2499" s="1551" t="str">
        <f t="shared" ref="T2499:Z2499" si="1124">IF(H2499="","",SUM(H2499)*EUconst_HeatBMvalue)</f>
        <v/>
      </c>
      <c r="U2499" s="1551" t="str">
        <f t="shared" si="1124"/>
        <v/>
      </c>
      <c r="V2499" s="1551" t="str">
        <f t="shared" si="1124"/>
        <v/>
      </c>
      <c r="W2499" s="1551" t="str">
        <f t="shared" si="1124"/>
        <v/>
      </c>
      <c r="X2499" s="1551" t="str">
        <f t="shared" si="1124"/>
        <v/>
      </c>
      <c r="Y2499" s="1551" t="str">
        <f t="shared" si="1124"/>
        <v/>
      </c>
      <c r="Z2499" s="1551" t="str">
        <f t="shared" si="1124"/>
        <v/>
      </c>
      <c r="AA2499" s="2"/>
      <c r="AB2499" s="672" t="s">
        <v>782</v>
      </c>
      <c r="AC2499" s="1755" t="b">
        <f t="shared" ref="AC2499:AI2499" si="1125">IF(CNTR_ExistSubInstEntries,OR($I2429="",H2436&gt;=CNTR_ReportingYear,AC2498&lt;$V2429-1),FALSE)</f>
        <v>0</v>
      </c>
      <c r="AD2499" s="1042" t="b">
        <f t="shared" si="1125"/>
        <v>0</v>
      </c>
      <c r="AE2499" s="1042" t="b">
        <f t="shared" si="1125"/>
        <v>0</v>
      </c>
      <c r="AF2499" s="1042" t="b">
        <f t="shared" si="1125"/>
        <v>0</v>
      </c>
      <c r="AG2499" s="1042" t="b">
        <f t="shared" si="1125"/>
        <v>0</v>
      </c>
      <c r="AH2499" s="1042" t="b">
        <f t="shared" si="1125"/>
        <v>0</v>
      </c>
      <c r="AI2499" s="1043" t="b">
        <f t="shared" si="1125"/>
        <v>0</v>
      </c>
      <c r="AJ2499" s="553" t="s">
        <v>2248</v>
      </c>
      <c r="AK2499" s="663" t="str">
        <f>IF(AND(CNTR_ExistSubInstEntries,COUNTIFS(AC2499:AI2499,FALSE,H2499:N2499,"")&gt;0),EUconst_Error&amp;"BM"&amp;$Q2429,"")</f>
        <v/>
      </c>
      <c r="AL2499" s="2"/>
    </row>
    <row r="2500" spans="1:38" ht="25.5" customHeight="1" x14ac:dyDescent="0.25">
      <c r="A2500" s="2"/>
      <c r="B2500" s="19"/>
      <c r="C2500" s="19"/>
      <c r="D2500" s="175" t="s">
        <v>9</v>
      </c>
      <c r="E2500" s="916" t="str">
        <f>Translations!$B$539</f>
        <v>Konsekvenskontroll mot blad ”E_Energy flows”:</v>
      </c>
      <c r="F2500" s="916"/>
      <c r="G2500" s="549" t="s">
        <v>1113</v>
      </c>
      <c r="H2500" s="247" t="str">
        <f>IF(AND(ISNUMBER(H2499),ISNUMBER(E_EnergyFlows!H$114)), H2499/E_EnergyFlows!H$114*100,"")</f>
        <v/>
      </c>
      <c r="I2500" s="1015" t="str">
        <f>IF(AND(ISNUMBER(I2499),ISNUMBER(E_EnergyFlows!I$114)), I2499/E_EnergyFlows!I$114*100,"")</f>
        <v/>
      </c>
      <c r="J2500" s="1017" t="str">
        <f>IF(AND(ISNUMBER(J2499),ISNUMBER(E_EnergyFlows!J$114)), J2499/E_EnergyFlows!J$114*100,"")</f>
        <v/>
      </c>
      <c r="K2500" s="247" t="str">
        <f>IF(AND(ISNUMBER(K2499),ISNUMBER(E_EnergyFlows!K$114)), K2499/E_EnergyFlows!K$114*100,"")</f>
        <v/>
      </c>
      <c r="L2500" s="247" t="str">
        <f>IF(AND(ISNUMBER(L2499),ISNUMBER(E_EnergyFlows!L$114)), L2499/E_EnergyFlows!L$114*100,"")</f>
        <v/>
      </c>
      <c r="M2500" s="247" t="str">
        <f>IF(AND(ISNUMBER(M2499),ISNUMBER(E_EnergyFlows!M$114)), M2499/E_EnergyFlows!M$114*100,"")</f>
        <v/>
      </c>
      <c r="N2500" s="247" t="str">
        <f>IF(AND(ISNUMBER(N2499),ISNUMBER(E_EnergyFlows!N$114)), N2499/E_EnergyFlows!N$114*100,"")</f>
        <v/>
      </c>
      <c r="O2500" s="15"/>
      <c r="P2500" s="15"/>
      <c r="Q2500" s="152" t="str">
        <f>EUconst_CNTR_HEAT &amp; I2429</f>
        <v>HEAT_</v>
      </c>
      <c r="R2500" s="343"/>
      <c r="S2500" s="2"/>
      <c r="T2500" s="2"/>
      <c r="U2500" s="343"/>
      <c r="V2500" s="343"/>
      <c r="W2500" s="2"/>
      <c r="X2500" s="2"/>
      <c r="Y2500" s="2"/>
      <c r="Z2500" s="2"/>
      <c r="AA2500" s="2"/>
      <c r="AB2500" s="2"/>
      <c r="AC2500" s="2"/>
      <c r="AD2500" s="2"/>
      <c r="AE2500" s="2"/>
      <c r="AF2500" s="2"/>
      <c r="AG2500" s="2"/>
      <c r="AH2500" s="2"/>
      <c r="AI2500" s="2"/>
      <c r="AJ2500" s="2"/>
      <c r="AK2500" s="2"/>
      <c r="AL2500" s="2"/>
    </row>
    <row r="2501" spans="1:38" ht="12.65" customHeight="1" x14ac:dyDescent="0.25">
      <c r="A2501" s="2"/>
      <c r="B2501" s="19"/>
      <c r="C2501" s="19"/>
      <c r="D2501" s="175" t="s">
        <v>10</v>
      </c>
      <c r="E2501" s="1783" t="str">
        <f>Translations!$B$540</f>
        <v>Konsekvenskontroll mot punkt k.i:</v>
      </c>
      <c r="F2501" s="1035"/>
      <c r="G2501" s="919" t="s">
        <v>1113</v>
      </c>
      <c r="H2501" s="246" t="str">
        <f t="shared" ref="H2501:N2501" si="1126">IF(AND(H2622&gt;0,ISNUMBER(H2499)), H2499/H2622*100,"")</f>
        <v/>
      </c>
      <c r="I2501" s="1016" t="str">
        <f t="shared" si="1126"/>
        <v/>
      </c>
      <c r="J2501" s="1018" t="str">
        <f t="shared" si="1126"/>
        <v/>
      </c>
      <c r="K2501" s="246" t="str">
        <f t="shared" si="1126"/>
        <v/>
      </c>
      <c r="L2501" s="246" t="str">
        <f t="shared" si="1126"/>
        <v/>
      </c>
      <c r="M2501" s="246" t="str">
        <f t="shared" si="1126"/>
        <v/>
      </c>
      <c r="N2501" s="246" t="str">
        <f t="shared" si="1126"/>
        <v/>
      </c>
      <c r="O2501" s="15"/>
      <c r="P2501" s="15"/>
      <c r="Q2501" s="2"/>
      <c r="R2501" s="2"/>
      <c r="S2501" s="2"/>
      <c r="T2501" s="2"/>
      <c r="U2501" s="343"/>
      <c r="V2501" s="343"/>
      <c r="W2501" s="2"/>
      <c r="X2501" s="2"/>
      <c r="Y2501" s="2"/>
      <c r="Z2501" s="2"/>
      <c r="AA2501" s="2"/>
      <c r="AB2501" s="2"/>
      <c r="AC2501" s="2"/>
      <c r="AD2501" s="2"/>
      <c r="AE2501" s="2"/>
      <c r="AF2501" s="2"/>
      <c r="AG2501" s="2"/>
      <c r="AH2501" s="2"/>
      <c r="AI2501" s="2"/>
      <c r="AJ2501" s="2"/>
      <c r="AK2501" s="2"/>
      <c r="AL2501" s="2"/>
    </row>
    <row r="2502" spans="1:38" ht="5.15" customHeight="1" x14ac:dyDescent="0.25">
      <c r="A2502" s="2"/>
      <c r="B2502" s="19"/>
      <c r="C2502" s="19"/>
      <c r="D2502" s="19"/>
      <c r="E2502" s="19"/>
      <c r="F2502" s="19"/>
      <c r="G2502" s="19"/>
      <c r="H2502" s="19"/>
      <c r="I2502" s="99"/>
      <c r="J2502" s="19"/>
      <c r="K2502" s="19"/>
      <c r="L2502" s="19"/>
      <c r="M2502" s="19"/>
      <c r="N2502" s="19"/>
      <c r="O2502" s="15"/>
      <c r="P2502" s="15"/>
      <c r="Q2502" s="130"/>
      <c r="R2502" s="2"/>
      <c r="S2502" s="2"/>
      <c r="T2502" s="2"/>
      <c r="U2502" s="343"/>
      <c r="V2502" s="343"/>
      <c r="W2502" s="2"/>
      <c r="X2502" s="2"/>
      <c r="Y2502" s="2"/>
      <c r="Z2502" s="2"/>
      <c r="AA2502" s="2"/>
      <c r="AB2502" s="2"/>
      <c r="AC2502" s="2"/>
      <c r="AD2502" s="2"/>
      <c r="AE2502" s="2"/>
      <c r="AF2502" s="2"/>
      <c r="AG2502" s="2"/>
      <c r="AH2502" s="2"/>
      <c r="AI2502" s="2"/>
      <c r="AJ2502" s="2"/>
      <c r="AK2502" s="2"/>
      <c r="AL2502" s="2"/>
    </row>
    <row r="2503" spans="1:38" ht="25.5" customHeight="1" thickBot="1" x14ac:dyDescent="0.3">
      <c r="A2503" s="2"/>
      <c r="B2503" s="178"/>
      <c r="C2503" s="178"/>
      <c r="D2503" s="15"/>
      <c r="E2503" s="2061" t="str">
        <f>Translations!$B$1479</f>
        <v>Baserat på uppgifterna ovan bestäms ett genomsnittligt årligt värde. Tilldelningen kommer endast att ändras om det relativa tröskelvärdet (15 % jämfört med värdet från de nationella genomförandeåtgärderna) och det absoluta tröskelvärdet (ändring leder till mer än 100 utsläppsrätter) överskrids, enligt artikel 6.4 i verksamhetsändringsförordningen.</v>
      </c>
      <c r="F2503" s="1963"/>
      <c r="G2503" s="1963"/>
      <c r="H2503" s="1963"/>
      <c r="I2503" s="1963"/>
      <c r="J2503" s="1963"/>
      <c r="K2503" s="1963"/>
      <c r="L2503" s="1963"/>
      <c r="M2503" s="1963"/>
      <c r="N2503" s="1963"/>
      <c r="O2503" s="15"/>
      <c r="P2503" s="15"/>
      <c r="Q2503" s="343"/>
      <c r="R2503" s="2"/>
      <c r="S2503" s="343"/>
      <c r="T2503" s="343"/>
      <c r="U2503" s="343"/>
      <c r="V2503" s="2"/>
      <c r="W2503" s="2"/>
      <c r="X2503" s="2"/>
      <c r="Y2503" s="2"/>
      <c r="Z2503" s="2"/>
      <c r="AA2503" s="2"/>
      <c r="AB2503" s="2"/>
      <c r="AC2503" s="2"/>
      <c r="AD2503" s="2"/>
      <c r="AE2503" s="2"/>
      <c r="AF2503" s="2"/>
      <c r="AG2503" s="2"/>
      <c r="AH2503" s="2"/>
      <c r="AI2503" s="2"/>
      <c r="AJ2503" s="2"/>
      <c r="AK2503" s="2"/>
      <c r="AL2503" s="2"/>
    </row>
    <row r="2504" spans="1:38" ht="5.15" customHeight="1" thickBot="1" x14ac:dyDescent="0.3">
      <c r="A2504" s="2"/>
      <c r="B2504" s="178"/>
      <c r="C2504" s="178"/>
      <c r="D2504" s="1238"/>
      <c r="E2504" s="1239"/>
      <c r="F2504" s="1240"/>
      <c r="G2504" s="1240"/>
      <c r="H2504" s="1240"/>
      <c r="I2504" s="1240"/>
      <c r="J2504" s="1240"/>
      <c r="K2504" s="1240"/>
      <c r="L2504" s="1240"/>
      <c r="M2504" s="1240"/>
      <c r="N2504" s="1241"/>
      <c r="O2504" s="15"/>
      <c r="P2504" s="15"/>
      <c r="Q2504" s="343"/>
      <c r="R2504" s="2"/>
      <c r="S2504" s="343"/>
      <c r="T2504" s="343"/>
      <c r="U2504" s="343"/>
      <c r="V2504" s="2"/>
      <c r="W2504" s="2"/>
      <c r="X2504" s="2"/>
      <c r="Y2504" s="2"/>
      <c r="Z2504" s="2"/>
      <c r="AA2504" s="2"/>
      <c r="AB2504" s="2"/>
      <c r="AC2504" s="2"/>
      <c r="AD2504" s="2"/>
      <c r="AE2504" s="2"/>
      <c r="AF2504" s="2"/>
      <c r="AG2504" s="2"/>
      <c r="AH2504" s="2"/>
      <c r="AI2504" s="2"/>
      <c r="AJ2504" s="2"/>
      <c r="AK2504" s="2"/>
      <c r="AL2504" s="2"/>
    </row>
    <row r="2505" spans="1:38" ht="12.75" customHeight="1" x14ac:dyDescent="0.25">
      <c r="A2505" s="2"/>
      <c r="B2505" s="178"/>
      <c r="C2505" s="178"/>
      <c r="D2505" s="1290" t="s">
        <v>2192</v>
      </c>
      <c r="E2505" s="1243" t="str">
        <f>Translations!$B$1483</f>
        <v>Justeringar: Värme från icke-ETS</v>
      </c>
      <c r="F2505" s="1244"/>
      <c r="G2505" s="1244"/>
      <c r="H2505" s="1228" t="str">
        <f>EUconst_Unit</f>
        <v>Enhet</v>
      </c>
      <c r="I2505" s="1229" t="str">
        <f>Translations!$B$1481</f>
        <v>Värde (NIMs)</v>
      </c>
      <c r="J2505" s="1268">
        <f>J$3042</f>
        <v>2021</v>
      </c>
      <c r="K2505" s="1230">
        <f>K$3042</f>
        <v>2022</v>
      </c>
      <c r="L2505" s="1230">
        <f>L$3042</f>
        <v>2023</v>
      </c>
      <c r="M2505" s="1230">
        <f>M$3042</f>
        <v>2024</v>
      </c>
      <c r="N2505" s="1258">
        <f>N$3042</f>
        <v>2025</v>
      </c>
      <c r="O2505" s="15"/>
      <c r="P2505" s="15"/>
      <c r="Q2505" s="343"/>
      <c r="R2505" s="2"/>
      <c r="S2505" s="2"/>
      <c r="T2505" s="2"/>
      <c r="U2505" s="772"/>
      <c r="V2505" s="1077">
        <f>J2505</f>
        <v>2021</v>
      </c>
      <c r="W2505" s="1077">
        <f>K2505</f>
        <v>2022</v>
      </c>
      <c r="X2505" s="1077">
        <f>L2505</f>
        <v>2023</v>
      </c>
      <c r="Y2505" s="1077">
        <f>M2505</f>
        <v>2024</v>
      </c>
      <c r="Z2505" s="1078">
        <f>N2505</f>
        <v>2025</v>
      </c>
      <c r="AA2505" s="2"/>
      <c r="AB2505" s="2"/>
      <c r="AC2505" s="2"/>
      <c r="AD2505" s="2"/>
      <c r="AE2505" s="2"/>
      <c r="AF2505" s="2"/>
      <c r="AG2505" s="2"/>
      <c r="AH2505" s="2"/>
      <c r="AI2505" s="2"/>
      <c r="AJ2505" s="2"/>
      <c r="AK2505" s="2"/>
      <c r="AL2505" s="2"/>
    </row>
    <row r="2506" spans="1:38" ht="12.75" customHeight="1" x14ac:dyDescent="0.25">
      <c r="A2506" s="2"/>
      <c r="B2506" s="178"/>
      <c r="C2506" s="178"/>
      <c r="D2506" s="1246" t="s">
        <v>8</v>
      </c>
      <c r="E2506" s="1231" t="str">
        <f>Translations!$B$1482</f>
        <v>Genomsnittligt årligt värde</v>
      </c>
      <c r="F2506" s="1231"/>
      <c r="G2506" s="1231"/>
      <c r="H2506" s="1232" t="str">
        <f>EUconst_tCO2</f>
        <v>t CO2</v>
      </c>
      <c r="I2506" s="990" t="str">
        <f>INDEX('B+C_SubInstallations'!$J:$J,MATCH(Q2506,'B+C_SubInstallations'!$U:$U,0))</f>
        <v/>
      </c>
      <c r="J2506" s="1215" t="str">
        <f>IF(AND(V2506&gt;=3,CNTR_ReportingYear&gt;J2505-1),AVERAGE(SUM(T2499),SUM(U2499)),"")</f>
        <v/>
      </c>
      <c r="K2506" s="1216" t="str">
        <f>IF(AND(W2506&gt;=3,CNTR_ReportingYear&gt;K2505-1),AVERAGE(SUM(U2499),SUM(V2499)),"")</f>
        <v/>
      </c>
      <c r="L2506" s="1216" t="str">
        <f>IF(AND(X2506&gt;=3,CNTR_ReportingYear&gt;L2505-1),AVERAGE(SUM(V2499),SUM(W2499)),"")</f>
        <v/>
      </c>
      <c r="M2506" s="1216" t="str">
        <f>IF(AND(Y2506&gt;=3,CNTR_ReportingYear&gt;M2505-1),AVERAGE(SUM(W2499),SUM(X2499)),"")</f>
        <v/>
      </c>
      <c r="N2506" s="1227" t="str">
        <f>IF(AND(Z2506&gt;=3,CNTR_ReportingYear&gt;N2505-1),AVERAGE(SUM(X2499),SUM(Y2499)),"")</f>
        <v/>
      </c>
      <c r="O2506" s="15"/>
      <c r="P2506" s="15"/>
      <c r="Q2506" s="1217" t="str">
        <f>EUconst_CNTR_HEATInitial &amp; I2429</f>
        <v>HEATIni_</v>
      </c>
      <c r="R2506" s="2"/>
      <c r="S2506" s="2"/>
      <c r="T2506" s="2"/>
      <c r="U2506" s="1086" t="s">
        <v>1850</v>
      </c>
      <c r="V2506" s="663">
        <f>V2451</f>
        <v>0</v>
      </c>
      <c r="W2506" s="663">
        <f>W2451</f>
        <v>0</v>
      </c>
      <c r="X2506" s="663">
        <f>X2451</f>
        <v>0</v>
      </c>
      <c r="Y2506" s="663">
        <f>Y2451</f>
        <v>0</v>
      </c>
      <c r="Z2506" s="1080">
        <f>Z2451</f>
        <v>0</v>
      </c>
      <c r="AA2506" s="2"/>
      <c r="AB2506" s="2"/>
      <c r="AC2506" s="2"/>
      <c r="AD2506" s="2"/>
      <c r="AE2506" s="2"/>
      <c r="AF2506" s="2"/>
      <c r="AG2506" s="2"/>
      <c r="AH2506" s="2"/>
      <c r="AI2506" s="2"/>
      <c r="AJ2506" s="2"/>
      <c r="AK2506" s="2"/>
      <c r="AL2506" s="2"/>
    </row>
    <row r="2507" spans="1:38" ht="12.75" hidden="1" customHeight="1" x14ac:dyDescent="0.25">
      <c r="A2507" s="343" t="s">
        <v>346</v>
      </c>
      <c r="B2507" s="178"/>
      <c r="C2507" s="178"/>
      <c r="D2507" s="1246"/>
      <c r="E2507" s="1231" t="s">
        <v>1980</v>
      </c>
      <c r="F2507" s="1231"/>
      <c r="G2507" s="1231"/>
      <c r="H2507" s="1233"/>
      <c r="I2507" s="1235"/>
      <c r="J2507" s="1013" t="str">
        <f>IF(J2506="","",IF($I2509=0,IF(J2506=0,0%,100%),J2506/$I2509-1))</f>
        <v/>
      </c>
      <c r="K2507" s="938" t="str">
        <f>IF(K2506="","",IF($I2509=0,IF(K2506=0,0%,100%),K2506/$I2509-1))</f>
        <v/>
      </c>
      <c r="L2507" s="938" t="str">
        <f>IF(L2506="","",IF($I2509=0,IF(L2506=0,0%,100%),L2506/$I2509-1))</f>
        <v/>
      </c>
      <c r="M2507" s="938" t="str">
        <f>IF(M2506="","",IF($I2509=0,IF(M2506=0,0%,100%),M2506/$I2509-1))</f>
        <v/>
      </c>
      <c r="N2507" s="1223" t="str">
        <f>IF(N2506="","",IF($I2509=0,IF(N2506=0,0%,100%),N2506/$I2509-1))</f>
        <v/>
      </c>
      <c r="O2507" s="15"/>
      <c r="P2507" s="15"/>
      <c r="Q2507" s="165" t="str">
        <f>EUconst_CNTR_RelThreshold &amp; Q2509</f>
        <v>RelThresh_HEATprelim_</v>
      </c>
      <c r="R2507" s="2"/>
      <c r="S2507" s="2"/>
      <c r="T2507" s="2"/>
      <c r="U2507" s="1086" t="s">
        <v>1855</v>
      </c>
      <c r="V2507" s="603" t="str">
        <f>IF(J2506="","",ABS(J2507)&gt;15%)</f>
        <v/>
      </c>
      <c r="W2507" s="603" t="str">
        <f>IF(K2506="","",ABS(K2507)&gt;15%)</f>
        <v/>
      </c>
      <c r="X2507" s="603" t="str">
        <f>IF(L2506="","",ABS(L2507)&gt;15%)</f>
        <v/>
      </c>
      <c r="Y2507" s="603" t="str">
        <f>IF(M2506="","",ABS(M2507)&gt;15%)</f>
        <v/>
      </c>
      <c r="Z2507" s="1756" t="str">
        <f>IF(N2506="","",ABS(N2507)&gt;15%)</f>
        <v/>
      </c>
      <c r="AA2507" s="2"/>
      <c r="AB2507" s="2"/>
      <c r="AC2507" s="2"/>
      <c r="AD2507" s="2"/>
      <c r="AE2507" s="2"/>
      <c r="AF2507" s="2"/>
      <c r="AG2507" s="2"/>
      <c r="AH2507" s="2"/>
      <c r="AI2507" s="2"/>
      <c r="AJ2507" s="2"/>
      <c r="AK2507" s="2"/>
      <c r="AL2507" s="2"/>
    </row>
    <row r="2508" spans="1:38" ht="12.75" customHeight="1" x14ac:dyDescent="0.25">
      <c r="A2508" s="343"/>
      <c r="B2508" s="178"/>
      <c r="C2508" s="178"/>
      <c r="D2508" s="1246" t="s">
        <v>9</v>
      </c>
      <c r="E2508" s="1231" t="str">
        <f>Translations!$B$1474</f>
        <v>Preliminär justering (om relativa tröskelvärden överskrids)</v>
      </c>
      <c r="F2508" s="1231"/>
      <c r="G2508" s="1231"/>
      <c r="H2508" s="1233"/>
      <c r="I2508" s="1235"/>
      <c r="J2508" s="992" t="str">
        <f>IF(J2506="","",IF(V2507=FALSE,0%,J2507))</f>
        <v/>
      </c>
      <c r="K2508" s="937" t="str">
        <f>IF(K2506="","",IF(W2507=FALSE,0%,K2507))</f>
        <v/>
      </c>
      <c r="L2508" s="937" t="str">
        <f>IF(L2506="","",IF(X2507=FALSE,0%,L2507))</f>
        <v/>
      </c>
      <c r="M2508" s="937" t="str">
        <f>IF(M2506="","",IF(Y2507=FALSE,0%,M2507))</f>
        <v/>
      </c>
      <c r="N2508" s="1220" t="str">
        <f>IF(N2506="","",IF(Z2507=FALSE,0%,N2507))</f>
        <v/>
      </c>
      <c r="O2508" s="15"/>
      <c r="P2508" s="15"/>
      <c r="Q2508" s="343"/>
      <c r="R2508" s="2"/>
      <c r="S2508" s="2"/>
      <c r="T2508" s="2"/>
      <c r="U2508" s="584"/>
      <c r="V2508" s="2"/>
      <c r="W2508" s="2"/>
      <c r="X2508" s="2"/>
      <c r="Y2508" s="2"/>
      <c r="Z2508" s="228"/>
      <c r="AA2508" s="2"/>
      <c r="AB2508" s="2"/>
      <c r="AC2508" s="2"/>
      <c r="AD2508" s="2"/>
      <c r="AE2508" s="2"/>
      <c r="AF2508" s="2"/>
      <c r="AG2508" s="2"/>
      <c r="AH2508" s="2"/>
      <c r="AI2508" s="2"/>
      <c r="AJ2508" s="2"/>
      <c r="AK2508" s="2"/>
      <c r="AL2508" s="343"/>
    </row>
    <row r="2509" spans="1:38" ht="12.75" hidden="1" customHeight="1" x14ac:dyDescent="0.25">
      <c r="A2509" s="343" t="s">
        <v>346</v>
      </c>
      <c r="B2509" s="178"/>
      <c r="C2509" s="178"/>
      <c r="D2509" s="1246"/>
      <c r="E2509" s="1231" t="s">
        <v>1889</v>
      </c>
      <c r="F2509" s="1231"/>
      <c r="G2509" s="1231"/>
      <c r="H2509" s="1232" t="str">
        <f>H2506</f>
        <v>t CO2</v>
      </c>
      <c r="I2509" s="990" t="str">
        <f>IF($I2429="","",IF(AB2429=FALSE,EUconst_NA,IF(V2429&gt;($J$3042-3),SUM(INDEX(H2499:N2499,MATCH(V2429,H2498:N2498,0))*EUconst_HeatBMvalue),SUM(I2506))))</f>
        <v/>
      </c>
      <c r="J2509" s="993" t="str">
        <f>IF($I2429="","",IF(V2506&lt;2,SUM(V2499),IF(V2506&lt;3,SUM(U2499),IF(V2509="",I2509,V2509))))</f>
        <v/>
      </c>
      <c r="K2509" s="920" t="str">
        <f>IF($I2429="","",IF(W2506&lt;2,SUM(W2499),IF(W2506&lt;3,SUM(V2499),IF(W2509="",J2509,W2509))))</f>
        <v/>
      </c>
      <c r="L2509" s="920" t="str">
        <f>IF($I2429="","",IF(X2506&lt;2,SUM(X2499),IF(X2506&lt;3,SUM(W2499),IF(X2509="",K2509,X2509))))</f>
        <v/>
      </c>
      <c r="M2509" s="920" t="str">
        <f>IF($I2429="","",IF(Y2506&lt;2,SUM(Y2499),IF(Y2506&lt;3,SUM(X2499),IF(Y2509="",L2509,Y2509))))</f>
        <v/>
      </c>
      <c r="N2509" s="1218" t="str">
        <f>IF($I2429="","",IF(Z2506&lt;2,SUM(Z2499),IF(Z2506&lt;3,SUM(Y2499),IF(Z2509="",M2509,Z2509))))</f>
        <v/>
      </c>
      <c r="O2509" s="15"/>
      <c r="P2509" s="15"/>
      <c r="Q2509" s="165" t="str">
        <f>EUconst_CNTR_HEATprelim &amp; I2429</f>
        <v>HEATprelim_</v>
      </c>
      <c r="R2509" s="2"/>
      <c r="S2509" s="2"/>
      <c r="T2509" s="2"/>
      <c r="U2509" s="1086" t="s">
        <v>1898</v>
      </c>
      <c r="V2509" s="1754" t="str">
        <f>IF(J2506="","",IF(CNTR_ReportingYear&lt;J2505,I2508,IF($I2509=0,J2506,$I2509*(1+J2508))))</f>
        <v/>
      </c>
      <c r="W2509" s="1754" t="str">
        <f>IF(K2506="","",IF(CNTR_ReportingYear&lt;K2505,J2508,IF($I2509=0,K2506,$I2509*(1+K2508))))</f>
        <v/>
      </c>
      <c r="X2509" s="1754" t="str">
        <f>IF(L2506="","",IF(CNTR_ReportingYear&lt;L2505,K2508,IF($I2509=0,L2506,$I2509*(1+L2508))))</f>
        <v/>
      </c>
      <c r="Y2509" s="1754" t="str">
        <f>IF(M2506="","",IF(CNTR_ReportingYear&lt;M2505,L2508,IF($I2509=0,M2506,$I2509*(1+M2508))))</f>
        <v/>
      </c>
      <c r="Z2509" s="1759" t="str">
        <f>IF(N2506="","",IF(CNTR_ReportingYear&lt;N2505,M2508,IF($I2509=0,N2506,$I2509*(1+N2508))))</f>
        <v/>
      </c>
      <c r="AA2509" s="2"/>
      <c r="AB2509" s="2"/>
      <c r="AC2509" s="2"/>
      <c r="AD2509" s="2"/>
      <c r="AE2509" s="2"/>
      <c r="AF2509" s="2"/>
      <c r="AG2509" s="2"/>
      <c r="AH2509" s="2"/>
      <c r="AI2509" s="2"/>
      <c r="AJ2509" s="2"/>
      <c r="AK2509" s="2"/>
      <c r="AL2509" s="343"/>
    </row>
    <row r="2510" spans="1:38" ht="5.15" customHeight="1" x14ac:dyDescent="0.25">
      <c r="A2510" s="343"/>
      <c r="B2510" s="178"/>
      <c r="C2510" s="178"/>
      <c r="D2510" s="1246"/>
      <c r="E2510" s="1244"/>
      <c r="F2510" s="1244"/>
      <c r="G2510" s="1244"/>
      <c r="H2510" s="1244"/>
      <c r="I2510" s="1244"/>
      <c r="J2510" s="1236"/>
      <c r="K2510" s="1236"/>
      <c r="L2510" s="1236"/>
      <c r="M2510" s="1236"/>
      <c r="N2510" s="1247"/>
      <c r="O2510" s="15"/>
      <c r="P2510" s="15"/>
      <c r="Q2510" s="343"/>
      <c r="R2510" s="2"/>
      <c r="S2510" s="2"/>
      <c r="T2510" s="2"/>
      <c r="U2510" s="1086"/>
      <c r="V2510" s="343"/>
      <c r="W2510" s="2"/>
      <c r="X2510" s="2"/>
      <c r="Y2510" s="2"/>
      <c r="Z2510" s="228"/>
      <c r="AA2510" s="2"/>
      <c r="AB2510" s="2"/>
      <c r="AC2510" s="2"/>
      <c r="AD2510" s="2"/>
      <c r="AE2510" s="2"/>
      <c r="AF2510" s="2"/>
      <c r="AG2510" s="2"/>
      <c r="AH2510" s="2"/>
      <c r="AI2510" s="2"/>
      <c r="AJ2510" s="2"/>
      <c r="AK2510" s="2"/>
      <c r="AL2510" s="343"/>
    </row>
    <row r="2511" spans="1:38" ht="12.75" customHeight="1" x14ac:dyDescent="0.25">
      <c r="A2511" s="343"/>
      <c r="B2511" s="178"/>
      <c r="C2511" s="178"/>
      <c r="D2511" s="1246"/>
      <c r="E2511" s="1234" t="str">
        <f>Translations!$B$1475</f>
        <v>Faktisk justering (grund för följande år)</v>
      </c>
      <c r="F2511" s="1234"/>
      <c r="G2511" s="1234"/>
      <c r="H2511" s="1234"/>
      <c r="I2511" s="1234"/>
      <c r="J2511" s="1268">
        <f>J$3042</f>
        <v>2021</v>
      </c>
      <c r="K2511" s="1230">
        <f>K$3042</f>
        <v>2022</v>
      </c>
      <c r="L2511" s="1230">
        <f>L$3042</f>
        <v>2023</v>
      </c>
      <c r="M2511" s="1230">
        <f>M$3042</f>
        <v>2024</v>
      </c>
      <c r="N2511" s="1258">
        <f>N$3042</f>
        <v>2025</v>
      </c>
      <c r="O2511" s="15"/>
      <c r="P2511" s="15"/>
      <c r="Q2511" s="343"/>
      <c r="R2511" s="2"/>
      <c r="S2511" s="2"/>
      <c r="T2511" s="2"/>
      <c r="U2511" s="584"/>
      <c r="V2511" s="2"/>
      <c r="W2511" s="2"/>
      <c r="X2511" s="2"/>
      <c r="Y2511" s="2"/>
      <c r="Z2511" s="228"/>
      <c r="AA2511" s="2"/>
      <c r="AB2511" s="2"/>
      <c r="AC2511" s="2"/>
      <c r="AD2511" s="2"/>
      <c r="AE2511" s="2"/>
      <c r="AF2511" s="2"/>
      <c r="AG2511" s="2"/>
      <c r="AH2511" s="2"/>
      <c r="AI2511" s="2"/>
      <c r="AJ2511" s="2"/>
      <c r="AK2511" s="2"/>
      <c r="AL2511" s="343"/>
    </row>
    <row r="2512" spans="1:38" ht="12.75" customHeight="1" x14ac:dyDescent="0.25">
      <c r="A2512" s="343"/>
      <c r="B2512" s="178"/>
      <c r="C2512" s="178"/>
      <c r="D2512" s="1246" t="s">
        <v>10</v>
      </c>
      <c r="E2512" s="1231" t="str">
        <f>Translations!$B$1476</f>
        <v>&gt;= 100 utsläppsrätter kriterium uppnått?</v>
      </c>
      <c r="F2512" s="1231"/>
      <c r="G2512" s="1231"/>
      <c r="H2512" s="1231"/>
      <c r="I2512" s="1231"/>
      <c r="J2512" s="994" t="str">
        <f>IF($I2429="","",INDEX(K_Summary!J:J,MATCH($Q2512,K_Summary!$P:$P,0)))</f>
        <v/>
      </c>
      <c r="K2512" s="912" t="str">
        <f>IF($I2429="","",INDEX(K_Summary!K:K,MATCH($Q2512,K_Summary!$P:$P,0)))</f>
        <v/>
      </c>
      <c r="L2512" s="912" t="str">
        <f>IF($I2429="","",INDEX(K_Summary!L:L,MATCH($Q2512,K_Summary!$P:$P,0)))</f>
        <v/>
      </c>
      <c r="M2512" s="912" t="str">
        <f>IF($I2429="","",INDEX(K_Summary!M:M,MATCH($Q2512,K_Summary!$P:$P,0)))</f>
        <v/>
      </c>
      <c r="N2512" s="1221" t="str">
        <f>IF($I2429="","",INDEX(K_Summary!N:N,MATCH($Q2512,K_Summary!$P:$P,0)))</f>
        <v/>
      </c>
      <c r="O2512" s="15"/>
      <c r="P2512" s="15"/>
      <c r="Q2512" s="165" t="str">
        <f>EUconst_CNTR_100EUA_HEAT&amp;I2429</f>
        <v>EUA100HEAT_</v>
      </c>
      <c r="R2512" s="2"/>
      <c r="S2512" s="2"/>
      <c r="T2512" s="2"/>
      <c r="U2512" s="584"/>
      <c r="V2512" s="2"/>
      <c r="W2512" s="2"/>
      <c r="X2512" s="2"/>
      <c r="Y2512" s="2"/>
      <c r="Z2512" s="228"/>
      <c r="AA2512" s="2"/>
      <c r="AB2512" s="2"/>
      <c r="AC2512" s="2"/>
      <c r="AD2512" s="2"/>
      <c r="AE2512" s="2"/>
      <c r="AF2512" s="2"/>
      <c r="AG2512" s="2"/>
      <c r="AH2512" s="2"/>
      <c r="AI2512" s="2"/>
      <c r="AJ2512" s="2"/>
      <c r="AK2512" s="2"/>
      <c r="AL2512" s="343"/>
    </row>
    <row r="2513" spans="1:38" ht="5.15" customHeight="1" thickBot="1" x14ac:dyDescent="0.3">
      <c r="A2513" s="343"/>
      <c r="B2513" s="178"/>
      <c r="C2513" s="178"/>
      <c r="D2513" s="1246"/>
      <c r="E2513" s="1244"/>
      <c r="F2513" s="1244"/>
      <c r="G2513" s="1244"/>
      <c r="H2513" s="1244"/>
      <c r="I2513" s="1244"/>
      <c r="J2513" s="1244"/>
      <c r="K2513" s="1244"/>
      <c r="L2513" s="1244"/>
      <c r="M2513" s="1244"/>
      <c r="N2513" s="1248"/>
      <c r="O2513" s="15"/>
      <c r="P2513" s="15"/>
      <c r="Q2513" s="343"/>
      <c r="R2513" s="2"/>
      <c r="S2513" s="2"/>
      <c r="T2513" s="2"/>
      <c r="U2513" s="1086"/>
      <c r="V2513" s="343"/>
      <c r="W2513" s="2"/>
      <c r="X2513" s="2"/>
      <c r="Y2513" s="2"/>
      <c r="Z2513" s="228"/>
      <c r="AA2513" s="2"/>
      <c r="AB2513" s="2"/>
      <c r="AC2513" s="2"/>
      <c r="AD2513" s="2"/>
      <c r="AE2513" s="2"/>
      <c r="AF2513" s="2"/>
      <c r="AG2513" s="2"/>
      <c r="AH2513" s="2"/>
      <c r="AI2513" s="2"/>
      <c r="AJ2513" s="2"/>
      <c r="AK2513" s="2"/>
      <c r="AL2513" s="343"/>
    </row>
    <row r="2514" spans="1:38" ht="12.75" customHeight="1" thickBot="1" x14ac:dyDescent="0.3">
      <c r="A2514" s="2"/>
      <c r="B2514" s="178"/>
      <c r="C2514" s="178"/>
      <c r="D2514" s="1246" t="s">
        <v>23</v>
      </c>
      <c r="E2514" s="1231" t="str">
        <f>Translations!$B$1477</f>
        <v>Faktisk justering (om alla tröskelvärden överskrids)</v>
      </c>
      <c r="F2514" s="1231"/>
      <c r="G2514" s="1231"/>
      <c r="H2514" s="1233"/>
      <c r="I2514" s="1237"/>
      <c r="J2514" s="1099" t="str">
        <f>IF(J2512="","",IF(OR(J2512,V2506&lt;1),J2508,I2514))</f>
        <v/>
      </c>
      <c r="K2514" s="1100" t="str">
        <f>IF(K2512="","",IF(OR(K2512,W2506&lt;1),K2508,J2514))</f>
        <v/>
      </c>
      <c r="L2514" s="1100" t="str">
        <f>IF(L2512="","",IF(OR(L2512,X2506&lt;1),L2508,K2514))</f>
        <v/>
      </c>
      <c r="M2514" s="1100" t="str">
        <f>IF(M2512="","",IF(OR(M2512,Y2506&lt;1),M2508,L2514))</f>
        <v/>
      </c>
      <c r="N2514" s="1101" t="str">
        <f>IF(N2512="","",IF(OR(N2512,Z2506&lt;1),N2508,M2514))</f>
        <v/>
      </c>
      <c r="O2514" s="15"/>
      <c r="P2514" s="15"/>
      <c r="Q2514" s="343"/>
      <c r="R2514" s="2"/>
      <c r="S2514" s="2"/>
      <c r="T2514" s="2"/>
      <c r="U2514" s="1086" t="s">
        <v>1858</v>
      </c>
      <c r="V2514" s="1068">
        <f>J2511</f>
        <v>2021</v>
      </c>
      <c r="W2514" s="1068">
        <f>K2511</f>
        <v>2022</v>
      </c>
      <c r="X2514" s="1068">
        <f>L2511</f>
        <v>2023</v>
      </c>
      <c r="Y2514" s="1068">
        <f>M2511</f>
        <v>2024</v>
      </c>
      <c r="Z2514" s="1087">
        <f>N2511</f>
        <v>2025</v>
      </c>
      <c r="AA2514" s="2"/>
      <c r="AB2514" s="2"/>
      <c r="AC2514" s="2"/>
      <c r="AD2514" s="2"/>
      <c r="AE2514" s="2"/>
      <c r="AF2514" s="2"/>
      <c r="AG2514" s="2"/>
      <c r="AH2514" s="2"/>
      <c r="AI2514" s="2"/>
      <c r="AJ2514" s="2"/>
      <c r="AK2514" s="2"/>
      <c r="AL2514" s="343"/>
    </row>
    <row r="2515" spans="1:38" ht="12.75" customHeight="1" thickBot="1" x14ac:dyDescent="0.3">
      <c r="A2515" s="343"/>
      <c r="B2515" s="178"/>
      <c r="C2515" s="178"/>
      <c r="D2515" s="1246" t="s">
        <v>859</v>
      </c>
      <c r="E2515" s="1231" t="str">
        <f>Translations!$B$1478</f>
        <v>Faktiskt värde</v>
      </c>
      <c r="F2515" s="1231"/>
      <c r="G2515" s="1231"/>
      <c r="H2515" s="1232" t="str">
        <f>H2506</f>
        <v>t CO2</v>
      </c>
      <c r="I2515" s="990" t="str">
        <f>I2509</f>
        <v/>
      </c>
      <c r="J2515" s="1072" t="str">
        <f>IF($I2429="","",IF(OR($I2515=0,$I2515=EUconst_NA,J2514=""),IF(OR(J2512=TRUE,J2511&lt;=$V2429),J2509,SUM(I2515)),$I2515*(1+SUM(J2514))))</f>
        <v/>
      </c>
      <c r="K2515" s="1073" t="str">
        <f>IF($I2429="","",IF(OR($I2515=0,$I2515=EUconst_NA,K2514=""),IF(OR(K2512=TRUE,K2511&lt;=$V2429),K2509,SUM(J2515)),$I2515*(1+SUM(K2514))))</f>
        <v/>
      </c>
      <c r="L2515" s="1073" t="str">
        <f>IF($I2429="","",IF(OR($I2515=0,$I2515=EUconst_NA,L2514=""),IF(OR(L2512=TRUE,L2511&lt;=$V2429),L2509,SUM(K2515)),$I2515*(1+SUM(L2514))))</f>
        <v/>
      </c>
      <c r="M2515" s="1073" t="str">
        <f>IF($I2429="","",IF(OR($I2515=0,$I2515=EUconst_NA,M2514=""),IF(OR(M2512=TRUE,M2511&lt;=$V2429),M2509,SUM(L2515)),$I2515*(1+SUM(M2514))))</f>
        <v/>
      </c>
      <c r="N2515" s="1074" t="str">
        <f>IF($I2429="","",IF(OR($I2515=0,$I2515=EUconst_NA,N2514=""),IF(OR(N2512=TRUE,N2511&lt;=$V2429),N2509,SUM(M2515)),$I2515*(1+SUM(N2514))))</f>
        <v/>
      </c>
      <c r="O2515" s="15"/>
      <c r="P2515" s="15"/>
      <c r="Q2515" s="165" t="str">
        <f>EUconst_CNTR_HEATfinal &amp; I2429</f>
        <v>HEATfinal_</v>
      </c>
      <c r="R2515" s="2"/>
      <c r="S2515" s="2"/>
      <c r="T2515" s="2"/>
      <c r="U2515" s="1765" t="b">
        <v>0</v>
      </c>
      <c r="V2515" s="1757" t="str">
        <f>IF(V2437,IF(J2512=TRUE,V2507,U2515),"")</f>
        <v/>
      </c>
      <c r="W2515" s="1757" t="str">
        <f>IF(W2437,IF(K2512=TRUE,W2507,V2515),"")</f>
        <v/>
      </c>
      <c r="X2515" s="1757" t="str">
        <f>IF(X2437,IF(L2512=TRUE,X2507,W2515),"")</f>
        <v/>
      </c>
      <c r="Y2515" s="1757" t="str">
        <f>IF(Y2437,IF(M2512=TRUE,Y2507,X2515),"")</f>
        <v/>
      </c>
      <c r="Z2515" s="1758" t="str">
        <f>IF(Z2437,IF(N2512=TRUE,Z2507,Y2515),"")</f>
        <v/>
      </c>
      <c r="AA2515" s="2"/>
      <c r="AB2515" s="2"/>
      <c r="AC2515" s="2"/>
      <c r="AD2515" s="2"/>
      <c r="AE2515" s="2"/>
      <c r="AF2515" s="2"/>
      <c r="AG2515" s="2"/>
      <c r="AH2515" s="2"/>
      <c r="AI2515" s="2"/>
      <c r="AJ2515" s="553" t="s">
        <v>2242</v>
      </c>
      <c r="AK2515" s="108" t="str">
        <f>IF(OR(ISERROR(J2515),ISERROR(K2515),ISERROR(L2515),ISERROR(M2515),ISERROR(N2515)),EUconst_Error &amp; "BM" &amp; Q2429,"")</f>
        <v/>
      </c>
      <c r="AL2515" s="2"/>
    </row>
    <row r="2516" spans="1:38" ht="5.15" customHeight="1" thickBot="1" x14ac:dyDescent="0.3">
      <c r="A2516" s="2"/>
      <c r="B2516" s="19"/>
      <c r="C2516" s="19"/>
      <c r="D2516" s="1274"/>
      <c r="E2516" s="1275"/>
      <c r="F2516" s="1275"/>
      <c r="G2516" s="1275"/>
      <c r="H2516" s="1275"/>
      <c r="I2516" s="1276"/>
      <c r="J2516" s="1275"/>
      <c r="K2516" s="1275"/>
      <c r="L2516" s="1275"/>
      <c r="M2516" s="1275"/>
      <c r="N2516" s="1277"/>
      <c r="O2516" s="15"/>
      <c r="P2516" s="15"/>
      <c r="Q2516" s="130"/>
      <c r="R2516" s="2"/>
      <c r="S2516" s="343"/>
      <c r="T2516" s="343"/>
      <c r="U2516" s="2"/>
      <c r="V2516" s="2"/>
      <c r="W2516" s="2"/>
      <c r="X2516" s="2"/>
      <c r="Y2516" s="2"/>
      <c r="Z2516" s="2"/>
      <c r="AA2516" s="2"/>
      <c r="AB2516" s="2"/>
      <c r="AC2516" s="2"/>
      <c r="AD2516" s="2"/>
      <c r="AE2516" s="2"/>
      <c r="AF2516" s="2"/>
      <c r="AG2516" s="2"/>
      <c r="AH2516" s="2"/>
      <c r="AI2516" s="2"/>
      <c r="AJ2516" s="2"/>
      <c r="AK2516" s="2"/>
      <c r="AL2516" s="2"/>
    </row>
    <row r="2517" spans="1:38" ht="5.15" customHeight="1" x14ac:dyDescent="0.25">
      <c r="A2517" s="2"/>
      <c r="B2517" s="19"/>
      <c r="C2517" s="19"/>
      <c r="D2517" s="19"/>
      <c r="E2517" s="19"/>
      <c r="F2517" s="19"/>
      <c r="G2517" s="19"/>
      <c r="H2517" s="19"/>
      <c r="I2517" s="99"/>
      <c r="J2517" s="19"/>
      <c r="K2517" s="19"/>
      <c r="L2517" s="19"/>
      <c r="M2517" s="19"/>
      <c r="N2517" s="19"/>
      <c r="O2517" s="15"/>
      <c r="P2517" s="15"/>
      <c r="Q2517" s="130"/>
      <c r="R2517" s="2"/>
      <c r="S2517" s="343"/>
      <c r="T2517" s="343"/>
      <c r="U2517" s="2"/>
      <c r="V2517" s="2"/>
      <c r="W2517" s="2"/>
      <c r="X2517" s="2"/>
      <c r="Y2517" s="2"/>
      <c r="Z2517" s="2"/>
      <c r="AA2517" s="2"/>
      <c r="AB2517" s="2"/>
      <c r="AC2517" s="2"/>
      <c r="AD2517" s="2"/>
      <c r="AE2517" s="2"/>
      <c r="AF2517" s="2"/>
      <c r="AG2517" s="2"/>
      <c r="AH2517" s="2"/>
      <c r="AI2517" s="2"/>
      <c r="AJ2517" s="2"/>
      <c r="AK2517" s="2"/>
      <c r="AL2517" s="2"/>
    </row>
    <row r="2518" spans="1:38" ht="15" customHeight="1" x14ac:dyDescent="0.25">
      <c r="A2518" s="2"/>
      <c r="B2518" s="19"/>
      <c r="C2518" s="619"/>
      <c r="D2518" s="2053" t="str">
        <f>Translations!$B$541</f>
        <v>Produktionsuppgifter</v>
      </c>
      <c r="E2518" s="1963"/>
      <c r="F2518" s="1963"/>
      <c r="G2518" s="1963"/>
      <c r="H2518" s="1963"/>
      <c r="I2518" s="1963"/>
      <c r="J2518" s="1963"/>
      <c r="K2518" s="1963"/>
      <c r="L2518" s="1963"/>
      <c r="M2518" s="1963"/>
      <c r="N2518" s="1963"/>
      <c r="O2518" s="15"/>
      <c r="P2518" s="15"/>
      <c r="Q2518" s="2"/>
      <c r="R2518" s="2"/>
      <c r="S2518" s="343"/>
      <c r="T2518" s="343"/>
      <c r="U2518" s="2"/>
      <c r="V2518" s="2"/>
      <c r="W2518" s="2"/>
      <c r="X2518" s="2"/>
      <c r="Y2518" s="2"/>
      <c r="Z2518" s="2"/>
      <c r="AA2518" s="2"/>
      <c r="AB2518" s="2"/>
      <c r="AC2518" s="2"/>
      <c r="AD2518" s="2"/>
      <c r="AE2518" s="2"/>
      <c r="AF2518" s="2"/>
      <c r="AG2518" s="2"/>
      <c r="AH2518" s="2"/>
      <c r="AI2518" s="2"/>
      <c r="AJ2518" s="2"/>
      <c r="AK2518" s="2"/>
      <c r="AL2518" s="2"/>
    </row>
    <row r="2519" spans="1:38" ht="5.15" customHeight="1" x14ac:dyDescent="0.25">
      <c r="A2519" s="2"/>
      <c r="B2519" s="178"/>
      <c r="C2519" s="178"/>
      <c r="D2519" s="178"/>
      <c r="E2519" s="178"/>
      <c r="F2519" s="178"/>
      <c r="G2519" s="178"/>
      <c r="H2519" s="178"/>
      <c r="I2519" s="178"/>
      <c r="J2519" s="178"/>
      <c r="K2519" s="178"/>
      <c r="L2519" s="178"/>
      <c r="M2519" s="178"/>
      <c r="N2519" s="178"/>
      <c r="O2519" s="15"/>
      <c r="P2519" s="15"/>
      <c r="Q2519" s="343"/>
      <c r="R2519" s="343"/>
      <c r="S2519" s="343"/>
      <c r="T2519" s="343"/>
      <c r="U2519" s="2"/>
      <c r="V2519" s="2"/>
      <c r="W2519" s="2"/>
      <c r="X2519" s="2"/>
      <c r="Y2519" s="2"/>
      <c r="Z2519" s="2"/>
      <c r="AA2519" s="2"/>
      <c r="AB2519" s="2"/>
      <c r="AC2519" s="2"/>
      <c r="AD2519" s="2"/>
      <c r="AE2519" s="2"/>
      <c r="AF2519" s="2"/>
      <c r="AG2519" s="2"/>
      <c r="AH2519" s="2"/>
      <c r="AI2519" s="2"/>
      <c r="AJ2519" s="2"/>
      <c r="AK2519" s="2"/>
      <c r="AL2519" s="2"/>
    </row>
    <row r="2520" spans="1:38" ht="12.75" customHeight="1" x14ac:dyDescent="0.25">
      <c r="A2520" s="2"/>
      <c r="B2520" s="178"/>
      <c r="C2520" s="13"/>
      <c r="D2520" s="13" t="s">
        <v>65</v>
      </c>
      <c r="E2520" s="1943" t="str">
        <f>Translations!$B$542</f>
        <v>Identifiering av produkter som ingår i delanläggningen med produktriktmärke</v>
      </c>
      <c r="F2520" s="1963"/>
      <c r="G2520" s="1963"/>
      <c r="H2520" s="1963"/>
      <c r="I2520" s="1963"/>
      <c r="J2520" s="1963"/>
      <c r="K2520" s="1963"/>
      <c r="L2520" s="1963"/>
      <c r="M2520" s="1963"/>
      <c r="N2520" s="1963"/>
      <c r="O2520" s="15"/>
      <c r="P2520" s="15"/>
      <c r="Q2520" s="343"/>
      <c r="R2520" s="2"/>
      <c r="S2520" s="343"/>
      <c r="T2520" s="343"/>
      <c r="U2520" s="2"/>
      <c r="V2520" s="2"/>
      <c r="W2520" s="2"/>
      <c r="X2520" s="2"/>
      <c r="Y2520" s="2"/>
      <c r="Z2520" s="2"/>
      <c r="AA2520" s="2"/>
      <c r="AB2520" s="2"/>
      <c r="AC2520" s="2"/>
      <c r="AD2520" s="2"/>
      <c r="AE2520" s="2"/>
      <c r="AF2520" s="2"/>
      <c r="AG2520" s="2"/>
      <c r="AH2520" s="2"/>
      <c r="AI2520" s="2"/>
      <c r="AJ2520" s="2"/>
      <c r="AK2520" s="2"/>
      <c r="AL2520" s="2"/>
    </row>
    <row r="2521" spans="1:38" ht="25.5" customHeight="1" x14ac:dyDescent="0.25">
      <c r="A2521" s="2"/>
      <c r="B2521" s="178"/>
      <c r="C2521" s="15"/>
      <c r="D2521" s="15"/>
      <c r="E2521" s="2061" t="s">
        <v>2215</v>
      </c>
      <c r="F2521" s="1963"/>
      <c r="G2521" s="1963"/>
      <c r="H2521" s="1963"/>
      <c r="I2521" s="1963"/>
      <c r="J2521" s="1963"/>
      <c r="K2521" s="1963"/>
      <c r="L2521" s="1963"/>
      <c r="M2521" s="1963"/>
      <c r="N2521" s="1963"/>
      <c r="O2521" s="15"/>
      <c r="P2521" s="15"/>
      <c r="Q2521" s="343"/>
      <c r="R2521" s="2"/>
      <c r="S2521" s="343"/>
      <c r="T2521" s="343"/>
      <c r="U2521" s="2"/>
      <c r="V2521" s="2"/>
      <c r="W2521" s="2"/>
      <c r="X2521" s="2"/>
      <c r="Y2521" s="2"/>
      <c r="Z2521" s="2"/>
      <c r="AA2521" s="2"/>
      <c r="AB2521" s="2"/>
      <c r="AC2521" s="2"/>
      <c r="AD2521" s="2"/>
      <c r="AE2521" s="2"/>
      <c r="AF2521" s="2"/>
      <c r="AG2521" s="2"/>
      <c r="AH2521" s="2"/>
      <c r="AI2521" s="2"/>
      <c r="AJ2521" s="2"/>
      <c r="AK2521" s="2"/>
      <c r="AL2521" s="2"/>
    </row>
    <row r="2522" spans="1:38" ht="25.5" customHeight="1" x14ac:dyDescent="0.25">
      <c r="A2522" s="2"/>
      <c r="B2522" s="178"/>
      <c r="C2522" s="15"/>
      <c r="D2522" s="15"/>
      <c r="E2522" s="2061" t="str">
        <f>Translations!$B$543</f>
        <v>Prodcom-koder ska anges i formatet ”nnnnnnnn”, dvs. utan punkter eller andra avgränsare. Endast om Prodcom-koder inte finns ska en Nace-kod på fyra siffror anges i formatet ”nnnn”.</v>
      </c>
      <c r="F2522" s="1963"/>
      <c r="G2522" s="1963"/>
      <c r="H2522" s="1963"/>
      <c r="I2522" s="1963"/>
      <c r="J2522" s="1963"/>
      <c r="K2522" s="1963"/>
      <c r="L2522" s="1963"/>
      <c r="M2522" s="1963"/>
      <c r="N2522" s="1963"/>
      <c r="O2522" s="15"/>
      <c r="P2522" s="15"/>
      <c r="Q2522" s="343"/>
      <c r="R2522" s="2"/>
      <c r="S2522" s="343"/>
      <c r="T2522" s="343"/>
      <c r="U2522" s="2"/>
      <c r="V2522" s="2"/>
      <c r="W2522" s="2"/>
      <c r="X2522" s="2"/>
      <c r="Y2522" s="2"/>
      <c r="Z2522" s="2"/>
      <c r="AA2522" s="2"/>
      <c r="AB2522" s="2"/>
      <c r="AC2522" s="2"/>
      <c r="AD2522" s="2"/>
      <c r="AE2522" s="2"/>
      <c r="AF2522" s="2"/>
      <c r="AG2522" s="2"/>
      <c r="AH2522" s="2"/>
      <c r="AI2522" s="2"/>
      <c r="AJ2522" s="2"/>
      <c r="AK2522" s="2"/>
      <c r="AL2522" s="2"/>
    </row>
    <row r="2523" spans="1:38" ht="12.75" customHeight="1" x14ac:dyDescent="0.25">
      <c r="A2523" s="2"/>
      <c r="B2523" s="178"/>
      <c r="C2523" s="15"/>
      <c r="D2523" s="15"/>
      <c r="E2523" s="2061" t="str">
        <f>Translations!$B$544</f>
        <v>En förteckning över 2010 års Prodcom-koder finns här:</v>
      </c>
      <c r="F2523" s="1963"/>
      <c r="G2523" s="1963"/>
      <c r="H2523" s="1963"/>
      <c r="I2523" s="1963"/>
      <c r="J2523" s="1963"/>
      <c r="K2523" s="1963"/>
      <c r="L2523" s="1963"/>
      <c r="M2523" s="1963"/>
      <c r="N2523" s="1963"/>
      <c r="O2523" s="15"/>
      <c r="P2523" s="15"/>
      <c r="Q2523" s="343"/>
      <c r="R2523" s="2"/>
      <c r="S2523" s="343"/>
      <c r="T2523" s="343"/>
      <c r="U2523" s="2"/>
      <c r="V2523" s="2"/>
      <c r="W2523" s="2"/>
      <c r="X2523" s="2"/>
      <c r="Y2523" s="2"/>
      <c r="Z2523" s="2"/>
      <c r="AA2523" s="2"/>
      <c r="AB2523" s="2"/>
      <c r="AC2523" s="2"/>
      <c r="AD2523" s="2"/>
      <c r="AE2523" s="2"/>
      <c r="AF2523" s="2"/>
      <c r="AG2523" s="2"/>
      <c r="AH2523" s="2"/>
      <c r="AI2523" s="2"/>
      <c r="AJ2523" s="2"/>
      <c r="AK2523" s="2"/>
      <c r="AL2523" s="2"/>
    </row>
    <row r="2524" spans="1:38" x14ac:dyDescent="0.25">
      <c r="A2524" s="2"/>
      <c r="B2524" s="178"/>
      <c r="C2524" s="15"/>
      <c r="D2524" s="15"/>
      <c r="E2524" s="2644" t="str">
        <f>Translations!$B$545</f>
        <v>http://ec.europa.eu/eurostat/ramon/nomenclatures/index.cfm?TargetUrl=LST_CLS_DLD&amp;StrNom=PRD_2010&amp;StrLanguageCode=EN&amp;StrLayoutCode=HIERARCHIC</v>
      </c>
      <c r="F2524" s="1940"/>
      <c r="G2524" s="1940"/>
      <c r="H2524" s="1940"/>
      <c r="I2524" s="1940"/>
      <c r="J2524" s="1940"/>
      <c r="K2524" s="1940"/>
      <c r="L2524" s="1940"/>
      <c r="M2524" s="1940"/>
      <c r="N2524" s="1940"/>
      <c r="O2524" s="15"/>
      <c r="P2524" s="15"/>
      <c r="Q2524" s="343"/>
      <c r="R2524" s="2"/>
      <c r="S2524" s="343"/>
      <c r="T2524" s="343"/>
      <c r="U2524" s="2"/>
      <c r="V2524" s="2"/>
      <c r="W2524" s="2"/>
      <c r="X2524" s="2"/>
      <c r="Y2524" s="2"/>
      <c r="Z2524" s="2"/>
      <c r="AA2524" s="2"/>
      <c r="AB2524" s="2"/>
      <c r="AC2524" s="2"/>
      <c r="AD2524" s="2"/>
      <c r="AE2524" s="2"/>
      <c r="AF2524" s="2"/>
      <c r="AG2524" s="2"/>
      <c r="AH2524" s="2"/>
      <c r="AI2524" s="2"/>
      <c r="AJ2524" s="2"/>
      <c r="AK2524" s="2"/>
      <c r="AL2524" s="2"/>
    </row>
    <row r="2525" spans="1:38" ht="5.15" customHeight="1" x14ac:dyDescent="0.25">
      <c r="A2525" s="2"/>
      <c r="B2525" s="178"/>
      <c r="C2525" s="178"/>
      <c r="D2525" s="178"/>
      <c r="E2525" s="178"/>
      <c r="F2525" s="178"/>
      <c r="G2525" s="178"/>
      <c r="H2525" s="178"/>
      <c r="I2525" s="178"/>
      <c r="J2525" s="178"/>
      <c r="K2525" s="178"/>
      <c r="L2525" s="178"/>
      <c r="M2525" s="178"/>
      <c r="N2525" s="178"/>
      <c r="O2525" s="15"/>
      <c r="P2525" s="15"/>
      <c r="Q2525" s="343"/>
      <c r="R2525" s="343"/>
      <c r="S2525" s="343"/>
      <c r="T2525" s="343"/>
      <c r="U2525" s="2"/>
      <c r="V2525" s="2"/>
      <c r="W2525" s="2"/>
      <c r="X2525" s="2"/>
      <c r="Y2525" s="2"/>
      <c r="Z2525" s="2"/>
      <c r="AA2525" s="2"/>
      <c r="AB2525" s="2"/>
      <c r="AC2525" s="2"/>
      <c r="AD2525" s="2"/>
      <c r="AE2525" s="2"/>
      <c r="AF2525" s="2"/>
      <c r="AG2525" s="2"/>
      <c r="AH2525" s="2"/>
      <c r="AI2525" s="2"/>
      <c r="AJ2525" s="2"/>
      <c r="AK2525" s="2"/>
      <c r="AL2525" s="2"/>
    </row>
    <row r="2526" spans="1:38" ht="12.75" customHeight="1" x14ac:dyDescent="0.25">
      <c r="A2526" s="2"/>
      <c r="B2526" s="178"/>
      <c r="C2526" s="13"/>
      <c r="D2526" s="13" t="s">
        <v>66</v>
      </c>
      <c r="E2526" s="1943" t="str">
        <f>Translations!$B$546</f>
        <v>Individuella produktionsnivåer för produkter som ingår i delanläggningen med produktriktmärke</v>
      </c>
      <c r="F2526" s="1963"/>
      <c r="G2526" s="1963"/>
      <c r="H2526" s="1963"/>
      <c r="I2526" s="1963"/>
      <c r="J2526" s="1963"/>
      <c r="K2526" s="1963"/>
      <c r="L2526" s="1963"/>
      <c r="M2526" s="1963"/>
      <c r="N2526" s="1963"/>
      <c r="O2526" s="15"/>
      <c r="P2526" s="15"/>
      <c r="Q2526" s="343"/>
      <c r="R2526" s="2"/>
      <c r="S2526" s="343"/>
      <c r="T2526" s="343"/>
      <c r="U2526" s="2"/>
      <c r="V2526" s="2"/>
      <c r="W2526" s="2"/>
      <c r="X2526" s="2"/>
      <c r="Y2526" s="2"/>
      <c r="Z2526" s="2"/>
      <c r="AA2526" s="2"/>
      <c r="AB2526" s="2"/>
      <c r="AC2526" s="2"/>
      <c r="AD2526" s="2"/>
      <c r="AE2526" s="2"/>
      <c r="AF2526" s="2"/>
      <c r="AG2526" s="2"/>
      <c r="AH2526" s="2"/>
      <c r="AI2526" s="2"/>
      <c r="AJ2526" s="2"/>
      <c r="AK2526" s="2"/>
      <c r="AL2526" s="2"/>
    </row>
    <row r="2527" spans="1:38" ht="5.15" customHeight="1" x14ac:dyDescent="0.25">
      <c r="A2527" s="2"/>
      <c r="B2527" s="178"/>
      <c r="C2527" s="178"/>
      <c r="D2527" s="15"/>
      <c r="E2527" s="16"/>
      <c r="F2527" s="16"/>
      <c r="G2527" s="16"/>
      <c r="H2527" s="16"/>
      <c r="I2527" s="16"/>
      <c r="J2527" s="20"/>
      <c r="K2527" s="20"/>
      <c r="L2527" s="20"/>
      <c r="M2527" s="15"/>
      <c r="N2527" s="15"/>
      <c r="O2527" s="15"/>
      <c r="P2527" s="15"/>
      <c r="Q2527" s="343"/>
      <c r="R2527" s="2"/>
      <c r="S2527" s="343"/>
      <c r="T2527" s="343"/>
      <c r="U2527" s="2"/>
      <c r="V2527" s="2"/>
      <c r="W2527" s="2"/>
      <c r="X2527" s="2"/>
      <c r="Y2527" s="2"/>
      <c r="Z2527" s="2"/>
      <c r="AA2527" s="2"/>
      <c r="AB2527" s="2"/>
      <c r="AC2527" s="2"/>
      <c r="AD2527" s="2"/>
      <c r="AE2527" s="2"/>
      <c r="AF2527" s="2"/>
      <c r="AG2527" s="2"/>
      <c r="AH2527" s="2"/>
      <c r="AI2527" s="2"/>
      <c r="AJ2527" s="2"/>
      <c r="AK2527" s="2"/>
      <c r="AL2527" s="2"/>
    </row>
    <row r="2528" spans="1:38" ht="25.5" customHeight="1" thickBot="1" x14ac:dyDescent="0.3">
      <c r="A2528" s="2"/>
      <c r="B2528" s="19"/>
      <c r="C2528" s="19"/>
      <c r="D2528" s="38"/>
      <c r="E2528" s="321" t="s">
        <v>1030</v>
      </c>
      <c r="F2528" s="1027" t="str">
        <f>Translations!$B$547</f>
        <v>Namn på produkt eller produktgrupp</v>
      </c>
      <c r="G2528" s="774" t="str">
        <f>EUconst_Unit</f>
        <v>Enhet</v>
      </c>
      <c r="H2528" s="320">
        <f t="shared" ref="H2528:N2528" si="1127">H$3042</f>
        <v>2019</v>
      </c>
      <c r="I2528" s="342">
        <f t="shared" si="1127"/>
        <v>2020</v>
      </c>
      <c r="J2528" s="987">
        <f t="shared" si="1127"/>
        <v>2021</v>
      </c>
      <c r="K2528" s="320">
        <f t="shared" si="1127"/>
        <v>2022</v>
      </c>
      <c r="L2528" s="320">
        <f t="shared" si="1127"/>
        <v>2023</v>
      </c>
      <c r="M2528" s="320">
        <f t="shared" si="1127"/>
        <v>2024</v>
      </c>
      <c r="N2528" s="320">
        <f t="shared" si="1127"/>
        <v>2025</v>
      </c>
      <c r="O2528" s="15"/>
      <c r="P2528" s="15"/>
      <c r="Q2528" s="2"/>
      <c r="R2528" s="2"/>
      <c r="S2528" s="343"/>
      <c r="T2528" s="343"/>
      <c r="U2528" s="2"/>
      <c r="V2528" s="2"/>
      <c r="W2528" s="2"/>
      <c r="X2528" s="2"/>
      <c r="Y2528" s="2"/>
      <c r="Z2528" s="1055" t="s">
        <v>782</v>
      </c>
      <c r="AA2528" s="2"/>
      <c r="AB2528" s="2"/>
      <c r="AC2528" s="1044">
        <f t="shared" ref="AC2528:AI2528" si="1128">H$20</f>
        <v>2019</v>
      </c>
      <c r="AD2528" s="1044">
        <f t="shared" si="1128"/>
        <v>2020</v>
      </c>
      <c r="AE2528" s="1044">
        <f t="shared" si="1128"/>
        <v>2021</v>
      </c>
      <c r="AF2528" s="1044">
        <f t="shared" si="1128"/>
        <v>2022</v>
      </c>
      <c r="AG2528" s="1044">
        <f t="shared" si="1128"/>
        <v>2023</v>
      </c>
      <c r="AH2528" s="1044">
        <f t="shared" si="1128"/>
        <v>2024</v>
      </c>
      <c r="AI2528" s="1044">
        <f t="shared" si="1128"/>
        <v>2025</v>
      </c>
      <c r="AJ2528" s="2"/>
      <c r="AK2528" s="2"/>
      <c r="AL2528" s="2"/>
    </row>
    <row r="2529" spans="1:38" x14ac:dyDescent="0.25">
      <c r="A2529" s="2"/>
      <c r="B2529" s="19"/>
      <c r="C2529" s="19"/>
      <c r="D2529" s="32">
        <v>1</v>
      </c>
      <c r="E2529" s="1787"/>
      <c r="F2529" s="1047"/>
      <c r="G2529" s="602"/>
      <c r="H2529" s="383"/>
      <c r="I2529" s="467"/>
      <c r="J2529" s="1106"/>
      <c r="K2529" s="383"/>
      <c r="L2529" s="383"/>
      <c r="M2529" s="383"/>
      <c r="N2529" s="383"/>
      <c r="O2529" s="15"/>
      <c r="P2529" s="1362"/>
      <c r="Q2529" s="2"/>
      <c r="R2529" s="2"/>
      <c r="S2529" s="343"/>
      <c r="T2529" s="343"/>
      <c r="U2529" s="2"/>
      <c r="V2529" s="2"/>
      <c r="W2529" s="2"/>
      <c r="X2529" s="2"/>
      <c r="Y2529" s="2"/>
      <c r="Z2529" s="1056" t="b">
        <f t="shared" ref="Z2529:Z2538" si="1129">AA2529</f>
        <v>0</v>
      </c>
      <c r="AA2529" s="1057" t="b">
        <f t="shared" ref="AA2529:AA2538" si="1130">AB2529</f>
        <v>0</v>
      </c>
      <c r="AB2529" s="1363" t="b">
        <f>AND(AC2529:AI2529)</f>
        <v>0</v>
      </c>
      <c r="AC2529" s="1054" t="b">
        <f t="shared" ref="AC2529:AI2529" si="1131">AC2499</f>
        <v>0</v>
      </c>
      <c r="AD2529" s="1052" t="b">
        <f t="shared" si="1131"/>
        <v>0</v>
      </c>
      <c r="AE2529" s="1052" t="b">
        <f t="shared" si="1131"/>
        <v>0</v>
      </c>
      <c r="AF2529" s="1052" t="b">
        <f t="shared" si="1131"/>
        <v>0</v>
      </c>
      <c r="AG2529" s="1052" t="b">
        <f t="shared" si="1131"/>
        <v>0</v>
      </c>
      <c r="AH2529" s="1052" t="b">
        <f t="shared" si="1131"/>
        <v>0</v>
      </c>
      <c r="AI2529" s="1053" t="b">
        <f t="shared" si="1131"/>
        <v>0</v>
      </c>
      <c r="AJ2529" s="553" t="s">
        <v>2248</v>
      </c>
      <c r="AK2529" s="663" t="str">
        <f>IF(AND(CNTR_ExistSubInstEntries,COUNTIFS(AC2529:AI2529,FALSE,H2529:N2529,"")&gt;0),EUconst_Error&amp;"BM"&amp;$Q2429,"")</f>
        <v/>
      </c>
      <c r="AL2529" s="2"/>
    </row>
    <row r="2530" spans="1:38" x14ac:dyDescent="0.25">
      <c r="A2530" s="2"/>
      <c r="B2530" s="19"/>
      <c r="C2530" s="19"/>
      <c r="D2530" s="33">
        <f>D2529+1</f>
        <v>2</v>
      </c>
      <c r="E2530" s="1788"/>
      <c r="F2530" s="1048"/>
      <c r="G2530" s="446"/>
      <c r="H2530" s="431"/>
      <c r="I2530" s="468"/>
      <c r="J2530" s="1120"/>
      <c r="K2530" s="431"/>
      <c r="L2530" s="431"/>
      <c r="M2530" s="431"/>
      <c r="N2530" s="431"/>
      <c r="O2530" s="15"/>
      <c r="P2530" s="1362"/>
      <c r="Q2530" s="2"/>
      <c r="R2530" s="2"/>
      <c r="S2530" s="343"/>
      <c r="T2530" s="343"/>
      <c r="U2530" s="2"/>
      <c r="V2530" s="2"/>
      <c r="W2530" s="2"/>
      <c r="X2530" s="2"/>
      <c r="Y2530" s="2"/>
      <c r="Z2530" s="583" t="b">
        <f t="shared" si="1129"/>
        <v>0</v>
      </c>
      <c r="AA2530" s="108" t="b">
        <f t="shared" si="1130"/>
        <v>0</v>
      </c>
      <c r="AB2530" s="109" t="b">
        <f t="shared" ref="AB2530:AB2538" si="1132">AND(AC2530:AI2530)</f>
        <v>0</v>
      </c>
      <c r="AC2530" s="153" t="b">
        <f>AC2529</f>
        <v>0</v>
      </c>
      <c r="AD2530" s="108" t="b">
        <f t="shared" ref="AD2530:AI2530" si="1133">AD2529</f>
        <v>0</v>
      </c>
      <c r="AE2530" s="108" t="b">
        <f t="shared" si="1133"/>
        <v>0</v>
      </c>
      <c r="AF2530" s="108" t="b">
        <f t="shared" si="1133"/>
        <v>0</v>
      </c>
      <c r="AG2530" s="108" t="b">
        <f t="shared" si="1133"/>
        <v>0</v>
      </c>
      <c r="AH2530" s="108" t="b">
        <f t="shared" si="1133"/>
        <v>0</v>
      </c>
      <c r="AI2530" s="109" t="b">
        <f t="shared" si="1133"/>
        <v>0</v>
      </c>
      <c r="AJ2530" s="2"/>
      <c r="AK2530" s="2"/>
      <c r="AL2530" s="2"/>
    </row>
    <row r="2531" spans="1:38" x14ac:dyDescent="0.25">
      <c r="A2531" s="2"/>
      <c r="B2531" s="19"/>
      <c r="C2531" s="19"/>
      <c r="D2531" s="33">
        <f t="shared" ref="D2531:D2538" si="1134">D2530+1</f>
        <v>3</v>
      </c>
      <c r="E2531" s="1788"/>
      <c r="F2531" s="1049"/>
      <c r="G2531" s="446"/>
      <c r="H2531" s="431"/>
      <c r="I2531" s="468"/>
      <c r="J2531" s="1120"/>
      <c r="K2531" s="431"/>
      <c r="L2531" s="431"/>
      <c r="M2531" s="431"/>
      <c r="N2531" s="431"/>
      <c r="O2531" s="15"/>
      <c r="P2531" s="1362"/>
      <c r="Q2531" s="2"/>
      <c r="R2531" s="2"/>
      <c r="S2531" s="343"/>
      <c r="T2531" s="343"/>
      <c r="U2531" s="2"/>
      <c r="V2531" s="2"/>
      <c r="W2531" s="2"/>
      <c r="X2531" s="2"/>
      <c r="Y2531" s="2"/>
      <c r="Z2531" s="583" t="b">
        <f t="shared" si="1129"/>
        <v>0</v>
      </c>
      <c r="AA2531" s="108" t="b">
        <f t="shared" si="1130"/>
        <v>0</v>
      </c>
      <c r="AB2531" s="109" t="b">
        <f t="shared" si="1132"/>
        <v>0</v>
      </c>
      <c r="AC2531" s="153" t="b">
        <f t="shared" ref="AC2531:AI2538" si="1135">AC2530</f>
        <v>0</v>
      </c>
      <c r="AD2531" s="108" t="b">
        <f t="shared" si="1135"/>
        <v>0</v>
      </c>
      <c r="AE2531" s="108" t="b">
        <f t="shared" si="1135"/>
        <v>0</v>
      </c>
      <c r="AF2531" s="108" t="b">
        <f t="shared" si="1135"/>
        <v>0</v>
      </c>
      <c r="AG2531" s="108" t="b">
        <f t="shared" si="1135"/>
        <v>0</v>
      </c>
      <c r="AH2531" s="108" t="b">
        <f t="shared" si="1135"/>
        <v>0</v>
      </c>
      <c r="AI2531" s="109" t="b">
        <f t="shared" si="1135"/>
        <v>0</v>
      </c>
      <c r="AJ2531" s="2"/>
      <c r="AK2531" s="2"/>
      <c r="AL2531" s="2"/>
    </row>
    <row r="2532" spans="1:38" x14ac:dyDescent="0.25">
      <c r="A2532" s="2"/>
      <c r="B2532" s="19"/>
      <c r="C2532" s="19"/>
      <c r="D2532" s="33">
        <f t="shared" si="1134"/>
        <v>4</v>
      </c>
      <c r="E2532" s="1788"/>
      <c r="F2532" s="1049"/>
      <c r="G2532" s="446"/>
      <c r="H2532" s="431"/>
      <c r="I2532" s="468"/>
      <c r="J2532" s="1120"/>
      <c r="K2532" s="431"/>
      <c r="L2532" s="431"/>
      <c r="M2532" s="431"/>
      <c r="N2532" s="431"/>
      <c r="O2532" s="15"/>
      <c r="P2532" s="1362"/>
      <c r="Q2532" s="2"/>
      <c r="R2532" s="2"/>
      <c r="S2532" s="343"/>
      <c r="T2532" s="343"/>
      <c r="U2532" s="2"/>
      <c r="V2532" s="2"/>
      <c r="W2532" s="2"/>
      <c r="X2532" s="2"/>
      <c r="Y2532" s="2"/>
      <c r="Z2532" s="583" t="b">
        <f t="shared" si="1129"/>
        <v>0</v>
      </c>
      <c r="AA2532" s="108" t="b">
        <f t="shared" si="1130"/>
        <v>0</v>
      </c>
      <c r="AB2532" s="109" t="b">
        <f t="shared" si="1132"/>
        <v>0</v>
      </c>
      <c r="AC2532" s="153" t="b">
        <f t="shared" si="1135"/>
        <v>0</v>
      </c>
      <c r="AD2532" s="108" t="b">
        <f t="shared" si="1135"/>
        <v>0</v>
      </c>
      <c r="AE2532" s="108" t="b">
        <f t="shared" si="1135"/>
        <v>0</v>
      </c>
      <c r="AF2532" s="108" t="b">
        <f t="shared" si="1135"/>
        <v>0</v>
      </c>
      <c r="AG2532" s="108" t="b">
        <f t="shared" si="1135"/>
        <v>0</v>
      </c>
      <c r="AH2532" s="108" t="b">
        <f t="shared" si="1135"/>
        <v>0</v>
      </c>
      <c r="AI2532" s="109" t="b">
        <f t="shared" si="1135"/>
        <v>0</v>
      </c>
      <c r="AJ2532" s="2"/>
      <c r="AK2532" s="2"/>
      <c r="AL2532" s="2"/>
    </row>
    <row r="2533" spans="1:38" x14ac:dyDescent="0.25">
      <c r="A2533" s="2"/>
      <c r="B2533" s="19"/>
      <c r="C2533" s="19"/>
      <c r="D2533" s="33">
        <f t="shared" si="1134"/>
        <v>5</v>
      </c>
      <c r="E2533" s="1788"/>
      <c r="F2533" s="1049"/>
      <c r="G2533" s="446"/>
      <c r="H2533" s="431"/>
      <c r="I2533" s="468"/>
      <c r="J2533" s="1120"/>
      <c r="K2533" s="431"/>
      <c r="L2533" s="431"/>
      <c r="M2533" s="431"/>
      <c r="N2533" s="431"/>
      <c r="O2533" s="15"/>
      <c r="P2533" s="1362"/>
      <c r="Q2533" s="2"/>
      <c r="R2533" s="2"/>
      <c r="S2533" s="343"/>
      <c r="T2533" s="343"/>
      <c r="U2533" s="2"/>
      <c r="V2533" s="2"/>
      <c r="W2533" s="2"/>
      <c r="X2533" s="2"/>
      <c r="Y2533" s="2"/>
      <c r="Z2533" s="583" t="b">
        <f t="shared" si="1129"/>
        <v>0</v>
      </c>
      <c r="AA2533" s="108" t="b">
        <f t="shared" si="1130"/>
        <v>0</v>
      </c>
      <c r="AB2533" s="109" t="b">
        <f t="shared" si="1132"/>
        <v>0</v>
      </c>
      <c r="AC2533" s="153" t="b">
        <f t="shared" si="1135"/>
        <v>0</v>
      </c>
      <c r="AD2533" s="108" t="b">
        <f t="shared" si="1135"/>
        <v>0</v>
      </c>
      <c r="AE2533" s="108" t="b">
        <f t="shared" si="1135"/>
        <v>0</v>
      </c>
      <c r="AF2533" s="108" t="b">
        <f t="shared" si="1135"/>
        <v>0</v>
      </c>
      <c r="AG2533" s="108" t="b">
        <f t="shared" si="1135"/>
        <v>0</v>
      </c>
      <c r="AH2533" s="108" t="b">
        <f t="shared" si="1135"/>
        <v>0</v>
      </c>
      <c r="AI2533" s="109" t="b">
        <f t="shared" si="1135"/>
        <v>0</v>
      </c>
      <c r="AJ2533" s="2"/>
      <c r="AK2533" s="2"/>
      <c r="AL2533" s="2"/>
    </row>
    <row r="2534" spans="1:38" x14ac:dyDescent="0.25">
      <c r="A2534" s="2"/>
      <c r="B2534" s="19"/>
      <c r="C2534" s="19"/>
      <c r="D2534" s="33">
        <f t="shared" si="1134"/>
        <v>6</v>
      </c>
      <c r="E2534" s="1788"/>
      <c r="F2534" s="1049"/>
      <c r="G2534" s="446"/>
      <c r="H2534" s="431"/>
      <c r="I2534" s="468"/>
      <c r="J2534" s="1120"/>
      <c r="K2534" s="431"/>
      <c r="L2534" s="431"/>
      <c r="M2534" s="431"/>
      <c r="N2534" s="431"/>
      <c r="O2534" s="15"/>
      <c r="P2534" s="1362"/>
      <c r="Q2534" s="2"/>
      <c r="R2534" s="2"/>
      <c r="S2534" s="343"/>
      <c r="T2534" s="343"/>
      <c r="U2534" s="2"/>
      <c r="V2534" s="2"/>
      <c r="W2534" s="2"/>
      <c r="X2534" s="2"/>
      <c r="Y2534" s="2"/>
      <c r="Z2534" s="583" t="b">
        <f t="shared" si="1129"/>
        <v>0</v>
      </c>
      <c r="AA2534" s="108" t="b">
        <f t="shared" si="1130"/>
        <v>0</v>
      </c>
      <c r="AB2534" s="109" t="b">
        <f t="shared" si="1132"/>
        <v>0</v>
      </c>
      <c r="AC2534" s="153" t="b">
        <f t="shared" si="1135"/>
        <v>0</v>
      </c>
      <c r="AD2534" s="108" t="b">
        <f t="shared" si="1135"/>
        <v>0</v>
      </c>
      <c r="AE2534" s="108" t="b">
        <f t="shared" si="1135"/>
        <v>0</v>
      </c>
      <c r="AF2534" s="108" t="b">
        <f t="shared" si="1135"/>
        <v>0</v>
      </c>
      <c r="AG2534" s="108" t="b">
        <f t="shared" si="1135"/>
        <v>0</v>
      </c>
      <c r="AH2534" s="108" t="b">
        <f t="shared" si="1135"/>
        <v>0</v>
      </c>
      <c r="AI2534" s="109" t="b">
        <f t="shared" si="1135"/>
        <v>0</v>
      </c>
      <c r="AJ2534" s="2"/>
      <c r="AK2534" s="2"/>
      <c r="AL2534" s="2"/>
    </row>
    <row r="2535" spans="1:38" x14ac:dyDescent="0.25">
      <c r="A2535" s="2"/>
      <c r="B2535" s="19"/>
      <c r="C2535" s="19"/>
      <c r="D2535" s="33">
        <f t="shared" si="1134"/>
        <v>7</v>
      </c>
      <c r="E2535" s="1788"/>
      <c r="F2535" s="1049"/>
      <c r="G2535" s="446"/>
      <c r="H2535" s="431"/>
      <c r="I2535" s="468"/>
      <c r="J2535" s="1120"/>
      <c r="K2535" s="431"/>
      <c r="L2535" s="431"/>
      <c r="M2535" s="431"/>
      <c r="N2535" s="431"/>
      <c r="O2535" s="15"/>
      <c r="P2535" s="1362"/>
      <c r="Q2535" s="2"/>
      <c r="R2535" s="2"/>
      <c r="S2535" s="343"/>
      <c r="T2535" s="343"/>
      <c r="U2535" s="2"/>
      <c r="V2535" s="2"/>
      <c r="W2535" s="2"/>
      <c r="X2535" s="2"/>
      <c r="Y2535" s="2"/>
      <c r="Z2535" s="583" t="b">
        <f t="shared" si="1129"/>
        <v>0</v>
      </c>
      <c r="AA2535" s="108" t="b">
        <f t="shared" si="1130"/>
        <v>0</v>
      </c>
      <c r="AB2535" s="109" t="b">
        <f t="shared" si="1132"/>
        <v>0</v>
      </c>
      <c r="AC2535" s="153" t="b">
        <f t="shared" si="1135"/>
        <v>0</v>
      </c>
      <c r="AD2535" s="108" t="b">
        <f t="shared" si="1135"/>
        <v>0</v>
      </c>
      <c r="AE2535" s="108" t="b">
        <f t="shared" si="1135"/>
        <v>0</v>
      </c>
      <c r="AF2535" s="108" t="b">
        <f t="shared" si="1135"/>
        <v>0</v>
      </c>
      <c r="AG2535" s="108" t="b">
        <f t="shared" si="1135"/>
        <v>0</v>
      </c>
      <c r="AH2535" s="108" t="b">
        <f t="shared" si="1135"/>
        <v>0</v>
      </c>
      <c r="AI2535" s="109" t="b">
        <f t="shared" si="1135"/>
        <v>0</v>
      </c>
      <c r="AJ2535" s="2"/>
      <c r="AK2535" s="2"/>
      <c r="AL2535" s="2"/>
    </row>
    <row r="2536" spans="1:38" x14ac:dyDescent="0.25">
      <c r="A2536" s="2"/>
      <c r="B2536" s="19"/>
      <c r="C2536" s="19"/>
      <c r="D2536" s="33">
        <f t="shared" si="1134"/>
        <v>8</v>
      </c>
      <c r="E2536" s="1788"/>
      <c r="F2536" s="1049"/>
      <c r="G2536" s="446"/>
      <c r="H2536" s="431"/>
      <c r="I2536" s="468"/>
      <c r="J2536" s="1120"/>
      <c r="K2536" s="431"/>
      <c r="L2536" s="431"/>
      <c r="M2536" s="431"/>
      <c r="N2536" s="431"/>
      <c r="O2536" s="15"/>
      <c r="P2536" s="1362"/>
      <c r="Q2536" s="2"/>
      <c r="R2536" s="2"/>
      <c r="S2536" s="343"/>
      <c r="T2536" s="343"/>
      <c r="U2536" s="2"/>
      <c r="V2536" s="2"/>
      <c r="W2536" s="2"/>
      <c r="X2536" s="2"/>
      <c r="Y2536" s="2"/>
      <c r="Z2536" s="583" t="b">
        <f t="shared" si="1129"/>
        <v>0</v>
      </c>
      <c r="AA2536" s="108" t="b">
        <f t="shared" si="1130"/>
        <v>0</v>
      </c>
      <c r="AB2536" s="109" t="b">
        <f t="shared" si="1132"/>
        <v>0</v>
      </c>
      <c r="AC2536" s="153" t="b">
        <f t="shared" si="1135"/>
        <v>0</v>
      </c>
      <c r="AD2536" s="108" t="b">
        <f t="shared" si="1135"/>
        <v>0</v>
      </c>
      <c r="AE2536" s="108" t="b">
        <f t="shared" si="1135"/>
        <v>0</v>
      </c>
      <c r="AF2536" s="108" t="b">
        <f t="shared" si="1135"/>
        <v>0</v>
      </c>
      <c r="AG2536" s="108" t="b">
        <f t="shared" si="1135"/>
        <v>0</v>
      </c>
      <c r="AH2536" s="108" t="b">
        <f t="shared" si="1135"/>
        <v>0</v>
      </c>
      <c r="AI2536" s="109" t="b">
        <f t="shared" si="1135"/>
        <v>0</v>
      </c>
      <c r="AJ2536" s="2"/>
      <c r="AK2536" s="2"/>
      <c r="AL2536" s="2"/>
    </row>
    <row r="2537" spans="1:38" x14ac:dyDescent="0.25">
      <c r="A2537" s="2"/>
      <c r="B2537" s="19"/>
      <c r="C2537" s="19"/>
      <c r="D2537" s="33">
        <f t="shared" si="1134"/>
        <v>9</v>
      </c>
      <c r="E2537" s="1788"/>
      <c r="F2537" s="1049"/>
      <c r="G2537" s="446"/>
      <c r="H2537" s="431"/>
      <c r="I2537" s="468"/>
      <c r="J2537" s="1120"/>
      <c r="K2537" s="431"/>
      <c r="L2537" s="431"/>
      <c r="M2537" s="431"/>
      <c r="N2537" s="431"/>
      <c r="O2537" s="15"/>
      <c r="P2537" s="1362"/>
      <c r="Q2537" s="2"/>
      <c r="R2537" s="2"/>
      <c r="S2537" s="343"/>
      <c r="T2537" s="343"/>
      <c r="U2537" s="2"/>
      <c r="V2537" s="2"/>
      <c r="W2537" s="2"/>
      <c r="X2537" s="2"/>
      <c r="Y2537" s="2"/>
      <c r="Z2537" s="583" t="b">
        <f t="shared" si="1129"/>
        <v>0</v>
      </c>
      <c r="AA2537" s="108" t="b">
        <f t="shared" si="1130"/>
        <v>0</v>
      </c>
      <c r="AB2537" s="109" t="b">
        <f t="shared" si="1132"/>
        <v>0</v>
      </c>
      <c r="AC2537" s="153" t="b">
        <f t="shared" si="1135"/>
        <v>0</v>
      </c>
      <c r="AD2537" s="108" t="b">
        <f t="shared" si="1135"/>
        <v>0</v>
      </c>
      <c r="AE2537" s="108" t="b">
        <f t="shared" si="1135"/>
        <v>0</v>
      </c>
      <c r="AF2537" s="108" t="b">
        <f t="shared" si="1135"/>
        <v>0</v>
      </c>
      <c r="AG2537" s="108" t="b">
        <f t="shared" si="1135"/>
        <v>0</v>
      </c>
      <c r="AH2537" s="108" t="b">
        <f t="shared" si="1135"/>
        <v>0</v>
      </c>
      <c r="AI2537" s="109" t="b">
        <f t="shared" si="1135"/>
        <v>0</v>
      </c>
      <c r="AJ2537" s="2"/>
      <c r="AK2537" s="2"/>
      <c r="AL2537" s="2"/>
    </row>
    <row r="2538" spans="1:38" ht="13" thickBot="1" x14ac:dyDescent="0.3">
      <c r="A2538" s="2"/>
      <c r="B2538" s="19"/>
      <c r="C2538" s="19"/>
      <c r="D2538" s="36">
        <f t="shared" si="1134"/>
        <v>10</v>
      </c>
      <c r="E2538" s="1790"/>
      <c r="F2538" s="1050"/>
      <c r="G2538" s="447"/>
      <c r="H2538" s="357"/>
      <c r="I2538" s="469"/>
      <c r="J2538" s="1112"/>
      <c r="K2538" s="357"/>
      <c r="L2538" s="357"/>
      <c r="M2538" s="357"/>
      <c r="N2538" s="357"/>
      <c r="O2538" s="15"/>
      <c r="P2538" s="1362"/>
      <c r="Q2538" s="2"/>
      <c r="R2538" s="2"/>
      <c r="S2538" s="343"/>
      <c r="T2538" s="343"/>
      <c r="U2538" s="2"/>
      <c r="V2538" s="2"/>
      <c r="W2538" s="2"/>
      <c r="X2538" s="2"/>
      <c r="Y2538" s="2"/>
      <c r="Z2538" s="110" t="b">
        <f t="shared" si="1129"/>
        <v>0</v>
      </c>
      <c r="AA2538" s="111" t="b">
        <f t="shared" si="1130"/>
        <v>0</v>
      </c>
      <c r="AB2538" s="112" t="b">
        <f t="shared" si="1132"/>
        <v>0</v>
      </c>
      <c r="AC2538" s="156" t="b">
        <f t="shared" si="1135"/>
        <v>0</v>
      </c>
      <c r="AD2538" s="111" t="b">
        <f t="shared" si="1135"/>
        <v>0</v>
      </c>
      <c r="AE2538" s="111" t="b">
        <f t="shared" si="1135"/>
        <v>0</v>
      </c>
      <c r="AF2538" s="111" t="b">
        <f t="shared" si="1135"/>
        <v>0</v>
      </c>
      <c r="AG2538" s="111" t="b">
        <f t="shared" si="1135"/>
        <v>0</v>
      </c>
      <c r="AH2538" s="111" t="b">
        <f t="shared" si="1135"/>
        <v>0</v>
      </c>
      <c r="AI2538" s="112" t="b">
        <f t="shared" si="1135"/>
        <v>0</v>
      </c>
      <c r="AJ2538" s="2"/>
      <c r="AK2538" s="2"/>
      <c r="AL2538" s="2"/>
    </row>
    <row r="2539" spans="1:38" ht="12.75" customHeight="1" thickBot="1" x14ac:dyDescent="0.3">
      <c r="A2539" s="2"/>
      <c r="B2539" s="19"/>
      <c r="C2539" s="19"/>
      <c r="D2539" s="90"/>
      <c r="E2539" s="1026" t="str">
        <f>Translations!$B$548</f>
        <v>Summa av produktionsnivåer</v>
      </c>
      <c r="F2539" s="915"/>
      <c r="G2539" s="554"/>
      <c r="H2539" s="275" t="str">
        <f t="shared" ref="H2539:N2539" si="1136">IF(COUNT(H2529:H2538)&gt;0,SUM(H2529:H2538),"")</f>
        <v/>
      </c>
      <c r="I2539" s="281" t="str">
        <f t="shared" si="1136"/>
        <v/>
      </c>
      <c r="J2539" s="1118" t="str">
        <f t="shared" si="1136"/>
        <v/>
      </c>
      <c r="K2539" s="275" t="str">
        <f t="shared" si="1136"/>
        <v/>
      </c>
      <c r="L2539" s="275" t="str">
        <f t="shared" si="1136"/>
        <v/>
      </c>
      <c r="M2539" s="275" t="str">
        <f t="shared" si="1136"/>
        <v/>
      </c>
      <c r="N2539" s="275" t="str">
        <f t="shared" si="1136"/>
        <v/>
      </c>
      <c r="O2539" s="15"/>
      <c r="P2539" s="15"/>
      <c r="Q2539" s="2"/>
      <c r="R2539" s="2"/>
      <c r="S2539" s="343"/>
      <c r="T2539" s="343"/>
      <c r="U2539" s="2"/>
      <c r="V2539" s="2"/>
      <c r="W2539" s="2"/>
      <c r="X2539" s="2"/>
      <c r="Y2539" s="2"/>
      <c r="Z2539" s="2"/>
      <c r="AA2539" s="2"/>
      <c r="AB2539" s="555" t="b">
        <f>AND(AB2529:AB2538)</f>
        <v>0</v>
      </c>
      <c r="AC2539" s="2"/>
      <c r="AD2539" s="2"/>
      <c r="AE2539" s="2"/>
      <c r="AF2539" s="2"/>
      <c r="AG2539" s="2"/>
      <c r="AH2539" s="2"/>
      <c r="AI2539" s="2"/>
      <c r="AJ2539" s="2"/>
      <c r="AK2539" s="2"/>
      <c r="AL2539" s="2"/>
    </row>
    <row r="2540" spans="1:38" ht="12.75" customHeight="1" thickBot="1" x14ac:dyDescent="0.3">
      <c r="A2540" s="2"/>
      <c r="B2540" s="178"/>
      <c r="C2540" s="178"/>
      <c r="D2540" s="178"/>
      <c r="E2540" s="178"/>
      <c r="F2540" s="178"/>
      <c r="G2540" s="178"/>
      <c r="H2540" s="178"/>
      <c r="I2540" s="178"/>
      <c r="J2540" s="178"/>
      <c r="K2540" s="178"/>
      <c r="L2540" s="178"/>
      <c r="M2540" s="15"/>
      <c r="N2540" s="15"/>
      <c r="O2540" s="15"/>
      <c r="P2540" s="15"/>
      <c r="Q2540" s="343"/>
      <c r="R2540" s="2"/>
      <c r="S2540" s="343"/>
      <c r="T2540" s="343"/>
      <c r="U2540" s="2"/>
      <c r="V2540" s="2"/>
      <c r="W2540" s="2"/>
      <c r="X2540" s="2"/>
      <c r="Y2540" s="2"/>
      <c r="Z2540" s="2"/>
      <c r="AA2540" s="2"/>
      <c r="AB2540" s="2"/>
      <c r="AC2540" s="2"/>
      <c r="AD2540" s="2"/>
      <c r="AE2540" s="2"/>
      <c r="AF2540" s="2"/>
      <c r="AG2540" s="2"/>
      <c r="AH2540" s="2"/>
      <c r="AI2540" s="2"/>
      <c r="AJ2540" s="2"/>
      <c r="AK2540" s="2"/>
      <c r="AL2540" s="2"/>
    </row>
    <row r="2541" spans="1:38" ht="5.15" customHeight="1" x14ac:dyDescent="0.25">
      <c r="A2541" s="2"/>
      <c r="B2541" s="178"/>
      <c r="C2541" s="775"/>
      <c r="D2541" s="776"/>
      <c r="E2541" s="776"/>
      <c r="F2541" s="776"/>
      <c r="G2541" s="776"/>
      <c r="H2541" s="776"/>
      <c r="I2541" s="776"/>
      <c r="J2541" s="776"/>
      <c r="K2541" s="776"/>
      <c r="L2541" s="776"/>
      <c r="M2541" s="777"/>
      <c r="N2541" s="778"/>
      <c r="O2541" s="15"/>
      <c r="P2541" s="15"/>
      <c r="Q2541" s="343"/>
      <c r="R2541" s="2"/>
      <c r="S2541" s="343"/>
      <c r="T2541" s="343"/>
      <c r="U2541" s="2"/>
      <c r="V2541" s="2"/>
      <c r="W2541" s="2"/>
      <c r="X2541" s="2"/>
      <c r="Y2541" s="2"/>
      <c r="Z2541" s="2"/>
      <c r="AA2541" s="2"/>
      <c r="AB2541" s="2"/>
      <c r="AC2541" s="2"/>
      <c r="AD2541" s="2"/>
      <c r="AE2541" s="2"/>
      <c r="AF2541" s="2"/>
      <c r="AG2541" s="2"/>
      <c r="AH2541" s="2"/>
      <c r="AI2541" s="2"/>
      <c r="AJ2541" s="2"/>
      <c r="AK2541" s="2"/>
      <c r="AL2541" s="2"/>
    </row>
    <row r="2542" spans="1:38" ht="15" customHeight="1" x14ac:dyDescent="0.25">
      <c r="A2542" s="2"/>
      <c r="B2542" s="19"/>
      <c r="C2542" s="779"/>
      <c r="D2542" s="2645" t="str">
        <f>Translations!$B$549</f>
        <v>Uppgifter som krävs för att fastställa den riktmärkesrelaterade förbättringsfaktorn enligt artikel 10a.2 i ETS-direktivet</v>
      </c>
      <c r="E2542" s="2635"/>
      <c r="F2542" s="2635"/>
      <c r="G2542" s="2635"/>
      <c r="H2542" s="2635"/>
      <c r="I2542" s="2635"/>
      <c r="J2542" s="2635"/>
      <c r="K2542" s="2635"/>
      <c r="L2542" s="2635"/>
      <c r="M2542" s="2635"/>
      <c r="N2542" s="2636"/>
      <c r="O2542" s="15"/>
      <c r="P2542" s="15"/>
      <c r="Q2542" s="2"/>
      <c r="R2542" s="2"/>
      <c r="S2542" s="343"/>
      <c r="T2542" s="343"/>
      <c r="U2542" s="2"/>
      <c r="V2542" s="2"/>
      <c r="W2542" s="2"/>
      <c r="X2542" s="2"/>
      <c r="Y2542" s="2"/>
      <c r="Z2542" s="2"/>
      <c r="AA2542" s="2"/>
      <c r="AB2542" s="2"/>
      <c r="AC2542" s="2"/>
      <c r="AD2542" s="2"/>
      <c r="AE2542" s="2"/>
      <c r="AF2542" s="2"/>
      <c r="AG2542" s="2"/>
      <c r="AH2542" s="2"/>
      <c r="AI2542" s="2"/>
      <c r="AJ2542" s="2"/>
      <c r="AK2542" s="2"/>
      <c r="AL2542" s="2"/>
    </row>
    <row r="2543" spans="1:38" ht="5.15" customHeight="1" x14ac:dyDescent="0.25">
      <c r="A2543" s="2"/>
      <c r="B2543" s="19"/>
      <c r="C2543" s="371"/>
      <c r="D2543" s="360"/>
      <c r="E2543" s="360"/>
      <c r="F2543" s="360"/>
      <c r="G2543" s="360"/>
      <c r="H2543" s="360"/>
      <c r="I2543" s="360"/>
      <c r="J2543" s="360"/>
      <c r="K2543" s="360"/>
      <c r="L2543" s="360"/>
      <c r="M2543" s="360"/>
      <c r="N2543" s="372"/>
      <c r="O2543" s="15"/>
      <c r="P2543" s="15"/>
      <c r="Q2543" s="2"/>
      <c r="R2543" s="2"/>
      <c r="S2543" s="343"/>
      <c r="T2543" s="343"/>
      <c r="U2543" s="2"/>
      <c r="V2543" s="2"/>
      <c r="W2543" s="2"/>
      <c r="X2543" s="2"/>
      <c r="Y2543" s="2"/>
      <c r="Z2543" s="2"/>
      <c r="AA2543" s="2"/>
      <c r="AB2543" s="2"/>
      <c r="AC2543" s="2"/>
      <c r="AD2543" s="2"/>
      <c r="AE2543" s="2"/>
      <c r="AF2543" s="2"/>
      <c r="AG2543" s="2"/>
      <c r="AH2543" s="2"/>
      <c r="AI2543" s="2"/>
      <c r="AJ2543" s="2"/>
      <c r="AK2543" s="2"/>
      <c r="AL2543" s="2"/>
    </row>
    <row r="2544" spans="1:38" ht="15" customHeight="1" x14ac:dyDescent="0.25">
      <c r="A2544" s="2"/>
      <c r="B2544" s="19"/>
      <c r="C2544" s="371"/>
      <c r="D2544" s="2646" t="str">
        <f>EUconst_BMSubinst &amp; ":"</f>
        <v>Delanläggning med produktriktmärke:</v>
      </c>
      <c r="E2544" s="2642"/>
      <c r="F2544" s="2642"/>
      <c r="G2544" s="2642"/>
      <c r="H2544" s="2647"/>
      <c r="I2544" s="2090" t="str">
        <f>I2429</f>
        <v/>
      </c>
      <c r="J2544" s="2120"/>
      <c r="K2544" s="2120"/>
      <c r="L2544" s="2120"/>
      <c r="M2544" s="2120"/>
      <c r="N2544" s="2648"/>
      <c r="O2544" s="15"/>
      <c r="P2544" s="15"/>
      <c r="Q2544" s="2"/>
      <c r="R2544" s="2"/>
      <c r="S2544" s="343"/>
      <c r="T2544" s="343"/>
      <c r="U2544" s="2"/>
      <c r="V2544" s="2"/>
      <c r="W2544" s="2"/>
      <c r="X2544" s="2"/>
      <c r="Y2544" s="2"/>
      <c r="Z2544" s="2"/>
      <c r="AA2544" s="2"/>
      <c r="AB2544" s="2"/>
      <c r="AC2544" s="2"/>
      <c r="AD2544" s="2"/>
      <c r="AE2544" s="2"/>
      <c r="AF2544" s="2"/>
      <c r="AG2544" s="2"/>
      <c r="AH2544" s="2"/>
      <c r="AI2544" s="2"/>
      <c r="AJ2544" s="2"/>
      <c r="AK2544" s="2"/>
      <c r="AL2544" s="2"/>
    </row>
    <row r="2545" spans="1:38" ht="5.15" customHeight="1" x14ac:dyDescent="0.25">
      <c r="A2545" s="2"/>
      <c r="B2545" s="19"/>
      <c r="C2545" s="371"/>
      <c r="D2545" s="360"/>
      <c r="E2545" s="360"/>
      <c r="F2545" s="360"/>
      <c r="G2545" s="360"/>
      <c r="H2545" s="360"/>
      <c r="I2545" s="360"/>
      <c r="J2545" s="360"/>
      <c r="K2545" s="360"/>
      <c r="L2545" s="360"/>
      <c r="M2545" s="360"/>
      <c r="N2545" s="372"/>
      <c r="O2545" s="15"/>
      <c r="P2545" s="15"/>
      <c r="Q2545" s="2"/>
      <c r="R2545" s="2"/>
      <c r="S2545" s="343"/>
      <c r="T2545" s="343"/>
      <c r="U2545" s="2"/>
      <c r="V2545" s="2"/>
      <c r="W2545" s="2"/>
      <c r="X2545" s="2"/>
      <c r="Y2545" s="2"/>
      <c r="Z2545" s="2"/>
      <c r="AA2545" s="2"/>
      <c r="AB2545" s="2"/>
      <c r="AC2545" s="2"/>
      <c r="AD2545" s="2"/>
      <c r="AE2545" s="2"/>
      <c r="AF2545" s="2"/>
      <c r="AG2545" s="2"/>
      <c r="AH2545" s="2"/>
      <c r="AI2545" s="2"/>
      <c r="AJ2545" s="2"/>
      <c r="AK2545" s="2"/>
      <c r="AL2545" s="2"/>
    </row>
    <row r="2546" spans="1:38" ht="30" customHeight="1" x14ac:dyDescent="0.25">
      <c r="A2546" s="2"/>
      <c r="B2546" s="178"/>
      <c r="C2546" s="779"/>
      <c r="D2546" s="780"/>
      <c r="E2546" s="2649" t="str">
        <f>Translations!$B$550</f>
        <v>Detta underavsnitt avser tillskrivning av utsläpp från bränsle-/materialmängder, utsläppskällor, import och export av mätbar värme och restgaser inklusive värmeförluster i enlighet med avsnitt 10 i bilaga VII till FAR.</v>
      </c>
      <c r="F2546" s="2649"/>
      <c r="G2546" s="2649"/>
      <c r="H2546" s="2649"/>
      <c r="I2546" s="2649"/>
      <c r="J2546" s="2649"/>
      <c r="K2546" s="2649"/>
      <c r="L2546" s="2649"/>
      <c r="M2546" s="2649"/>
      <c r="N2546" s="2650"/>
      <c r="O2546" s="15"/>
      <c r="P2546" s="15"/>
      <c r="Q2546" s="343"/>
      <c r="R2546" s="2"/>
      <c r="S2546" s="2"/>
      <c r="T2546" s="2"/>
      <c r="U2546" s="2"/>
      <c r="V2546" s="2"/>
      <c r="W2546" s="2"/>
      <c r="X2546" s="2"/>
      <c r="Y2546" s="2"/>
      <c r="Z2546" s="2"/>
      <c r="AA2546" s="2"/>
      <c r="AB2546" s="2"/>
      <c r="AC2546" s="2"/>
      <c r="AD2546" s="2"/>
      <c r="AE2546" s="2"/>
      <c r="AF2546" s="2"/>
      <c r="AG2546" s="2"/>
      <c r="AH2546" s="2"/>
      <c r="AI2546" s="2"/>
      <c r="AJ2546" s="2"/>
      <c r="AK2546" s="2"/>
      <c r="AL2546" s="2"/>
    </row>
    <row r="2547" spans="1:38" ht="30" customHeight="1" x14ac:dyDescent="0.25">
      <c r="A2547" s="2"/>
      <c r="B2547" s="178"/>
      <c r="C2547" s="779"/>
      <c r="D2547" s="780"/>
      <c r="E2547" s="2649" t="str">
        <f>Translations!$B$551</f>
        <v xml:space="preserve">Var god notera att även om viss vägledning ges för varje punkt nedan bör ytterligare information inhämtas från vägledning 5 (”Monitoring and Reporting in relation to the FAR”), som också innehåller exempel. </v>
      </c>
      <c r="F2547" s="2649"/>
      <c r="G2547" s="2649"/>
      <c r="H2547" s="2649"/>
      <c r="I2547" s="2649"/>
      <c r="J2547" s="2649"/>
      <c r="K2547" s="2649"/>
      <c r="L2547" s="2649"/>
      <c r="M2547" s="2649"/>
      <c r="N2547" s="2597"/>
      <c r="O2547" s="15"/>
      <c r="P2547" s="15"/>
      <c r="Q2547" s="343"/>
      <c r="R2547" s="2"/>
      <c r="S2547" s="2"/>
      <c r="T2547" s="2"/>
      <c r="U2547" s="2"/>
      <c r="V2547" s="2"/>
      <c r="W2547" s="2"/>
      <c r="X2547" s="2"/>
      <c r="Y2547" s="2"/>
      <c r="Z2547" s="2"/>
      <c r="AA2547" s="2"/>
      <c r="AB2547" s="2"/>
      <c r="AC2547" s="2"/>
      <c r="AD2547" s="2"/>
      <c r="AE2547" s="2"/>
      <c r="AF2547" s="2"/>
      <c r="AG2547" s="2"/>
      <c r="AH2547" s="2"/>
      <c r="AI2547" s="2"/>
      <c r="AJ2547" s="2"/>
      <c r="AK2547" s="2"/>
      <c r="AL2547" s="2"/>
    </row>
    <row r="2548" spans="1:38" ht="12.75" customHeight="1" x14ac:dyDescent="0.25">
      <c r="A2548" s="2"/>
      <c r="B2548" s="178"/>
      <c r="C2548" s="779"/>
      <c r="D2548" s="780"/>
      <c r="E2548" s="2649" t="str">
        <f>Translations!$B$552</f>
        <v xml:space="preserve">Vägledningen kan laddas ner via följande länk: </v>
      </c>
      <c r="F2548" s="1960"/>
      <c r="G2548" s="1960"/>
      <c r="H2548" s="1960"/>
      <c r="I2548" s="1960"/>
      <c r="J2548" s="1960"/>
      <c r="K2548" s="1960"/>
      <c r="L2548" s="1960"/>
      <c r="M2548" s="1960"/>
      <c r="N2548" s="2597"/>
      <c r="O2548" s="15"/>
      <c r="P2548" s="15"/>
      <c r="Q2548" s="343"/>
      <c r="R2548" s="2"/>
      <c r="S2548" s="2"/>
      <c r="T2548" s="2"/>
      <c r="U2548" s="2"/>
      <c r="V2548" s="2"/>
      <c r="W2548" s="2"/>
      <c r="X2548" s="2"/>
      <c r="Y2548" s="2"/>
      <c r="Z2548" s="2"/>
      <c r="AA2548" s="2"/>
      <c r="AB2548" s="2"/>
      <c r="AC2548" s="2"/>
      <c r="AD2548" s="2"/>
      <c r="AE2548" s="2"/>
      <c r="AF2548" s="2"/>
      <c r="AG2548" s="2"/>
      <c r="AH2548" s="2"/>
      <c r="AI2548" s="2"/>
      <c r="AJ2548" s="2"/>
      <c r="AK2548" s="2"/>
      <c r="AL2548" s="2"/>
    </row>
    <row r="2549" spans="1:38" ht="15" customHeight="1" x14ac:dyDescent="0.25">
      <c r="A2549" s="2"/>
      <c r="B2549" s="178"/>
      <c r="C2549" s="779"/>
      <c r="D2549" s="780"/>
      <c r="E2549" s="2651" t="str">
        <f>Translations!$B$553</f>
        <v>https://ec.europa.eu/clima/policies/ets/allowances_en#tab-0-1</v>
      </c>
      <c r="F2549" s="2651"/>
      <c r="G2549" s="2651"/>
      <c r="H2549" s="2651"/>
      <c r="I2549" s="2651"/>
      <c r="J2549" s="2651"/>
      <c r="K2549" s="2651"/>
      <c r="L2549" s="2651"/>
      <c r="M2549" s="2651"/>
      <c r="N2549" s="2624"/>
      <c r="O2549" s="15"/>
      <c r="P2549" s="15"/>
      <c r="Q2549" s="343"/>
      <c r="R2549" s="2"/>
      <c r="S2549" s="2"/>
      <c r="T2549" s="2"/>
      <c r="U2549" s="2"/>
      <c r="V2549" s="2"/>
      <c r="W2549" s="2"/>
      <c r="X2549" s="2"/>
      <c r="Y2549" s="2"/>
      <c r="Z2549" s="2"/>
      <c r="AA2549" s="2"/>
      <c r="AB2549" s="2"/>
      <c r="AC2549" s="2"/>
      <c r="AD2549" s="2"/>
      <c r="AE2549" s="2"/>
      <c r="AF2549" s="2"/>
      <c r="AG2549" s="2"/>
      <c r="AH2549" s="2"/>
      <c r="AI2549" s="2"/>
      <c r="AJ2549" s="2"/>
      <c r="AK2549" s="2"/>
      <c r="AL2549" s="2"/>
    </row>
    <row r="2550" spans="1:38" ht="5.15" customHeight="1" x14ac:dyDescent="0.25">
      <c r="A2550" s="2"/>
      <c r="B2550" s="19"/>
      <c r="C2550" s="371"/>
      <c r="D2550" s="360"/>
      <c r="E2550" s="360"/>
      <c r="F2550" s="360"/>
      <c r="G2550" s="360"/>
      <c r="H2550" s="360"/>
      <c r="I2550" s="360"/>
      <c r="J2550" s="360"/>
      <c r="K2550" s="360"/>
      <c r="L2550" s="360"/>
      <c r="M2550" s="360"/>
      <c r="N2550" s="372"/>
      <c r="O2550" s="15"/>
      <c r="P2550" s="15"/>
      <c r="Q2550" s="2"/>
      <c r="R2550" s="2"/>
      <c r="S2550" s="343"/>
      <c r="T2550" s="343"/>
      <c r="U2550" s="2"/>
      <c r="V2550" s="2"/>
      <c r="W2550" s="2"/>
      <c r="X2550" s="2"/>
      <c r="Y2550" s="2"/>
      <c r="Z2550" s="2"/>
      <c r="AA2550" s="2"/>
      <c r="AB2550" s="2"/>
      <c r="AC2550" s="2"/>
      <c r="AD2550" s="2"/>
      <c r="AE2550" s="2"/>
      <c r="AF2550" s="2"/>
      <c r="AG2550" s="2"/>
      <c r="AH2550" s="2"/>
      <c r="AI2550" s="2"/>
      <c r="AJ2550" s="2"/>
      <c r="AK2550" s="2"/>
      <c r="AL2550" s="2"/>
    </row>
    <row r="2551" spans="1:38" ht="15" customHeight="1" x14ac:dyDescent="0.25">
      <c r="A2551" s="2"/>
      <c r="B2551" s="178"/>
      <c r="C2551" s="779"/>
      <c r="D2551" s="780"/>
      <c r="E2551" s="2633" t="str">
        <f>Translations!$B$554</f>
        <v>Utifrån de uppgifter som anges nedan beräknas de tillskrivna utsläppen i avsnitt K.III.2 i det sammanfattande bladet "K_Summary".</v>
      </c>
      <c r="F2551" s="2633"/>
      <c r="G2551" s="2633"/>
      <c r="H2551" s="2633"/>
      <c r="I2551" s="2633"/>
      <c r="J2551" s="2633"/>
      <c r="K2551" s="2633"/>
      <c r="L2551" s="2633"/>
      <c r="M2551" s="2633"/>
      <c r="N2551" s="2624"/>
      <c r="O2551" s="15"/>
      <c r="P2551" s="15"/>
      <c r="Q2551" s="343"/>
      <c r="R2551" s="2"/>
      <c r="S2551" s="2"/>
      <c r="T2551" s="2"/>
      <c r="U2551" s="2"/>
      <c r="V2551" s="2"/>
      <c r="W2551" s="2"/>
      <c r="X2551" s="2"/>
      <c r="Y2551" s="2"/>
      <c r="Z2551" s="2"/>
      <c r="AA2551" s="2"/>
      <c r="AB2551" s="2"/>
      <c r="AC2551" s="2"/>
      <c r="AD2551" s="2"/>
      <c r="AE2551" s="2"/>
      <c r="AF2551" s="2"/>
      <c r="AG2551" s="2"/>
      <c r="AH2551" s="2"/>
      <c r="AI2551" s="2"/>
      <c r="AJ2551" s="2"/>
      <c r="AK2551" s="2"/>
      <c r="AL2551" s="2"/>
    </row>
    <row r="2552" spans="1:38" ht="5.15" customHeight="1" x14ac:dyDescent="0.25">
      <c r="A2552" s="2"/>
      <c r="B2552" s="19"/>
      <c r="C2552" s="371"/>
      <c r="D2552" s="360"/>
      <c r="E2552" s="360"/>
      <c r="F2552" s="360"/>
      <c r="G2552" s="360"/>
      <c r="H2552" s="360"/>
      <c r="I2552" s="360"/>
      <c r="J2552" s="360"/>
      <c r="K2552" s="360"/>
      <c r="L2552" s="360"/>
      <c r="M2552" s="360"/>
      <c r="N2552" s="372"/>
      <c r="O2552" s="15"/>
      <c r="P2552" s="15"/>
      <c r="Q2552" s="2"/>
      <c r="R2552" s="2"/>
      <c r="S2552" s="343"/>
      <c r="T2552" s="343"/>
      <c r="U2552" s="2"/>
      <c r="V2552" s="2"/>
      <c r="W2552" s="2"/>
      <c r="X2552" s="2"/>
      <c r="Y2552" s="2"/>
      <c r="Z2552" s="2"/>
      <c r="AA2552" s="2"/>
      <c r="AB2552" s="2"/>
      <c r="AC2552" s="2"/>
      <c r="AD2552" s="2"/>
      <c r="AE2552" s="2"/>
      <c r="AF2552" s="2"/>
      <c r="AG2552" s="2"/>
      <c r="AH2552" s="2"/>
      <c r="AI2552" s="2"/>
      <c r="AJ2552" s="2"/>
      <c r="AK2552" s="2"/>
      <c r="AL2552" s="2"/>
    </row>
    <row r="2553" spans="1:38" ht="12.75" customHeight="1" x14ac:dyDescent="0.25">
      <c r="A2553" s="2"/>
      <c r="B2553" s="178"/>
      <c r="C2553" s="779"/>
      <c r="D2553" s="373" t="s">
        <v>299</v>
      </c>
      <c r="E2553" s="2634" t="str">
        <f>Translations!$B$555</f>
        <v>Utsläpp som direkt kan tillskrivas (DirEm* (bränsle-/materialmängder enligt övervakningsplan)) delanläggningen</v>
      </c>
      <c r="F2553" s="2635"/>
      <c r="G2553" s="2635"/>
      <c r="H2553" s="2635"/>
      <c r="I2553" s="2635"/>
      <c r="J2553" s="2635"/>
      <c r="K2553" s="2635"/>
      <c r="L2553" s="2635"/>
      <c r="M2553" s="2635"/>
      <c r="N2553" s="2636"/>
      <c r="O2553" s="15"/>
      <c r="P2553" s="15"/>
      <c r="Q2553" s="343"/>
      <c r="R2553" s="2"/>
      <c r="S2553" s="343"/>
      <c r="T2553" s="343"/>
      <c r="U2553" s="2"/>
      <c r="V2553" s="2"/>
      <c r="W2553" s="2"/>
      <c r="X2553" s="2"/>
      <c r="Y2553" s="2"/>
      <c r="Z2553" s="2"/>
      <c r="AA2553" s="2"/>
      <c r="AB2553" s="2"/>
      <c r="AC2553" s="2"/>
      <c r="AD2553" s="2"/>
      <c r="AE2553" s="2"/>
      <c r="AF2553" s="2"/>
      <c r="AG2553" s="2"/>
      <c r="AH2553" s="2"/>
      <c r="AI2553" s="2"/>
      <c r="AJ2553" s="2"/>
      <c r="AK2553" s="2"/>
      <c r="AL2553" s="2"/>
    </row>
    <row r="2554" spans="1:38" ht="12.75" customHeight="1" x14ac:dyDescent="0.25">
      <c r="A2554" s="2"/>
      <c r="B2554" s="178"/>
      <c r="C2554" s="779"/>
      <c r="D2554" s="416"/>
      <c r="E2554" s="2637" t="str">
        <f>Translations!$B$556</f>
        <v>De uppgifter som anges här påverkar de utsläpp som kan tillskrivas i enlighet med avsnitt 10.1.1 i bilaga VII till FAR.</v>
      </c>
      <c r="F2554" s="2634"/>
      <c r="G2554" s="2634"/>
      <c r="H2554" s="2634"/>
      <c r="I2554" s="2634"/>
      <c r="J2554" s="2634"/>
      <c r="K2554" s="2634"/>
      <c r="L2554" s="2634"/>
      <c r="M2554" s="2634"/>
      <c r="N2554" s="2638"/>
      <c r="O2554" s="15"/>
      <c r="P2554" s="15"/>
      <c r="Q2554" s="343"/>
      <c r="R2554" s="2"/>
      <c r="S2554" s="343"/>
      <c r="T2554" s="343"/>
      <c r="U2554" s="2"/>
      <c r="V2554" s="2"/>
      <c r="W2554" s="2"/>
      <c r="X2554" s="2"/>
      <c r="Y2554" s="2"/>
      <c r="Z2554" s="2"/>
      <c r="AA2554" s="2"/>
      <c r="AB2554" s="2"/>
      <c r="AC2554" s="2"/>
      <c r="AD2554" s="2"/>
      <c r="AE2554" s="2"/>
      <c r="AF2554" s="2"/>
      <c r="AG2554" s="2"/>
      <c r="AH2554" s="2"/>
      <c r="AI2554" s="2"/>
      <c r="AJ2554" s="2"/>
      <c r="AK2554" s="2"/>
      <c r="AL2554" s="2"/>
    </row>
    <row r="2555" spans="1:38" ht="12.75" customHeight="1" x14ac:dyDescent="0.25">
      <c r="A2555" s="2"/>
      <c r="B2555" s="178"/>
      <c r="C2555" s="779"/>
      <c r="D2555" s="780"/>
      <c r="E2555" s="2639" t="str">
        <f>Translations!$B$557</f>
        <v>Var god ange utsläpp som direkt kan tillskrivas (DirEm* (bränsle-/materialmängder enligt övervakningsplan)) delanläggningen med beaktande av följande bestämmelser:</v>
      </c>
      <c r="F2555" s="2639"/>
      <c r="G2555" s="2639"/>
      <c r="H2555" s="2639"/>
      <c r="I2555" s="2639"/>
      <c r="J2555" s="2639"/>
      <c r="K2555" s="2639"/>
      <c r="L2555" s="2639"/>
      <c r="M2555" s="2639"/>
      <c r="N2555" s="2640"/>
      <c r="O2555" s="15"/>
      <c r="P2555" s="15"/>
      <c r="Q2555" s="343"/>
      <c r="R2555" s="2"/>
      <c r="S2555" s="343"/>
      <c r="T2555" s="2"/>
      <c r="U2555" s="2"/>
      <c r="V2555" s="2"/>
      <c r="W2555" s="2"/>
      <c r="X2555" s="2"/>
      <c r="Y2555" s="2"/>
      <c r="Z2555" s="2"/>
      <c r="AA2555" s="2"/>
      <c r="AB2555" s="2"/>
      <c r="AC2555" s="2"/>
      <c r="AD2555" s="2"/>
      <c r="AE2555" s="2"/>
      <c r="AF2555" s="2"/>
      <c r="AG2555" s="2"/>
      <c r="AH2555" s="2"/>
      <c r="AI2555" s="2"/>
      <c r="AJ2555" s="2"/>
      <c r="AK2555" s="2"/>
      <c r="AL2555" s="2"/>
    </row>
    <row r="2556" spans="1:38" ht="25.5" customHeight="1" x14ac:dyDescent="0.25">
      <c r="A2556" s="2"/>
      <c r="B2556" s="178"/>
      <c r="C2556" s="779"/>
      <c r="D2556" s="780"/>
      <c r="E2556" s="1140" t="s">
        <v>1112</v>
      </c>
      <c r="F2556" s="2641" t="str">
        <f>Translations!$B$558</f>
        <v>”Utsläpp som direkt kan tillskrivas” övervakas enligt den övervakningsplan som ska godkännas enligt M&amp;R-förordningen, dvs. med hänsyn tagen till de utsläpp som fastställts utifrån beräkningsbaserade metoder (med hjälp av bränsle-/materialmängder), mätbaserade metoder (Cems) och nivålösa metoder (”alternativa övervakningsmetoder”/”fall-back”).</v>
      </c>
      <c r="G2556" s="2642"/>
      <c r="H2556" s="2642"/>
      <c r="I2556" s="2642"/>
      <c r="J2556" s="2642"/>
      <c r="K2556" s="2642"/>
      <c r="L2556" s="2642"/>
      <c r="M2556" s="2642"/>
      <c r="N2556" s="2643"/>
      <c r="O2556" s="15"/>
      <c r="P2556" s="15"/>
      <c r="Q2556" s="343"/>
      <c r="R2556" s="2"/>
      <c r="S2556" s="343"/>
      <c r="T2556" s="2"/>
      <c r="U2556" s="2"/>
      <c r="V2556" s="2"/>
      <c r="W2556" s="2"/>
      <c r="X2556" s="2"/>
      <c r="Y2556" s="2"/>
      <c r="Z2556" s="2"/>
      <c r="AA2556" s="2"/>
      <c r="AB2556" s="2"/>
      <c r="AC2556" s="2"/>
      <c r="AD2556" s="2"/>
      <c r="AE2556" s="2"/>
      <c r="AF2556" s="2"/>
      <c r="AG2556" s="2"/>
      <c r="AH2556" s="2"/>
      <c r="AI2556" s="2"/>
      <c r="AJ2556" s="2"/>
      <c r="AK2556" s="2"/>
      <c r="AL2556" s="2"/>
    </row>
    <row r="2557" spans="1:38" ht="38.25" customHeight="1" x14ac:dyDescent="0.25">
      <c r="A2557" s="2"/>
      <c r="B2557" s="178"/>
      <c r="C2557" s="779"/>
      <c r="D2557" s="780"/>
      <c r="E2557" s="1140"/>
      <c r="F2557" s="2610" t="str">
        <f>Translations!$B$559</f>
        <v>I flera situationer är ”utsläppen som direkt kan tillskrivas” i detta avsnitt dock inte identiska med de som ska rapporteras enligt M&amp;R-förordningen. Sådana situationer är bland annat när bränsle-/materialmängder används för produktion av mätbar värme, restgaser osv. Med andra ord måste man därför vara uppmärksam när man fyller i avsnitten nedan, så att man följer instruktionerna noggrant för att undvika dubbelräkning eller utelämnanden.</v>
      </c>
      <c r="G2557" s="1960"/>
      <c r="H2557" s="1960"/>
      <c r="I2557" s="1960"/>
      <c r="J2557" s="1960"/>
      <c r="K2557" s="1960"/>
      <c r="L2557" s="1960"/>
      <c r="M2557" s="1960"/>
      <c r="N2557" s="2597"/>
      <c r="O2557" s="15"/>
      <c r="P2557" s="15"/>
      <c r="Q2557" s="343"/>
      <c r="R2557" s="2"/>
      <c r="S2557" s="343"/>
      <c r="T2557" s="2"/>
      <c r="U2557" s="2"/>
      <c r="V2557" s="2"/>
      <c r="W2557" s="2"/>
      <c r="X2557" s="2"/>
      <c r="Y2557" s="2"/>
      <c r="Z2557" s="2"/>
      <c r="AA2557" s="2"/>
      <c r="AB2557" s="2"/>
      <c r="AC2557" s="2"/>
      <c r="AD2557" s="2"/>
      <c r="AE2557" s="2"/>
      <c r="AF2557" s="2"/>
      <c r="AG2557" s="2"/>
      <c r="AH2557" s="2"/>
      <c r="AI2557" s="2"/>
      <c r="AJ2557" s="2"/>
      <c r="AK2557" s="2"/>
      <c r="AL2557" s="2"/>
    </row>
    <row r="2558" spans="1:38" ht="12.75" customHeight="1" x14ac:dyDescent="0.25">
      <c r="A2558" s="2"/>
      <c r="B2558" s="178"/>
      <c r="C2558" s="779"/>
      <c r="D2558" s="780"/>
      <c r="E2558" s="1140" t="s">
        <v>1112</v>
      </c>
      <c r="F2558" s="2641" t="str">
        <f>Translations!$B$560</f>
        <v xml:space="preserve">Mätbar värme: om värmen enbart produceras för en delanläggning kan utsläppen tillskrivas direkt här via bränslets utsläpp. </v>
      </c>
      <c r="G2558" s="2642"/>
      <c r="H2558" s="2642"/>
      <c r="I2558" s="2642"/>
      <c r="J2558" s="2642"/>
      <c r="K2558" s="2642"/>
      <c r="L2558" s="2642"/>
      <c r="M2558" s="2642"/>
      <c r="N2558" s="2643"/>
      <c r="O2558" s="15"/>
      <c r="P2558" s="15"/>
      <c r="Q2558" s="343"/>
      <c r="R2558" s="2"/>
      <c r="S2558" s="343"/>
      <c r="T2558" s="2"/>
      <c r="U2558" s="2"/>
      <c r="V2558" s="2"/>
      <c r="W2558" s="2"/>
      <c r="X2558" s="2"/>
      <c r="Y2558" s="2"/>
      <c r="Z2558" s="2"/>
      <c r="AA2558" s="2"/>
      <c r="AB2558" s="2"/>
      <c r="AC2558" s="2"/>
      <c r="AD2558" s="2"/>
      <c r="AE2558" s="2"/>
      <c r="AF2558" s="2"/>
      <c r="AG2558" s="2"/>
      <c r="AH2558" s="2"/>
      <c r="AI2558" s="2"/>
      <c r="AJ2558" s="2"/>
      <c r="AK2558" s="2"/>
      <c r="AL2558" s="2"/>
    </row>
    <row r="2559" spans="1:38" ht="38.9" customHeight="1" x14ac:dyDescent="0.25">
      <c r="A2559" s="2"/>
      <c r="B2559" s="178"/>
      <c r="C2559" s="779"/>
      <c r="D2559" s="780"/>
      <c r="E2559" s="1140"/>
      <c r="F2559" s="2641" t="str">
        <f>Translations!$B$561</f>
        <v>I samtliga fall där bränslen används för att producera mätbar värme som används i mer än en delanläggning där värmen förbrukas (vilket innefattar situationer med import från och export till andra anläggningar), bör bränslena inte räknas med i de ”utsläpp som direkt kan tillskrivas” delanläggningen utan tas med i punkt k nedan.</v>
      </c>
      <c r="G2559" s="2642"/>
      <c r="H2559" s="2642"/>
      <c r="I2559" s="2642"/>
      <c r="J2559" s="2642"/>
      <c r="K2559" s="2642"/>
      <c r="L2559" s="2642"/>
      <c r="M2559" s="2642"/>
      <c r="N2559" s="2643"/>
      <c r="O2559" s="15"/>
      <c r="P2559" s="15"/>
      <c r="Q2559" s="343"/>
      <c r="R2559" s="2"/>
      <c r="S2559" s="343"/>
      <c r="T2559" s="2"/>
      <c r="U2559" s="2"/>
      <c r="V2559" s="2"/>
      <c r="W2559" s="2"/>
      <c r="X2559" s="2"/>
      <c r="Y2559" s="2"/>
      <c r="Z2559" s="2"/>
      <c r="AA2559" s="2"/>
      <c r="AB2559" s="2"/>
      <c r="AC2559" s="2"/>
      <c r="AD2559" s="2"/>
      <c r="AE2559" s="2"/>
      <c r="AF2559" s="2"/>
      <c r="AG2559" s="2"/>
      <c r="AH2559" s="2"/>
      <c r="AI2559" s="2"/>
      <c r="AJ2559" s="2"/>
      <c r="AK2559" s="2"/>
      <c r="AL2559" s="2"/>
    </row>
    <row r="2560" spans="1:38" ht="25.5" customHeight="1" x14ac:dyDescent="0.25">
      <c r="A2560" s="2"/>
      <c r="B2560" s="178"/>
      <c r="C2560" s="779"/>
      <c r="D2560" s="780"/>
      <c r="E2560" s="1140"/>
      <c r="F2560" s="2641" t="str">
        <f>Translations!$B$562</f>
        <v>Detta innefattar mätbar värme från en enhet på platsen (t.ex. en energicentral vid anläggningen eller ett mer komplext ångnätverk med flera värmeproducerande enheter) som ger värme till mer än en delanläggning. I ett sådant fall bör utsläppen inte heller tillskrivas här utan i punkt k.i nedan.</v>
      </c>
      <c r="G2560" s="2642"/>
      <c r="H2560" s="2642"/>
      <c r="I2560" s="2642"/>
      <c r="J2560" s="2642"/>
      <c r="K2560" s="2642"/>
      <c r="L2560" s="2642"/>
      <c r="M2560" s="2642"/>
      <c r="N2560" s="2643"/>
      <c r="O2560" s="15"/>
      <c r="P2560" s="15"/>
      <c r="Q2560" s="343"/>
      <c r="R2560" s="2"/>
      <c r="S2560" s="343"/>
      <c r="T2560" s="2"/>
      <c r="U2560" s="2"/>
      <c r="V2560" s="2"/>
      <c r="W2560" s="2"/>
      <c r="X2560" s="2"/>
      <c r="Y2560" s="2"/>
      <c r="Z2560" s="2"/>
      <c r="AA2560" s="2"/>
      <c r="AB2560" s="2"/>
      <c r="AC2560" s="2"/>
      <c r="AD2560" s="2"/>
      <c r="AE2560" s="2"/>
      <c r="AF2560" s="2"/>
      <c r="AG2560" s="2"/>
      <c r="AH2560" s="2"/>
      <c r="AI2560" s="2"/>
      <c r="AJ2560" s="2"/>
      <c r="AK2560" s="2"/>
      <c r="AL2560" s="2"/>
    </row>
    <row r="2561" spans="1:38" ht="25.5" customHeight="1" x14ac:dyDescent="0.25">
      <c r="A2561" s="2"/>
      <c r="B2561" s="178"/>
      <c r="C2561" s="779"/>
      <c r="D2561" s="780"/>
      <c r="E2561" s="1140" t="s">
        <v>1112</v>
      </c>
      <c r="F2561" s="2641" t="str">
        <f>Translations!$B$563</f>
        <v>Exporterad mätbar värme: inga korrigeringar bör göras här om sådan värme återvinns från processen och exporteras. Avdrag för tillhörande utsläpp görs utifrån de uppgifter som ges i punkt k.v nedan.</v>
      </c>
      <c r="G2561" s="2642"/>
      <c r="H2561" s="2642"/>
      <c r="I2561" s="2642"/>
      <c r="J2561" s="2642"/>
      <c r="K2561" s="2642"/>
      <c r="L2561" s="2642"/>
      <c r="M2561" s="2642"/>
      <c r="N2561" s="2643"/>
      <c r="O2561" s="15"/>
      <c r="P2561" s="15"/>
      <c r="Q2561" s="343"/>
      <c r="R2561" s="2"/>
      <c r="S2561" s="343"/>
      <c r="T2561" s="2"/>
      <c r="U2561" s="2"/>
      <c r="V2561" s="2"/>
      <c r="W2561" s="2"/>
      <c r="X2561" s="2"/>
      <c r="Y2561" s="2"/>
      <c r="Z2561" s="2"/>
      <c r="AA2561" s="2"/>
      <c r="AB2561" s="2"/>
      <c r="AC2561" s="2"/>
      <c r="AD2561" s="2"/>
      <c r="AE2561" s="2"/>
      <c r="AF2561" s="2"/>
      <c r="AG2561" s="2"/>
      <c r="AH2561" s="2"/>
      <c r="AI2561" s="2"/>
      <c r="AJ2561" s="2"/>
      <c r="AK2561" s="2"/>
      <c r="AL2561" s="2"/>
    </row>
    <row r="2562" spans="1:38" ht="25.5" customHeight="1" thickBot="1" x14ac:dyDescent="0.3">
      <c r="A2562" s="2"/>
      <c r="B2562" s="178"/>
      <c r="C2562" s="779"/>
      <c r="D2562" s="780"/>
      <c r="E2562" s="1140" t="s">
        <v>1112</v>
      </c>
      <c r="F2562" s="2641" t="str">
        <f>Translations!$B$564</f>
        <v>Restgaser: utsläpp från restgaser som IMPORTERAS från andra anläggningar eller delanläggningar och förbrukas i denna delanläggning bör inte tas med här utan i punkt l nedan.</v>
      </c>
      <c r="G2562" s="2642"/>
      <c r="H2562" s="2642"/>
      <c r="I2562" s="2642"/>
      <c r="J2562" s="2642"/>
      <c r="K2562" s="2642"/>
      <c r="L2562" s="2642"/>
      <c r="M2562" s="2642"/>
      <c r="N2562" s="2643"/>
      <c r="O2562" s="15"/>
      <c r="P2562" s="15"/>
      <c r="Q2562" s="343"/>
      <c r="R2562" s="2"/>
      <c r="S2562" s="343"/>
      <c r="T2562" s="2"/>
      <c r="U2562" s="2"/>
      <c r="V2562" s="2"/>
      <c r="W2562" s="2"/>
      <c r="X2562" s="2"/>
      <c r="Y2562" s="2"/>
      <c r="Z2562" s="2"/>
      <c r="AA2562" s="2"/>
      <c r="AB2562" s="2"/>
      <c r="AC2562" s="2"/>
      <c r="AD2562" s="2"/>
      <c r="AE2562" s="2"/>
      <c r="AF2562" s="2"/>
      <c r="AG2562" s="2"/>
      <c r="AH2562" s="2"/>
      <c r="AI2562" s="2"/>
      <c r="AJ2562" s="2"/>
      <c r="AK2562" s="2"/>
      <c r="AL2562" s="2"/>
    </row>
    <row r="2563" spans="1:38" ht="12.75" customHeight="1" thickBot="1" x14ac:dyDescent="0.3">
      <c r="A2563" s="2"/>
      <c r="B2563" s="178"/>
      <c r="C2563" s="779"/>
      <c r="D2563" s="373"/>
      <c r="E2563" s="2605" t="str">
        <f>Translations!$B$565</f>
        <v>Utsläpp som direkt kan tillskrivas (DirEm*)</v>
      </c>
      <c r="F2563" s="2605"/>
      <c r="G2563" s="361" t="str">
        <f>EUconst_Unit</f>
        <v>Enhet</v>
      </c>
      <c r="H2563" s="362">
        <f t="shared" ref="H2563:N2563" si="1137">H$3042</f>
        <v>2019</v>
      </c>
      <c r="I2563" s="1103">
        <f t="shared" si="1137"/>
        <v>2020</v>
      </c>
      <c r="J2563" s="1104">
        <f t="shared" si="1137"/>
        <v>2021</v>
      </c>
      <c r="K2563" s="362">
        <f t="shared" si="1137"/>
        <v>2022</v>
      </c>
      <c r="L2563" s="362">
        <f t="shared" si="1137"/>
        <v>2023</v>
      </c>
      <c r="M2563" s="362">
        <f t="shared" si="1137"/>
        <v>2024</v>
      </c>
      <c r="N2563" s="1141">
        <f t="shared" si="1137"/>
        <v>2025</v>
      </c>
      <c r="O2563" s="15"/>
      <c r="P2563" s="15"/>
      <c r="Q2563" s="343"/>
      <c r="R2563" s="2"/>
      <c r="S2563" s="772"/>
      <c r="T2563" s="609">
        <f t="shared" ref="T2563:Z2563" si="1138">H2563</f>
        <v>2019</v>
      </c>
      <c r="U2563" s="609">
        <f t="shared" si="1138"/>
        <v>2020</v>
      </c>
      <c r="V2563" s="609">
        <f t="shared" si="1138"/>
        <v>2021</v>
      </c>
      <c r="W2563" s="609">
        <f t="shared" si="1138"/>
        <v>2022</v>
      </c>
      <c r="X2563" s="609">
        <f t="shared" si="1138"/>
        <v>2023</v>
      </c>
      <c r="Y2563" s="609">
        <f t="shared" si="1138"/>
        <v>2024</v>
      </c>
      <c r="Z2563" s="610">
        <f t="shared" si="1138"/>
        <v>2025</v>
      </c>
      <c r="AA2563" s="2"/>
      <c r="AB2563" s="2"/>
      <c r="AC2563" s="1044">
        <f t="shared" ref="AC2563:AI2563" si="1139">H$20</f>
        <v>2019</v>
      </c>
      <c r="AD2563" s="1044">
        <f t="shared" si="1139"/>
        <v>2020</v>
      </c>
      <c r="AE2563" s="1044">
        <f t="shared" si="1139"/>
        <v>2021</v>
      </c>
      <c r="AF2563" s="1044">
        <f t="shared" si="1139"/>
        <v>2022</v>
      </c>
      <c r="AG2563" s="1044">
        <f t="shared" si="1139"/>
        <v>2023</v>
      </c>
      <c r="AH2563" s="1044">
        <f t="shared" si="1139"/>
        <v>2024</v>
      </c>
      <c r="AI2563" s="1044">
        <f t="shared" si="1139"/>
        <v>2025</v>
      </c>
      <c r="AJ2563" s="2"/>
      <c r="AK2563" s="2"/>
      <c r="AL2563" s="2"/>
    </row>
    <row r="2564" spans="1:38" ht="12.75" customHeight="1" thickBot="1" x14ac:dyDescent="0.3">
      <c r="A2564" s="2"/>
      <c r="B2564" s="178"/>
      <c r="C2564" s="779"/>
      <c r="D2564" s="780"/>
      <c r="E2564" s="2617" t="str">
        <f>I2429</f>
        <v/>
      </c>
      <c r="F2564" s="1997"/>
      <c r="G2564" s="363" t="str">
        <f>EUconst_tCO2epa</f>
        <v>t CO2e/år</v>
      </c>
      <c r="H2564" s="582"/>
      <c r="I2564" s="1105"/>
      <c r="J2564" s="1115"/>
      <c r="K2564" s="582"/>
      <c r="L2564" s="582"/>
      <c r="M2564" s="582"/>
      <c r="N2564" s="1146"/>
      <c r="O2564" s="15"/>
      <c r="P2564" s="1362"/>
      <c r="Q2564" s="165" t="str">
        <f>EUconst_CNTR_Emissions &amp; I2429</f>
        <v>DirEmissions_</v>
      </c>
      <c r="R2564" s="2"/>
      <c r="S2564" s="773" t="str">
        <f>EUconst_CNTR_AttributedEmissions &amp; I2429</f>
        <v>AttrEmissions_</v>
      </c>
      <c r="T2564" s="111" t="str">
        <f t="shared" ref="T2564:Z2564" si="1140">IF(T2437,SUM(H2564),"")</f>
        <v/>
      </c>
      <c r="U2564" s="111" t="str">
        <f t="shared" si="1140"/>
        <v/>
      </c>
      <c r="V2564" s="111" t="str">
        <f t="shared" si="1140"/>
        <v/>
      </c>
      <c r="W2564" s="111" t="str">
        <f t="shared" si="1140"/>
        <v/>
      </c>
      <c r="X2564" s="111" t="str">
        <f t="shared" si="1140"/>
        <v/>
      </c>
      <c r="Y2564" s="111" t="str">
        <f t="shared" si="1140"/>
        <v/>
      </c>
      <c r="Z2564" s="112" t="str">
        <f t="shared" si="1140"/>
        <v/>
      </c>
      <c r="AA2564" s="2"/>
      <c r="AB2564" s="672" t="s">
        <v>782</v>
      </c>
      <c r="AC2564" s="108" t="b">
        <f>AC2499</f>
        <v>0</v>
      </c>
      <c r="AD2564" s="108" t="b">
        <f t="shared" ref="AD2564:AI2564" si="1141">AD2499</f>
        <v>0</v>
      </c>
      <c r="AE2564" s="108" t="b">
        <f t="shared" si="1141"/>
        <v>0</v>
      </c>
      <c r="AF2564" s="108" t="b">
        <f t="shared" si="1141"/>
        <v>0</v>
      </c>
      <c r="AG2564" s="108" t="b">
        <f t="shared" si="1141"/>
        <v>0</v>
      </c>
      <c r="AH2564" s="108" t="b">
        <f t="shared" si="1141"/>
        <v>0</v>
      </c>
      <c r="AI2564" s="108" t="b">
        <f t="shared" si="1141"/>
        <v>0</v>
      </c>
      <c r="AJ2564" s="553" t="s">
        <v>2248</v>
      </c>
      <c r="AK2564" s="663" t="str">
        <f>IF(AND(CNTR_ExistSubInstEntries,MSconst_RequireSubAttrEmissions,COUNTIFS(AC2564:AI2564,FALSE,H2564:N2564,"")&gt;0),EUconst_Error&amp;"BM"&amp;$Q2429,"")</f>
        <v/>
      </c>
      <c r="AL2564" s="2"/>
    </row>
    <row r="2565" spans="1:38" ht="12.75" customHeight="1" x14ac:dyDescent="0.25">
      <c r="A2565" s="2"/>
      <c r="B2565" s="178"/>
      <c r="C2565" s="779"/>
      <c r="D2565" s="780"/>
      <c r="E2565" s="780"/>
      <c r="F2565" s="780"/>
      <c r="G2565" s="780"/>
      <c r="H2565" s="780"/>
      <c r="I2565" s="780"/>
      <c r="J2565" s="780"/>
      <c r="K2565" s="780"/>
      <c r="L2565" s="780"/>
      <c r="M2565" s="623"/>
      <c r="N2565" s="519"/>
      <c r="O2565" s="15"/>
      <c r="P2565" s="15"/>
      <c r="Q2565" s="343"/>
      <c r="R2565" s="2"/>
      <c r="S2565" s="343"/>
      <c r="T2565" s="2"/>
      <c r="U2565" s="2"/>
      <c r="V2565" s="2"/>
      <c r="W2565" s="2"/>
      <c r="X2565" s="2"/>
      <c r="Y2565" s="2"/>
      <c r="Z2565" s="2"/>
      <c r="AA2565" s="2"/>
      <c r="AB2565" s="2"/>
      <c r="AC2565" s="2"/>
      <c r="AD2565" s="2"/>
      <c r="AE2565" s="2"/>
      <c r="AF2565" s="2"/>
      <c r="AG2565" s="2"/>
      <c r="AH2565" s="2"/>
      <c r="AI2565" s="2"/>
      <c r="AJ2565" s="2"/>
      <c r="AK2565" s="2"/>
      <c r="AL2565" s="2"/>
    </row>
    <row r="2566" spans="1:38" ht="12.75" customHeight="1" x14ac:dyDescent="0.25">
      <c r="A2566" s="2"/>
      <c r="B2566" s="178"/>
      <c r="C2566" s="779"/>
      <c r="D2566" s="373" t="s">
        <v>303</v>
      </c>
      <c r="E2566" s="2614" t="str">
        <f>Translations!$B$566</f>
        <v>Insatsbränsle till delanläggningen och relevant emissionsfaktor</v>
      </c>
      <c r="F2566" s="1960"/>
      <c r="G2566" s="1960"/>
      <c r="H2566" s="1960"/>
      <c r="I2566" s="1960"/>
      <c r="J2566" s="1960"/>
      <c r="K2566" s="1960"/>
      <c r="L2566" s="1960"/>
      <c r="M2566" s="1960"/>
      <c r="N2566" s="2597"/>
      <c r="O2566" s="15"/>
      <c r="P2566" s="15"/>
      <c r="Q2566" s="343"/>
      <c r="R2566" s="343"/>
      <c r="S2566" s="343"/>
      <c r="T2566" s="2"/>
      <c r="U2566" s="2"/>
      <c r="V2566" s="2"/>
      <c r="W2566" s="2"/>
      <c r="X2566" s="2"/>
      <c r="Y2566" s="2"/>
      <c r="Z2566" s="2"/>
      <c r="AA2566" s="2"/>
      <c r="AB2566" s="2"/>
      <c r="AC2566" s="2"/>
      <c r="AD2566" s="2"/>
      <c r="AE2566" s="2"/>
      <c r="AF2566" s="2"/>
      <c r="AG2566" s="2"/>
      <c r="AH2566" s="2"/>
      <c r="AI2566" s="2"/>
      <c r="AJ2566" s="2"/>
      <c r="AK2566" s="2"/>
      <c r="AL2566" s="2"/>
    </row>
    <row r="2567" spans="1:38" ht="25.5" customHeight="1" x14ac:dyDescent="0.25">
      <c r="A2567" s="2"/>
      <c r="B2567" s="178"/>
      <c r="C2567" s="779"/>
      <c r="D2567" s="780"/>
      <c r="E2567" s="2639" t="str">
        <f>Translations!$B$567</f>
        <v>I enlighet med kravet i avsnitt 2.4 a i bilaga IV till FAR, var god ange den totala bränsletillförseln till delanläggningen och motsvarande viktad emissionsfaktor, med beaktande av energiinnehållet hos varje bränsle som finns med under punkt g och med tillämpning av samma systemgränser som för punkt g.</v>
      </c>
      <c r="F2567" s="2639"/>
      <c r="G2567" s="2639"/>
      <c r="H2567" s="2639"/>
      <c r="I2567" s="2639"/>
      <c r="J2567" s="2639"/>
      <c r="K2567" s="2639"/>
      <c r="L2567" s="2639"/>
      <c r="M2567" s="2639"/>
      <c r="N2567" s="2640"/>
      <c r="O2567" s="15"/>
      <c r="P2567" s="15"/>
      <c r="Q2567" s="343"/>
      <c r="R2567" s="343"/>
      <c r="S2567" s="343"/>
      <c r="T2567" s="2"/>
      <c r="U2567" s="2"/>
      <c r="V2567" s="2"/>
      <c r="W2567" s="2"/>
      <c r="X2567" s="2"/>
      <c r="Y2567" s="2"/>
      <c r="Z2567" s="2"/>
      <c r="AA2567" s="2"/>
      <c r="AB2567" s="2"/>
      <c r="AC2567" s="2"/>
      <c r="AD2567" s="2"/>
      <c r="AE2567" s="2"/>
      <c r="AF2567" s="2"/>
      <c r="AG2567" s="2"/>
      <c r="AH2567" s="2"/>
      <c r="AI2567" s="2"/>
      <c r="AJ2567" s="2"/>
      <c r="AK2567" s="2"/>
      <c r="AL2567" s="2"/>
    </row>
    <row r="2568" spans="1:38" ht="25.5" customHeight="1" x14ac:dyDescent="0.25">
      <c r="A2568" s="2"/>
      <c r="B2568" s="178"/>
      <c r="C2568" s="779"/>
      <c r="D2568" s="780"/>
      <c r="E2568" s="2639" t="str">
        <f>Translations!$B$568</f>
        <v>Med ”bränsle” avses varje bränsle-/materialmängd enligt M&amp;R-förordningen som är brännbar och för vilken ett effektivt värmevärde kan fastställas. Den viktade emissionsfaktorn motsvarar de ackumulerade bränsleutsläppen delat med det totala energiinnehållet.</v>
      </c>
      <c r="F2568" s="2639"/>
      <c r="G2568" s="2639"/>
      <c r="H2568" s="2639"/>
      <c r="I2568" s="2639"/>
      <c r="J2568" s="2639"/>
      <c r="K2568" s="2639"/>
      <c r="L2568" s="2639"/>
      <c r="M2568" s="2639"/>
      <c r="N2568" s="2640"/>
      <c r="O2568" s="15"/>
      <c r="P2568" s="15"/>
      <c r="Q2568" s="343"/>
      <c r="R2568" s="2"/>
      <c r="S2568" s="343"/>
      <c r="T2568" s="2"/>
      <c r="U2568" s="2"/>
      <c r="V2568" s="2"/>
      <c r="W2568" s="2"/>
      <c r="X2568" s="2"/>
      <c r="Y2568" s="2"/>
      <c r="Z2568" s="2"/>
      <c r="AA2568" s="2"/>
      <c r="AB2568" s="2"/>
      <c r="AC2568" s="2"/>
      <c r="AD2568" s="2"/>
      <c r="AE2568" s="2"/>
      <c r="AF2568" s="2"/>
      <c r="AG2568" s="2"/>
      <c r="AH2568" s="2"/>
      <c r="AI2568" s="2"/>
      <c r="AJ2568" s="2"/>
      <c r="AK2568" s="2"/>
      <c r="AL2568" s="2"/>
    </row>
    <row r="2569" spans="1:38" ht="12.75" customHeight="1" x14ac:dyDescent="0.25">
      <c r="A2569" s="2"/>
      <c r="B2569" s="178"/>
      <c r="C2569" s="779"/>
      <c r="D2569" s="780"/>
      <c r="E2569" s="2639" t="str">
        <f>Translations!$B$569</f>
        <v>Den viktade emissionsfaktorn bör dessutom innefatta utsläpp från motsvarande rökgasrening, i tillämpliga fall.</v>
      </c>
      <c r="F2569" s="2639"/>
      <c r="G2569" s="2639"/>
      <c r="H2569" s="2639"/>
      <c r="I2569" s="2639"/>
      <c r="J2569" s="2639"/>
      <c r="K2569" s="2639"/>
      <c r="L2569" s="2639"/>
      <c r="M2569" s="2639"/>
      <c r="N2569" s="2640"/>
      <c r="O2569" s="15"/>
      <c r="P2569" s="15"/>
      <c r="Q2569" s="343"/>
      <c r="R2569" s="2"/>
      <c r="S2569" s="343"/>
      <c r="T2569" s="2"/>
      <c r="U2569" s="2"/>
      <c r="V2569" s="2"/>
      <c r="W2569" s="2"/>
      <c r="X2569" s="2"/>
      <c r="Y2569" s="2"/>
      <c r="Z2569" s="2"/>
      <c r="AA2569" s="2"/>
      <c r="AB2569" s="2"/>
      <c r="AC2569" s="2"/>
      <c r="AD2569" s="2"/>
      <c r="AE2569" s="2"/>
      <c r="AF2569" s="2"/>
      <c r="AG2569" s="2"/>
      <c r="AH2569" s="2"/>
      <c r="AI2569" s="2"/>
      <c r="AJ2569" s="2"/>
      <c r="AK2569" s="2"/>
      <c r="AL2569" s="2"/>
    </row>
    <row r="2570" spans="1:38" ht="12.75" customHeight="1" x14ac:dyDescent="0.25">
      <c r="A2570" s="2"/>
      <c r="B2570" s="178"/>
      <c r="C2570" s="779"/>
      <c r="D2570" s="780"/>
      <c r="E2570" s="2596" t="str">
        <f>Translations!$B$570</f>
        <v>De uppgifter som anges här används bara för konsekvenskontroll och har ingen direkt inverkan på vare sig de utsläpp som kan tillskrivas eller tilldelningen.</v>
      </c>
      <c r="F2570" s="1960"/>
      <c r="G2570" s="1960"/>
      <c r="H2570" s="1960"/>
      <c r="I2570" s="1960"/>
      <c r="J2570" s="1960"/>
      <c r="K2570" s="1960"/>
      <c r="L2570" s="1960"/>
      <c r="M2570" s="1960"/>
      <c r="N2570" s="2597"/>
      <c r="O2570" s="15"/>
      <c r="P2570" s="15"/>
      <c r="Q2570" s="343"/>
      <c r="R2570" s="2"/>
      <c r="S2570" s="343"/>
      <c r="T2570" s="2"/>
      <c r="U2570" s="2"/>
      <c r="V2570" s="2"/>
      <c r="W2570" s="2"/>
      <c r="X2570" s="2"/>
      <c r="Y2570" s="2"/>
      <c r="Z2570" s="2"/>
      <c r="AA2570" s="2"/>
      <c r="AB2570" s="2"/>
      <c r="AC2570" s="2"/>
      <c r="AD2570" s="2"/>
      <c r="AE2570" s="2"/>
      <c r="AF2570" s="2"/>
      <c r="AG2570" s="2"/>
      <c r="AH2570" s="2"/>
      <c r="AI2570" s="2"/>
      <c r="AJ2570" s="2"/>
      <c r="AK2570" s="2"/>
      <c r="AL2570" s="2"/>
    </row>
    <row r="2571" spans="1:38" ht="12.75" customHeight="1" thickBot="1" x14ac:dyDescent="0.3">
      <c r="A2571" s="2"/>
      <c r="B2571" s="178"/>
      <c r="C2571" s="779"/>
      <c r="D2571" s="373"/>
      <c r="E2571" s="1716"/>
      <c r="F2571" s="1717"/>
      <c r="G2571" s="361" t="str">
        <f>EUconst_Unit</f>
        <v>Enhet</v>
      </c>
      <c r="H2571" s="362">
        <f t="shared" ref="H2571:N2571" si="1142">H$3042</f>
        <v>2019</v>
      </c>
      <c r="I2571" s="1103">
        <f t="shared" si="1142"/>
        <v>2020</v>
      </c>
      <c r="J2571" s="1104">
        <f t="shared" si="1142"/>
        <v>2021</v>
      </c>
      <c r="K2571" s="362">
        <f t="shared" si="1142"/>
        <v>2022</v>
      </c>
      <c r="L2571" s="362">
        <f t="shared" si="1142"/>
        <v>2023</v>
      </c>
      <c r="M2571" s="362">
        <f t="shared" si="1142"/>
        <v>2024</v>
      </c>
      <c r="N2571" s="1141">
        <f t="shared" si="1142"/>
        <v>2025</v>
      </c>
      <c r="O2571" s="15"/>
      <c r="P2571" s="15"/>
      <c r="Q2571" s="343"/>
      <c r="R2571" s="2"/>
      <c r="S2571" s="343"/>
      <c r="T2571" s="2"/>
      <c r="U2571" s="2"/>
      <c r="V2571" s="2"/>
      <c r="W2571" s="2"/>
      <c r="X2571" s="2"/>
      <c r="Y2571" s="2"/>
      <c r="Z2571" s="2"/>
      <c r="AA2571" s="2"/>
      <c r="AB2571" s="2"/>
      <c r="AC2571" s="1044">
        <f t="shared" ref="AC2571:AI2571" si="1143">H$20</f>
        <v>2019</v>
      </c>
      <c r="AD2571" s="1044">
        <f t="shared" si="1143"/>
        <v>2020</v>
      </c>
      <c r="AE2571" s="1044">
        <f t="shared" si="1143"/>
        <v>2021</v>
      </c>
      <c r="AF2571" s="1044">
        <f t="shared" si="1143"/>
        <v>2022</v>
      </c>
      <c r="AG2571" s="1044">
        <f t="shared" si="1143"/>
        <v>2023</v>
      </c>
      <c r="AH2571" s="1044">
        <f t="shared" si="1143"/>
        <v>2024</v>
      </c>
      <c r="AI2571" s="1044">
        <f t="shared" si="1143"/>
        <v>2025</v>
      </c>
      <c r="AJ2571" s="2"/>
      <c r="AK2571" s="2"/>
      <c r="AL2571" s="2"/>
    </row>
    <row r="2572" spans="1:38" ht="12.75" customHeight="1" x14ac:dyDescent="0.25">
      <c r="A2572" s="2"/>
      <c r="B2572" s="178"/>
      <c r="C2572" s="779"/>
      <c r="D2572" s="416" t="s">
        <v>8</v>
      </c>
      <c r="E2572" s="2613" t="str">
        <f>Translations!$B$571</f>
        <v>Insatsbränsle</v>
      </c>
      <c r="F2572" s="1997"/>
      <c r="G2572" s="364" t="str">
        <f>EUconst_TJpa</f>
        <v>TJ / år</v>
      </c>
      <c r="H2572" s="582"/>
      <c r="I2572" s="1105"/>
      <c r="J2572" s="1115"/>
      <c r="K2572" s="582"/>
      <c r="L2572" s="582"/>
      <c r="M2572" s="582"/>
      <c r="N2572" s="1146"/>
      <c r="O2572" s="15"/>
      <c r="P2572" s="1362"/>
      <c r="Q2572" s="165" t="str">
        <f>EUconst_CNTR_FuelInput &amp; I2429</f>
        <v>FuelInput_</v>
      </c>
      <c r="R2572" s="2"/>
      <c r="S2572" s="343"/>
      <c r="T2572" s="2"/>
      <c r="U2572" s="2"/>
      <c r="V2572" s="2"/>
      <c r="W2572" s="2"/>
      <c r="X2572" s="2"/>
      <c r="Y2572" s="2"/>
      <c r="Z2572" s="2"/>
      <c r="AA2572" s="2"/>
      <c r="AB2572" s="672" t="s">
        <v>782</v>
      </c>
      <c r="AC2572" s="108" t="b">
        <f>AC2499</f>
        <v>0</v>
      </c>
      <c r="AD2572" s="108" t="b">
        <f t="shared" ref="AD2572:AI2572" si="1144">AD2499</f>
        <v>0</v>
      </c>
      <c r="AE2572" s="108" t="b">
        <f t="shared" si="1144"/>
        <v>0</v>
      </c>
      <c r="AF2572" s="108" t="b">
        <f t="shared" si="1144"/>
        <v>0</v>
      </c>
      <c r="AG2572" s="108" t="b">
        <f t="shared" si="1144"/>
        <v>0</v>
      </c>
      <c r="AH2572" s="108" t="b">
        <f t="shared" si="1144"/>
        <v>0</v>
      </c>
      <c r="AI2572" s="108" t="b">
        <f t="shared" si="1144"/>
        <v>0</v>
      </c>
      <c r="AJ2572" s="553" t="s">
        <v>2248</v>
      </c>
      <c r="AK2572" s="663" t="str">
        <f>IF(AND(CNTR_ExistSubInstEntries,MSconst_RequireSubAttrEmissions,COUNTIFS(AC2572:AI2572,FALSE,H2572:N2572,"")&gt;0),EUconst_Error&amp;"BM"&amp;$Q2429,"")</f>
        <v/>
      </c>
      <c r="AL2572" s="2"/>
    </row>
    <row r="2573" spans="1:38" ht="12.75" customHeight="1" x14ac:dyDescent="0.25">
      <c r="A2573" s="2"/>
      <c r="B2573" s="178"/>
      <c r="C2573" s="779"/>
      <c r="D2573" s="416" t="s">
        <v>9</v>
      </c>
      <c r="E2573" s="2613" t="str">
        <f>Translations!$B$572</f>
        <v>Viktad emissionsfaktor</v>
      </c>
      <c r="F2573" s="1997"/>
      <c r="G2573" s="449" t="str">
        <f>EUconst_tCO2pTJ</f>
        <v>t CO2 / TJ</v>
      </c>
      <c r="H2573" s="747"/>
      <c r="I2573" s="1295"/>
      <c r="J2573" s="1296"/>
      <c r="K2573" s="747"/>
      <c r="L2573" s="747"/>
      <c r="M2573" s="747"/>
      <c r="N2573" s="1297"/>
      <c r="O2573" s="15"/>
      <c r="P2573" s="1362"/>
      <c r="Q2573" s="165" t="str">
        <f>EUconst_CNTR_FuelEF &amp; I2429</f>
        <v>FuelEF_</v>
      </c>
      <c r="R2573" s="2"/>
      <c r="S2573" s="343"/>
      <c r="T2573" s="2"/>
      <c r="U2573" s="2"/>
      <c r="V2573" s="2"/>
      <c r="W2573" s="2"/>
      <c r="X2573" s="2"/>
      <c r="Y2573" s="2"/>
      <c r="Z2573" s="2"/>
      <c r="AA2573" s="2"/>
      <c r="AB2573" s="2"/>
      <c r="AC2573" s="108" t="b">
        <f>AC2572</f>
        <v>0</v>
      </c>
      <c r="AD2573" s="108" t="b">
        <f t="shared" ref="AD2573:AI2573" si="1145">AD2572</f>
        <v>0</v>
      </c>
      <c r="AE2573" s="108" t="b">
        <f t="shared" si="1145"/>
        <v>0</v>
      </c>
      <c r="AF2573" s="108" t="b">
        <f t="shared" si="1145"/>
        <v>0</v>
      </c>
      <c r="AG2573" s="108" t="b">
        <f t="shared" si="1145"/>
        <v>0</v>
      </c>
      <c r="AH2573" s="108" t="b">
        <f t="shared" si="1145"/>
        <v>0</v>
      </c>
      <c r="AI2573" s="108" t="b">
        <f t="shared" si="1145"/>
        <v>0</v>
      </c>
      <c r="AJ2573" s="553" t="s">
        <v>2248</v>
      </c>
      <c r="AK2573" s="663" t="str">
        <f>IF(AND(CNTR_ExistSubInstEntries,MSconst_RequireSubAttrEmissions,COUNTIFS(AC2573:AI2573,FALSE,H2573:N2573,"")&gt;0),EUconst_Error&amp;"BM"&amp;$Q2429,"")</f>
        <v/>
      </c>
      <c r="AL2573" s="2"/>
    </row>
    <row r="2574" spans="1:38" ht="12.75" customHeight="1" x14ac:dyDescent="0.25">
      <c r="A2574" s="2"/>
      <c r="B2574" s="178"/>
      <c r="C2574" s="779"/>
      <c r="D2574" s="780"/>
      <c r="E2574" s="780"/>
      <c r="F2574" s="780"/>
      <c r="G2574" s="780"/>
      <c r="H2574" s="780"/>
      <c r="I2574" s="780"/>
      <c r="J2574" s="780"/>
      <c r="K2574" s="780"/>
      <c r="L2574" s="780"/>
      <c r="M2574" s="623"/>
      <c r="N2574" s="519"/>
      <c r="O2574" s="15"/>
      <c r="P2574" s="15"/>
      <c r="Q2574" s="343"/>
      <c r="R2574" s="2"/>
      <c r="S2574" s="343"/>
      <c r="T2574" s="2"/>
      <c r="U2574" s="2"/>
      <c r="V2574" s="2"/>
      <c r="W2574" s="2"/>
      <c r="X2574" s="2"/>
      <c r="Y2574" s="2"/>
      <c r="Z2574" s="2"/>
      <c r="AA2574" s="2"/>
      <c r="AB2574" s="2"/>
      <c r="AC2574" s="2"/>
      <c r="AD2574" s="2"/>
      <c r="AE2574" s="2"/>
      <c r="AF2574" s="2"/>
      <c r="AG2574" s="2"/>
      <c r="AH2574" s="2"/>
      <c r="AI2574" s="2"/>
      <c r="AJ2574" s="2"/>
      <c r="AK2574" s="2"/>
      <c r="AL2574" s="2"/>
    </row>
    <row r="2575" spans="1:38" ht="12.75" customHeight="1" x14ac:dyDescent="0.25">
      <c r="A2575" s="2"/>
      <c r="B2575" s="178"/>
      <c r="C2575" s="779"/>
      <c r="D2575" s="373" t="s">
        <v>305</v>
      </c>
      <c r="E2575" s="2614" t="str">
        <f>Translations!$B$573</f>
        <v>Andra interna bränsle-/materialmängder som importeras till eller exporteras från delanläggningen</v>
      </c>
      <c r="F2575" s="1960"/>
      <c r="G2575" s="1960"/>
      <c r="H2575" s="1960"/>
      <c r="I2575" s="1960"/>
      <c r="J2575" s="1960"/>
      <c r="K2575" s="1960"/>
      <c r="L2575" s="1960"/>
      <c r="M2575" s="1960"/>
      <c r="N2575" s="2597"/>
      <c r="O2575" s="15"/>
      <c r="P2575" s="15"/>
      <c r="Q2575" s="343"/>
      <c r="R2575" s="343"/>
      <c r="S2575" s="343"/>
      <c r="T2575" s="2"/>
      <c r="U2575" s="2"/>
      <c r="V2575" s="2"/>
      <c r="W2575" s="2"/>
      <c r="X2575" s="2"/>
      <c r="Y2575" s="2"/>
      <c r="Z2575" s="2"/>
      <c r="AA2575" s="2"/>
      <c r="AB2575" s="2"/>
      <c r="AC2575" s="2"/>
      <c r="AD2575" s="2"/>
      <c r="AE2575" s="2"/>
      <c r="AF2575" s="2"/>
      <c r="AG2575" s="2"/>
      <c r="AH2575" s="2"/>
      <c r="AI2575" s="2"/>
      <c r="AJ2575" s="2"/>
      <c r="AK2575" s="2"/>
      <c r="AL2575" s="2"/>
    </row>
    <row r="2576" spans="1:38" ht="12.75" customHeight="1" x14ac:dyDescent="0.25">
      <c r="A2576" s="2"/>
      <c r="B2576" s="178"/>
      <c r="C2576" s="779"/>
      <c r="D2576" s="416"/>
      <c r="E2576" s="2596" t="str">
        <f>Translations!$B$556</f>
        <v>De uppgifter som anges här påverkar de utsläpp som kan tillskrivas i enlighet med avsnitt 10.1.1 i bilaga VII till FAR.</v>
      </c>
      <c r="F2576" s="1960"/>
      <c r="G2576" s="1960"/>
      <c r="H2576" s="1960"/>
      <c r="I2576" s="1960"/>
      <c r="J2576" s="1960"/>
      <c r="K2576" s="1960"/>
      <c r="L2576" s="1960"/>
      <c r="M2576" s="1960"/>
      <c r="N2576" s="2597"/>
      <c r="O2576" s="15"/>
      <c r="P2576" s="15"/>
      <c r="Q2576" s="343"/>
      <c r="R2576" s="2"/>
      <c r="S2576" s="343"/>
      <c r="T2576" s="343"/>
      <c r="U2576" s="343"/>
      <c r="V2576" s="343"/>
      <c r="W2576" s="2"/>
      <c r="X2576" s="2"/>
      <c r="Y2576" s="2"/>
      <c r="Z2576" s="2"/>
      <c r="AA2576" s="2"/>
      <c r="AB2576" s="2"/>
      <c r="AC2576" s="2"/>
      <c r="AD2576" s="2"/>
      <c r="AE2576" s="2"/>
      <c r="AF2576" s="2"/>
      <c r="AG2576" s="2"/>
      <c r="AH2576" s="2"/>
      <c r="AI2576" s="2"/>
      <c r="AJ2576" s="2"/>
      <c r="AK2576" s="2"/>
      <c r="AL2576" s="2"/>
    </row>
    <row r="2577" spans="1:38" ht="25.5" customHeight="1" x14ac:dyDescent="0.25">
      <c r="A2577" s="2"/>
      <c r="B2577" s="178"/>
      <c r="C2577" s="779"/>
      <c r="D2577" s="780"/>
      <c r="E2577" s="2596" t="str">
        <f>Translations!$B$574</f>
        <v>Det bör noteras att alla bränsle-/materialmängder endast bör anges här om de inte redan omfattas av de direkta utsläppen i punkt g ovan, i syfte att undvika eventuella dataluckor eller eventuell dubbelräkning. Utsläpp i samband med restgaser bör INTE anges här utan i punkt l nedan.</v>
      </c>
      <c r="F2577" s="1960"/>
      <c r="G2577" s="1960"/>
      <c r="H2577" s="1960"/>
      <c r="I2577" s="1960"/>
      <c r="J2577" s="1960"/>
      <c r="K2577" s="1960"/>
      <c r="L2577" s="1960"/>
      <c r="M2577" s="1960"/>
      <c r="N2577" s="2597"/>
      <c r="O2577" s="15"/>
      <c r="P2577" s="15"/>
      <c r="Q2577" s="343"/>
      <c r="R2577" s="343"/>
      <c r="S2577" s="343"/>
      <c r="T2577" s="2"/>
      <c r="U2577" s="2"/>
      <c r="V2577" s="2"/>
      <c r="W2577" s="2"/>
      <c r="X2577" s="2"/>
      <c r="Y2577" s="2"/>
      <c r="Z2577" s="2"/>
      <c r="AA2577" s="2"/>
      <c r="AB2577" s="2"/>
      <c r="AC2577" s="2"/>
      <c r="AD2577" s="2"/>
      <c r="AE2577" s="2"/>
      <c r="AF2577" s="2"/>
      <c r="AG2577" s="2"/>
      <c r="AH2577" s="2"/>
      <c r="AI2577" s="2"/>
      <c r="AJ2577" s="2"/>
      <c r="AK2577" s="2"/>
      <c r="AL2577" s="2"/>
    </row>
    <row r="2578" spans="1:38" ht="12.75" customHeight="1" x14ac:dyDescent="0.25">
      <c r="A2578" s="2"/>
      <c r="B2578" s="178"/>
      <c r="C2578" s="779"/>
      <c r="D2578" s="780"/>
      <c r="E2578" s="2610" t="str">
        <f>Translations!$B$575</f>
        <v>Var god ange information om de så kallade interna bränsle-/materialmängderna som överförs mellan delanläggningar, dvs. importeras till eller exporteras från delanläggningen.</v>
      </c>
      <c r="F2578" s="1960"/>
      <c r="G2578" s="1960"/>
      <c r="H2578" s="1960"/>
      <c r="I2578" s="1960"/>
      <c r="J2578" s="1960"/>
      <c r="K2578" s="1960"/>
      <c r="L2578" s="1960"/>
      <c r="M2578" s="1960"/>
      <c r="N2578" s="2597"/>
      <c r="O2578" s="15"/>
      <c r="P2578" s="15"/>
      <c r="Q2578" s="343"/>
      <c r="R2578" s="343"/>
      <c r="S2578" s="343"/>
      <c r="T2578" s="2"/>
      <c r="U2578" s="2"/>
      <c r="V2578" s="2"/>
      <c r="W2578" s="2"/>
      <c r="X2578" s="2"/>
      <c r="Y2578" s="2"/>
      <c r="Z2578" s="2"/>
      <c r="AA2578" s="2"/>
      <c r="AB2578" s="2"/>
      <c r="AC2578" s="2"/>
      <c r="AD2578" s="2"/>
      <c r="AE2578" s="2"/>
      <c r="AF2578" s="2"/>
      <c r="AG2578" s="2"/>
      <c r="AH2578" s="2"/>
      <c r="AI2578" s="2"/>
      <c r="AJ2578" s="2"/>
      <c r="AK2578" s="2"/>
      <c r="AL2578" s="2"/>
    </row>
    <row r="2579" spans="1:38" ht="38.9" customHeight="1" x14ac:dyDescent="0.25">
      <c r="A2579" s="2"/>
      <c r="B2579" s="178"/>
      <c r="C2579" s="779"/>
      <c r="D2579" s="780"/>
      <c r="E2579" s="2610" t="str">
        <f>Translations!$B$576</f>
        <v>Om det rör sig om en koksdelanläggning vid en integrerad järn- och stålanläggning förekommer utsläppen i samband med förbrukningen av koks i masugnen och bör därför inte tillskrivas delanläggningen (dvs. koksdelanläggningen). En del av utsläppen ska dock tas med i punkt g ovan, eftersom det kol som förs in i koksugnen kommer att vara en av de bränsle-/materialmängder som tillskrivs i ett första steg.</v>
      </c>
      <c r="F2579" s="1960"/>
      <c r="G2579" s="1960"/>
      <c r="H2579" s="1960"/>
      <c r="I2579" s="1960"/>
      <c r="J2579" s="1960"/>
      <c r="K2579" s="1960"/>
      <c r="L2579" s="1960"/>
      <c r="M2579" s="1960"/>
      <c r="N2579" s="2597"/>
      <c r="O2579" s="15"/>
      <c r="P2579" s="15"/>
      <c r="Q2579" s="343"/>
      <c r="R2579" s="2"/>
      <c r="S2579" s="343"/>
      <c r="T2579" s="2"/>
      <c r="U2579" s="2"/>
      <c r="V2579" s="2"/>
      <c r="W2579" s="2"/>
      <c r="X2579" s="2"/>
      <c r="Y2579" s="2"/>
      <c r="Z2579" s="2"/>
      <c r="AA2579" s="2"/>
      <c r="AB2579" s="2"/>
      <c r="AC2579" s="2"/>
      <c r="AD2579" s="2"/>
      <c r="AE2579" s="2"/>
      <c r="AF2579" s="2"/>
      <c r="AG2579" s="2"/>
      <c r="AH2579" s="2"/>
      <c r="AI2579" s="2"/>
      <c r="AJ2579" s="2"/>
      <c r="AK2579" s="2"/>
      <c r="AL2579" s="2"/>
    </row>
    <row r="2580" spans="1:38" ht="51" customHeight="1" x14ac:dyDescent="0.25">
      <c r="A2580" s="2"/>
      <c r="B2580" s="178"/>
      <c r="C2580" s="779"/>
      <c r="D2580" s="780"/>
      <c r="E2580" s="2610" t="str">
        <f>Translations!$B$577</f>
        <v>För att undvika dubbelräkning måste korrigering göras för den koks som lämnar koksdelanläggningen som utgående ”intern bränsle-/materialmängd”. Detta görs genom ett negativt värde på mängden koks i händelse av ”export”. För att få en komplett balans i utsläppen från den kol som kommer in till koksdelanläggningen omfattas utsläppen i samband med användningen av koksugnsgas (= en restgas) redan av punkt g ovan (eftersom de ingår i kolutsläppen) i den mån som gasen används inom delanläggningen. Korrigeringar för att beakta exporterade mängder av restgasen bör inte göras här utan i punkt l.xx nedan.</v>
      </c>
      <c r="F2580" s="1960"/>
      <c r="G2580" s="1960"/>
      <c r="H2580" s="1960"/>
      <c r="I2580" s="1960"/>
      <c r="J2580" s="1960"/>
      <c r="K2580" s="1960"/>
      <c r="L2580" s="1960"/>
      <c r="M2580" s="1960"/>
      <c r="N2580" s="2597"/>
      <c r="O2580" s="15"/>
      <c r="P2580" s="15"/>
      <c r="Q2580" s="343"/>
      <c r="R2580" s="2"/>
      <c r="S2580" s="343"/>
      <c r="T2580" s="2"/>
      <c r="U2580" s="2"/>
      <c r="V2580" s="2"/>
      <c r="W2580" s="2"/>
      <c r="X2580" s="2"/>
      <c r="Y2580" s="2"/>
      <c r="Z2580" s="2"/>
      <c r="AA2580" s="2"/>
      <c r="AB2580" s="2"/>
      <c r="AC2580" s="2"/>
      <c r="AD2580" s="2"/>
      <c r="AE2580" s="2"/>
      <c r="AF2580" s="2"/>
      <c r="AG2580" s="2"/>
      <c r="AH2580" s="2"/>
      <c r="AI2580" s="2"/>
      <c r="AJ2580" s="2"/>
      <c r="AK2580" s="2"/>
      <c r="AL2580" s="2"/>
    </row>
    <row r="2581" spans="1:38" ht="25.5" customHeight="1" x14ac:dyDescent="0.25">
      <c r="A2581" s="2"/>
      <c r="B2581" s="178"/>
      <c r="C2581" s="779"/>
      <c r="D2581" s="780"/>
      <c r="E2581" s="2610" t="str">
        <f>Translations!$B$578</f>
        <v>Omvänt innebär detta att om det rör sig om en delanläggning med råjärnsriktmärke vid en integrerad järn- och stålanläggning måste koksen anges här som en ingående/importerad ”intern” bränsle/materialmängd med positiva siffror.</v>
      </c>
      <c r="F2581" s="1960"/>
      <c r="G2581" s="1960"/>
      <c r="H2581" s="1960"/>
      <c r="I2581" s="1960"/>
      <c r="J2581" s="1960"/>
      <c r="K2581" s="1960"/>
      <c r="L2581" s="1960"/>
      <c r="M2581" s="1960"/>
      <c r="N2581" s="2597"/>
      <c r="O2581" s="15"/>
      <c r="P2581" s="15"/>
      <c r="Q2581" s="343"/>
      <c r="R2581" s="2"/>
      <c r="S2581" s="343"/>
      <c r="T2581" s="2"/>
      <c r="U2581" s="2"/>
      <c r="V2581" s="2"/>
      <c r="W2581" s="2"/>
      <c r="X2581" s="2"/>
      <c r="Y2581" s="2"/>
      <c r="Z2581" s="2"/>
      <c r="AA2581" s="2"/>
      <c r="AB2581" s="2"/>
      <c r="AC2581" s="2"/>
      <c r="AD2581" s="2"/>
      <c r="AE2581" s="2"/>
      <c r="AF2581" s="2"/>
      <c r="AG2581" s="2"/>
      <c r="AH2581" s="2"/>
      <c r="AI2581" s="2"/>
      <c r="AJ2581" s="2"/>
      <c r="AK2581" s="2"/>
      <c r="AL2581" s="2"/>
    </row>
    <row r="2582" spans="1:38" ht="12.75" customHeight="1" x14ac:dyDescent="0.25">
      <c r="A2582" s="2"/>
      <c r="B2582" s="178"/>
      <c r="C2582" s="779"/>
      <c r="D2582" s="416" t="s">
        <v>8</v>
      </c>
      <c r="E2582" s="2598" t="str">
        <f>Translations!$B$579</f>
        <v>Är andra importerade eller exporterade interna bränsle-/materialmängder relevanta för delanläggningen?</v>
      </c>
      <c r="F2582" s="1960"/>
      <c r="G2582" s="1960"/>
      <c r="H2582" s="1960"/>
      <c r="I2582" s="1960"/>
      <c r="J2582" s="1960"/>
      <c r="K2582" s="2520"/>
      <c r="L2582" s="749"/>
      <c r="M2582" s="1806"/>
      <c r="N2582" s="1807"/>
      <c r="O2582" s="15"/>
      <c r="P2582" s="1362"/>
      <c r="Q2582" s="343"/>
      <c r="R2582" s="2"/>
      <c r="S2582" s="343"/>
      <c r="T2582" s="2"/>
      <c r="U2582" s="2"/>
      <c r="V2582" s="2"/>
      <c r="W2582" s="2"/>
      <c r="X2582" s="2"/>
      <c r="Y2582" s="2"/>
      <c r="Z2582" s="2"/>
      <c r="AA2582" s="2"/>
      <c r="AB2582" s="2"/>
      <c r="AC2582" s="2"/>
      <c r="AD2582" s="2"/>
      <c r="AE2582" s="2"/>
      <c r="AF2582" s="672" t="s">
        <v>782</v>
      </c>
      <c r="AG2582" s="1196" t="b">
        <f>AND(CNTR_ExistSubInstEntries,I2429="")</f>
        <v>0</v>
      </c>
      <c r="AH2582" s="2"/>
      <c r="AI2582" s="2"/>
      <c r="AJ2582" s="2"/>
      <c r="AK2582" s="2"/>
      <c r="AL2582" s="2"/>
    </row>
    <row r="2583" spans="1:38" ht="12.75" customHeight="1" x14ac:dyDescent="0.25">
      <c r="A2583" s="2"/>
      <c r="B2583" s="178"/>
      <c r="C2583" s="779"/>
      <c r="D2583" s="780"/>
      <c r="E2583" s="2610" t="str">
        <f>Translations!$B$580</f>
        <v>Om det finns mer än två importerade eller exporterade bränsle-/materialmängder bör de olika bränsle-/materialmängderna slås samman och namnen på var och en av dessa anges.</v>
      </c>
      <c r="F2583" s="1960"/>
      <c r="G2583" s="1960"/>
      <c r="H2583" s="1960"/>
      <c r="I2583" s="1960"/>
      <c r="J2583" s="1960"/>
      <c r="K2583" s="1960"/>
      <c r="L2583" s="1960"/>
      <c r="M2583" s="1960"/>
      <c r="N2583" s="2597"/>
      <c r="O2583" s="15"/>
      <c r="P2583" s="15"/>
      <c r="Q2583" s="343"/>
      <c r="R2583" s="2"/>
      <c r="S2583" s="343"/>
      <c r="T2583" s="2"/>
      <c r="U2583" s="2"/>
      <c r="V2583" s="2"/>
      <c r="W2583" s="2"/>
      <c r="X2583" s="2"/>
      <c r="Y2583" s="2"/>
      <c r="Z2583" s="2"/>
      <c r="AA2583" s="2"/>
      <c r="AB2583" s="2"/>
      <c r="AC2583" s="2"/>
      <c r="AD2583" s="2"/>
      <c r="AE2583" s="2"/>
      <c r="AF2583" s="2"/>
      <c r="AG2583" s="2"/>
      <c r="AH2583" s="2"/>
      <c r="AI2583" s="2"/>
      <c r="AJ2583" s="2"/>
      <c r="AK2583" s="2"/>
      <c r="AL2583" s="2"/>
    </row>
    <row r="2584" spans="1:38" ht="12.75" customHeight="1" x14ac:dyDescent="0.25">
      <c r="A2584" s="2"/>
      <c r="B2584" s="178"/>
      <c r="C2584" s="779"/>
      <c r="D2584" s="416" t="s">
        <v>9</v>
      </c>
      <c r="E2584" s="2614" t="str">
        <f>Translations!$B$581</f>
        <v>Namn på andra bränsle-/materialmängder – 1:</v>
      </c>
      <c r="F2584" s="1960"/>
      <c r="G2584" s="1960"/>
      <c r="H2584" s="2520"/>
      <c r="I2584" s="2621"/>
      <c r="J2584" s="2631"/>
      <c r="K2584" s="2631"/>
      <c r="L2584" s="2631"/>
      <c r="M2584" s="2632"/>
      <c r="N2584" s="518"/>
      <c r="O2584" s="15"/>
      <c r="P2584" s="1362"/>
      <c r="Q2584" s="343"/>
      <c r="R2584" s="2"/>
      <c r="S2584" s="343"/>
      <c r="T2584" s="2"/>
      <c r="U2584" s="2"/>
      <c r="V2584" s="2"/>
      <c r="W2584" s="2"/>
      <c r="X2584" s="2"/>
      <c r="Y2584" s="2"/>
      <c r="Z2584" s="2"/>
      <c r="AA2584" s="2"/>
      <c r="AB2584" s="2"/>
      <c r="AC2584" s="672" t="s">
        <v>782</v>
      </c>
      <c r="AD2584" s="1196" t="b">
        <f>OR(AG2582,AND($L2582&lt;&gt;"",$L2582=FALSE))</f>
        <v>0</v>
      </c>
      <c r="AE2584" s="2"/>
      <c r="AF2584" s="2"/>
      <c r="AG2584" s="2"/>
      <c r="AH2584" s="2"/>
      <c r="AI2584" s="2"/>
      <c r="AJ2584" s="2"/>
      <c r="AK2584" s="2"/>
      <c r="AL2584" s="2"/>
    </row>
    <row r="2585" spans="1:38" ht="5.15" customHeight="1" x14ac:dyDescent="0.25">
      <c r="A2585" s="2"/>
      <c r="B2585" s="178"/>
      <c r="C2585" s="779"/>
      <c r="D2585" s="780"/>
      <c r="E2585" s="1804"/>
      <c r="F2585" s="1806"/>
      <c r="G2585" s="1806"/>
      <c r="H2585" s="1806"/>
      <c r="I2585" s="1806"/>
      <c r="J2585" s="1806"/>
      <c r="K2585" s="1806"/>
      <c r="L2585" s="1806"/>
      <c r="M2585" s="1806"/>
      <c r="N2585" s="1807"/>
      <c r="O2585" s="15"/>
      <c r="P2585" s="15"/>
      <c r="Q2585" s="343"/>
      <c r="R2585" s="2"/>
      <c r="S2585" s="343"/>
      <c r="T2585" s="2"/>
      <c r="U2585" s="2"/>
      <c r="V2585" s="2"/>
      <c r="W2585" s="2"/>
      <c r="X2585" s="2"/>
      <c r="Y2585" s="2"/>
      <c r="Z2585" s="2"/>
      <c r="AA2585" s="2"/>
      <c r="AB2585" s="2"/>
      <c r="AC2585" s="2"/>
      <c r="AD2585" s="2"/>
      <c r="AE2585" s="2"/>
      <c r="AF2585" s="2"/>
      <c r="AG2585" s="2"/>
      <c r="AH2585" s="2"/>
      <c r="AI2585" s="2"/>
      <c r="AJ2585" s="2"/>
      <c r="AK2585" s="2"/>
      <c r="AL2585" s="2"/>
    </row>
    <row r="2586" spans="1:38" ht="12.75" customHeight="1" thickBot="1" x14ac:dyDescent="0.3">
      <c r="A2586" s="2"/>
      <c r="B2586" s="178"/>
      <c r="C2586" s="779"/>
      <c r="D2586" s="780"/>
      <c r="E2586" s="2605" t="str">
        <f>Translations!$B$582</f>
        <v>Andra bränsle-/materialmängder – 1</v>
      </c>
      <c r="F2586" s="2497"/>
      <c r="G2586" s="361" t="str">
        <f>EUconst_Unit</f>
        <v>Enhet</v>
      </c>
      <c r="H2586" s="362">
        <f t="shared" ref="H2586:N2586" si="1146">H$3042</f>
        <v>2019</v>
      </c>
      <c r="I2586" s="1103">
        <f t="shared" si="1146"/>
        <v>2020</v>
      </c>
      <c r="J2586" s="1104">
        <f t="shared" si="1146"/>
        <v>2021</v>
      </c>
      <c r="K2586" s="362">
        <f t="shared" si="1146"/>
        <v>2022</v>
      </c>
      <c r="L2586" s="362">
        <f t="shared" si="1146"/>
        <v>2023</v>
      </c>
      <c r="M2586" s="362">
        <f t="shared" si="1146"/>
        <v>2024</v>
      </c>
      <c r="N2586" s="1141">
        <f t="shared" si="1146"/>
        <v>2025</v>
      </c>
      <c r="O2586" s="15"/>
      <c r="P2586" s="15"/>
      <c r="Q2586" s="343"/>
      <c r="R2586" s="2"/>
      <c r="S2586" s="343"/>
      <c r="T2586" s="2"/>
      <c r="U2586" s="2"/>
      <c r="V2586" s="2"/>
      <c r="W2586" s="2"/>
      <c r="X2586" s="2"/>
      <c r="Y2586" s="2"/>
      <c r="Z2586" s="2"/>
      <c r="AA2586" s="2"/>
      <c r="AB2586" s="2"/>
      <c r="AC2586" s="1044">
        <f t="shared" ref="AC2586:AI2586" si="1147">H$20</f>
        <v>2019</v>
      </c>
      <c r="AD2586" s="1044">
        <f t="shared" si="1147"/>
        <v>2020</v>
      </c>
      <c r="AE2586" s="1044">
        <f t="shared" si="1147"/>
        <v>2021</v>
      </c>
      <c r="AF2586" s="1044">
        <f t="shared" si="1147"/>
        <v>2022</v>
      </c>
      <c r="AG2586" s="1044">
        <f t="shared" si="1147"/>
        <v>2023</v>
      </c>
      <c r="AH2586" s="1044">
        <f t="shared" si="1147"/>
        <v>2024</v>
      </c>
      <c r="AI2586" s="1044">
        <f t="shared" si="1147"/>
        <v>2025</v>
      </c>
      <c r="AJ2586" s="2"/>
      <c r="AK2586" s="2"/>
      <c r="AL2586" s="2"/>
    </row>
    <row r="2587" spans="1:38" ht="12.75" customHeight="1" x14ac:dyDescent="0.25">
      <c r="A2587" s="2"/>
      <c r="B2587" s="178"/>
      <c r="C2587" s="779"/>
      <c r="D2587" s="416" t="s">
        <v>10</v>
      </c>
      <c r="E2587" s="2611" t="str">
        <f>Translations!$B$583</f>
        <v>Importerad eller exporterad mängd</v>
      </c>
      <c r="F2587" s="2484"/>
      <c r="G2587" s="365" t="str">
        <f>EUconst_tpa</f>
        <v>t / år</v>
      </c>
      <c r="H2587" s="1298"/>
      <c r="I2587" s="1299"/>
      <c r="J2587" s="1300"/>
      <c r="K2587" s="1298"/>
      <c r="L2587" s="1298"/>
      <c r="M2587" s="1298"/>
      <c r="N2587" s="1301"/>
      <c r="O2587" s="15"/>
      <c r="P2587" s="1362"/>
      <c r="Q2587" s="343"/>
      <c r="R2587" s="2"/>
      <c r="S2587" s="343"/>
      <c r="T2587" s="2"/>
      <c r="U2587" s="2"/>
      <c r="V2587" s="2"/>
      <c r="W2587" s="2"/>
      <c r="X2587" s="2"/>
      <c r="Y2587" s="2"/>
      <c r="Z2587" s="2"/>
      <c r="AA2587" s="2"/>
      <c r="AB2587" s="672" t="s">
        <v>782</v>
      </c>
      <c r="AC2587" s="1196" t="b">
        <f>OR(AND($L2582&lt;&gt;"",$L2582=FALSE),AC2499)</f>
        <v>0</v>
      </c>
      <c r="AD2587" s="108" t="b">
        <f t="shared" ref="AD2587:AI2587" si="1148">OR(AND($L2582&lt;&gt;"",$L2582=FALSE),AD2499)</f>
        <v>0</v>
      </c>
      <c r="AE2587" s="108" t="b">
        <f t="shared" si="1148"/>
        <v>0</v>
      </c>
      <c r="AF2587" s="108" t="b">
        <f t="shared" si="1148"/>
        <v>0</v>
      </c>
      <c r="AG2587" s="108" t="b">
        <f t="shared" si="1148"/>
        <v>0</v>
      </c>
      <c r="AH2587" s="108" t="b">
        <f t="shared" si="1148"/>
        <v>0</v>
      </c>
      <c r="AI2587" s="108" t="b">
        <f t="shared" si="1148"/>
        <v>0</v>
      </c>
      <c r="AJ2587" s="553" t="s">
        <v>2248</v>
      </c>
      <c r="AK2587" s="663" t="str">
        <f>IF(AND(CNTR_ExistSubInstEntries,MSconst_RequireSubAttrEmissions,COUNTIFS(AC2587:AI2587,FALSE,H2587:N2587,"")&gt;0),EUconst_Error&amp;"BM"&amp;$Q2429,"")</f>
        <v/>
      </c>
      <c r="AL2587" s="2"/>
    </row>
    <row r="2588" spans="1:38" ht="12.75" customHeight="1" x14ac:dyDescent="0.25">
      <c r="A2588" s="2"/>
      <c r="B2588" s="178"/>
      <c r="C2588" s="779"/>
      <c r="D2588" s="416" t="s">
        <v>23</v>
      </c>
      <c r="E2588" s="2625" t="str">
        <f>Translations!$B$584</f>
        <v>Effektivt värmevärde, i tillämpliga fall</v>
      </c>
      <c r="F2588" s="2476"/>
      <c r="G2588" s="424" t="str">
        <f>EUconst_GJpt</f>
        <v>GJ / t</v>
      </c>
      <c r="H2588" s="1302"/>
      <c r="I2588" s="1303"/>
      <c r="J2588" s="1304"/>
      <c r="K2588" s="1302"/>
      <c r="L2588" s="1302"/>
      <c r="M2588" s="1302"/>
      <c r="N2588" s="1305"/>
      <c r="O2588" s="15"/>
      <c r="P2588" s="1362"/>
      <c r="Q2588" s="343"/>
      <c r="R2588" s="2"/>
      <c r="S2588" s="343"/>
      <c r="T2588" s="2"/>
      <c r="U2588" s="2"/>
      <c r="V2588" s="2"/>
      <c r="W2588" s="2"/>
      <c r="X2588" s="2"/>
      <c r="Y2588" s="2"/>
      <c r="Z2588" s="2"/>
      <c r="AA2588" s="2"/>
      <c r="AB2588" s="2"/>
      <c r="AC2588" s="108" t="b">
        <f t="shared" ref="AC2588:AI2588" si="1149">AC2587</f>
        <v>0</v>
      </c>
      <c r="AD2588" s="108" t="b">
        <f t="shared" si="1149"/>
        <v>0</v>
      </c>
      <c r="AE2588" s="108" t="b">
        <f t="shared" si="1149"/>
        <v>0</v>
      </c>
      <c r="AF2588" s="108" t="b">
        <f t="shared" si="1149"/>
        <v>0</v>
      </c>
      <c r="AG2588" s="108" t="b">
        <f t="shared" si="1149"/>
        <v>0</v>
      </c>
      <c r="AH2588" s="108" t="b">
        <f t="shared" si="1149"/>
        <v>0</v>
      </c>
      <c r="AI2588" s="108" t="b">
        <f t="shared" si="1149"/>
        <v>0</v>
      </c>
      <c r="AJ2588" s="553" t="s">
        <v>2248</v>
      </c>
      <c r="AK2588" s="663" t="str">
        <f>IF(AND(CNTR_ExistSubInstEntries,MSconst_RequireSubAttrEmissions,COUNTIFS(AC2588:AI2588,FALSE,H2588:N2588,"")&gt;0),EUconst_Error&amp;"BM"&amp;$Q2429,"")</f>
        <v/>
      </c>
      <c r="AL2588" s="2"/>
    </row>
    <row r="2589" spans="1:38" ht="12.75" customHeight="1" thickBot="1" x14ac:dyDescent="0.3">
      <c r="A2589" s="2"/>
      <c r="B2589" s="178"/>
      <c r="C2589" s="779"/>
      <c r="D2589" s="416" t="s">
        <v>859</v>
      </c>
      <c r="E2589" s="2625" t="str">
        <f>Translations!$B$585</f>
        <v>Kolinnehåll (viktprocent)</v>
      </c>
      <c r="F2589" s="2476"/>
      <c r="G2589" s="425" t="s">
        <v>957</v>
      </c>
      <c r="H2589" s="1302"/>
      <c r="I2589" s="1303"/>
      <c r="J2589" s="1304"/>
      <c r="K2589" s="1302"/>
      <c r="L2589" s="1302"/>
      <c r="M2589" s="1302"/>
      <c r="N2589" s="1305"/>
      <c r="O2589" s="15"/>
      <c r="P2589" s="1362"/>
      <c r="Q2589" s="343"/>
      <c r="R2589" s="2"/>
      <c r="S2589" s="343"/>
      <c r="T2589" s="2"/>
      <c r="U2589" s="2"/>
      <c r="V2589" s="2"/>
      <c r="W2589" s="2"/>
      <c r="X2589" s="2"/>
      <c r="Y2589" s="2"/>
      <c r="Z2589" s="2"/>
      <c r="AA2589" s="2"/>
      <c r="AB2589" s="2"/>
      <c r="AC2589" s="108" t="b">
        <f t="shared" ref="AC2589:AI2589" si="1150">AC2588</f>
        <v>0</v>
      </c>
      <c r="AD2589" s="108" t="b">
        <f t="shared" si="1150"/>
        <v>0</v>
      </c>
      <c r="AE2589" s="108" t="b">
        <f t="shared" si="1150"/>
        <v>0</v>
      </c>
      <c r="AF2589" s="108" t="b">
        <f t="shared" si="1150"/>
        <v>0</v>
      </c>
      <c r="AG2589" s="108" t="b">
        <f t="shared" si="1150"/>
        <v>0</v>
      </c>
      <c r="AH2589" s="108" t="b">
        <f t="shared" si="1150"/>
        <v>0</v>
      </c>
      <c r="AI2589" s="108" t="b">
        <f t="shared" si="1150"/>
        <v>0</v>
      </c>
      <c r="AJ2589" s="553" t="s">
        <v>2248</v>
      </c>
      <c r="AK2589" s="663" t="str">
        <f>IF(AND(CNTR_ExistSubInstEntries,MSconst_RequireSubAttrEmissions,COUNTIFS(AC2589:AI2589,FALSE,H2589:N2589,"")&gt;0),EUconst_Error&amp;"BM"&amp;$Q2429,"")</f>
        <v/>
      </c>
      <c r="AL2589" s="2"/>
    </row>
    <row r="2590" spans="1:38" ht="12.75" customHeight="1" x14ac:dyDescent="0.25">
      <c r="A2590" s="2"/>
      <c r="B2590" s="178"/>
      <c r="C2590" s="779"/>
      <c r="D2590" s="416" t="s">
        <v>860</v>
      </c>
      <c r="E2590" s="2626" t="str">
        <f>Translations!$B$586</f>
        <v>Biomassahalt (som kolfraktion)</v>
      </c>
      <c r="F2590" s="2487"/>
      <c r="G2590" s="384" t="s">
        <v>957</v>
      </c>
      <c r="H2590" s="1306"/>
      <c r="I2590" s="1307"/>
      <c r="J2590" s="1308"/>
      <c r="K2590" s="1306"/>
      <c r="L2590" s="1306"/>
      <c r="M2590" s="1306"/>
      <c r="N2590" s="1309"/>
      <c r="O2590" s="15"/>
      <c r="P2590" s="1362"/>
      <c r="Q2590" s="343"/>
      <c r="R2590" s="2"/>
      <c r="S2590" s="772"/>
      <c r="T2590" s="609">
        <f t="shared" ref="T2590:Z2590" si="1151">H2586</f>
        <v>2019</v>
      </c>
      <c r="U2590" s="609">
        <f t="shared" si="1151"/>
        <v>2020</v>
      </c>
      <c r="V2590" s="609">
        <f t="shared" si="1151"/>
        <v>2021</v>
      </c>
      <c r="W2590" s="609">
        <f t="shared" si="1151"/>
        <v>2022</v>
      </c>
      <c r="X2590" s="609">
        <f t="shared" si="1151"/>
        <v>2023</v>
      </c>
      <c r="Y2590" s="609">
        <f t="shared" si="1151"/>
        <v>2024</v>
      </c>
      <c r="Z2590" s="610">
        <f t="shared" si="1151"/>
        <v>2025</v>
      </c>
      <c r="AA2590" s="2"/>
      <c r="AB2590" s="2"/>
      <c r="AC2590" s="108" t="b">
        <f t="shared" ref="AC2590:AI2590" si="1152">AC2589</f>
        <v>0</v>
      </c>
      <c r="AD2590" s="108" t="b">
        <f t="shared" si="1152"/>
        <v>0</v>
      </c>
      <c r="AE2590" s="108" t="b">
        <f t="shared" si="1152"/>
        <v>0</v>
      </c>
      <c r="AF2590" s="108" t="b">
        <f t="shared" si="1152"/>
        <v>0</v>
      </c>
      <c r="AG2590" s="108" t="b">
        <f t="shared" si="1152"/>
        <v>0</v>
      </c>
      <c r="AH2590" s="108" t="b">
        <f t="shared" si="1152"/>
        <v>0</v>
      </c>
      <c r="AI2590" s="108" t="b">
        <f t="shared" si="1152"/>
        <v>0</v>
      </c>
      <c r="AJ2590" s="553" t="s">
        <v>2248</v>
      </c>
      <c r="AK2590" s="663" t="str">
        <f>IF(AND(CNTR_ExistSubInstEntries,MSconst_RequireSubAttrEmissions,COUNTIFS(AC2590:AI2590,FALSE,H2590:N2590,"")&gt;0),EUconst_Error&amp;"BM"&amp;$Q2429,"")</f>
        <v/>
      </c>
      <c r="AL2590" s="2"/>
    </row>
    <row r="2591" spans="1:38" ht="12.75" customHeight="1" thickBot="1" x14ac:dyDescent="0.3">
      <c r="A2591" s="2"/>
      <c r="B2591" s="178"/>
      <c r="C2591" s="779"/>
      <c r="D2591" s="416" t="s">
        <v>861</v>
      </c>
      <c r="E2591" s="2627" t="str">
        <f>Translations!$B$587</f>
        <v>Utsläpp (fossila, beräknade)</v>
      </c>
      <c r="F2591" s="2484"/>
      <c r="G2591" s="426" t="str">
        <f>EUconst_tCO2pa</f>
        <v>t CO2 / år</v>
      </c>
      <c r="H2591" s="273" t="str">
        <f t="shared" ref="H2591:N2591" si="1153">IF(AND(COUNT(H2587:H2590)&gt;0,H2594=""),3.664*H2587*(H2589/100)*(1-H2590/100),"")</f>
        <v/>
      </c>
      <c r="I2591" s="1109" t="str">
        <f t="shared" si="1153"/>
        <v/>
      </c>
      <c r="J2591" s="1116" t="str">
        <f t="shared" si="1153"/>
        <v/>
      </c>
      <c r="K2591" s="273" t="str">
        <f t="shared" si="1153"/>
        <v/>
      </c>
      <c r="L2591" s="273" t="str">
        <f t="shared" si="1153"/>
        <v/>
      </c>
      <c r="M2591" s="273" t="str">
        <f t="shared" si="1153"/>
        <v/>
      </c>
      <c r="N2591" s="1142" t="str">
        <f t="shared" si="1153"/>
        <v/>
      </c>
      <c r="O2591" s="15"/>
      <c r="P2591" s="15"/>
      <c r="Q2591" s="165" t="str">
        <f>EUconst_CNTR_EmissionsIntSource1 &amp; I2429</f>
        <v>EmInternalSource1_</v>
      </c>
      <c r="R2591" s="2"/>
      <c r="S2591" s="773" t="str">
        <f>EUconst_CNTR_AttributedEmissions &amp; I2429</f>
        <v>AttrEmissions_</v>
      </c>
      <c r="T2591" s="111" t="str">
        <f t="shared" ref="T2591:Z2591" si="1154">IF(T2437,SUM(H2591),"")</f>
        <v/>
      </c>
      <c r="U2591" s="111" t="str">
        <f t="shared" si="1154"/>
        <v/>
      </c>
      <c r="V2591" s="111" t="str">
        <f t="shared" si="1154"/>
        <v/>
      </c>
      <c r="W2591" s="111" t="str">
        <f t="shared" si="1154"/>
        <v/>
      </c>
      <c r="X2591" s="111" t="str">
        <f t="shared" si="1154"/>
        <v/>
      </c>
      <c r="Y2591" s="111" t="str">
        <f t="shared" si="1154"/>
        <v/>
      </c>
      <c r="Z2591" s="112" t="str">
        <f t="shared" si="1154"/>
        <v/>
      </c>
      <c r="AA2591" s="2"/>
      <c r="AB2591" s="2"/>
      <c r="AC2591" s="2"/>
      <c r="AD2591" s="2"/>
      <c r="AE2591" s="2"/>
      <c r="AF2591" s="2"/>
      <c r="AG2591" s="2"/>
      <c r="AH2591" s="2"/>
      <c r="AI2591" s="2"/>
      <c r="AJ2591" s="2"/>
      <c r="AK2591" s="2"/>
      <c r="AL2591" s="2"/>
    </row>
    <row r="2592" spans="1:38" ht="12.75" customHeight="1" x14ac:dyDescent="0.25">
      <c r="A2592" s="2"/>
      <c r="B2592" s="178"/>
      <c r="C2592" s="779"/>
      <c r="D2592" s="416" t="s">
        <v>862</v>
      </c>
      <c r="E2592" s="2628" t="str">
        <f>Translations!$B$588</f>
        <v>Memorandumpost: Utsläpp biomassa</v>
      </c>
      <c r="F2592" s="2476"/>
      <c r="G2592" s="427" t="str">
        <f>EUconst_tCO2pa</f>
        <v>t CO2 / år</v>
      </c>
      <c r="H2592" s="272" t="str">
        <f t="shared" ref="H2592:N2592" si="1155">IF(ISNUMBER(H2591),3.664*H2587*(H2589/100)*(H2590/100),"")</f>
        <v/>
      </c>
      <c r="I2592" s="1110" t="str">
        <f t="shared" si="1155"/>
        <v/>
      </c>
      <c r="J2592" s="1117" t="str">
        <f t="shared" si="1155"/>
        <v/>
      </c>
      <c r="K2592" s="272" t="str">
        <f t="shared" si="1155"/>
        <v/>
      </c>
      <c r="L2592" s="272" t="str">
        <f t="shared" si="1155"/>
        <v/>
      </c>
      <c r="M2592" s="272" t="str">
        <f t="shared" si="1155"/>
        <v/>
      </c>
      <c r="N2592" s="1143" t="str">
        <f t="shared" si="1155"/>
        <v/>
      </c>
      <c r="O2592" s="15"/>
      <c r="P2592" s="15"/>
      <c r="Q2592" s="343"/>
      <c r="R2592" s="2"/>
      <c r="S2592" s="343"/>
      <c r="T2592" s="2"/>
      <c r="U2592" s="2"/>
      <c r="V2592" s="2"/>
      <c r="W2592" s="2"/>
      <c r="X2592" s="2"/>
      <c r="Y2592" s="2"/>
      <c r="Z2592" s="2"/>
      <c r="AA2592" s="2"/>
      <c r="AB2592" s="2"/>
      <c r="AC2592" s="2"/>
      <c r="AD2592" s="2"/>
      <c r="AE2592" s="2"/>
      <c r="AF2592" s="2"/>
      <c r="AG2592" s="2"/>
      <c r="AH2592" s="2"/>
      <c r="AI2592" s="2"/>
      <c r="AJ2592" s="2"/>
      <c r="AK2592" s="2"/>
      <c r="AL2592" s="2"/>
    </row>
    <row r="2593" spans="1:38" ht="12.75" customHeight="1" x14ac:dyDescent="0.25">
      <c r="A2593" s="2"/>
      <c r="B2593" s="178"/>
      <c r="C2593" s="779"/>
      <c r="D2593" s="416" t="s">
        <v>863</v>
      </c>
      <c r="E2593" s="2626" t="str">
        <f>Translations!$B$589</f>
        <v>Energiinnehåll (beräknat)</v>
      </c>
      <c r="F2593" s="2487"/>
      <c r="G2593" s="428" t="str">
        <f>EUconst_TJpa</f>
        <v>TJ / år</v>
      </c>
      <c r="H2593" s="275" t="str">
        <f t="shared" ref="H2593:N2593" si="1156">IF(COUNT(H2587:H2588)=2,H2587*H2588/1000,"")</f>
        <v/>
      </c>
      <c r="I2593" s="281" t="str">
        <f t="shared" si="1156"/>
        <v/>
      </c>
      <c r="J2593" s="1118" t="str">
        <f t="shared" si="1156"/>
        <v/>
      </c>
      <c r="K2593" s="275" t="str">
        <f t="shared" si="1156"/>
        <v/>
      </c>
      <c r="L2593" s="275" t="str">
        <f t="shared" si="1156"/>
        <v/>
      </c>
      <c r="M2593" s="275" t="str">
        <f t="shared" si="1156"/>
        <v/>
      </c>
      <c r="N2593" s="1144" t="str">
        <f t="shared" si="1156"/>
        <v/>
      </c>
      <c r="O2593" s="15"/>
      <c r="P2593" s="15"/>
      <c r="Q2593" s="343"/>
      <c r="R2593" s="2"/>
      <c r="S2593" s="343"/>
      <c r="T2593" s="2"/>
      <c r="U2593" s="2"/>
      <c r="V2593" s="2"/>
      <c r="W2593" s="2"/>
      <c r="X2593" s="2"/>
      <c r="Y2593" s="2"/>
      <c r="Z2593" s="2"/>
      <c r="AA2593" s="2"/>
      <c r="AB2593" s="2"/>
      <c r="AC2593" s="2"/>
      <c r="AD2593" s="2"/>
      <c r="AE2593" s="2"/>
      <c r="AF2593" s="2"/>
      <c r="AG2593" s="2"/>
      <c r="AH2593" s="2"/>
      <c r="AI2593" s="2"/>
      <c r="AJ2593" s="2"/>
      <c r="AK2593" s="2"/>
      <c r="AL2593" s="2"/>
    </row>
    <row r="2594" spans="1:38" ht="12.75" customHeight="1" x14ac:dyDescent="0.25">
      <c r="A2594" s="2"/>
      <c r="B2594" s="178"/>
      <c r="C2594" s="779"/>
      <c r="D2594" s="416" t="s">
        <v>72</v>
      </c>
      <c r="E2594" s="2629" t="str">
        <f>Translations!$B$590</f>
        <v>Felmeddelanden (utsläpp)</v>
      </c>
      <c r="F2594" s="2630"/>
      <c r="G2594" s="429"/>
      <c r="H2594" s="520" t="str">
        <f t="shared" ref="H2594:N2594" si="1157">IF(COUNT(H2587,H2589:H2590)&gt;0,IF(COUNTIF(H2588:H2590,"&lt;0")&gt;0,EUconst_Negative,IF(COUNT(H2587,H2589:H2590)&lt;3,EUconst_Incomplete,"")),"")</f>
        <v/>
      </c>
      <c r="I2594" s="1111" t="str">
        <f t="shared" si="1157"/>
        <v/>
      </c>
      <c r="J2594" s="1119" t="str">
        <f t="shared" si="1157"/>
        <v/>
      </c>
      <c r="K2594" s="520" t="str">
        <f t="shared" si="1157"/>
        <v/>
      </c>
      <c r="L2594" s="520" t="str">
        <f t="shared" si="1157"/>
        <v/>
      </c>
      <c r="M2594" s="520" t="str">
        <f t="shared" si="1157"/>
        <v/>
      </c>
      <c r="N2594" s="1145" t="str">
        <f t="shared" si="1157"/>
        <v/>
      </c>
      <c r="O2594" s="15"/>
      <c r="P2594" s="15"/>
      <c r="Q2594" s="343"/>
      <c r="R2594" s="2"/>
      <c r="S2594" s="343"/>
      <c r="T2594" s="2"/>
      <c r="U2594" s="2"/>
      <c r="V2594" s="2"/>
      <c r="W2594" s="2"/>
      <c r="X2594" s="2"/>
      <c r="Y2594" s="2"/>
      <c r="Z2594" s="2"/>
      <c r="AA2594" s="2"/>
      <c r="AB2594" s="2"/>
      <c r="AC2594" s="2"/>
      <c r="AD2594" s="2"/>
      <c r="AE2594" s="2"/>
      <c r="AF2594" s="2"/>
      <c r="AG2594" s="2"/>
      <c r="AH2594" s="2"/>
      <c r="AI2594" s="2"/>
      <c r="AJ2594" s="2"/>
      <c r="AK2594" s="2"/>
      <c r="AL2594" s="2"/>
    </row>
    <row r="2595" spans="1:38" ht="12.75" customHeight="1" x14ac:dyDescent="0.25">
      <c r="A2595" s="2"/>
      <c r="B2595" s="178"/>
      <c r="C2595" s="779"/>
      <c r="D2595" s="416"/>
      <c r="E2595" s="780"/>
      <c r="F2595" s="780"/>
      <c r="G2595" s="780"/>
      <c r="H2595" s="780"/>
      <c r="I2595" s="780"/>
      <c r="J2595" s="780"/>
      <c r="K2595" s="780"/>
      <c r="L2595" s="780"/>
      <c r="M2595" s="623"/>
      <c r="N2595" s="519"/>
      <c r="O2595" s="15"/>
      <c r="P2595" s="15"/>
      <c r="Q2595" s="343"/>
      <c r="R2595" s="2"/>
      <c r="S2595" s="343"/>
      <c r="T2595" s="2"/>
      <c r="U2595" s="2"/>
      <c r="V2595" s="2"/>
      <c r="W2595" s="2"/>
      <c r="X2595" s="2"/>
      <c r="Y2595" s="2"/>
      <c r="Z2595" s="2"/>
      <c r="AA2595" s="2"/>
      <c r="AB2595" s="2"/>
      <c r="AC2595" s="2"/>
      <c r="AD2595" s="2"/>
      <c r="AE2595" s="2"/>
      <c r="AF2595" s="2"/>
      <c r="AG2595" s="2"/>
      <c r="AH2595" s="2"/>
      <c r="AI2595" s="2"/>
      <c r="AJ2595" s="2"/>
      <c r="AK2595" s="2"/>
      <c r="AL2595" s="2"/>
    </row>
    <row r="2596" spans="1:38" ht="12.75" customHeight="1" x14ac:dyDescent="0.25">
      <c r="A2596" s="2"/>
      <c r="B2596" s="178"/>
      <c r="C2596" s="779"/>
      <c r="D2596" s="416" t="s">
        <v>73</v>
      </c>
      <c r="E2596" s="2614" t="str">
        <f>Translations!$B$591</f>
        <v>Namn på andra bränsle-/materialmängder – 2:</v>
      </c>
      <c r="F2596" s="1960"/>
      <c r="G2596" s="1960"/>
      <c r="H2596" s="2520"/>
      <c r="I2596" s="2621"/>
      <c r="J2596" s="2510"/>
      <c r="K2596" s="2510"/>
      <c r="L2596" s="2510"/>
      <c r="M2596" s="2511"/>
      <c r="N2596" s="1807"/>
      <c r="O2596" s="15"/>
      <c r="P2596" s="1362"/>
      <c r="Q2596" s="343"/>
      <c r="R2596" s="2"/>
      <c r="S2596" s="343"/>
      <c r="T2596" s="2"/>
      <c r="U2596" s="2"/>
      <c r="V2596" s="2"/>
      <c r="W2596" s="2"/>
      <c r="X2596" s="2"/>
      <c r="Y2596" s="2"/>
      <c r="Z2596" s="2"/>
      <c r="AA2596" s="2"/>
      <c r="AB2596" s="2"/>
      <c r="AC2596" s="672" t="s">
        <v>782</v>
      </c>
      <c r="AD2596" s="108" t="b">
        <f>AD2584</f>
        <v>0</v>
      </c>
      <c r="AE2596" s="2"/>
      <c r="AF2596" s="2"/>
      <c r="AG2596" s="2"/>
      <c r="AH2596" s="2"/>
      <c r="AI2596" s="2"/>
      <c r="AJ2596" s="2"/>
      <c r="AK2596" s="2"/>
      <c r="AL2596" s="2"/>
    </row>
    <row r="2597" spans="1:38" ht="5.15" customHeight="1" x14ac:dyDescent="0.25">
      <c r="A2597" s="2"/>
      <c r="B2597" s="178"/>
      <c r="C2597" s="779"/>
      <c r="D2597" s="780"/>
      <c r="E2597" s="1804"/>
      <c r="F2597" s="1806"/>
      <c r="G2597" s="780"/>
      <c r="H2597" s="780"/>
      <c r="I2597" s="1806"/>
      <c r="J2597" s="1806"/>
      <c r="K2597" s="1806"/>
      <c r="L2597" s="1806"/>
      <c r="M2597" s="1806"/>
      <c r="N2597" s="1807"/>
      <c r="O2597" s="15"/>
      <c r="P2597" s="15"/>
      <c r="Q2597" s="343"/>
      <c r="R2597" s="2"/>
      <c r="S2597" s="343"/>
      <c r="T2597" s="2"/>
      <c r="U2597" s="2"/>
      <c r="V2597" s="2"/>
      <c r="W2597" s="2"/>
      <c r="X2597" s="2"/>
      <c r="Y2597" s="2"/>
      <c r="Z2597" s="2"/>
      <c r="AA2597" s="2"/>
      <c r="AB2597" s="2"/>
      <c r="AC2597" s="2"/>
      <c r="AD2597" s="2"/>
      <c r="AE2597" s="2"/>
      <c r="AF2597" s="2"/>
      <c r="AG2597" s="2"/>
      <c r="AH2597" s="2"/>
      <c r="AI2597" s="2"/>
      <c r="AJ2597" s="2"/>
      <c r="AK2597" s="2"/>
      <c r="AL2597" s="2"/>
    </row>
    <row r="2598" spans="1:38" ht="12.75" customHeight="1" thickBot="1" x14ac:dyDescent="0.3">
      <c r="A2598" s="2"/>
      <c r="B2598" s="178"/>
      <c r="C2598" s="779"/>
      <c r="D2598" s="416"/>
      <c r="E2598" s="2605" t="str">
        <f>Translations!$B$592</f>
        <v>Andra bränsle-/materialmängder – 2</v>
      </c>
      <c r="F2598" s="2497"/>
      <c r="G2598" s="361" t="str">
        <f>EUconst_Unit</f>
        <v>Enhet</v>
      </c>
      <c r="H2598" s="362">
        <f t="shared" ref="H2598:N2598" si="1158">H$3042</f>
        <v>2019</v>
      </c>
      <c r="I2598" s="1103">
        <f t="shared" si="1158"/>
        <v>2020</v>
      </c>
      <c r="J2598" s="1104">
        <f t="shared" si="1158"/>
        <v>2021</v>
      </c>
      <c r="K2598" s="362">
        <f t="shared" si="1158"/>
        <v>2022</v>
      </c>
      <c r="L2598" s="362">
        <f t="shared" si="1158"/>
        <v>2023</v>
      </c>
      <c r="M2598" s="362">
        <f t="shared" si="1158"/>
        <v>2024</v>
      </c>
      <c r="N2598" s="1141">
        <f t="shared" si="1158"/>
        <v>2025</v>
      </c>
      <c r="O2598" s="15"/>
      <c r="P2598" s="15"/>
      <c r="Q2598" s="343"/>
      <c r="R2598" s="2"/>
      <c r="S2598" s="343"/>
      <c r="T2598" s="2"/>
      <c r="U2598" s="2"/>
      <c r="V2598" s="2"/>
      <c r="W2598" s="2"/>
      <c r="X2598" s="2"/>
      <c r="Y2598" s="2"/>
      <c r="Z2598" s="2"/>
      <c r="AA2598" s="2"/>
      <c r="AB2598" s="2"/>
      <c r="AC2598" s="1044">
        <f t="shared" ref="AC2598:AI2598" si="1159">H$20</f>
        <v>2019</v>
      </c>
      <c r="AD2598" s="1044">
        <f t="shared" si="1159"/>
        <v>2020</v>
      </c>
      <c r="AE2598" s="1044">
        <f t="shared" si="1159"/>
        <v>2021</v>
      </c>
      <c r="AF2598" s="1044">
        <f t="shared" si="1159"/>
        <v>2022</v>
      </c>
      <c r="AG2598" s="1044">
        <f t="shared" si="1159"/>
        <v>2023</v>
      </c>
      <c r="AH2598" s="1044">
        <f t="shared" si="1159"/>
        <v>2024</v>
      </c>
      <c r="AI2598" s="1044">
        <f t="shared" si="1159"/>
        <v>2025</v>
      </c>
      <c r="AJ2598" s="2"/>
      <c r="AK2598" s="2"/>
      <c r="AL2598" s="2"/>
    </row>
    <row r="2599" spans="1:38" ht="12.75" customHeight="1" x14ac:dyDescent="0.25">
      <c r="A2599" s="2"/>
      <c r="B2599" s="178"/>
      <c r="C2599" s="779"/>
      <c r="D2599" s="416" t="s">
        <v>74</v>
      </c>
      <c r="E2599" s="2611" t="str">
        <f>Translations!$B$583</f>
        <v>Importerad eller exporterad mängd</v>
      </c>
      <c r="F2599" s="2484"/>
      <c r="G2599" s="365" t="str">
        <f>EUconst_tpa</f>
        <v>t / år</v>
      </c>
      <c r="H2599" s="1298"/>
      <c r="I2599" s="1299"/>
      <c r="J2599" s="1300"/>
      <c r="K2599" s="1298"/>
      <c r="L2599" s="1298"/>
      <c r="M2599" s="1298"/>
      <c r="N2599" s="1301"/>
      <c r="O2599" s="15"/>
      <c r="P2599" s="1362"/>
      <c r="Q2599" s="343"/>
      <c r="R2599" s="2"/>
      <c r="S2599" s="343"/>
      <c r="T2599" s="2"/>
      <c r="U2599" s="2"/>
      <c r="V2599" s="2"/>
      <c r="W2599" s="2"/>
      <c r="X2599" s="2"/>
      <c r="Y2599" s="2"/>
      <c r="Z2599" s="2"/>
      <c r="AA2599" s="2"/>
      <c r="AB2599" s="672" t="s">
        <v>782</v>
      </c>
      <c r="AC2599" s="108" t="b">
        <f>AC2587</f>
        <v>0</v>
      </c>
      <c r="AD2599" s="108" t="b">
        <f t="shared" ref="AD2599:AI2599" si="1160">AD2587</f>
        <v>0</v>
      </c>
      <c r="AE2599" s="108" t="b">
        <f t="shared" si="1160"/>
        <v>0</v>
      </c>
      <c r="AF2599" s="108" t="b">
        <f t="shared" si="1160"/>
        <v>0</v>
      </c>
      <c r="AG2599" s="108" t="b">
        <f t="shared" si="1160"/>
        <v>0</v>
      </c>
      <c r="AH2599" s="108" t="b">
        <f t="shared" si="1160"/>
        <v>0</v>
      </c>
      <c r="AI2599" s="108" t="b">
        <f t="shared" si="1160"/>
        <v>0</v>
      </c>
      <c r="AJ2599" s="553" t="s">
        <v>2248</v>
      </c>
      <c r="AK2599" s="663" t="str">
        <f>IF(AND(CNTR_ExistSubInstEntries,MSconst_RequireSubAttrEmissions,COUNTIFS(AC2599:AI2599,FALSE,H2599:N2599,"")&gt;0),EUconst_Error&amp;"BM"&amp;$Q2429,"")</f>
        <v/>
      </c>
      <c r="AL2599" s="2"/>
    </row>
    <row r="2600" spans="1:38" ht="12.75" customHeight="1" x14ac:dyDescent="0.25">
      <c r="A2600" s="2"/>
      <c r="B2600" s="178"/>
      <c r="C2600" s="779"/>
      <c r="D2600" s="416" t="s">
        <v>1201</v>
      </c>
      <c r="E2600" s="2625" t="str">
        <f>Translations!$B$584</f>
        <v>Effektivt värmevärde, i tillämpliga fall</v>
      </c>
      <c r="F2600" s="2476"/>
      <c r="G2600" s="424" t="str">
        <f>EUconst_GJpt</f>
        <v>GJ / t</v>
      </c>
      <c r="H2600" s="1302"/>
      <c r="I2600" s="1303"/>
      <c r="J2600" s="1304"/>
      <c r="K2600" s="1302"/>
      <c r="L2600" s="1302"/>
      <c r="M2600" s="1302"/>
      <c r="N2600" s="1305"/>
      <c r="O2600" s="15"/>
      <c r="P2600" s="1362"/>
      <c r="Q2600" s="343"/>
      <c r="R2600" s="2"/>
      <c r="S2600" s="343"/>
      <c r="T2600" s="2"/>
      <c r="U2600" s="2"/>
      <c r="V2600" s="2"/>
      <c r="W2600" s="2"/>
      <c r="X2600" s="2"/>
      <c r="Y2600" s="2"/>
      <c r="Z2600" s="2"/>
      <c r="AA2600" s="2"/>
      <c r="AB2600" s="2"/>
      <c r="AC2600" s="108" t="b">
        <f t="shared" ref="AC2600:AI2600" si="1161">AC2588</f>
        <v>0</v>
      </c>
      <c r="AD2600" s="108" t="b">
        <f t="shared" si="1161"/>
        <v>0</v>
      </c>
      <c r="AE2600" s="108" t="b">
        <f t="shared" si="1161"/>
        <v>0</v>
      </c>
      <c r="AF2600" s="108" t="b">
        <f t="shared" si="1161"/>
        <v>0</v>
      </c>
      <c r="AG2600" s="108" t="b">
        <f t="shared" si="1161"/>
        <v>0</v>
      </c>
      <c r="AH2600" s="108" t="b">
        <f t="shared" si="1161"/>
        <v>0</v>
      </c>
      <c r="AI2600" s="108" t="b">
        <f t="shared" si="1161"/>
        <v>0</v>
      </c>
      <c r="AJ2600" s="553" t="s">
        <v>2248</v>
      </c>
      <c r="AK2600" s="663" t="str">
        <f>IF(AND(CNTR_ExistSubInstEntries,MSconst_RequireSubAttrEmissions,COUNTIFS(AC2600:AI2600,FALSE,H2600:N2600,"")&gt;0),EUconst_Error&amp;"BM"&amp;$Q2429,"")</f>
        <v/>
      </c>
      <c r="AL2600" s="2"/>
    </row>
    <row r="2601" spans="1:38" ht="12.75" customHeight="1" thickBot="1" x14ac:dyDescent="0.3">
      <c r="A2601" s="2"/>
      <c r="B2601" s="178"/>
      <c r="C2601" s="779"/>
      <c r="D2601" s="416" t="s">
        <v>1202</v>
      </c>
      <c r="E2601" s="2625" t="str">
        <f>Translations!$B$585</f>
        <v>Kolinnehåll (viktprocent)</v>
      </c>
      <c r="F2601" s="2476"/>
      <c r="G2601" s="425" t="s">
        <v>957</v>
      </c>
      <c r="H2601" s="1302"/>
      <c r="I2601" s="1303"/>
      <c r="J2601" s="1304"/>
      <c r="K2601" s="1302"/>
      <c r="L2601" s="1302"/>
      <c r="M2601" s="1302"/>
      <c r="N2601" s="1305"/>
      <c r="O2601" s="15"/>
      <c r="P2601" s="1362"/>
      <c r="Q2601" s="343"/>
      <c r="R2601" s="2"/>
      <c r="S2601" s="343"/>
      <c r="T2601" s="2"/>
      <c r="U2601" s="2"/>
      <c r="V2601" s="2"/>
      <c r="W2601" s="2"/>
      <c r="X2601" s="2"/>
      <c r="Y2601" s="2"/>
      <c r="Z2601" s="2"/>
      <c r="AA2601" s="2"/>
      <c r="AB2601" s="2"/>
      <c r="AC2601" s="108" t="b">
        <f t="shared" ref="AC2601:AI2601" si="1162">AC2589</f>
        <v>0</v>
      </c>
      <c r="AD2601" s="108" t="b">
        <f t="shared" si="1162"/>
        <v>0</v>
      </c>
      <c r="AE2601" s="108" t="b">
        <f t="shared" si="1162"/>
        <v>0</v>
      </c>
      <c r="AF2601" s="108" t="b">
        <f t="shared" si="1162"/>
        <v>0</v>
      </c>
      <c r="AG2601" s="108" t="b">
        <f t="shared" si="1162"/>
        <v>0</v>
      </c>
      <c r="AH2601" s="108" t="b">
        <f t="shared" si="1162"/>
        <v>0</v>
      </c>
      <c r="AI2601" s="108" t="b">
        <f t="shared" si="1162"/>
        <v>0</v>
      </c>
      <c r="AJ2601" s="553" t="s">
        <v>2248</v>
      </c>
      <c r="AK2601" s="663" t="str">
        <f>IF(AND(CNTR_ExistSubInstEntries,MSconst_RequireSubAttrEmissions,COUNTIFS(AC2601:AI2601,FALSE,H2601:N2601,"")&gt;0),EUconst_Error&amp;"BM"&amp;$Q2429,"")</f>
        <v/>
      </c>
      <c r="AL2601" s="2"/>
    </row>
    <row r="2602" spans="1:38" ht="12.75" customHeight="1" x14ac:dyDescent="0.25">
      <c r="A2602" s="2"/>
      <c r="B2602" s="178"/>
      <c r="C2602" s="779"/>
      <c r="D2602" s="416" t="s">
        <v>1203</v>
      </c>
      <c r="E2602" s="2626" t="str">
        <f>Translations!$B$586</f>
        <v>Biomassahalt (som kolfraktion)</v>
      </c>
      <c r="F2602" s="2487"/>
      <c r="G2602" s="384" t="s">
        <v>957</v>
      </c>
      <c r="H2602" s="1306"/>
      <c r="I2602" s="1307"/>
      <c r="J2602" s="1308"/>
      <c r="K2602" s="1306"/>
      <c r="L2602" s="1306"/>
      <c r="M2602" s="1306"/>
      <c r="N2602" s="1309"/>
      <c r="O2602" s="15"/>
      <c r="P2602" s="1362"/>
      <c r="Q2602" s="343"/>
      <c r="R2602" s="2"/>
      <c r="S2602" s="772"/>
      <c r="T2602" s="609">
        <f t="shared" ref="T2602:Z2602" si="1163">H2598</f>
        <v>2019</v>
      </c>
      <c r="U2602" s="609">
        <f t="shared" si="1163"/>
        <v>2020</v>
      </c>
      <c r="V2602" s="609">
        <f t="shared" si="1163"/>
        <v>2021</v>
      </c>
      <c r="W2602" s="609">
        <f t="shared" si="1163"/>
        <v>2022</v>
      </c>
      <c r="X2602" s="609">
        <f t="shared" si="1163"/>
        <v>2023</v>
      </c>
      <c r="Y2602" s="609">
        <f t="shared" si="1163"/>
        <v>2024</v>
      </c>
      <c r="Z2602" s="610">
        <f t="shared" si="1163"/>
        <v>2025</v>
      </c>
      <c r="AA2602" s="2"/>
      <c r="AB2602" s="2"/>
      <c r="AC2602" s="108" t="b">
        <f t="shared" ref="AC2602:AI2602" si="1164">AC2590</f>
        <v>0</v>
      </c>
      <c r="AD2602" s="108" t="b">
        <f t="shared" si="1164"/>
        <v>0</v>
      </c>
      <c r="AE2602" s="108" t="b">
        <f t="shared" si="1164"/>
        <v>0</v>
      </c>
      <c r="AF2602" s="108" t="b">
        <f t="shared" si="1164"/>
        <v>0</v>
      </c>
      <c r="AG2602" s="108" t="b">
        <f t="shared" si="1164"/>
        <v>0</v>
      </c>
      <c r="AH2602" s="108" t="b">
        <f t="shared" si="1164"/>
        <v>0</v>
      </c>
      <c r="AI2602" s="108" t="b">
        <f t="shared" si="1164"/>
        <v>0</v>
      </c>
      <c r="AJ2602" s="553" t="s">
        <v>2248</v>
      </c>
      <c r="AK2602" s="663" t="str">
        <f>IF(AND(CNTR_ExistSubInstEntries,MSconst_RequireSubAttrEmissions,COUNTIFS(AC2602:AI2602,FALSE,H2602:N2602,"")&gt;0),EUconst_Error&amp;"BM"&amp;$Q2429,"")</f>
        <v/>
      </c>
      <c r="AL2602" s="2"/>
    </row>
    <row r="2603" spans="1:38" ht="12.75" customHeight="1" thickBot="1" x14ac:dyDescent="0.3">
      <c r="A2603" s="2"/>
      <c r="B2603" s="178"/>
      <c r="C2603" s="779"/>
      <c r="D2603" s="416" t="s">
        <v>1204</v>
      </c>
      <c r="E2603" s="2627" t="str">
        <f>Translations!$B$587</f>
        <v>Utsläpp (fossila, beräknade)</v>
      </c>
      <c r="F2603" s="2484"/>
      <c r="G2603" s="426" t="str">
        <f>EUconst_tCO2pa</f>
        <v>t CO2 / år</v>
      </c>
      <c r="H2603" s="273" t="str">
        <f t="shared" ref="H2603:N2603" si="1165">IF(AND(COUNT(H2599:H2602)&gt;0,H2606=""),3.664*H2599*(H2601/100)*(1-H2602/100),"")</f>
        <v/>
      </c>
      <c r="I2603" s="1109" t="str">
        <f t="shared" si="1165"/>
        <v/>
      </c>
      <c r="J2603" s="1116" t="str">
        <f t="shared" si="1165"/>
        <v/>
      </c>
      <c r="K2603" s="273" t="str">
        <f t="shared" si="1165"/>
        <v/>
      </c>
      <c r="L2603" s="273" t="str">
        <f t="shared" si="1165"/>
        <v/>
      </c>
      <c r="M2603" s="273" t="str">
        <f t="shared" si="1165"/>
        <v/>
      </c>
      <c r="N2603" s="1142" t="str">
        <f t="shared" si="1165"/>
        <v/>
      </c>
      <c r="O2603" s="15"/>
      <c r="P2603" s="15"/>
      <c r="Q2603" s="165" t="str">
        <f>EUconst_CNTR_EmissionsIntSource2 &amp; I2429</f>
        <v>EmInternalSource2_</v>
      </c>
      <c r="R2603" s="2"/>
      <c r="S2603" s="773" t="str">
        <f>EUconst_CNTR_AttributedEmissions &amp; I2429</f>
        <v>AttrEmissions_</v>
      </c>
      <c r="T2603" s="111" t="str">
        <f t="shared" ref="T2603:Z2603" si="1166">IF(T2437,SUM(H2603),"")</f>
        <v/>
      </c>
      <c r="U2603" s="111" t="str">
        <f t="shared" si="1166"/>
        <v/>
      </c>
      <c r="V2603" s="111" t="str">
        <f t="shared" si="1166"/>
        <v/>
      </c>
      <c r="W2603" s="111" t="str">
        <f t="shared" si="1166"/>
        <v/>
      </c>
      <c r="X2603" s="111" t="str">
        <f t="shared" si="1166"/>
        <v/>
      </c>
      <c r="Y2603" s="111" t="str">
        <f t="shared" si="1166"/>
        <v/>
      </c>
      <c r="Z2603" s="112" t="str">
        <f t="shared" si="1166"/>
        <v/>
      </c>
      <c r="AA2603" s="2"/>
      <c r="AB2603" s="2"/>
      <c r="AC2603" s="2"/>
      <c r="AD2603" s="2"/>
      <c r="AE2603" s="2"/>
      <c r="AF2603" s="2"/>
      <c r="AG2603" s="2"/>
      <c r="AH2603" s="2"/>
      <c r="AI2603" s="2"/>
      <c r="AJ2603" s="2"/>
      <c r="AK2603" s="2"/>
      <c r="AL2603" s="2"/>
    </row>
    <row r="2604" spans="1:38" ht="12.75" customHeight="1" x14ac:dyDescent="0.25">
      <c r="A2604" s="2"/>
      <c r="B2604" s="178"/>
      <c r="C2604" s="779"/>
      <c r="D2604" s="416" t="s">
        <v>1205</v>
      </c>
      <c r="E2604" s="2628" t="str">
        <f>Translations!$B$588</f>
        <v>Memorandumpost: Utsläpp biomassa</v>
      </c>
      <c r="F2604" s="2476"/>
      <c r="G2604" s="427" t="str">
        <f>EUconst_tCO2pa</f>
        <v>t CO2 / år</v>
      </c>
      <c r="H2604" s="272" t="str">
        <f t="shared" ref="H2604:N2604" si="1167">IF(ISNUMBER(H2603),3.664*H2599*(H2601/100)*(H2602/100),"")</f>
        <v/>
      </c>
      <c r="I2604" s="1110" t="str">
        <f t="shared" si="1167"/>
        <v/>
      </c>
      <c r="J2604" s="1117" t="str">
        <f t="shared" si="1167"/>
        <v/>
      </c>
      <c r="K2604" s="272" t="str">
        <f t="shared" si="1167"/>
        <v/>
      </c>
      <c r="L2604" s="272" t="str">
        <f t="shared" si="1167"/>
        <v/>
      </c>
      <c r="M2604" s="272" t="str">
        <f t="shared" si="1167"/>
        <v/>
      </c>
      <c r="N2604" s="1143" t="str">
        <f t="shared" si="1167"/>
        <v/>
      </c>
      <c r="O2604" s="15"/>
      <c r="P2604" s="15"/>
      <c r="Q2604" s="343"/>
      <c r="R2604" s="2"/>
      <c r="S2604" s="343"/>
      <c r="T2604" s="2"/>
      <c r="U2604" s="2"/>
      <c r="V2604" s="2"/>
      <c r="W2604" s="2"/>
      <c r="X2604" s="2"/>
      <c r="Y2604" s="2"/>
      <c r="Z2604" s="2"/>
      <c r="AA2604" s="2"/>
      <c r="AB2604" s="2"/>
      <c r="AC2604" s="2"/>
      <c r="AD2604" s="2"/>
      <c r="AE2604" s="2"/>
      <c r="AF2604" s="2"/>
      <c r="AG2604" s="2"/>
      <c r="AH2604" s="2"/>
      <c r="AI2604" s="2"/>
      <c r="AJ2604" s="2"/>
      <c r="AK2604" s="2"/>
      <c r="AL2604" s="2"/>
    </row>
    <row r="2605" spans="1:38" ht="12.75" customHeight="1" x14ac:dyDescent="0.25">
      <c r="A2605" s="2"/>
      <c r="B2605" s="178"/>
      <c r="C2605" s="779"/>
      <c r="D2605" s="416" t="s">
        <v>1206</v>
      </c>
      <c r="E2605" s="2626" t="str">
        <f>Translations!$B$589</f>
        <v>Energiinnehåll (beräknat)</v>
      </c>
      <c r="F2605" s="2487"/>
      <c r="G2605" s="428" t="str">
        <f>EUconst_TJpa</f>
        <v>TJ / år</v>
      </c>
      <c r="H2605" s="275" t="str">
        <f t="shared" ref="H2605:N2605" si="1168">IF(COUNT(H2599:H2600)=2,H2599*H2600/1000,"")</f>
        <v/>
      </c>
      <c r="I2605" s="281" t="str">
        <f t="shared" si="1168"/>
        <v/>
      </c>
      <c r="J2605" s="1118" t="str">
        <f t="shared" si="1168"/>
        <v/>
      </c>
      <c r="K2605" s="275" t="str">
        <f t="shared" si="1168"/>
        <v/>
      </c>
      <c r="L2605" s="275" t="str">
        <f t="shared" si="1168"/>
        <v/>
      </c>
      <c r="M2605" s="275" t="str">
        <f t="shared" si="1168"/>
        <v/>
      </c>
      <c r="N2605" s="1144" t="str">
        <f t="shared" si="1168"/>
        <v/>
      </c>
      <c r="O2605" s="15"/>
      <c r="P2605" s="15"/>
      <c r="Q2605" s="343"/>
      <c r="R2605" s="2"/>
      <c r="S2605" s="343"/>
      <c r="T2605" s="2"/>
      <c r="U2605" s="2"/>
      <c r="V2605" s="2"/>
      <c r="W2605" s="2"/>
      <c r="X2605" s="2"/>
      <c r="Y2605" s="2"/>
      <c r="Z2605" s="2"/>
      <c r="AA2605" s="2"/>
      <c r="AB2605" s="2"/>
      <c r="AC2605" s="2"/>
      <c r="AD2605" s="2"/>
      <c r="AE2605" s="2"/>
      <c r="AF2605" s="2"/>
      <c r="AG2605" s="2"/>
      <c r="AH2605" s="2"/>
      <c r="AI2605" s="2"/>
      <c r="AJ2605" s="2"/>
      <c r="AK2605" s="2"/>
      <c r="AL2605" s="2"/>
    </row>
    <row r="2606" spans="1:38" ht="12.75" customHeight="1" x14ac:dyDescent="0.25">
      <c r="A2606" s="2"/>
      <c r="B2606" s="178"/>
      <c r="C2606" s="779"/>
      <c r="D2606" s="416" t="s">
        <v>1202</v>
      </c>
      <c r="E2606" s="2629" t="str">
        <f>Translations!$B$590</f>
        <v>Felmeddelanden (utsläpp)</v>
      </c>
      <c r="F2606" s="2630"/>
      <c r="G2606" s="429"/>
      <c r="H2606" s="520" t="str">
        <f t="shared" ref="H2606:N2606" si="1169">IF(COUNT(H2599,H2601:H2602)&gt;0,IF(COUNTIF(H2600:H2602,"&lt;0")&gt;0,EUconst_Negative,IF(COUNT(H2599,H2601:H2602)&lt;3,EUconst_Incomplete,"")),"")</f>
        <v/>
      </c>
      <c r="I2606" s="1111" t="str">
        <f t="shared" si="1169"/>
        <v/>
      </c>
      <c r="J2606" s="1119" t="str">
        <f t="shared" si="1169"/>
        <v/>
      </c>
      <c r="K2606" s="520" t="str">
        <f t="shared" si="1169"/>
        <v/>
      </c>
      <c r="L2606" s="520" t="str">
        <f t="shared" si="1169"/>
        <v/>
      </c>
      <c r="M2606" s="520" t="str">
        <f t="shared" si="1169"/>
        <v/>
      </c>
      <c r="N2606" s="1145" t="str">
        <f t="shared" si="1169"/>
        <v/>
      </c>
      <c r="O2606" s="15"/>
      <c r="P2606" s="15"/>
      <c r="Q2606" s="343"/>
      <c r="R2606" s="2"/>
      <c r="S2606" s="343"/>
      <c r="T2606" s="2"/>
      <c r="U2606" s="2"/>
      <c r="V2606" s="2"/>
      <c r="W2606" s="2"/>
      <c r="X2606" s="2"/>
      <c r="Y2606" s="2"/>
      <c r="Z2606" s="2"/>
      <c r="AA2606" s="2"/>
      <c r="AB2606" s="2"/>
      <c r="AC2606" s="2"/>
      <c r="AD2606" s="2"/>
      <c r="AE2606" s="2"/>
      <c r="AF2606" s="2"/>
      <c r="AG2606" s="2"/>
      <c r="AH2606" s="2"/>
      <c r="AI2606" s="2"/>
      <c r="AJ2606" s="2"/>
      <c r="AK2606" s="2"/>
      <c r="AL2606" s="2"/>
    </row>
    <row r="2607" spans="1:38" ht="12.75" customHeight="1" x14ac:dyDescent="0.25">
      <c r="A2607" s="2"/>
      <c r="B2607" s="178"/>
      <c r="C2607" s="779"/>
      <c r="D2607" s="780"/>
      <c r="E2607" s="780"/>
      <c r="F2607" s="780"/>
      <c r="G2607" s="780"/>
      <c r="H2607" s="780"/>
      <c r="I2607" s="780"/>
      <c r="J2607" s="780"/>
      <c r="K2607" s="780"/>
      <c r="L2607" s="780"/>
      <c r="M2607" s="623"/>
      <c r="N2607" s="519"/>
      <c r="O2607" s="15"/>
      <c r="P2607" s="15"/>
      <c r="Q2607" s="343"/>
      <c r="R2607" s="2"/>
      <c r="S2607" s="343"/>
      <c r="T2607" s="2"/>
      <c r="U2607" s="2"/>
      <c r="V2607" s="2"/>
      <c r="W2607" s="2"/>
      <c r="X2607" s="2"/>
      <c r="Y2607" s="2"/>
      <c r="Z2607" s="2"/>
      <c r="AA2607" s="2"/>
      <c r="AB2607" s="2"/>
      <c r="AC2607" s="2"/>
      <c r="AD2607" s="2"/>
      <c r="AE2607" s="2"/>
      <c r="AF2607" s="2"/>
      <c r="AG2607" s="2"/>
      <c r="AH2607" s="2"/>
      <c r="AI2607" s="2"/>
      <c r="AJ2607" s="2"/>
      <c r="AK2607" s="2"/>
      <c r="AL2607" s="2"/>
    </row>
    <row r="2608" spans="1:38" ht="12.75" customHeight="1" x14ac:dyDescent="0.25">
      <c r="A2608" s="2"/>
      <c r="B2608" s="178"/>
      <c r="C2608" s="779"/>
      <c r="D2608" s="373" t="s">
        <v>523</v>
      </c>
      <c r="E2608" s="2614" t="str">
        <f>Translations!$B$593</f>
        <v>Mängd växthusgaser som importerats eller exporterats som råvaror</v>
      </c>
      <c r="F2608" s="1960"/>
      <c r="G2608" s="1960"/>
      <c r="H2608" s="1960"/>
      <c r="I2608" s="1960"/>
      <c r="J2608" s="1960"/>
      <c r="K2608" s="1960"/>
      <c r="L2608" s="1960"/>
      <c r="M2608" s="1960"/>
      <c r="N2608" s="2597"/>
      <c r="O2608" s="15"/>
      <c r="P2608" s="15"/>
      <c r="Q2608" s="343"/>
      <c r="R2608" s="2"/>
      <c r="S2608" s="343"/>
      <c r="T2608" s="2"/>
      <c r="U2608" s="2"/>
      <c r="V2608" s="2"/>
      <c r="W2608" s="2"/>
      <c r="X2608" s="2"/>
      <c r="Y2608" s="2"/>
      <c r="Z2608" s="2"/>
      <c r="AA2608" s="2"/>
      <c r="AB2608" s="2"/>
      <c r="AC2608" s="2"/>
      <c r="AD2608" s="2"/>
      <c r="AE2608" s="2"/>
      <c r="AF2608" s="2"/>
      <c r="AG2608" s="2"/>
      <c r="AH2608" s="2"/>
      <c r="AI2608" s="2"/>
      <c r="AJ2608" s="2"/>
      <c r="AK2608" s="2"/>
      <c r="AL2608" s="2"/>
    </row>
    <row r="2609" spans="1:38" ht="12.75" customHeight="1" x14ac:dyDescent="0.25">
      <c r="A2609" s="2"/>
      <c r="B2609" s="178"/>
      <c r="C2609" s="779"/>
      <c r="D2609" s="416"/>
      <c r="E2609" s="2596" t="str">
        <f>Translations!$B$556</f>
        <v>De uppgifter som anges här påverkar de utsläpp som kan tillskrivas i enlighet med avsnitt 10.1.1 i bilaga VII till FAR.</v>
      </c>
      <c r="F2609" s="1960"/>
      <c r="G2609" s="1960"/>
      <c r="H2609" s="1960"/>
      <c r="I2609" s="1960"/>
      <c r="J2609" s="1960"/>
      <c r="K2609" s="1960"/>
      <c r="L2609" s="1960"/>
      <c r="M2609" s="1960"/>
      <c r="N2609" s="2597"/>
      <c r="O2609" s="15"/>
      <c r="P2609" s="15"/>
      <c r="Q2609" s="343"/>
      <c r="R2609" s="2"/>
      <c r="S2609" s="343"/>
      <c r="T2609" s="343"/>
      <c r="U2609" s="343"/>
      <c r="V2609" s="343"/>
      <c r="W2609" s="2"/>
      <c r="X2609" s="2"/>
      <c r="Y2609" s="2"/>
      <c r="Z2609" s="2"/>
      <c r="AA2609" s="2"/>
      <c r="AB2609" s="2"/>
      <c r="AC2609" s="2"/>
      <c r="AD2609" s="2"/>
      <c r="AE2609" s="2"/>
      <c r="AF2609" s="2"/>
      <c r="AG2609" s="2"/>
      <c r="AH2609" s="2"/>
      <c r="AI2609" s="2"/>
      <c r="AJ2609" s="2"/>
      <c r="AK2609" s="2"/>
      <c r="AL2609" s="2"/>
    </row>
    <row r="2610" spans="1:38" ht="25.5" customHeight="1" x14ac:dyDescent="0.25">
      <c r="A2610" s="2"/>
      <c r="B2610" s="178"/>
      <c r="C2610" s="779"/>
      <c r="D2610" s="780"/>
      <c r="E2610" s="2610" t="str">
        <f>Translations!$B$594</f>
        <v>I enlighet med kravet i avsnitt 3.1 k och 3.1 l i bilaga IV till FAR, var god ange mängden överförd koldioxid som importeras från eller exporteras till andra delanläggningar, anläggningar eller andra enheter, i enlighet med M&amp;R-förordningens regler.</v>
      </c>
      <c r="F2610" s="1960"/>
      <c r="G2610" s="1960"/>
      <c r="H2610" s="1960"/>
      <c r="I2610" s="1960"/>
      <c r="J2610" s="1960"/>
      <c r="K2610" s="1960"/>
      <c r="L2610" s="1960"/>
      <c r="M2610" s="1960"/>
      <c r="N2610" s="2597"/>
      <c r="O2610" s="15"/>
      <c r="P2610" s="15"/>
      <c r="Q2610" s="343"/>
      <c r="R2610" s="2"/>
      <c r="S2610" s="343"/>
      <c r="T2610" s="2"/>
      <c r="U2610" s="2"/>
      <c r="V2610" s="2"/>
      <c r="W2610" s="2"/>
      <c r="X2610" s="2"/>
      <c r="Y2610" s="2"/>
      <c r="Z2610" s="2"/>
      <c r="AA2610" s="2"/>
      <c r="AB2610" s="2"/>
      <c r="AC2610" s="2"/>
      <c r="AD2610" s="2"/>
      <c r="AE2610" s="2"/>
      <c r="AF2610" s="2"/>
      <c r="AG2610" s="2"/>
      <c r="AH2610" s="2"/>
      <c r="AI2610" s="2"/>
      <c r="AJ2610" s="2"/>
      <c r="AK2610" s="2"/>
      <c r="AL2610" s="2"/>
    </row>
    <row r="2611" spans="1:38" ht="12.75" customHeight="1" thickBot="1" x14ac:dyDescent="0.3">
      <c r="A2611" s="2"/>
      <c r="B2611" s="178"/>
      <c r="C2611" s="779"/>
      <c r="D2611" s="780"/>
      <c r="E2611" s="2610" t="str">
        <f>Translations!$B$595</f>
        <v>Exporterade mängder bör anges i negativa värden och motsvara den koldioxid som exporteras och som inte släpps ut i atmosfären av delanläggningen.</v>
      </c>
      <c r="F2611" s="1960"/>
      <c r="G2611" s="1960"/>
      <c r="H2611" s="1960"/>
      <c r="I2611" s="1960"/>
      <c r="J2611" s="1960"/>
      <c r="K2611" s="1960"/>
      <c r="L2611" s="1960"/>
      <c r="M2611" s="1960"/>
      <c r="N2611" s="2597"/>
      <c r="O2611" s="15"/>
      <c r="P2611" s="15"/>
      <c r="Q2611" s="343"/>
      <c r="R2611" s="2"/>
      <c r="S2611" s="343"/>
      <c r="T2611" s="2"/>
      <c r="U2611" s="2"/>
      <c r="V2611" s="2"/>
      <c r="W2611" s="2"/>
      <c r="X2611" s="2"/>
      <c r="Y2611" s="2"/>
      <c r="Z2611" s="2"/>
      <c r="AA2611" s="2"/>
      <c r="AB2611" s="2"/>
      <c r="AC2611" s="2"/>
      <c r="AD2611" s="2"/>
      <c r="AE2611" s="2"/>
      <c r="AF2611" s="2"/>
      <c r="AG2611" s="2"/>
      <c r="AH2611" s="2"/>
      <c r="AI2611" s="2"/>
      <c r="AJ2611" s="2"/>
      <c r="AK2611" s="2"/>
      <c r="AL2611" s="2"/>
    </row>
    <row r="2612" spans="1:38" ht="12.75" customHeight="1" thickBot="1" x14ac:dyDescent="0.3">
      <c r="A2612" s="2"/>
      <c r="B2612" s="178"/>
      <c r="C2612" s="779"/>
      <c r="D2612" s="373"/>
      <c r="E2612" s="1716"/>
      <c r="F2612" s="1717"/>
      <c r="G2612" s="361" t="str">
        <f>EUconst_Unit</f>
        <v>Enhet</v>
      </c>
      <c r="H2612" s="362">
        <f t="shared" ref="H2612:N2612" si="1170">H$3042</f>
        <v>2019</v>
      </c>
      <c r="I2612" s="1103">
        <f t="shared" si="1170"/>
        <v>2020</v>
      </c>
      <c r="J2612" s="1104">
        <f t="shared" si="1170"/>
        <v>2021</v>
      </c>
      <c r="K2612" s="362">
        <f t="shared" si="1170"/>
        <v>2022</v>
      </c>
      <c r="L2612" s="362">
        <f t="shared" si="1170"/>
        <v>2023</v>
      </c>
      <c r="M2612" s="362">
        <f t="shared" si="1170"/>
        <v>2024</v>
      </c>
      <c r="N2612" s="1141">
        <f t="shared" si="1170"/>
        <v>2025</v>
      </c>
      <c r="O2612" s="15"/>
      <c r="P2612" s="15"/>
      <c r="Q2612" s="343"/>
      <c r="R2612" s="2"/>
      <c r="S2612" s="772"/>
      <c r="T2612" s="609">
        <f t="shared" ref="T2612:Z2612" si="1171">H2612</f>
        <v>2019</v>
      </c>
      <c r="U2612" s="609">
        <f t="shared" si="1171"/>
        <v>2020</v>
      </c>
      <c r="V2612" s="609">
        <f t="shared" si="1171"/>
        <v>2021</v>
      </c>
      <c r="W2612" s="609">
        <f t="shared" si="1171"/>
        <v>2022</v>
      </c>
      <c r="X2612" s="609">
        <f t="shared" si="1171"/>
        <v>2023</v>
      </c>
      <c r="Y2612" s="609">
        <f t="shared" si="1171"/>
        <v>2024</v>
      </c>
      <c r="Z2612" s="610">
        <f t="shared" si="1171"/>
        <v>2025</v>
      </c>
      <c r="AA2612" s="2"/>
      <c r="AB2612" s="2"/>
      <c r="AC2612" s="1044">
        <f t="shared" ref="AC2612:AI2612" si="1172">H$20</f>
        <v>2019</v>
      </c>
      <c r="AD2612" s="1044">
        <f t="shared" si="1172"/>
        <v>2020</v>
      </c>
      <c r="AE2612" s="1044">
        <f t="shared" si="1172"/>
        <v>2021</v>
      </c>
      <c r="AF2612" s="1044">
        <f t="shared" si="1172"/>
        <v>2022</v>
      </c>
      <c r="AG2612" s="1044">
        <f t="shared" si="1172"/>
        <v>2023</v>
      </c>
      <c r="AH2612" s="1044">
        <f t="shared" si="1172"/>
        <v>2024</v>
      </c>
      <c r="AI2612" s="1044">
        <f t="shared" si="1172"/>
        <v>2025</v>
      </c>
      <c r="AJ2612" s="2"/>
      <c r="AK2612" s="2"/>
      <c r="AL2612" s="2"/>
    </row>
    <row r="2613" spans="1:38" ht="12.75" customHeight="1" thickBot="1" x14ac:dyDescent="0.3">
      <c r="A2613" s="2"/>
      <c r="B2613" s="178"/>
      <c r="C2613" s="779"/>
      <c r="D2613" s="416"/>
      <c r="E2613" s="2613" t="str">
        <f>Translations!$B$596</f>
        <v>Importerade eller exporterade växthusgaser</v>
      </c>
      <c r="F2613" s="1997"/>
      <c r="G2613" s="364" t="str">
        <f>EUconst_tCO2epa</f>
        <v>t CO2e/år</v>
      </c>
      <c r="H2613" s="582"/>
      <c r="I2613" s="1105"/>
      <c r="J2613" s="1115"/>
      <c r="K2613" s="582"/>
      <c r="L2613" s="582"/>
      <c r="M2613" s="582"/>
      <c r="N2613" s="1146"/>
      <c r="O2613" s="15"/>
      <c r="P2613" s="1362"/>
      <c r="Q2613" s="165" t="str">
        <f>EUconst_CNTR_CO2Feedstock &amp; I2429</f>
        <v>EmCO2Feedstock_</v>
      </c>
      <c r="R2613" s="2"/>
      <c r="S2613" s="773" t="str">
        <f>EUconst_CNTR_AttributedEmissions &amp; I2429</f>
        <v>AttrEmissions_</v>
      </c>
      <c r="T2613" s="111" t="str">
        <f t="shared" ref="T2613:Z2613" si="1173">IF(T2437,SUM(H2613),"")</f>
        <v/>
      </c>
      <c r="U2613" s="111" t="str">
        <f t="shared" si="1173"/>
        <v/>
      </c>
      <c r="V2613" s="111" t="str">
        <f t="shared" si="1173"/>
        <v/>
      </c>
      <c r="W2613" s="111" t="str">
        <f t="shared" si="1173"/>
        <v/>
      </c>
      <c r="X2613" s="111" t="str">
        <f t="shared" si="1173"/>
        <v/>
      </c>
      <c r="Y2613" s="111" t="str">
        <f t="shared" si="1173"/>
        <v/>
      </c>
      <c r="Z2613" s="112" t="str">
        <f t="shared" si="1173"/>
        <v/>
      </c>
      <c r="AA2613" s="2"/>
      <c r="AB2613" s="672" t="s">
        <v>782</v>
      </c>
      <c r="AC2613" s="108" t="b">
        <f>AC2499</f>
        <v>0</v>
      </c>
      <c r="AD2613" s="108" t="b">
        <f t="shared" ref="AD2613:AI2613" si="1174">AD2499</f>
        <v>0</v>
      </c>
      <c r="AE2613" s="108" t="b">
        <f t="shared" si="1174"/>
        <v>0</v>
      </c>
      <c r="AF2613" s="108" t="b">
        <f t="shared" si="1174"/>
        <v>0</v>
      </c>
      <c r="AG2613" s="108" t="b">
        <f t="shared" si="1174"/>
        <v>0</v>
      </c>
      <c r="AH2613" s="108" t="b">
        <f t="shared" si="1174"/>
        <v>0</v>
      </c>
      <c r="AI2613" s="108" t="b">
        <f t="shared" si="1174"/>
        <v>0</v>
      </c>
      <c r="AJ2613" s="553" t="s">
        <v>2248</v>
      </c>
      <c r="AK2613" s="663" t="str">
        <f>IF(AND(CNTR_ExistSubInstEntries,MSconst_RequireSubAttrEmissions,COUNTIFS(AC2613:AI2613,FALSE,H2613:N2613,"")&gt;0),EUconst_Error&amp;"BM"&amp;$Q2429,"")</f>
        <v/>
      </c>
      <c r="AL2613" s="2"/>
    </row>
    <row r="2614" spans="1:38" ht="12.75" customHeight="1" x14ac:dyDescent="0.25">
      <c r="A2614" s="2"/>
      <c r="B2614" s="178"/>
      <c r="C2614" s="779"/>
      <c r="D2614" s="780"/>
      <c r="E2614" s="780"/>
      <c r="F2614" s="780"/>
      <c r="G2614" s="780"/>
      <c r="H2614" s="780"/>
      <c r="I2614" s="780"/>
      <c r="J2614" s="780"/>
      <c r="K2614" s="780"/>
      <c r="L2614" s="780"/>
      <c r="M2614" s="623"/>
      <c r="N2614" s="519"/>
      <c r="O2614" s="15"/>
      <c r="P2614" s="15"/>
      <c r="Q2614" s="343"/>
      <c r="R2614" s="2"/>
      <c r="S2614" s="343"/>
      <c r="T2614" s="2"/>
      <c r="U2614" s="2"/>
      <c r="V2614" s="2"/>
      <c r="W2614" s="2"/>
      <c r="X2614" s="2"/>
      <c r="Y2614" s="2"/>
      <c r="Z2614" s="2"/>
      <c r="AA2614" s="2"/>
      <c r="AB2614" s="2"/>
      <c r="AC2614" s="2"/>
      <c r="AD2614" s="2"/>
      <c r="AE2614" s="2"/>
      <c r="AF2614" s="2"/>
      <c r="AG2614" s="2"/>
      <c r="AH2614" s="2"/>
      <c r="AI2614" s="2"/>
      <c r="AJ2614" s="2"/>
      <c r="AK2614" s="2"/>
      <c r="AL2614" s="2"/>
    </row>
    <row r="2615" spans="1:38" ht="12.75" customHeight="1" x14ac:dyDescent="0.25">
      <c r="A2615" s="2"/>
      <c r="B2615" s="178"/>
      <c r="C2615" s="779"/>
      <c r="D2615" s="373" t="s">
        <v>524</v>
      </c>
      <c r="E2615" s="2614" t="str">
        <f>Translations!$B$597</f>
        <v>Import till och export från delanläggningen av mätbar värme</v>
      </c>
      <c r="F2615" s="1960"/>
      <c r="G2615" s="1960"/>
      <c r="H2615" s="1960"/>
      <c r="I2615" s="1960"/>
      <c r="J2615" s="1960"/>
      <c r="K2615" s="1960"/>
      <c r="L2615" s="1960"/>
      <c r="M2615" s="1960"/>
      <c r="N2615" s="2597"/>
      <c r="O2615" s="15"/>
      <c r="P2615" s="15"/>
      <c r="Q2615" s="343"/>
      <c r="R2615" s="2"/>
      <c r="S2615" s="343"/>
      <c r="T2615" s="2"/>
      <c r="U2615" s="2"/>
      <c r="V2615" s="2"/>
      <c r="W2615" s="2"/>
      <c r="X2615" s="2"/>
      <c r="Y2615" s="2"/>
      <c r="Z2615" s="2"/>
      <c r="AA2615" s="2"/>
      <c r="AB2615" s="2"/>
      <c r="AC2615" s="2"/>
      <c r="AD2615" s="2"/>
      <c r="AE2615" s="2"/>
      <c r="AF2615" s="2"/>
      <c r="AG2615" s="2"/>
      <c r="AH2615" s="2"/>
      <c r="AI2615" s="2"/>
      <c r="AJ2615" s="2"/>
      <c r="AK2615" s="2"/>
      <c r="AL2615" s="2"/>
    </row>
    <row r="2616" spans="1:38" ht="12.75" customHeight="1" x14ac:dyDescent="0.25">
      <c r="A2616" s="2"/>
      <c r="B2616" s="178"/>
      <c r="C2616" s="779"/>
      <c r="D2616" s="416"/>
      <c r="E2616" s="2596" t="str">
        <f>Translations!$B$598</f>
        <v>De uppgifter som anges här påverkar de utsläpp som kan tillskrivas i enlighet med avsnitt 10.1.2 och 10.1.3 i bilaga VII till FAR.</v>
      </c>
      <c r="F2616" s="1960"/>
      <c r="G2616" s="1960"/>
      <c r="H2616" s="1960"/>
      <c r="I2616" s="1960"/>
      <c r="J2616" s="1960"/>
      <c r="K2616" s="1960"/>
      <c r="L2616" s="1960"/>
      <c r="M2616" s="1960"/>
      <c r="N2616" s="2597"/>
      <c r="O2616" s="15"/>
      <c r="P2616" s="15"/>
      <c r="Q2616" s="343"/>
      <c r="R2616" s="2"/>
      <c r="S2616" s="343"/>
      <c r="T2616" s="343"/>
      <c r="U2616" s="343"/>
      <c r="V2616" s="343"/>
      <c r="W2616" s="2"/>
      <c r="X2616" s="2"/>
      <c r="Y2616" s="2"/>
      <c r="Z2616" s="2"/>
      <c r="AA2616" s="2"/>
      <c r="AB2616" s="2"/>
      <c r="AC2616" s="2"/>
      <c r="AD2616" s="2"/>
      <c r="AE2616" s="2"/>
      <c r="AF2616" s="2"/>
      <c r="AG2616" s="2"/>
      <c r="AH2616" s="2"/>
      <c r="AI2616" s="2"/>
      <c r="AJ2616" s="2"/>
      <c r="AK2616" s="2"/>
      <c r="AL2616" s="2"/>
    </row>
    <row r="2617" spans="1:38" ht="38.9" customHeight="1" x14ac:dyDescent="0.25">
      <c r="A2617" s="2"/>
      <c r="B2617" s="178"/>
      <c r="C2617" s="779"/>
      <c r="D2617" s="780"/>
      <c r="E2617" s="2610" t="str">
        <f>Translations!$B$599</f>
        <v>Detta innefattar den totala mängd värme som produceras i, importeras från eller exporteras till (del)anläggningar inom ETS eller anläggningar eller enheter utanför ETS. De särskilda emissionsfaktorerna för värmen bör vara förenliga med bestämmelserna i avsnitten 8 och 10 i bilaga VII till FAR, särskilt avsnitt 10.1.2 och 10.1.3.</v>
      </c>
      <c r="F2617" s="1960"/>
      <c r="G2617" s="1960"/>
      <c r="H2617" s="1960"/>
      <c r="I2617" s="1960"/>
      <c r="J2617" s="1960"/>
      <c r="K2617" s="1960"/>
      <c r="L2617" s="1960"/>
      <c r="M2617" s="1960"/>
      <c r="N2617" s="2597"/>
      <c r="O2617" s="15"/>
      <c r="P2617" s="15"/>
      <c r="Q2617" s="343"/>
      <c r="R2617" s="2"/>
      <c r="S2617" s="343"/>
      <c r="T2617" s="2"/>
      <c r="U2617" s="2"/>
      <c r="V2617" s="2"/>
      <c r="W2617" s="2"/>
      <c r="X2617" s="2"/>
      <c r="Y2617" s="2"/>
      <c r="Z2617" s="2"/>
      <c r="AA2617" s="2"/>
      <c r="AB2617" s="2"/>
      <c r="AC2617" s="2"/>
      <c r="AD2617" s="2"/>
      <c r="AE2617" s="2"/>
      <c r="AF2617" s="2"/>
      <c r="AG2617" s="2"/>
      <c r="AH2617" s="2"/>
      <c r="AI2617" s="2"/>
      <c r="AJ2617" s="2"/>
      <c r="AK2617" s="2"/>
      <c r="AL2617" s="2"/>
    </row>
    <row r="2618" spans="1:38" ht="25.5" customHeight="1" x14ac:dyDescent="0.25">
      <c r="A2618" s="2"/>
      <c r="B2618" s="178"/>
      <c r="C2618" s="779"/>
      <c r="D2618" s="780"/>
      <c r="E2618" s="2610" t="str">
        <f>Translations!$B$600</f>
        <v>Utsläpp avseende mätbar värme som produceras på platsen från enheter som tjänar mer än en delanläggning bör också anges här under ”import” i stället för att utsläppen direkt tillskrivs genom bränslets emissionsfaktor i punkt g ovan. Detsamma gäller för all värme som ”importeras” från andra delanläggningar.</v>
      </c>
      <c r="F2618" s="1960"/>
      <c r="G2618" s="1960"/>
      <c r="H2618" s="1960"/>
      <c r="I2618" s="1960"/>
      <c r="J2618" s="1960"/>
      <c r="K2618" s="1960"/>
      <c r="L2618" s="1960"/>
      <c r="M2618" s="1960"/>
      <c r="N2618" s="2597"/>
      <c r="O2618" s="15"/>
      <c r="P2618" s="15"/>
      <c r="Q2618" s="343"/>
      <c r="R2618" s="2"/>
      <c r="S2618" s="343"/>
      <c r="T2618" s="2"/>
      <c r="U2618" s="2"/>
      <c r="V2618" s="2"/>
      <c r="W2618" s="2"/>
      <c r="X2618" s="2"/>
      <c r="Y2618" s="2"/>
      <c r="Z2618" s="2"/>
      <c r="AA2618" s="2"/>
      <c r="AB2618" s="2"/>
      <c r="AC2618" s="2"/>
      <c r="AD2618" s="2"/>
      <c r="AE2618" s="2"/>
      <c r="AF2618" s="2"/>
      <c r="AG2618" s="2"/>
      <c r="AH2618" s="2"/>
      <c r="AI2618" s="2"/>
      <c r="AJ2618" s="2"/>
      <c r="AK2618" s="2"/>
      <c r="AL2618" s="2"/>
    </row>
    <row r="2619" spans="1:38" ht="25.5" customHeight="1" x14ac:dyDescent="0.25">
      <c r="A2619" s="2"/>
      <c r="B2619" s="178"/>
      <c r="C2619" s="779"/>
      <c r="D2619" s="780"/>
      <c r="E2619" s="2610" t="str">
        <f>Translations!$B$601</f>
        <v xml:space="preserve">Om värmen endast produceras för en delanläggning och de motsvarande utsläppen därför anges i punkt g ovan, bör mängderna inte anges här som import för att undvika dubbelräkning. </v>
      </c>
      <c r="F2619" s="1960"/>
      <c r="G2619" s="1960"/>
      <c r="H2619" s="1960"/>
      <c r="I2619" s="1960"/>
      <c r="J2619" s="1960"/>
      <c r="K2619" s="1960"/>
      <c r="L2619" s="1960"/>
      <c r="M2619" s="1960"/>
      <c r="N2619" s="2597"/>
      <c r="O2619" s="15"/>
      <c r="P2619" s="15"/>
      <c r="Q2619" s="343"/>
      <c r="R2619" s="2"/>
      <c r="S2619" s="343"/>
      <c r="T2619" s="2"/>
      <c r="U2619" s="2"/>
      <c r="V2619" s="2"/>
      <c r="W2619" s="2"/>
      <c r="X2619" s="2"/>
      <c r="Y2619" s="2"/>
      <c r="Z2619" s="2"/>
      <c r="AA2619" s="2"/>
      <c r="AB2619" s="2"/>
      <c r="AC2619" s="2"/>
      <c r="AD2619" s="2"/>
      <c r="AE2619" s="2"/>
      <c r="AF2619" s="2"/>
      <c r="AG2619" s="2"/>
      <c r="AH2619" s="2"/>
      <c r="AI2619" s="2"/>
      <c r="AJ2619" s="2"/>
      <c r="AK2619" s="2"/>
      <c r="AL2619" s="2"/>
    </row>
    <row r="2620" spans="1:38" ht="12.75" customHeight="1" thickBot="1" x14ac:dyDescent="0.3">
      <c r="A2620" s="2"/>
      <c r="B2620" s="178"/>
      <c r="C2620" s="779"/>
      <c r="D2620" s="780"/>
      <c r="E2620" s="2622" t="str">
        <f>Translations!$B$602</f>
        <v>Kraftvärmeverktyget i avsnitt D.III i bladet "D_Emissions" måste användas för att tillskriva utsläpp från kraftvärme till produktion av mätbar värme.</v>
      </c>
      <c r="F2620" s="2623"/>
      <c r="G2620" s="2623"/>
      <c r="H2620" s="2623"/>
      <c r="I2620" s="2623"/>
      <c r="J2620" s="2623"/>
      <c r="K2620" s="2623"/>
      <c r="L2620" s="2623"/>
      <c r="M2620" s="2623"/>
      <c r="N2620" s="2624"/>
      <c r="O2620" s="15"/>
      <c r="P2620" s="15"/>
      <c r="Q2620" s="343"/>
      <c r="R2620" s="2"/>
      <c r="S2620" s="2"/>
      <c r="T2620" s="2"/>
      <c r="U2620" s="2"/>
      <c r="V2620" s="2"/>
      <c r="W2620" s="2"/>
      <c r="X2620" s="2"/>
      <c r="Y2620" s="2"/>
      <c r="Z2620" s="2"/>
      <c r="AA2620" s="2"/>
      <c r="AB2620" s="2"/>
      <c r="AC2620" s="2"/>
      <c r="AD2620" s="2"/>
      <c r="AE2620" s="2"/>
      <c r="AF2620" s="2"/>
      <c r="AG2620" s="2"/>
      <c r="AH2620" s="2"/>
      <c r="AI2620" s="2"/>
      <c r="AJ2620" s="2"/>
      <c r="AK2620" s="2"/>
      <c r="AL2620" s="2"/>
    </row>
    <row r="2621" spans="1:38" ht="12.75" customHeight="1" thickBot="1" x14ac:dyDescent="0.3">
      <c r="A2621" s="2"/>
      <c r="B2621" s="178"/>
      <c r="C2621" s="779"/>
      <c r="D2621" s="780"/>
      <c r="E2621" s="2605" t="str">
        <f>Translations!$B$603</f>
        <v>Total importerad värme</v>
      </c>
      <c r="F2621" s="2497"/>
      <c r="G2621" s="361" t="str">
        <f>EUconst_Unit</f>
        <v>Enhet</v>
      </c>
      <c r="H2621" s="362">
        <f t="shared" ref="H2621:N2621" si="1175">H$3042</f>
        <v>2019</v>
      </c>
      <c r="I2621" s="1103">
        <f t="shared" si="1175"/>
        <v>2020</v>
      </c>
      <c r="J2621" s="1104">
        <f t="shared" si="1175"/>
        <v>2021</v>
      </c>
      <c r="K2621" s="362">
        <f t="shared" si="1175"/>
        <v>2022</v>
      </c>
      <c r="L2621" s="362">
        <f t="shared" si="1175"/>
        <v>2023</v>
      </c>
      <c r="M2621" s="362">
        <f t="shared" si="1175"/>
        <v>2024</v>
      </c>
      <c r="N2621" s="1141">
        <f t="shared" si="1175"/>
        <v>2025</v>
      </c>
      <c r="O2621" s="15"/>
      <c r="P2621" s="15"/>
      <c r="Q2621" s="343"/>
      <c r="R2621" s="2"/>
      <c r="S2621" s="772"/>
      <c r="T2621" s="609">
        <f t="shared" ref="T2621:Z2621" si="1176">H2621</f>
        <v>2019</v>
      </c>
      <c r="U2621" s="609">
        <f t="shared" si="1176"/>
        <v>2020</v>
      </c>
      <c r="V2621" s="609">
        <f t="shared" si="1176"/>
        <v>2021</v>
      </c>
      <c r="W2621" s="609">
        <f t="shared" si="1176"/>
        <v>2022</v>
      </c>
      <c r="X2621" s="609">
        <f t="shared" si="1176"/>
        <v>2023</v>
      </c>
      <c r="Y2621" s="609">
        <f t="shared" si="1176"/>
        <v>2024</v>
      </c>
      <c r="Z2621" s="610">
        <f t="shared" si="1176"/>
        <v>2025</v>
      </c>
      <c r="AA2621" s="2"/>
      <c r="AB2621" s="2"/>
      <c r="AC2621" s="1044">
        <f t="shared" ref="AC2621:AI2621" si="1177">H$20</f>
        <v>2019</v>
      </c>
      <c r="AD2621" s="1044">
        <f t="shared" si="1177"/>
        <v>2020</v>
      </c>
      <c r="AE2621" s="1044">
        <f t="shared" si="1177"/>
        <v>2021</v>
      </c>
      <c r="AF2621" s="1044">
        <f t="shared" si="1177"/>
        <v>2022</v>
      </c>
      <c r="AG2621" s="1044">
        <f t="shared" si="1177"/>
        <v>2023</v>
      </c>
      <c r="AH2621" s="1044">
        <f t="shared" si="1177"/>
        <v>2024</v>
      </c>
      <c r="AI2621" s="1044">
        <f t="shared" si="1177"/>
        <v>2025</v>
      </c>
      <c r="AJ2621" s="2"/>
      <c r="AK2621" s="2"/>
      <c r="AL2621" s="2"/>
    </row>
    <row r="2622" spans="1:38" ht="12.75" customHeight="1" x14ac:dyDescent="0.25">
      <c r="A2622" s="2"/>
      <c r="B2622" s="178"/>
      <c r="C2622" s="779"/>
      <c r="D2622" s="416" t="s">
        <v>8</v>
      </c>
      <c r="E2622" s="2613" t="str">
        <f>Translations!$B$604</f>
        <v>Nettomängd importerad värme</v>
      </c>
      <c r="F2622" s="1997"/>
      <c r="G2622" s="364" t="str">
        <f>EUconst_TJpa</f>
        <v>TJ / år</v>
      </c>
      <c r="H2622" s="582"/>
      <c r="I2622" s="1105"/>
      <c r="J2622" s="1115"/>
      <c r="K2622" s="582"/>
      <c r="L2622" s="582"/>
      <c r="M2622" s="582"/>
      <c r="N2622" s="1146"/>
      <c r="O2622" s="15"/>
      <c r="P2622" s="1362"/>
      <c r="Q2622" s="165" t="str">
        <f>EUconst_CNTR_HeatImport &amp; I2429</f>
        <v>HeatIm_</v>
      </c>
      <c r="R2622" s="2"/>
      <c r="S2622" s="1751" t="str">
        <f>EUconst_ERR_AttrEmBMapplied &amp; I2429</f>
        <v>ERR_AttrEmBM_</v>
      </c>
      <c r="T2622" s="108">
        <f t="shared" ref="T2622:Z2622" si="1178">IF(AND(H2622&lt;&gt;0,H2623="",EUconst_StatusOfDataCollection=FALSE),1,0)</f>
        <v>0</v>
      </c>
      <c r="U2622" s="108">
        <f t="shared" si="1178"/>
        <v>0</v>
      </c>
      <c r="V2622" s="108">
        <f t="shared" si="1178"/>
        <v>0</v>
      </c>
      <c r="W2622" s="108">
        <f t="shared" si="1178"/>
        <v>0</v>
      </c>
      <c r="X2622" s="108">
        <f t="shared" si="1178"/>
        <v>0</v>
      </c>
      <c r="Y2622" s="108">
        <f t="shared" si="1178"/>
        <v>0</v>
      </c>
      <c r="Z2622" s="109">
        <f t="shared" si="1178"/>
        <v>0</v>
      </c>
      <c r="AA2622" s="40"/>
      <c r="AB2622" s="672" t="s">
        <v>782</v>
      </c>
      <c r="AC2622" s="108" t="b">
        <f t="shared" ref="AC2622:AI2622" si="1179">AC2499</f>
        <v>0</v>
      </c>
      <c r="AD2622" s="108" t="b">
        <f t="shared" si="1179"/>
        <v>0</v>
      </c>
      <c r="AE2622" s="108" t="b">
        <f t="shared" si="1179"/>
        <v>0</v>
      </c>
      <c r="AF2622" s="108" t="b">
        <f t="shared" si="1179"/>
        <v>0</v>
      </c>
      <c r="AG2622" s="108" t="b">
        <f t="shared" si="1179"/>
        <v>0</v>
      </c>
      <c r="AH2622" s="108" t="b">
        <f t="shared" si="1179"/>
        <v>0</v>
      </c>
      <c r="AI2622" s="108" t="b">
        <f t="shared" si="1179"/>
        <v>0</v>
      </c>
      <c r="AJ2622" s="553" t="s">
        <v>2248</v>
      </c>
      <c r="AK2622" s="663" t="str">
        <f>IF(AND(CNTR_ExistSubInstEntries,MSconst_RequireSubAttrEmissions,COUNTIFS(AC2622:AI2622,FALSE,H2622:N2622,"")&gt;0),EUconst_Error&amp;"BM"&amp;$Q2429,"")</f>
        <v/>
      </c>
      <c r="AL2622" s="2"/>
    </row>
    <row r="2623" spans="1:38" ht="12.75" customHeight="1" thickBot="1" x14ac:dyDescent="0.3">
      <c r="A2623" s="2"/>
      <c r="B2623" s="178"/>
      <c r="C2623" s="779"/>
      <c r="D2623" s="416" t="s">
        <v>9</v>
      </c>
      <c r="E2623" s="2613" t="str">
        <f>Translations!$B$605</f>
        <v>Särskild emissionsfaktor (importerad värme)</v>
      </c>
      <c r="F2623" s="1997"/>
      <c r="G2623" s="364" t="str">
        <f>EUconst_tCO2pTJ</f>
        <v>t CO2 / TJ</v>
      </c>
      <c r="H2623" s="582"/>
      <c r="I2623" s="1105"/>
      <c r="J2623" s="1115"/>
      <c r="K2623" s="582"/>
      <c r="L2623" s="582"/>
      <c r="M2623" s="582"/>
      <c r="N2623" s="1146"/>
      <c r="O2623" s="15"/>
      <c r="P2623" s="1362"/>
      <c r="Q2623" s="165" t="str">
        <f>EUconst_CNTR_HeatImportEF &amp; I2429</f>
        <v>HeatImEF_</v>
      </c>
      <c r="R2623" s="2"/>
      <c r="S2623" s="773" t="str">
        <f>EUconst_CNTR_AttributedEmissions &amp; I2429</f>
        <v>AttrEmissions_</v>
      </c>
      <c r="T2623" s="111" t="str">
        <f t="shared" ref="T2623:Z2623" si="1180">IF(T2437,SUM(H2622)*IF(ISNUMBER(H2623),H2623,EUconst_HeatBMvalue),"")</f>
        <v/>
      </c>
      <c r="U2623" s="111" t="str">
        <f t="shared" si="1180"/>
        <v/>
      </c>
      <c r="V2623" s="111" t="str">
        <f t="shared" si="1180"/>
        <v/>
      </c>
      <c r="W2623" s="111" t="str">
        <f t="shared" si="1180"/>
        <v/>
      </c>
      <c r="X2623" s="111" t="str">
        <f t="shared" si="1180"/>
        <v/>
      </c>
      <c r="Y2623" s="111" t="str">
        <f t="shared" si="1180"/>
        <v/>
      </c>
      <c r="Z2623" s="112" t="str">
        <f t="shared" si="1180"/>
        <v/>
      </c>
      <c r="AA2623" s="2"/>
      <c r="AB2623" s="2"/>
      <c r="AC2623" s="108" t="b">
        <f>AC2622</f>
        <v>0</v>
      </c>
      <c r="AD2623" s="108" t="b">
        <f t="shared" ref="AD2623:AI2623" si="1181">AD2622</f>
        <v>0</v>
      </c>
      <c r="AE2623" s="108" t="b">
        <f t="shared" si="1181"/>
        <v>0</v>
      </c>
      <c r="AF2623" s="108" t="b">
        <f t="shared" si="1181"/>
        <v>0</v>
      </c>
      <c r="AG2623" s="108" t="b">
        <f t="shared" si="1181"/>
        <v>0</v>
      </c>
      <c r="AH2623" s="108" t="b">
        <f t="shared" si="1181"/>
        <v>0</v>
      </c>
      <c r="AI2623" s="108" t="b">
        <f t="shared" si="1181"/>
        <v>0</v>
      </c>
      <c r="AJ2623" s="2"/>
      <c r="AK2623" s="2"/>
      <c r="AL2623" s="2"/>
    </row>
    <row r="2624" spans="1:38" ht="5.15" customHeight="1" x14ac:dyDescent="0.25">
      <c r="A2624" s="2"/>
      <c r="B2624" s="178"/>
      <c r="C2624" s="779"/>
      <c r="D2624" s="780"/>
      <c r="E2624" s="780"/>
      <c r="F2624" s="780"/>
      <c r="G2624" s="780"/>
      <c r="H2624" s="780"/>
      <c r="I2624" s="780"/>
      <c r="J2624" s="780"/>
      <c r="K2624" s="780"/>
      <c r="L2624" s="780"/>
      <c r="M2624" s="780"/>
      <c r="N2624" s="519"/>
      <c r="O2624" s="15"/>
      <c r="P2624" s="15"/>
      <c r="Q2624" s="343"/>
      <c r="R2624" s="2"/>
      <c r="S2624" s="343"/>
      <c r="T2624" s="343"/>
      <c r="U2624" s="343"/>
      <c r="V2624" s="343"/>
      <c r="W2624" s="2"/>
      <c r="X2624" s="2"/>
      <c r="Y2624" s="2"/>
      <c r="Z2624" s="2"/>
      <c r="AA2624" s="2"/>
      <c r="AB2624" s="2"/>
      <c r="AC2624" s="2"/>
      <c r="AD2624" s="2"/>
      <c r="AE2624" s="2"/>
      <c r="AF2624" s="2"/>
      <c r="AG2624" s="2"/>
      <c r="AH2624" s="2"/>
      <c r="AI2624" s="2"/>
      <c r="AJ2624" s="2"/>
      <c r="AK2624" s="2"/>
      <c r="AL2624" s="2"/>
    </row>
    <row r="2625" spans="1:38" ht="12.75" customHeight="1" thickBot="1" x14ac:dyDescent="0.3">
      <c r="A2625" s="2"/>
      <c r="B2625" s="178"/>
      <c r="C2625" s="779"/>
      <c r="D2625" s="780"/>
      <c r="E2625" s="2605" t="str">
        <f>Translations!$B$606</f>
        <v>Särskild värmeimport</v>
      </c>
      <c r="F2625" s="2497"/>
      <c r="G2625" s="361" t="str">
        <f>EUconst_Unit</f>
        <v>Enhet</v>
      </c>
      <c r="H2625" s="362">
        <f t="shared" ref="H2625:N2625" si="1182">H$3042</f>
        <v>2019</v>
      </c>
      <c r="I2625" s="1103">
        <f t="shared" si="1182"/>
        <v>2020</v>
      </c>
      <c r="J2625" s="1104">
        <f t="shared" si="1182"/>
        <v>2021</v>
      </c>
      <c r="K2625" s="362">
        <f t="shared" si="1182"/>
        <v>2022</v>
      </c>
      <c r="L2625" s="362">
        <f t="shared" si="1182"/>
        <v>2023</v>
      </c>
      <c r="M2625" s="362">
        <f t="shared" si="1182"/>
        <v>2024</v>
      </c>
      <c r="N2625" s="1141">
        <f t="shared" si="1182"/>
        <v>2025</v>
      </c>
      <c r="O2625" s="15"/>
      <c r="P2625" s="15"/>
      <c r="Q2625" s="343"/>
      <c r="R2625" s="2"/>
      <c r="S2625" s="343"/>
      <c r="T2625" s="343"/>
      <c r="U2625" s="343"/>
      <c r="V2625" s="343"/>
      <c r="W2625" s="2"/>
      <c r="X2625" s="2"/>
      <c r="Y2625" s="2"/>
      <c r="Z2625" s="2"/>
      <c r="AA2625" s="2"/>
      <c r="AB2625" s="2"/>
      <c r="AC2625" s="1044">
        <f t="shared" ref="AC2625:AI2625" si="1183">H$20</f>
        <v>2019</v>
      </c>
      <c r="AD2625" s="1044">
        <f t="shared" si="1183"/>
        <v>2020</v>
      </c>
      <c r="AE2625" s="1044">
        <f t="shared" si="1183"/>
        <v>2021</v>
      </c>
      <c r="AF2625" s="1044">
        <f t="shared" si="1183"/>
        <v>2022</v>
      </c>
      <c r="AG2625" s="1044">
        <f t="shared" si="1183"/>
        <v>2023</v>
      </c>
      <c r="AH2625" s="1044">
        <f t="shared" si="1183"/>
        <v>2024</v>
      </c>
      <c r="AI2625" s="1044">
        <f t="shared" si="1183"/>
        <v>2025</v>
      </c>
      <c r="AJ2625" s="2"/>
      <c r="AK2625" s="2"/>
      <c r="AL2625" s="2"/>
    </row>
    <row r="2626" spans="1:38" ht="12.75" customHeight="1" x14ac:dyDescent="0.25">
      <c r="A2626" s="2"/>
      <c r="B2626" s="178"/>
      <c r="C2626" s="779"/>
      <c r="D2626" s="416" t="s">
        <v>10</v>
      </c>
      <c r="E2626" s="2613" t="str">
        <f>Translations!$B$607</f>
        <v>Nettomängd importerad värme från massadelanläggningar</v>
      </c>
      <c r="F2626" s="1997"/>
      <c r="G2626" s="364" t="str">
        <f>EUconst_TJpa</f>
        <v>TJ / år</v>
      </c>
      <c r="H2626" s="1310"/>
      <c r="I2626" s="1311"/>
      <c r="J2626" s="1312"/>
      <c r="K2626" s="1310"/>
      <c r="L2626" s="1310"/>
      <c r="M2626" s="1310"/>
      <c r="N2626" s="1313"/>
      <c r="O2626" s="15"/>
      <c r="P2626" s="1362"/>
      <c r="Q2626" s="165" t="str">
        <f>EUconst_CNTR_HeatImportPulp &amp; I2429</f>
        <v>HeatImPulp_</v>
      </c>
      <c r="R2626" s="2"/>
      <c r="S2626" s="343"/>
      <c r="T2626" s="343"/>
      <c r="U2626" s="343"/>
      <c r="V2626" s="343"/>
      <c r="W2626" s="2"/>
      <c r="X2626" s="2"/>
      <c r="Y2626" s="2"/>
      <c r="Z2626" s="2"/>
      <c r="AA2626" s="2"/>
      <c r="AB2626" s="672" t="s">
        <v>782</v>
      </c>
      <c r="AC2626" s="108" t="b">
        <f>AC2499</f>
        <v>0</v>
      </c>
      <c r="AD2626" s="108" t="b">
        <f t="shared" ref="AD2626:AI2626" si="1184">AD2499</f>
        <v>0</v>
      </c>
      <c r="AE2626" s="108" t="b">
        <f t="shared" si="1184"/>
        <v>0</v>
      </c>
      <c r="AF2626" s="108" t="b">
        <f t="shared" si="1184"/>
        <v>0</v>
      </c>
      <c r="AG2626" s="108" t="b">
        <f t="shared" si="1184"/>
        <v>0</v>
      </c>
      <c r="AH2626" s="108" t="b">
        <f t="shared" si="1184"/>
        <v>0</v>
      </c>
      <c r="AI2626" s="108" t="b">
        <f t="shared" si="1184"/>
        <v>0</v>
      </c>
      <c r="AJ2626" s="553" t="s">
        <v>2248</v>
      </c>
      <c r="AK2626" s="663" t="str">
        <f>IF(AND(CNTR_ExistSubInstEntries,MSconst_RequireSubAttrEmissions,COUNTIFS(AC2626:AI2626,FALSE,H2626:N2626,"")&gt;0),EUconst_Error&amp;"BM"&amp;$Q2429,"")</f>
        <v/>
      </c>
      <c r="AL2626" s="2"/>
    </row>
    <row r="2627" spans="1:38" ht="25.5" customHeight="1" x14ac:dyDescent="0.25">
      <c r="A2627" s="2"/>
      <c r="B2627" s="178"/>
      <c r="C2627" s="779"/>
      <c r="D2627" s="416" t="s">
        <v>23</v>
      </c>
      <c r="E2627" s="2613" t="str">
        <f>Translations!$B$608</f>
        <v>Nettomängd importerad värme från delanläggningar för salpetersyra</v>
      </c>
      <c r="F2627" s="1997"/>
      <c r="G2627" s="364" t="str">
        <f>EUconst_TJpa</f>
        <v>TJ / år</v>
      </c>
      <c r="H2627" s="582"/>
      <c r="I2627" s="1105"/>
      <c r="J2627" s="1115"/>
      <c r="K2627" s="582"/>
      <c r="L2627" s="582"/>
      <c r="M2627" s="582"/>
      <c r="N2627" s="1146"/>
      <c r="O2627" s="15"/>
      <c r="P2627" s="1362"/>
      <c r="Q2627" s="165" t="str">
        <f>EUconst_CNTR_HeatImportNitric &amp; I2429</f>
        <v>HeatImNitric_</v>
      </c>
      <c r="R2627" s="2"/>
      <c r="S2627" s="343"/>
      <c r="T2627" s="343"/>
      <c r="U2627" s="343"/>
      <c r="V2627" s="343"/>
      <c r="W2627" s="2"/>
      <c r="X2627" s="2"/>
      <c r="Y2627" s="2"/>
      <c r="Z2627" s="2"/>
      <c r="AA2627" s="2"/>
      <c r="AB2627" s="2"/>
      <c r="AC2627" s="108" t="b">
        <f>AC2626</f>
        <v>0</v>
      </c>
      <c r="AD2627" s="108" t="b">
        <f t="shared" ref="AD2627:AI2627" si="1185">AD2626</f>
        <v>0</v>
      </c>
      <c r="AE2627" s="108" t="b">
        <f t="shared" si="1185"/>
        <v>0</v>
      </c>
      <c r="AF2627" s="108" t="b">
        <f t="shared" si="1185"/>
        <v>0</v>
      </c>
      <c r="AG2627" s="108" t="b">
        <f t="shared" si="1185"/>
        <v>0</v>
      </c>
      <c r="AH2627" s="108" t="b">
        <f t="shared" si="1185"/>
        <v>0</v>
      </c>
      <c r="AI2627" s="108" t="b">
        <f t="shared" si="1185"/>
        <v>0</v>
      </c>
      <c r="AJ2627" s="553" t="s">
        <v>2248</v>
      </c>
      <c r="AK2627" s="663" t="str">
        <f>IF(AND(CNTR_ExistSubInstEntries,MSconst_RequireSubAttrEmissions,COUNTIFS(AC2627:AI2627,FALSE,H2627:N2627,"")&gt;0),EUconst_Error&amp;"BM"&amp;$Q2429,"")</f>
        <v/>
      </c>
      <c r="AL2627" s="2"/>
    </row>
    <row r="2628" spans="1:38" ht="5.15" customHeight="1" thickBot="1" x14ac:dyDescent="0.3">
      <c r="A2628" s="2"/>
      <c r="B2628" s="178"/>
      <c r="C2628" s="779"/>
      <c r="D2628" s="780"/>
      <c r="E2628" s="780"/>
      <c r="F2628" s="780"/>
      <c r="G2628" s="780"/>
      <c r="H2628" s="780"/>
      <c r="I2628" s="780"/>
      <c r="J2628" s="780"/>
      <c r="K2628" s="780"/>
      <c r="L2628" s="780"/>
      <c r="M2628" s="780"/>
      <c r="N2628" s="519"/>
      <c r="O2628" s="15"/>
      <c r="P2628" s="15"/>
      <c r="Q2628" s="343"/>
      <c r="R2628" s="2"/>
      <c r="S2628" s="343"/>
      <c r="T2628" s="343"/>
      <c r="U2628" s="343"/>
      <c r="V2628" s="343"/>
      <c r="W2628" s="2"/>
      <c r="X2628" s="2"/>
      <c r="Y2628" s="2"/>
      <c r="Z2628" s="2"/>
      <c r="AA2628" s="2"/>
      <c r="AB2628" s="2"/>
      <c r="AC2628" s="2"/>
      <c r="AD2628" s="2"/>
      <c r="AE2628" s="2"/>
      <c r="AF2628" s="2"/>
      <c r="AG2628" s="2"/>
      <c r="AH2628" s="2"/>
      <c r="AI2628" s="2"/>
      <c r="AJ2628" s="2"/>
      <c r="AK2628" s="2"/>
      <c r="AL2628" s="2"/>
    </row>
    <row r="2629" spans="1:38" ht="12.75" customHeight="1" thickBot="1" x14ac:dyDescent="0.3">
      <c r="A2629" s="2"/>
      <c r="B2629" s="178"/>
      <c r="C2629" s="779"/>
      <c r="D2629" s="780"/>
      <c r="E2629" s="2605" t="str">
        <f>Translations!$B$609</f>
        <v>Total exporterad värme</v>
      </c>
      <c r="F2629" s="2497"/>
      <c r="G2629" s="361" t="str">
        <f>EUconst_Unit</f>
        <v>Enhet</v>
      </c>
      <c r="H2629" s="362">
        <f t="shared" ref="H2629:N2629" si="1186">H$3042</f>
        <v>2019</v>
      </c>
      <c r="I2629" s="1103">
        <f t="shared" si="1186"/>
        <v>2020</v>
      </c>
      <c r="J2629" s="1104">
        <f t="shared" si="1186"/>
        <v>2021</v>
      </c>
      <c r="K2629" s="362">
        <f t="shared" si="1186"/>
        <v>2022</v>
      </c>
      <c r="L2629" s="362">
        <f t="shared" si="1186"/>
        <v>2023</v>
      </c>
      <c r="M2629" s="362">
        <f t="shared" si="1186"/>
        <v>2024</v>
      </c>
      <c r="N2629" s="1141">
        <f t="shared" si="1186"/>
        <v>2025</v>
      </c>
      <c r="O2629" s="15"/>
      <c r="P2629" s="15"/>
      <c r="Q2629" s="343"/>
      <c r="R2629" s="2"/>
      <c r="S2629" s="772"/>
      <c r="T2629" s="609">
        <f t="shared" ref="T2629:Z2629" si="1187">H2629</f>
        <v>2019</v>
      </c>
      <c r="U2629" s="609">
        <f t="shared" si="1187"/>
        <v>2020</v>
      </c>
      <c r="V2629" s="609">
        <f t="shared" si="1187"/>
        <v>2021</v>
      </c>
      <c r="W2629" s="609">
        <f t="shared" si="1187"/>
        <v>2022</v>
      </c>
      <c r="X2629" s="609">
        <f t="shared" si="1187"/>
        <v>2023</v>
      </c>
      <c r="Y2629" s="609">
        <f t="shared" si="1187"/>
        <v>2024</v>
      </c>
      <c r="Z2629" s="610">
        <f t="shared" si="1187"/>
        <v>2025</v>
      </c>
      <c r="AA2629" s="2"/>
      <c r="AB2629" s="2"/>
      <c r="AC2629" s="1044">
        <f t="shared" ref="AC2629:AI2629" si="1188">H$20</f>
        <v>2019</v>
      </c>
      <c r="AD2629" s="1044">
        <f t="shared" si="1188"/>
        <v>2020</v>
      </c>
      <c r="AE2629" s="1044">
        <f t="shared" si="1188"/>
        <v>2021</v>
      </c>
      <c r="AF2629" s="1044">
        <f t="shared" si="1188"/>
        <v>2022</v>
      </c>
      <c r="AG2629" s="1044">
        <f t="shared" si="1188"/>
        <v>2023</v>
      </c>
      <c r="AH2629" s="1044">
        <f t="shared" si="1188"/>
        <v>2024</v>
      </c>
      <c r="AI2629" s="1044">
        <f t="shared" si="1188"/>
        <v>2025</v>
      </c>
      <c r="AJ2629" s="2"/>
      <c r="AK2629" s="2"/>
      <c r="AL2629" s="2"/>
    </row>
    <row r="2630" spans="1:38" ht="12.75" customHeight="1" x14ac:dyDescent="0.25">
      <c r="A2630" s="2"/>
      <c r="B2630" s="178"/>
      <c r="C2630" s="779"/>
      <c r="D2630" s="416" t="s">
        <v>859</v>
      </c>
      <c r="E2630" s="2613" t="str">
        <f>Translations!$B$610</f>
        <v>Nettomängd exporterad värme</v>
      </c>
      <c r="F2630" s="1997"/>
      <c r="G2630" s="364" t="str">
        <f>EUconst_TJpa</f>
        <v>TJ / år</v>
      </c>
      <c r="H2630" s="582"/>
      <c r="I2630" s="1105"/>
      <c r="J2630" s="1115"/>
      <c r="K2630" s="582"/>
      <c r="L2630" s="582"/>
      <c r="M2630" s="582"/>
      <c r="N2630" s="1146"/>
      <c r="O2630" s="15"/>
      <c r="P2630" s="1362"/>
      <c r="Q2630" s="165" t="str">
        <f>EUconst_CNTR_HeatExport &amp; I2429</f>
        <v>HeatEx_</v>
      </c>
      <c r="R2630" s="2"/>
      <c r="S2630" s="1751" t="str">
        <f>EUconst_ERR_AttrEmBMapplied &amp; I2429</f>
        <v>ERR_AttrEmBM_</v>
      </c>
      <c r="T2630" s="108">
        <f t="shared" ref="T2630:Z2630" si="1189">IF(AND(H2630&lt;&gt;0,H2631="",EUconst_StatusOfDataCollection=FALSE),1,0)</f>
        <v>0</v>
      </c>
      <c r="U2630" s="108">
        <f t="shared" si="1189"/>
        <v>0</v>
      </c>
      <c r="V2630" s="108">
        <f t="shared" si="1189"/>
        <v>0</v>
      </c>
      <c r="W2630" s="108">
        <f t="shared" si="1189"/>
        <v>0</v>
      </c>
      <c r="X2630" s="108">
        <f t="shared" si="1189"/>
        <v>0</v>
      </c>
      <c r="Y2630" s="108">
        <f t="shared" si="1189"/>
        <v>0</v>
      </c>
      <c r="Z2630" s="109">
        <f t="shared" si="1189"/>
        <v>0</v>
      </c>
      <c r="AA2630" s="2"/>
      <c r="AB2630" s="672" t="s">
        <v>782</v>
      </c>
      <c r="AC2630" s="108" t="b">
        <f>AC2626</f>
        <v>0</v>
      </c>
      <c r="AD2630" s="108" t="b">
        <f t="shared" ref="AD2630:AI2630" si="1190">AD2626</f>
        <v>0</v>
      </c>
      <c r="AE2630" s="108" t="b">
        <f t="shared" si="1190"/>
        <v>0</v>
      </c>
      <c r="AF2630" s="108" t="b">
        <f t="shared" si="1190"/>
        <v>0</v>
      </c>
      <c r="AG2630" s="108" t="b">
        <f t="shared" si="1190"/>
        <v>0</v>
      </c>
      <c r="AH2630" s="108" t="b">
        <f t="shared" si="1190"/>
        <v>0</v>
      </c>
      <c r="AI2630" s="108" t="b">
        <f t="shared" si="1190"/>
        <v>0</v>
      </c>
      <c r="AJ2630" s="553" t="s">
        <v>2248</v>
      </c>
      <c r="AK2630" s="663" t="str">
        <f>IF(AND(CNTR_ExistSubInstEntries,MSconst_RequireSubAttrEmissions,COUNTIFS(AC2630:AI2630,FALSE,H2630:N2630,"")&gt;0),EUconst_Error&amp;"BM"&amp;$Q2429,"")</f>
        <v/>
      </c>
      <c r="AL2630" s="2"/>
    </row>
    <row r="2631" spans="1:38" ht="12.75" customHeight="1" thickBot="1" x14ac:dyDescent="0.3">
      <c r="A2631" s="2"/>
      <c r="B2631" s="178"/>
      <c r="C2631" s="779"/>
      <c r="D2631" s="416" t="s">
        <v>860</v>
      </c>
      <c r="E2631" s="2613" t="str">
        <f>Translations!$B$611</f>
        <v>Särskild emissionsfaktor (exporterad värme)</v>
      </c>
      <c r="F2631" s="1997"/>
      <c r="G2631" s="364" t="str">
        <f>EUconst_tCO2pTJ</f>
        <v>t CO2 / TJ</v>
      </c>
      <c r="H2631" s="582"/>
      <c r="I2631" s="1105"/>
      <c r="J2631" s="1115"/>
      <c r="K2631" s="582"/>
      <c r="L2631" s="582"/>
      <c r="M2631" s="582"/>
      <c r="N2631" s="1146"/>
      <c r="O2631" s="15"/>
      <c r="P2631" s="1362"/>
      <c r="Q2631" s="165" t="str">
        <f>EUconst_CNTR_HeatExportEF &amp; I2429</f>
        <v>HeatExEF_</v>
      </c>
      <c r="R2631" s="2"/>
      <c r="S2631" s="773" t="str">
        <f>EUconst_CNTR_AttributedEmissions &amp; I2429</f>
        <v>AttrEmissions_</v>
      </c>
      <c r="T2631" s="111" t="str">
        <f t="shared" ref="T2631:Z2631" si="1191">IF(T2437,-SUM(H2630)*IF(INDEX(EUconst_BMlistNumberOfBM,MATCH($I2429,EUconst_BMlistNames,0))=39,0,IF(ISNUMBER(H2631),H2631,EUconst_HeatBMvalue)),"")</f>
        <v/>
      </c>
      <c r="U2631" s="111" t="str">
        <f t="shared" si="1191"/>
        <v/>
      </c>
      <c r="V2631" s="111" t="str">
        <f t="shared" si="1191"/>
        <v/>
      </c>
      <c r="W2631" s="111" t="str">
        <f t="shared" si="1191"/>
        <v/>
      </c>
      <c r="X2631" s="111" t="str">
        <f t="shared" si="1191"/>
        <v/>
      </c>
      <c r="Y2631" s="111" t="str">
        <f t="shared" si="1191"/>
        <v/>
      </c>
      <c r="Z2631" s="112" t="str">
        <f t="shared" si="1191"/>
        <v/>
      </c>
      <c r="AA2631" s="2"/>
      <c r="AB2631" s="2"/>
      <c r="AC2631" s="108" t="b">
        <f>AC2630</f>
        <v>0</v>
      </c>
      <c r="AD2631" s="108" t="b">
        <f t="shared" ref="AD2631:AI2631" si="1192">AD2630</f>
        <v>0</v>
      </c>
      <c r="AE2631" s="108" t="b">
        <f t="shared" si="1192"/>
        <v>0</v>
      </c>
      <c r="AF2631" s="108" t="b">
        <f t="shared" si="1192"/>
        <v>0</v>
      </c>
      <c r="AG2631" s="108" t="b">
        <f t="shared" si="1192"/>
        <v>0</v>
      </c>
      <c r="AH2631" s="108" t="b">
        <f t="shared" si="1192"/>
        <v>0</v>
      </c>
      <c r="AI2631" s="108" t="b">
        <f t="shared" si="1192"/>
        <v>0</v>
      </c>
      <c r="AJ2631" s="2"/>
      <c r="AK2631" s="2"/>
      <c r="AL2631" s="2"/>
    </row>
    <row r="2632" spans="1:38" ht="12.75" customHeight="1" x14ac:dyDescent="0.25">
      <c r="A2632" s="2"/>
      <c r="B2632" s="178"/>
      <c r="C2632" s="779"/>
      <c r="D2632" s="780"/>
      <c r="E2632" s="780"/>
      <c r="F2632" s="780"/>
      <c r="G2632" s="780"/>
      <c r="H2632" s="780"/>
      <c r="I2632" s="780"/>
      <c r="J2632" s="780"/>
      <c r="K2632" s="780"/>
      <c r="L2632" s="780"/>
      <c r="M2632" s="623"/>
      <c r="N2632" s="519"/>
      <c r="O2632" s="15"/>
      <c r="P2632" s="15"/>
      <c r="Q2632" s="343"/>
      <c r="R2632" s="2"/>
      <c r="S2632" s="343"/>
      <c r="T2632" s="343"/>
      <c r="U2632" s="343"/>
      <c r="V2632" s="343"/>
      <c r="W2632" s="2"/>
      <c r="X2632" s="2"/>
      <c r="Y2632" s="2"/>
      <c r="Z2632" s="2"/>
      <c r="AA2632" s="2"/>
      <c r="AB2632" s="2"/>
      <c r="AC2632" s="2"/>
      <c r="AD2632" s="2"/>
      <c r="AE2632" s="2"/>
      <c r="AF2632" s="2"/>
      <c r="AG2632" s="2"/>
      <c r="AH2632" s="2"/>
      <c r="AI2632" s="2"/>
      <c r="AJ2632" s="2"/>
      <c r="AK2632" s="2"/>
      <c r="AL2632" s="2"/>
    </row>
    <row r="2633" spans="1:38" ht="12.75" customHeight="1" x14ac:dyDescent="0.25">
      <c r="A2633" s="2"/>
      <c r="B2633" s="178"/>
      <c r="C2633" s="779"/>
      <c r="D2633" s="373" t="s">
        <v>526</v>
      </c>
      <c r="E2633" s="2614" t="str">
        <f>Translations!$B$612</f>
        <v>Delanläggningens restgasbalans</v>
      </c>
      <c r="F2633" s="1960"/>
      <c r="G2633" s="1960"/>
      <c r="H2633" s="1960"/>
      <c r="I2633" s="1960"/>
      <c r="J2633" s="1960"/>
      <c r="K2633" s="1960"/>
      <c r="L2633" s="1960"/>
      <c r="M2633" s="1960"/>
      <c r="N2633" s="2597"/>
      <c r="O2633" s="15"/>
      <c r="P2633" s="15"/>
      <c r="Q2633" s="343"/>
      <c r="R2633" s="2"/>
      <c r="S2633" s="343"/>
      <c r="T2633" s="343"/>
      <c r="U2633" s="343"/>
      <c r="V2633" s="343"/>
      <c r="W2633" s="2"/>
      <c r="X2633" s="2"/>
      <c r="Y2633" s="2"/>
      <c r="Z2633" s="2"/>
      <c r="AA2633" s="2"/>
      <c r="AB2633" s="2"/>
      <c r="AC2633" s="2"/>
      <c r="AD2633" s="2"/>
      <c r="AE2633" s="2"/>
      <c r="AF2633" s="2"/>
      <c r="AG2633" s="2"/>
      <c r="AH2633" s="2"/>
      <c r="AI2633" s="2"/>
      <c r="AJ2633" s="2"/>
      <c r="AK2633" s="2"/>
      <c r="AL2633" s="2"/>
    </row>
    <row r="2634" spans="1:38" ht="5.15" customHeight="1" x14ac:dyDescent="0.25">
      <c r="A2634" s="2"/>
      <c r="B2634" s="178"/>
      <c r="C2634" s="779"/>
      <c r="D2634" s="780"/>
      <c r="E2634" s="1804"/>
      <c r="F2634" s="1804"/>
      <c r="G2634" s="1804"/>
      <c r="H2634" s="1804"/>
      <c r="I2634" s="1804"/>
      <c r="J2634" s="1804"/>
      <c r="K2634" s="1804"/>
      <c r="L2634" s="1804"/>
      <c r="M2634" s="1804"/>
      <c r="N2634" s="1810"/>
      <c r="O2634" s="15"/>
      <c r="P2634" s="15"/>
      <c r="Q2634" s="343"/>
      <c r="R2634" s="2"/>
      <c r="S2634" s="343"/>
      <c r="T2634" s="343"/>
      <c r="U2634" s="343"/>
      <c r="V2634" s="343"/>
      <c r="W2634" s="2"/>
      <c r="X2634" s="2"/>
      <c r="Y2634" s="2"/>
      <c r="Z2634" s="2"/>
      <c r="AA2634" s="2"/>
      <c r="AB2634" s="2"/>
      <c r="AC2634" s="2"/>
      <c r="AD2634" s="2"/>
      <c r="AE2634" s="2"/>
      <c r="AF2634" s="2"/>
      <c r="AG2634" s="2"/>
      <c r="AH2634" s="2"/>
      <c r="AI2634" s="2"/>
      <c r="AJ2634" s="2"/>
      <c r="AK2634" s="2"/>
      <c r="AL2634" s="2"/>
    </row>
    <row r="2635" spans="1:38" ht="12.75" customHeight="1" x14ac:dyDescent="0.25">
      <c r="A2635" s="2"/>
      <c r="B2635" s="178"/>
      <c r="C2635" s="779"/>
      <c r="D2635" s="416" t="s">
        <v>8</v>
      </c>
      <c r="E2635" s="2614" t="str">
        <f>Translations!$B$613</f>
        <v>Är restgaser relevanta för delanläggningen?</v>
      </c>
      <c r="F2635" s="1960"/>
      <c r="G2635" s="1960"/>
      <c r="H2635" s="1960"/>
      <c r="I2635" s="1960"/>
      <c r="J2635" s="1960"/>
      <c r="K2635" s="2520"/>
      <c r="L2635" s="749"/>
      <c r="M2635" s="1806"/>
      <c r="N2635" s="1807"/>
      <c r="O2635" s="15"/>
      <c r="P2635" s="1362"/>
      <c r="Q2635" s="343"/>
      <c r="R2635" s="2"/>
      <c r="S2635" s="343"/>
      <c r="T2635" s="2"/>
      <c r="U2635" s="2"/>
      <c r="V2635" s="2"/>
      <c r="W2635" s="2"/>
      <c r="X2635" s="2"/>
      <c r="Y2635" s="2"/>
      <c r="Z2635" s="2"/>
      <c r="AA2635" s="2"/>
      <c r="AB2635" s="2"/>
      <c r="AC2635" s="2"/>
      <c r="AD2635" s="2"/>
      <c r="AE2635" s="2"/>
      <c r="AF2635" s="672" t="s">
        <v>782</v>
      </c>
      <c r="AG2635" s="1196" t="b">
        <f>AND(CNTR_ExistSubInstEntries,I2429="")</f>
        <v>0</v>
      </c>
      <c r="AH2635" s="2"/>
      <c r="AI2635" s="2"/>
      <c r="AJ2635" s="2"/>
      <c r="AK2635" s="2"/>
      <c r="AL2635" s="2"/>
    </row>
    <row r="2636" spans="1:38" ht="12.75" customHeight="1" x14ac:dyDescent="0.25">
      <c r="A2636" s="2"/>
      <c r="B2636" s="178"/>
      <c r="C2636" s="779"/>
      <c r="D2636" s="780"/>
      <c r="E2636" s="2610" t="str">
        <f>Translations!$B$614</f>
        <v>Om svaret ”FALSKT” anges kommer hela avsnittet att gråmarkeras och ni kan gå vidare till nästa punkt nedan.</v>
      </c>
      <c r="F2636" s="1960"/>
      <c r="G2636" s="1960"/>
      <c r="H2636" s="1960"/>
      <c r="I2636" s="1960"/>
      <c r="J2636" s="1960"/>
      <c r="K2636" s="1960"/>
      <c r="L2636" s="1960"/>
      <c r="M2636" s="1960"/>
      <c r="N2636" s="2597"/>
      <c r="O2636" s="15"/>
      <c r="P2636" s="15"/>
      <c r="Q2636" s="343"/>
      <c r="R2636" s="2"/>
      <c r="S2636" s="343"/>
      <c r="T2636" s="2"/>
      <c r="U2636" s="2"/>
      <c r="V2636" s="2"/>
      <c r="W2636" s="2"/>
      <c r="X2636" s="2"/>
      <c r="Y2636" s="2"/>
      <c r="Z2636" s="2"/>
      <c r="AA2636" s="2"/>
      <c r="AB2636" s="2"/>
      <c r="AC2636" s="2"/>
      <c r="AD2636" s="2"/>
      <c r="AE2636" s="2"/>
      <c r="AF2636" s="2"/>
      <c r="AG2636" s="2"/>
      <c r="AH2636" s="2"/>
      <c r="AI2636" s="2"/>
      <c r="AJ2636" s="2"/>
      <c r="AK2636" s="2"/>
      <c r="AL2636" s="2"/>
    </row>
    <row r="2637" spans="1:38" ht="12.75" customHeight="1" x14ac:dyDescent="0.25">
      <c r="A2637" s="2"/>
      <c r="B2637" s="178"/>
      <c r="C2637" s="779"/>
      <c r="D2637" s="416" t="s">
        <v>9</v>
      </c>
      <c r="E2637" s="2614" t="str">
        <f>Translations!$B$615</f>
        <v>Typer av producerade restgaser:</v>
      </c>
      <c r="F2637" s="1960"/>
      <c r="G2637" s="1960"/>
      <c r="H2637" s="2520"/>
      <c r="I2637" s="2621"/>
      <c r="J2637" s="2510"/>
      <c r="K2637" s="2510"/>
      <c r="L2637" s="2510"/>
      <c r="M2637" s="2511"/>
      <c r="N2637" s="1807"/>
      <c r="O2637" s="15"/>
      <c r="P2637" s="1362"/>
      <c r="Q2637" s="343"/>
      <c r="R2637" s="2"/>
      <c r="S2637" s="343"/>
      <c r="T2637" s="2"/>
      <c r="U2637" s="2"/>
      <c r="V2637" s="2"/>
      <c r="W2637" s="2"/>
      <c r="X2637" s="2"/>
      <c r="Y2637" s="2"/>
      <c r="Z2637" s="2"/>
      <c r="AA2637" s="2"/>
      <c r="AB2637" s="2"/>
      <c r="AC2637" s="672" t="s">
        <v>782</v>
      </c>
      <c r="AD2637" s="1196" t="b">
        <f>OR(AG2635,AND($L2635&lt;&gt;"",$L2635=FALSE))</f>
        <v>0</v>
      </c>
      <c r="AE2637" s="2"/>
      <c r="AF2637" s="2"/>
      <c r="AG2637" s="2"/>
      <c r="AH2637" s="2"/>
      <c r="AI2637" s="2"/>
      <c r="AJ2637" s="2"/>
      <c r="AK2637" s="2"/>
      <c r="AL2637" s="2"/>
    </row>
    <row r="2638" spans="1:38" ht="12.75" customHeight="1" x14ac:dyDescent="0.25">
      <c r="A2638" s="2"/>
      <c r="B2638" s="178"/>
      <c r="C2638" s="779"/>
      <c r="D2638" s="780"/>
      <c r="E2638" s="2610" t="str">
        <f>Translations!$B$616</f>
        <v>Ni kan välja att rapportera i ton eller i 1 000 Nm3. Enheterna måste stämma överens med de som används för effektivt värmevärde och emissionsfaktorn nedan.</v>
      </c>
      <c r="F2638" s="1960"/>
      <c r="G2638" s="1960"/>
      <c r="H2638" s="1960"/>
      <c r="I2638" s="1960"/>
      <c r="J2638" s="1960"/>
      <c r="K2638" s="1960"/>
      <c r="L2638" s="1960"/>
      <c r="M2638" s="1960"/>
      <c r="N2638" s="2597"/>
      <c r="O2638" s="15"/>
      <c r="P2638" s="15"/>
      <c r="Q2638" s="343"/>
      <c r="R2638" s="2"/>
      <c r="S2638" s="343"/>
      <c r="T2638" s="343"/>
      <c r="U2638" s="343"/>
      <c r="V2638" s="343"/>
      <c r="W2638" s="2"/>
      <c r="X2638" s="2"/>
      <c r="Y2638" s="2"/>
      <c r="Z2638" s="2"/>
      <c r="AA2638" s="2"/>
      <c r="AB2638" s="2"/>
      <c r="AC2638" s="2"/>
      <c r="AD2638" s="2"/>
      <c r="AE2638" s="2"/>
      <c r="AF2638" s="2"/>
      <c r="AG2638" s="2"/>
      <c r="AH2638" s="2"/>
      <c r="AI2638" s="2"/>
      <c r="AJ2638" s="2"/>
      <c r="AK2638" s="2"/>
      <c r="AL2638" s="2"/>
    </row>
    <row r="2639" spans="1:38" ht="12.75" customHeight="1" x14ac:dyDescent="0.25">
      <c r="A2639" s="2"/>
      <c r="B2639" s="178"/>
      <c r="C2639" s="779"/>
      <c r="D2639" s="780"/>
      <c r="E2639" s="2596" t="str">
        <f>Translations!$B$570</f>
        <v>De uppgifter som anges här används bara för konsekvenskontroll och har ingen direkt inverkan på vare sig de utsläpp som kan tillskrivas eller tilldelningen.</v>
      </c>
      <c r="F2639" s="1960"/>
      <c r="G2639" s="1960"/>
      <c r="H2639" s="1960"/>
      <c r="I2639" s="1960"/>
      <c r="J2639" s="1960"/>
      <c r="K2639" s="1960"/>
      <c r="L2639" s="1960"/>
      <c r="M2639" s="1960"/>
      <c r="N2639" s="2597"/>
      <c r="O2639" s="15"/>
      <c r="P2639" s="15"/>
      <c r="Q2639" s="343"/>
      <c r="R2639" s="2"/>
      <c r="S2639" s="343"/>
      <c r="T2639" s="343"/>
      <c r="U2639" s="343"/>
      <c r="V2639" s="343"/>
      <c r="W2639" s="2"/>
      <c r="X2639" s="2"/>
      <c r="Y2639" s="2"/>
      <c r="Z2639" s="2"/>
      <c r="AA2639" s="2"/>
      <c r="AB2639" s="2"/>
      <c r="AC2639" s="2"/>
      <c r="AD2639" s="2"/>
      <c r="AE2639" s="2"/>
      <c r="AF2639" s="2"/>
      <c r="AG2639" s="2"/>
      <c r="AH2639" s="2"/>
      <c r="AI2639" s="2"/>
      <c r="AJ2639" s="2"/>
      <c r="AK2639" s="2"/>
      <c r="AL2639" s="2"/>
    </row>
    <row r="2640" spans="1:38" ht="12.75" customHeight="1" thickBot="1" x14ac:dyDescent="0.3">
      <c r="A2640" s="2"/>
      <c r="B2640" s="178"/>
      <c r="C2640" s="779"/>
      <c r="D2640" s="780"/>
      <c r="E2640" s="1716"/>
      <c r="F2640" s="1717"/>
      <c r="G2640" s="361" t="str">
        <f>EUconst_Unit</f>
        <v>Enhet</v>
      </c>
      <c r="H2640" s="362">
        <f t="shared" ref="H2640:N2640" si="1193">H$3042</f>
        <v>2019</v>
      </c>
      <c r="I2640" s="1103">
        <f t="shared" si="1193"/>
        <v>2020</v>
      </c>
      <c r="J2640" s="1104">
        <f t="shared" si="1193"/>
        <v>2021</v>
      </c>
      <c r="K2640" s="362">
        <f t="shared" si="1193"/>
        <v>2022</v>
      </c>
      <c r="L2640" s="362">
        <f t="shared" si="1193"/>
        <v>2023</v>
      </c>
      <c r="M2640" s="362">
        <f t="shared" si="1193"/>
        <v>2024</v>
      </c>
      <c r="N2640" s="1141">
        <f t="shared" si="1193"/>
        <v>2025</v>
      </c>
      <c r="O2640" s="15"/>
      <c r="P2640" s="15"/>
      <c r="Q2640" s="343"/>
      <c r="R2640" s="2"/>
      <c r="S2640" s="343"/>
      <c r="T2640" s="343"/>
      <c r="U2640" s="343"/>
      <c r="V2640" s="343"/>
      <c r="W2640" s="2"/>
      <c r="X2640" s="2"/>
      <c r="Y2640" s="2"/>
      <c r="Z2640" s="2"/>
      <c r="AA2640" s="2"/>
      <c r="AB2640" s="2"/>
      <c r="AC2640" s="1044">
        <f t="shared" ref="AC2640:AI2640" si="1194">H$20</f>
        <v>2019</v>
      </c>
      <c r="AD2640" s="1044">
        <f t="shared" si="1194"/>
        <v>2020</v>
      </c>
      <c r="AE2640" s="1044">
        <f t="shared" si="1194"/>
        <v>2021</v>
      </c>
      <c r="AF2640" s="1044">
        <f t="shared" si="1194"/>
        <v>2022</v>
      </c>
      <c r="AG2640" s="1044">
        <f t="shared" si="1194"/>
        <v>2023</v>
      </c>
      <c r="AH2640" s="1044">
        <f t="shared" si="1194"/>
        <v>2024</v>
      </c>
      <c r="AI2640" s="1044">
        <f t="shared" si="1194"/>
        <v>2025</v>
      </c>
      <c r="AJ2640" s="2"/>
      <c r="AK2640" s="2"/>
      <c r="AL2640" s="2"/>
    </row>
    <row r="2641" spans="1:38" ht="12.75" customHeight="1" x14ac:dyDescent="0.25">
      <c r="A2641" s="2"/>
      <c r="B2641" s="178"/>
      <c r="C2641" s="779"/>
      <c r="D2641" s="416" t="s">
        <v>10</v>
      </c>
      <c r="E2641" s="2611" t="str">
        <f>Translations!$B$617</f>
        <v>Producerade mängder</v>
      </c>
      <c r="F2641" s="2484"/>
      <c r="G2641" s="1314"/>
      <c r="H2641" s="1298"/>
      <c r="I2641" s="1299"/>
      <c r="J2641" s="1300"/>
      <c r="K2641" s="1298"/>
      <c r="L2641" s="1298"/>
      <c r="M2641" s="1298"/>
      <c r="N2641" s="1301"/>
      <c r="O2641" s="15"/>
      <c r="P2641" s="1362"/>
      <c r="Q2641" s="343"/>
      <c r="R2641" s="2"/>
      <c r="S2641" s="343"/>
      <c r="T2641" s="343"/>
      <c r="U2641" s="343"/>
      <c r="V2641" s="343"/>
      <c r="W2641" s="2"/>
      <c r="X2641" s="2"/>
      <c r="Y2641" s="2"/>
      <c r="Z2641" s="2"/>
      <c r="AA2641" s="2"/>
      <c r="AB2641" s="672" t="s">
        <v>782</v>
      </c>
      <c r="AC2641" s="1196" t="b">
        <f>OR(AND($L2635&lt;&gt;"",$L2635=FALSE),AC2499)</f>
        <v>0</v>
      </c>
      <c r="AD2641" s="108" t="b">
        <f t="shared" ref="AD2641:AI2641" si="1195">OR(AND($L2635&lt;&gt;"",$L2635=FALSE),AD2499)</f>
        <v>0</v>
      </c>
      <c r="AE2641" s="108" t="b">
        <f t="shared" si="1195"/>
        <v>0</v>
      </c>
      <c r="AF2641" s="108" t="b">
        <f t="shared" si="1195"/>
        <v>0</v>
      </c>
      <c r="AG2641" s="108" t="b">
        <f t="shared" si="1195"/>
        <v>0</v>
      </c>
      <c r="AH2641" s="108" t="b">
        <f t="shared" si="1195"/>
        <v>0</v>
      </c>
      <c r="AI2641" s="108" t="b">
        <f t="shared" si="1195"/>
        <v>0</v>
      </c>
      <c r="AJ2641" s="553" t="s">
        <v>2248</v>
      </c>
      <c r="AK2641" s="663" t="str">
        <f>IF(AND(CNTR_ExistSubInstEntries,MSconst_RequireSubAttrEmissions,COUNTIFS(AC2641:AI2641,FALSE,H2641:N2641,"")&gt;0),EUconst_Error&amp;"BM"&amp;$Q2429,"")</f>
        <v/>
      </c>
      <c r="AL2641" s="2"/>
    </row>
    <row r="2642" spans="1:38" ht="12.75" customHeight="1" x14ac:dyDescent="0.25">
      <c r="A2642" s="2"/>
      <c r="B2642" s="178"/>
      <c r="C2642" s="779"/>
      <c r="D2642" s="416" t="s">
        <v>23</v>
      </c>
      <c r="E2642" s="2612" t="str">
        <f>Translations!$B$318</f>
        <v>Effektivt värmevärde</v>
      </c>
      <c r="F2642" s="2487"/>
      <c r="G2642" s="51" t="str">
        <f>IF(ISBLANK(G2641),EUconst_GJperUnit,INDEX(EUconst_GJperTorKNm3,MATCH(G2641,EUconst_TonnesOrkNm3pa,0)))</f>
        <v>GJ / Enhet</v>
      </c>
      <c r="H2642" s="1306"/>
      <c r="I2642" s="1307"/>
      <c r="J2642" s="1308"/>
      <c r="K2642" s="1306"/>
      <c r="L2642" s="1306"/>
      <c r="M2642" s="1306"/>
      <c r="N2642" s="1309"/>
      <c r="O2642" s="15"/>
      <c r="P2642" s="1362"/>
      <c r="Q2642" s="2"/>
      <c r="R2642" s="2"/>
      <c r="S2642" s="343"/>
      <c r="T2642" s="343"/>
      <c r="U2642" s="343"/>
      <c r="V2642" s="343"/>
      <c r="W2642" s="343"/>
      <c r="X2642" s="343"/>
      <c r="Y2642" s="343"/>
      <c r="Z2642" s="343"/>
      <c r="AA2642" s="2"/>
      <c r="AB2642" s="2"/>
      <c r="AC2642" s="108" t="b">
        <f>AC2641</f>
        <v>0</v>
      </c>
      <c r="AD2642" s="108" t="b">
        <f t="shared" ref="AD2642:AI2642" si="1196">AD2641</f>
        <v>0</v>
      </c>
      <c r="AE2642" s="108" t="b">
        <f t="shared" si="1196"/>
        <v>0</v>
      </c>
      <c r="AF2642" s="108" t="b">
        <f t="shared" si="1196"/>
        <v>0</v>
      </c>
      <c r="AG2642" s="108" t="b">
        <f t="shared" si="1196"/>
        <v>0</v>
      </c>
      <c r="AH2642" s="108" t="b">
        <f t="shared" si="1196"/>
        <v>0</v>
      </c>
      <c r="AI2642" s="108" t="b">
        <f t="shared" si="1196"/>
        <v>0</v>
      </c>
      <c r="AJ2642" s="553" t="s">
        <v>2248</v>
      </c>
      <c r="AK2642" s="663" t="str">
        <f>IF(AND(CNTR_ExistSubInstEntries,MSconst_RequireSubAttrEmissions,COUNTIFS(AC2642:AI2642,FALSE,H2642:N2642,"")&gt;0),EUconst_Error&amp;"BM"&amp;$Q2429,"")</f>
        <v/>
      </c>
      <c r="AL2642" s="2"/>
    </row>
    <row r="2643" spans="1:38" ht="12.75" customHeight="1" x14ac:dyDescent="0.25">
      <c r="A2643" s="2"/>
      <c r="B2643" s="178"/>
      <c r="C2643" s="779"/>
      <c r="D2643" s="416" t="s">
        <v>859</v>
      </c>
      <c r="E2643" s="2613" t="str">
        <f>Translations!$B$618</f>
        <v>Producerad restgas</v>
      </c>
      <c r="F2643" s="1997"/>
      <c r="G2643" s="364" t="str">
        <f>EUconst_TJpa</f>
        <v>TJ / år</v>
      </c>
      <c r="H2643" s="414" t="str">
        <f t="shared" ref="H2643:N2643" si="1197">IF(COUNT(H2641:H2642)=2,H2641*H2642/1000,"")</f>
        <v/>
      </c>
      <c r="I2643" s="1108" t="str">
        <f t="shared" si="1197"/>
        <v/>
      </c>
      <c r="J2643" s="1114" t="str">
        <f t="shared" si="1197"/>
        <v/>
      </c>
      <c r="K2643" s="414" t="str">
        <f t="shared" si="1197"/>
        <v/>
      </c>
      <c r="L2643" s="414" t="str">
        <f t="shared" si="1197"/>
        <v/>
      </c>
      <c r="M2643" s="414" t="str">
        <f t="shared" si="1197"/>
        <v/>
      </c>
      <c r="N2643" s="1147" t="str">
        <f t="shared" si="1197"/>
        <v/>
      </c>
      <c r="O2643" s="15"/>
      <c r="P2643" s="15"/>
      <c r="Q2643" s="165" t="str">
        <f>EUconst_CNTR_WGProduced &amp; I2429</f>
        <v>WasteGasProd_</v>
      </c>
      <c r="R2643" s="2"/>
      <c r="S2643" s="343"/>
      <c r="T2643" s="343"/>
      <c r="U2643" s="343"/>
      <c r="V2643" s="343"/>
      <c r="W2643" s="343"/>
      <c r="X2643" s="343"/>
      <c r="Y2643" s="343"/>
      <c r="Z2643" s="343"/>
      <c r="AA2643" s="2"/>
      <c r="AB2643" s="2"/>
      <c r="AC2643" s="2"/>
      <c r="AD2643" s="2"/>
      <c r="AE2643" s="2"/>
      <c r="AF2643" s="2"/>
      <c r="AG2643" s="2"/>
      <c r="AH2643" s="2"/>
      <c r="AI2643" s="2"/>
      <c r="AJ2643" s="2"/>
      <c r="AK2643" s="2"/>
      <c r="AL2643" s="2"/>
    </row>
    <row r="2644" spans="1:38" ht="12.75" customHeight="1" x14ac:dyDescent="0.25">
      <c r="A2644" s="2"/>
      <c r="B2644" s="178"/>
      <c r="C2644" s="779"/>
      <c r="D2644" s="416" t="s">
        <v>860</v>
      </c>
      <c r="E2644" s="2613" t="str">
        <f>Translations!$B$619</f>
        <v>Särskild emissionsfaktor (producerad restgas)</v>
      </c>
      <c r="F2644" s="1997"/>
      <c r="G2644" s="364" t="str">
        <f>EUconst_tCO2pTJ</f>
        <v>t CO2 / TJ</v>
      </c>
      <c r="H2644" s="582"/>
      <c r="I2644" s="1105"/>
      <c r="J2644" s="1115"/>
      <c r="K2644" s="582"/>
      <c r="L2644" s="582"/>
      <c r="M2644" s="582"/>
      <c r="N2644" s="1146"/>
      <c r="O2644" s="15"/>
      <c r="P2644" s="1362"/>
      <c r="Q2644" s="165" t="str">
        <f>EUconst_CNTR_WGProducedEF &amp; I2429</f>
        <v>WasteGasProdEF_</v>
      </c>
      <c r="R2644" s="2"/>
      <c r="S2644" s="343"/>
      <c r="T2644" s="343"/>
      <c r="U2644" s="343"/>
      <c r="V2644" s="343"/>
      <c r="W2644" s="343"/>
      <c r="X2644" s="343"/>
      <c r="Y2644" s="343"/>
      <c r="Z2644" s="343"/>
      <c r="AA2644" s="2"/>
      <c r="AB2644" s="672" t="s">
        <v>782</v>
      </c>
      <c r="AC2644" s="108" t="b">
        <f>AC2642</f>
        <v>0</v>
      </c>
      <c r="AD2644" s="108" t="b">
        <f t="shared" ref="AD2644:AI2644" si="1198">AD2642</f>
        <v>0</v>
      </c>
      <c r="AE2644" s="108" t="b">
        <f t="shared" si="1198"/>
        <v>0</v>
      </c>
      <c r="AF2644" s="108" t="b">
        <f t="shared" si="1198"/>
        <v>0</v>
      </c>
      <c r="AG2644" s="108" t="b">
        <f t="shared" si="1198"/>
        <v>0</v>
      </c>
      <c r="AH2644" s="108" t="b">
        <f t="shared" si="1198"/>
        <v>0</v>
      </c>
      <c r="AI2644" s="108" t="b">
        <f t="shared" si="1198"/>
        <v>0</v>
      </c>
      <c r="AJ2644" s="553" t="s">
        <v>2248</v>
      </c>
      <c r="AK2644" s="663" t="str">
        <f>IF(AND(CNTR_ExistSubInstEntries,MSconst_RequireSubAttrEmissions,COUNTIFS(AC2644:AI2644,FALSE,H2644:N2644,"")&gt;0),EUconst_Error&amp;"BM"&amp;$Q2429,"")</f>
        <v/>
      </c>
      <c r="AL2644" s="2"/>
    </row>
    <row r="2645" spans="1:38" ht="12.75" customHeight="1" x14ac:dyDescent="0.25">
      <c r="A2645" s="2"/>
      <c r="B2645" s="178"/>
      <c r="C2645" s="779"/>
      <c r="D2645" s="780"/>
      <c r="E2645" s="780"/>
      <c r="F2645" s="780"/>
      <c r="G2645" s="780"/>
      <c r="H2645" s="1805"/>
      <c r="I2645" s="780"/>
      <c r="J2645" s="780"/>
      <c r="K2645" s="780"/>
      <c r="L2645" s="780"/>
      <c r="M2645" s="623"/>
      <c r="N2645" s="519"/>
      <c r="O2645" s="15"/>
      <c r="P2645" s="15"/>
      <c r="Q2645" s="343"/>
      <c r="R2645" s="2"/>
      <c r="S2645" s="343"/>
      <c r="T2645" s="343"/>
      <c r="U2645" s="343"/>
      <c r="V2645" s="343"/>
      <c r="W2645" s="343"/>
      <c r="X2645" s="343"/>
      <c r="Y2645" s="343"/>
      <c r="Z2645" s="343"/>
      <c r="AA2645" s="2"/>
      <c r="AB2645" s="2"/>
      <c r="AC2645" s="2"/>
      <c r="AD2645" s="2"/>
      <c r="AE2645" s="2"/>
      <c r="AF2645" s="2"/>
      <c r="AG2645" s="2"/>
      <c r="AH2645" s="2"/>
      <c r="AI2645" s="2"/>
      <c r="AJ2645" s="2"/>
      <c r="AK2645" s="2"/>
      <c r="AL2645" s="2"/>
    </row>
    <row r="2646" spans="1:38" ht="12.75" customHeight="1" x14ac:dyDescent="0.25">
      <c r="A2646" s="2"/>
      <c r="B2646" s="178"/>
      <c r="C2646" s="779"/>
      <c r="D2646" s="416" t="s">
        <v>861</v>
      </c>
      <c r="E2646" s="2614" t="str">
        <f>Translations!$B$620</f>
        <v>Typer av restgaser som förbrukas:</v>
      </c>
      <c r="F2646" s="1960"/>
      <c r="G2646" s="1960"/>
      <c r="H2646" s="2520"/>
      <c r="I2646" s="2621"/>
      <c r="J2646" s="2510"/>
      <c r="K2646" s="2510"/>
      <c r="L2646" s="2510"/>
      <c r="M2646" s="2511"/>
      <c r="N2646" s="1807"/>
      <c r="O2646" s="15"/>
      <c r="P2646" s="1362"/>
      <c r="Q2646" s="343"/>
      <c r="R2646" s="2"/>
      <c r="S2646" s="343"/>
      <c r="T2646" s="343"/>
      <c r="U2646" s="343"/>
      <c r="V2646" s="343"/>
      <c r="W2646" s="343"/>
      <c r="X2646" s="343"/>
      <c r="Y2646" s="343"/>
      <c r="Z2646" s="343"/>
      <c r="AA2646" s="2"/>
      <c r="AB2646" s="2"/>
      <c r="AC2646" s="672" t="s">
        <v>782</v>
      </c>
      <c r="AD2646" s="108" t="b">
        <f>AD2637</f>
        <v>0</v>
      </c>
      <c r="AE2646" s="2"/>
      <c r="AF2646" s="2"/>
      <c r="AG2646" s="2"/>
      <c r="AH2646" s="2"/>
      <c r="AI2646" s="2"/>
      <c r="AJ2646" s="2"/>
      <c r="AK2646" s="2"/>
      <c r="AL2646" s="2"/>
    </row>
    <row r="2647" spans="1:38" ht="25.5" customHeight="1" x14ac:dyDescent="0.25">
      <c r="A2647" s="2"/>
      <c r="B2647" s="178"/>
      <c r="C2647" s="779"/>
      <c r="D2647" s="416"/>
      <c r="E2647" s="2610" t="str">
        <f>Translations!$B$621</f>
        <v>Detta innefattar alla restgastyper som förbrukas av delanläggningen för produktion av mätbar värme, icke-mätbar värme (inklusive för säkerhetsfackling) eller mekanisk energi (annan än för elproduktion). Mängden avgaser för fackling utom för säkerhetsfackling bör rapporteras i nästa punkt nedan.</v>
      </c>
      <c r="F2647" s="1960"/>
      <c r="G2647" s="1960"/>
      <c r="H2647" s="1960"/>
      <c r="I2647" s="1960"/>
      <c r="J2647" s="1960"/>
      <c r="K2647" s="1960"/>
      <c r="L2647" s="1960"/>
      <c r="M2647" s="1960"/>
      <c r="N2647" s="2597"/>
      <c r="O2647" s="15"/>
      <c r="P2647" s="15"/>
      <c r="Q2647" s="343"/>
      <c r="R2647" s="2"/>
      <c r="S2647" s="343"/>
      <c r="T2647" s="343"/>
      <c r="U2647" s="343"/>
      <c r="V2647" s="343"/>
      <c r="W2647" s="343"/>
      <c r="X2647" s="343"/>
      <c r="Y2647" s="343"/>
      <c r="Z2647" s="343"/>
      <c r="AA2647" s="2"/>
      <c r="AB2647" s="2"/>
      <c r="AC2647" s="2"/>
      <c r="AD2647" s="2"/>
      <c r="AE2647" s="2"/>
      <c r="AF2647" s="2"/>
      <c r="AG2647" s="2"/>
      <c r="AH2647" s="2"/>
      <c r="AI2647" s="2"/>
      <c r="AJ2647" s="2"/>
      <c r="AK2647" s="2"/>
      <c r="AL2647" s="2"/>
    </row>
    <row r="2648" spans="1:38" ht="12.75" customHeight="1" x14ac:dyDescent="0.25">
      <c r="A2648" s="2"/>
      <c r="B2648" s="178"/>
      <c r="C2648" s="779"/>
      <c r="D2648" s="780"/>
      <c r="E2648" s="2596" t="str">
        <f>Translations!$B$570</f>
        <v>De uppgifter som anges här används bara för konsekvenskontroll och har ingen direkt inverkan på vare sig de utsläpp som kan tillskrivas eller tilldelningen.</v>
      </c>
      <c r="F2648" s="1960"/>
      <c r="G2648" s="1960"/>
      <c r="H2648" s="1960"/>
      <c r="I2648" s="1960"/>
      <c r="J2648" s="1960"/>
      <c r="K2648" s="1960"/>
      <c r="L2648" s="1960"/>
      <c r="M2648" s="1960"/>
      <c r="N2648" s="2597"/>
      <c r="O2648" s="15"/>
      <c r="P2648" s="15"/>
      <c r="Q2648" s="343"/>
      <c r="R2648" s="2"/>
      <c r="S2648" s="343"/>
      <c r="T2648" s="343"/>
      <c r="U2648" s="343"/>
      <c r="V2648" s="343"/>
      <c r="W2648" s="343"/>
      <c r="X2648" s="343"/>
      <c r="Y2648" s="343"/>
      <c r="Z2648" s="343"/>
      <c r="AA2648" s="2"/>
      <c r="AB2648" s="2"/>
      <c r="AC2648" s="2"/>
      <c r="AD2648" s="2"/>
      <c r="AE2648" s="2"/>
      <c r="AF2648" s="2"/>
      <c r="AG2648" s="2"/>
      <c r="AH2648" s="2"/>
      <c r="AI2648" s="2"/>
      <c r="AJ2648" s="2"/>
      <c r="AK2648" s="2"/>
      <c r="AL2648" s="2"/>
    </row>
    <row r="2649" spans="1:38" ht="12.75" customHeight="1" thickBot="1" x14ac:dyDescent="0.3">
      <c r="A2649" s="2"/>
      <c r="B2649" s="178"/>
      <c r="C2649" s="779"/>
      <c r="D2649" s="780"/>
      <c r="E2649" s="1716"/>
      <c r="F2649" s="1717"/>
      <c r="G2649" s="361" t="str">
        <f>EUconst_Unit</f>
        <v>Enhet</v>
      </c>
      <c r="H2649" s="362">
        <f t="shared" ref="H2649:N2649" si="1199">H$3042</f>
        <v>2019</v>
      </c>
      <c r="I2649" s="1103">
        <f t="shared" si="1199"/>
        <v>2020</v>
      </c>
      <c r="J2649" s="1104">
        <f t="shared" si="1199"/>
        <v>2021</v>
      </c>
      <c r="K2649" s="362">
        <f t="shared" si="1199"/>
        <v>2022</v>
      </c>
      <c r="L2649" s="362">
        <f t="shared" si="1199"/>
        <v>2023</v>
      </c>
      <c r="M2649" s="362">
        <f t="shared" si="1199"/>
        <v>2024</v>
      </c>
      <c r="N2649" s="1141">
        <f t="shared" si="1199"/>
        <v>2025</v>
      </c>
      <c r="O2649" s="15"/>
      <c r="P2649" s="15"/>
      <c r="Q2649" s="343"/>
      <c r="R2649" s="2"/>
      <c r="S2649" s="343"/>
      <c r="T2649" s="343"/>
      <c r="U2649" s="343"/>
      <c r="V2649" s="343"/>
      <c r="W2649" s="343"/>
      <c r="X2649" s="343"/>
      <c r="Y2649" s="343"/>
      <c r="Z2649" s="343"/>
      <c r="AA2649" s="2"/>
      <c r="AB2649" s="2"/>
      <c r="AC2649" s="1044">
        <f t="shared" ref="AC2649:AI2649" si="1200">H$20</f>
        <v>2019</v>
      </c>
      <c r="AD2649" s="1044">
        <f t="shared" si="1200"/>
        <v>2020</v>
      </c>
      <c r="AE2649" s="1044">
        <f t="shared" si="1200"/>
        <v>2021</v>
      </c>
      <c r="AF2649" s="1044">
        <f t="shared" si="1200"/>
        <v>2022</v>
      </c>
      <c r="AG2649" s="1044">
        <f t="shared" si="1200"/>
        <v>2023</v>
      </c>
      <c r="AH2649" s="1044">
        <f t="shared" si="1200"/>
        <v>2024</v>
      </c>
      <c r="AI2649" s="1044">
        <f t="shared" si="1200"/>
        <v>2025</v>
      </c>
      <c r="AJ2649" s="2"/>
      <c r="AK2649" s="2"/>
      <c r="AL2649" s="2"/>
    </row>
    <row r="2650" spans="1:38" ht="12.75" customHeight="1" x14ac:dyDescent="0.25">
      <c r="A2650" s="2"/>
      <c r="B2650" s="178"/>
      <c r="C2650" s="779"/>
      <c r="D2650" s="416" t="s">
        <v>862</v>
      </c>
      <c r="E2650" s="2611" t="str">
        <f>Translations!$B$622</f>
        <v>Förbrukade mängder</v>
      </c>
      <c r="F2650" s="2484"/>
      <c r="G2650" s="1314"/>
      <c r="H2650" s="1298"/>
      <c r="I2650" s="1299"/>
      <c r="J2650" s="1300"/>
      <c r="K2650" s="1298"/>
      <c r="L2650" s="1298"/>
      <c r="M2650" s="1298"/>
      <c r="N2650" s="1301"/>
      <c r="O2650" s="15"/>
      <c r="P2650" s="1362"/>
      <c r="Q2650" s="343"/>
      <c r="R2650" s="2"/>
      <c r="S2650" s="343"/>
      <c r="T2650" s="343"/>
      <c r="U2650" s="343"/>
      <c r="V2650" s="343"/>
      <c r="W2650" s="343"/>
      <c r="X2650" s="343"/>
      <c r="Y2650" s="343"/>
      <c r="Z2650" s="343"/>
      <c r="AA2650" s="2"/>
      <c r="AB2650" s="672" t="s">
        <v>782</v>
      </c>
      <c r="AC2650" s="108" t="b">
        <f>AC2641</f>
        <v>0</v>
      </c>
      <c r="AD2650" s="108" t="b">
        <f t="shared" ref="AD2650:AI2650" si="1201">AD2641</f>
        <v>0</v>
      </c>
      <c r="AE2650" s="108" t="b">
        <f t="shared" si="1201"/>
        <v>0</v>
      </c>
      <c r="AF2650" s="108" t="b">
        <f t="shared" si="1201"/>
        <v>0</v>
      </c>
      <c r="AG2650" s="108" t="b">
        <f t="shared" si="1201"/>
        <v>0</v>
      </c>
      <c r="AH2650" s="108" t="b">
        <f t="shared" si="1201"/>
        <v>0</v>
      </c>
      <c r="AI2650" s="108" t="b">
        <f t="shared" si="1201"/>
        <v>0</v>
      </c>
      <c r="AJ2650" s="553" t="s">
        <v>2248</v>
      </c>
      <c r="AK2650" s="663" t="str">
        <f>IF(AND(CNTR_ExistSubInstEntries,MSconst_RequireSubAttrEmissions,COUNTIFS(AC2650:AI2650,FALSE,H2650:N2650,"")&gt;0),EUconst_Error&amp;"BM"&amp;$Q2429,"")</f>
        <v/>
      </c>
      <c r="AL2650" s="2"/>
    </row>
    <row r="2651" spans="1:38" ht="12.75" customHeight="1" x14ac:dyDescent="0.25">
      <c r="A2651" s="2"/>
      <c r="B2651" s="178"/>
      <c r="C2651" s="779"/>
      <c r="D2651" s="416" t="s">
        <v>863</v>
      </c>
      <c r="E2651" s="2612" t="str">
        <f>Translations!$B$318</f>
        <v>Effektivt värmevärde</v>
      </c>
      <c r="F2651" s="2487"/>
      <c r="G2651" s="51" t="str">
        <f>IF(ISBLANK(G2650),EUconst_GJperUnit,INDEX(EUconst_GJperTorKNm3,MATCH(G2650,EUconst_TonnesOrkNm3pa,0)))</f>
        <v>GJ / Enhet</v>
      </c>
      <c r="H2651" s="1306"/>
      <c r="I2651" s="1307"/>
      <c r="J2651" s="1308"/>
      <c r="K2651" s="1306"/>
      <c r="L2651" s="1306"/>
      <c r="M2651" s="1306"/>
      <c r="N2651" s="1309"/>
      <c r="O2651" s="15"/>
      <c r="P2651" s="1362"/>
      <c r="Q2651" s="2"/>
      <c r="R2651" s="2"/>
      <c r="S2651" s="343"/>
      <c r="T2651" s="343"/>
      <c r="U2651" s="343"/>
      <c r="V2651" s="343"/>
      <c r="W2651" s="343"/>
      <c r="X2651" s="343"/>
      <c r="Y2651" s="343"/>
      <c r="Z2651" s="343"/>
      <c r="AA2651" s="2"/>
      <c r="AB2651" s="2"/>
      <c r="AC2651" s="108" t="b">
        <f>AC2650</f>
        <v>0</v>
      </c>
      <c r="AD2651" s="108" t="b">
        <f t="shared" ref="AD2651:AI2651" si="1202">AD2650</f>
        <v>0</v>
      </c>
      <c r="AE2651" s="108" t="b">
        <f t="shared" si="1202"/>
        <v>0</v>
      </c>
      <c r="AF2651" s="108" t="b">
        <f t="shared" si="1202"/>
        <v>0</v>
      </c>
      <c r="AG2651" s="108" t="b">
        <f t="shared" si="1202"/>
        <v>0</v>
      </c>
      <c r="AH2651" s="108" t="b">
        <f t="shared" si="1202"/>
        <v>0</v>
      </c>
      <c r="AI2651" s="108" t="b">
        <f t="shared" si="1202"/>
        <v>0</v>
      </c>
      <c r="AJ2651" s="553" t="s">
        <v>2248</v>
      </c>
      <c r="AK2651" s="663" t="str">
        <f>IF(AND(CNTR_ExistSubInstEntries,MSconst_RequireSubAttrEmissions,COUNTIFS(AC2651:AI2651,FALSE,H2651:N2651,"")&gt;0),EUconst_Error&amp;"BM"&amp;$Q2429,"")</f>
        <v/>
      </c>
      <c r="AL2651" s="2"/>
    </row>
    <row r="2652" spans="1:38" ht="12.75" customHeight="1" x14ac:dyDescent="0.25">
      <c r="A2652" s="2"/>
      <c r="B2652" s="178"/>
      <c r="C2652" s="779"/>
      <c r="D2652" s="416" t="s">
        <v>72</v>
      </c>
      <c r="E2652" s="2613" t="str">
        <f>Translations!$B$623</f>
        <v>Förbrukad restgas</v>
      </c>
      <c r="F2652" s="1997"/>
      <c r="G2652" s="364" t="str">
        <f>EUconst_TJpa</f>
        <v>TJ / år</v>
      </c>
      <c r="H2652" s="414" t="str">
        <f t="shared" ref="H2652:N2652" si="1203">IF(COUNT(H2650:H2651)=2,H2650*H2651/1000,"")</f>
        <v/>
      </c>
      <c r="I2652" s="1108" t="str">
        <f t="shared" si="1203"/>
        <v/>
      </c>
      <c r="J2652" s="1114" t="str">
        <f t="shared" si="1203"/>
        <v/>
      </c>
      <c r="K2652" s="414" t="str">
        <f t="shared" si="1203"/>
        <v/>
      </c>
      <c r="L2652" s="414" t="str">
        <f t="shared" si="1203"/>
        <v/>
      </c>
      <c r="M2652" s="414" t="str">
        <f t="shared" si="1203"/>
        <v/>
      </c>
      <c r="N2652" s="1147" t="str">
        <f t="shared" si="1203"/>
        <v/>
      </c>
      <c r="O2652" s="15"/>
      <c r="P2652" s="15"/>
      <c r="Q2652" s="165" t="str">
        <f>EUconst_CNTR_WGConsumed &amp; I2429</f>
        <v>WasteGasCons_</v>
      </c>
      <c r="R2652" s="2"/>
      <c r="S2652" s="343"/>
      <c r="T2652" s="343"/>
      <c r="U2652" s="343"/>
      <c r="V2652" s="343"/>
      <c r="W2652" s="343"/>
      <c r="X2652" s="343"/>
      <c r="Y2652" s="343"/>
      <c r="Z2652" s="343"/>
      <c r="AA2652" s="2"/>
      <c r="AB2652" s="2"/>
      <c r="AC2652" s="2"/>
      <c r="AD2652" s="2"/>
      <c r="AE2652" s="2"/>
      <c r="AF2652" s="2"/>
      <c r="AG2652" s="2"/>
      <c r="AH2652" s="2"/>
      <c r="AI2652" s="2"/>
      <c r="AJ2652" s="2"/>
      <c r="AK2652" s="2"/>
      <c r="AL2652" s="2"/>
    </row>
    <row r="2653" spans="1:38" ht="12.75" customHeight="1" x14ac:dyDescent="0.25">
      <c r="A2653" s="2"/>
      <c r="B2653" s="178"/>
      <c r="C2653" s="779"/>
      <c r="D2653" s="416" t="s">
        <v>73</v>
      </c>
      <c r="E2653" s="2613" t="str">
        <f>Translations!$B$624</f>
        <v>Särskild emissionsfaktor (förbrukad restgas)</v>
      </c>
      <c r="F2653" s="1997"/>
      <c r="G2653" s="364" t="str">
        <f>EUconst_tCO2pTJ</f>
        <v>t CO2 / TJ</v>
      </c>
      <c r="H2653" s="582"/>
      <c r="I2653" s="1105"/>
      <c r="J2653" s="1115"/>
      <c r="K2653" s="582"/>
      <c r="L2653" s="582"/>
      <c r="M2653" s="582"/>
      <c r="N2653" s="1146"/>
      <c r="O2653" s="15"/>
      <c r="P2653" s="1362"/>
      <c r="Q2653" s="165" t="str">
        <f>EUconst_CNTR_WGConsumedEF &amp; I2429</f>
        <v>WasteGasConsEF_</v>
      </c>
      <c r="R2653" s="2"/>
      <c r="S2653" s="343"/>
      <c r="T2653" s="343"/>
      <c r="U2653" s="343"/>
      <c r="V2653" s="343"/>
      <c r="W2653" s="343"/>
      <c r="X2653" s="343"/>
      <c r="Y2653" s="343"/>
      <c r="Z2653" s="343"/>
      <c r="AA2653" s="2"/>
      <c r="AB2653" s="672" t="s">
        <v>782</v>
      </c>
      <c r="AC2653" s="108" t="b">
        <f>AC2651</f>
        <v>0</v>
      </c>
      <c r="AD2653" s="108" t="b">
        <f t="shared" ref="AD2653:AI2653" si="1204">AD2651</f>
        <v>0</v>
      </c>
      <c r="AE2653" s="108" t="b">
        <f t="shared" si="1204"/>
        <v>0</v>
      </c>
      <c r="AF2653" s="108" t="b">
        <f t="shared" si="1204"/>
        <v>0</v>
      </c>
      <c r="AG2653" s="108" t="b">
        <f t="shared" si="1204"/>
        <v>0</v>
      </c>
      <c r="AH2653" s="108" t="b">
        <f t="shared" si="1204"/>
        <v>0</v>
      </c>
      <c r="AI2653" s="108" t="b">
        <f t="shared" si="1204"/>
        <v>0</v>
      </c>
      <c r="AJ2653" s="553" t="s">
        <v>2248</v>
      </c>
      <c r="AK2653" s="663" t="str">
        <f>IF(AND(CNTR_ExistSubInstEntries,MSconst_RequireSubAttrEmissions,COUNTIFS(AC2653:AI2653,FALSE,H2653:N2653,"")&gt;0),EUconst_Error&amp;"BM"&amp;$Q2429,"")</f>
        <v/>
      </c>
      <c r="AL2653" s="2"/>
    </row>
    <row r="2654" spans="1:38" ht="12.75" customHeight="1" x14ac:dyDescent="0.25">
      <c r="A2654" s="2"/>
      <c r="B2654" s="178"/>
      <c r="C2654" s="779"/>
      <c r="D2654" s="780"/>
      <c r="E2654" s="780"/>
      <c r="F2654" s="780"/>
      <c r="G2654" s="780"/>
      <c r="H2654" s="1805"/>
      <c r="I2654" s="780"/>
      <c r="J2654" s="780"/>
      <c r="K2654" s="780"/>
      <c r="L2654" s="780"/>
      <c r="M2654" s="623"/>
      <c r="N2654" s="519"/>
      <c r="O2654" s="15"/>
      <c r="P2654" s="15"/>
      <c r="Q2654" s="343"/>
      <c r="R2654" s="2"/>
      <c r="S2654" s="343"/>
      <c r="T2654" s="343"/>
      <c r="U2654" s="343"/>
      <c r="V2654" s="343"/>
      <c r="W2654" s="2"/>
      <c r="X2654" s="2"/>
      <c r="Y2654" s="2"/>
      <c r="Z2654" s="2"/>
      <c r="AA2654" s="2"/>
      <c r="AB2654" s="2"/>
      <c r="AC2654" s="2"/>
      <c r="AD2654" s="2"/>
      <c r="AE2654" s="2"/>
      <c r="AF2654" s="2"/>
      <c r="AG2654" s="2"/>
      <c r="AH2654" s="2"/>
      <c r="AI2654" s="2"/>
      <c r="AJ2654" s="2"/>
      <c r="AK2654" s="2"/>
      <c r="AL2654" s="2"/>
    </row>
    <row r="2655" spans="1:38" ht="12.75" customHeight="1" x14ac:dyDescent="0.25">
      <c r="A2655" s="2"/>
      <c r="B2655" s="178"/>
      <c r="C2655" s="779"/>
      <c r="D2655" s="416" t="s">
        <v>74</v>
      </c>
      <c r="E2655" s="2614" t="str">
        <f>Translations!$B$625</f>
        <v>Facklade restgastyper:</v>
      </c>
      <c r="F2655" s="1960"/>
      <c r="G2655" s="1960"/>
      <c r="H2655" s="2520"/>
      <c r="I2655" s="2621"/>
      <c r="J2655" s="2510"/>
      <c r="K2655" s="2510"/>
      <c r="L2655" s="2510"/>
      <c r="M2655" s="2511"/>
      <c r="N2655" s="1807"/>
      <c r="O2655" s="15"/>
      <c r="P2655" s="1362"/>
      <c r="Q2655" s="343"/>
      <c r="R2655" s="2"/>
      <c r="S2655" s="343"/>
      <c r="T2655" s="2"/>
      <c r="U2655" s="2"/>
      <c r="V2655" s="2"/>
      <c r="W2655" s="2"/>
      <c r="X2655" s="2"/>
      <c r="Y2655" s="2"/>
      <c r="Z2655" s="2"/>
      <c r="AA2655" s="2"/>
      <c r="AB2655" s="2"/>
      <c r="AC2655" s="672" t="s">
        <v>782</v>
      </c>
      <c r="AD2655" s="108" t="b">
        <f>AD2646</f>
        <v>0</v>
      </c>
      <c r="AE2655" s="2"/>
      <c r="AF2655" s="2"/>
      <c r="AG2655" s="2"/>
      <c r="AH2655" s="2"/>
      <c r="AI2655" s="2"/>
      <c r="AJ2655" s="2"/>
      <c r="AK2655" s="2"/>
      <c r="AL2655" s="2"/>
    </row>
    <row r="2656" spans="1:38" ht="12.75" customHeight="1" x14ac:dyDescent="0.25">
      <c r="A2656" s="2"/>
      <c r="B2656" s="178"/>
      <c r="C2656" s="779"/>
      <c r="D2656" s="416"/>
      <c r="E2656" s="2610" t="str">
        <f>Translations!$B$626</f>
        <v>Detta innefattar alla restgastyper som i slutändan blir föremål för annan fackling än säkerhetsfackling, antingen inom eller utanför delanläggningen.</v>
      </c>
      <c r="F2656" s="1960"/>
      <c r="G2656" s="1960"/>
      <c r="H2656" s="1960"/>
      <c r="I2656" s="1960"/>
      <c r="J2656" s="1960"/>
      <c r="K2656" s="1960"/>
      <c r="L2656" s="1960"/>
      <c r="M2656" s="1960"/>
      <c r="N2656" s="2597"/>
      <c r="O2656" s="15"/>
      <c r="P2656" s="15"/>
      <c r="Q2656" s="343"/>
      <c r="R2656" s="2"/>
      <c r="S2656" s="2"/>
      <c r="T2656" s="343"/>
      <c r="U2656" s="343"/>
      <c r="V2656" s="343"/>
      <c r="W2656" s="2"/>
      <c r="X2656" s="2"/>
      <c r="Y2656" s="2"/>
      <c r="Z2656" s="2"/>
      <c r="AA2656" s="2"/>
      <c r="AB2656" s="2"/>
      <c r="AC2656" s="2"/>
      <c r="AD2656" s="2"/>
      <c r="AE2656" s="2"/>
      <c r="AF2656" s="2"/>
      <c r="AG2656" s="2"/>
      <c r="AH2656" s="2"/>
      <c r="AI2656" s="2"/>
      <c r="AJ2656" s="2"/>
      <c r="AK2656" s="2"/>
      <c r="AL2656" s="2"/>
    </row>
    <row r="2657" spans="1:38" ht="12.75" customHeight="1" x14ac:dyDescent="0.25">
      <c r="A2657" s="2"/>
      <c r="B2657" s="178"/>
      <c r="C2657" s="779"/>
      <c r="D2657" s="780"/>
      <c r="E2657" s="2610" t="str">
        <f>Translations!$B$627</f>
        <v>De uppgifter som anges här används bara i konsekvenskontrollsyfte och får ingen direkt påverkan på de utsläpp som kan tillskrivas.</v>
      </c>
      <c r="F2657" s="1960"/>
      <c r="G2657" s="1960"/>
      <c r="H2657" s="1960"/>
      <c r="I2657" s="1960"/>
      <c r="J2657" s="1960"/>
      <c r="K2657" s="1960"/>
      <c r="L2657" s="1960"/>
      <c r="M2657" s="1960"/>
      <c r="N2657" s="2597"/>
      <c r="O2657" s="15"/>
      <c r="P2657" s="15"/>
      <c r="Q2657" s="343"/>
      <c r="R2657" s="2"/>
      <c r="S2657" s="343"/>
      <c r="T2657" s="343"/>
      <c r="U2657" s="343"/>
      <c r="V2657" s="343"/>
      <c r="W2657" s="2"/>
      <c r="X2657" s="2"/>
      <c r="Y2657" s="2"/>
      <c r="Z2657" s="2"/>
      <c r="AA2657" s="2"/>
      <c r="AB2657" s="2"/>
      <c r="AC2657" s="2"/>
      <c r="AD2657" s="2"/>
      <c r="AE2657" s="2"/>
      <c r="AF2657" s="2"/>
      <c r="AG2657" s="2"/>
      <c r="AH2657" s="2"/>
      <c r="AI2657" s="2"/>
      <c r="AJ2657" s="2"/>
      <c r="AK2657" s="2"/>
      <c r="AL2657" s="2"/>
    </row>
    <row r="2658" spans="1:38" ht="12.75" customHeight="1" x14ac:dyDescent="0.25">
      <c r="A2658" s="2"/>
      <c r="B2658" s="178"/>
      <c r="C2658" s="779"/>
      <c r="D2658" s="780"/>
      <c r="E2658" s="2596" t="str">
        <f>Translations!$B$628</f>
        <v>Från och med 2026 kommer dock tilldelningen att minskas med avseende på annan fackling av restgaser än säkerhetsfackling.</v>
      </c>
      <c r="F2658" s="1960"/>
      <c r="G2658" s="1960"/>
      <c r="H2658" s="1960"/>
      <c r="I2658" s="1960"/>
      <c r="J2658" s="1960"/>
      <c r="K2658" s="1960"/>
      <c r="L2658" s="1960"/>
      <c r="M2658" s="1960"/>
      <c r="N2658" s="2597"/>
      <c r="O2658" s="15"/>
      <c r="P2658" s="15"/>
      <c r="Q2658" s="343"/>
      <c r="R2658" s="2"/>
      <c r="S2658" s="343"/>
      <c r="T2658" s="343"/>
      <c r="U2658" s="343"/>
      <c r="V2658" s="343"/>
      <c r="W2658" s="343"/>
      <c r="X2658" s="343"/>
      <c r="Y2658" s="343"/>
      <c r="Z2658" s="343"/>
      <c r="AA2658" s="2"/>
      <c r="AB2658" s="2"/>
      <c r="AC2658" s="2"/>
      <c r="AD2658" s="2"/>
      <c r="AE2658" s="2"/>
      <c r="AF2658" s="2"/>
      <c r="AG2658" s="2"/>
      <c r="AH2658" s="2"/>
      <c r="AI2658" s="2"/>
      <c r="AJ2658" s="2"/>
      <c r="AK2658" s="2"/>
      <c r="AL2658" s="2"/>
    </row>
    <row r="2659" spans="1:38" ht="12.75" customHeight="1" thickBot="1" x14ac:dyDescent="0.3">
      <c r="A2659" s="2"/>
      <c r="B2659" s="178"/>
      <c r="C2659" s="779"/>
      <c r="D2659" s="780"/>
      <c r="E2659" s="1716"/>
      <c r="F2659" s="1717"/>
      <c r="G2659" s="361" t="str">
        <f>EUconst_Unit</f>
        <v>Enhet</v>
      </c>
      <c r="H2659" s="362">
        <f t="shared" ref="H2659:N2659" si="1205">H$3042</f>
        <v>2019</v>
      </c>
      <c r="I2659" s="1103">
        <f t="shared" si="1205"/>
        <v>2020</v>
      </c>
      <c r="J2659" s="1104">
        <f t="shared" si="1205"/>
        <v>2021</v>
      </c>
      <c r="K2659" s="362">
        <f t="shared" si="1205"/>
        <v>2022</v>
      </c>
      <c r="L2659" s="362">
        <f t="shared" si="1205"/>
        <v>2023</v>
      </c>
      <c r="M2659" s="362">
        <f t="shared" si="1205"/>
        <v>2024</v>
      </c>
      <c r="N2659" s="1141">
        <f t="shared" si="1205"/>
        <v>2025</v>
      </c>
      <c r="O2659" s="15"/>
      <c r="P2659" s="15"/>
      <c r="Q2659" s="343"/>
      <c r="R2659" s="2"/>
      <c r="S2659" s="343"/>
      <c r="T2659" s="343"/>
      <c r="U2659" s="343"/>
      <c r="V2659" s="343"/>
      <c r="W2659" s="343"/>
      <c r="X2659" s="343"/>
      <c r="Y2659" s="343"/>
      <c r="Z2659" s="343"/>
      <c r="AA2659" s="2"/>
      <c r="AB2659" s="2"/>
      <c r="AC2659" s="1044">
        <f t="shared" ref="AC2659:AI2659" si="1206">H$20</f>
        <v>2019</v>
      </c>
      <c r="AD2659" s="1044">
        <f t="shared" si="1206"/>
        <v>2020</v>
      </c>
      <c r="AE2659" s="1044">
        <f t="shared" si="1206"/>
        <v>2021</v>
      </c>
      <c r="AF2659" s="1044">
        <f t="shared" si="1206"/>
        <v>2022</v>
      </c>
      <c r="AG2659" s="1044">
        <f t="shared" si="1206"/>
        <v>2023</v>
      </c>
      <c r="AH2659" s="1044">
        <f t="shared" si="1206"/>
        <v>2024</v>
      </c>
      <c r="AI2659" s="1044">
        <f t="shared" si="1206"/>
        <v>2025</v>
      </c>
      <c r="AJ2659" s="2"/>
      <c r="AK2659" s="2"/>
      <c r="AL2659" s="2"/>
    </row>
    <row r="2660" spans="1:38" ht="12.75" customHeight="1" x14ac:dyDescent="0.25">
      <c r="A2660" s="2"/>
      <c r="B2660" s="178"/>
      <c r="C2660" s="779"/>
      <c r="D2660" s="416" t="s">
        <v>1201</v>
      </c>
      <c r="E2660" s="2611" t="str">
        <f>Translations!$B$629</f>
        <v>Facklade mängder</v>
      </c>
      <c r="F2660" s="2484"/>
      <c r="G2660" s="1314" t="s">
        <v>2202</v>
      </c>
      <c r="H2660" s="1298"/>
      <c r="I2660" s="1299"/>
      <c r="J2660" s="1300"/>
      <c r="K2660" s="1298"/>
      <c r="L2660" s="1298"/>
      <c r="M2660" s="1298"/>
      <c r="N2660" s="1301"/>
      <c r="O2660" s="15"/>
      <c r="P2660" s="1362"/>
      <c r="Q2660" s="343"/>
      <c r="R2660" s="2"/>
      <c r="S2660" s="343"/>
      <c r="T2660" s="343"/>
      <c r="U2660" s="343"/>
      <c r="V2660" s="343"/>
      <c r="W2660" s="343"/>
      <c r="X2660" s="343"/>
      <c r="Y2660" s="343"/>
      <c r="Z2660" s="343"/>
      <c r="AA2660" s="2"/>
      <c r="AB2660" s="672" t="s">
        <v>782</v>
      </c>
      <c r="AC2660" s="108" t="b">
        <f>AC2650</f>
        <v>0</v>
      </c>
      <c r="AD2660" s="108" t="b">
        <f t="shared" ref="AD2660:AI2660" si="1207">AD2650</f>
        <v>0</v>
      </c>
      <c r="AE2660" s="108" t="b">
        <f t="shared" si="1207"/>
        <v>0</v>
      </c>
      <c r="AF2660" s="108" t="b">
        <f t="shared" si="1207"/>
        <v>0</v>
      </c>
      <c r="AG2660" s="108" t="b">
        <f t="shared" si="1207"/>
        <v>0</v>
      </c>
      <c r="AH2660" s="108" t="b">
        <f t="shared" si="1207"/>
        <v>0</v>
      </c>
      <c r="AI2660" s="108" t="b">
        <f t="shared" si="1207"/>
        <v>0</v>
      </c>
      <c r="AJ2660" s="553" t="s">
        <v>2248</v>
      </c>
      <c r="AK2660" s="663" t="str">
        <f>IF(AND(CNTR_ExistSubInstEntries,MSconst_RequireSubAttrEmissions,COUNTIFS(AC2660:AI2660,FALSE,H2660:N2660,"")&gt;0),EUconst_Error&amp;"BM"&amp;$Q2429,"")</f>
        <v/>
      </c>
      <c r="AL2660" s="2"/>
    </row>
    <row r="2661" spans="1:38" ht="12.75" customHeight="1" x14ac:dyDescent="0.25">
      <c r="A2661" s="2"/>
      <c r="B2661" s="178"/>
      <c r="C2661" s="779"/>
      <c r="D2661" s="416" t="s">
        <v>1202</v>
      </c>
      <c r="E2661" s="2612" t="str">
        <f>Translations!$B$318</f>
        <v>Effektivt värmevärde</v>
      </c>
      <c r="F2661" s="2487"/>
      <c r="G2661" s="51" t="e">
        <f>IF(ISBLANK(G2660),EUconst_GJperUnit,INDEX(EUconst_GJperTorKNm3,MATCH(G2660,EUconst_TonnesOrkNm3pa,0)))</f>
        <v>#N/A</v>
      </c>
      <c r="H2661" s="1306"/>
      <c r="I2661" s="1307"/>
      <c r="J2661" s="1308"/>
      <c r="K2661" s="1306"/>
      <c r="L2661" s="1306"/>
      <c r="M2661" s="1306"/>
      <c r="N2661" s="1309"/>
      <c r="O2661" s="15"/>
      <c r="P2661" s="1362"/>
      <c r="Q2661" s="2"/>
      <c r="R2661" s="2"/>
      <c r="S2661" s="343"/>
      <c r="T2661" s="343"/>
      <c r="U2661" s="343"/>
      <c r="V2661" s="343"/>
      <c r="W2661" s="343"/>
      <c r="X2661" s="343"/>
      <c r="Y2661" s="343"/>
      <c r="Z2661" s="343"/>
      <c r="AA2661" s="2"/>
      <c r="AB2661" s="2"/>
      <c r="AC2661" s="108" t="b">
        <f>AC2660</f>
        <v>0</v>
      </c>
      <c r="AD2661" s="108" t="b">
        <f t="shared" ref="AD2661:AI2661" si="1208">AD2660</f>
        <v>0</v>
      </c>
      <c r="AE2661" s="108" t="b">
        <f t="shared" si="1208"/>
        <v>0</v>
      </c>
      <c r="AF2661" s="108" t="b">
        <f t="shared" si="1208"/>
        <v>0</v>
      </c>
      <c r="AG2661" s="108" t="b">
        <f t="shared" si="1208"/>
        <v>0</v>
      </c>
      <c r="AH2661" s="108" t="b">
        <f t="shared" si="1208"/>
        <v>0</v>
      </c>
      <c r="AI2661" s="108" t="b">
        <f t="shared" si="1208"/>
        <v>0</v>
      </c>
      <c r="AJ2661" s="553" t="s">
        <v>2248</v>
      </c>
      <c r="AK2661" s="663" t="str">
        <f>IF(AND(CNTR_ExistSubInstEntries,MSconst_RequireSubAttrEmissions,COUNTIFS(AC2661:AI2661,FALSE,H2661:N2661,"")&gt;0),EUconst_Error&amp;"BM"&amp;$Q2429,"")</f>
        <v/>
      </c>
      <c r="AL2661" s="2"/>
    </row>
    <row r="2662" spans="1:38" ht="12.75" customHeight="1" x14ac:dyDescent="0.25">
      <c r="A2662" s="2"/>
      <c r="B2662" s="178"/>
      <c r="C2662" s="779"/>
      <c r="D2662" s="416" t="s">
        <v>1203</v>
      </c>
      <c r="E2662" s="2613" t="str">
        <f>Translations!$B$630</f>
        <v>Facklad restgas</v>
      </c>
      <c r="F2662" s="1997"/>
      <c r="G2662" s="364" t="str">
        <f>EUconst_TJpa</f>
        <v>TJ / år</v>
      </c>
      <c r="H2662" s="414" t="str">
        <f t="shared" ref="H2662:N2662" si="1209">IF(COUNT(H2660:H2661)=2,H2660*H2661/1000,"")</f>
        <v/>
      </c>
      <c r="I2662" s="1108" t="str">
        <f t="shared" si="1209"/>
        <v/>
      </c>
      <c r="J2662" s="1114" t="str">
        <f t="shared" si="1209"/>
        <v/>
      </c>
      <c r="K2662" s="414" t="str">
        <f t="shared" si="1209"/>
        <v/>
      </c>
      <c r="L2662" s="414" t="str">
        <f t="shared" si="1209"/>
        <v/>
      </c>
      <c r="M2662" s="414" t="str">
        <f t="shared" si="1209"/>
        <v/>
      </c>
      <c r="N2662" s="1147" t="str">
        <f t="shared" si="1209"/>
        <v/>
      </c>
      <c r="O2662" s="15"/>
      <c r="P2662" s="15"/>
      <c r="Q2662" s="165" t="str">
        <f>EUconst_CNTR_WGFlared &amp; I2429</f>
        <v>WasteGasFlare_</v>
      </c>
      <c r="R2662" s="2"/>
      <c r="S2662" s="343"/>
      <c r="T2662" s="343"/>
      <c r="U2662" s="343"/>
      <c r="V2662" s="343"/>
      <c r="W2662" s="343"/>
      <c r="X2662" s="343"/>
      <c r="Y2662" s="343"/>
      <c r="Z2662" s="343"/>
      <c r="AA2662" s="2"/>
      <c r="AB2662" s="2"/>
      <c r="AC2662" s="2"/>
      <c r="AD2662" s="2"/>
      <c r="AE2662" s="2"/>
      <c r="AF2662" s="2"/>
      <c r="AG2662" s="2"/>
      <c r="AH2662" s="2"/>
      <c r="AI2662" s="2"/>
      <c r="AJ2662" s="2"/>
      <c r="AK2662" s="2"/>
      <c r="AL2662" s="2"/>
    </row>
    <row r="2663" spans="1:38" ht="12.75" customHeight="1" x14ac:dyDescent="0.25">
      <c r="A2663" s="2"/>
      <c r="B2663" s="178"/>
      <c r="C2663" s="779"/>
      <c r="D2663" s="416" t="s">
        <v>1204</v>
      </c>
      <c r="E2663" s="2613" t="str">
        <f>Translations!$B$631</f>
        <v>Särskild emissionsfaktor (facklad restgas)</v>
      </c>
      <c r="F2663" s="1997"/>
      <c r="G2663" s="364" t="str">
        <f>EUconst_tCO2pTJ</f>
        <v>t CO2 / TJ</v>
      </c>
      <c r="H2663" s="582"/>
      <c r="I2663" s="1105"/>
      <c r="J2663" s="1115"/>
      <c r="K2663" s="582"/>
      <c r="L2663" s="582"/>
      <c r="M2663" s="582"/>
      <c r="N2663" s="1146"/>
      <c r="O2663" s="15"/>
      <c r="P2663" s="1362"/>
      <c r="Q2663" s="165" t="str">
        <f>EUconst_CNTR_WGFlaredEF &amp; I2429</f>
        <v>WasteGasFlareEF_</v>
      </c>
      <c r="R2663" s="2"/>
      <c r="S2663" s="343"/>
      <c r="T2663" s="343"/>
      <c r="U2663" s="343"/>
      <c r="V2663" s="343"/>
      <c r="W2663" s="343"/>
      <c r="X2663" s="343"/>
      <c r="Y2663" s="343"/>
      <c r="Z2663" s="343"/>
      <c r="AA2663" s="2"/>
      <c r="AB2663" s="672" t="s">
        <v>782</v>
      </c>
      <c r="AC2663" s="108" t="b">
        <f>AC2661</f>
        <v>0</v>
      </c>
      <c r="AD2663" s="108" t="b">
        <f t="shared" ref="AD2663:AI2663" si="1210">AD2661</f>
        <v>0</v>
      </c>
      <c r="AE2663" s="108" t="b">
        <f t="shared" si="1210"/>
        <v>0</v>
      </c>
      <c r="AF2663" s="108" t="b">
        <f t="shared" si="1210"/>
        <v>0</v>
      </c>
      <c r="AG2663" s="108" t="b">
        <f t="shared" si="1210"/>
        <v>0</v>
      </c>
      <c r="AH2663" s="108" t="b">
        <f t="shared" si="1210"/>
        <v>0</v>
      </c>
      <c r="AI2663" s="108" t="b">
        <f t="shared" si="1210"/>
        <v>0</v>
      </c>
      <c r="AJ2663" s="553" t="s">
        <v>2248</v>
      </c>
      <c r="AK2663" s="663" t="str">
        <f>IF(AND(CNTR_ExistSubInstEntries,MSconst_RequireSubAttrEmissions,COUNTIFS(AC2663:AI2663,FALSE,H2663:N2663,"")&gt;0),EUconst_Error&amp;"BM"&amp;$Q2429,"")</f>
        <v/>
      </c>
      <c r="AL2663" s="2"/>
    </row>
    <row r="2664" spans="1:38" ht="5.15" customHeight="1" thickBot="1" x14ac:dyDescent="0.3">
      <c r="A2664" s="2"/>
      <c r="B2664" s="178"/>
      <c r="C2664" s="779"/>
      <c r="D2664" s="780"/>
      <c r="E2664" s="780"/>
      <c r="F2664" s="780"/>
      <c r="G2664" s="780"/>
      <c r="H2664" s="1805"/>
      <c r="I2664" s="780"/>
      <c r="J2664" s="780"/>
      <c r="K2664" s="780"/>
      <c r="L2664" s="780"/>
      <c r="M2664" s="623"/>
      <c r="N2664" s="519"/>
      <c r="O2664" s="15"/>
      <c r="P2664" s="15"/>
      <c r="Q2664" s="343"/>
      <c r="R2664" s="2"/>
      <c r="S2664" s="343"/>
      <c r="T2664" s="343"/>
      <c r="U2664" s="343"/>
      <c r="V2664" s="343"/>
      <c r="W2664" s="2"/>
      <c r="X2664" s="2"/>
      <c r="Y2664" s="2"/>
      <c r="Z2664" s="2"/>
      <c r="AA2664" s="2"/>
      <c r="AB2664" s="2"/>
      <c r="AC2664" s="2"/>
      <c r="AD2664" s="2"/>
      <c r="AE2664" s="2"/>
      <c r="AF2664" s="2"/>
      <c r="AG2664" s="2"/>
      <c r="AH2664" s="2"/>
      <c r="AI2664" s="2"/>
      <c r="AJ2664" s="2"/>
      <c r="AK2664" s="2"/>
      <c r="AL2664" s="2"/>
    </row>
    <row r="2665" spans="1:38" ht="12.75" customHeight="1" thickBot="1" x14ac:dyDescent="0.3">
      <c r="A2665" s="2"/>
      <c r="B2665" s="178"/>
      <c r="C2665" s="779"/>
      <c r="D2665" s="780"/>
      <c r="E2665" s="2613" t="str">
        <f>Translations!$B$1484</f>
        <v>Mängd facklad restgas</v>
      </c>
      <c r="F2665" s="2613"/>
      <c r="G2665" s="1206" t="str">
        <f>EUconst_tCO2</f>
        <v>t CO2</v>
      </c>
      <c r="H2665" s="626" t="str">
        <f t="shared" ref="H2665:N2665" si="1211">IF(T2437,SUM(H2662)*SUM(H2663),"")</f>
        <v/>
      </c>
      <c r="I2665" s="1364" t="str">
        <f t="shared" si="1211"/>
        <v/>
      </c>
      <c r="J2665" s="1365" t="str">
        <f t="shared" si="1211"/>
        <v/>
      </c>
      <c r="K2665" s="626" t="str">
        <f t="shared" si="1211"/>
        <v/>
      </c>
      <c r="L2665" s="626" t="str">
        <f t="shared" si="1211"/>
        <v/>
      </c>
      <c r="M2665" s="626" t="str">
        <f t="shared" si="1211"/>
        <v/>
      </c>
      <c r="N2665" s="626" t="str">
        <f t="shared" si="1211"/>
        <v/>
      </c>
      <c r="O2665" s="15"/>
      <c r="P2665" s="15"/>
      <c r="Q2665" s="165" t="str">
        <f>EUconst_CNTR_HAL &amp; EUconst_CNTR_WGFlared &amp; I2429</f>
        <v>HAL_WasteGasFlare_</v>
      </c>
      <c r="R2665" s="2"/>
      <c r="S2665" s="553" t="s">
        <v>1962</v>
      </c>
      <c r="T2665" s="445" t="b">
        <f>CNTR_SubPeriod=2</f>
        <v>1</v>
      </c>
      <c r="U2665" s="343"/>
      <c r="V2665" s="343"/>
      <c r="W2665" s="2"/>
      <c r="X2665" s="2"/>
      <c r="Y2665" s="2"/>
      <c r="Z2665" s="2"/>
      <c r="AA2665" s="2"/>
      <c r="AB2665" s="2"/>
      <c r="AC2665" s="2"/>
      <c r="AD2665" s="2"/>
      <c r="AE2665" s="2"/>
      <c r="AF2665" s="2"/>
      <c r="AG2665" s="2"/>
      <c r="AH2665" s="2"/>
      <c r="AI2665" s="2"/>
      <c r="AJ2665" s="2"/>
      <c r="AK2665" s="2"/>
      <c r="AL2665" s="2"/>
    </row>
    <row r="2666" spans="1:38" ht="5.15" customHeight="1" thickBot="1" x14ac:dyDescent="0.3">
      <c r="A2666" s="2"/>
      <c r="B2666" s="178"/>
      <c r="C2666" s="779"/>
      <c r="D2666" s="780"/>
      <c r="E2666" s="780"/>
      <c r="F2666" s="780"/>
      <c r="G2666" s="780"/>
      <c r="H2666" s="1805"/>
      <c r="I2666" s="780"/>
      <c r="J2666" s="780"/>
      <c r="K2666" s="780"/>
      <c r="L2666" s="780"/>
      <c r="M2666" s="623"/>
      <c r="N2666" s="519"/>
      <c r="O2666" s="15"/>
      <c r="P2666" s="15"/>
      <c r="Q2666" s="343"/>
      <c r="R2666" s="2"/>
      <c r="S2666" s="343"/>
      <c r="T2666" s="343"/>
      <c r="U2666" s="343"/>
      <c r="V2666" s="343"/>
      <c r="W2666" s="2"/>
      <c r="X2666" s="2"/>
      <c r="Y2666" s="2"/>
      <c r="Z2666" s="2"/>
      <c r="AA2666" s="2"/>
      <c r="AB2666" s="2"/>
      <c r="AC2666" s="2"/>
      <c r="AD2666" s="2"/>
      <c r="AE2666" s="2"/>
      <c r="AF2666" s="2"/>
      <c r="AG2666" s="2"/>
      <c r="AH2666" s="2"/>
      <c r="AI2666" s="2"/>
      <c r="AJ2666" s="2"/>
      <c r="AK2666" s="2"/>
      <c r="AL2666" s="2"/>
    </row>
    <row r="2667" spans="1:38" ht="5.15" customHeight="1" thickBot="1" x14ac:dyDescent="0.3">
      <c r="A2667" s="2"/>
      <c r="B2667" s="178"/>
      <c r="C2667" s="779"/>
      <c r="D2667" s="1263"/>
      <c r="E2667" s="1264"/>
      <c r="F2667" s="1264"/>
      <c r="G2667" s="1264"/>
      <c r="H2667" s="1265"/>
      <c r="I2667" s="1264"/>
      <c r="J2667" s="1264"/>
      <c r="K2667" s="1264"/>
      <c r="L2667" s="1264"/>
      <c r="M2667" s="1266"/>
      <c r="N2667" s="1267"/>
      <c r="O2667" s="15"/>
      <c r="P2667" s="15"/>
      <c r="Q2667" s="343"/>
      <c r="R2667" s="2"/>
      <c r="S2667" s="343"/>
      <c r="T2667" s="343"/>
      <c r="U2667" s="343"/>
      <c r="V2667" s="343"/>
      <c r="W2667" s="2"/>
      <c r="X2667" s="2"/>
      <c r="Y2667" s="2"/>
      <c r="Z2667" s="2"/>
      <c r="AA2667" s="2"/>
      <c r="AB2667" s="2"/>
      <c r="AC2667" s="2"/>
      <c r="AD2667" s="2"/>
      <c r="AE2667" s="2"/>
      <c r="AF2667" s="2"/>
      <c r="AG2667" s="2"/>
      <c r="AH2667" s="2"/>
      <c r="AI2667" s="2"/>
      <c r="AJ2667" s="2"/>
      <c r="AK2667" s="2"/>
      <c r="AL2667" s="2"/>
    </row>
    <row r="2668" spans="1:38" ht="12.75" customHeight="1" x14ac:dyDescent="0.25">
      <c r="A2668" s="2"/>
      <c r="B2668" s="178"/>
      <c r="C2668" s="779"/>
      <c r="D2668" s="1290" t="s">
        <v>2193</v>
      </c>
      <c r="E2668" s="2619" t="str">
        <f>Translations!$B$1485</f>
        <v>Justeringar: facklad restgas</v>
      </c>
      <c r="F2668" s="2497"/>
      <c r="G2668" s="2497"/>
      <c r="H2668" s="1228" t="str">
        <f>EUconst_Unit</f>
        <v>Enhet</v>
      </c>
      <c r="I2668" s="1229" t="str">
        <f>Translations!$B$1481</f>
        <v>Värde (NIMs)</v>
      </c>
      <c r="J2668" s="1268">
        <f>J$3042</f>
        <v>2021</v>
      </c>
      <c r="K2668" s="1230">
        <f>K$3042</f>
        <v>2022</v>
      </c>
      <c r="L2668" s="1230">
        <f>L$3042</f>
        <v>2023</v>
      </c>
      <c r="M2668" s="1230">
        <f>M$3042</f>
        <v>2024</v>
      </c>
      <c r="N2668" s="1258">
        <f>N$3042</f>
        <v>2025</v>
      </c>
      <c r="O2668" s="15"/>
      <c r="P2668" s="15"/>
      <c r="Q2668" s="343"/>
      <c r="R2668" s="2"/>
      <c r="S2668" s="2"/>
      <c r="T2668" s="2"/>
      <c r="U2668" s="772"/>
      <c r="V2668" s="1077">
        <f>J2668</f>
        <v>2021</v>
      </c>
      <c r="W2668" s="1077">
        <f>K2668</f>
        <v>2022</v>
      </c>
      <c r="X2668" s="1077">
        <f>L2668</f>
        <v>2023</v>
      </c>
      <c r="Y2668" s="1077">
        <f>M2668</f>
        <v>2024</v>
      </c>
      <c r="Z2668" s="1078">
        <f>N2668</f>
        <v>2025</v>
      </c>
      <c r="AA2668" s="2"/>
      <c r="AB2668" s="2"/>
      <c r="AC2668" s="2"/>
      <c r="AD2668" s="2"/>
      <c r="AE2668" s="2"/>
      <c r="AF2668" s="2"/>
      <c r="AG2668" s="2"/>
      <c r="AH2668" s="2"/>
      <c r="AI2668" s="2"/>
      <c r="AJ2668" s="2"/>
      <c r="AK2668" s="2"/>
      <c r="AL2668" s="2"/>
    </row>
    <row r="2669" spans="1:38" ht="12.75" customHeight="1" x14ac:dyDescent="0.25">
      <c r="A2669" s="2"/>
      <c r="B2669" s="178"/>
      <c r="C2669" s="779"/>
      <c r="D2669" s="1246" t="s">
        <v>8</v>
      </c>
      <c r="E2669" s="2618" t="str">
        <f>Translations!$B$1482</f>
        <v>Genomsnittligt årligt värde</v>
      </c>
      <c r="F2669" s="1997"/>
      <c r="G2669" s="1997"/>
      <c r="H2669" s="1232" t="str">
        <f>G2665</f>
        <v>t CO2</v>
      </c>
      <c r="I2669" s="990" t="str">
        <f>INDEX('B+C_SubInstallations'!$K:$K,MATCH(Q2669,'B+C_SubInstallations'!$V:$V,0))</f>
        <v/>
      </c>
      <c r="J2669" s="1215" t="str">
        <f>IF($T2665&lt;&gt;TRUE,"",IF(AND(V2669&gt;=3,CNTR_ReportingYear&gt;J2668-1),AVERAGE(SUM(H2665),SUM(I2665)),""))</f>
        <v/>
      </c>
      <c r="K2669" s="1216" t="str">
        <f>IF($T2665&lt;&gt;TRUE,"",IF(AND(W2669&gt;=3,CNTR_ReportingYear&gt;K2668-1),AVERAGE(SUM(I2665),SUM(J2665)),""))</f>
        <v/>
      </c>
      <c r="L2669" s="1216" t="str">
        <f>IF($T2665&lt;&gt;TRUE,"",IF(AND(X2669&gt;=3,CNTR_ReportingYear&gt;L2668-1),AVERAGE(SUM(J2665),SUM(K2665)),""))</f>
        <v/>
      </c>
      <c r="M2669" s="1216" t="str">
        <f>IF($T2665&lt;&gt;TRUE,"",IF(AND(Y2669&gt;=3,CNTR_ReportingYear&gt;M2668-1),AVERAGE(SUM(K2665),SUM(L2665)),""))</f>
        <v/>
      </c>
      <c r="N2669" s="1227" t="str">
        <f>IF($T2665&lt;&gt;TRUE,"",IF(AND(Z2669&gt;=3,CNTR_ReportingYear&gt;N2668-1),AVERAGE(SUM(L2665),SUM(M2665)),""))</f>
        <v/>
      </c>
      <c r="O2669" s="15"/>
      <c r="P2669" s="15"/>
      <c r="Q2669" s="165" t="str">
        <f>EUconst_CNTR_HALinitial &amp; EUconst_CNTR_WGFlared &amp; I2429</f>
        <v>HALini_WasteGasFlare_</v>
      </c>
      <c r="R2669" s="2"/>
      <c r="S2669" s="2"/>
      <c r="T2669" s="2"/>
      <c r="U2669" s="1079" t="s">
        <v>1850</v>
      </c>
      <c r="V2669" s="663">
        <f>V2451</f>
        <v>0</v>
      </c>
      <c r="W2669" s="663">
        <f>W2451</f>
        <v>0</v>
      </c>
      <c r="X2669" s="663">
        <f>X2451</f>
        <v>0</v>
      </c>
      <c r="Y2669" s="663">
        <f>Y2451</f>
        <v>0</v>
      </c>
      <c r="Z2669" s="1080">
        <f>Z2451</f>
        <v>0</v>
      </c>
      <c r="AA2669" s="2"/>
      <c r="AB2669" s="2"/>
      <c r="AC2669" s="2"/>
      <c r="AD2669" s="2"/>
      <c r="AE2669" s="2"/>
      <c r="AF2669" s="2"/>
      <c r="AG2669" s="2"/>
      <c r="AH2669" s="2"/>
      <c r="AI2669" s="2"/>
      <c r="AJ2669" s="2"/>
      <c r="AK2669" s="2"/>
      <c r="AL2669" s="2"/>
    </row>
    <row r="2670" spans="1:38" ht="12.75" hidden="1" customHeight="1" x14ac:dyDescent="0.25">
      <c r="A2670" s="343" t="s">
        <v>346</v>
      </c>
      <c r="B2670" s="178"/>
      <c r="C2670" s="779"/>
      <c r="D2670" s="1246"/>
      <c r="E2670" s="2618" t="s">
        <v>1980</v>
      </c>
      <c r="F2670" s="1997"/>
      <c r="G2670" s="1997"/>
      <c r="H2670" s="1233"/>
      <c r="I2670" s="1235"/>
      <c r="J2670" s="1013" t="str">
        <f>IF(J2669="","",IF($I2672=0,IF(J2669=0,0%,100%),J2669/$I2672-1))</f>
        <v/>
      </c>
      <c r="K2670" s="938" t="str">
        <f>IF(K2669="","",IF($I2672=0,IF(K2669=0,0%,100%),K2669/$I2672-1))</f>
        <v/>
      </c>
      <c r="L2670" s="938" t="str">
        <f>IF(L2669="","",IF($I2672=0,IF(L2669=0,0%,100%),L2669/$I2672-1))</f>
        <v/>
      </c>
      <c r="M2670" s="938" t="str">
        <f>IF(M2669="","",IF($I2672=0,IF(M2669=0,0%,100%),M2669/$I2672-1))</f>
        <v/>
      </c>
      <c r="N2670" s="1223" t="str">
        <f>IF(N2669="","",IF($I2672=0,IF(N2669=0,0%,100%),N2669/$I2672-1))</f>
        <v/>
      </c>
      <c r="O2670" s="15"/>
      <c r="P2670" s="15"/>
      <c r="Q2670" s="165" t="str">
        <f>EUconst_CNTR_RelThreshold &amp; Q2672</f>
        <v>RelThresh_HALprelim_WasteGasFlare_</v>
      </c>
      <c r="R2670" s="2"/>
      <c r="S2670" s="2"/>
      <c r="T2670" s="2"/>
      <c r="U2670" s="1079" t="s">
        <v>1855</v>
      </c>
      <c r="V2670" s="603" t="str">
        <f>IF(J2669="","",ABS(J2670)&gt;15%)</f>
        <v/>
      </c>
      <c r="W2670" s="603" t="str">
        <f>IF(K2669="","",ABS(K2670)&gt;15%)</f>
        <v/>
      </c>
      <c r="X2670" s="603" t="str">
        <f>IF(L2669="","",ABS(L2670)&gt;15%)</f>
        <v/>
      </c>
      <c r="Y2670" s="603" t="str">
        <f>IF(M2669="","",ABS(M2670)&gt;15%)</f>
        <v/>
      </c>
      <c r="Z2670" s="1756" t="str">
        <f>IF(N2669="","",ABS(N2670)&gt;15%)</f>
        <v/>
      </c>
      <c r="AA2670" s="2"/>
      <c r="AB2670" s="2"/>
      <c r="AC2670" s="2"/>
      <c r="AD2670" s="2"/>
      <c r="AE2670" s="2"/>
      <c r="AF2670" s="2"/>
      <c r="AG2670" s="2"/>
      <c r="AH2670" s="2"/>
      <c r="AI2670" s="2"/>
      <c r="AJ2670" s="2"/>
      <c r="AK2670" s="2"/>
      <c r="AL2670" s="2"/>
    </row>
    <row r="2671" spans="1:38" ht="12.75" customHeight="1" x14ac:dyDescent="0.25">
      <c r="A2671" s="343"/>
      <c r="B2671" s="178"/>
      <c r="C2671" s="779"/>
      <c r="D2671" s="1246" t="s">
        <v>9</v>
      </c>
      <c r="E2671" s="2618" t="str">
        <f>Translations!$B$1474</f>
        <v>Preliminär justering (om relativa tröskelvärden överskrids)</v>
      </c>
      <c r="F2671" s="1997"/>
      <c r="G2671" s="1997"/>
      <c r="H2671" s="1233"/>
      <c r="I2671" s="1235"/>
      <c r="J2671" s="992" t="str">
        <f>IF(J2669="","",IF(V2670=FALSE,0%,J2670))</f>
        <v/>
      </c>
      <c r="K2671" s="937" t="str">
        <f>IF(K2669="","",IF(W2670=FALSE,0%,K2670))</f>
        <v/>
      </c>
      <c r="L2671" s="937" t="str">
        <f>IF(L2669="","",IF(X2670=FALSE,0%,L2670))</f>
        <v/>
      </c>
      <c r="M2671" s="937" t="str">
        <f>IF(M2669="","",IF(Y2670=FALSE,0%,M2670))</f>
        <v/>
      </c>
      <c r="N2671" s="1220" t="str">
        <f>IF(N2669="","",IF(Z2670=FALSE,0%,N2670))</f>
        <v/>
      </c>
      <c r="O2671" s="15"/>
      <c r="P2671" s="15"/>
      <c r="Q2671" s="343"/>
      <c r="R2671" s="2"/>
      <c r="S2671" s="2"/>
      <c r="T2671" s="2"/>
      <c r="U2671" s="1081"/>
      <c r="V2671" s="2"/>
      <c r="W2671" s="2"/>
      <c r="X2671" s="2"/>
      <c r="Y2671" s="2"/>
      <c r="Z2671" s="228"/>
      <c r="AA2671" s="2"/>
      <c r="AB2671" s="2"/>
      <c r="AC2671" s="2"/>
      <c r="AD2671" s="2"/>
      <c r="AE2671" s="2"/>
      <c r="AF2671" s="2"/>
      <c r="AG2671" s="2"/>
      <c r="AH2671" s="2"/>
      <c r="AI2671" s="2"/>
      <c r="AJ2671" s="2"/>
      <c r="AK2671" s="2"/>
      <c r="AL2671" s="2"/>
    </row>
    <row r="2672" spans="1:38" ht="12.75" hidden="1" customHeight="1" x14ac:dyDescent="0.25">
      <c r="A2672" s="343" t="s">
        <v>346</v>
      </c>
      <c r="B2672" s="178"/>
      <c r="C2672" s="779"/>
      <c r="D2672" s="1246"/>
      <c r="E2672" s="2618" t="s">
        <v>1889</v>
      </c>
      <c r="F2672" s="1997"/>
      <c r="G2672" s="1997"/>
      <c r="H2672" s="1232" t="str">
        <f>H2669</f>
        <v>t CO2</v>
      </c>
      <c r="I2672" s="990" t="str">
        <f>IF($I2429="","",IF(AB2429=FALSE,EUconst_NA,IF(V2429&gt;($J$3042-3),INDEX(H2665:N2665,MATCH(V2429,H2659:N2659,0)),SUM(I2669))))</f>
        <v/>
      </c>
      <c r="J2672" s="993" t="str">
        <f>IF($I2429="","",IF(V2669&lt;2,SUM(J2665),IF(V2669&lt;3,SUM(I2665),IF(V2672="",I2672,V2672))))</f>
        <v/>
      </c>
      <c r="K2672" s="920" t="str">
        <f>IF($I2429="","",IF(W2669&lt;2,SUM(K2665),IF(W2669&lt;3,SUM(J2665),IF(W2672="",J2672,W2672))))</f>
        <v/>
      </c>
      <c r="L2672" s="920" t="str">
        <f>IF($I2429="","",IF(X2669&lt;2,SUM(L2665),IF(X2669&lt;3,SUM(K2665),IF(X2672="",K2672,X2672))))</f>
        <v/>
      </c>
      <c r="M2672" s="920" t="str">
        <f>IF($I2429="","",IF(Y2669&lt;2,SUM(M2665),IF(Y2669&lt;3,SUM(L2665),IF(Y2672="",L2672,Y2672))))</f>
        <v/>
      </c>
      <c r="N2672" s="1218" t="str">
        <f>IF($I2429="","",IF(Z2669&lt;2,SUM(N2665),IF(Z2669&lt;3,SUM(M2665),IF(Z2672="",M2672,Z2672))))</f>
        <v/>
      </c>
      <c r="O2672" s="15"/>
      <c r="P2672" s="15"/>
      <c r="Q2672" s="165" t="str">
        <f>EUconst_CNTR_HALprelim&amp;EUconst_CNTR_WGFlared &amp; I2429</f>
        <v>HALprelim_WasteGasFlare_</v>
      </c>
      <c r="R2672" s="2"/>
      <c r="S2672" s="2"/>
      <c r="T2672" s="2"/>
      <c r="U2672" s="1079" t="s">
        <v>1898</v>
      </c>
      <c r="V2672" s="1752" t="str">
        <f>IF(J2669="","",IF(CNTR_ReportingYear&lt;J2668,I2671,IF($I2672=0,J2669,$I2672*(1+J2671))))</f>
        <v/>
      </c>
      <c r="W2672" s="1752" t="str">
        <f>IF(K2669="","",IF(CNTR_ReportingYear&lt;K2668,J2671,IF($I2672=0,K2669,$I2672*(1+K2671))))</f>
        <v/>
      </c>
      <c r="X2672" s="1752" t="str">
        <f>IF(L2669="","",IF(CNTR_ReportingYear&lt;L2668,K2671,IF($I2672=0,L2669,$I2672*(1+L2671))))</f>
        <v/>
      </c>
      <c r="Y2672" s="1752" t="str">
        <f>IF(M2669="","",IF(CNTR_ReportingYear&lt;M2668,L2671,IF($I2672=0,M2669,$I2672*(1+M2671))))</f>
        <v/>
      </c>
      <c r="Z2672" s="1761" t="str">
        <f>IF(N2669="","",IF(CNTR_ReportingYear&lt;N2668,M2671,IF($I2672=0,N2669,$I2672*(1+N2671))))</f>
        <v/>
      </c>
      <c r="AA2672" s="2"/>
      <c r="AB2672" s="2"/>
      <c r="AC2672" s="2"/>
      <c r="AD2672" s="2"/>
      <c r="AE2672" s="2"/>
      <c r="AF2672" s="2"/>
      <c r="AG2672" s="2"/>
      <c r="AH2672" s="2"/>
      <c r="AI2672" s="2"/>
      <c r="AJ2672" s="2"/>
      <c r="AK2672" s="2"/>
      <c r="AL2672" s="2"/>
    </row>
    <row r="2673" spans="1:38" ht="5.15" customHeight="1" x14ac:dyDescent="0.25">
      <c r="A2673" s="343"/>
      <c r="B2673" s="178"/>
      <c r="C2673" s="779"/>
      <c r="D2673" s="1246"/>
      <c r="E2673" s="1244"/>
      <c r="F2673" s="1244"/>
      <c r="G2673" s="1244"/>
      <c r="H2673" s="1244"/>
      <c r="I2673" s="1244"/>
      <c r="J2673" s="1236"/>
      <c r="K2673" s="1236"/>
      <c r="L2673" s="1236"/>
      <c r="M2673" s="1236"/>
      <c r="N2673" s="1247"/>
      <c r="O2673" s="15"/>
      <c r="P2673" s="15"/>
      <c r="Q2673" s="343"/>
      <c r="R2673" s="2"/>
      <c r="S2673" s="2"/>
      <c r="T2673" s="2"/>
      <c r="U2673" s="1086"/>
      <c r="V2673" s="343"/>
      <c r="W2673" s="2"/>
      <c r="X2673" s="2"/>
      <c r="Y2673" s="2"/>
      <c r="Z2673" s="228"/>
      <c r="AA2673" s="2"/>
      <c r="AB2673" s="2"/>
      <c r="AC2673" s="2"/>
      <c r="AD2673" s="2"/>
      <c r="AE2673" s="2"/>
      <c r="AF2673" s="2"/>
      <c r="AG2673" s="2"/>
      <c r="AH2673" s="2"/>
      <c r="AI2673" s="2"/>
      <c r="AJ2673" s="2"/>
      <c r="AK2673" s="2"/>
      <c r="AL2673" s="2"/>
    </row>
    <row r="2674" spans="1:38" ht="12.75" customHeight="1" x14ac:dyDescent="0.25">
      <c r="A2674" s="343"/>
      <c r="B2674" s="178"/>
      <c r="C2674" s="779"/>
      <c r="D2674" s="1246"/>
      <c r="E2674" s="2619" t="str">
        <f>Translations!$B$1475</f>
        <v>Faktisk justering (grund för följande år)</v>
      </c>
      <c r="F2674" s="2497"/>
      <c r="G2674" s="2497"/>
      <c r="H2674" s="2497"/>
      <c r="I2674" s="2616"/>
      <c r="J2674" s="1268">
        <f>J$3042</f>
        <v>2021</v>
      </c>
      <c r="K2674" s="1230">
        <f>K$3042</f>
        <v>2022</v>
      </c>
      <c r="L2674" s="1230">
        <f>L$3042</f>
        <v>2023</v>
      </c>
      <c r="M2674" s="1230">
        <f>M$3042</f>
        <v>2024</v>
      </c>
      <c r="N2674" s="1258">
        <f>N$3042</f>
        <v>2025</v>
      </c>
      <c r="O2674" s="15"/>
      <c r="P2674" s="15"/>
      <c r="Q2674" s="343"/>
      <c r="R2674" s="2"/>
      <c r="S2674" s="2"/>
      <c r="T2674" s="2"/>
      <c r="U2674" s="584"/>
      <c r="V2674" s="2"/>
      <c r="W2674" s="2"/>
      <c r="X2674" s="2"/>
      <c r="Y2674" s="2"/>
      <c r="Z2674" s="228"/>
      <c r="AA2674" s="2"/>
      <c r="AB2674" s="2"/>
      <c r="AC2674" s="2"/>
      <c r="AD2674" s="2"/>
      <c r="AE2674" s="2"/>
      <c r="AF2674" s="2"/>
      <c r="AG2674" s="2"/>
      <c r="AH2674" s="2"/>
      <c r="AI2674" s="2"/>
      <c r="AJ2674" s="2"/>
      <c r="AK2674" s="2"/>
      <c r="AL2674" s="2"/>
    </row>
    <row r="2675" spans="1:38" ht="12.75" customHeight="1" x14ac:dyDescent="0.25">
      <c r="A2675" s="343"/>
      <c r="B2675" s="178"/>
      <c r="C2675" s="779"/>
      <c r="D2675" s="1246" t="s">
        <v>10</v>
      </c>
      <c r="E2675" s="2618" t="str">
        <f>Translations!$B$1476</f>
        <v>&gt;= 100 utsläppsrätter kriterium uppnått?</v>
      </c>
      <c r="F2675" s="1997"/>
      <c r="G2675" s="1997"/>
      <c r="H2675" s="1997"/>
      <c r="I2675" s="2620"/>
      <c r="J2675" s="994" t="str">
        <f>IF($I2429="","",INDEX(K_Summary!J:J,MATCH($Q2675,K_Summary!$P:$P,0)))</f>
        <v/>
      </c>
      <c r="K2675" s="912" t="str">
        <f>IF($I2429="","",INDEX(K_Summary!K:K,MATCH($Q2675,K_Summary!$P:$P,0)))</f>
        <v/>
      </c>
      <c r="L2675" s="912" t="str">
        <f>IF($I2429="","",INDEX(K_Summary!L:L,MATCH($Q2675,K_Summary!$P:$P,0)))</f>
        <v/>
      </c>
      <c r="M2675" s="912" t="str">
        <f>IF($I2429="","",INDEX(K_Summary!M:M,MATCH($Q2675,K_Summary!$P:$P,0)))</f>
        <v/>
      </c>
      <c r="N2675" s="1221" t="str">
        <f>IF($I2429="","",INDEX(K_Summary!N:N,MATCH($Q2675,K_Summary!$P:$P,0)))</f>
        <v/>
      </c>
      <c r="O2675" s="15"/>
      <c r="P2675" s="15"/>
      <c r="Q2675" s="165" t="str">
        <f>EUconst_CNTR_100EUA_WGFlare&amp;I2429</f>
        <v>EUA100WGFlare_</v>
      </c>
      <c r="R2675" s="2"/>
      <c r="S2675" s="2"/>
      <c r="T2675" s="2"/>
      <c r="U2675" s="584"/>
      <c r="V2675" s="2"/>
      <c r="W2675" s="2"/>
      <c r="X2675" s="2"/>
      <c r="Y2675" s="2"/>
      <c r="Z2675" s="228"/>
      <c r="AA2675" s="2"/>
      <c r="AB2675" s="2"/>
      <c r="AC2675" s="2"/>
      <c r="AD2675" s="2"/>
      <c r="AE2675" s="2"/>
      <c r="AF2675" s="2"/>
      <c r="AG2675" s="2"/>
      <c r="AH2675" s="2"/>
      <c r="AI2675" s="2"/>
      <c r="AJ2675" s="2"/>
      <c r="AK2675" s="2"/>
      <c r="AL2675" s="2"/>
    </row>
    <row r="2676" spans="1:38" ht="5.15" customHeight="1" thickBot="1" x14ac:dyDescent="0.3">
      <c r="A2676" s="343"/>
      <c r="B2676" s="178"/>
      <c r="C2676" s="779"/>
      <c r="D2676" s="1246"/>
      <c r="E2676" s="1244"/>
      <c r="F2676" s="1244"/>
      <c r="G2676" s="1244"/>
      <c r="H2676" s="1244"/>
      <c r="I2676" s="1244"/>
      <c r="J2676" s="1244"/>
      <c r="K2676" s="1244"/>
      <c r="L2676" s="1244"/>
      <c r="M2676" s="1244"/>
      <c r="N2676" s="1248"/>
      <c r="O2676" s="15"/>
      <c r="P2676" s="15"/>
      <c r="Q2676" s="343"/>
      <c r="R2676" s="2"/>
      <c r="S2676" s="2"/>
      <c r="T2676" s="2"/>
      <c r="U2676" s="1086"/>
      <c r="V2676" s="343"/>
      <c r="W2676" s="2"/>
      <c r="X2676" s="2"/>
      <c r="Y2676" s="2"/>
      <c r="Z2676" s="228"/>
      <c r="AA2676" s="2"/>
      <c r="AB2676" s="2"/>
      <c r="AC2676" s="2"/>
      <c r="AD2676" s="2"/>
      <c r="AE2676" s="2"/>
      <c r="AF2676" s="2"/>
      <c r="AG2676" s="2"/>
      <c r="AH2676" s="2"/>
      <c r="AI2676" s="2"/>
      <c r="AJ2676" s="2"/>
      <c r="AK2676" s="2"/>
      <c r="AL2676" s="2"/>
    </row>
    <row r="2677" spans="1:38" ht="12.75" customHeight="1" thickBot="1" x14ac:dyDescent="0.3">
      <c r="A2677" s="2"/>
      <c r="B2677" s="178"/>
      <c r="C2677" s="779"/>
      <c r="D2677" s="1246" t="s">
        <v>23</v>
      </c>
      <c r="E2677" s="2618" t="str">
        <f>Translations!$B$1477</f>
        <v>Faktisk justering (om alla tröskelvärden överskrids)</v>
      </c>
      <c r="F2677" s="1997"/>
      <c r="G2677" s="1997"/>
      <c r="H2677" s="1997"/>
      <c r="I2677" s="2620"/>
      <c r="J2677" s="1099" t="str">
        <f>IF(J2675="","",IF(OR(J2675,V2669&lt;1),J2671,I2677))</f>
        <v/>
      </c>
      <c r="K2677" s="1100" t="str">
        <f>IF(K2675="","",IF(OR(K2675,W2669&lt;1),K2671,J2677))</f>
        <v/>
      </c>
      <c r="L2677" s="1100" t="str">
        <f>IF(L2675="","",IF(OR(L2675,X2669&lt;1),L2671,K2677))</f>
        <v/>
      </c>
      <c r="M2677" s="1100" t="str">
        <f>IF(M2675="","",IF(OR(M2675,Y2669&lt;1),M2671,L2677))</f>
        <v/>
      </c>
      <c r="N2677" s="1101" t="str">
        <f>IF(N2675="","",IF(OR(N2675,Z2669&lt;1),N2671,M2677))</f>
        <v/>
      </c>
      <c r="O2677" s="15"/>
      <c r="P2677" s="15"/>
      <c r="Q2677" s="343"/>
      <c r="R2677" s="2"/>
      <c r="S2677" s="2"/>
      <c r="T2677" s="2"/>
      <c r="U2677" s="1086" t="s">
        <v>1858</v>
      </c>
      <c r="V2677" s="1068">
        <f>J2674</f>
        <v>2021</v>
      </c>
      <c r="W2677" s="1068">
        <f>K2674</f>
        <v>2022</v>
      </c>
      <c r="X2677" s="1068">
        <f>L2674</f>
        <v>2023</v>
      </c>
      <c r="Y2677" s="1068">
        <f>M2674</f>
        <v>2024</v>
      </c>
      <c r="Z2677" s="1087">
        <f>N2674</f>
        <v>2025</v>
      </c>
      <c r="AA2677" s="2"/>
      <c r="AB2677" s="2"/>
      <c r="AC2677" s="2"/>
      <c r="AD2677" s="2"/>
      <c r="AE2677" s="2"/>
      <c r="AF2677" s="2"/>
      <c r="AG2677" s="2"/>
      <c r="AH2677" s="2"/>
      <c r="AI2677" s="2"/>
      <c r="AJ2677" s="2"/>
      <c r="AK2677" s="2"/>
      <c r="AL2677" s="2"/>
    </row>
    <row r="2678" spans="1:38" ht="12.75" customHeight="1" thickBot="1" x14ac:dyDescent="0.3">
      <c r="A2678" s="343"/>
      <c r="B2678" s="178"/>
      <c r="C2678" s="779"/>
      <c r="D2678" s="1246" t="s">
        <v>859</v>
      </c>
      <c r="E2678" s="2618" t="str">
        <f>Translations!$B$1478</f>
        <v>Faktiskt värde</v>
      </c>
      <c r="F2678" s="1997"/>
      <c r="G2678" s="1997"/>
      <c r="H2678" s="1232" t="str">
        <f>H2669</f>
        <v>t CO2</v>
      </c>
      <c r="I2678" s="990" t="str">
        <f>I2672</f>
        <v/>
      </c>
      <c r="J2678" s="1072" t="str">
        <f>IF($I2429="","",IF(OR($I2678=0,$I2678=EUconst_NA),IF(OR(J2675=TRUE,J2674=$V2429),J2672,SUM(I2678)),IF(J2677="",J2672,$I2678*(1+SUM(J2677)))))</f>
        <v/>
      </c>
      <c r="K2678" s="1073" t="str">
        <f>IF($I2429="","",IF(OR($I2678=0,$I2678=EUconst_NA),IF(OR(K2675=TRUE,K2674=$V2429),K2672,SUM(J2678)),IF(K2677="",K2672,$I2678*(1+SUM(K2677)))))</f>
        <v/>
      </c>
      <c r="L2678" s="1073" t="str">
        <f>IF($I2429="","",IF(OR($I2678=0,$I2678=EUconst_NA),IF(OR(L2675=TRUE,L2674=$V2429),L2672,SUM(K2678)),IF(L2677="",L2672,$I2678*(1+SUM(L2677)))))</f>
        <v/>
      </c>
      <c r="M2678" s="1073" t="str">
        <f>IF($I2429="","",IF(OR($I2678=0,$I2678=EUconst_NA),IF(OR(M2675=TRUE,M2674=$V2429),M2672,SUM(L2678)),IF(M2677="",M2672,$I2678*(1+SUM(M2677)))))</f>
        <v/>
      </c>
      <c r="N2678" s="1074" t="str">
        <f>IF($I2429="","",IF(OR($I2678=0,$I2678=EUconst_NA),IF(OR(N2675=TRUE,N2674=$V2429),N2672,SUM(M2678)),IF(N2677="",N2672,$I2678*(1+SUM(N2677)))))</f>
        <v/>
      </c>
      <c r="O2678" s="15"/>
      <c r="P2678" s="15"/>
      <c r="Q2678" s="165" t="str">
        <f>EUconst_CNTR_HALfinal&amp;EUconst_CNTR_WGFlared &amp; I2429</f>
        <v>HALfinal_WasteGasFlare_</v>
      </c>
      <c r="R2678" s="2"/>
      <c r="S2678" s="2"/>
      <c r="T2678" s="2"/>
      <c r="U2678" s="1765" t="b">
        <v>0</v>
      </c>
      <c r="V2678" s="1757" t="str">
        <f>IF(V2628,IF(J2675=TRUE,V2437,U2678),"")</f>
        <v/>
      </c>
      <c r="W2678" s="1757" t="str">
        <f>IF(W2628,IF(K2675=TRUE,W2437,V2678),"")</f>
        <v/>
      </c>
      <c r="X2678" s="1757" t="str">
        <f>IF(X2628,IF(L2675=TRUE,X2437,W2678),"")</f>
        <v/>
      </c>
      <c r="Y2678" s="1757" t="str">
        <f>IF(Y2628,IF(M2675=TRUE,Y2437,X2678),"")</f>
        <v/>
      </c>
      <c r="Z2678" s="1758" t="str">
        <f>IF(Z2628,IF(N2675=TRUE,Z2437,Y2678),"")</f>
        <v/>
      </c>
      <c r="AA2678" s="2"/>
      <c r="AB2678" s="2"/>
      <c r="AC2678" s="2"/>
      <c r="AD2678" s="2"/>
      <c r="AE2678" s="2"/>
      <c r="AF2678" s="2"/>
      <c r="AG2678" s="2"/>
      <c r="AH2678" s="2"/>
      <c r="AI2678" s="2"/>
      <c r="AJ2678" s="553" t="s">
        <v>2242</v>
      </c>
      <c r="AK2678" s="108" t="str">
        <f>IF(OR(ISERROR(J2678),ISERROR(K2678),ISERROR(L2678),ISERROR(M2678),ISERROR(N2678)),EUconst_Error &amp; "BM" &amp; Q2429,"")</f>
        <v/>
      </c>
      <c r="AL2678" s="2"/>
    </row>
    <row r="2679" spans="1:38" ht="5.15" customHeight="1" thickBot="1" x14ac:dyDescent="0.3">
      <c r="A2679" s="2"/>
      <c r="B2679" s="178"/>
      <c r="C2679" s="779"/>
      <c r="D2679" s="1269"/>
      <c r="E2679" s="1270"/>
      <c r="F2679" s="1270"/>
      <c r="G2679" s="1270"/>
      <c r="H2679" s="1271"/>
      <c r="I2679" s="1270"/>
      <c r="J2679" s="1270"/>
      <c r="K2679" s="1270"/>
      <c r="L2679" s="1270"/>
      <c r="M2679" s="1272"/>
      <c r="N2679" s="1273"/>
      <c r="O2679" s="15"/>
      <c r="P2679" s="15"/>
      <c r="Q2679" s="343"/>
      <c r="R2679" s="2"/>
      <c r="S2679" s="343"/>
      <c r="T2679" s="343"/>
      <c r="U2679" s="343"/>
      <c r="V2679" s="343"/>
      <c r="W2679" s="2"/>
      <c r="X2679" s="2"/>
      <c r="Y2679" s="2"/>
      <c r="Z2679" s="2"/>
      <c r="AA2679" s="2"/>
      <c r="AB2679" s="2"/>
      <c r="AC2679" s="2"/>
      <c r="AD2679" s="2"/>
      <c r="AE2679" s="2"/>
      <c r="AF2679" s="2"/>
      <c r="AG2679" s="2"/>
      <c r="AH2679" s="2"/>
      <c r="AI2679" s="2"/>
      <c r="AJ2679" s="2"/>
      <c r="AK2679" s="2"/>
      <c r="AL2679" s="2"/>
    </row>
    <row r="2680" spans="1:38" ht="5.15" customHeight="1" x14ac:dyDescent="0.25">
      <c r="A2680" s="2"/>
      <c r="B2680" s="178"/>
      <c r="C2680" s="779"/>
      <c r="D2680" s="780"/>
      <c r="E2680" s="780"/>
      <c r="F2680" s="780"/>
      <c r="G2680" s="780"/>
      <c r="H2680" s="1805"/>
      <c r="I2680" s="780"/>
      <c r="J2680" s="780"/>
      <c r="K2680" s="780"/>
      <c r="L2680" s="780"/>
      <c r="M2680" s="623"/>
      <c r="N2680" s="519"/>
      <c r="O2680" s="15"/>
      <c r="P2680" s="15"/>
      <c r="Q2680" s="343"/>
      <c r="R2680" s="2"/>
      <c r="S2680" s="343"/>
      <c r="T2680" s="343"/>
      <c r="U2680" s="343"/>
      <c r="V2680" s="343"/>
      <c r="W2680" s="2"/>
      <c r="X2680" s="2"/>
      <c r="Y2680" s="2"/>
      <c r="Z2680" s="2"/>
      <c r="AA2680" s="2"/>
      <c r="AB2680" s="2"/>
      <c r="AC2680" s="2"/>
      <c r="AD2680" s="2"/>
      <c r="AE2680" s="2"/>
      <c r="AF2680" s="2"/>
      <c r="AG2680" s="2"/>
      <c r="AH2680" s="2"/>
      <c r="AI2680" s="2"/>
      <c r="AJ2680" s="2"/>
      <c r="AK2680" s="2"/>
      <c r="AL2680" s="2"/>
    </row>
    <row r="2681" spans="1:38" ht="12.75" customHeight="1" x14ac:dyDescent="0.25">
      <c r="A2681" s="2"/>
      <c r="B2681" s="178"/>
      <c r="C2681" s="779"/>
      <c r="D2681" s="416" t="s">
        <v>1205</v>
      </c>
      <c r="E2681" s="2614" t="str">
        <f>Translations!$B$632</f>
        <v>Importerade restgastyper:</v>
      </c>
      <c r="F2681" s="1960"/>
      <c r="G2681" s="1960"/>
      <c r="H2681" s="2520"/>
      <c r="I2681" s="2621"/>
      <c r="J2681" s="2510"/>
      <c r="K2681" s="2510"/>
      <c r="L2681" s="2510"/>
      <c r="M2681" s="2511"/>
      <c r="N2681" s="519"/>
      <c r="O2681" s="15"/>
      <c r="P2681" s="1362"/>
      <c r="Q2681" s="343"/>
      <c r="R2681" s="2"/>
      <c r="S2681" s="343"/>
      <c r="T2681" s="2"/>
      <c r="U2681" s="2"/>
      <c r="V2681" s="2"/>
      <c r="W2681" s="2"/>
      <c r="X2681" s="2"/>
      <c r="Y2681" s="2"/>
      <c r="Z2681" s="2"/>
      <c r="AA2681" s="2"/>
      <c r="AB2681" s="2"/>
      <c r="AC2681" s="672" t="s">
        <v>782</v>
      </c>
      <c r="AD2681" s="108" t="b">
        <f>AD2655</f>
        <v>0</v>
      </c>
      <c r="AE2681" s="2"/>
      <c r="AF2681" s="2"/>
      <c r="AG2681" s="2"/>
      <c r="AH2681" s="2"/>
      <c r="AI2681" s="2"/>
      <c r="AJ2681" s="2"/>
      <c r="AK2681" s="2"/>
      <c r="AL2681" s="2"/>
    </row>
    <row r="2682" spans="1:38" ht="12.75" customHeight="1" x14ac:dyDescent="0.25">
      <c r="A2682" s="2"/>
      <c r="B2682" s="178"/>
      <c r="C2682" s="779"/>
      <c r="D2682" s="416"/>
      <c r="E2682" s="2596" t="str">
        <f>Translations!$B$633</f>
        <v>De uppgifter som anges här påverkar de utsläpp som kan tillskrivas i enlighet med avsnitt 10.1.5 i bilaga VII till FAR.</v>
      </c>
      <c r="F2682" s="1960"/>
      <c r="G2682" s="1960"/>
      <c r="H2682" s="1960"/>
      <c r="I2682" s="1960"/>
      <c r="J2682" s="1960"/>
      <c r="K2682" s="1960"/>
      <c r="L2682" s="1960"/>
      <c r="M2682" s="1960"/>
      <c r="N2682" s="2597"/>
      <c r="O2682" s="15"/>
      <c r="P2682" s="15"/>
      <c r="Q2682" s="343"/>
      <c r="R2682" s="2"/>
      <c r="S2682" s="343"/>
      <c r="T2682" s="343"/>
      <c r="U2682" s="343"/>
      <c r="V2682" s="343"/>
      <c r="W2682" s="2"/>
      <c r="X2682" s="2"/>
      <c r="Y2682" s="2"/>
      <c r="Z2682" s="2"/>
      <c r="AA2682" s="2"/>
      <c r="AB2682" s="2"/>
      <c r="AC2682" s="2"/>
      <c r="AD2682" s="2"/>
      <c r="AE2682" s="2"/>
      <c r="AF2682" s="2"/>
      <c r="AG2682" s="2"/>
      <c r="AH2682" s="2"/>
      <c r="AI2682" s="2"/>
      <c r="AJ2682" s="2"/>
      <c r="AK2682" s="2"/>
      <c r="AL2682" s="2"/>
    </row>
    <row r="2683" spans="1:38" ht="25.5" customHeight="1" x14ac:dyDescent="0.25">
      <c r="A2683" s="2"/>
      <c r="B2683" s="178"/>
      <c r="C2683" s="779"/>
      <c r="D2683" s="416"/>
      <c r="E2683" s="2610" t="str">
        <f>Translations!$B$634</f>
        <v>Detta innefattar alla restgastyper som produceras utanför delanläggningens systemgränser men som importeras till delanläggningen och används för produktion av mätbar värme, icke-mätbar värme (inklusive för säkerhetsfackling) eller mekanisk energi (annat än för elproduktion).</v>
      </c>
      <c r="F2683" s="1960"/>
      <c r="G2683" s="1960"/>
      <c r="H2683" s="1960"/>
      <c r="I2683" s="1960"/>
      <c r="J2683" s="1960"/>
      <c r="K2683" s="1960"/>
      <c r="L2683" s="1960"/>
      <c r="M2683" s="1960"/>
      <c r="N2683" s="2597"/>
      <c r="O2683" s="15"/>
      <c r="P2683" s="15"/>
      <c r="Q2683" s="343"/>
      <c r="R2683" s="2"/>
      <c r="S2683" s="343"/>
      <c r="T2683" s="343"/>
      <c r="U2683" s="343"/>
      <c r="V2683" s="343"/>
      <c r="W2683" s="2"/>
      <c r="X2683" s="2"/>
      <c r="Y2683" s="2"/>
      <c r="Z2683" s="2"/>
      <c r="AA2683" s="2"/>
      <c r="AB2683" s="2"/>
      <c r="AC2683" s="2"/>
      <c r="AD2683" s="2"/>
      <c r="AE2683" s="2"/>
      <c r="AF2683" s="2"/>
      <c r="AG2683" s="2"/>
      <c r="AH2683" s="2"/>
      <c r="AI2683" s="2"/>
      <c r="AJ2683" s="2"/>
      <c r="AK2683" s="2"/>
      <c r="AL2683" s="2"/>
    </row>
    <row r="2684" spans="1:38" ht="12.75" customHeight="1" thickBot="1" x14ac:dyDescent="0.3">
      <c r="A2684" s="2"/>
      <c r="B2684" s="178"/>
      <c r="C2684" s="779"/>
      <c r="D2684" s="780"/>
      <c r="E2684" s="1716"/>
      <c r="F2684" s="1717"/>
      <c r="G2684" s="361" t="str">
        <f>EUconst_Unit</f>
        <v>Enhet</v>
      </c>
      <c r="H2684" s="362">
        <f t="shared" ref="H2684:N2684" si="1212">H$3042</f>
        <v>2019</v>
      </c>
      <c r="I2684" s="1103">
        <f t="shared" si="1212"/>
        <v>2020</v>
      </c>
      <c r="J2684" s="1104">
        <f t="shared" si="1212"/>
        <v>2021</v>
      </c>
      <c r="K2684" s="362">
        <f t="shared" si="1212"/>
        <v>2022</v>
      </c>
      <c r="L2684" s="362">
        <f t="shared" si="1212"/>
        <v>2023</v>
      </c>
      <c r="M2684" s="362">
        <f t="shared" si="1212"/>
        <v>2024</v>
      </c>
      <c r="N2684" s="1141">
        <f t="shared" si="1212"/>
        <v>2025</v>
      </c>
      <c r="O2684" s="15"/>
      <c r="P2684" s="15"/>
      <c r="Q2684" s="343"/>
      <c r="R2684" s="2"/>
      <c r="S2684" s="343"/>
      <c r="T2684" s="343"/>
      <c r="U2684" s="343"/>
      <c r="V2684" s="343"/>
      <c r="W2684" s="2"/>
      <c r="X2684" s="2"/>
      <c r="Y2684" s="2"/>
      <c r="Z2684" s="2"/>
      <c r="AA2684" s="2"/>
      <c r="AB2684" s="2"/>
      <c r="AC2684" s="1044">
        <f t="shared" ref="AC2684:AI2684" si="1213">H$20</f>
        <v>2019</v>
      </c>
      <c r="AD2684" s="1044">
        <f t="shared" si="1213"/>
        <v>2020</v>
      </c>
      <c r="AE2684" s="1044">
        <f t="shared" si="1213"/>
        <v>2021</v>
      </c>
      <c r="AF2684" s="1044">
        <f t="shared" si="1213"/>
        <v>2022</v>
      </c>
      <c r="AG2684" s="1044">
        <f t="shared" si="1213"/>
        <v>2023</v>
      </c>
      <c r="AH2684" s="1044">
        <f t="shared" si="1213"/>
        <v>2024</v>
      </c>
      <c r="AI2684" s="1044">
        <f t="shared" si="1213"/>
        <v>2025</v>
      </c>
      <c r="AJ2684" s="2"/>
      <c r="AK2684" s="2"/>
      <c r="AL2684" s="2"/>
    </row>
    <row r="2685" spans="1:38" ht="12.75" customHeight="1" thickBot="1" x14ac:dyDescent="0.3">
      <c r="A2685" s="2"/>
      <c r="B2685" s="178"/>
      <c r="C2685" s="779"/>
      <c r="D2685" s="416" t="s">
        <v>1206</v>
      </c>
      <c r="E2685" s="2611" t="str">
        <f>Translations!$B$635</f>
        <v>Importerade mängder</v>
      </c>
      <c r="F2685" s="2484"/>
      <c r="G2685" s="1314"/>
      <c r="H2685" s="1298"/>
      <c r="I2685" s="1299"/>
      <c r="J2685" s="1300"/>
      <c r="K2685" s="1298"/>
      <c r="L2685" s="1298"/>
      <c r="M2685" s="1298"/>
      <c r="N2685" s="1301"/>
      <c r="O2685" s="15"/>
      <c r="P2685" s="1362"/>
      <c r="Q2685" s="343"/>
      <c r="R2685" s="2"/>
      <c r="S2685" s="343"/>
      <c r="T2685" s="343"/>
      <c r="U2685" s="343"/>
      <c r="V2685" s="343"/>
      <c r="W2685" s="2"/>
      <c r="X2685" s="2"/>
      <c r="Y2685" s="2"/>
      <c r="Z2685" s="2"/>
      <c r="AA2685" s="2"/>
      <c r="AB2685" s="672" t="s">
        <v>782</v>
      </c>
      <c r="AC2685" s="108" t="b">
        <f t="shared" ref="AC2685:AI2685" si="1214">AC2641</f>
        <v>0</v>
      </c>
      <c r="AD2685" s="108" t="b">
        <f t="shared" si="1214"/>
        <v>0</v>
      </c>
      <c r="AE2685" s="108" t="b">
        <f t="shared" si="1214"/>
        <v>0</v>
      </c>
      <c r="AF2685" s="108" t="b">
        <f t="shared" si="1214"/>
        <v>0</v>
      </c>
      <c r="AG2685" s="108" t="b">
        <f t="shared" si="1214"/>
        <v>0</v>
      </c>
      <c r="AH2685" s="108" t="b">
        <f t="shared" si="1214"/>
        <v>0</v>
      </c>
      <c r="AI2685" s="108" t="b">
        <f t="shared" si="1214"/>
        <v>0</v>
      </c>
      <c r="AJ2685" s="553" t="s">
        <v>2248</v>
      </c>
      <c r="AK2685" s="663" t="str">
        <f>IF(AND(CNTR_ExistSubInstEntries,MSconst_RequireSubAttrEmissions,COUNTIFS(AC2685:AI2685,FALSE,H2685:N2685,"")&gt;0),EUconst_Error&amp;"BM"&amp;$Q2429,"")</f>
        <v/>
      </c>
      <c r="AL2685" s="2"/>
    </row>
    <row r="2686" spans="1:38" ht="12.75" customHeight="1" x14ac:dyDescent="0.25">
      <c r="A2686" s="2"/>
      <c r="B2686" s="178"/>
      <c r="C2686" s="779"/>
      <c r="D2686" s="416" t="s">
        <v>1207</v>
      </c>
      <c r="E2686" s="2612" t="str">
        <f>Translations!$B$318</f>
        <v>Effektivt värmevärde</v>
      </c>
      <c r="F2686" s="2487"/>
      <c r="G2686" s="51" t="str">
        <f>IF(ISBLANK(G2685),EUconst_GJperUnit,INDEX(EUconst_GJperTorKNm3,MATCH(G2685,EUconst_TonnesOrkNm3pa,0)))</f>
        <v>GJ / Enhet</v>
      </c>
      <c r="H2686" s="1306"/>
      <c r="I2686" s="1307"/>
      <c r="J2686" s="1308"/>
      <c r="K2686" s="1306"/>
      <c r="L2686" s="1306"/>
      <c r="M2686" s="1306"/>
      <c r="N2686" s="1309"/>
      <c r="O2686" s="15"/>
      <c r="P2686" s="1362"/>
      <c r="Q2686" s="343"/>
      <c r="R2686" s="2"/>
      <c r="S2686" s="772"/>
      <c r="T2686" s="609">
        <f t="shared" ref="T2686:Z2686" si="1215">H2684</f>
        <v>2019</v>
      </c>
      <c r="U2686" s="609">
        <f t="shared" si="1215"/>
        <v>2020</v>
      </c>
      <c r="V2686" s="609">
        <f t="shared" si="1215"/>
        <v>2021</v>
      </c>
      <c r="W2686" s="609">
        <f t="shared" si="1215"/>
        <v>2022</v>
      </c>
      <c r="X2686" s="609">
        <f t="shared" si="1215"/>
        <v>2023</v>
      </c>
      <c r="Y2686" s="609">
        <f t="shared" si="1215"/>
        <v>2024</v>
      </c>
      <c r="Z2686" s="610">
        <f t="shared" si="1215"/>
        <v>2025</v>
      </c>
      <c r="AA2686" s="2"/>
      <c r="AB2686" s="2"/>
      <c r="AC2686" s="108" t="b">
        <f>AC2685</f>
        <v>0</v>
      </c>
      <c r="AD2686" s="108" t="b">
        <f t="shared" ref="AD2686:AI2686" si="1216">AD2685</f>
        <v>0</v>
      </c>
      <c r="AE2686" s="108" t="b">
        <f t="shared" si="1216"/>
        <v>0</v>
      </c>
      <c r="AF2686" s="108" t="b">
        <f t="shared" si="1216"/>
        <v>0</v>
      </c>
      <c r="AG2686" s="108" t="b">
        <f t="shared" si="1216"/>
        <v>0</v>
      </c>
      <c r="AH2686" s="108" t="b">
        <f t="shared" si="1216"/>
        <v>0</v>
      </c>
      <c r="AI2686" s="108" t="b">
        <f t="shared" si="1216"/>
        <v>0</v>
      </c>
      <c r="AJ2686" s="553" t="s">
        <v>2248</v>
      </c>
      <c r="AK2686" s="663" t="str">
        <f>IF(AND(CNTR_ExistSubInstEntries,MSconst_RequireSubAttrEmissions,COUNTIFS(AC2686:AI2686,FALSE,H2686:N2686,"")&gt;0),EUconst_Error&amp;"BM"&amp;$Q2429,"")</f>
        <v/>
      </c>
      <c r="AL2686" s="2"/>
    </row>
    <row r="2687" spans="1:38" ht="12.75" customHeight="1" x14ac:dyDescent="0.25">
      <c r="A2687" s="2"/>
      <c r="B2687" s="178"/>
      <c r="C2687" s="779"/>
      <c r="D2687" s="416" t="s">
        <v>1208</v>
      </c>
      <c r="E2687" s="2613" t="str">
        <f>Translations!$B$636</f>
        <v>Importerad restgas</v>
      </c>
      <c r="F2687" s="1997"/>
      <c r="G2687" s="364" t="str">
        <f>EUconst_TJpa</f>
        <v>TJ / år</v>
      </c>
      <c r="H2687" s="351" t="str">
        <f t="shared" ref="H2687:N2687" si="1217">IF(COUNT(H2685:H2686)=2,H2685*H2686/1000,"")</f>
        <v/>
      </c>
      <c r="I2687" s="1107" t="str">
        <f t="shared" si="1217"/>
        <v/>
      </c>
      <c r="J2687" s="1113" t="str">
        <f t="shared" si="1217"/>
        <v/>
      </c>
      <c r="K2687" s="351" t="str">
        <f t="shared" si="1217"/>
        <v/>
      </c>
      <c r="L2687" s="351" t="str">
        <f t="shared" si="1217"/>
        <v/>
      </c>
      <c r="M2687" s="351" t="str">
        <f t="shared" si="1217"/>
        <v/>
      </c>
      <c r="N2687" s="1148" t="str">
        <f t="shared" si="1217"/>
        <v/>
      </c>
      <c r="O2687" s="15"/>
      <c r="P2687" s="15"/>
      <c r="Q2687" s="165" t="str">
        <f>EUconst_CNTR_WGImport &amp; I2429</f>
        <v>WasteGasIm_</v>
      </c>
      <c r="R2687" s="2"/>
      <c r="S2687" s="1751" t="str">
        <f>EUconst_ERR_AttrEmBMapplied &amp; I2429</f>
        <v>ERR_AttrEmBM_</v>
      </c>
      <c r="T2687" s="108">
        <f t="shared" ref="T2687:Z2687" si="1218">IF(AND(H2687&lt;&gt;"",EUconst_StatusOfDataCollection=FALSE),1,0)</f>
        <v>0</v>
      </c>
      <c r="U2687" s="108">
        <f t="shared" si="1218"/>
        <v>0</v>
      </c>
      <c r="V2687" s="108">
        <f t="shared" si="1218"/>
        <v>0</v>
      </c>
      <c r="W2687" s="108">
        <f t="shared" si="1218"/>
        <v>0</v>
      </c>
      <c r="X2687" s="108">
        <f t="shared" si="1218"/>
        <v>0</v>
      </c>
      <c r="Y2687" s="108">
        <f t="shared" si="1218"/>
        <v>0</v>
      </c>
      <c r="Z2687" s="109">
        <f t="shared" si="1218"/>
        <v>0</v>
      </c>
      <c r="AA2687" s="2"/>
      <c r="AB2687" s="2"/>
      <c r="AC2687" s="2"/>
      <c r="AD2687" s="2"/>
      <c r="AE2687" s="2"/>
      <c r="AF2687" s="2"/>
      <c r="AG2687" s="2"/>
      <c r="AH2687" s="2"/>
      <c r="AI2687" s="2"/>
      <c r="AJ2687" s="2"/>
      <c r="AK2687" s="2"/>
      <c r="AL2687" s="2"/>
    </row>
    <row r="2688" spans="1:38" s="534" customFormat="1" ht="12.75" customHeight="1" thickBot="1" x14ac:dyDescent="0.3">
      <c r="A2688" s="343"/>
      <c r="B2688" s="178"/>
      <c r="C2688" s="779"/>
      <c r="D2688" s="416" t="s">
        <v>1209</v>
      </c>
      <c r="E2688" s="2613" t="str">
        <f>Translations!$B$637</f>
        <v>Särskild emissionsfaktor (importerad restgas)</v>
      </c>
      <c r="F2688" s="1997"/>
      <c r="G2688" s="363" t="str">
        <f>EUconst_tCO2pTJ</f>
        <v>t CO2 / TJ</v>
      </c>
      <c r="H2688" s="1315"/>
      <c r="I2688" s="1316"/>
      <c r="J2688" s="1317"/>
      <c r="K2688" s="1315"/>
      <c r="L2688" s="1315"/>
      <c r="M2688" s="1315"/>
      <c r="N2688" s="1318"/>
      <c r="O2688" s="15"/>
      <c r="P2688" s="1362"/>
      <c r="Q2688" s="165" t="str">
        <f>EUconst_CNTR_WGImportEF &amp; I2429</f>
        <v>WasteGasImEF_</v>
      </c>
      <c r="R2688" s="343"/>
      <c r="S2688" s="773" t="str">
        <f>EUconst_CNTR_AttributedEmissions &amp; I2429</f>
        <v>AttrEmissions_</v>
      </c>
      <c r="T2688" s="111" t="str">
        <f t="shared" ref="T2688:Z2688" si="1219">IF(T2437,SUM(H2687)*EUconst_FuelBMvalue,"")</f>
        <v/>
      </c>
      <c r="U2688" s="111" t="str">
        <f t="shared" si="1219"/>
        <v/>
      </c>
      <c r="V2688" s="111" t="str">
        <f t="shared" si="1219"/>
        <v/>
      </c>
      <c r="W2688" s="111" t="str">
        <f t="shared" si="1219"/>
        <v/>
      </c>
      <c r="X2688" s="111" t="str">
        <f t="shared" si="1219"/>
        <v/>
      </c>
      <c r="Y2688" s="111" t="str">
        <f t="shared" si="1219"/>
        <v/>
      </c>
      <c r="Z2688" s="112" t="str">
        <f t="shared" si="1219"/>
        <v/>
      </c>
      <c r="AA2688" s="343"/>
      <c r="AB2688" s="672" t="s">
        <v>782</v>
      </c>
      <c r="AC2688" s="108" t="b">
        <f>AC2686</f>
        <v>0</v>
      </c>
      <c r="AD2688" s="108" t="b">
        <f t="shared" ref="AD2688:AI2688" si="1220">AD2686</f>
        <v>0</v>
      </c>
      <c r="AE2688" s="108" t="b">
        <f t="shared" si="1220"/>
        <v>0</v>
      </c>
      <c r="AF2688" s="108" t="b">
        <f t="shared" si="1220"/>
        <v>0</v>
      </c>
      <c r="AG2688" s="108" t="b">
        <f t="shared" si="1220"/>
        <v>0</v>
      </c>
      <c r="AH2688" s="108" t="b">
        <f t="shared" si="1220"/>
        <v>0</v>
      </c>
      <c r="AI2688" s="108" t="b">
        <f t="shared" si="1220"/>
        <v>0</v>
      </c>
      <c r="AJ2688" s="553" t="s">
        <v>2248</v>
      </c>
      <c r="AK2688" s="663" t="str">
        <f>IF(AND(CNTR_ExistSubInstEntries,MSconst_RequireSubAttrEmissions,COUNTIFS(AC2688:AI2688,FALSE,H2688:N2688,"")&gt;0),EUconst_Error&amp;"BM"&amp;$Q2429,"")</f>
        <v/>
      </c>
      <c r="AL2688" s="2"/>
    </row>
    <row r="2689" spans="1:38" ht="12.75" customHeight="1" x14ac:dyDescent="0.25">
      <c r="A2689" s="2"/>
      <c r="B2689" s="178"/>
      <c r="C2689" s="779"/>
      <c r="D2689" s="780"/>
      <c r="E2689" s="780"/>
      <c r="F2689" s="780"/>
      <c r="G2689" s="780"/>
      <c r="H2689" s="1805"/>
      <c r="I2689" s="780"/>
      <c r="J2689" s="780"/>
      <c r="K2689" s="780"/>
      <c r="L2689" s="780"/>
      <c r="M2689" s="623"/>
      <c r="N2689" s="519"/>
      <c r="O2689" s="15"/>
      <c r="P2689" s="15"/>
      <c r="Q2689" s="343"/>
      <c r="R2689" s="2"/>
      <c r="S2689" s="343"/>
      <c r="T2689" s="343"/>
      <c r="U2689" s="343"/>
      <c r="V2689" s="343"/>
      <c r="W2689" s="2"/>
      <c r="X2689" s="2"/>
      <c r="Y2689" s="2"/>
      <c r="Z2689" s="2"/>
      <c r="AA2689" s="2"/>
      <c r="AB2689" s="2"/>
      <c r="AC2689" s="2"/>
      <c r="AD2689" s="2"/>
      <c r="AE2689" s="2"/>
      <c r="AF2689" s="2"/>
      <c r="AG2689" s="2"/>
      <c r="AH2689" s="2"/>
      <c r="AI2689" s="2"/>
      <c r="AJ2689" s="2"/>
      <c r="AK2689" s="2"/>
      <c r="AL2689" s="2"/>
    </row>
    <row r="2690" spans="1:38" ht="12.75" customHeight="1" x14ac:dyDescent="0.25">
      <c r="A2690" s="2"/>
      <c r="B2690" s="178"/>
      <c r="C2690" s="779"/>
      <c r="D2690" s="416" t="s">
        <v>1210</v>
      </c>
      <c r="E2690" s="2614" t="str">
        <f>Translations!$B$638</f>
        <v>Exporterade restgastyper:</v>
      </c>
      <c r="F2690" s="1960"/>
      <c r="G2690" s="1960"/>
      <c r="H2690" s="2520"/>
      <c r="I2690" s="2621"/>
      <c r="J2690" s="2510"/>
      <c r="K2690" s="2510"/>
      <c r="L2690" s="2510"/>
      <c r="M2690" s="2511"/>
      <c r="N2690" s="1807"/>
      <c r="O2690" s="15"/>
      <c r="P2690" s="1362"/>
      <c r="Q2690" s="343"/>
      <c r="R2690" s="2"/>
      <c r="S2690" s="343"/>
      <c r="T2690" s="2"/>
      <c r="U2690" s="2"/>
      <c r="V2690" s="2"/>
      <c r="W2690" s="2"/>
      <c r="X2690" s="2"/>
      <c r="Y2690" s="2"/>
      <c r="Z2690" s="2"/>
      <c r="AA2690" s="2"/>
      <c r="AB2690" s="2"/>
      <c r="AC2690" s="672" t="s">
        <v>782</v>
      </c>
      <c r="AD2690" s="108" t="b">
        <f>AD2681</f>
        <v>0</v>
      </c>
      <c r="AE2690" s="2"/>
      <c r="AF2690" s="2"/>
      <c r="AG2690" s="2"/>
      <c r="AH2690" s="2"/>
      <c r="AI2690" s="2"/>
      <c r="AJ2690" s="2"/>
      <c r="AK2690" s="2"/>
      <c r="AL2690" s="2"/>
    </row>
    <row r="2691" spans="1:38" ht="12.75" customHeight="1" x14ac:dyDescent="0.25">
      <c r="A2691" s="2"/>
      <c r="B2691" s="178"/>
      <c r="C2691" s="779"/>
      <c r="D2691" s="416"/>
      <c r="E2691" s="2596" t="str">
        <f>Translations!$B$633</f>
        <v>De uppgifter som anges här påverkar de utsläpp som kan tillskrivas i enlighet med avsnitt 10.1.5 i bilaga VII till FAR.</v>
      </c>
      <c r="F2691" s="1960"/>
      <c r="G2691" s="1960"/>
      <c r="H2691" s="1960"/>
      <c r="I2691" s="1960"/>
      <c r="J2691" s="1960"/>
      <c r="K2691" s="1960"/>
      <c r="L2691" s="1960"/>
      <c r="M2691" s="1960"/>
      <c r="N2691" s="2597"/>
      <c r="O2691" s="15"/>
      <c r="P2691" s="15"/>
      <c r="Q2691" s="343"/>
      <c r="R2691" s="2"/>
      <c r="S2691" s="343"/>
      <c r="T2691" s="343"/>
      <c r="U2691" s="343"/>
      <c r="V2691" s="343"/>
      <c r="W2691" s="2"/>
      <c r="X2691" s="2"/>
      <c r="Y2691" s="2"/>
      <c r="Z2691" s="2"/>
      <c r="AA2691" s="2"/>
      <c r="AB2691" s="2"/>
      <c r="AC2691" s="2"/>
      <c r="AD2691" s="2"/>
      <c r="AE2691" s="2"/>
      <c r="AF2691" s="2"/>
      <c r="AG2691" s="2"/>
      <c r="AH2691" s="2"/>
      <c r="AI2691" s="2"/>
      <c r="AJ2691" s="2"/>
      <c r="AK2691" s="2"/>
      <c r="AL2691" s="2"/>
    </row>
    <row r="2692" spans="1:38" ht="25.5" customHeight="1" x14ac:dyDescent="0.25">
      <c r="A2692" s="2"/>
      <c r="B2692" s="178"/>
      <c r="C2692" s="779"/>
      <c r="D2692" s="416"/>
      <c r="E2692" s="2610" t="str">
        <f>Translations!$B$639</f>
        <v>Detta innefattar alla restgastyper som produceras inom delanläggningens systemgränser och som exporteras från delanläggningen till en annan delanläggning samt till eventuella andra anläggningar eller enheter.</v>
      </c>
      <c r="F2692" s="1960"/>
      <c r="G2692" s="1960"/>
      <c r="H2692" s="1960"/>
      <c r="I2692" s="1960"/>
      <c r="J2692" s="1960"/>
      <c r="K2692" s="1960"/>
      <c r="L2692" s="1960"/>
      <c r="M2692" s="1960"/>
      <c r="N2692" s="2597"/>
      <c r="O2692" s="15"/>
      <c r="P2692" s="15"/>
      <c r="Q2692" s="343"/>
      <c r="R2692" s="2"/>
      <c r="S2692" s="343"/>
      <c r="T2692" s="343"/>
      <c r="U2692" s="343"/>
      <c r="V2692" s="343"/>
      <c r="W2692" s="2"/>
      <c r="X2692" s="2"/>
      <c r="Y2692" s="2"/>
      <c r="Z2692" s="2"/>
      <c r="AA2692" s="2"/>
      <c r="AB2692" s="2"/>
      <c r="AC2692" s="2"/>
      <c r="AD2692" s="2"/>
      <c r="AE2692" s="2"/>
      <c r="AF2692" s="2"/>
      <c r="AG2692" s="2"/>
      <c r="AH2692" s="2"/>
      <c r="AI2692" s="2"/>
      <c r="AJ2692" s="2"/>
      <c r="AK2692" s="2"/>
      <c r="AL2692" s="2"/>
    </row>
    <row r="2693" spans="1:38" ht="12.75" customHeight="1" thickBot="1" x14ac:dyDescent="0.3">
      <c r="A2693" s="2"/>
      <c r="B2693" s="178"/>
      <c r="C2693" s="779"/>
      <c r="D2693" s="780"/>
      <c r="E2693" s="1716"/>
      <c r="F2693" s="1717"/>
      <c r="G2693" s="361" t="str">
        <f>EUconst_Unit</f>
        <v>Enhet</v>
      </c>
      <c r="H2693" s="362">
        <f t="shared" ref="H2693:N2693" si="1221">H$3042</f>
        <v>2019</v>
      </c>
      <c r="I2693" s="1103">
        <f t="shared" si="1221"/>
        <v>2020</v>
      </c>
      <c r="J2693" s="1104">
        <f t="shared" si="1221"/>
        <v>2021</v>
      </c>
      <c r="K2693" s="362">
        <f t="shared" si="1221"/>
        <v>2022</v>
      </c>
      <c r="L2693" s="362">
        <f t="shared" si="1221"/>
        <v>2023</v>
      </c>
      <c r="M2693" s="362">
        <f t="shared" si="1221"/>
        <v>2024</v>
      </c>
      <c r="N2693" s="1141">
        <f t="shared" si="1221"/>
        <v>2025</v>
      </c>
      <c r="O2693" s="15"/>
      <c r="P2693" s="15"/>
      <c r="Q2693" s="343"/>
      <c r="R2693" s="2"/>
      <c r="S2693" s="343"/>
      <c r="T2693" s="343"/>
      <c r="U2693" s="343"/>
      <c r="V2693" s="343"/>
      <c r="W2693" s="2"/>
      <c r="X2693" s="2"/>
      <c r="Y2693" s="2"/>
      <c r="Z2693" s="2"/>
      <c r="AA2693" s="2"/>
      <c r="AB2693" s="2"/>
      <c r="AC2693" s="1044">
        <f t="shared" ref="AC2693:AI2693" si="1222">H$20</f>
        <v>2019</v>
      </c>
      <c r="AD2693" s="1044">
        <f t="shared" si="1222"/>
        <v>2020</v>
      </c>
      <c r="AE2693" s="1044">
        <f t="shared" si="1222"/>
        <v>2021</v>
      </c>
      <c r="AF2693" s="1044">
        <f t="shared" si="1222"/>
        <v>2022</v>
      </c>
      <c r="AG2693" s="1044">
        <f t="shared" si="1222"/>
        <v>2023</v>
      </c>
      <c r="AH2693" s="1044">
        <f t="shared" si="1222"/>
        <v>2024</v>
      </c>
      <c r="AI2693" s="1044">
        <f t="shared" si="1222"/>
        <v>2025</v>
      </c>
      <c r="AJ2693" s="2"/>
      <c r="AK2693" s="2"/>
      <c r="AL2693" s="2"/>
    </row>
    <row r="2694" spans="1:38" ht="12.75" customHeight="1" x14ac:dyDescent="0.25">
      <c r="A2694" s="2"/>
      <c r="B2694" s="178"/>
      <c r="C2694" s="779"/>
      <c r="D2694" s="416" t="s">
        <v>1211</v>
      </c>
      <c r="E2694" s="2611" t="str">
        <f>Translations!$B$640</f>
        <v>Exporterade mängder</v>
      </c>
      <c r="F2694" s="2484"/>
      <c r="G2694" s="1314"/>
      <c r="H2694" s="1298"/>
      <c r="I2694" s="1299"/>
      <c r="J2694" s="1300"/>
      <c r="K2694" s="1298"/>
      <c r="L2694" s="1298"/>
      <c r="M2694" s="1298"/>
      <c r="N2694" s="1301"/>
      <c r="O2694" s="15"/>
      <c r="P2694" s="1362"/>
      <c r="Q2694" s="343"/>
      <c r="R2694" s="2"/>
      <c r="S2694" s="343"/>
      <c r="T2694" s="343"/>
      <c r="U2694" s="343"/>
      <c r="V2694" s="343"/>
      <c r="W2694" s="2"/>
      <c r="X2694" s="2"/>
      <c r="Y2694" s="2"/>
      <c r="Z2694" s="2"/>
      <c r="AA2694" s="2"/>
      <c r="AB2694" s="672" t="s">
        <v>782</v>
      </c>
      <c r="AC2694" s="108" t="b">
        <f>AC2641</f>
        <v>0</v>
      </c>
      <c r="AD2694" s="108" t="b">
        <f t="shared" ref="AD2694:AI2694" si="1223">AD2641</f>
        <v>0</v>
      </c>
      <c r="AE2694" s="108" t="b">
        <f t="shared" si="1223"/>
        <v>0</v>
      </c>
      <c r="AF2694" s="108" t="b">
        <f t="shared" si="1223"/>
        <v>0</v>
      </c>
      <c r="AG2694" s="108" t="b">
        <f t="shared" si="1223"/>
        <v>0</v>
      </c>
      <c r="AH2694" s="108" t="b">
        <f t="shared" si="1223"/>
        <v>0</v>
      </c>
      <c r="AI2694" s="108" t="b">
        <f t="shared" si="1223"/>
        <v>0</v>
      </c>
      <c r="AJ2694" s="553" t="s">
        <v>2248</v>
      </c>
      <c r="AK2694" s="663" t="str">
        <f>IF(AND(CNTR_ExistSubInstEntries,MSconst_RequireSubAttrEmissions,COUNTIFS(AC2694:AI2694,FALSE,H2694:N2694,"")&gt;0),EUconst_Error&amp;"BM"&amp;$Q2429,"")</f>
        <v/>
      </c>
      <c r="AL2694" s="2"/>
    </row>
    <row r="2695" spans="1:38" ht="12.75" customHeight="1" thickBot="1" x14ac:dyDescent="0.3">
      <c r="A2695" s="2"/>
      <c r="B2695" s="178"/>
      <c r="C2695" s="779"/>
      <c r="D2695" s="416" t="s">
        <v>1733</v>
      </c>
      <c r="E2695" s="2612" t="str">
        <f>Translations!$B$318</f>
        <v>Effektivt värmevärde</v>
      </c>
      <c r="F2695" s="2487"/>
      <c r="G2695" s="51" t="str">
        <f>IF(ISBLANK(G2694),EUconst_GJperUnit,INDEX(EUconst_GJperTorKNm3,MATCH(G2694,EUconst_TonnesOrkNm3pa,0)))</f>
        <v>GJ / Enhet</v>
      </c>
      <c r="H2695" s="1306"/>
      <c r="I2695" s="1307"/>
      <c r="J2695" s="1308"/>
      <c r="K2695" s="1306"/>
      <c r="L2695" s="1306"/>
      <c r="M2695" s="1306"/>
      <c r="N2695" s="1309"/>
      <c r="O2695" s="15"/>
      <c r="P2695" s="1362"/>
      <c r="Q2695" s="343"/>
      <c r="R2695" s="2"/>
      <c r="S2695" s="343"/>
      <c r="T2695" s="343"/>
      <c r="U2695" s="343"/>
      <c r="V2695" s="343"/>
      <c r="W2695" s="2"/>
      <c r="X2695" s="2"/>
      <c r="Y2695" s="2"/>
      <c r="Z2695" s="2"/>
      <c r="AA2695" s="2"/>
      <c r="AB2695" s="2"/>
      <c r="AC2695" s="108" t="b">
        <f>AC2694</f>
        <v>0</v>
      </c>
      <c r="AD2695" s="108" t="b">
        <f t="shared" ref="AD2695:AI2695" si="1224">AD2694</f>
        <v>0</v>
      </c>
      <c r="AE2695" s="108" t="b">
        <f t="shared" si="1224"/>
        <v>0</v>
      </c>
      <c r="AF2695" s="108" t="b">
        <f t="shared" si="1224"/>
        <v>0</v>
      </c>
      <c r="AG2695" s="108" t="b">
        <f t="shared" si="1224"/>
        <v>0</v>
      </c>
      <c r="AH2695" s="108" t="b">
        <f t="shared" si="1224"/>
        <v>0</v>
      </c>
      <c r="AI2695" s="108" t="b">
        <f t="shared" si="1224"/>
        <v>0</v>
      </c>
      <c r="AJ2695" s="553" t="s">
        <v>2248</v>
      </c>
      <c r="AK2695" s="663" t="str">
        <f>IF(AND(CNTR_ExistSubInstEntries,MSconst_RequireSubAttrEmissions,COUNTIFS(AC2695:AI2695,FALSE,H2695:N2695,"")&gt;0),EUconst_Error&amp;"BM"&amp;$Q2429,"")</f>
        <v/>
      </c>
      <c r="AL2695" s="2"/>
    </row>
    <row r="2696" spans="1:38" ht="12.75" customHeight="1" x14ac:dyDescent="0.25">
      <c r="A2696" s="2"/>
      <c r="B2696" s="178"/>
      <c r="C2696" s="779"/>
      <c r="D2696" s="416" t="s">
        <v>1787</v>
      </c>
      <c r="E2696" s="2613" t="str">
        <f>Translations!$B$641</f>
        <v>Exporterad restgas</v>
      </c>
      <c r="F2696" s="1997"/>
      <c r="G2696" s="364" t="str">
        <f>EUconst_TJpa</f>
        <v>TJ / år</v>
      </c>
      <c r="H2696" s="351" t="str">
        <f t="shared" ref="H2696:N2696" si="1225">IF(COUNT(H2694:H2695)=2,H2694*H2695/1000,"")</f>
        <v/>
      </c>
      <c r="I2696" s="1107" t="str">
        <f t="shared" si="1225"/>
        <v/>
      </c>
      <c r="J2696" s="1113" t="str">
        <f t="shared" si="1225"/>
        <v/>
      </c>
      <c r="K2696" s="351" t="str">
        <f t="shared" si="1225"/>
        <v/>
      </c>
      <c r="L2696" s="351" t="str">
        <f t="shared" si="1225"/>
        <v/>
      </c>
      <c r="M2696" s="351" t="str">
        <f t="shared" si="1225"/>
        <v/>
      </c>
      <c r="N2696" s="1148" t="str">
        <f t="shared" si="1225"/>
        <v/>
      </c>
      <c r="O2696" s="15"/>
      <c r="P2696" s="15"/>
      <c r="Q2696" s="165" t="str">
        <f>EUconst_CNTR_WGExport &amp; I2429</f>
        <v>WasteGasEx_</v>
      </c>
      <c r="R2696" s="2"/>
      <c r="S2696" s="772"/>
      <c r="T2696" s="609">
        <f t="shared" ref="T2696:Z2696" si="1226">H2693</f>
        <v>2019</v>
      </c>
      <c r="U2696" s="609">
        <f t="shared" si="1226"/>
        <v>2020</v>
      </c>
      <c r="V2696" s="609">
        <f t="shared" si="1226"/>
        <v>2021</v>
      </c>
      <c r="W2696" s="609">
        <f t="shared" si="1226"/>
        <v>2022</v>
      </c>
      <c r="X2696" s="609">
        <f t="shared" si="1226"/>
        <v>2023</v>
      </c>
      <c r="Y2696" s="609">
        <f t="shared" si="1226"/>
        <v>2024</v>
      </c>
      <c r="Z2696" s="610">
        <f t="shared" si="1226"/>
        <v>2025</v>
      </c>
      <c r="AA2696" s="2"/>
      <c r="AB2696" s="2"/>
      <c r="AC2696" s="2"/>
      <c r="AD2696" s="2"/>
      <c r="AE2696" s="2"/>
      <c r="AF2696" s="2"/>
      <c r="AG2696" s="2"/>
      <c r="AH2696" s="2"/>
      <c r="AI2696" s="2"/>
      <c r="AJ2696" s="2"/>
      <c r="AK2696" s="2"/>
      <c r="AL2696" s="2"/>
    </row>
    <row r="2697" spans="1:38" s="534" customFormat="1" ht="12.75" customHeight="1" thickBot="1" x14ac:dyDescent="0.3">
      <c r="A2697" s="2"/>
      <c r="B2697" s="178"/>
      <c r="C2697" s="779"/>
      <c r="D2697" s="416" t="s">
        <v>1788</v>
      </c>
      <c r="E2697" s="2613" t="str">
        <f>Translations!$B$642</f>
        <v>Särskild emissionsfaktor (exporterad restgas)</v>
      </c>
      <c r="F2697" s="1997"/>
      <c r="G2697" s="363" t="str">
        <f>EUconst_tCO2pTJ</f>
        <v>t CO2 / TJ</v>
      </c>
      <c r="H2697" s="1315"/>
      <c r="I2697" s="1316"/>
      <c r="J2697" s="1317"/>
      <c r="K2697" s="1315"/>
      <c r="L2697" s="1315"/>
      <c r="M2697" s="1315"/>
      <c r="N2697" s="1318"/>
      <c r="O2697" s="15"/>
      <c r="P2697" s="1362"/>
      <c r="Q2697" s="165" t="str">
        <f>EUconst_CNTR_WGExportEF &amp; I2429</f>
        <v>WasteGasExEF_</v>
      </c>
      <c r="R2697" s="343"/>
      <c r="S2697" s="773" t="str">
        <f>EUconst_CNTR_AttributedEmissions &amp; I2429</f>
        <v>AttrEmissions_</v>
      </c>
      <c r="T2697" s="111" t="str">
        <f t="shared" ref="T2697:Z2697" si="1227">IF(T2437,-SUM(H2696)*EUconst_NGEFvalue*EUconst_WasteGasCorrFactor,"")</f>
        <v/>
      </c>
      <c r="U2697" s="111" t="str">
        <f t="shared" si="1227"/>
        <v/>
      </c>
      <c r="V2697" s="111" t="str">
        <f t="shared" si="1227"/>
        <v/>
      </c>
      <c r="W2697" s="111" t="str">
        <f t="shared" si="1227"/>
        <v/>
      </c>
      <c r="X2697" s="111" t="str">
        <f t="shared" si="1227"/>
        <v/>
      </c>
      <c r="Y2697" s="111" t="str">
        <f t="shared" si="1227"/>
        <v/>
      </c>
      <c r="Z2697" s="112" t="str">
        <f t="shared" si="1227"/>
        <v/>
      </c>
      <c r="AA2697" s="343"/>
      <c r="AB2697" s="672" t="s">
        <v>782</v>
      </c>
      <c r="AC2697" s="108" t="b">
        <f t="shared" ref="AC2697:AI2697" si="1228">AC2644</f>
        <v>0</v>
      </c>
      <c r="AD2697" s="108" t="b">
        <f t="shared" si="1228"/>
        <v>0</v>
      </c>
      <c r="AE2697" s="108" t="b">
        <f t="shared" si="1228"/>
        <v>0</v>
      </c>
      <c r="AF2697" s="108" t="b">
        <f t="shared" si="1228"/>
        <v>0</v>
      </c>
      <c r="AG2697" s="108" t="b">
        <f t="shared" si="1228"/>
        <v>0</v>
      </c>
      <c r="AH2697" s="108" t="b">
        <f t="shared" si="1228"/>
        <v>0</v>
      </c>
      <c r="AI2697" s="108" t="b">
        <f t="shared" si="1228"/>
        <v>0</v>
      </c>
      <c r="AJ2697" s="553" t="s">
        <v>2248</v>
      </c>
      <c r="AK2697" s="663" t="str">
        <f>IF(AND(CNTR_ExistSubInstEntries,MSconst_RequireSubAttrEmissions,COUNTIFS(AC2697:AI2697,FALSE,H2697:N2697,"")&gt;0),EUconst_Error&amp;"BM"&amp;$Q2429,"")</f>
        <v/>
      </c>
      <c r="AL2697" s="2"/>
    </row>
    <row r="2698" spans="1:38" ht="12.75" customHeight="1" x14ac:dyDescent="0.25">
      <c r="A2698" s="2"/>
      <c r="B2698" s="178"/>
      <c r="C2698" s="779"/>
      <c r="D2698" s="780"/>
      <c r="E2698" s="780"/>
      <c r="F2698" s="780"/>
      <c r="G2698" s="780"/>
      <c r="H2698" s="780"/>
      <c r="I2698" s="1805"/>
      <c r="J2698" s="780"/>
      <c r="K2698" s="780"/>
      <c r="L2698" s="780"/>
      <c r="M2698" s="780"/>
      <c r="N2698" s="519"/>
      <c r="O2698" s="15"/>
      <c r="P2698" s="15"/>
      <c r="Q2698" s="343"/>
      <c r="R2698" s="2"/>
      <c r="S2698" s="343"/>
      <c r="T2698" s="2"/>
      <c r="U2698" s="2"/>
      <c r="V2698" s="2"/>
      <c r="W2698" s="2"/>
      <c r="X2698" s="2"/>
      <c r="Y2698" s="2"/>
      <c r="Z2698" s="2"/>
      <c r="AA2698" s="2"/>
      <c r="AB2698" s="2"/>
      <c r="AC2698" s="2"/>
      <c r="AD2698" s="2"/>
      <c r="AE2698" s="2"/>
      <c r="AF2698" s="2"/>
      <c r="AG2698" s="2"/>
      <c r="AH2698" s="2"/>
      <c r="AI2698" s="2"/>
      <c r="AJ2698" s="2"/>
      <c r="AK2698" s="2"/>
      <c r="AL2698" s="2"/>
    </row>
    <row r="2699" spans="1:38" ht="12.75" customHeight="1" x14ac:dyDescent="0.25">
      <c r="A2699" s="2"/>
      <c r="B2699" s="178"/>
      <c r="C2699" s="779"/>
      <c r="D2699" s="373" t="s">
        <v>527</v>
      </c>
      <c r="E2699" s="2614" t="str">
        <f>Translations!$B$268</f>
        <v>Elproduktion</v>
      </c>
      <c r="F2699" s="1960"/>
      <c r="G2699" s="1960"/>
      <c r="H2699" s="1960"/>
      <c r="I2699" s="1960"/>
      <c r="J2699" s="1960"/>
      <c r="K2699" s="1960"/>
      <c r="L2699" s="1960"/>
      <c r="M2699" s="1960"/>
      <c r="N2699" s="2597"/>
      <c r="O2699" s="15"/>
      <c r="P2699" s="15"/>
      <c r="Q2699" s="343"/>
      <c r="R2699" s="2"/>
      <c r="S2699" s="343"/>
      <c r="T2699" s="2"/>
      <c r="U2699" s="2"/>
      <c r="V2699" s="2"/>
      <c r="W2699" s="2"/>
      <c r="X2699" s="2"/>
      <c r="Y2699" s="2"/>
      <c r="Z2699" s="2"/>
      <c r="AA2699" s="2"/>
      <c r="AB2699" s="2"/>
      <c r="AC2699" s="2"/>
      <c r="AD2699" s="2"/>
      <c r="AE2699" s="2"/>
      <c r="AF2699" s="2"/>
      <c r="AG2699" s="2"/>
      <c r="AH2699" s="2"/>
      <c r="AI2699" s="2"/>
      <c r="AJ2699" s="2"/>
      <c r="AK2699" s="2"/>
      <c r="AL2699" s="2"/>
    </row>
    <row r="2700" spans="1:38" ht="12.75" customHeight="1" x14ac:dyDescent="0.25">
      <c r="A2700" s="2"/>
      <c r="B2700" s="178"/>
      <c r="C2700" s="779"/>
      <c r="D2700" s="416"/>
      <c r="E2700" s="2596" t="str">
        <f>Translations!$B$643</f>
        <v>De uppgifter som anges här påverkar de utsläpp som kan tillskrivas i enlighet med kapitel 10 i bilaga VII till FAR.</v>
      </c>
      <c r="F2700" s="1960"/>
      <c r="G2700" s="1960"/>
      <c r="H2700" s="1960"/>
      <c r="I2700" s="1960"/>
      <c r="J2700" s="1960"/>
      <c r="K2700" s="1960"/>
      <c r="L2700" s="1960"/>
      <c r="M2700" s="1960"/>
      <c r="N2700" s="2597"/>
      <c r="O2700" s="15"/>
      <c r="P2700" s="15"/>
      <c r="Q2700" s="343"/>
      <c r="R2700" s="2"/>
      <c r="S2700" s="343"/>
      <c r="T2700" s="343"/>
      <c r="U2700" s="343"/>
      <c r="V2700" s="343"/>
      <c r="W2700" s="2"/>
      <c r="X2700" s="2"/>
      <c r="Y2700" s="2"/>
      <c r="Z2700" s="2"/>
      <c r="AA2700" s="2"/>
      <c r="AB2700" s="2"/>
      <c r="AC2700" s="2"/>
      <c r="AD2700" s="2"/>
      <c r="AE2700" s="2"/>
      <c r="AF2700" s="2"/>
      <c r="AG2700" s="2"/>
      <c r="AH2700" s="2"/>
      <c r="AI2700" s="2"/>
      <c r="AJ2700" s="2"/>
      <c r="AK2700" s="2"/>
      <c r="AL2700" s="2"/>
    </row>
    <row r="2701" spans="1:38" ht="25.5" customHeight="1" thickBot="1" x14ac:dyDescent="0.3">
      <c r="A2701" s="2"/>
      <c r="B2701" s="178"/>
      <c r="C2701" s="779"/>
      <c r="D2701" s="780"/>
      <c r="E2701" s="2610" t="str">
        <f>Translations!$B$644</f>
        <v>Detta innefattar el som produceras direkt från delanläggningen i enlighet med avsnitt 3.1 (i) i bilaga IV till FAR. El som produceras via intermediär mätbar värme bör inte anges här utan som export av mätbar värme i punkt k.v ovan.</v>
      </c>
      <c r="F2701" s="1960"/>
      <c r="G2701" s="1960"/>
      <c r="H2701" s="1960"/>
      <c r="I2701" s="1960"/>
      <c r="J2701" s="1960"/>
      <c r="K2701" s="1960"/>
      <c r="L2701" s="1960"/>
      <c r="M2701" s="1960"/>
      <c r="N2701" s="2597"/>
      <c r="O2701" s="15"/>
      <c r="P2701" s="15"/>
      <c r="Q2701" s="343"/>
      <c r="R2701" s="2"/>
      <c r="S2701" s="343"/>
      <c r="T2701" s="2"/>
      <c r="U2701" s="2"/>
      <c r="V2701" s="2"/>
      <c r="W2701" s="2"/>
      <c r="X2701" s="2"/>
      <c r="Y2701" s="2"/>
      <c r="Z2701" s="2"/>
      <c r="AA2701" s="2"/>
      <c r="AB2701" s="2"/>
      <c r="AC2701" s="2"/>
      <c r="AD2701" s="2"/>
      <c r="AE2701" s="2"/>
      <c r="AF2701" s="2"/>
      <c r="AG2701" s="2"/>
      <c r="AH2701" s="2"/>
      <c r="AI2701" s="2"/>
      <c r="AJ2701" s="2"/>
      <c r="AK2701" s="2"/>
      <c r="AL2701" s="2"/>
    </row>
    <row r="2702" spans="1:38" ht="12.75" customHeight="1" thickBot="1" x14ac:dyDescent="0.3">
      <c r="A2702" s="2"/>
      <c r="B2702" s="178"/>
      <c r="C2702" s="779"/>
      <c r="D2702" s="373"/>
      <c r="E2702" s="1716"/>
      <c r="F2702" s="1717"/>
      <c r="G2702" s="361" t="str">
        <f>EUconst_Unit</f>
        <v>Enhet</v>
      </c>
      <c r="H2702" s="362">
        <f t="shared" ref="H2702:N2702" si="1229">H$3042</f>
        <v>2019</v>
      </c>
      <c r="I2702" s="1103">
        <f t="shared" si="1229"/>
        <v>2020</v>
      </c>
      <c r="J2702" s="1104">
        <f t="shared" si="1229"/>
        <v>2021</v>
      </c>
      <c r="K2702" s="362">
        <f t="shared" si="1229"/>
        <v>2022</v>
      </c>
      <c r="L2702" s="362">
        <f t="shared" si="1229"/>
        <v>2023</v>
      </c>
      <c r="M2702" s="362">
        <f t="shared" si="1229"/>
        <v>2024</v>
      </c>
      <c r="N2702" s="1141">
        <f t="shared" si="1229"/>
        <v>2025</v>
      </c>
      <c r="O2702" s="15"/>
      <c r="P2702" s="15"/>
      <c r="Q2702" s="343"/>
      <c r="R2702" s="2"/>
      <c r="S2702" s="772"/>
      <c r="T2702" s="609">
        <f t="shared" ref="T2702:Z2702" si="1230">H2702</f>
        <v>2019</v>
      </c>
      <c r="U2702" s="609">
        <f t="shared" si="1230"/>
        <v>2020</v>
      </c>
      <c r="V2702" s="609">
        <f t="shared" si="1230"/>
        <v>2021</v>
      </c>
      <c r="W2702" s="609">
        <f t="shared" si="1230"/>
        <v>2022</v>
      </c>
      <c r="X2702" s="609">
        <f t="shared" si="1230"/>
        <v>2023</v>
      </c>
      <c r="Y2702" s="609">
        <f t="shared" si="1230"/>
        <v>2024</v>
      </c>
      <c r="Z2702" s="610">
        <f t="shared" si="1230"/>
        <v>2025</v>
      </c>
      <c r="AA2702" s="2"/>
      <c r="AB2702" s="2"/>
      <c r="AC2702" s="1044">
        <f t="shared" ref="AC2702:AI2702" si="1231">H$20</f>
        <v>2019</v>
      </c>
      <c r="AD2702" s="1044">
        <f t="shared" si="1231"/>
        <v>2020</v>
      </c>
      <c r="AE2702" s="1044">
        <f t="shared" si="1231"/>
        <v>2021</v>
      </c>
      <c r="AF2702" s="1044">
        <f t="shared" si="1231"/>
        <v>2022</v>
      </c>
      <c r="AG2702" s="1044">
        <f t="shared" si="1231"/>
        <v>2023</v>
      </c>
      <c r="AH2702" s="1044">
        <f t="shared" si="1231"/>
        <v>2024</v>
      </c>
      <c r="AI2702" s="1044">
        <f t="shared" si="1231"/>
        <v>2025</v>
      </c>
      <c r="AJ2702" s="2"/>
      <c r="AK2702" s="2"/>
      <c r="AL2702" s="2"/>
    </row>
    <row r="2703" spans="1:38" ht="12.75" customHeight="1" thickBot="1" x14ac:dyDescent="0.3">
      <c r="A2703" s="2"/>
      <c r="B2703" s="178"/>
      <c r="C2703" s="779"/>
      <c r="D2703" s="416"/>
      <c r="E2703" s="2613" t="str">
        <f>Translations!$B$645</f>
        <v>Producerad el</v>
      </c>
      <c r="F2703" s="1997"/>
      <c r="G2703" s="364" t="str">
        <f>EUconst_MWhpa</f>
        <v>MWh / år</v>
      </c>
      <c r="H2703" s="582"/>
      <c r="I2703" s="1105"/>
      <c r="J2703" s="1115"/>
      <c r="K2703" s="582"/>
      <c r="L2703" s="582"/>
      <c r="M2703" s="582"/>
      <c r="N2703" s="1146"/>
      <c r="O2703" s="15"/>
      <c r="P2703" s="1362"/>
      <c r="Q2703" s="165" t="str">
        <f>EUconst_CNTR_ElectricityExported &amp; I2429</f>
        <v>ElecEx_</v>
      </c>
      <c r="R2703" s="2"/>
      <c r="S2703" s="773" t="str">
        <f>EUconst_CNTR_AttributedEmissions &amp; I2429</f>
        <v>AttrEmissions_</v>
      </c>
      <c r="T2703" s="111" t="str">
        <f t="shared" ref="T2703:Z2703" si="1232">IF(T2437,-SUM(H2703)*EUconst_ElBM,"")</f>
        <v/>
      </c>
      <c r="U2703" s="111" t="str">
        <f t="shared" si="1232"/>
        <v/>
      </c>
      <c r="V2703" s="111" t="str">
        <f t="shared" si="1232"/>
        <v/>
      </c>
      <c r="W2703" s="111" t="str">
        <f t="shared" si="1232"/>
        <v/>
      </c>
      <c r="X2703" s="111" t="str">
        <f t="shared" si="1232"/>
        <v/>
      </c>
      <c r="Y2703" s="111" t="str">
        <f t="shared" si="1232"/>
        <v/>
      </c>
      <c r="Z2703" s="112" t="str">
        <f t="shared" si="1232"/>
        <v/>
      </c>
      <c r="AA2703" s="2"/>
      <c r="AB2703" s="672" t="s">
        <v>782</v>
      </c>
      <c r="AC2703" s="108" t="b">
        <f>AC2499</f>
        <v>0</v>
      </c>
      <c r="AD2703" s="108" t="b">
        <f t="shared" ref="AD2703:AI2703" si="1233">AD2499</f>
        <v>0</v>
      </c>
      <c r="AE2703" s="108" t="b">
        <f t="shared" si="1233"/>
        <v>0</v>
      </c>
      <c r="AF2703" s="108" t="b">
        <f t="shared" si="1233"/>
        <v>0</v>
      </c>
      <c r="AG2703" s="108" t="b">
        <f t="shared" si="1233"/>
        <v>0</v>
      </c>
      <c r="AH2703" s="108" t="b">
        <f t="shared" si="1233"/>
        <v>0</v>
      </c>
      <c r="AI2703" s="108" t="b">
        <f t="shared" si="1233"/>
        <v>0</v>
      </c>
      <c r="AJ2703" s="553" t="s">
        <v>2248</v>
      </c>
      <c r="AK2703" s="663" t="str">
        <f>IF(AND(CNTR_ExistSubInstEntries,MSconst_RequireSubAttrEmissions,COUNTIFS(AC2703:AI2703,FALSE,H2703:N2703,"")&gt;0),EUconst_Error&amp;"BM"&amp;$Q2429,"")</f>
        <v/>
      </c>
      <c r="AL2703" s="2"/>
    </row>
    <row r="2704" spans="1:38" ht="12.75" customHeight="1" x14ac:dyDescent="0.25">
      <c r="A2704" s="2"/>
      <c r="B2704" s="178"/>
      <c r="C2704" s="779"/>
      <c r="D2704" s="780"/>
      <c r="E2704" s="780"/>
      <c r="F2704" s="780"/>
      <c r="G2704" s="780"/>
      <c r="H2704" s="780"/>
      <c r="I2704" s="1805"/>
      <c r="J2704" s="780"/>
      <c r="K2704" s="780"/>
      <c r="L2704" s="780"/>
      <c r="M2704" s="780"/>
      <c r="N2704" s="519"/>
      <c r="O2704" s="15"/>
      <c r="P2704" s="15"/>
      <c r="Q2704" s="343"/>
      <c r="R2704" s="2"/>
      <c r="S2704" s="343"/>
      <c r="T2704" s="2"/>
      <c r="U2704" s="2"/>
      <c r="V2704" s="343"/>
      <c r="W2704" s="2"/>
      <c r="X2704" s="2"/>
      <c r="Y2704" s="2"/>
      <c r="Z2704" s="2"/>
      <c r="AA2704" s="2"/>
      <c r="AB2704" s="2"/>
      <c r="AC2704" s="2"/>
      <c r="AD2704" s="2"/>
      <c r="AE2704" s="2"/>
      <c r="AF2704" s="2"/>
      <c r="AG2704" s="2"/>
      <c r="AH2704" s="2"/>
      <c r="AI2704" s="2"/>
      <c r="AJ2704" s="2"/>
      <c r="AK2704" s="2"/>
      <c r="AL2704" s="2"/>
    </row>
    <row r="2705" spans="1:38" ht="12.75" customHeight="1" x14ac:dyDescent="0.25">
      <c r="A2705" s="2"/>
      <c r="B2705" s="178"/>
      <c r="C2705" s="779"/>
      <c r="D2705" s="373" t="s">
        <v>271</v>
      </c>
      <c r="E2705" s="2614" t="str">
        <f>Translations!$B$646</f>
        <v>Total producerad massamängd</v>
      </c>
      <c r="F2705" s="1960"/>
      <c r="G2705" s="1960"/>
      <c r="H2705" s="1960"/>
      <c r="I2705" s="1960"/>
      <c r="J2705" s="1960"/>
      <c r="K2705" s="1960"/>
      <c r="L2705" s="1960"/>
      <c r="M2705" s="1960"/>
      <c r="N2705" s="2597"/>
      <c r="O2705" s="15"/>
      <c r="P2705" s="15"/>
      <c r="Q2705" s="2"/>
      <c r="R2705" s="2"/>
      <c r="S2705" s="2"/>
      <c r="T2705" s="2"/>
      <c r="U2705" s="2"/>
      <c r="V2705" s="343"/>
      <c r="W2705" s="2"/>
      <c r="X2705" s="2"/>
      <c r="Y2705" s="2"/>
      <c r="Z2705" s="2"/>
      <c r="AA2705" s="2"/>
      <c r="AB2705" s="2"/>
      <c r="AC2705" s="2"/>
      <c r="AD2705" s="2"/>
      <c r="AE2705" s="2"/>
      <c r="AF2705" s="2"/>
      <c r="AG2705" s="2"/>
      <c r="AH2705" s="2"/>
      <c r="AI2705" s="2"/>
      <c r="AJ2705" s="2"/>
      <c r="AK2705" s="2"/>
      <c r="AL2705" s="2"/>
    </row>
    <row r="2706" spans="1:38" ht="25.5" customHeight="1" x14ac:dyDescent="0.25">
      <c r="A2706" s="2"/>
      <c r="B2706" s="178"/>
      <c r="C2706" s="779"/>
      <c r="D2706" s="780"/>
      <c r="E2706" s="2610" t="str">
        <f>Translations!$B$647</f>
        <v>Enligt avsnitt 2.7 k i bilaga IV till FAR ska det lämnas uppgift om den totala mängden massa som produceras för delanläggningar med produktriktmärke för kortfibrig sulfatmassa, långfibrig sulfatmassa, termomekanisk massa och mekanisk massa samt sulfitmassa.</v>
      </c>
      <c r="F2706" s="1960"/>
      <c r="G2706" s="1960"/>
      <c r="H2706" s="1960"/>
      <c r="I2706" s="1960"/>
      <c r="J2706" s="1960"/>
      <c r="K2706" s="1960"/>
      <c r="L2706" s="1960"/>
      <c r="M2706" s="1960"/>
      <c r="N2706" s="2597"/>
      <c r="O2706" s="15"/>
      <c r="P2706" s="15"/>
      <c r="Q2706" s="343"/>
      <c r="R2706" s="2"/>
      <c r="S2706" s="343"/>
      <c r="T2706" s="2"/>
      <c r="U2706" s="2"/>
      <c r="V2706" s="343"/>
      <c r="W2706" s="2"/>
      <c r="X2706" s="2"/>
      <c r="Y2706" s="2"/>
      <c r="Z2706" s="2"/>
      <c r="AA2706" s="2"/>
      <c r="AB2706" s="2"/>
      <c r="AC2706" s="2"/>
      <c r="AD2706" s="2"/>
      <c r="AE2706" s="2"/>
      <c r="AF2706" s="2"/>
      <c r="AG2706" s="2"/>
      <c r="AH2706" s="2"/>
      <c r="AI2706" s="2"/>
      <c r="AJ2706" s="2"/>
      <c r="AK2706" s="2"/>
      <c r="AL2706" s="2"/>
    </row>
    <row r="2707" spans="1:38" ht="12.75" customHeight="1" x14ac:dyDescent="0.25">
      <c r="A2707" s="2"/>
      <c r="B2707" s="178"/>
      <c r="C2707" s="779"/>
      <c r="D2707" s="780"/>
      <c r="E2707" s="2610" t="str">
        <f>Translations!$B$648</f>
        <v>Avsnittet kommer att gråmarkeras om det inte rör sig om någon massaproducerande delanläggning av dessa slag. Var god gå vidare till nedanstående punkter, i sådana fall.</v>
      </c>
      <c r="F2707" s="1960"/>
      <c r="G2707" s="1960"/>
      <c r="H2707" s="1960"/>
      <c r="I2707" s="1960"/>
      <c r="J2707" s="1960"/>
      <c r="K2707" s="1960"/>
      <c r="L2707" s="1960"/>
      <c r="M2707" s="1960"/>
      <c r="N2707" s="2597"/>
      <c r="O2707" s="15"/>
      <c r="P2707" s="15"/>
      <c r="Q2707" s="343"/>
      <c r="R2707" s="2"/>
      <c r="S2707" s="343"/>
      <c r="T2707" s="2"/>
      <c r="U2707" s="2"/>
      <c r="V2707" s="343"/>
      <c r="W2707" s="2"/>
      <c r="X2707" s="2"/>
      <c r="Y2707" s="2"/>
      <c r="Z2707" s="2"/>
      <c r="AA2707" s="2"/>
      <c r="AB2707" s="2"/>
      <c r="AC2707" s="2"/>
      <c r="AD2707" s="2"/>
      <c r="AE2707" s="2"/>
      <c r="AF2707" s="2"/>
      <c r="AG2707" s="2"/>
      <c r="AH2707" s="2"/>
      <c r="AI2707" s="2"/>
      <c r="AJ2707" s="2"/>
      <c r="AK2707" s="2"/>
      <c r="AL2707" s="2"/>
    </row>
    <row r="2708" spans="1:38" ht="12.75" customHeight="1" thickBot="1" x14ac:dyDescent="0.3">
      <c r="A2708" s="2"/>
      <c r="B2708" s="178"/>
      <c r="C2708" s="779"/>
      <c r="D2708" s="416"/>
      <c r="E2708" s="2615" t="str">
        <f>Translations!$B$649</f>
        <v>De uppgifter som anges här är relevanta för uppdateringen av det särskilda riktmärket för massa.</v>
      </c>
      <c r="F2708" s="2497"/>
      <c r="G2708" s="2497"/>
      <c r="H2708" s="2497"/>
      <c r="I2708" s="2497"/>
      <c r="J2708" s="2497"/>
      <c r="K2708" s="2497"/>
      <c r="L2708" s="2497"/>
      <c r="M2708" s="2497"/>
      <c r="N2708" s="2616"/>
      <c r="O2708" s="15"/>
      <c r="P2708" s="15"/>
      <c r="Q2708" s="343"/>
      <c r="R2708" s="2"/>
      <c r="S2708" s="343"/>
      <c r="T2708" s="2"/>
      <c r="U2708" s="2"/>
      <c r="V2708" s="343"/>
      <c r="W2708" s="2"/>
      <c r="X2708" s="2"/>
      <c r="Y2708" s="2"/>
      <c r="Z2708" s="2"/>
      <c r="AA2708" s="2"/>
      <c r="AB2708" s="2"/>
      <c r="AC2708" s="1044">
        <f t="shared" ref="AC2708:AI2708" si="1234">H$20</f>
        <v>2019</v>
      </c>
      <c r="AD2708" s="1044">
        <f t="shared" si="1234"/>
        <v>2020</v>
      </c>
      <c r="AE2708" s="1044">
        <f t="shared" si="1234"/>
        <v>2021</v>
      </c>
      <c r="AF2708" s="1044">
        <f t="shared" si="1234"/>
        <v>2022</v>
      </c>
      <c r="AG2708" s="1044">
        <f t="shared" si="1234"/>
        <v>2023</v>
      </c>
      <c r="AH2708" s="1044">
        <f t="shared" si="1234"/>
        <v>2024</v>
      </c>
      <c r="AI2708" s="1044">
        <f t="shared" si="1234"/>
        <v>2025</v>
      </c>
      <c r="AJ2708" s="2"/>
      <c r="AK2708" s="2"/>
      <c r="AL2708" s="2"/>
    </row>
    <row r="2709" spans="1:38" ht="12.75" customHeight="1" x14ac:dyDescent="0.25">
      <c r="A2709" s="2"/>
      <c r="B2709" s="178"/>
      <c r="C2709" s="779"/>
      <c r="D2709" s="416"/>
      <c r="E2709" s="2617" t="str">
        <f>IF(I2429="","",IF(INDEX(EUconst_BMlistPulp,MATCH(I2429,EUconst_BMlistNames,0)),I2429,""))</f>
        <v/>
      </c>
      <c r="F2709" s="1997"/>
      <c r="G2709" s="364" t="str">
        <f>EUconst_Tons</f>
        <v>ton</v>
      </c>
      <c r="H2709" s="582"/>
      <c r="I2709" s="1105"/>
      <c r="J2709" s="1115"/>
      <c r="K2709" s="582"/>
      <c r="L2709" s="582"/>
      <c r="M2709" s="582"/>
      <c r="N2709" s="1146"/>
      <c r="O2709" s="15"/>
      <c r="P2709" s="1362"/>
      <c r="Q2709" s="165" t="str">
        <f>EUconst_CNTR_HALPulpTotal &amp; I2429</f>
        <v>HALPulpTotal_</v>
      </c>
      <c r="R2709" s="2"/>
      <c r="S2709" s="343"/>
      <c r="T2709" s="2"/>
      <c r="U2709" s="2"/>
      <c r="V2709" s="2"/>
      <c r="W2709" s="2"/>
      <c r="X2709" s="2"/>
      <c r="Y2709" s="2"/>
      <c r="Z2709" s="2"/>
      <c r="AA2709" s="2"/>
      <c r="AB2709" s="672" t="s">
        <v>782</v>
      </c>
      <c r="AC2709" s="1196" t="b">
        <f t="shared" ref="AC2709:AI2709" si="1235">IF($I2429&lt;&gt;"",IF(INDEX(EUconst_BMlistPulp,MATCH($I2429,EUconst_BMlistNames,0))=TRUE,FALSE,TRUE),AC2499)</f>
        <v>0</v>
      </c>
      <c r="AD2709" s="108" t="b">
        <f t="shared" si="1235"/>
        <v>0</v>
      </c>
      <c r="AE2709" s="108" t="b">
        <f t="shared" si="1235"/>
        <v>0</v>
      </c>
      <c r="AF2709" s="108" t="b">
        <f t="shared" si="1235"/>
        <v>0</v>
      </c>
      <c r="AG2709" s="108" t="b">
        <f t="shared" si="1235"/>
        <v>0</v>
      </c>
      <c r="AH2709" s="108" t="b">
        <f t="shared" si="1235"/>
        <v>0</v>
      </c>
      <c r="AI2709" s="108" t="b">
        <f t="shared" si="1235"/>
        <v>0</v>
      </c>
      <c r="AJ2709" s="553" t="s">
        <v>2248</v>
      </c>
      <c r="AK2709" s="663" t="str">
        <f>IF(AND(CNTR_ExistSubInstEntries,MSconst_RequireSubAttrEmissions,COUNTIFS(AC2709:AI2709,FALSE,H2709:N2709,"")&gt;0),EUconst_Error&amp;"BM"&amp;$Q2429,"")</f>
        <v/>
      </c>
      <c r="AL2709" s="2"/>
    </row>
    <row r="2710" spans="1:38" ht="12.75" customHeight="1" x14ac:dyDescent="0.25">
      <c r="A2710" s="2"/>
      <c r="B2710" s="178"/>
      <c r="C2710" s="779"/>
      <c r="D2710" s="416"/>
      <c r="E2710" s="416"/>
      <c r="F2710" s="416"/>
      <c r="G2710" s="416"/>
      <c r="H2710" s="1805"/>
      <c r="I2710" s="416"/>
      <c r="J2710" s="416"/>
      <c r="K2710" s="416"/>
      <c r="L2710" s="416"/>
      <c r="M2710" s="416"/>
      <c r="N2710" s="1810"/>
      <c r="O2710" s="15"/>
      <c r="P2710" s="15"/>
      <c r="Q2710" s="343"/>
      <c r="R2710" s="2"/>
      <c r="S2710" s="343"/>
      <c r="T2710" s="2"/>
      <c r="U2710" s="2"/>
      <c r="V2710" s="343"/>
      <c r="W2710" s="2"/>
      <c r="X2710" s="2"/>
      <c r="Y2710" s="2"/>
      <c r="Z2710" s="2"/>
      <c r="AA2710" s="2"/>
      <c r="AB2710" s="2"/>
      <c r="AC2710" s="2"/>
      <c r="AD2710" s="2"/>
      <c r="AE2710" s="2"/>
      <c r="AF2710" s="2"/>
      <c r="AG2710" s="2"/>
      <c r="AH2710" s="2"/>
      <c r="AI2710" s="2"/>
      <c r="AJ2710" s="2"/>
      <c r="AK2710" s="2"/>
      <c r="AL2710" s="2"/>
    </row>
    <row r="2711" spans="1:38" ht="12.75" customHeight="1" x14ac:dyDescent="0.25">
      <c r="A2711" s="2"/>
      <c r="B2711" s="178"/>
      <c r="C2711" s="779"/>
      <c r="D2711" s="373" t="s">
        <v>906</v>
      </c>
      <c r="E2711" s="2614" t="str">
        <f>Translations!$B$650</f>
        <v>Import eller export av mellanprodukter som omfattas av produktriktmärken</v>
      </c>
      <c r="F2711" s="1960"/>
      <c r="G2711" s="1960"/>
      <c r="H2711" s="1960"/>
      <c r="I2711" s="1960"/>
      <c r="J2711" s="1960"/>
      <c r="K2711" s="1960"/>
      <c r="L2711" s="1960"/>
      <c r="M2711" s="1960"/>
      <c r="N2711" s="2597"/>
      <c r="O2711" s="15"/>
      <c r="P2711" s="15"/>
      <c r="Q2711" s="343"/>
      <c r="R2711" s="2"/>
      <c r="S2711" s="343"/>
      <c r="T2711" s="2"/>
      <c r="U2711" s="2"/>
      <c r="V2711" s="343"/>
      <c r="W2711" s="2"/>
      <c r="X2711" s="2"/>
      <c r="Y2711" s="2"/>
      <c r="Z2711" s="2"/>
      <c r="AA2711" s="2"/>
      <c r="AB2711" s="2"/>
      <c r="AC2711" s="2"/>
      <c r="AD2711" s="2"/>
      <c r="AE2711" s="2"/>
      <c r="AF2711" s="2"/>
      <c r="AG2711" s="2"/>
      <c r="AH2711" s="2"/>
      <c r="AI2711" s="2"/>
      <c r="AJ2711" s="2"/>
      <c r="AK2711" s="2"/>
      <c r="AL2711" s="2"/>
    </row>
    <row r="2712" spans="1:38" ht="25.5" customHeight="1" x14ac:dyDescent="0.25">
      <c r="A2712" s="2"/>
      <c r="B2712" s="178"/>
      <c r="C2712" s="779"/>
      <c r="D2712" s="780"/>
      <c r="E2712" s="2610" t="str">
        <f>Translations!$B$651</f>
        <v>För att undvika eventuell dubbelräkning eller luckor i tilldelade utsläpp vid fastställandet av de uppdaterade riktmärkena ska man enligt avsnitt 2.7 d i bilaga IV till FAR ange eventuell import eller export av mellanprodukter som omfattas av något av produktriktmärkena i bilaga I till FAR.</v>
      </c>
      <c r="F2712" s="1960"/>
      <c r="G2712" s="1960"/>
      <c r="H2712" s="1960"/>
      <c r="I2712" s="1960"/>
      <c r="J2712" s="1960"/>
      <c r="K2712" s="1960"/>
      <c r="L2712" s="1960"/>
      <c r="M2712" s="1960"/>
      <c r="N2712" s="2597"/>
      <c r="O2712" s="15"/>
      <c r="P2712" s="15"/>
      <c r="Q2712" s="343"/>
      <c r="R2712" s="2"/>
      <c r="S2712" s="343"/>
      <c r="T2712" s="2"/>
      <c r="U2712" s="2"/>
      <c r="V2712" s="343"/>
      <c r="W2712" s="2"/>
      <c r="X2712" s="2"/>
      <c r="Y2712" s="2"/>
      <c r="Z2712" s="2"/>
      <c r="AA2712" s="2"/>
      <c r="AB2712" s="2"/>
      <c r="AC2712" s="2"/>
      <c r="AD2712" s="2"/>
      <c r="AE2712" s="2"/>
      <c r="AF2712" s="2"/>
      <c r="AG2712" s="2"/>
      <c r="AH2712" s="2"/>
      <c r="AI2712" s="2"/>
      <c r="AJ2712" s="2"/>
      <c r="AK2712" s="2"/>
      <c r="AL2712" s="2"/>
    </row>
    <row r="2713" spans="1:38" ht="12.75" customHeight="1" x14ac:dyDescent="0.25">
      <c r="A2713" s="2"/>
      <c r="B2713" s="178"/>
      <c r="C2713" s="779"/>
      <c r="D2713" s="780"/>
      <c r="E2713" s="2596" t="str">
        <f>Translations!$B$652</f>
        <v>De uppgifter som anges här kan påverka uppdateringen av det särskilda riktmärket.</v>
      </c>
      <c r="F2713" s="1960"/>
      <c r="G2713" s="1960"/>
      <c r="H2713" s="1960"/>
      <c r="I2713" s="1960"/>
      <c r="J2713" s="1960"/>
      <c r="K2713" s="1960"/>
      <c r="L2713" s="1960"/>
      <c r="M2713" s="1960"/>
      <c r="N2713" s="2597"/>
      <c r="O2713" s="15"/>
      <c r="P2713" s="15"/>
      <c r="Q2713" s="343"/>
      <c r="R2713" s="2"/>
      <c r="S2713" s="343"/>
      <c r="T2713" s="2"/>
      <c r="U2713" s="2"/>
      <c r="V2713" s="343"/>
      <c r="W2713" s="2"/>
      <c r="X2713" s="2"/>
      <c r="Y2713" s="2"/>
      <c r="Z2713" s="2"/>
      <c r="AA2713" s="2"/>
      <c r="AB2713" s="2"/>
      <c r="AC2713" s="2"/>
      <c r="AD2713" s="2"/>
      <c r="AE2713" s="2"/>
      <c r="AF2713" s="2"/>
      <c r="AG2713" s="2"/>
      <c r="AH2713" s="2"/>
      <c r="AI2713" s="2"/>
      <c r="AJ2713" s="2"/>
      <c r="AK2713" s="2"/>
      <c r="AL2713" s="2"/>
    </row>
    <row r="2714" spans="1:38" ht="12.75" customHeight="1" x14ac:dyDescent="0.25">
      <c r="A2714" s="2"/>
      <c r="B2714" s="19"/>
      <c r="C2714" s="779"/>
      <c r="D2714" s="416" t="s">
        <v>8</v>
      </c>
      <c r="E2714" s="2598" t="str">
        <f>Translations!$B$653</f>
        <v>Förekommer import eller export av mellanprodukter som omfattas av produktriktmärken?</v>
      </c>
      <c r="F2714" s="1960"/>
      <c r="G2714" s="1960"/>
      <c r="H2714" s="1960"/>
      <c r="I2714" s="1960"/>
      <c r="J2714" s="1960"/>
      <c r="K2714" s="2520"/>
      <c r="L2714" s="749"/>
      <c r="M2714" s="360"/>
      <c r="N2714" s="535"/>
      <c r="O2714" s="15"/>
      <c r="P2714" s="1362"/>
      <c r="Q2714" s="2"/>
      <c r="R2714" s="2"/>
      <c r="S2714" s="2"/>
      <c r="T2714" s="2"/>
      <c r="U2714" s="2"/>
      <c r="V2714" s="2"/>
      <c r="W2714" s="2"/>
      <c r="X2714" s="2"/>
      <c r="Y2714" s="2"/>
      <c r="Z2714" s="2"/>
      <c r="AA2714" s="2"/>
      <c r="AB2714" s="2"/>
      <c r="AC2714" s="2"/>
      <c r="AD2714" s="2"/>
      <c r="AE2714" s="2"/>
      <c r="AF2714" s="672" t="s">
        <v>782</v>
      </c>
      <c r="AG2714" s="1196" t="b">
        <f>AND(CNTR_ExistSubInstEntries,I2429="")</f>
        <v>0</v>
      </c>
      <c r="AH2714" s="2"/>
      <c r="AI2714" s="2"/>
      <c r="AJ2714" s="2"/>
      <c r="AK2714" s="2"/>
      <c r="AL2714" s="2"/>
    </row>
    <row r="2715" spans="1:38" ht="5.15" customHeight="1" x14ac:dyDescent="0.25">
      <c r="A2715" s="2"/>
      <c r="B2715" s="178"/>
      <c r="C2715" s="779"/>
      <c r="D2715" s="416"/>
      <c r="E2715" s="416"/>
      <c r="F2715" s="416"/>
      <c r="G2715" s="416"/>
      <c r="H2715" s="1805"/>
      <c r="I2715" s="416"/>
      <c r="J2715" s="416"/>
      <c r="K2715" s="416"/>
      <c r="L2715" s="416"/>
      <c r="M2715" s="416"/>
      <c r="N2715" s="1810"/>
      <c r="O2715" s="15"/>
      <c r="P2715" s="15"/>
      <c r="Q2715" s="343"/>
      <c r="R2715" s="2"/>
      <c r="S2715" s="343"/>
      <c r="T2715" s="2"/>
      <c r="U2715" s="2"/>
      <c r="V2715" s="343"/>
      <c r="W2715" s="2"/>
      <c r="X2715" s="2"/>
      <c r="Y2715" s="2"/>
      <c r="Z2715" s="2"/>
      <c r="AA2715" s="2"/>
      <c r="AB2715" s="2"/>
      <c r="AC2715" s="2"/>
      <c r="AD2715" s="2"/>
      <c r="AE2715" s="2"/>
      <c r="AF2715" s="2"/>
      <c r="AG2715" s="2"/>
      <c r="AH2715" s="2"/>
      <c r="AI2715" s="2"/>
      <c r="AJ2715" s="2"/>
      <c r="AK2715" s="2"/>
      <c r="AL2715" s="2"/>
    </row>
    <row r="2716" spans="1:38" ht="12.75" customHeight="1" thickBot="1" x14ac:dyDescent="0.3">
      <c r="A2716" s="2"/>
      <c r="B2716" s="178"/>
      <c r="C2716" s="779"/>
      <c r="D2716" s="373"/>
      <c r="E2716" s="2605" t="str">
        <f>Translations!$B$654</f>
        <v>Importerade mängder:</v>
      </c>
      <c r="F2716" s="2497"/>
      <c r="G2716" s="415" t="str">
        <f>EUconst_Unit</f>
        <v>Enhet</v>
      </c>
      <c r="H2716" s="362">
        <f t="shared" ref="H2716:N2716" si="1236">H$3042</f>
        <v>2019</v>
      </c>
      <c r="I2716" s="1103">
        <f t="shared" si="1236"/>
        <v>2020</v>
      </c>
      <c r="J2716" s="1104">
        <f t="shared" si="1236"/>
        <v>2021</v>
      </c>
      <c r="K2716" s="362">
        <f t="shared" si="1236"/>
        <v>2022</v>
      </c>
      <c r="L2716" s="362">
        <f t="shared" si="1236"/>
        <v>2023</v>
      </c>
      <c r="M2716" s="362">
        <f t="shared" si="1236"/>
        <v>2024</v>
      </c>
      <c r="N2716" s="1141">
        <f t="shared" si="1236"/>
        <v>2025</v>
      </c>
      <c r="O2716" s="15"/>
      <c r="P2716" s="15"/>
      <c r="Q2716" s="343"/>
      <c r="R2716" s="2"/>
      <c r="S2716" s="343"/>
      <c r="T2716" s="2"/>
      <c r="U2716" s="2"/>
      <c r="V2716" s="343"/>
      <c r="W2716" s="2"/>
      <c r="X2716" s="2"/>
      <c r="Y2716" s="2"/>
      <c r="Z2716" s="2"/>
      <c r="AA2716" s="2"/>
      <c r="AB2716" s="2"/>
      <c r="AC2716" s="1044">
        <f t="shared" ref="AC2716:AI2716" si="1237">H$20</f>
        <v>2019</v>
      </c>
      <c r="AD2716" s="1044">
        <f t="shared" si="1237"/>
        <v>2020</v>
      </c>
      <c r="AE2716" s="1044">
        <f t="shared" si="1237"/>
        <v>2021</v>
      </c>
      <c r="AF2716" s="1044">
        <f t="shared" si="1237"/>
        <v>2022</v>
      </c>
      <c r="AG2716" s="1044">
        <f t="shared" si="1237"/>
        <v>2023</v>
      </c>
      <c r="AH2716" s="1044">
        <f t="shared" si="1237"/>
        <v>2024</v>
      </c>
      <c r="AI2716" s="1044">
        <f t="shared" si="1237"/>
        <v>2025</v>
      </c>
      <c r="AJ2716" s="2"/>
      <c r="AK2716" s="2"/>
      <c r="AL2716" s="2"/>
    </row>
    <row r="2717" spans="1:38" ht="12.75" customHeight="1" x14ac:dyDescent="0.25">
      <c r="A2717" s="2"/>
      <c r="B2717" s="178"/>
      <c r="C2717" s="779"/>
      <c r="D2717" s="416" t="s">
        <v>9</v>
      </c>
      <c r="E2717" s="2606"/>
      <c r="F2717" s="2607"/>
      <c r="G2717" s="59" t="str">
        <f>IF(E2717&lt;&gt;"",INDEX(EUconst_BMlistUnits,MATCH(E2717,EUconst_BMlistNames,0)),EUconst_Tons)</f>
        <v>ton</v>
      </c>
      <c r="H2717" s="1319"/>
      <c r="I2717" s="1320"/>
      <c r="J2717" s="1321"/>
      <c r="K2717" s="1319"/>
      <c r="L2717" s="1319"/>
      <c r="M2717" s="1319"/>
      <c r="N2717" s="1322"/>
      <c r="O2717" s="15"/>
      <c r="P2717" s="1362"/>
      <c r="Q2717" s="165" t="str">
        <f>EUconst_CNTR_IntermediateImport &amp; S2717 &amp; "_" &amp; I2429</f>
        <v>IntImp_1_</v>
      </c>
      <c r="R2717" s="2"/>
      <c r="S2717" s="165">
        <v>1</v>
      </c>
      <c r="T2717" s="2"/>
      <c r="U2717" s="2"/>
      <c r="V2717" s="343"/>
      <c r="W2717" s="2"/>
      <c r="X2717" s="2"/>
      <c r="Y2717" s="2"/>
      <c r="Z2717" s="2"/>
      <c r="AA2717" s="2"/>
      <c r="AB2717" s="672" t="s">
        <v>782</v>
      </c>
      <c r="AC2717" s="1196" t="b">
        <f>OR(AND($L2714&lt;&gt;"",$L2714=FALSE),AC2499)</f>
        <v>0</v>
      </c>
      <c r="AD2717" s="108" t="b">
        <f t="shared" ref="AD2717:AI2717" si="1238">OR(AND($L2714&lt;&gt;"",$L2714=FALSE),AD2499)</f>
        <v>0</v>
      </c>
      <c r="AE2717" s="108" t="b">
        <f t="shared" si="1238"/>
        <v>0</v>
      </c>
      <c r="AF2717" s="108" t="b">
        <f t="shared" si="1238"/>
        <v>0</v>
      </c>
      <c r="AG2717" s="108" t="b">
        <f t="shared" si="1238"/>
        <v>0</v>
      </c>
      <c r="AH2717" s="108" t="b">
        <f t="shared" si="1238"/>
        <v>0</v>
      </c>
      <c r="AI2717" s="108" t="b">
        <f t="shared" si="1238"/>
        <v>0</v>
      </c>
      <c r="AJ2717" s="553" t="s">
        <v>2248</v>
      </c>
      <c r="AK2717" s="663" t="str">
        <f>IF(AND(CNTR_ExistSubInstEntries,MSconst_RequireSubAttrEmissions,COUNTIFS(AC2717:AI2717,FALSE,H2717:N2717,"")&gt;0),EUconst_Error&amp;"BM"&amp;$Q2429,"")</f>
        <v/>
      </c>
      <c r="AL2717" s="2"/>
    </row>
    <row r="2718" spans="1:38" ht="12.75" customHeight="1" x14ac:dyDescent="0.25">
      <c r="A2718" s="2"/>
      <c r="B2718" s="178"/>
      <c r="C2718" s="779"/>
      <c r="D2718" s="416" t="s">
        <v>10</v>
      </c>
      <c r="E2718" s="2608"/>
      <c r="F2718" s="2609"/>
      <c r="G2718" s="51" t="str">
        <f>IF(E2718&lt;&gt;"",INDEX(EUconst_BMlistUnits,MATCH(E2718,EUconst_BMlistNames,0)),EUconst_Tons)</f>
        <v>ton</v>
      </c>
      <c r="H2718" s="1323"/>
      <c r="I2718" s="1324"/>
      <c r="J2718" s="1325"/>
      <c r="K2718" s="1323"/>
      <c r="L2718" s="1323"/>
      <c r="M2718" s="1323"/>
      <c r="N2718" s="1326"/>
      <c r="O2718" s="15"/>
      <c r="P2718" s="1362"/>
      <c r="Q2718" s="165" t="str">
        <f>EUconst_CNTR_IntermediateImport &amp; S2718 &amp; "_" &amp; I2429</f>
        <v>IntImp_2_</v>
      </c>
      <c r="R2718" s="2"/>
      <c r="S2718" s="165">
        <v>2</v>
      </c>
      <c r="T2718" s="2"/>
      <c r="U2718" s="2"/>
      <c r="V2718" s="343"/>
      <c r="W2718" s="2"/>
      <c r="X2718" s="2"/>
      <c r="Y2718" s="2"/>
      <c r="Z2718" s="2"/>
      <c r="AA2718" s="2"/>
      <c r="AB2718" s="2"/>
      <c r="AC2718" s="108" t="b">
        <f>AC2717</f>
        <v>0</v>
      </c>
      <c r="AD2718" s="108" t="b">
        <f t="shared" ref="AD2718:AI2718" si="1239">AD2717</f>
        <v>0</v>
      </c>
      <c r="AE2718" s="108" t="b">
        <f t="shared" si="1239"/>
        <v>0</v>
      </c>
      <c r="AF2718" s="108" t="b">
        <f t="shared" si="1239"/>
        <v>0</v>
      </c>
      <c r="AG2718" s="108" t="b">
        <f t="shared" si="1239"/>
        <v>0</v>
      </c>
      <c r="AH2718" s="108" t="b">
        <f t="shared" si="1239"/>
        <v>0</v>
      </c>
      <c r="AI2718" s="108" t="b">
        <f t="shared" si="1239"/>
        <v>0</v>
      </c>
      <c r="AJ2718" s="2"/>
      <c r="AK2718" s="2"/>
      <c r="AL2718" s="2"/>
    </row>
    <row r="2719" spans="1:38" ht="5.15" customHeight="1" x14ac:dyDescent="0.25">
      <c r="A2719" s="2"/>
      <c r="B2719" s="178"/>
      <c r="C2719" s="779"/>
      <c r="D2719" s="416"/>
      <c r="E2719" s="416"/>
      <c r="F2719" s="416"/>
      <c r="G2719" s="416"/>
      <c r="H2719" s="416"/>
      <c r="I2719" s="416"/>
      <c r="J2719" s="416"/>
      <c r="K2719" s="416"/>
      <c r="L2719" s="416"/>
      <c r="M2719" s="416"/>
      <c r="N2719" s="1149"/>
      <c r="O2719" s="15"/>
      <c r="P2719" s="15"/>
      <c r="Q2719" s="343"/>
      <c r="R2719" s="2"/>
      <c r="S2719" s="343"/>
      <c r="T2719" s="2"/>
      <c r="U2719" s="2"/>
      <c r="V2719" s="343"/>
      <c r="W2719" s="2"/>
      <c r="X2719" s="2"/>
      <c r="Y2719" s="2"/>
      <c r="Z2719" s="2"/>
      <c r="AA2719" s="2"/>
      <c r="AB2719" s="2"/>
      <c r="AC2719" s="2"/>
      <c r="AD2719" s="2"/>
      <c r="AE2719" s="2"/>
      <c r="AF2719" s="2"/>
      <c r="AG2719" s="2"/>
      <c r="AH2719" s="2"/>
      <c r="AI2719" s="2"/>
      <c r="AJ2719" s="2"/>
      <c r="AK2719" s="2"/>
      <c r="AL2719" s="2"/>
    </row>
    <row r="2720" spans="1:38" ht="12.75" customHeight="1" thickBot="1" x14ac:dyDescent="0.3">
      <c r="A2720" s="2"/>
      <c r="B2720" s="178"/>
      <c r="C2720" s="779"/>
      <c r="D2720" s="373"/>
      <c r="E2720" s="2605" t="str">
        <f>Translations!$B$655</f>
        <v>Exporterade mängder:</v>
      </c>
      <c r="F2720" s="2497"/>
      <c r="G2720" s="415" t="str">
        <f>EUconst_Unit</f>
        <v>Enhet</v>
      </c>
      <c r="H2720" s="362">
        <f t="shared" ref="H2720:N2720" si="1240">H$3042</f>
        <v>2019</v>
      </c>
      <c r="I2720" s="1103">
        <f t="shared" si="1240"/>
        <v>2020</v>
      </c>
      <c r="J2720" s="1104">
        <f t="shared" si="1240"/>
        <v>2021</v>
      </c>
      <c r="K2720" s="362">
        <f t="shared" si="1240"/>
        <v>2022</v>
      </c>
      <c r="L2720" s="362">
        <f t="shared" si="1240"/>
        <v>2023</v>
      </c>
      <c r="M2720" s="362">
        <f t="shared" si="1240"/>
        <v>2024</v>
      </c>
      <c r="N2720" s="1141">
        <f t="shared" si="1240"/>
        <v>2025</v>
      </c>
      <c r="O2720" s="15"/>
      <c r="P2720" s="15"/>
      <c r="Q2720" s="343"/>
      <c r="R2720" s="2"/>
      <c r="S2720" s="343"/>
      <c r="T2720" s="2"/>
      <c r="U2720" s="2"/>
      <c r="V2720" s="343"/>
      <c r="W2720" s="2"/>
      <c r="X2720" s="2"/>
      <c r="Y2720" s="2"/>
      <c r="Z2720" s="2"/>
      <c r="AA2720" s="2"/>
      <c r="AB2720" s="2"/>
      <c r="AC2720" s="1044">
        <f t="shared" ref="AC2720:AI2720" si="1241">H$20</f>
        <v>2019</v>
      </c>
      <c r="AD2720" s="1044">
        <f t="shared" si="1241"/>
        <v>2020</v>
      </c>
      <c r="AE2720" s="1044">
        <f t="shared" si="1241"/>
        <v>2021</v>
      </c>
      <c r="AF2720" s="1044">
        <f t="shared" si="1241"/>
        <v>2022</v>
      </c>
      <c r="AG2720" s="1044">
        <f t="shared" si="1241"/>
        <v>2023</v>
      </c>
      <c r="AH2720" s="1044">
        <f t="shared" si="1241"/>
        <v>2024</v>
      </c>
      <c r="AI2720" s="1044">
        <f t="shared" si="1241"/>
        <v>2025</v>
      </c>
      <c r="AJ2720" s="2"/>
      <c r="AK2720" s="2"/>
      <c r="AL2720" s="2"/>
    </row>
    <row r="2721" spans="1:38" ht="12.75" customHeight="1" x14ac:dyDescent="0.25">
      <c r="A2721" s="2"/>
      <c r="B2721" s="178"/>
      <c r="C2721" s="779"/>
      <c r="D2721" s="416" t="s">
        <v>23</v>
      </c>
      <c r="E2721" s="2606"/>
      <c r="F2721" s="2607"/>
      <c r="G2721" s="59" t="str">
        <f>IF(E2721&lt;&gt;"",INDEX(EUconst_BMlistUnits,MATCH(E2721,EUconst_BMlistNames,0)),EUconst_Tons)</f>
        <v>ton</v>
      </c>
      <c r="H2721" s="1319"/>
      <c r="I2721" s="1320"/>
      <c r="J2721" s="1321"/>
      <c r="K2721" s="1319"/>
      <c r="L2721" s="1319"/>
      <c r="M2721" s="1319"/>
      <c r="N2721" s="1322"/>
      <c r="O2721" s="15"/>
      <c r="P2721" s="1362"/>
      <c r="Q2721" s="165" t="str">
        <f>EUconst_CNTR_IntermediateExport &amp; S2717 &amp; "_" &amp; I2429</f>
        <v>IntExp_1_</v>
      </c>
      <c r="R2721" s="2"/>
      <c r="S2721" s="165">
        <v>1</v>
      </c>
      <c r="T2721" s="2"/>
      <c r="U2721" s="2"/>
      <c r="V2721" s="343"/>
      <c r="W2721" s="2"/>
      <c r="X2721" s="413"/>
      <c r="Y2721" s="413"/>
      <c r="Z2721" s="2"/>
      <c r="AA2721" s="2"/>
      <c r="AB2721" s="672" t="s">
        <v>782</v>
      </c>
      <c r="AC2721" s="108" t="b">
        <f>AC2717</f>
        <v>0</v>
      </c>
      <c r="AD2721" s="108" t="b">
        <f t="shared" ref="AD2721:AI2721" si="1242">AD2717</f>
        <v>0</v>
      </c>
      <c r="AE2721" s="108" t="b">
        <f t="shared" si="1242"/>
        <v>0</v>
      </c>
      <c r="AF2721" s="108" t="b">
        <f t="shared" si="1242"/>
        <v>0</v>
      </c>
      <c r="AG2721" s="108" t="b">
        <f t="shared" si="1242"/>
        <v>0</v>
      </c>
      <c r="AH2721" s="108" t="b">
        <f t="shared" si="1242"/>
        <v>0</v>
      </c>
      <c r="AI2721" s="108" t="b">
        <f t="shared" si="1242"/>
        <v>0</v>
      </c>
      <c r="AJ2721" s="553" t="s">
        <v>2248</v>
      </c>
      <c r="AK2721" s="663" t="str">
        <f>IF(AND(CNTR_ExistSubInstEntries,MSconst_RequireSubAttrEmissions,COUNTIFS(AC2721:AI2721,FALSE,H2721:N2721,"")&gt;0),EUconst_Error&amp;"BM"&amp;$Q2429,"")</f>
        <v/>
      </c>
      <c r="AL2721" s="2"/>
    </row>
    <row r="2722" spans="1:38" ht="12.75" customHeight="1" x14ac:dyDescent="0.25">
      <c r="A2722" s="2"/>
      <c r="B2722" s="178"/>
      <c r="C2722" s="779"/>
      <c r="D2722" s="416" t="s">
        <v>859</v>
      </c>
      <c r="E2722" s="2608"/>
      <c r="F2722" s="2609"/>
      <c r="G2722" s="51" t="str">
        <f>IF(E2722&lt;&gt;"",INDEX(EUconst_BMlistUnits,MATCH(E2722,EUconst_BMlistNames,0)),EUconst_Tons)</f>
        <v>ton</v>
      </c>
      <c r="H2722" s="1323"/>
      <c r="I2722" s="1324"/>
      <c r="J2722" s="1325"/>
      <c r="K2722" s="1323"/>
      <c r="L2722" s="1323"/>
      <c r="M2722" s="1323"/>
      <c r="N2722" s="1326"/>
      <c r="O2722" s="15"/>
      <c r="P2722" s="1362"/>
      <c r="Q2722" s="165" t="str">
        <f>EUconst_CNTR_IntermediateExport &amp; S2722 &amp; "_" &amp; I2429</f>
        <v>IntExp_2_</v>
      </c>
      <c r="R2722" s="2"/>
      <c r="S2722" s="165">
        <v>2</v>
      </c>
      <c r="T2722" s="2"/>
      <c r="U2722" s="2"/>
      <c r="V2722" s="343"/>
      <c r="W2722" s="2"/>
      <c r="X2722" s="413"/>
      <c r="Y2722" s="413"/>
      <c r="Z2722" s="2"/>
      <c r="AA2722" s="2"/>
      <c r="AB2722" s="2"/>
      <c r="AC2722" s="108" t="b">
        <f t="shared" ref="AC2722:AI2722" si="1243">AC2718</f>
        <v>0</v>
      </c>
      <c r="AD2722" s="108" t="b">
        <f t="shared" si="1243"/>
        <v>0</v>
      </c>
      <c r="AE2722" s="108" t="b">
        <f t="shared" si="1243"/>
        <v>0</v>
      </c>
      <c r="AF2722" s="108" t="b">
        <f t="shared" si="1243"/>
        <v>0</v>
      </c>
      <c r="AG2722" s="108" t="b">
        <f t="shared" si="1243"/>
        <v>0</v>
      </c>
      <c r="AH2722" s="108" t="b">
        <f t="shared" si="1243"/>
        <v>0</v>
      </c>
      <c r="AI2722" s="108" t="b">
        <f t="shared" si="1243"/>
        <v>0</v>
      </c>
      <c r="AJ2722" s="2"/>
      <c r="AK2722" s="2"/>
      <c r="AL2722" s="2"/>
    </row>
    <row r="2723" spans="1:38" ht="5.15" customHeight="1" x14ac:dyDescent="0.25">
      <c r="A2723" s="2"/>
      <c r="B2723" s="178"/>
      <c r="C2723" s="779"/>
      <c r="D2723" s="416"/>
      <c r="E2723" s="416"/>
      <c r="F2723" s="416"/>
      <c r="G2723" s="416"/>
      <c r="H2723" s="416"/>
      <c r="I2723" s="416"/>
      <c r="J2723" s="416"/>
      <c r="K2723" s="416"/>
      <c r="L2723" s="416"/>
      <c r="M2723" s="416"/>
      <c r="N2723" s="1810"/>
      <c r="O2723" s="15"/>
      <c r="P2723" s="15"/>
      <c r="Q2723" s="343"/>
      <c r="R2723" s="2"/>
      <c r="S2723" s="343"/>
      <c r="T2723" s="2"/>
      <c r="U2723" s="2"/>
      <c r="V2723" s="343"/>
      <c r="W2723" s="2"/>
      <c r="X2723" s="413"/>
      <c r="Y2723" s="413"/>
      <c r="Z2723" s="2"/>
      <c r="AA2723" s="2"/>
      <c r="AB2723" s="2"/>
      <c r="AC2723" s="2"/>
      <c r="AD2723" s="2"/>
      <c r="AE2723" s="2"/>
      <c r="AF2723" s="2"/>
      <c r="AG2723" s="2"/>
      <c r="AH2723" s="2"/>
      <c r="AI2723" s="2"/>
      <c r="AJ2723" s="2"/>
      <c r="AK2723" s="2"/>
      <c r="AL2723" s="2"/>
    </row>
    <row r="2724" spans="1:38" ht="12.75" customHeight="1" x14ac:dyDescent="0.25">
      <c r="A2724" s="2"/>
      <c r="B2724" s="178"/>
      <c r="C2724" s="779"/>
      <c r="D2724" s="416" t="s">
        <v>860</v>
      </c>
      <c r="E2724" s="623" t="str">
        <f>Translations!$B$656</f>
        <v>Beskrivning av importerade eller exporterade mellanprodukter</v>
      </c>
      <c r="F2724" s="623"/>
      <c r="G2724" s="623"/>
      <c r="H2724" s="623"/>
      <c r="I2724" s="623"/>
      <c r="J2724" s="623"/>
      <c r="K2724" s="623"/>
      <c r="L2724" s="623"/>
      <c r="M2724" s="623"/>
      <c r="N2724" s="1810"/>
      <c r="O2724" s="15"/>
      <c r="P2724" s="15"/>
      <c r="Q2724" s="343"/>
      <c r="R2724" s="2"/>
      <c r="S2724" s="343"/>
      <c r="T2724" s="2"/>
      <c r="U2724" s="2"/>
      <c r="V2724" s="343"/>
      <c r="W2724" s="2"/>
      <c r="X2724" s="413"/>
      <c r="Y2724" s="413"/>
      <c r="Z2724" s="2"/>
      <c r="AA2724" s="2"/>
      <c r="AB2724" s="2"/>
      <c r="AC2724" s="2"/>
      <c r="AD2724" s="2"/>
      <c r="AE2724" s="2"/>
      <c r="AF2724" s="2"/>
      <c r="AG2724" s="2"/>
      <c r="AH2724" s="2"/>
      <c r="AI2724" s="2"/>
      <c r="AJ2724" s="2"/>
      <c r="AK2724" s="2"/>
      <c r="AL2724" s="2"/>
    </row>
    <row r="2725" spans="1:38" ht="12.75" customHeight="1" x14ac:dyDescent="0.25">
      <c r="A2725" s="2"/>
      <c r="B2725" s="178"/>
      <c r="C2725" s="779"/>
      <c r="D2725" s="416"/>
      <c r="E2725" s="1139" t="str">
        <f>Translations!$B$657</f>
        <v>Var god ge en kort beskrivning av produktionsprocessen för importerade eller exporterade mellanprodukter</v>
      </c>
      <c r="F2725" s="1806"/>
      <c r="G2725" s="1806"/>
      <c r="H2725" s="1806"/>
      <c r="I2725" s="1806"/>
      <c r="J2725" s="1806"/>
      <c r="K2725" s="1806"/>
      <c r="L2725" s="1806"/>
      <c r="M2725" s="1806"/>
      <c r="N2725" s="1807"/>
      <c r="O2725" s="15"/>
      <c r="P2725" s="15"/>
      <c r="Q2725" s="343"/>
      <c r="R2725" s="2"/>
      <c r="S2725" s="343"/>
      <c r="T2725" s="2"/>
      <c r="U2725" s="2"/>
      <c r="V2725" s="343"/>
      <c r="W2725" s="2"/>
      <c r="X2725" s="413"/>
      <c r="Y2725" s="413"/>
      <c r="Z2725" s="2"/>
      <c r="AA2725" s="2"/>
      <c r="AB2725" s="2"/>
      <c r="AC2725" s="2"/>
      <c r="AD2725" s="2"/>
      <c r="AE2725" s="2"/>
      <c r="AF2725" s="2"/>
      <c r="AG2725" s="2"/>
      <c r="AH2725" s="2"/>
      <c r="AI2725" s="2"/>
      <c r="AJ2725" s="2"/>
      <c r="AK2725" s="2"/>
      <c r="AL2725" s="2"/>
    </row>
    <row r="2726" spans="1:38" ht="12.75" customHeight="1" x14ac:dyDescent="0.25">
      <c r="A2726" s="2"/>
      <c r="B2726" s="178"/>
      <c r="C2726" s="779"/>
      <c r="D2726" s="416"/>
      <c r="E2726" s="2599"/>
      <c r="F2726" s="2600"/>
      <c r="G2726" s="2600"/>
      <c r="H2726" s="2600"/>
      <c r="I2726" s="2600"/>
      <c r="J2726" s="2600"/>
      <c r="K2726" s="2600"/>
      <c r="L2726" s="2600"/>
      <c r="M2726" s="2601"/>
      <c r="N2726" s="1810"/>
      <c r="O2726" s="15"/>
      <c r="P2726" s="1362"/>
      <c r="Q2726" s="343"/>
      <c r="R2726" s="2"/>
      <c r="S2726" s="343"/>
      <c r="T2726" s="2"/>
      <c r="U2726" s="2"/>
      <c r="V2726" s="343"/>
      <c r="W2726" s="2"/>
      <c r="X2726" s="413"/>
      <c r="Y2726" s="413"/>
      <c r="Z2726" s="2"/>
      <c r="AA2726" s="2"/>
      <c r="AB2726" s="672" t="s">
        <v>782</v>
      </c>
      <c r="AC2726" s="108" t="b">
        <f>AND(AC2721:AI2721)</f>
        <v>0</v>
      </c>
      <c r="AD2726" s="2"/>
      <c r="AE2726" s="2"/>
      <c r="AF2726" s="2"/>
      <c r="AG2726" s="2"/>
      <c r="AH2726" s="2"/>
      <c r="AI2726" s="2"/>
      <c r="AJ2726" s="2"/>
      <c r="AK2726" s="2"/>
      <c r="AL2726" s="2"/>
    </row>
    <row r="2727" spans="1:38" ht="12.75" customHeight="1" x14ac:dyDescent="0.25">
      <c r="A2727" s="2"/>
      <c r="B2727" s="178"/>
      <c r="C2727" s="779"/>
      <c r="D2727" s="416"/>
      <c r="E2727" s="2602"/>
      <c r="F2727" s="2603"/>
      <c r="G2727" s="2603"/>
      <c r="H2727" s="2603"/>
      <c r="I2727" s="2603"/>
      <c r="J2727" s="2603"/>
      <c r="K2727" s="2603"/>
      <c r="L2727" s="2603"/>
      <c r="M2727" s="2604"/>
      <c r="N2727" s="1810"/>
      <c r="O2727" s="15"/>
      <c r="P2727" s="15"/>
      <c r="Q2727" s="343"/>
      <c r="R2727" s="2"/>
      <c r="S2727" s="343"/>
      <c r="T2727" s="2"/>
      <c r="U2727" s="2"/>
      <c r="V2727" s="343"/>
      <c r="W2727" s="2"/>
      <c r="X2727" s="413"/>
      <c r="Y2727" s="413"/>
      <c r="Z2727" s="2"/>
      <c r="AA2727" s="2"/>
      <c r="AB2727" s="2"/>
      <c r="AC2727" s="108" t="b">
        <f>AC2726</f>
        <v>0</v>
      </c>
      <c r="AD2727" s="2"/>
      <c r="AE2727" s="2"/>
      <c r="AF2727" s="2"/>
      <c r="AG2727" s="2"/>
      <c r="AH2727" s="2"/>
      <c r="AI2727" s="2"/>
      <c r="AJ2727" s="2"/>
      <c r="AK2727" s="2"/>
      <c r="AL2727" s="2"/>
    </row>
    <row r="2728" spans="1:38" ht="12.75" customHeight="1" thickBot="1" x14ac:dyDescent="0.3">
      <c r="A2728" s="2"/>
      <c r="B2728" s="178"/>
      <c r="C2728" s="781"/>
      <c r="D2728" s="782"/>
      <c r="E2728" s="782"/>
      <c r="F2728" s="782"/>
      <c r="G2728" s="782"/>
      <c r="H2728" s="782"/>
      <c r="I2728" s="782"/>
      <c r="J2728" s="782"/>
      <c r="K2728" s="782"/>
      <c r="L2728" s="782"/>
      <c r="M2728" s="783"/>
      <c r="N2728" s="784"/>
      <c r="O2728" s="15"/>
      <c r="P2728" s="15"/>
      <c r="Q2728" s="343"/>
      <c r="R2728" s="2"/>
      <c r="S2728" s="343"/>
      <c r="T2728" s="2"/>
      <c r="U2728" s="2"/>
      <c r="V2728" s="343"/>
      <c r="W2728" s="2"/>
      <c r="X2728" s="2"/>
      <c r="Y2728" s="2"/>
      <c r="Z2728" s="2"/>
      <c r="AA2728" s="2"/>
      <c r="AB2728" s="2"/>
      <c r="AC2728" s="2"/>
      <c r="AD2728" s="2"/>
      <c r="AE2728" s="2"/>
      <c r="AF2728" s="2"/>
      <c r="AG2728" s="2"/>
      <c r="AH2728" s="2"/>
      <c r="AI2728" s="2"/>
      <c r="AJ2728" s="2"/>
      <c r="AK2728" s="2"/>
      <c r="AL2728" s="2"/>
    </row>
    <row r="2729" spans="1:38" ht="12.75" customHeight="1" thickBot="1" x14ac:dyDescent="0.3">
      <c r="A2729" s="343"/>
      <c r="B2729" s="3"/>
      <c r="C2729" s="3"/>
      <c r="D2729" s="3"/>
      <c r="E2729" s="3"/>
      <c r="F2729" s="3"/>
      <c r="G2729" s="3"/>
      <c r="H2729" s="3"/>
      <c r="I2729" s="3"/>
      <c r="J2729" s="3"/>
      <c r="K2729" s="3"/>
      <c r="L2729" s="3"/>
      <c r="M2729" s="6"/>
      <c r="N2729" s="6"/>
      <c r="O2729" s="6"/>
      <c r="P2729" s="6"/>
      <c r="Q2729" s="294" t="str">
        <f>IF(OR(AND(CNTR_ExistProductSubEntries=FALSE,Q2429=1),AND(I2429&lt;&gt;"",COUNTIF(Q2730:$Q3071,"PRINT")=0)),"PRINT","")</f>
        <v/>
      </c>
      <c r="R2729" s="7"/>
      <c r="S2729" s="7"/>
      <c r="T2729" s="7"/>
      <c r="U2729" s="7"/>
      <c r="V2729" s="7"/>
      <c r="W2729" s="7"/>
      <c r="X2729" s="7"/>
      <c r="Y2729" s="7"/>
      <c r="Z2729" s="2"/>
      <c r="AA2729" s="2"/>
      <c r="AB2729" s="2"/>
      <c r="AC2729" s="2"/>
      <c r="AD2729" s="2"/>
      <c r="AE2729" s="349"/>
      <c r="AF2729" s="349"/>
      <c r="AG2729" s="349"/>
      <c r="AH2729" s="349"/>
      <c r="AI2729" s="349"/>
      <c r="AJ2729" s="349"/>
      <c r="AK2729" s="349"/>
      <c r="AL2729" s="349"/>
    </row>
    <row r="2730" spans="1:38" ht="5.15" customHeight="1" thickBot="1" x14ac:dyDescent="0.3">
      <c r="A2730" s="2"/>
      <c r="B2730" s="178"/>
      <c r="C2730" s="785"/>
      <c r="D2730" s="785"/>
      <c r="E2730" s="785"/>
      <c r="F2730" s="785"/>
      <c r="G2730" s="785"/>
      <c r="H2730" s="785"/>
      <c r="I2730" s="785"/>
      <c r="J2730" s="785"/>
      <c r="K2730" s="785"/>
      <c r="L2730" s="785"/>
      <c r="M2730" s="785"/>
      <c r="N2730" s="785"/>
      <c r="O2730" s="15"/>
      <c r="P2730" s="15"/>
      <c r="Q2730" s="1723"/>
      <c r="R2730" s="1723"/>
      <c r="S2730" s="1723"/>
      <c r="T2730" s="1723"/>
      <c r="U2730" s="1723"/>
      <c r="V2730" s="1723"/>
      <c r="W2730" s="1723"/>
      <c r="X2730" s="1723"/>
      <c r="Y2730" s="1723"/>
      <c r="Z2730" s="1723"/>
      <c r="AA2730" s="1723"/>
      <c r="AB2730" s="1723"/>
      <c r="AC2730" s="1723"/>
      <c r="AD2730" s="1723"/>
      <c r="AE2730" s="1723"/>
      <c r="AF2730" s="1723"/>
      <c r="AG2730" s="1723"/>
      <c r="AH2730" s="1723"/>
      <c r="AI2730" s="1723"/>
      <c r="AJ2730" s="1723"/>
      <c r="AK2730" s="1723"/>
      <c r="AL2730" s="1723"/>
    </row>
    <row r="2731" spans="1:38" ht="14.5" thickBot="1" x14ac:dyDescent="0.3">
      <c r="A2731" s="2"/>
      <c r="B2731" s="178"/>
      <c r="C2731" s="771">
        <f>C2429+1</f>
        <v>10</v>
      </c>
      <c r="D2731" s="2053" t="str">
        <f>EUconst_BMSubinst &amp; ":"</f>
        <v>Delanläggning med produktriktmärke:</v>
      </c>
      <c r="E2731" s="1963"/>
      <c r="F2731" s="1963"/>
      <c r="G2731" s="1963"/>
      <c r="H2731" s="2060"/>
      <c r="I2731" s="2090" t="str">
        <f>IF(INDEX(CNTR_SubInstListIsProdBM,$C2731),INDEX(CNTR_SubInstListNames,$C2731),"")</f>
        <v/>
      </c>
      <c r="J2731" s="2120"/>
      <c r="K2731" s="2120"/>
      <c r="L2731" s="2120"/>
      <c r="M2731" s="2120"/>
      <c r="N2731" s="2154"/>
      <c r="O2731" s="15"/>
      <c r="P2731" s="15"/>
      <c r="Q2731" s="294">
        <f>C2731</f>
        <v>10</v>
      </c>
      <c r="R2731" s="2"/>
      <c r="S2731" s="553" t="s">
        <v>608</v>
      </c>
      <c r="T2731" s="979" t="str">
        <f>IF(I2731="","",MAX(INDEX(CNTR_SubInstStartDate,MATCH($I2731,CNTR_SubInstListNames,0)),DATE(2005,1,1)))</f>
        <v/>
      </c>
      <c r="U2731" s="343" t="s">
        <v>1873</v>
      </c>
      <c r="V2731" s="663">
        <f>IF(ISNUMBER(T2731),YEAR($T2731-IF(YEAR(T2731)&gt;=2022,0,1))+1,2005)</f>
        <v>2005</v>
      </c>
      <c r="W2731" s="553" t="s">
        <v>1876</v>
      </c>
      <c r="X2731" s="979" t="str">
        <f>IF(I2731="","",INDEX(CNTR_SubInstCessationDate,MATCH($I2731,CNTR_SubInstListNames,0)))</f>
        <v/>
      </c>
      <c r="Y2731" s="553" t="s">
        <v>1877</v>
      </c>
      <c r="Z2731" s="663">
        <f>IF(SUM(X2731)=0,2050,YEAR($X2731))</f>
        <v>2050</v>
      </c>
      <c r="AA2731" s="553" t="s">
        <v>2201</v>
      </c>
      <c r="AB2731" s="663" t="b">
        <f>CNTR_ReportingYear&gt;V2731</f>
        <v>1</v>
      </c>
      <c r="AC2731" s="2"/>
      <c r="AD2731" s="2"/>
      <c r="AE2731" s="2"/>
      <c r="AF2731" s="2"/>
      <c r="AG2731" s="2"/>
      <c r="AH2731" s="2"/>
      <c r="AI2731" s="2"/>
      <c r="AJ2731" s="2"/>
      <c r="AK2731" s="2"/>
      <c r="AL2731" s="555" t="b">
        <f>AND(CNTR_ExistSubInstEntries,I2731="")</f>
        <v>0</v>
      </c>
    </row>
    <row r="2732" spans="1:38" ht="12.75" customHeight="1" x14ac:dyDescent="0.25">
      <c r="A2732" s="2"/>
      <c r="B2732" s="178"/>
      <c r="C2732" s="178"/>
      <c r="D2732" s="15"/>
      <c r="E2732" s="2061" t="str">
        <f>Translations!$B$360</f>
        <v>Namnet på delanläggningen med produktriktmärke visas automatiskt i inmatningsfälten i blad ”A_InstallationData”.</v>
      </c>
      <c r="F2732" s="1963"/>
      <c r="G2732" s="1963"/>
      <c r="H2732" s="1963"/>
      <c r="I2732" s="1963"/>
      <c r="J2732" s="1963"/>
      <c r="K2732" s="1963"/>
      <c r="L2732" s="1963"/>
      <c r="M2732" s="1963"/>
      <c r="N2732" s="1963"/>
      <c r="O2732" s="15"/>
      <c r="P2732" s="15"/>
      <c r="Q2732" s="343"/>
      <c r="R2732" s="2"/>
      <c r="S2732" s="343"/>
      <c r="T2732" s="343"/>
      <c r="U2732" s="2"/>
      <c r="V2732" s="2"/>
      <c r="W2732" s="2"/>
      <c r="X2732" s="2"/>
      <c r="Y2732" s="2"/>
      <c r="Z2732" s="2"/>
      <c r="AA2732" s="2"/>
      <c r="AB2732" s="2"/>
      <c r="AC2732" s="2"/>
      <c r="AD2732" s="2"/>
      <c r="AE2732" s="2"/>
      <c r="AF2732" s="2"/>
      <c r="AG2732" s="2"/>
      <c r="AH2732" s="2"/>
      <c r="AI2732" s="2"/>
      <c r="AJ2732" s="2"/>
      <c r="AK2732" s="2"/>
      <c r="AL2732" s="2"/>
    </row>
    <row r="2733" spans="1:38" ht="5.15" customHeight="1" x14ac:dyDescent="0.25">
      <c r="A2733" s="2"/>
      <c r="B2733" s="178"/>
      <c r="C2733" s="178"/>
      <c r="D2733" s="178"/>
      <c r="E2733" s="178"/>
      <c r="F2733" s="178"/>
      <c r="G2733" s="178"/>
      <c r="H2733" s="178"/>
      <c r="I2733" s="178"/>
      <c r="J2733" s="178"/>
      <c r="K2733" s="178"/>
      <c r="L2733" s="178"/>
      <c r="M2733" s="15"/>
      <c r="N2733" s="15"/>
      <c r="O2733" s="15"/>
      <c r="P2733" s="15"/>
      <c r="Q2733" s="343"/>
      <c r="R2733" s="2"/>
      <c r="S2733" s="343"/>
      <c r="T2733" s="343"/>
      <c r="U2733" s="2"/>
      <c r="V2733" s="2"/>
      <c r="W2733" s="2"/>
      <c r="X2733" s="2"/>
      <c r="Y2733" s="2"/>
      <c r="Z2733" s="2"/>
      <c r="AA2733" s="2"/>
      <c r="AB2733" s="2"/>
      <c r="AC2733" s="2"/>
      <c r="AD2733" s="2"/>
      <c r="AE2733" s="2"/>
      <c r="AF2733" s="2"/>
      <c r="AG2733" s="2"/>
      <c r="AH2733" s="2"/>
      <c r="AI2733" s="2"/>
      <c r="AJ2733" s="2"/>
      <c r="AK2733" s="2"/>
      <c r="AL2733" s="2"/>
    </row>
    <row r="2734" spans="1:38" ht="13" x14ac:dyDescent="0.25">
      <c r="A2734" s="2"/>
      <c r="B2734" s="178"/>
      <c r="C2734" s="178"/>
      <c r="D2734" s="13" t="s">
        <v>442</v>
      </c>
      <c r="E2734" s="1943" t="str">
        <f>Translations!$B$1466</f>
        <v>Verksamhetsnivåer</v>
      </c>
      <c r="F2734" s="1963"/>
      <c r="G2734" s="1963"/>
      <c r="H2734" s="1963"/>
      <c r="I2734" s="1963"/>
      <c r="J2734" s="1963"/>
      <c r="K2734" s="1963"/>
      <c r="L2734" s="1963"/>
      <c r="M2734" s="1963"/>
      <c r="N2734" s="1963"/>
      <c r="O2734" s="15"/>
      <c r="P2734" s="15"/>
      <c r="Q2734" s="343"/>
      <c r="R2734" s="2"/>
      <c r="S2734" s="2"/>
      <c r="T2734" s="2"/>
      <c r="U2734" s="2"/>
      <c r="V2734" s="2"/>
      <c r="W2734" s="2"/>
      <c r="X2734" s="2"/>
      <c r="Y2734" s="2"/>
      <c r="Z2734" s="2"/>
      <c r="AA2734" s="2"/>
      <c r="AB2734" s="2"/>
      <c r="AC2734" s="2"/>
      <c r="AD2734" s="2"/>
      <c r="AE2734" s="2"/>
      <c r="AF2734" s="2"/>
      <c r="AG2734" s="2"/>
      <c r="AH2734" s="2"/>
      <c r="AI2734" s="2"/>
      <c r="AJ2734" s="2"/>
      <c r="AK2734" s="2"/>
      <c r="AL2734" s="2"/>
    </row>
    <row r="2735" spans="1:38" ht="12.75" customHeight="1" x14ac:dyDescent="0.25">
      <c r="A2735" s="2"/>
      <c r="B2735" s="178"/>
      <c r="C2735" s="178"/>
      <c r="D2735" s="15"/>
      <c r="E2735" s="2061" t="str">
        <f>Translations!$B$514</f>
        <v>I denna punkt ska de ”huvudsakliga verksamhetsnivåerna” anges, dvs. de uppgifter som är direkt tillämpliga för att beräkna tilldelningen.</v>
      </c>
      <c r="F2735" s="1963"/>
      <c r="G2735" s="1963"/>
      <c r="H2735" s="1963"/>
      <c r="I2735" s="1963"/>
      <c r="J2735" s="1963"/>
      <c r="K2735" s="1963"/>
      <c r="L2735" s="1963"/>
      <c r="M2735" s="1963"/>
      <c r="N2735" s="1963"/>
      <c r="O2735" s="15"/>
      <c r="P2735" s="15"/>
      <c r="Q2735" s="343"/>
      <c r="R2735" s="2"/>
      <c r="S2735" s="343"/>
      <c r="T2735" s="343"/>
      <c r="U2735" s="343"/>
      <c r="V2735" s="2"/>
      <c r="W2735" s="2"/>
      <c r="X2735" s="2"/>
      <c r="Y2735" s="2"/>
      <c r="Z2735" s="2"/>
      <c r="AA2735" s="2"/>
      <c r="AB2735" s="2"/>
      <c r="AC2735" s="2"/>
      <c r="AD2735" s="2"/>
      <c r="AE2735" s="2"/>
      <c r="AF2735" s="2"/>
      <c r="AG2735" s="2"/>
      <c r="AH2735" s="2"/>
      <c r="AI2735" s="2"/>
      <c r="AJ2735" s="2"/>
      <c r="AK2735" s="2"/>
      <c r="AL2735" s="2"/>
    </row>
    <row r="2736" spans="1:38" ht="12.75" customHeight="1" x14ac:dyDescent="0.25">
      <c r="A2736" s="2"/>
      <c r="B2736" s="178"/>
      <c r="C2736" s="178"/>
      <c r="D2736" s="15"/>
      <c r="E2736" s="2061" t="str">
        <f>Translations!$B$515</f>
        <v xml:space="preserve">Detta är i regel produktionsuppgifter för produkten, t.ex. grå cementklinker i ton eller glasflaskor i ton, i enlighet med bilaga I till FAR. </v>
      </c>
      <c r="F2736" s="1963"/>
      <c r="G2736" s="1963"/>
      <c r="H2736" s="1963"/>
      <c r="I2736" s="1963"/>
      <c r="J2736" s="1963"/>
      <c r="K2736" s="1963"/>
      <c r="L2736" s="1963"/>
      <c r="M2736" s="1963"/>
      <c r="N2736" s="1963"/>
      <c r="O2736" s="15"/>
      <c r="P2736" s="15"/>
      <c r="Q2736" s="343"/>
      <c r="R2736" s="2"/>
      <c r="S2736" s="343"/>
      <c r="T2736" s="343"/>
      <c r="U2736" s="343"/>
      <c r="V2736" s="2"/>
      <c r="W2736" s="2"/>
      <c r="X2736" s="2"/>
      <c r="Y2736" s="2"/>
      <c r="Z2736" s="2"/>
      <c r="AA2736" s="2"/>
      <c r="AB2736" s="2"/>
      <c r="AC2736" s="2"/>
      <c r="AD2736" s="2"/>
      <c r="AE2736" s="2"/>
      <c r="AF2736" s="2"/>
      <c r="AG2736" s="2"/>
      <c r="AH2736" s="2"/>
      <c r="AI2736" s="2"/>
      <c r="AJ2736" s="2"/>
      <c r="AK2736" s="2"/>
      <c r="AL2736" s="2"/>
    </row>
    <row r="2737" spans="1:38" ht="12.75" customHeight="1" x14ac:dyDescent="0.25">
      <c r="A2737" s="2"/>
      <c r="B2737" s="178"/>
      <c r="C2737" s="178"/>
      <c r="D2737" s="15"/>
      <c r="E2737" s="2061" t="str">
        <f>Translations!$B$516</f>
        <v>Om ett meddelande visas i punkt iv måste dock lämpligt beräkningsverktyg användas, och resultaten kopieras automatiskt in i tabellen i punkt ii.</v>
      </c>
      <c r="F2737" s="1963"/>
      <c r="G2737" s="1963"/>
      <c r="H2737" s="1963"/>
      <c r="I2737" s="1963"/>
      <c r="J2737" s="1963"/>
      <c r="K2737" s="1963"/>
      <c r="L2737" s="1963"/>
      <c r="M2737" s="1963"/>
      <c r="N2737" s="1963"/>
      <c r="O2737" s="15"/>
      <c r="P2737" s="15"/>
      <c r="Q2737" s="343"/>
      <c r="R2737" s="2"/>
      <c r="S2737" s="343"/>
      <c r="T2737" s="2"/>
      <c r="U2737" s="2"/>
      <c r="V2737" s="2"/>
      <c r="W2737" s="2"/>
      <c r="X2737" s="2"/>
      <c r="Y2737" s="2"/>
      <c r="Z2737" s="343"/>
      <c r="AA2737" s="2"/>
      <c r="AB2737" s="2"/>
      <c r="AC2737" s="2"/>
      <c r="AD2737" s="2"/>
      <c r="AE2737" s="2"/>
      <c r="AF2737" s="2"/>
      <c r="AG2737" s="2"/>
      <c r="AH2737" s="2"/>
      <c r="AI2737" s="2"/>
      <c r="AJ2737" s="2"/>
      <c r="AK2737" s="2"/>
      <c r="AL2737" s="2"/>
    </row>
    <row r="2738" spans="1:38" ht="13.5" customHeight="1" thickBot="1" x14ac:dyDescent="0.3">
      <c r="A2738" s="2"/>
      <c r="B2738" s="19"/>
      <c r="C2738" s="19"/>
      <c r="D2738" s="13"/>
      <c r="E2738" s="2062" t="str">
        <f>Translations!$B$517</f>
        <v>Årliga verksamhetsnivåer:</v>
      </c>
      <c r="F2738" s="2062"/>
      <c r="G2738" s="30" t="str">
        <f>EUconst_Unit</f>
        <v>Enhet</v>
      </c>
      <c r="H2738" s="320">
        <f t="shared" ref="H2738:N2738" si="1244">H$3042</f>
        <v>2019</v>
      </c>
      <c r="I2738" s="342">
        <f t="shared" si="1244"/>
        <v>2020</v>
      </c>
      <c r="J2738" s="987">
        <f t="shared" si="1244"/>
        <v>2021</v>
      </c>
      <c r="K2738" s="320">
        <f t="shared" si="1244"/>
        <v>2022</v>
      </c>
      <c r="L2738" s="320">
        <f t="shared" si="1244"/>
        <v>2023</v>
      </c>
      <c r="M2738" s="320">
        <f t="shared" si="1244"/>
        <v>2024</v>
      </c>
      <c r="N2738" s="350">
        <f t="shared" si="1244"/>
        <v>2025</v>
      </c>
      <c r="O2738" s="15"/>
      <c r="P2738" s="15"/>
      <c r="Q2738" s="343"/>
      <c r="R2738" s="2"/>
      <c r="S2738" s="2"/>
      <c r="T2738" s="1044">
        <f t="shared" ref="T2738:Z2738" si="1245">H2738</f>
        <v>2019</v>
      </c>
      <c r="U2738" s="1044">
        <f t="shared" si="1245"/>
        <v>2020</v>
      </c>
      <c r="V2738" s="1044">
        <f t="shared" si="1245"/>
        <v>2021</v>
      </c>
      <c r="W2738" s="1044">
        <f t="shared" si="1245"/>
        <v>2022</v>
      </c>
      <c r="X2738" s="1044">
        <f t="shared" si="1245"/>
        <v>2023</v>
      </c>
      <c r="Y2738" s="1044">
        <f t="shared" si="1245"/>
        <v>2024</v>
      </c>
      <c r="Z2738" s="1044">
        <f t="shared" si="1245"/>
        <v>2025</v>
      </c>
      <c r="AA2738" s="2"/>
      <c r="AB2738" s="2"/>
      <c r="AC2738" s="1044">
        <f t="shared" ref="AC2738:AI2738" si="1246">H$20</f>
        <v>2019</v>
      </c>
      <c r="AD2738" s="1044">
        <f t="shared" si="1246"/>
        <v>2020</v>
      </c>
      <c r="AE2738" s="1044">
        <f t="shared" si="1246"/>
        <v>2021</v>
      </c>
      <c r="AF2738" s="1044">
        <f t="shared" si="1246"/>
        <v>2022</v>
      </c>
      <c r="AG2738" s="1044">
        <f t="shared" si="1246"/>
        <v>2023</v>
      </c>
      <c r="AH2738" s="1044">
        <f t="shared" si="1246"/>
        <v>2024</v>
      </c>
      <c r="AI2738" s="1044">
        <f t="shared" si="1246"/>
        <v>2025</v>
      </c>
      <c r="AJ2738" s="2"/>
      <c r="AK2738" s="2"/>
      <c r="AL2738" s="343"/>
    </row>
    <row r="2739" spans="1:38" ht="13" thickBot="1" x14ac:dyDescent="0.3">
      <c r="A2739" s="2"/>
      <c r="B2739" s="19"/>
      <c r="C2739" s="19"/>
      <c r="D2739" s="175" t="s">
        <v>8</v>
      </c>
      <c r="E2739" s="2655" t="str">
        <f>I2731</f>
        <v/>
      </c>
      <c r="F2739" s="2655"/>
      <c r="G2739" s="91" t="str">
        <f>IF(INDEX(CNTR_SubInstListIsProdBM,$C2731),INDEX(CNTR_SubInstListHALUnit,$C2731),EUconst_Tons)</f>
        <v>ton</v>
      </c>
      <c r="H2739" s="921"/>
      <c r="I2739" s="985"/>
      <c r="J2739" s="988"/>
      <c r="K2739" s="921"/>
      <c r="L2739" s="921"/>
      <c r="M2739" s="921"/>
      <c r="N2739" s="1124"/>
      <c r="O2739" s="15"/>
      <c r="P2739" s="1362"/>
      <c r="Q2739" s="2"/>
      <c r="R2739" s="2"/>
      <c r="S2739" s="343" t="s">
        <v>1874</v>
      </c>
      <c r="T2739" s="1762" t="b">
        <f t="shared" ref="T2739:Z2739" si="1247">AND($I2731&lt;&gt;"",H2738&lt;CNTR_ReportingYear,H2738&gt;=$V2731-1)</f>
        <v>0</v>
      </c>
      <c r="U2739" s="1763" t="b">
        <f t="shared" si="1247"/>
        <v>0</v>
      </c>
      <c r="V2739" s="1763" t="b">
        <f t="shared" si="1247"/>
        <v>0</v>
      </c>
      <c r="W2739" s="1763" t="b">
        <f t="shared" si="1247"/>
        <v>0</v>
      </c>
      <c r="X2739" s="1763" t="b">
        <f t="shared" si="1247"/>
        <v>0</v>
      </c>
      <c r="Y2739" s="1763" t="b">
        <f t="shared" si="1247"/>
        <v>0</v>
      </c>
      <c r="Z2739" s="1764" t="b">
        <f t="shared" si="1247"/>
        <v>0</v>
      </c>
      <c r="AA2739" s="343"/>
      <c r="AB2739" s="672" t="s">
        <v>782</v>
      </c>
      <c r="AC2739" s="1755" t="b">
        <f t="shared" ref="AC2739:AI2739" si="1248">IF(CNTR_ExistSubInstEntries,OR($I2731="",$R2743,H2738&gt;=CNTR_ReportingYear,AC2738&lt;$V2731-1),FALSE)</f>
        <v>0</v>
      </c>
      <c r="AD2739" s="1042" t="b">
        <f t="shared" si="1248"/>
        <v>0</v>
      </c>
      <c r="AE2739" s="1042" t="b">
        <f t="shared" si="1248"/>
        <v>0</v>
      </c>
      <c r="AF2739" s="1042" t="b">
        <f t="shared" si="1248"/>
        <v>0</v>
      </c>
      <c r="AG2739" s="1042" t="b">
        <f t="shared" si="1248"/>
        <v>0</v>
      </c>
      <c r="AH2739" s="1042" t="b">
        <f t="shared" si="1248"/>
        <v>0</v>
      </c>
      <c r="AI2739" s="1043" t="b">
        <f t="shared" si="1248"/>
        <v>0</v>
      </c>
      <c r="AJ2739" s="553" t="s">
        <v>2248</v>
      </c>
      <c r="AK2739" s="663" t="str">
        <f>IF(AND(CNTR_ExistSubInstEntries,COUNTIFS(AC2739:AI2739,FALSE,H2739:N2739,"")&gt;0),EUconst_Error&amp;"BM"&amp;$Q2731,"")</f>
        <v/>
      </c>
      <c r="AL2739" s="2"/>
    </row>
    <row r="2740" spans="1:38" ht="13" customHeight="1" thickBot="1" x14ac:dyDescent="0.3">
      <c r="A2740" s="2"/>
      <c r="B2740" s="19"/>
      <c r="C2740" s="19"/>
      <c r="D2740" s="175" t="s">
        <v>9</v>
      </c>
      <c r="E2740" s="2655" t="str">
        <f>Translations!$B$518</f>
        <v>Från blad ”H_SpecialBM”:</v>
      </c>
      <c r="F2740" s="2655"/>
      <c r="G2740" s="91" t="str">
        <f>G2739</f>
        <v>ton</v>
      </c>
      <c r="H2740" s="922" t="str">
        <f>IF(OR($I2731="",H2738&gt;=CNTR_ReportingYear),"",IF($R2743,SUMIF(H_SpecialBM!$Q$9:$Q$414,$Q2740,H_SpecialBM!H$9:H$414),""))</f>
        <v/>
      </c>
      <c r="I2740" s="986" t="str">
        <f>IF(OR($I2731="",I2738&gt;=CNTR_ReportingYear),"",IF($R2743,SUMIF(H_SpecialBM!$Q$9:$Q$414,$Q2740,H_SpecialBM!I$9:I$414),""))</f>
        <v/>
      </c>
      <c r="J2740" s="989" t="str">
        <f>IF(OR($I2731="",J2738&gt;=CNTR_ReportingYear),"",IF($R2743,SUMIF(H_SpecialBM!$Q$9:$Q$414,$Q2740,H_SpecialBM!J$9:J$414),""))</f>
        <v/>
      </c>
      <c r="K2740" s="922" t="str">
        <f>IF(OR($I2731="",K2738&gt;=CNTR_ReportingYear),"",IF($R2743,SUMIF(H_SpecialBM!$Q$9:$Q$414,$Q2740,H_SpecialBM!K$9:K$414),""))</f>
        <v/>
      </c>
      <c r="L2740" s="922" t="str">
        <f>IF(OR($I2731="",L2738&gt;=CNTR_ReportingYear),"",IF($R2743,SUMIF(H_SpecialBM!$Q$9:$Q$414,$Q2740,H_SpecialBM!L$9:L$414),""))</f>
        <v/>
      </c>
      <c r="M2740" s="922" t="str">
        <f>IF(OR($I2731="",M2738&gt;=CNTR_ReportingYear),"",IF($R2743,SUMIF(H_SpecialBM!$Q$9:$Q$414,$Q2740,H_SpecialBM!M$9:M$414),""))</f>
        <v/>
      </c>
      <c r="N2740" s="1125" t="str">
        <f>IF(OR($I2731="",N2738&gt;=CNTR_ReportingYear),"",IF($R2743,SUMIF(H_SpecialBM!$Q$9:$Q$414,$Q2740,H_SpecialBM!N$9:N$414),""))</f>
        <v/>
      </c>
      <c r="O2740" s="15"/>
      <c r="P2740" s="15"/>
      <c r="Q2740" s="165" t="str">
        <f>EUconst_CNTR_HALspecial&amp;I2731</f>
        <v>HALspecial_</v>
      </c>
      <c r="R2740" s="2"/>
      <c r="S2740" s="2"/>
      <c r="T2740" s="2"/>
      <c r="U2740" s="2"/>
      <c r="V2740" s="2"/>
      <c r="W2740" s="2"/>
      <c r="X2740" s="2"/>
      <c r="Y2740" s="2"/>
      <c r="Z2740" s="2"/>
      <c r="AA2740" s="2"/>
      <c r="AB2740" s="672" t="s">
        <v>782</v>
      </c>
      <c r="AC2740" s="1755" t="b">
        <f t="shared" ref="AC2740:AI2740" si="1249">AND(CNTR_HasEntries_A_I,OR($R2743=FALSE,H2738&gt;=CNTR_ReportingYear))</f>
        <v>0</v>
      </c>
      <c r="AD2740" s="1042" t="b">
        <f t="shared" si="1249"/>
        <v>0</v>
      </c>
      <c r="AE2740" s="1042" t="b">
        <f t="shared" si="1249"/>
        <v>0</v>
      </c>
      <c r="AF2740" s="1042" t="b">
        <f t="shared" si="1249"/>
        <v>0</v>
      </c>
      <c r="AG2740" s="1042" t="b">
        <f t="shared" si="1249"/>
        <v>0</v>
      </c>
      <c r="AH2740" s="1042" t="b">
        <f t="shared" si="1249"/>
        <v>0</v>
      </c>
      <c r="AI2740" s="1043" t="b">
        <f t="shared" si="1249"/>
        <v>0</v>
      </c>
      <c r="AJ2740" s="766"/>
      <c r="AK2740" s="766"/>
      <c r="AL2740" s="343"/>
    </row>
    <row r="2741" spans="1:38" ht="13" customHeight="1" x14ac:dyDescent="0.25">
      <c r="A2741" s="2"/>
      <c r="B2741" s="19"/>
      <c r="C2741" s="19"/>
      <c r="D2741" s="175" t="s">
        <v>10</v>
      </c>
      <c r="E2741" s="2655" t="str">
        <f>Translations!$B$519</f>
        <v>Värden som används för beräkning:</v>
      </c>
      <c r="F2741" s="2655"/>
      <c r="G2741" s="91" t="str">
        <f>G2740</f>
        <v>ton</v>
      </c>
      <c r="H2741" s="922" t="str">
        <f t="shared" ref="H2741:N2741" si="1250">IF(OR($I2731="",H2738&gt;=CNTR_ReportingYear),"",IF($R2743=TRUE,IF(ISNUMBER(H2740),H2740,0),IF(AND(H2738&gt;=$V2731-1,ISNUMBER(H2739)),H2739,0)))</f>
        <v/>
      </c>
      <c r="I2741" s="986" t="str">
        <f t="shared" si="1250"/>
        <v/>
      </c>
      <c r="J2741" s="989" t="str">
        <f t="shared" si="1250"/>
        <v/>
      </c>
      <c r="K2741" s="922" t="str">
        <f t="shared" si="1250"/>
        <v/>
      </c>
      <c r="L2741" s="922" t="str">
        <f t="shared" si="1250"/>
        <v/>
      </c>
      <c r="M2741" s="922" t="str">
        <f t="shared" si="1250"/>
        <v/>
      </c>
      <c r="N2741" s="1125" t="str">
        <f t="shared" si="1250"/>
        <v/>
      </c>
      <c r="O2741" s="15"/>
      <c r="P2741" s="918"/>
      <c r="Q2741" s="165" t="str">
        <f>EUconst_CNTR_HAL&amp;I2731</f>
        <v>HAL_</v>
      </c>
      <c r="R2741" s="2"/>
      <c r="S2741" s="2"/>
      <c r="T2741" s="2"/>
      <c r="U2741" s="2"/>
      <c r="V2741" s="2"/>
      <c r="W2741" s="2"/>
      <c r="X2741" s="2"/>
      <c r="Y2741" s="2"/>
      <c r="Z2741" s="2"/>
      <c r="AA2741" s="2"/>
      <c r="AB2741" s="2"/>
      <c r="AC2741" s="2"/>
      <c r="AD2741" s="2"/>
      <c r="AE2741" s="2"/>
      <c r="AF2741" s="2"/>
      <c r="AG2741" s="2"/>
      <c r="AH2741" s="2"/>
      <c r="AI2741" s="2"/>
      <c r="AJ2741" s="553" t="s">
        <v>2242</v>
      </c>
      <c r="AK2741" s="108" t="str">
        <f>IF(COUNTIFS(H2738:N2738,"&lt;"&amp;YEAR(SUM(T2731)),H2741:N2741,"&gt;"&amp;0)&gt;0,EUconst_Error&amp;"BM"&amp;Q2731,"")</f>
        <v/>
      </c>
      <c r="AL2741" s="343"/>
    </row>
    <row r="2742" spans="1:38" ht="5.15" customHeight="1" x14ac:dyDescent="0.25">
      <c r="A2742" s="2"/>
      <c r="B2742" s="178"/>
      <c r="C2742" s="178"/>
      <c r="D2742" s="178"/>
      <c r="E2742" s="178"/>
      <c r="F2742" s="178"/>
      <c r="G2742" s="178"/>
      <c r="H2742" s="178"/>
      <c r="I2742" s="178"/>
      <c r="J2742" s="178"/>
      <c r="K2742" s="178"/>
      <c r="L2742" s="178"/>
      <c r="M2742" s="15"/>
      <c r="N2742" s="15"/>
      <c r="O2742" s="15"/>
      <c r="P2742" s="15"/>
      <c r="Q2742" s="343"/>
      <c r="R2742" s="2"/>
      <c r="S2742" s="343"/>
      <c r="T2742" s="343"/>
      <c r="U2742" s="2"/>
      <c r="V2742" s="2"/>
      <c r="W2742" s="2"/>
      <c r="X2742" s="2"/>
      <c r="Y2742" s="2"/>
      <c r="Z2742" s="2"/>
      <c r="AA2742" s="2"/>
      <c r="AB2742" s="2"/>
      <c r="AC2742" s="2"/>
      <c r="AD2742" s="2"/>
      <c r="AE2742" s="2"/>
      <c r="AF2742" s="2"/>
      <c r="AG2742" s="2"/>
      <c r="AH2742" s="2"/>
      <c r="AI2742" s="2"/>
      <c r="AJ2742" s="2"/>
      <c r="AK2742" s="2"/>
      <c r="AL2742" s="2"/>
    </row>
    <row r="2743" spans="1:38" ht="12.75" customHeight="1" x14ac:dyDescent="0.25">
      <c r="A2743" s="2"/>
      <c r="B2743" s="178"/>
      <c r="C2743" s="178"/>
      <c r="D2743" s="289" t="s">
        <v>23</v>
      </c>
      <c r="E2743" s="1943" t="str">
        <f>Translations!$B$520</f>
        <v>Särskilda rapporteringskrav:</v>
      </c>
      <c r="F2743" s="1943"/>
      <c r="G2743" s="2067"/>
      <c r="H2743" s="2652" t="str">
        <f>IF(I2731="","",HYPERLINK(INDEX(EUconst_BMlistSpecialJumpTable,MATCH(I2731,EUconst_BMlistNames,0)),INDEX(EUconst_BMlistSpecialReporting,MATCH(I2731,EUconst_BMlistNames,0))))</f>
        <v/>
      </c>
      <c r="I2743" s="2656"/>
      <c r="J2743" s="2656"/>
      <c r="K2743" s="2656"/>
      <c r="L2743" s="2656"/>
      <c r="M2743" s="2656"/>
      <c r="N2743" s="2657"/>
      <c r="O2743" s="15"/>
      <c r="P2743" s="15"/>
      <c r="Q2743" s="553" t="s">
        <v>133</v>
      </c>
      <c r="R2743" s="108" t="str">
        <f>IF(I2731="","",IF(AND(INDEX(EUconst_BMlistSpecialJumpTable,MATCH(I2731,EUconst_BMlistNames,0))&lt;&gt;"",MATCH(I2731,EUconst_BMlistNames,0)&lt;&gt;47),TRUE,FALSE))</f>
        <v/>
      </c>
      <c r="S2743" s="343"/>
      <c r="T2743" s="343"/>
      <c r="U2743" s="2"/>
      <c r="V2743" s="2"/>
      <c r="W2743" s="2"/>
      <c r="X2743" s="2"/>
      <c r="Y2743" s="2"/>
      <c r="Z2743" s="2"/>
      <c r="AA2743" s="2"/>
      <c r="AB2743" s="2"/>
      <c r="AC2743" s="2"/>
      <c r="AD2743" s="2"/>
      <c r="AE2743" s="2"/>
      <c r="AF2743" s="2"/>
      <c r="AG2743" s="2"/>
      <c r="AH2743" s="2"/>
      <c r="AI2743" s="2"/>
      <c r="AJ2743" s="2"/>
      <c r="AK2743" s="2"/>
      <c r="AL2743" s="2"/>
    </row>
    <row r="2744" spans="1:38" ht="12.75" customHeight="1" x14ac:dyDescent="0.25">
      <c r="A2744" s="2"/>
      <c r="B2744" s="178"/>
      <c r="C2744" s="178"/>
      <c r="D2744" s="15"/>
      <c r="E2744" s="2061" t="str">
        <f>Translations!$B$521</f>
        <v>Särskild information måste ges när det gäller vissa produktriktmärken (t.ex. CWT-värden). Ett automatiskt meddelande kommer att visas här, i relevanta fall.</v>
      </c>
      <c r="F2744" s="1963"/>
      <c r="G2744" s="1963"/>
      <c r="H2744" s="1963"/>
      <c r="I2744" s="1963"/>
      <c r="J2744" s="1963"/>
      <c r="K2744" s="1963"/>
      <c r="L2744" s="1963"/>
      <c r="M2744" s="1963"/>
      <c r="N2744" s="1963"/>
      <c r="O2744" s="15"/>
      <c r="P2744" s="15"/>
      <c r="Q2744" s="343"/>
      <c r="R2744" s="2"/>
      <c r="S2744" s="343"/>
      <c r="T2744" s="343"/>
      <c r="U2744" s="2"/>
      <c r="V2744" s="2"/>
      <c r="W2744" s="2"/>
      <c r="X2744" s="2"/>
      <c r="Y2744" s="2"/>
      <c r="Z2744" s="2"/>
      <c r="AA2744" s="2"/>
      <c r="AB2744" s="2"/>
      <c r="AC2744" s="2"/>
      <c r="AD2744" s="2"/>
      <c r="AE2744" s="2"/>
      <c r="AF2744" s="2"/>
      <c r="AG2744" s="2"/>
      <c r="AH2744" s="2"/>
      <c r="AI2744" s="2"/>
      <c r="AJ2744" s="2"/>
      <c r="AK2744" s="2"/>
      <c r="AL2744" s="2"/>
    </row>
    <row r="2745" spans="1:38" ht="5.15" customHeight="1" x14ac:dyDescent="0.25">
      <c r="A2745" s="2"/>
      <c r="B2745" s="178"/>
      <c r="C2745" s="178"/>
      <c r="D2745" s="15"/>
      <c r="E2745" s="15"/>
      <c r="F2745" s="15"/>
      <c r="G2745" s="15"/>
      <c r="H2745" s="15"/>
      <c r="I2745" s="15"/>
      <c r="J2745" s="15"/>
      <c r="K2745" s="15"/>
      <c r="L2745" s="15"/>
      <c r="M2745" s="15"/>
      <c r="N2745" s="15"/>
      <c r="O2745" s="15"/>
      <c r="P2745" s="15"/>
      <c r="Q2745" s="343"/>
      <c r="R2745" s="2"/>
      <c r="S2745" s="343"/>
      <c r="T2745" s="343"/>
      <c r="U2745" s="2"/>
      <c r="V2745" s="2"/>
      <c r="W2745" s="2"/>
      <c r="X2745" s="2"/>
      <c r="Y2745" s="2"/>
      <c r="Z2745" s="343"/>
      <c r="AA2745" s="2"/>
      <c r="AB2745" s="2"/>
      <c r="AC2745" s="2"/>
      <c r="AD2745" s="2"/>
      <c r="AE2745" s="2"/>
      <c r="AF2745" s="2"/>
      <c r="AG2745" s="2"/>
      <c r="AH2745" s="2"/>
      <c r="AI2745" s="2"/>
      <c r="AJ2745" s="2"/>
      <c r="AK2745" s="2"/>
      <c r="AL2745" s="343"/>
    </row>
    <row r="2746" spans="1:38" ht="12.75" customHeight="1" x14ac:dyDescent="0.25">
      <c r="A2746" s="2"/>
      <c r="B2746" s="178"/>
      <c r="C2746" s="178"/>
      <c r="D2746" s="13" t="s">
        <v>955</v>
      </c>
      <c r="E2746" s="1943" t="str">
        <f>Translations!$B$1467</f>
        <v>Eventuella justeringar av verksamhetsnivå</v>
      </c>
      <c r="F2746" s="1963"/>
      <c r="G2746" s="1963"/>
      <c r="H2746" s="1963"/>
      <c r="I2746" s="1963"/>
      <c r="J2746" s="1963"/>
      <c r="K2746" s="1963"/>
      <c r="L2746" s="1963"/>
      <c r="M2746" s="1963"/>
      <c r="N2746" s="1963"/>
      <c r="O2746" s="15"/>
      <c r="P2746" s="15"/>
      <c r="Q2746" s="343"/>
      <c r="R2746" s="2"/>
      <c r="S2746" s="343"/>
      <c r="T2746" s="343"/>
      <c r="U2746" s="2"/>
      <c r="V2746" s="2"/>
      <c r="W2746" s="2"/>
      <c r="X2746" s="2"/>
      <c r="Y2746" s="2"/>
      <c r="Z2746" s="343"/>
      <c r="AA2746" s="2"/>
      <c r="AB2746" s="2"/>
      <c r="AC2746" s="2"/>
      <c r="AD2746" s="2"/>
      <c r="AE2746" s="2"/>
      <c r="AF2746" s="2"/>
      <c r="AG2746" s="2"/>
      <c r="AH2746" s="2"/>
      <c r="AI2746" s="2"/>
      <c r="AJ2746" s="2"/>
      <c r="AK2746" s="2"/>
      <c r="AL2746" s="343"/>
    </row>
    <row r="2747" spans="1:38" ht="12.75" customHeight="1" x14ac:dyDescent="0.25">
      <c r="A2747" s="2"/>
      <c r="B2747" s="178"/>
      <c r="C2747" s="178"/>
      <c r="D2747" s="15"/>
      <c r="E2747" s="2061" t="str">
        <f>Translations!$B$1468</f>
        <v>Den historiska verksamhetsnivån (HAL) kommer att bestämmas automatiskt baserat på uppgifter under punkt a) ovan och uppgifter i blad B+C_SubInstallations. För nya delanläggningar kommer HAL att visas under v) baserat på det första fullständiga verksamhetsåret.</v>
      </c>
      <c r="F2747" s="1963"/>
      <c r="G2747" s="1963"/>
      <c r="H2747" s="1963"/>
      <c r="I2747" s="1963"/>
      <c r="J2747" s="1963"/>
      <c r="K2747" s="1963"/>
      <c r="L2747" s="1963"/>
      <c r="M2747" s="1963"/>
      <c r="N2747" s="1963"/>
      <c r="O2747" s="15"/>
      <c r="P2747" s="15"/>
      <c r="Q2747" s="343"/>
      <c r="R2747" s="2"/>
      <c r="S2747" s="343"/>
      <c r="T2747" s="343"/>
      <c r="U2747" s="343"/>
      <c r="V2747" s="2"/>
      <c r="W2747" s="2"/>
      <c r="X2747" s="2"/>
      <c r="Y2747" s="2"/>
      <c r="Z2747" s="2"/>
      <c r="AA2747" s="2"/>
      <c r="AB2747" s="2"/>
      <c r="AC2747" s="2"/>
      <c r="AD2747" s="2"/>
      <c r="AE2747" s="2"/>
      <c r="AF2747" s="2"/>
      <c r="AG2747" s="2"/>
      <c r="AH2747" s="2"/>
      <c r="AI2747" s="2"/>
      <c r="AJ2747" s="2"/>
      <c r="AK2747" s="2"/>
      <c r="AL2747" s="2"/>
    </row>
    <row r="2748" spans="1:38" ht="25.5" customHeight="1" x14ac:dyDescent="0.25">
      <c r="A2748" s="2"/>
      <c r="B2748" s="178"/>
      <c r="C2748" s="178"/>
      <c r="D2748" s="15"/>
      <c r="E2748" s="2061" t="str">
        <f>Translations!$B$1469</f>
        <v>Baserat på värdena för HAL och värdena under punkt a) ovan bestäms de genomsnittliga verksamhetsnivåerna här. Tilldelningen kommer endast att ändras om alla följande tröskelvärden i artikel 5 i verksamhetsändringsförordningen överskrids:</v>
      </c>
      <c r="F2748" s="1963"/>
      <c r="G2748" s="1963"/>
      <c r="H2748" s="1963"/>
      <c r="I2748" s="1963"/>
      <c r="J2748" s="1963"/>
      <c r="K2748" s="1963"/>
      <c r="L2748" s="1963"/>
      <c r="M2748" s="1963"/>
      <c r="N2748" s="1963"/>
      <c r="O2748" s="15"/>
      <c r="P2748" s="15"/>
      <c r="Q2748" s="343"/>
      <c r="R2748" s="2"/>
      <c r="S2748" s="343"/>
      <c r="T2748" s="343"/>
      <c r="U2748" s="343"/>
      <c r="V2748" s="2"/>
      <c r="W2748" s="2"/>
      <c r="X2748" s="2"/>
      <c r="Y2748" s="2"/>
      <c r="Z2748" s="2"/>
      <c r="AA2748" s="2"/>
      <c r="AB2748" s="2"/>
      <c r="AC2748" s="2"/>
      <c r="AD2748" s="2"/>
      <c r="AE2748" s="2"/>
      <c r="AF2748" s="2"/>
      <c r="AG2748" s="2"/>
      <c r="AH2748" s="2"/>
      <c r="AI2748" s="2"/>
      <c r="AJ2748" s="2"/>
      <c r="AK2748" s="2"/>
      <c r="AL2748" s="2"/>
    </row>
    <row r="2749" spans="1:38" ht="12.75" customHeight="1" x14ac:dyDescent="0.25">
      <c r="A2749" s="2"/>
      <c r="B2749" s="178"/>
      <c r="C2749" s="178"/>
      <c r="D2749" s="15"/>
      <c r="E2749" s="1102" t="s">
        <v>1112</v>
      </c>
      <c r="F2749" s="2095" t="str">
        <f>Translations!$B$1470</f>
        <v>De relativa tröskelvärdena (15 % och 5 % för efterföljande ändringar) för de genomsnittliga verksamhetsnivåerna jämfört med HAL</v>
      </c>
      <c r="G2749" s="2159"/>
      <c r="H2749" s="2159"/>
      <c r="I2749" s="2159"/>
      <c r="J2749" s="2159"/>
      <c r="K2749" s="2159"/>
      <c r="L2749" s="2159"/>
      <c r="M2749" s="2159"/>
      <c r="N2749" s="2159"/>
      <c r="O2749" s="15"/>
      <c r="P2749" s="15"/>
      <c r="Q2749" s="343"/>
      <c r="R2749" s="2"/>
      <c r="S2749" s="343"/>
      <c r="T2749" s="343"/>
      <c r="U2749" s="343"/>
      <c r="V2749" s="2"/>
      <c r="W2749" s="2"/>
      <c r="X2749" s="2"/>
      <c r="Y2749" s="2"/>
      <c r="Z2749" s="2"/>
      <c r="AA2749" s="2"/>
      <c r="AB2749" s="2"/>
      <c r="AC2749" s="2"/>
      <c r="AD2749" s="2"/>
      <c r="AE2749" s="2"/>
      <c r="AF2749" s="2"/>
      <c r="AG2749" s="2"/>
      <c r="AH2749" s="2"/>
      <c r="AI2749" s="2"/>
      <c r="AJ2749" s="2"/>
      <c r="AK2749" s="2"/>
      <c r="AL2749" s="2"/>
    </row>
    <row r="2750" spans="1:38" ht="12.75" customHeight="1" thickBot="1" x14ac:dyDescent="0.3">
      <c r="A2750" s="2"/>
      <c r="B2750" s="178"/>
      <c r="C2750" s="178"/>
      <c r="D2750" s="15"/>
      <c r="E2750" s="1102" t="s">
        <v>1112</v>
      </c>
      <c r="F2750" s="2095" t="str">
        <f>Translations!$B$1471</f>
        <v>Det absoluta tröskelvärdet, dvs. en ändring skulle leda till en ändring av den preliminära tilldelningen på minst 100 utsläppsrätter</v>
      </c>
      <c r="G2750" s="2159"/>
      <c r="H2750" s="2159"/>
      <c r="I2750" s="2159"/>
      <c r="J2750" s="2159"/>
      <c r="K2750" s="2159"/>
      <c r="L2750" s="2159"/>
      <c r="M2750" s="2159"/>
      <c r="N2750" s="2159"/>
      <c r="O2750" s="15"/>
      <c r="P2750" s="15"/>
      <c r="Q2750" s="343"/>
      <c r="R2750" s="2"/>
      <c r="S2750" s="343"/>
      <c r="T2750" s="343"/>
      <c r="U2750" s="343"/>
      <c r="V2750" s="2"/>
      <c r="W2750" s="2"/>
      <c r="X2750" s="2"/>
      <c r="Y2750" s="2"/>
      <c r="Z2750" s="2"/>
      <c r="AA2750" s="2"/>
      <c r="AB2750" s="2"/>
      <c r="AC2750" s="2"/>
      <c r="AD2750" s="2"/>
      <c r="AE2750" s="2"/>
      <c r="AF2750" s="2"/>
      <c r="AG2750" s="2"/>
      <c r="AH2750" s="2"/>
      <c r="AI2750" s="2"/>
      <c r="AJ2750" s="2"/>
      <c r="AK2750" s="2"/>
      <c r="AL2750" s="2"/>
    </row>
    <row r="2751" spans="1:38" ht="5.15" customHeight="1" thickBot="1" x14ac:dyDescent="0.3">
      <c r="A2751" s="2"/>
      <c r="B2751" s="178"/>
      <c r="C2751" s="178"/>
      <c r="D2751" s="1238"/>
      <c r="E2751" s="1278"/>
      <c r="F2751" s="1239"/>
      <c r="G2751" s="1279"/>
      <c r="H2751" s="1279"/>
      <c r="I2751" s="1279"/>
      <c r="J2751" s="1279"/>
      <c r="K2751" s="1279"/>
      <c r="L2751" s="1279"/>
      <c r="M2751" s="1279"/>
      <c r="N2751" s="1280"/>
      <c r="O2751" s="15"/>
      <c r="P2751" s="15"/>
      <c r="Q2751" s="343"/>
      <c r="R2751" s="2"/>
      <c r="S2751" s="343"/>
      <c r="T2751" s="343"/>
      <c r="U2751" s="343"/>
      <c r="V2751" s="2"/>
      <c r="W2751" s="2"/>
      <c r="X2751" s="2"/>
      <c r="Y2751" s="2"/>
      <c r="Z2751" s="2"/>
      <c r="AA2751" s="2"/>
      <c r="AB2751" s="2"/>
      <c r="AC2751" s="2"/>
      <c r="AD2751" s="2"/>
      <c r="AE2751" s="2"/>
      <c r="AF2751" s="2"/>
      <c r="AG2751" s="2"/>
      <c r="AH2751" s="2"/>
      <c r="AI2751" s="2"/>
      <c r="AJ2751" s="2"/>
      <c r="AK2751" s="2"/>
      <c r="AL2751" s="2"/>
    </row>
    <row r="2752" spans="1:38" ht="12.75" customHeight="1" x14ac:dyDescent="0.25">
      <c r="A2752" s="2"/>
      <c r="B2752" s="178"/>
      <c r="C2752" s="178"/>
      <c r="D2752" s="1290"/>
      <c r="E2752" s="1243" t="str">
        <f>Translations!$B$1340</f>
        <v>Justeringar</v>
      </c>
      <c r="F2752" s="1244"/>
      <c r="G2752" s="1244"/>
      <c r="H2752" s="1228" t="str">
        <f>EUconst_Unit</f>
        <v>Enhet</v>
      </c>
      <c r="I2752" s="1229" t="str">
        <f>Translations!$B$1472</f>
        <v>HAL</v>
      </c>
      <c r="J2752" s="1268">
        <f>J$3042</f>
        <v>2021</v>
      </c>
      <c r="K2752" s="1230">
        <f>K$3042</f>
        <v>2022</v>
      </c>
      <c r="L2752" s="1230">
        <f>L$3042</f>
        <v>2023</v>
      </c>
      <c r="M2752" s="1230">
        <f>M$3042</f>
        <v>2024</v>
      </c>
      <c r="N2752" s="1258">
        <f>N$3042</f>
        <v>2025</v>
      </c>
      <c r="O2752" s="15"/>
      <c r="P2752" s="15"/>
      <c r="Q2752" s="343"/>
      <c r="R2752" s="2"/>
      <c r="S2752" s="2"/>
      <c r="T2752" s="2"/>
      <c r="U2752" s="772"/>
      <c r="V2752" s="1077">
        <f>J2752</f>
        <v>2021</v>
      </c>
      <c r="W2752" s="1077">
        <f>K2752</f>
        <v>2022</v>
      </c>
      <c r="X2752" s="1077">
        <f>L2752</f>
        <v>2023</v>
      </c>
      <c r="Y2752" s="1077">
        <f>M2752</f>
        <v>2024</v>
      </c>
      <c r="Z2752" s="1078">
        <f>N2752</f>
        <v>2025</v>
      </c>
      <c r="AA2752" s="2"/>
      <c r="AB2752" s="2"/>
      <c r="AC2752" s="2"/>
      <c r="AD2752" s="2"/>
      <c r="AE2752" s="2"/>
      <c r="AF2752" s="2"/>
      <c r="AG2752" s="2"/>
      <c r="AH2752" s="2"/>
      <c r="AI2752" s="2"/>
      <c r="AJ2752" s="2"/>
      <c r="AK2752" s="2"/>
      <c r="AL2752" s="2"/>
    </row>
    <row r="2753" spans="1:38" ht="12.75" customHeight="1" x14ac:dyDescent="0.25">
      <c r="A2753" s="2"/>
      <c r="B2753" s="178"/>
      <c r="C2753" s="178"/>
      <c r="D2753" s="1246" t="s">
        <v>8</v>
      </c>
      <c r="E2753" s="1231" t="str">
        <f>Translations!$B$1473</f>
        <v>Genomsnittlig årlig verksamhetsnivå</v>
      </c>
      <c r="F2753" s="1231"/>
      <c r="G2753" s="1231"/>
      <c r="H2753" s="917" t="str">
        <f>IF(INDEX(CNTR_SubInstListIsProdBM,$C2731),INDEX(CNTR_SubInstListHALUnit,$C2731),EUconst_Tons)</f>
        <v>ton</v>
      </c>
      <c r="I2753" s="990" t="str">
        <f>IF(V2731&gt;($J$3042-3),EUconst_NA,INDEX('B+C_SubInstallations'!$I:$I,MATCH(Q2753,'B+C_SubInstallations'!$T:$T,0)))</f>
        <v/>
      </c>
      <c r="J2753" s="993" t="str">
        <f>IF(AND(V2753&gt;=3,CNTR_ReportingYear&gt;J2752-1),AVERAGE(H2741:I2741),"")</f>
        <v/>
      </c>
      <c r="K2753" s="920" t="str">
        <f>IF(AND(W2753&gt;=3,CNTR_ReportingYear&gt;K2752-1),AVERAGE(I2741:J2741),"")</f>
        <v/>
      </c>
      <c r="L2753" s="920" t="str">
        <f>IF(AND(X2753&gt;=3,CNTR_ReportingYear&gt;L2752-1),AVERAGE(J2741:K2741),"")</f>
        <v/>
      </c>
      <c r="M2753" s="920" t="str">
        <f>IF(AND(Y2753&gt;=3,CNTR_ReportingYear&gt;M2752-1),AVERAGE(K2741:L2741),"")</f>
        <v/>
      </c>
      <c r="N2753" s="1218" t="str">
        <f>IF(AND(Z2753&gt;=3,CNTR_ReportingYear&gt;N2752-1),AVERAGE(L2741:M2741),"")</f>
        <v/>
      </c>
      <c r="O2753" s="15"/>
      <c r="P2753" s="15"/>
      <c r="Q2753" s="672" t="str">
        <f>EUconst_CNTR_HALinitial&amp;I2731</f>
        <v>HALini_</v>
      </c>
      <c r="R2753" s="2"/>
      <c r="S2753" s="2"/>
      <c r="T2753" s="2"/>
      <c r="U2753" s="1088" t="s">
        <v>1850</v>
      </c>
      <c r="V2753" s="663">
        <f>IF($I2731="",0,V2752-$V2731+1)</f>
        <v>0</v>
      </c>
      <c r="W2753" s="663">
        <f>IF($I2731="",0,W2752-$V2731+1)</f>
        <v>0</v>
      </c>
      <c r="X2753" s="663">
        <f>IF($I2731="",0,X2752-$V2731+1)</f>
        <v>0</v>
      </c>
      <c r="Y2753" s="663">
        <f>IF($I2731="",0,Y2752-$V2731+1)</f>
        <v>0</v>
      </c>
      <c r="Z2753" s="1080">
        <f>IF($I2731="",0,Z2752-$V2731+1)</f>
        <v>0</v>
      </c>
      <c r="AA2753" s="2"/>
      <c r="AB2753" s="2"/>
      <c r="AC2753" s="2"/>
      <c r="AD2753" s="2"/>
      <c r="AE2753" s="2"/>
      <c r="AF2753" s="2"/>
      <c r="AG2753" s="2"/>
      <c r="AH2753" s="2"/>
      <c r="AI2753" s="2"/>
      <c r="AJ2753" s="2"/>
      <c r="AK2753" s="2"/>
      <c r="AL2753" s="2"/>
    </row>
    <row r="2754" spans="1:38" ht="12.75" hidden="1" customHeight="1" x14ac:dyDescent="0.25">
      <c r="A2754" s="343" t="s">
        <v>346</v>
      </c>
      <c r="B2754" s="178"/>
      <c r="C2754" s="178"/>
      <c r="D2754" s="1242"/>
      <c r="E2754" s="1281" t="s">
        <v>1848</v>
      </c>
      <c r="F2754" s="1281"/>
      <c r="G2754" s="1281"/>
      <c r="H2754" s="1283"/>
      <c r="I2754" s="1284"/>
      <c r="J2754" s="991" t="str">
        <f>IF(J2753="","",IF($I2756=0,IF(J2753=0,0%,100%),J2753/$I2756-1))</f>
        <v/>
      </c>
      <c r="K2754" s="960" t="str">
        <f>IF(K2753="","",IF($I2756=0,IF(K2753=0,0%,100%),K2753/$I2756-1))</f>
        <v/>
      </c>
      <c r="L2754" s="960" t="str">
        <f>IF(L2753="","",IF($I2756=0,IF(L2753=0,0%,100%),L2753/$I2756-1))</f>
        <v/>
      </c>
      <c r="M2754" s="960" t="str">
        <f>IF(M2753="","",IF($I2756=0,IF(M2753=0,0%,100%),M2753/$I2756-1))</f>
        <v/>
      </c>
      <c r="N2754" s="1219" t="str">
        <f>IF(N2753="","",IF($I2756=0,IF(N2753=0,0%,100%),N2753/$I2756-1))</f>
        <v/>
      </c>
      <c r="O2754" s="15"/>
      <c r="P2754" s="15"/>
      <c r="Q2754" s="165" t="str">
        <f>EUconst_CNTR_RelThreshold &amp; Q2756</f>
        <v>RelThresh_HALprelim_</v>
      </c>
      <c r="R2754" s="2"/>
      <c r="S2754" s="2"/>
      <c r="T2754" s="2"/>
      <c r="U2754" s="1088" t="s">
        <v>1855</v>
      </c>
      <c r="V2754" s="603" t="str">
        <f>IF(J2753="","",ABS(J2754)&gt;15%)</f>
        <v/>
      </c>
      <c r="W2754" s="603" t="str">
        <f>IF(K2753="","",ABS(K2754)&gt;15%)</f>
        <v/>
      </c>
      <c r="X2754" s="603" t="str">
        <f>IF(L2753="","",ABS(L2754)&gt;15%)</f>
        <v/>
      </c>
      <c r="Y2754" s="603" t="str">
        <f>IF(M2753="","",ABS(M2754)&gt;15%)</f>
        <v/>
      </c>
      <c r="Z2754" s="1756" t="str">
        <f>IF(N2753="","",ABS(N2754)&gt;15%)</f>
        <v/>
      </c>
      <c r="AA2754" s="2"/>
      <c r="AB2754" s="2"/>
      <c r="AC2754" s="2"/>
      <c r="AD2754" s="2"/>
      <c r="AE2754" s="2"/>
      <c r="AF2754" s="2"/>
      <c r="AG2754" s="2"/>
      <c r="AH2754" s="2"/>
      <c r="AI2754" s="2"/>
      <c r="AJ2754" s="2"/>
      <c r="AK2754" s="2"/>
      <c r="AL2754" s="343"/>
    </row>
    <row r="2755" spans="1:38" ht="12.75" customHeight="1" x14ac:dyDescent="0.25">
      <c r="A2755" s="343"/>
      <c r="B2755" s="178"/>
      <c r="C2755" s="178"/>
      <c r="D2755" s="1246" t="s">
        <v>9</v>
      </c>
      <c r="E2755" s="1231" t="str">
        <f>Translations!$B$1474</f>
        <v>Preliminär justering (om relativa tröskelvärden överskrids)</v>
      </c>
      <c r="F2755" s="1231"/>
      <c r="G2755" s="1231"/>
      <c r="H2755" s="1233"/>
      <c r="I2755" s="1235"/>
      <c r="J2755" s="992" t="str">
        <f>IF(J2753="","",IF(V2754=FALSE,0%,IF(V2755,J2754,I2761)))</f>
        <v/>
      </c>
      <c r="K2755" s="937" t="str">
        <f>IF(K2753="","",IF(W2754=FALSE,0%,IF(W2755,K2754,J2761)))</f>
        <v/>
      </c>
      <c r="L2755" s="937" t="str">
        <f>IF(L2753="","",IF(X2754=FALSE,0%,IF(X2755,L2754,K2761)))</f>
        <v/>
      </c>
      <c r="M2755" s="937" t="str">
        <f>IF(M2753="","",IF(Y2754=FALSE,0%,IF(Y2755,M2754,L2761)))</f>
        <v/>
      </c>
      <c r="N2755" s="1220" t="str">
        <f>IF(N2753="","",IF(Z2754=FALSE,0%,IF(Z2755,N2754,M2761)))</f>
        <v/>
      </c>
      <c r="O2755" s="15"/>
      <c r="P2755" s="15"/>
      <c r="Q2755" s="2"/>
      <c r="R2755" s="2"/>
      <c r="S2755" s="2"/>
      <c r="T2755" s="2"/>
      <c r="U2755" s="1088" t="s">
        <v>1856</v>
      </c>
      <c r="V2755" s="603" t="str">
        <f>IF(J2753="","",AND(V2754,IF(SUM(I2761)&lt;0,OR(SUM(J2754)&lt;SUM(I2761)-MOD(SUM(I2761),5%),J2754&gt;=SUM(I2761)+5%-MOD(SUM(I2761),5%)),OR(SUM(J2754)&lt;=SUM(I2761)-MOD(SUM(I2761),5%),SUM(J2754)&gt;SUM(I2761)+5%-MOD(SUM(I2761),5%)))))</f>
        <v/>
      </c>
      <c r="W2755" s="603" t="str">
        <f>IF(K2753="","",AND(W2754,IF(SUM(J2761)&lt;0,OR(SUM(K2754)&lt;SUM(J2761)-MOD(SUM(J2761),5%),K2754&gt;=SUM(J2761)+5%-MOD(SUM(J2761),5%)),OR(SUM(K2754)&lt;=SUM(J2761)-MOD(SUM(J2761),5%),SUM(K2754)&gt;SUM(J2761)+5%-MOD(SUM(J2761),5%)))))</f>
        <v/>
      </c>
      <c r="X2755" s="603" t="str">
        <f>IF(L2753="","",AND(X2754,IF(SUM(K2761)&lt;0,OR(SUM(L2754)&lt;SUM(K2761)-MOD(SUM(K2761),5%),L2754&gt;=SUM(K2761)+5%-MOD(SUM(K2761),5%)),OR(SUM(L2754)&lt;=SUM(K2761)-MOD(SUM(K2761),5%),SUM(L2754)&gt;SUM(K2761)+5%-MOD(SUM(K2761),5%)))))</f>
        <v/>
      </c>
      <c r="Y2755" s="603" t="str">
        <f>IF(M2753="","",AND(Y2754,IF(SUM(L2761)&lt;0,OR(SUM(M2754)&lt;SUM(L2761)-MOD(SUM(L2761),5%),M2754&gt;=SUM(L2761)+5%-MOD(SUM(L2761),5%)),OR(SUM(M2754)&lt;=SUM(L2761)-MOD(SUM(L2761),5%),SUM(M2754)&gt;SUM(L2761)+5%-MOD(SUM(L2761),5%)))))</f>
        <v/>
      </c>
      <c r="Z2755" s="1756" t="str">
        <f>IF(N2753="","",AND(Z2754,IF(SUM(M2761)&lt;0,OR(SUM(N2754)&lt;SUM(M2761)-MOD(SUM(M2761),5%),N2754&gt;=SUM(M2761)+5%-MOD(SUM(M2761),5%)),OR(SUM(N2754)&lt;=SUM(M2761)-MOD(SUM(M2761),5%),SUM(N2754)&gt;SUM(M2761)+5%-MOD(SUM(M2761),5%)))))</f>
        <v/>
      </c>
      <c r="AA2755" s="2"/>
      <c r="AB2755" s="2"/>
      <c r="AC2755" s="2"/>
      <c r="AD2755" s="2"/>
      <c r="AE2755" s="2"/>
      <c r="AF2755" s="2"/>
      <c r="AG2755" s="2"/>
      <c r="AH2755" s="2"/>
      <c r="AI2755" s="2"/>
      <c r="AJ2755" s="2"/>
      <c r="AK2755" s="2"/>
      <c r="AL2755" s="343"/>
    </row>
    <row r="2756" spans="1:38" ht="12.75" hidden="1" customHeight="1" x14ac:dyDescent="0.25">
      <c r="A2756" s="343" t="s">
        <v>346</v>
      </c>
      <c r="B2756" s="178"/>
      <c r="C2756" s="178"/>
      <c r="D2756" s="1242"/>
      <c r="E2756" s="1231" t="s">
        <v>1889</v>
      </c>
      <c r="F2756" s="1231"/>
      <c r="G2756" s="1231"/>
      <c r="H2756" s="917" t="str">
        <f>H2753</f>
        <v>ton</v>
      </c>
      <c r="I2756" s="990" t="str">
        <f>IF(I2731="","",IF(AB2731=FALSE,EUconst_NA,IF(V2731&gt;($J$3042-3),INDEX(H2741:N2741,MATCH(V2731,H2738:N2738,0)),SUM(I2753))))</f>
        <v/>
      </c>
      <c r="J2756" s="993" t="str">
        <f>IF($I2731="","",IF(V2753&lt;2,SUM(J2741),IF(V2753&lt;3,SUM(I2741),IF(V2756="",I2756,V2756))))</f>
        <v/>
      </c>
      <c r="K2756" s="920" t="str">
        <f>IF($I2731="","",IF(W2753&lt;2,SUM(K2741),IF(W2753&lt;3,SUM(J2741),IF(W2756="",J2756,W2756))))</f>
        <v/>
      </c>
      <c r="L2756" s="920" t="str">
        <f>IF($I2731="","",IF(X2753&lt;2,SUM(L2741),IF(X2753&lt;3,SUM(K2741),IF(X2756="",K2756,X2756))))</f>
        <v/>
      </c>
      <c r="M2756" s="920" t="str">
        <f>IF($I2731="","",IF(Y2753&lt;2,SUM(M2741),IF(Y2753&lt;3,SUM(L2741),IF(Y2756="",L2756,Y2756))))</f>
        <v/>
      </c>
      <c r="N2756" s="1218" t="str">
        <f>IF($I2731="","",IF(Z2753&lt;2,SUM(N2741),IF(Z2753&lt;3,SUM(M2741),IF(Z2756="",M2756,Z2756))))</f>
        <v/>
      </c>
      <c r="O2756" s="15"/>
      <c r="P2756" s="15"/>
      <c r="Q2756" s="672" t="str">
        <f>EUconst_CNTR_HALprelim&amp;I2731</f>
        <v>HALprelim_</v>
      </c>
      <c r="R2756" s="2"/>
      <c r="S2756" s="2"/>
      <c r="T2756" s="2"/>
      <c r="U2756" s="1088" t="s">
        <v>1898</v>
      </c>
      <c r="V2756" s="1752" t="str">
        <f>IF(J2753="","",IF(CNTR_ReportingYear&lt;J2752,I2755,IF($I2756=0,J2753,$I2756*(1+J2755))))</f>
        <v/>
      </c>
      <c r="W2756" s="1752" t="str">
        <f>IF(K2753="","",IF(CNTR_ReportingYear&lt;K2752,J2755,IF($I2756=0,K2753,$I2756*(1+K2755))))</f>
        <v/>
      </c>
      <c r="X2756" s="1752" t="str">
        <f>IF(L2753="","",IF(CNTR_ReportingYear&lt;L2752,K2755,IF($I2756=0,L2753,$I2756*(1+L2755))))</f>
        <v/>
      </c>
      <c r="Y2756" s="1752" t="str">
        <f>IF(M2753="","",IF(CNTR_ReportingYear&lt;M2752,L2755,IF($I2756=0,M2753,$I2756*(1+M2755))))</f>
        <v/>
      </c>
      <c r="Z2756" s="1761" t="str">
        <f>IF(N2753="","",IF(CNTR_ReportingYear&lt;N2752,M2755,IF($I2756=0,N2753,$I2756*(1+N2755))))</f>
        <v/>
      </c>
      <c r="AA2756" s="2"/>
      <c r="AB2756" s="2"/>
      <c r="AC2756" s="2"/>
      <c r="AD2756" s="2"/>
      <c r="AE2756" s="2"/>
      <c r="AF2756" s="2"/>
      <c r="AG2756" s="2"/>
      <c r="AH2756" s="2"/>
      <c r="AI2756" s="2"/>
      <c r="AJ2756" s="2"/>
      <c r="AK2756" s="2"/>
      <c r="AL2756" s="343"/>
    </row>
    <row r="2757" spans="1:38" ht="5.15" customHeight="1" x14ac:dyDescent="0.25">
      <c r="A2757" s="343"/>
      <c r="B2757" s="178"/>
      <c r="C2757" s="178"/>
      <c r="D2757" s="1242"/>
      <c r="E2757" s="1244"/>
      <c r="F2757" s="1244"/>
      <c r="G2757" s="1244"/>
      <c r="H2757" s="1244"/>
      <c r="I2757" s="1244"/>
      <c r="J2757" s="1236"/>
      <c r="K2757" s="1236"/>
      <c r="L2757" s="1236"/>
      <c r="M2757" s="1236"/>
      <c r="N2757" s="1247"/>
      <c r="O2757" s="15"/>
      <c r="P2757" s="15"/>
      <c r="Q2757" s="343"/>
      <c r="R2757" s="2"/>
      <c r="S2757" s="2"/>
      <c r="T2757" s="2"/>
      <c r="U2757" s="1086"/>
      <c r="V2757" s="343"/>
      <c r="W2757" s="2"/>
      <c r="X2757" s="2"/>
      <c r="Y2757" s="2"/>
      <c r="Z2757" s="228"/>
      <c r="AA2757" s="2"/>
      <c r="AB2757" s="2"/>
      <c r="AC2757" s="2"/>
      <c r="AD2757" s="2"/>
      <c r="AE2757" s="2"/>
      <c r="AF2757" s="2"/>
      <c r="AG2757" s="2"/>
      <c r="AH2757" s="2"/>
      <c r="AI2757" s="2"/>
      <c r="AJ2757" s="2"/>
      <c r="AK2757" s="2"/>
      <c r="AL2757" s="343"/>
    </row>
    <row r="2758" spans="1:38" ht="12.75" customHeight="1" x14ac:dyDescent="0.25">
      <c r="A2758" s="343"/>
      <c r="B2758" s="178"/>
      <c r="C2758" s="178"/>
      <c r="D2758" s="1242"/>
      <c r="E2758" s="1234" t="str">
        <f>Translations!$B$1475</f>
        <v>Faktisk justering (grund för följande år)</v>
      </c>
      <c r="F2758" s="1234"/>
      <c r="G2758" s="1234"/>
      <c r="H2758" s="1234"/>
      <c r="I2758" s="1234"/>
      <c r="J2758" s="1268">
        <f>J$3042</f>
        <v>2021</v>
      </c>
      <c r="K2758" s="1230">
        <f>K$3042</f>
        <v>2022</v>
      </c>
      <c r="L2758" s="1230">
        <f>L$3042</f>
        <v>2023</v>
      </c>
      <c r="M2758" s="1230">
        <f>M$3042</f>
        <v>2024</v>
      </c>
      <c r="N2758" s="1258">
        <f>N$3042</f>
        <v>2025</v>
      </c>
      <c r="O2758" s="15"/>
      <c r="P2758" s="15"/>
      <c r="Q2758" s="343"/>
      <c r="R2758" s="2"/>
      <c r="S2758" s="2"/>
      <c r="T2758" s="2"/>
      <c r="U2758" s="584"/>
      <c r="V2758" s="2"/>
      <c r="W2758" s="2"/>
      <c r="X2758" s="2"/>
      <c r="Y2758" s="2"/>
      <c r="Z2758" s="228"/>
      <c r="AA2758" s="2"/>
      <c r="AB2758" s="2"/>
      <c r="AC2758" s="2"/>
      <c r="AD2758" s="2"/>
      <c r="AE2758" s="2"/>
      <c r="AF2758" s="2"/>
      <c r="AG2758" s="2"/>
      <c r="AH2758" s="2"/>
      <c r="AI2758" s="2"/>
      <c r="AJ2758" s="2"/>
      <c r="AK2758" s="2"/>
      <c r="AL2758" s="343"/>
    </row>
    <row r="2759" spans="1:38" ht="12.75" customHeight="1" x14ac:dyDescent="0.25">
      <c r="A2759" s="343"/>
      <c r="B2759" s="178"/>
      <c r="C2759" s="178"/>
      <c r="D2759" s="1246" t="s">
        <v>10</v>
      </c>
      <c r="E2759" s="1231" t="str">
        <f>Translations!$B$1476</f>
        <v>&gt;= 100 utsläppsrätter kriterium uppnått?</v>
      </c>
      <c r="F2759" s="1231"/>
      <c r="G2759" s="1231"/>
      <c r="H2759" s="1231"/>
      <c r="I2759" s="1231"/>
      <c r="J2759" s="994" t="str">
        <f>IF($I2731="","",INDEX(K_Summary!J:J,MATCH($Q2759,K_Summary!$P:$P,0)))</f>
        <v/>
      </c>
      <c r="K2759" s="912" t="str">
        <f>IF($I2731="","",INDEX(K_Summary!K:K,MATCH($Q2759,K_Summary!$P:$P,0)))</f>
        <v/>
      </c>
      <c r="L2759" s="912" t="str">
        <f>IF($I2731="","",INDEX(K_Summary!L:L,MATCH($Q2759,K_Summary!$P:$P,0)))</f>
        <v/>
      </c>
      <c r="M2759" s="912" t="str">
        <f>IF($I2731="","",INDEX(K_Summary!M:M,MATCH($Q2759,K_Summary!$P:$P,0)))</f>
        <v/>
      </c>
      <c r="N2759" s="1221" t="str">
        <f>IF($I2731="","",INDEX(K_Summary!N:N,MATCH($Q2759,K_Summary!$P:$P,0)))</f>
        <v/>
      </c>
      <c r="O2759" s="15"/>
      <c r="P2759" s="15"/>
      <c r="Q2759" s="672" t="str">
        <f>EUconst_CNTR_100EUA_ActivityLevel&amp;I2731</f>
        <v>EUA100AL_</v>
      </c>
      <c r="R2759" s="2"/>
      <c r="S2759" s="2"/>
      <c r="T2759" s="2"/>
      <c r="U2759" s="584"/>
      <c r="V2759" s="1123"/>
      <c r="W2759" s="1123"/>
      <c r="X2759" s="1123"/>
      <c r="Y2759" s="1123"/>
      <c r="Z2759" s="228"/>
      <c r="AA2759" s="2"/>
      <c r="AB2759" s="2"/>
      <c r="AC2759" s="2"/>
      <c r="AD2759" s="2"/>
      <c r="AE2759" s="2"/>
      <c r="AF2759" s="2"/>
      <c r="AG2759" s="2"/>
      <c r="AH2759" s="2"/>
      <c r="AI2759" s="2"/>
      <c r="AJ2759" s="2"/>
      <c r="AK2759" s="2"/>
      <c r="AL2759" s="343"/>
    </row>
    <row r="2760" spans="1:38" ht="5.15" customHeight="1" thickBot="1" x14ac:dyDescent="0.3">
      <c r="A2760" s="343"/>
      <c r="B2760" s="178"/>
      <c r="C2760" s="178"/>
      <c r="D2760" s="1242"/>
      <c r="E2760" s="1244"/>
      <c r="F2760" s="1244"/>
      <c r="G2760" s="1244"/>
      <c r="H2760" s="1244"/>
      <c r="I2760" s="1244"/>
      <c r="J2760" s="1244"/>
      <c r="K2760" s="1244"/>
      <c r="L2760" s="1244"/>
      <c r="M2760" s="1244"/>
      <c r="N2760" s="1248"/>
      <c r="O2760" s="15"/>
      <c r="P2760" s="15"/>
      <c r="Q2760" s="343"/>
      <c r="R2760" s="2"/>
      <c r="S2760" s="2"/>
      <c r="T2760" s="2"/>
      <c r="U2760" s="1086"/>
      <c r="V2760" s="343"/>
      <c r="W2760" s="2"/>
      <c r="X2760" s="2"/>
      <c r="Y2760" s="2"/>
      <c r="Z2760" s="228"/>
      <c r="AA2760" s="2"/>
      <c r="AB2760" s="2"/>
      <c r="AC2760" s="2"/>
      <c r="AD2760" s="2"/>
      <c r="AE2760" s="2"/>
      <c r="AF2760" s="2"/>
      <c r="AG2760" s="2"/>
      <c r="AH2760" s="2"/>
      <c r="AI2760" s="2"/>
      <c r="AJ2760" s="2"/>
      <c r="AK2760" s="2"/>
      <c r="AL2760" s="343"/>
    </row>
    <row r="2761" spans="1:38" ht="12.75" customHeight="1" thickBot="1" x14ac:dyDescent="0.3">
      <c r="A2761" s="2"/>
      <c r="B2761" s="178"/>
      <c r="C2761" s="178"/>
      <c r="D2761" s="1246" t="s">
        <v>23</v>
      </c>
      <c r="E2761" s="1231" t="str">
        <f>Translations!$B$1477</f>
        <v>Faktisk justering (om alla tröskelvärden överskrids)</v>
      </c>
      <c r="F2761" s="1231"/>
      <c r="G2761" s="1231"/>
      <c r="H2761" s="1233"/>
      <c r="I2761" s="1237"/>
      <c r="J2761" s="1099" t="str">
        <f>IF(J2759="","",IF(J2752&gt;$Z2731,-100%,IF(OR(J2759,V2753&lt;1),J2755,I2761)))</f>
        <v/>
      </c>
      <c r="K2761" s="1100" t="str">
        <f>IF(K2759="","",IF(K2752&gt;$Z2731,-100%,IF(OR(K2759,W2753&lt;1),K2755,J2761)))</f>
        <v/>
      </c>
      <c r="L2761" s="1100" t="str">
        <f>IF(L2759="","",IF(L2752&gt;$Z2731,-100%,IF(OR(L2759,X2753&lt;1),L2755,K2761)))</f>
        <v/>
      </c>
      <c r="M2761" s="1100" t="str">
        <f>IF(M2759="","",IF(M2752&gt;$Z2731,-100%,IF(OR(M2759,Y2753&lt;1),M2755,L2761)))</f>
        <v/>
      </c>
      <c r="N2761" s="1101" t="str">
        <f>IF(N2759="","",IF(N2752&gt;$Z2731,-100%,IF(OR(N2759,Z2753&lt;1),N2755,M2761)))</f>
        <v/>
      </c>
      <c r="O2761" s="15"/>
      <c r="P2761" s="918"/>
      <c r="Q2761" s="165" t="str">
        <f>EUconst_CNTR_HALAdjPct &amp; I2731</f>
        <v>HALAdjPct_</v>
      </c>
      <c r="R2761" s="2"/>
      <c r="S2761" s="2"/>
      <c r="T2761" s="2"/>
      <c r="U2761" s="1086" t="s">
        <v>1858</v>
      </c>
      <c r="V2761" s="1068">
        <f>J2758</f>
        <v>2021</v>
      </c>
      <c r="W2761" s="1068">
        <f>K2758</f>
        <v>2022</v>
      </c>
      <c r="X2761" s="1068">
        <f>L2758</f>
        <v>2023</v>
      </c>
      <c r="Y2761" s="1068">
        <f>M2758</f>
        <v>2024</v>
      </c>
      <c r="Z2761" s="1087">
        <f>N2758</f>
        <v>2025</v>
      </c>
      <c r="AA2761" s="2"/>
      <c r="AB2761" s="2"/>
      <c r="AC2761" s="2"/>
      <c r="AD2761" s="2"/>
      <c r="AE2761" s="2"/>
      <c r="AF2761" s="2"/>
      <c r="AG2761" s="2"/>
      <c r="AH2761" s="2"/>
      <c r="AI2761" s="2"/>
      <c r="AJ2761" s="2"/>
      <c r="AK2761" s="2"/>
      <c r="AL2761" s="343"/>
    </row>
    <row r="2762" spans="1:38" ht="12.75" customHeight="1" thickBot="1" x14ac:dyDescent="0.3">
      <c r="A2762" s="343"/>
      <c r="B2762" s="178"/>
      <c r="C2762" s="178"/>
      <c r="D2762" s="1246" t="s">
        <v>859</v>
      </c>
      <c r="E2762" s="1231" t="str">
        <f>Translations!$B$1478</f>
        <v>Faktiskt värde</v>
      </c>
      <c r="F2762" s="1231"/>
      <c r="G2762" s="1231"/>
      <c r="H2762" s="917" t="str">
        <f>H2753</f>
        <v>ton</v>
      </c>
      <c r="I2762" s="990" t="str">
        <f>I2756</f>
        <v/>
      </c>
      <c r="J2762" s="1072" t="str">
        <f>IF($I2731="","",IF(OR($I2762=0,J2761="",$I2762=EUconst_NA),IF(OR(J2759=TRUE,J2758&lt;=$V2731),J2756,SUM(I2762)),$I2762*(1+SUM(J2761))))</f>
        <v/>
      </c>
      <c r="K2762" s="1073" t="str">
        <f>IF($I2731="","",IF(OR($I2762=0,K2761="",$I2762=EUconst_NA),IF(OR(K2759=TRUE,K2758&lt;=$V2731),K2756,SUM(J2762)),$I2762*(1+SUM(K2761))))</f>
        <v/>
      </c>
      <c r="L2762" s="1073" t="str">
        <f>IF($I2731="","",IF(OR($I2762=0,L2761="",$I2762=EUconst_NA),IF(OR(L2759=TRUE,L2758&lt;=$V2731),L2756,SUM(K2762)),$I2762*(1+SUM(L2761))))</f>
        <v/>
      </c>
      <c r="M2762" s="1073" t="str">
        <f>IF($I2731="","",IF(OR($I2762=0,M2761="",$I2762=EUconst_NA),IF(OR(M2759=TRUE,M2758&lt;=$V2731),M2756,SUM(L2762)),$I2762*(1+SUM(M2761))))</f>
        <v/>
      </c>
      <c r="N2762" s="1074" t="str">
        <f>IF($I2731="","",IF(OR($I2762=0,N2761="",$I2762=EUconst_NA),IF(OR(N2759=TRUE,N2758&lt;=$V2731),N2756,SUM(M2762)),$I2762*(1+SUM(N2761))))</f>
        <v/>
      </c>
      <c r="O2762" s="15"/>
      <c r="P2762" s="15"/>
      <c r="Q2762" s="672" t="str">
        <f>EUconst_CNTR_HALfinal&amp;I2731</f>
        <v>HALfinal_</v>
      </c>
      <c r="R2762" s="2"/>
      <c r="S2762" s="2"/>
      <c r="T2762" s="2"/>
      <c r="U2762" s="1765" t="b">
        <v>0</v>
      </c>
      <c r="V2762" s="1757" t="str">
        <f>IF(V2739,IF(J2759=TRUE,V2754,U2762),"")</f>
        <v/>
      </c>
      <c r="W2762" s="1757" t="str">
        <f>IF(W2739,IF(K2759=TRUE,W2754,V2762),"")</f>
        <v/>
      </c>
      <c r="X2762" s="1757" t="str">
        <f>IF(X2739,IF(L2759=TRUE,X2754,W2762),"")</f>
        <v/>
      </c>
      <c r="Y2762" s="1757" t="str">
        <f>IF(Y2739,IF(M2759=TRUE,Y2754,X2762),"")</f>
        <v/>
      </c>
      <c r="Z2762" s="1758" t="str">
        <f>IF(Z2739,IF(N2759=TRUE,Z2754,Y2762),"")</f>
        <v/>
      </c>
      <c r="AA2762" s="2"/>
      <c r="AB2762" s="2"/>
      <c r="AC2762" s="2"/>
      <c r="AD2762" s="2"/>
      <c r="AE2762" s="2"/>
      <c r="AF2762" s="2"/>
      <c r="AG2762" s="2"/>
      <c r="AH2762" s="2"/>
      <c r="AI2762" s="2"/>
      <c r="AJ2762" s="553" t="s">
        <v>2242</v>
      </c>
      <c r="AK2762" s="108" t="str">
        <f>IF(OR(ISERROR(J2762),ISERROR(K2762),ISERROR(L2762),ISERROR(M2762),ISERROR(N2762)),EUconst_Error &amp; "BM" &amp; Q2731,"")</f>
        <v/>
      </c>
      <c r="AL2762" s="343"/>
    </row>
    <row r="2763" spans="1:38" ht="5.15" customHeight="1" thickBot="1" x14ac:dyDescent="0.3">
      <c r="A2763" s="2"/>
      <c r="B2763" s="178"/>
      <c r="C2763" s="178"/>
      <c r="D2763" s="1282"/>
      <c r="E2763" s="1272"/>
      <c r="F2763" s="1272"/>
      <c r="G2763" s="1272"/>
      <c r="H2763" s="1272"/>
      <c r="I2763" s="1272"/>
      <c r="J2763" s="1272"/>
      <c r="K2763" s="1272"/>
      <c r="L2763" s="1272"/>
      <c r="M2763" s="1272"/>
      <c r="N2763" s="1273"/>
      <c r="O2763" s="15"/>
      <c r="P2763" s="15"/>
      <c r="Q2763" s="343"/>
      <c r="R2763" s="2"/>
      <c r="S2763" s="2"/>
      <c r="T2763" s="2"/>
      <c r="U2763" s="343"/>
      <c r="V2763" s="343"/>
      <c r="W2763" s="2"/>
      <c r="X2763" s="2"/>
      <c r="Y2763" s="2"/>
      <c r="Z2763" s="2"/>
      <c r="AA2763" s="2"/>
      <c r="AB2763" s="2"/>
      <c r="AC2763" s="2"/>
      <c r="AD2763" s="2"/>
      <c r="AE2763" s="2"/>
      <c r="AF2763" s="2"/>
      <c r="AG2763" s="2"/>
      <c r="AH2763" s="2"/>
      <c r="AI2763" s="2"/>
      <c r="AJ2763" s="2"/>
      <c r="AK2763" s="2"/>
      <c r="AL2763" s="343"/>
    </row>
    <row r="2764" spans="1:38" ht="5.15" customHeight="1" x14ac:dyDescent="0.25">
      <c r="A2764" s="2"/>
      <c r="B2764" s="178"/>
      <c r="C2764" s="178"/>
      <c r="D2764" s="15"/>
      <c r="E2764" s="15"/>
      <c r="F2764" s="15"/>
      <c r="G2764" s="15"/>
      <c r="H2764" s="15"/>
      <c r="I2764" s="15"/>
      <c r="J2764" s="15"/>
      <c r="K2764" s="15"/>
      <c r="L2764" s="15"/>
      <c r="M2764" s="15"/>
      <c r="N2764" s="15"/>
      <c r="O2764" s="15"/>
      <c r="P2764" s="15"/>
      <c r="Q2764" s="343"/>
      <c r="R2764" s="2"/>
      <c r="S2764" s="2"/>
      <c r="T2764" s="2"/>
      <c r="U2764" s="343"/>
      <c r="V2764" s="343"/>
      <c r="W2764" s="2"/>
      <c r="X2764" s="2"/>
      <c r="Y2764" s="2"/>
      <c r="Z2764" s="2"/>
      <c r="AA2764" s="2"/>
      <c r="AB2764" s="2"/>
      <c r="AC2764" s="2"/>
      <c r="AD2764" s="2"/>
      <c r="AE2764" s="2"/>
      <c r="AF2764" s="2"/>
      <c r="AG2764" s="2"/>
      <c r="AH2764" s="2"/>
      <c r="AI2764" s="2"/>
      <c r="AJ2764" s="2"/>
      <c r="AK2764" s="2"/>
      <c r="AL2764" s="343"/>
    </row>
    <row r="2765" spans="1:38" ht="15" customHeight="1" x14ac:dyDescent="0.25">
      <c r="A2765" s="2"/>
      <c r="B2765" s="19"/>
      <c r="C2765" s="178"/>
      <c r="D2765" s="2053" t="str">
        <f>Translations!$B$522</f>
        <v>Andra korrigeringsfaktorer</v>
      </c>
      <c r="E2765" s="1963"/>
      <c r="F2765" s="1963"/>
      <c r="G2765" s="1963"/>
      <c r="H2765" s="1963"/>
      <c r="I2765" s="1963"/>
      <c r="J2765" s="1963"/>
      <c r="K2765" s="1963"/>
      <c r="L2765" s="1963"/>
      <c r="M2765" s="1963"/>
      <c r="N2765" s="1963"/>
      <c r="O2765" s="15"/>
      <c r="P2765" s="15"/>
      <c r="Q2765" s="2"/>
      <c r="R2765" s="2"/>
      <c r="S2765" s="2"/>
      <c r="T2765" s="2"/>
      <c r="U2765" s="343"/>
      <c r="V2765" s="343"/>
      <c r="W2765" s="2"/>
      <c r="X2765" s="2"/>
      <c r="Y2765" s="2"/>
      <c r="Z2765" s="2"/>
      <c r="AA2765" s="2"/>
      <c r="AB2765" s="2"/>
      <c r="AC2765" s="2"/>
      <c r="AD2765" s="2"/>
      <c r="AE2765" s="2"/>
      <c r="AF2765" s="2"/>
      <c r="AG2765" s="2"/>
      <c r="AH2765" s="2"/>
      <c r="AI2765" s="2"/>
      <c r="AJ2765" s="2"/>
      <c r="AK2765" s="2"/>
      <c r="AL2765" s="2"/>
    </row>
    <row r="2766" spans="1:38" ht="5.15" customHeight="1" x14ac:dyDescent="0.25">
      <c r="A2766" s="2"/>
      <c r="B2766" s="178"/>
      <c r="C2766" s="178"/>
      <c r="D2766" s="178"/>
      <c r="E2766" s="178"/>
      <c r="F2766" s="178"/>
      <c r="G2766" s="178"/>
      <c r="H2766" s="178"/>
      <c r="I2766" s="178"/>
      <c r="J2766" s="178"/>
      <c r="K2766" s="178"/>
      <c r="L2766" s="178"/>
      <c r="M2766" s="178"/>
      <c r="N2766" s="178"/>
      <c r="O2766" s="15"/>
      <c r="P2766" s="15"/>
      <c r="Q2766" s="343"/>
      <c r="R2766" s="2"/>
      <c r="S2766" s="2"/>
      <c r="T2766" s="2"/>
      <c r="U2766" s="343"/>
      <c r="V2766" s="343"/>
      <c r="W2766" s="2"/>
      <c r="X2766" s="2"/>
      <c r="Y2766" s="2"/>
      <c r="Z2766" s="2"/>
      <c r="AA2766" s="2"/>
      <c r="AB2766" s="2"/>
      <c r="AC2766" s="2"/>
      <c r="AD2766" s="2"/>
      <c r="AE2766" s="2"/>
      <c r="AF2766" s="2"/>
      <c r="AG2766" s="2"/>
      <c r="AH2766" s="2"/>
      <c r="AI2766" s="2"/>
      <c r="AJ2766" s="2"/>
      <c r="AK2766" s="2"/>
      <c r="AL2766" s="2"/>
    </row>
    <row r="2767" spans="1:38" ht="12.75" customHeight="1" x14ac:dyDescent="0.25">
      <c r="A2767" s="2"/>
      <c r="B2767" s="19"/>
      <c r="C2767" s="19"/>
      <c r="D2767" s="13" t="s">
        <v>55</v>
      </c>
      <c r="E2767" s="1943" t="str">
        <f>Translations!$B$523</f>
        <v>Utbytbarhet mellan bränsle och el:</v>
      </c>
      <c r="F2767" s="1963"/>
      <c r="G2767" s="1963"/>
      <c r="H2767" s="1963"/>
      <c r="I2767" s="2060"/>
      <c r="J2767" s="2652" t="str">
        <f>IF(I2731="","",IF(T2767,EUconst_MsgEnterThisSection,HYPERLINK(R2767,EUconst_MsgGoOn)))</f>
        <v/>
      </c>
      <c r="K2767" s="2653"/>
      <c r="L2767" s="2653"/>
      <c r="M2767" s="2653"/>
      <c r="N2767" s="2654"/>
      <c r="O2767" s="15"/>
      <c r="P2767" s="15"/>
      <c r="Q2767" s="2" t="s">
        <v>484</v>
      </c>
      <c r="R2767" s="294" t="str">
        <f>"#"&amp;ADDRESS(ROW(D2795),COLUMN(D2795))</f>
        <v>#$D$2795</v>
      </c>
      <c r="S2767" s="553" t="s">
        <v>1874</v>
      </c>
      <c r="T2767" s="165" t="str">
        <f>IF(I2731="","",INDEX(EUconst_BMlistElExchangability,MATCH(I2731,EUconst_BMlistNames,0)))</f>
        <v/>
      </c>
      <c r="U2767" s="343"/>
      <c r="V2767" s="343"/>
      <c r="W2767" s="2"/>
      <c r="X2767" s="2"/>
      <c r="Y2767" s="2"/>
      <c r="Z2767" s="2"/>
      <c r="AA2767" s="2"/>
      <c r="AB2767" s="2"/>
      <c r="AC2767" s="2"/>
      <c r="AD2767" s="2"/>
      <c r="AE2767" s="2"/>
      <c r="AF2767" s="2"/>
      <c r="AG2767" s="2"/>
      <c r="AH2767" s="2"/>
      <c r="AI2767" s="2"/>
      <c r="AJ2767" s="2"/>
      <c r="AK2767" s="2"/>
      <c r="AL2767" s="2"/>
    </row>
    <row r="2768" spans="1:38" ht="12.75" customHeight="1" x14ac:dyDescent="0.25">
      <c r="A2768" s="2"/>
      <c r="B2768" s="178"/>
      <c r="C2768" s="178"/>
      <c r="D2768" s="15"/>
      <c r="E2768" s="2061" t="str">
        <f>Translations!$B$524</f>
        <v>Ett automatiskt meddelande kommer att visas här, i relevanta fall, där ni ombeds göra den inmatning som krävs för att utbytbarheten mellan bränsle och el (ElExch-F) ska kunna beaktas.</v>
      </c>
      <c r="F2768" s="1963"/>
      <c r="G2768" s="1963"/>
      <c r="H2768" s="1963"/>
      <c r="I2768" s="1963"/>
      <c r="J2768" s="1963"/>
      <c r="K2768" s="1963"/>
      <c r="L2768" s="1963"/>
      <c r="M2768" s="1963"/>
      <c r="N2768" s="1963"/>
      <c r="O2768" s="15"/>
      <c r="P2768" s="15"/>
      <c r="Q2768" s="2"/>
      <c r="R2768" s="2"/>
      <c r="S2768" s="2"/>
      <c r="T2768" s="2"/>
      <c r="U2768" s="343"/>
      <c r="V2768" s="343"/>
      <c r="W2768" s="2"/>
      <c r="X2768" s="2"/>
      <c r="Y2768" s="2"/>
      <c r="Z2768" s="2"/>
      <c r="AA2768" s="2"/>
      <c r="AB2768" s="2"/>
      <c r="AC2768" s="2"/>
      <c r="AD2768" s="2"/>
      <c r="AE2768" s="2"/>
      <c r="AF2768" s="2"/>
      <c r="AG2768" s="2"/>
      <c r="AH2768" s="2"/>
      <c r="AI2768" s="2"/>
      <c r="AJ2768" s="2"/>
      <c r="AK2768" s="2"/>
      <c r="AL2768" s="2"/>
    </row>
    <row r="2769" spans="1:38" ht="12.75" customHeight="1" x14ac:dyDescent="0.25">
      <c r="A2769" s="2"/>
      <c r="B2769" s="178"/>
      <c r="C2769" s="178"/>
      <c r="D2769" s="15"/>
      <c r="E2769" s="2061" t="str">
        <f>Translations!$B$525</f>
        <v>Enligt artikel 22 i FAR krävs ”direkta utsläpp”, nettomängd ”importerad värme” och ”relevant elförbrukning”.</v>
      </c>
      <c r="F2769" s="1963"/>
      <c r="G2769" s="1963"/>
      <c r="H2769" s="1963"/>
      <c r="I2769" s="1963"/>
      <c r="J2769" s="1963"/>
      <c r="K2769" s="1963"/>
      <c r="L2769" s="1963"/>
      <c r="M2769" s="1963"/>
      <c r="N2769" s="1963"/>
      <c r="O2769" s="15"/>
      <c r="P2769" s="15"/>
      <c r="Q2769" s="343"/>
      <c r="R2769" s="2"/>
      <c r="S2769" s="2"/>
      <c r="T2769" s="2"/>
      <c r="U2769" s="343"/>
      <c r="V2769" s="343"/>
      <c r="W2769" s="343"/>
      <c r="X2769" s="343"/>
      <c r="Y2769" s="343"/>
      <c r="Z2769" s="343"/>
      <c r="AA2769" s="2"/>
      <c r="AB2769" s="2"/>
      <c r="AC2769" s="2"/>
      <c r="AD2769" s="2"/>
      <c r="AE2769" s="2"/>
      <c r="AF2769" s="2"/>
      <c r="AG2769" s="2"/>
      <c r="AH2769" s="2"/>
      <c r="AI2769" s="2"/>
      <c r="AJ2769" s="2"/>
      <c r="AK2769" s="2"/>
      <c r="AL2769" s="2"/>
    </row>
    <row r="2770" spans="1:38" ht="25.5" customHeight="1" x14ac:dyDescent="0.25">
      <c r="A2770" s="2"/>
      <c r="B2770" s="178"/>
      <c r="C2770" s="178"/>
      <c r="D2770" s="15"/>
      <c r="E2770" s="2061" t="str">
        <f>Translations!$B$526</f>
        <v>De totala direkta utsläppen är i regel identiska med de värden som anges i punkt g nedan. Ytterligare korrigeringar kan dock behöva göras, framför allt vid användning av restgaser. Var god se vägledningen i punkt g nedan. Uppgifter om nettomängd importerad värme hämtas automatiskt från punkt k.i nedan.</v>
      </c>
      <c r="F2770" s="1963"/>
      <c r="G2770" s="1963"/>
      <c r="H2770" s="1963"/>
      <c r="I2770" s="1963"/>
      <c r="J2770" s="1963"/>
      <c r="K2770" s="1963"/>
      <c r="L2770" s="1963"/>
      <c r="M2770" s="1963"/>
      <c r="N2770" s="1963"/>
      <c r="O2770" s="15"/>
      <c r="P2770" s="15"/>
      <c r="Q2770" s="343"/>
      <c r="R2770" s="2"/>
      <c r="S2770" s="2"/>
      <c r="T2770" s="2"/>
      <c r="U2770" s="343"/>
      <c r="V2770" s="343"/>
      <c r="W2770" s="343"/>
      <c r="X2770" s="343"/>
      <c r="Y2770" s="343"/>
      <c r="Z2770" s="343"/>
      <c r="AA2770" s="2"/>
      <c r="AB2770" s="2"/>
      <c r="AC2770" s="2"/>
      <c r="AD2770" s="2"/>
      <c r="AE2770" s="2"/>
      <c r="AF2770" s="2"/>
      <c r="AG2770" s="2"/>
      <c r="AH2770" s="2"/>
      <c r="AI2770" s="2"/>
      <c r="AJ2770" s="2"/>
      <c r="AK2770" s="2"/>
      <c r="AL2770" s="2"/>
    </row>
    <row r="2771" spans="1:38" s="534" customFormat="1" ht="13.5" thickBot="1" x14ac:dyDescent="0.3">
      <c r="A2771" s="343"/>
      <c r="B2771" s="15"/>
      <c r="C2771" s="15"/>
      <c r="D2771" s="13"/>
      <c r="E2771" s="914" t="str">
        <f>Translations!$B$527</f>
        <v>Parameter</v>
      </c>
      <c r="F2771" s="913"/>
      <c r="G2771" s="30" t="str">
        <f>EUconst_Unit</f>
        <v>Enhet</v>
      </c>
      <c r="H2771" s="320">
        <f>H$3042</f>
        <v>2019</v>
      </c>
      <c r="I2771" s="342">
        <f>I$3042</f>
        <v>2020</v>
      </c>
      <c r="J2771" s="987">
        <f>J$112</f>
        <v>2021</v>
      </c>
      <c r="K2771" s="1001">
        <f>K$112</f>
        <v>2022</v>
      </c>
      <c r="L2771" s="320">
        <f>L$112</f>
        <v>2023</v>
      </c>
      <c r="M2771" s="320">
        <f>M$112</f>
        <v>2024</v>
      </c>
      <c r="N2771" s="320">
        <f>N$112</f>
        <v>2025</v>
      </c>
      <c r="O2771" s="15"/>
      <c r="P2771" s="15"/>
      <c r="Q2771" s="343"/>
      <c r="R2771" s="343"/>
      <c r="S2771" s="2"/>
      <c r="T2771" s="2"/>
      <c r="U2771" s="343"/>
      <c r="V2771" s="343"/>
      <c r="W2771" s="343"/>
      <c r="X2771" s="343"/>
      <c r="Y2771" s="343"/>
      <c r="Z2771" s="343"/>
      <c r="AA2771" s="343"/>
      <c r="AB2771" s="2"/>
      <c r="AC2771" s="1044">
        <f t="shared" ref="AC2771:AI2771" si="1251">H$20</f>
        <v>2019</v>
      </c>
      <c r="AD2771" s="1044">
        <f t="shared" si="1251"/>
        <v>2020</v>
      </c>
      <c r="AE2771" s="1044">
        <f t="shared" si="1251"/>
        <v>2021</v>
      </c>
      <c r="AF2771" s="1044">
        <f t="shared" si="1251"/>
        <v>2022</v>
      </c>
      <c r="AG2771" s="1044">
        <f t="shared" si="1251"/>
        <v>2023</v>
      </c>
      <c r="AH2771" s="1044">
        <f t="shared" si="1251"/>
        <v>2024</v>
      </c>
      <c r="AI2771" s="1044">
        <f t="shared" si="1251"/>
        <v>2025</v>
      </c>
      <c r="AJ2771" s="2"/>
      <c r="AK2771" s="2"/>
      <c r="AL2771" s="2"/>
    </row>
    <row r="2772" spans="1:38" s="534" customFormat="1" ht="13.5" customHeight="1" thickBot="1" x14ac:dyDescent="0.3">
      <c r="A2772" s="343"/>
      <c r="B2772" s="15"/>
      <c r="C2772" s="15"/>
      <c r="D2772" s="289" t="s">
        <v>8</v>
      </c>
      <c r="E2772" s="925" t="str">
        <f>Translations!$B$528</f>
        <v>Direkta utsläpp</v>
      </c>
      <c r="F2772" s="925"/>
      <c r="G2772" s="456" t="str">
        <f>EUconst_tCO2pa</f>
        <v>t CO2 / år</v>
      </c>
      <c r="H2772" s="614"/>
      <c r="I2772" s="995"/>
      <c r="J2772" s="1005"/>
      <c r="K2772" s="615"/>
      <c r="L2772" s="615"/>
      <c r="M2772" s="614"/>
      <c r="N2772" s="614"/>
      <c r="O2772" s="15"/>
      <c r="P2772" s="1362"/>
      <c r="Q2772" s="343"/>
      <c r="R2772" s="343"/>
      <c r="S2772" s="2"/>
      <c r="T2772" s="2"/>
      <c r="U2772" s="343"/>
      <c r="V2772" s="343"/>
      <c r="W2772" s="343"/>
      <c r="X2772" s="343"/>
      <c r="Y2772" s="343"/>
      <c r="Z2772" s="343"/>
      <c r="AA2772" s="343"/>
      <c r="AB2772" s="672" t="s">
        <v>782</v>
      </c>
      <c r="AC2772" s="1766" t="b">
        <f t="shared" ref="AC2772:AI2772" si="1252">IF(CNTR_ExistSubInstEntries,IF($I2731="",TRUE,OR(H2771&gt;=CNTR_ReportingYear,AC2771&lt;$V2731-1,INDEX(EUconst_BMlistElExchangability,MATCH($I2731,EUconst_BMlistNames,0))=FALSE)),FALSE)</f>
        <v>0</v>
      </c>
      <c r="AD2772" s="1052" t="b">
        <f t="shared" si="1252"/>
        <v>0</v>
      </c>
      <c r="AE2772" s="1052" t="b">
        <f t="shared" si="1252"/>
        <v>0</v>
      </c>
      <c r="AF2772" s="1052" t="b">
        <f t="shared" si="1252"/>
        <v>0</v>
      </c>
      <c r="AG2772" s="1052" t="b">
        <f t="shared" si="1252"/>
        <v>0</v>
      </c>
      <c r="AH2772" s="1052" t="b">
        <f t="shared" si="1252"/>
        <v>0</v>
      </c>
      <c r="AI2772" s="1053" t="b">
        <f t="shared" si="1252"/>
        <v>0</v>
      </c>
      <c r="AJ2772" s="553" t="s">
        <v>2248</v>
      </c>
      <c r="AK2772" s="663" t="str">
        <f>IF(AND(CNTR_ExistSubInstEntries,COUNTIFS(AC2772:AI2772,FALSE,H2772:N2772,"")&gt;0),EUconst_Error&amp;"BM"&amp;$Q2731,"")</f>
        <v/>
      </c>
      <c r="AL2772" s="2"/>
    </row>
    <row r="2773" spans="1:38" s="534" customFormat="1" ht="12.75" customHeight="1" x14ac:dyDescent="0.25">
      <c r="A2773" s="343"/>
      <c r="B2773" s="15"/>
      <c r="C2773" s="15"/>
      <c r="D2773" s="289" t="s">
        <v>9</v>
      </c>
      <c r="E2773" s="923" t="str">
        <f>Translations!$B$529</f>
        <v>Nettomängd importerad värme</v>
      </c>
      <c r="F2773" s="923"/>
      <c r="G2773" s="459" t="str">
        <f>EUconst_TJpa</f>
        <v>TJ / år</v>
      </c>
      <c r="H2773" s="460" t="str">
        <f t="shared" ref="H2773:N2773" si="1253">IF(AND($I2731&lt;&gt;"",H2771&lt;CNTR_ReportingYear),IF(INDEX(EUconst_BMlistElExchangability,MATCH($I2731,EUconst_BMlistNames,0)),SUM(H2924),""),"")</f>
        <v/>
      </c>
      <c r="I2773" s="996" t="str">
        <f t="shared" si="1253"/>
        <v/>
      </c>
      <c r="J2773" s="1006" t="str">
        <f t="shared" si="1253"/>
        <v/>
      </c>
      <c r="K2773" s="1002" t="str">
        <f t="shared" si="1253"/>
        <v/>
      </c>
      <c r="L2773" s="460" t="str">
        <f t="shared" si="1253"/>
        <v/>
      </c>
      <c r="M2773" s="460" t="str">
        <f t="shared" si="1253"/>
        <v/>
      </c>
      <c r="N2773" s="460" t="str">
        <f t="shared" si="1253"/>
        <v/>
      </c>
      <c r="O2773" s="15"/>
      <c r="P2773" s="15"/>
      <c r="Q2773" s="343"/>
      <c r="R2773" s="343"/>
      <c r="S2773" s="772"/>
      <c r="T2773" s="609">
        <f t="shared" ref="T2773:Z2773" si="1254">H2771</f>
        <v>2019</v>
      </c>
      <c r="U2773" s="609">
        <f t="shared" si="1254"/>
        <v>2020</v>
      </c>
      <c r="V2773" s="609">
        <f t="shared" si="1254"/>
        <v>2021</v>
      </c>
      <c r="W2773" s="609">
        <f t="shared" si="1254"/>
        <v>2022</v>
      </c>
      <c r="X2773" s="609">
        <f t="shared" si="1254"/>
        <v>2023</v>
      </c>
      <c r="Y2773" s="609">
        <f t="shared" si="1254"/>
        <v>2024</v>
      </c>
      <c r="Z2773" s="610">
        <f t="shared" si="1254"/>
        <v>2025</v>
      </c>
      <c r="AA2773" s="343"/>
      <c r="AB2773" s="343"/>
      <c r="AC2773" s="584"/>
      <c r="AD2773" s="343"/>
      <c r="AE2773" s="343"/>
      <c r="AF2773" s="343"/>
      <c r="AG2773" s="343"/>
      <c r="AH2773" s="343"/>
      <c r="AI2773" s="1328"/>
      <c r="AJ2773" s="343"/>
      <c r="AK2773" s="343"/>
      <c r="AL2773" s="2"/>
    </row>
    <row r="2774" spans="1:38" s="534" customFormat="1" ht="12.75" customHeight="1" thickBot="1" x14ac:dyDescent="0.3">
      <c r="A2774" s="343"/>
      <c r="B2774" s="15"/>
      <c r="C2774" s="15"/>
      <c r="D2774" s="289" t="s">
        <v>10</v>
      </c>
      <c r="E2774" s="1778" t="str">
        <f>Translations!$B$530</f>
        <v>Relevant elförbrukning</v>
      </c>
      <c r="F2774" s="1520"/>
      <c r="G2774" s="473" t="str">
        <f>EUconst_MWhpa</f>
        <v>MWh / år</v>
      </c>
      <c r="H2774" s="474"/>
      <c r="I2774" s="997"/>
      <c r="J2774" s="669"/>
      <c r="K2774" s="1003"/>
      <c r="L2774" s="474"/>
      <c r="M2774" s="474"/>
      <c r="N2774" s="474"/>
      <c r="O2774" s="15"/>
      <c r="P2774" s="1362"/>
      <c r="Q2774" s="165" t="str">
        <f>EUconst_CNTR_HAL&amp;EUconst_CNTR_ELEXCH</f>
        <v>HAL_ELEXCH_</v>
      </c>
      <c r="R2774" s="165" t="str">
        <f>EUconst_CNTR_HAL&amp;EUconst_CNTR_ELEXCH &amp; I2731</f>
        <v>HAL_ELEXCH_</v>
      </c>
      <c r="S2774" s="1888" t="str">
        <f>EUconst_CNTR_AttributedEmissions &amp; I2731</f>
        <v>AttrEmissions_</v>
      </c>
      <c r="T2774" s="1330" t="str">
        <f t="shared" ref="T2774:Z2774" si="1255">IF(T2739,SUM(H2774)*EUconst_ElBM,"")</f>
        <v/>
      </c>
      <c r="U2774" s="1330" t="str">
        <f t="shared" si="1255"/>
        <v/>
      </c>
      <c r="V2774" s="1330" t="str">
        <f t="shared" si="1255"/>
        <v/>
      </c>
      <c r="W2774" s="1330" t="str">
        <f t="shared" si="1255"/>
        <v/>
      </c>
      <c r="X2774" s="1330" t="str">
        <f t="shared" si="1255"/>
        <v/>
      </c>
      <c r="Y2774" s="1330" t="str">
        <f t="shared" si="1255"/>
        <v/>
      </c>
      <c r="Z2774" s="1331" t="str">
        <f t="shared" si="1255"/>
        <v/>
      </c>
      <c r="AA2774" s="343"/>
      <c r="AB2774" s="343"/>
      <c r="AC2774" s="1329" t="b">
        <f>AC2772</f>
        <v>0</v>
      </c>
      <c r="AD2774" s="1330" t="b">
        <f t="shared" ref="AD2774:AI2774" si="1256">AD2772</f>
        <v>0</v>
      </c>
      <c r="AE2774" s="1330" t="b">
        <f t="shared" si="1256"/>
        <v>0</v>
      </c>
      <c r="AF2774" s="1330" t="b">
        <f t="shared" si="1256"/>
        <v>0</v>
      </c>
      <c r="AG2774" s="1330" t="b">
        <f t="shared" si="1256"/>
        <v>0</v>
      </c>
      <c r="AH2774" s="1330" t="b">
        <f t="shared" si="1256"/>
        <v>0</v>
      </c>
      <c r="AI2774" s="1331" t="b">
        <f t="shared" si="1256"/>
        <v>0</v>
      </c>
      <c r="AJ2774" s="553" t="s">
        <v>2248</v>
      </c>
      <c r="AK2774" s="663" t="str">
        <f>IF(AND(CNTR_ExistSubInstEntries,COUNTIFS(AC2774:AI2774,FALSE,H2774:N2774,"")&gt;0),EUconst_Error&amp;"BM"&amp;$Q2731,"")</f>
        <v/>
      </c>
      <c r="AL2774" s="2"/>
    </row>
    <row r="2775" spans="1:38" s="534" customFormat="1" ht="13.5" customHeight="1" x14ac:dyDescent="0.25">
      <c r="A2775" s="343"/>
      <c r="B2775" s="15"/>
      <c r="C2775" s="15"/>
      <c r="D2775" s="289" t="s">
        <v>23</v>
      </c>
      <c r="E2775" s="925" t="str">
        <f>Translations!$B$531</f>
        <v>Totala direkta utsläpp</v>
      </c>
      <c r="F2775" s="925"/>
      <c r="G2775" s="456" t="str">
        <f>EUconst_tCO2pa</f>
        <v>t CO2 / år</v>
      </c>
      <c r="H2775" s="457" t="str">
        <f t="shared" ref="H2775:N2775" si="1257">IF(ISNUMBER(H2772),H2772+SUM(H2773)*EUconst_HeatBMvalue,"")</f>
        <v/>
      </c>
      <c r="I2775" s="998" t="str">
        <f t="shared" si="1257"/>
        <v/>
      </c>
      <c r="J2775" s="1007" t="str">
        <f t="shared" si="1257"/>
        <v/>
      </c>
      <c r="K2775" s="458" t="str">
        <f t="shared" si="1257"/>
        <v/>
      </c>
      <c r="L2775" s="458" t="str">
        <f t="shared" si="1257"/>
        <v/>
      </c>
      <c r="M2775" s="457" t="str">
        <f t="shared" si="1257"/>
        <v/>
      </c>
      <c r="N2775" s="457" t="str">
        <f t="shared" si="1257"/>
        <v/>
      </c>
      <c r="O2775" s="15"/>
      <c r="P2775" s="15"/>
      <c r="Q2775" s="343"/>
      <c r="R2775" s="343"/>
      <c r="S2775" s="2"/>
      <c r="T2775" s="2"/>
      <c r="U2775" s="343"/>
      <c r="V2775" s="343"/>
      <c r="W2775" s="343"/>
      <c r="X2775" s="343"/>
      <c r="Y2775" s="343"/>
      <c r="Z2775" s="343"/>
      <c r="AA2775" s="343"/>
      <c r="AB2775" s="343"/>
      <c r="AC2775" s="343"/>
      <c r="AD2775" s="343"/>
      <c r="AE2775" s="343"/>
      <c r="AF2775" s="343"/>
      <c r="AG2775" s="343"/>
      <c r="AH2775" s="343"/>
      <c r="AI2775" s="343"/>
      <c r="AJ2775" s="343"/>
      <c r="AK2775" s="343"/>
      <c r="AL2775" s="2"/>
    </row>
    <row r="2776" spans="1:38" s="534" customFormat="1" ht="13.5" customHeight="1" x14ac:dyDescent="0.25">
      <c r="A2776" s="343"/>
      <c r="B2776" s="15"/>
      <c r="C2776" s="15"/>
      <c r="D2776" s="289" t="s">
        <v>859</v>
      </c>
      <c r="E2776" s="924" t="str">
        <f>Translations!$B$532</f>
        <v>Indirekta utsläpp</v>
      </c>
      <c r="F2776" s="924"/>
      <c r="G2776" s="461" t="str">
        <f>EUconst_tCO2pa</f>
        <v>t CO2 / år</v>
      </c>
      <c r="H2776" s="462" t="str">
        <f t="shared" ref="H2776:N2776" si="1258">IF(ISNUMBER(H2774),H2774*EUconst_ElBM,"")</f>
        <v/>
      </c>
      <c r="I2776" s="999" t="str">
        <f t="shared" si="1258"/>
        <v/>
      </c>
      <c r="J2776" s="1008" t="str">
        <f t="shared" si="1258"/>
        <v/>
      </c>
      <c r="K2776" s="463" t="str">
        <f t="shared" si="1258"/>
        <v/>
      </c>
      <c r="L2776" s="463" t="str">
        <f t="shared" si="1258"/>
        <v/>
      </c>
      <c r="M2776" s="462" t="str">
        <f t="shared" si="1258"/>
        <v/>
      </c>
      <c r="N2776" s="462" t="str">
        <f t="shared" si="1258"/>
        <v/>
      </c>
      <c r="O2776" s="15"/>
      <c r="P2776" s="15"/>
      <c r="Q2776" s="343"/>
      <c r="R2776" s="343"/>
      <c r="S2776" s="2"/>
      <c r="T2776" s="2"/>
      <c r="U2776" s="343"/>
      <c r="V2776" s="343"/>
      <c r="W2776" s="343"/>
      <c r="X2776" s="343"/>
      <c r="Y2776" s="343"/>
      <c r="Z2776" s="343"/>
      <c r="AA2776" s="343"/>
      <c r="AB2776" s="343"/>
      <c r="AC2776" s="343"/>
      <c r="AD2776" s="343"/>
      <c r="AE2776" s="343"/>
      <c r="AF2776" s="343"/>
      <c r="AG2776" s="343"/>
      <c r="AH2776" s="343"/>
      <c r="AI2776" s="343"/>
      <c r="AJ2776" s="343"/>
      <c r="AK2776" s="343"/>
      <c r="AL2776" s="2"/>
    </row>
    <row r="2777" spans="1:38" ht="5.15" customHeight="1" x14ac:dyDescent="0.25">
      <c r="A2777" s="2"/>
      <c r="B2777" s="178"/>
      <c r="C2777" s="178"/>
      <c r="D2777" s="178"/>
      <c r="E2777" s="178"/>
      <c r="F2777" s="178"/>
      <c r="G2777" s="178"/>
      <c r="H2777" s="178"/>
      <c r="I2777" s="178"/>
      <c r="J2777" s="1009"/>
      <c r="K2777" s="178"/>
      <c r="L2777" s="178"/>
      <c r="M2777" s="15"/>
      <c r="N2777" s="15"/>
      <c r="O2777" s="15"/>
      <c r="P2777" s="15"/>
      <c r="Q2777" s="343"/>
      <c r="R2777" s="2"/>
      <c r="S2777" s="2"/>
      <c r="T2777" s="2"/>
      <c r="U2777" s="343"/>
      <c r="V2777" s="343"/>
      <c r="W2777" s="343"/>
      <c r="X2777" s="343"/>
      <c r="Y2777" s="343"/>
      <c r="Z2777" s="343"/>
      <c r="AA2777" s="2"/>
      <c r="AB2777" s="2"/>
      <c r="AC2777" s="2"/>
      <c r="AD2777" s="2"/>
      <c r="AE2777" s="2"/>
      <c r="AF2777" s="2"/>
      <c r="AG2777" s="2"/>
      <c r="AH2777" s="2"/>
      <c r="AI2777" s="2"/>
      <c r="AJ2777" s="2"/>
      <c r="AK2777" s="2"/>
      <c r="AL2777" s="2"/>
    </row>
    <row r="2778" spans="1:38" ht="12.75" customHeight="1" x14ac:dyDescent="0.25">
      <c r="A2778" s="2"/>
      <c r="B2778" s="178"/>
      <c r="C2778" s="178"/>
      <c r="D2778" s="289" t="s">
        <v>860</v>
      </c>
      <c r="E2778" s="514" t="s">
        <v>1526</v>
      </c>
      <c r="F2778" s="929"/>
      <c r="G2778" s="930" t="s">
        <v>1112</v>
      </c>
      <c r="H2778" s="926" t="str">
        <f t="shared" ref="H2778:N2778" si="1259">IF(COUNT(H2775:H2776)&gt;0,SUM(H2775)/SUM(H2775:H2776),IF($T2767=TRUE,IF(H2771&gt;CNTR_ReportingYear,"",1),""))</f>
        <v/>
      </c>
      <c r="I2778" s="1000" t="str">
        <f t="shared" si="1259"/>
        <v/>
      </c>
      <c r="J2778" s="1010" t="str">
        <f t="shared" si="1259"/>
        <v/>
      </c>
      <c r="K2778" s="1004" t="str">
        <f t="shared" si="1259"/>
        <v/>
      </c>
      <c r="L2778" s="926" t="str">
        <f t="shared" si="1259"/>
        <v/>
      </c>
      <c r="M2778" s="926" t="str">
        <f t="shared" si="1259"/>
        <v/>
      </c>
      <c r="N2778" s="926" t="str">
        <f t="shared" si="1259"/>
        <v/>
      </c>
      <c r="O2778" s="15"/>
      <c r="P2778" s="15"/>
      <c r="Q2778" s="165" t="str">
        <f>EUconst_CNTR_ELEXCH &amp; I2731</f>
        <v>ELEXCH_</v>
      </c>
      <c r="R2778" s="2"/>
      <c r="S2778" s="2"/>
      <c r="T2778" s="2"/>
      <c r="U2778" s="2"/>
      <c r="V2778" s="2"/>
      <c r="W2778" s="2"/>
      <c r="X2778" s="2"/>
      <c r="Y2778" s="2"/>
      <c r="Z2778" s="2"/>
      <c r="AA2778" s="2"/>
      <c r="AB2778" s="2"/>
      <c r="AC2778" s="2"/>
      <c r="AD2778" s="2"/>
      <c r="AE2778" s="2"/>
      <c r="AF2778" s="2"/>
      <c r="AG2778" s="2"/>
      <c r="AH2778" s="2"/>
      <c r="AI2778" s="2"/>
      <c r="AJ2778" s="2"/>
      <c r="AK2778" s="2"/>
      <c r="AL2778" s="2"/>
    </row>
    <row r="2779" spans="1:38" ht="5.15" customHeight="1" x14ac:dyDescent="0.25">
      <c r="A2779" s="2"/>
      <c r="B2779" s="178"/>
      <c r="C2779" s="178"/>
      <c r="D2779" s="178"/>
      <c r="E2779" s="178"/>
      <c r="F2779" s="178"/>
      <c r="G2779" s="178"/>
      <c r="H2779" s="178"/>
      <c r="I2779" s="178"/>
      <c r="J2779" s="178"/>
      <c r="K2779" s="178"/>
      <c r="L2779" s="178"/>
      <c r="M2779" s="15"/>
      <c r="N2779" s="15"/>
      <c r="O2779" s="15"/>
      <c r="P2779" s="15"/>
      <c r="Q2779" s="343"/>
      <c r="R2779" s="2"/>
      <c r="S2779" s="2"/>
      <c r="T2779" s="2"/>
      <c r="U2779" s="2"/>
      <c r="V2779" s="2"/>
      <c r="W2779" s="2"/>
      <c r="X2779" s="2"/>
      <c r="Y2779" s="2"/>
      <c r="Z2779" s="2"/>
      <c r="AA2779" s="2"/>
      <c r="AB2779" s="2"/>
      <c r="AC2779" s="2"/>
      <c r="AD2779" s="2"/>
      <c r="AE2779" s="2"/>
      <c r="AF2779" s="2"/>
      <c r="AG2779" s="2"/>
      <c r="AH2779" s="2"/>
      <c r="AI2779" s="2"/>
      <c r="AJ2779" s="2"/>
      <c r="AK2779" s="2"/>
      <c r="AL2779" s="2"/>
    </row>
    <row r="2780" spans="1:38" ht="25.5" customHeight="1" thickBot="1" x14ac:dyDescent="0.3">
      <c r="A2780" s="2"/>
      <c r="B2780" s="178"/>
      <c r="C2780" s="178"/>
      <c r="D2780" s="15"/>
      <c r="E2780" s="2061" t="str">
        <f>Translations!$B$1479</f>
        <v>Baserat på uppgifterna ovan bestäms ett genomsnittligt årligt värde. Tilldelningen kommer endast att ändras om det relativa tröskelvärdet (15 % jämfört med värdet från de nationella genomförandeåtgärderna) och det absoluta tröskelvärdet (ändring leder till mer än 100 utsläppsrätter) överskrids, enligt artikel 6.4 i verksamhetsändringsförordningen.</v>
      </c>
      <c r="F2780" s="1963"/>
      <c r="G2780" s="1963"/>
      <c r="H2780" s="1963"/>
      <c r="I2780" s="1963"/>
      <c r="J2780" s="1963"/>
      <c r="K2780" s="1963"/>
      <c r="L2780" s="1963"/>
      <c r="M2780" s="1963"/>
      <c r="N2780" s="1963"/>
      <c r="O2780" s="15"/>
      <c r="P2780" s="15"/>
      <c r="Q2780" s="343"/>
      <c r="R2780" s="2"/>
      <c r="S2780" s="343"/>
      <c r="T2780" s="343"/>
      <c r="U2780" s="343"/>
      <c r="V2780" s="2"/>
      <c r="W2780" s="2"/>
      <c r="X2780" s="2"/>
      <c r="Y2780" s="2"/>
      <c r="Z2780" s="2"/>
      <c r="AA2780" s="2"/>
      <c r="AB2780" s="2"/>
      <c r="AC2780" s="2"/>
      <c r="AD2780" s="2"/>
      <c r="AE2780" s="2"/>
      <c r="AF2780" s="2"/>
      <c r="AG2780" s="2"/>
      <c r="AH2780" s="2"/>
      <c r="AI2780" s="2"/>
      <c r="AJ2780" s="2"/>
      <c r="AK2780" s="2"/>
      <c r="AL2780" s="2"/>
    </row>
    <row r="2781" spans="1:38" ht="5.15" customHeight="1" thickBot="1" x14ac:dyDescent="0.3">
      <c r="A2781" s="2"/>
      <c r="B2781" s="178"/>
      <c r="C2781" s="178"/>
      <c r="D2781" s="1238"/>
      <c r="E2781" s="1266"/>
      <c r="F2781" s="1266"/>
      <c r="G2781" s="1266"/>
      <c r="H2781" s="1266"/>
      <c r="I2781" s="1266"/>
      <c r="J2781" s="1266"/>
      <c r="K2781" s="1266"/>
      <c r="L2781" s="1266"/>
      <c r="M2781" s="1266"/>
      <c r="N2781" s="1267"/>
      <c r="O2781" s="15"/>
      <c r="P2781" s="15"/>
      <c r="Q2781" s="343"/>
      <c r="R2781" s="2"/>
      <c r="S2781" s="343"/>
      <c r="T2781" s="343"/>
      <c r="U2781" s="343"/>
      <c r="V2781" s="2"/>
      <c r="W2781" s="2"/>
      <c r="X2781" s="2"/>
      <c r="Y2781" s="2"/>
      <c r="Z2781" s="2"/>
      <c r="AA2781" s="2"/>
      <c r="AB2781" s="2"/>
      <c r="AC2781" s="2"/>
      <c r="AD2781" s="2"/>
      <c r="AE2781" s="2"/>
      <c r="AF2781" s="2"/>
      <c r="AG2781" s="2"/>
      <c r="AH2781" s="2"/>
      <c r="AI2781" s="2"/>
      <c r="AJ2781" s="2"/>
      <c r="AK2781" s="2"/>
      <c r="AL2781" s="2"/>
    </row>
    <row r="2782" spans="1:38" ht="12.75" customHeight="1" x14ac:dyDescent="0.25">
      <c r="A2782" s="2"/>
      <c r="B2782" s="178"/>
      <c r="C2782" s="178"/>
      <c r="D2782" s="1290" t="s">
        <v>2191</v>
      </c>
      <c r="E2782" s="1243" t="str">
        <f>Translations!$B$1480</f>
        <v>Justeringar: Elutbyte</v>
      </c>
      <c r="F2782" s="1244"/>
      <c r="G2782" s="1244"/>
      <c r="H2782" s="1228" t="str">
        <f>EUconst_Unit</f>
        <v>Enhet</v>
      </c>
      <c r="I2782" s="1229" t="str">
        <f>Translations!$B$1481</f>
        <v>Värde (NIMs)</v>
      </c>
      <c r="J2782" s="1268">
        <f>J$3042</f>
        <v>2021</v>
      </c>
      <c r="K2782" s="1230">
        <f>K$3042</f>
        <v>2022</v>
      </c>
      <c r="L2782" s="1230">
        <f>L$3042</f>
        <v>2023</v>
      </c>
      <c r="M2782" s="1230">
        <f>M$3042</f>
        <v>2024</v>
      </c>
      <c r="N2782" s="1258">
        <f>N$3042</f>
        <v>2025</v>
      </c>
      <c r="O2782" s="15"/>
      <c r="P2782" s="15"/>
      <c r="Q2782" s="343"/>
      <c r="R2782" s="2"/>
      <c r="S2782" s="2"/>
      <c r="T2782" s="2"/>
      <c r="U2782" s="772"/>
      <c r="V2782" s="1077">
        <f>J2782</f>
        <v>2021</v>
      </c>
      <c r="W2782" s="1077">
        <f>K2782</f>
        <v>2022</v>
      </c>
      <c r="X2782" s="1077">
        <f>L2782</f>
        <v>2023</v>
      </c>
      <c r="Y2782" s="1077">
        <f>M2782</f>
        <v>2024</v>
      </c>
      <c r="Z2782" s="1078">
        <f>N2782</f>
        <v>2025</v>
      </c>
      <c r="AA2782" s="2"/>
      <c r="AB2782" s="2"/>
      <c r="AC2782" s="2"/>
      <c r="AD2782" s="2"/>
      <c r="AE2782" s="2"/>
      <c r="AF2782" s="2"/>
      <c r="AG2782" s="2"/>
      <c r="AH2782" s="2"/>
      <c r="AI2782" s="2"/>
      <c r="AJ2782" s="2"/>
      <c r="AK2782" s="2"/>
      <c r="AL2782" s="343"/>
    </row>
    <row r="2783" spans="1:38" ht="12.75" customHeight="1" x14ac:dyDescent="0.25">
      <c r="A2783" s="2"/>
      <c r="B2783" s="178"/>
      <c r="C2783" s="178"/>
      <c r="D2783" s="1246" t="s">
        <v>8</v>
      </c>
      <c r="E2783" s="1231" t="str">
        <f>Translations!$B$1482</f>
        <v>Genomsnittligt årligt värde</v>
      </c>
      <c r="F2783" s="1231"/>
      <c r="G2783" s="1231"/>
      <c r="H2783" s="1232" t="str">
        <f>G2778</f>
        <v>-</v>
      </c>
      <c r="I2783" s="1011" t="str">
        <f>IF($T2767&lt;&gt;TRUE,"",INDEX('B+C_SubInstallations'!$L:$L,MATCH(Q2783,'B+C_SubInstallations'!$W:$W,0)))</f>
        <v/>
      </c>
      <c r="J2783" s="1012" t="str">
        <f>IF($T2767&lt;&gt;TRUE,"",IF(AND(V2783&gt;=3,CNTR_ReportingYear&gt;J2782-1),AVERAGE(SUM(H2778),SUM(I2778)),""))</f>
        <v/>
      </c>
      <c r="K2783" s="927" t="str">
        <f>IF($T2767&lt;&gt;TRUE,"",IF(AND(W2783&gt;=3,CNTR_ReportingYear&gt;K2782-1),AVERAGE(SUM(I2778),SUM(J2778)),""))</f>
        <v/>
      </c>
      <c r="L2783" s="927" t="str">
        <f>IF($T2767&lt;&gt;TRUE,"",IF(AND(X2783&gt;=3,CNTR_ReportingYear&gt;L2782-1),AVERAGE(SUM(J2778),SUM(K2778)),""))</f>
        <v/>
      </c>
      <c r="M2783" s="927" t="str">
        <f>IF($T2767&lt;&gt;TRUE,"",IF(AND(Y2783&gt;=3,CNTR_ReportingYear&gt;M2782-1),AVERAGE(SUM(K2778),SUM(L2778)),""))</f>
        <v/>
      </c>
      <c r="N2783" s="1222" t="str">
        <f>IF($T2767&lt;&gt;TRUE,"",IF(AND(Z2783&gt;=3,CNTR_ReportingYear&gt;N2782-1),AVERAGE(SUM(L2778),SUM(M2778)),""))</f>
        <v/>
      </c>
      <c r="O2783" s="15"/>
      <c r="P2783" s="15"/>
      <c r="Q2783" s="165" t="str">
        <f>EUconst_CNTR_HAL &amp; EUconst_CNTR_ELEXCHInitial &amp; I2731</f>
        <v>HAL_ELEXCHIni_</v>
      </c>
      <c r="R2783" s="2"/>
      <c r="S2783" s="2"/>
      <c r="T2783" s="2"/>
      <c r="U2783" s="1079" t="s">
        <v>1850</v>
      </c>
      <c r="V2783" s="663">
        <f>V2753</f>
        <v>0</v>
      </c>
      <c r="W2783" s="663">
        <f>W2753</f>
        <v>0</v>
      </c>
      <c r="X2783" s="663">
        <f>X2753</f>
        <v>0</v>
      </c>
      <c r="Y2783" s="663">
        <f>Y2753</f>
        <v>0</v>
      </c>
      <c r="Z2783" s="1080">
        <f>Z2753</f>
        <v>0</v>
      </c>
      <c r="AA2783" s="2"/>
      <c r="AB2783" s="2"/>
      <c r="AC2783" s="2"/>
      <c r="AD2783" s="2"/>
      <c r="AE2783" s="2"/>
      <c r="AF2783" s="2"/>
      <c r="AG2783" s="2"/>
      <c r="AH2783" s="2"/>
      <c r="AI2783" s="2"/>
      <c r="AJ2783" s="2"/>
      <c r="AK2783" s="2"/>
      <c r="AL2783" s="343"/>
    </row>
    <row r="2784" spans="1:38" ht="12.75" hidden="1" customHeight="1" x14ac:dyDescent="0.25">
      <c r="A2784" s="343" t="s">
        <v>346</v>
      </c>
      <c r="B2784" s="178"/>
      <c r="C2784" s="178"/>
      <c r="D2784" s="1246"/>
      <c r="E2784" s="1231" t="s">
        <v>1980</v>
      </c>
      <c r="F2784" s="1231"/>
      <c r="G2784" s="1231"/>
      <c r="H2784" s="1233"/>
      <c r="I2784" s="1235"/>
      <c r="J2784" s="1013" t="str">
        <f>IF(J2783="","",IF($I2786=0,IF(J2783=0,0%,100%),J2783/$I2786-1))</f>
        <v/>
      </c>
      <c r="K2784" s="938" t="str">
        <f>IF(K2783="","",IF($I2786=0,IF(K2783=0,0%,100%),K2783/$I2786-1))</f>
        <v/>
      </c>
      <c r="L2784" s="938" t="str">
        <f>IF(L2783="","",IF($I2786=0,IF(L2783=0,0%,100%),L2783/$I2786-1))</f>
        <v/>
      </c>
      <c r="M2784" s="938" t="str">
        <f>IF(M2783="","",IF($I2786=0,IF(M2783=0,0%,100%),M2783/$I2786-1))</f>
        <v/>
      </c>
      <c r="N2784" s="1223" t="str">
        <f>IF(N2783="","",IF($I2786=0,IF(N2783=0,0%,100%),N2783/$I2786-1))</f>
        <v/>
      </c>
      <c r="O2784" s="15"/>
      <c r="P2784" s="15"/>
      <c r="Q2784" s="165" t="str">
        <f>EUconst_CNTR_RelThreshold &amp; Q2786</f>
        <v>RelThresh_HALprelim_ELEXCH_</v>
      </c>
      <c r="R2784" s="2"/>
      <c r="S2784" s="2"/>
      <c r="T2784" s="2"/>
      <c r="U2784" s="1079" t="s">
        <v>1855</v>
      </c>
      <c r="V2784" s="603" t="str">
        <f>IF(J2783="","",ABS(J2784)&gt;15%)</f>
        <v/>
      </c>
      <c r="W2784" s="603" t="str">
        <f>IF(K2783="","",ABS(K2784)&gt;15%)</f>
        <v/>
      </c>
      <c r="X2784" s="603" t="str">
        <f>IF(L2783="","",ABS(L2784)&gt;15%)</f>
        <v/>
      </c>
      <c r="Y2784" s="603" t="str">
        <f>IF(M2783="","",ABS(M2784)&gt;15%)</f>
        <v/>
      </c>
      <c r="Z2784" s="1756" t="str">
        <f>IF(N2783="","",ABS(N2784)&gt;15%)</f>
        <v/>
      </c>
      <c r="AA2784" s="2"/>
      <c r="AB2784" s="2"/>
      <c r="AC2784" s="2"/>
      <c r="AD2784" s="2"/>
      <c r="AE2784" s="2"/>
      <c r="AF2784" s="2"/>
      <c r="AG2784" s="2"/>
      <c r="AH2784" s="2"/>
      <c r="AI2784" s="2"/>
      <c r="AJ2784" s="2"/>
      <c r="AK2784" s="2"/>
      <c r="AL2784" s="343"/>
    </row>
    <row r="2785" spans="1:38" ht="12.75" customHeight="1" x14ac:dyDescent="0.25">
      <c r="A2785" s="343"/>
      <c r="B2785" s="178"/>
      <c r="C2785" s="178"/>
      <c r="D2785" s="1246" t="s">
        <v>9</v>
      </c>
      <c r="E2785" s="1231" t="str">
        <f>Translations!$B$1474</f>
        <v>Preliminär justering (om relativa tröskelvärden överskrids)</v>
      </c>
      <c r="F2785" s="1231"/>
      <c r="G2785" s="1231"/>
      <c r="H2785" s="1233"/>
      <c r="I2785" s="1235"/>
      <c r="J2785" s="992" t="str">
        <f>IF(J2783="","",IF(V2784=FALSE,0%,J2784))</f>
        <v/>
      </c>
      <c r="K2785" s="937" t="str">
        <f>IF(K2783="","",IF(W2784=FALSE,0%,K2784))</f>
        <v/>
      </c>
      <c r="L2785" s="937" t="str">
        <f>IF(L2783="","",IF(X2784=FALSE,0%,L2784))</f>
        <v/>
      </c>
      <c r="M2785" s="937" t="str">
        <f>IF(M2783="","",IF(Y2784=FALSE,0%,M2784))</f>
        <v/>
      </c>
      <c r="N2785" s="1220" t="str">
        <f>IF(N2783="","",IF(Z2784=FALSE,0%,N2784))</f>
        <v/>
      </c>
      <c r="O2785" s="15"/>
      <c r="P2785" s="15"/>
      <c r="Q2785" s="343"/>
      <c r="R2785" s="2"/>
      <c r="S2785" s="2"/>
      <c r="T2785" s="2"/>
      <c r="U2785" s="1081"/>
      <c r="V2785" s="2"/>
      <c r="W2785" s="2"/>
      <c r="X2785" s="2"/>
      <c r="Y2785" s="2"/>
      <c r="Z2785" s="228"/>
      <c r="AA2785" s="2"/>
      <c r="AB2785" s="2"/>
      <c r="AC2785" s="2"/>
      <c r="AD2785" s="2"/>
      <c r="AE2785" s="2"/>
      <c r="AF2785" s="2"/>
      <c r="AG2785" s="2"/>
      <c r="AH2785" s="2"/>
      <c r="AI2785" s="2"/>
      <c r="AJ2785" s="2"/>
      <c r="AK2785" s="2"/>
      <c r="AL2785" s="343"/>
    </row>
    <row r="2786" spans="1:38" ht="12.75" hidden="1" customHeight="1" x14ac:dyDescent="0.25">
      <c r="A2786" s="343" t="s">
        <v>346</v>
      </c>
      <c r="B2786" s="178"/>
      <c r="C2786" s="178"/>
      <c r="D2786" s="1246"/>
      <c r="E2786" s="1231" t="s">
        <v>1889</v>
      </c>
      <c r="F2786" s="1231"/>
      <c r="G2786" s="1231"/>
      <c r="H2786" s="1232" t="str">
        <f>H2783</f>
        <v>-</v>
      </c>
      <c r="I2786" s="1011" t="str">
        <f>IF($T2767&lt;&gt;TRUE,"",IF(AB2731=FALSE,EUconst_NA,IF(V2731&gt;($J$3042-3),INDEX(H2778:N2778,MATCH(V2731,H2771:N2771,0)),SUM(I2783))))</f>
        <v/>
      </c>
      <c r="J2786" s="1014" t="str">
        <f>IF(OR($I2731="",$T2767=FALSE),"",IF(V2783&lt;2,SUM(J2778),IF(V2783&lt;3,SUM(I2778),IF(V2786="",I2786,V2786))))</f>
        <v/>
      </c>
      <c r="K2786" s="928" t="str">
        <f>IF(OR($I2731="",$T2767=FALSE),"",IF(W2783&lt;2,SUM(K2778),IF(W2783&lt;3,SUM(J2778),IF(W2786="",J2786,W2786))))</f>
        <v/>
      </c>
      <c r="L2786" s="928" t="str">
        <f>IF(OR($I2731="",$T2767=FALSE),"",IF(X2783&lt;2,SUM(L2778),IF(X2783&lt;3,SUM(K2778),IF(X2786="",K2786,X2786))))</f>
        <v/>
      </c>
      <c r="M2786" s="928" t="str">
        <f>IF(OR($I2731="",$T2767=FALSE),"",IF(Y2783&lt;2,SUM(M2778),IF(Y2783&lt;3,SUM(L2778),IF(Y2786="",L2786,Y2786))))</f>
        <v/>
      </c>
      <c r="N2786" s="1224" t="str">
        <f>IF(OR($I2731="",$T2767=FALSE),"",IF(Z2783&lt;2,SUM(N2778),IF(Z2783&lt;3,SUM(M2778),IF(Z2786="",M2786,Z2786))))</f>
        <v/>
      </c>
      <c r="O2786" s="15"/>
      <c r="P2786" s="15"/>
      <c r="Q2786" s="165" t="str">
        <f>EUconst_CNTR_HALprelim&amp;EUconst_CNTR_ELEXCH &amp; I2731</f>
        <v>HALprelim_ELEXCH_</v>
      </c>
      <c r="R2786" s="2"/>
      <c r="S2786" s="2"/>
      <c r="T2786" s="2"/>
      <c r="U2786" s="1079" t="s">
        <v>1898</v>
      </c>
      <c r="V2786" s="1753" t="str">
        <f>IF(J2783="","",IF(CNTR_ReportingYear&lt;J2782,I2785,IF($I2786=0,J2783,$I2786*(1+J2785))))</f>
        <v/>
      </c>
      <c r="W2786" s="1753" t="str">
        <f>IF(K2783="","",IF(CNTR_ReportingYear&lt;K2782,J2785,IF($I2786=0,K2783,$I2786*(1+K2785))))</f>
        <v/>
      </c>
      <c r="X2786" s="1753" t="str">
        <f>IF(L2783="","",IF(CNTR_ReportingYear&lt;L2782,K2785,IF($I2786=0,L2783,$I2786*(1+L2785))))</f>
        <v/>
      </c>
      <c r="Y2786" s="1753" t="str">
        <f>IF(M2783="","",IF(CNTR_ReportingYear&lt;M2782,L2785,IF($I2786=0,M2783,$I2786*(1+M2785))))</f>
        <v/>
      </c>
      <c r="Z2786" s="1760" t="str">
        <f>IF(N2783="","",IF(CNTR_ReportingYear&lt;N2782,M2785,IF($I2786=0,N2783,$I2786*(1+N2785))))</f>
        <v/>
      </c>
      <c r="AA2786" s="2"/>
      <c r="AB2786" s="2"/>
      <c r="AC2786" s="2"/>
      <c r="AD2786" s="2"/>
      <c r="AE2786" s="2"/>
      <c r="AF2786" s="2"/>
      <c r="AG2786" s="2"/>
      <c r="AH2786" s="2"/>
      <c r="AI2786" s="2"/>
      <c r="AJ2786" s="2"/>
      <c r="AK2786" s="2"/>
      <c r="AL2786" s="343"/>
    </row>
    <row r="2787" spans="1:38" ht="5.15" customHeight="1" x14ac:dyDescent="0.25">
      <c r="A2787" s="343"/>
      <c r="B2787" s="178"/>
      <c r="C2787" s="178"/>
      <c r="D2787" s="1246"/>
      <c r="E2787" s="1244"/>
      <c r="F2787" s="1244"/>
      <c r="G2787" s="1244"/>
      <c r="H2787" s="1244"/>
      <c r="I2787" s="1244"/>
      <c r="J2787" s="1236"/>
      <c r="K2787" s="1236"/>
      <c r="L2787" s="1236"/>
      <c r="M2787" s="1236"/>
      <c r="N2787" s="1247"/>
      <c r="O2787" s="15"/>
      <c r="P2787" s="15"/>
      <c r="Q2787" s="343"/>
      <c r="R2787" s="2"/>
      <c r="S2787" s="2"/>
      <c r="T2787" s="2"/>
      <c r="U2787" s="1086"/>
      <c r="V2787" s="343"/>
      <c r="W2787" s="2"/>
      <c r="X2787" s="2"/>
      <c r="Y2787" s="2"/>
      <c r="Z2787" s="228"/>
      <c r="AA2787" s="2"/>
      <c r="AB2787" s="2"/>
      <c r="AC2787" s="2"/>
      <c r="AD2787" s="2"/>
      <c r="AE2787" s="2"/>
      <c r="AF2787" s="2"/>
      <c r="AG2787" s="2"/>
      <c r="AH2787" s="2"/>
      <c r="AI2787" s="2"/>
      <c r="AJ2787" s="2"/>
      <c r="AK2787" s="2"/>
      <c r="AL2787" s="343"/>
    </row>
    <row r="2788" spans="1:38" ht="12.75" customHeight="1" x14ac:dyDescent="0.25">
      <c r="A2788" s="343"/>
      <c r="B2788" s="178"/>
      <c r="C2788" s="178"/>
      <c r="D2788" s="1246"/>
      <c r="E2788" s="1234" t="str">
        <f>Translations!$B$1475</f>
        <v>Faktisk justering (grund för följande år)</v>
      </c>
      <c r="F2788" s="1234"/>
      <c r="G2788" s="1234"/>
      <c r="H2788" s="1234"/>
      <c r="I2788" s="1234"/>
      <c r="J2788" s="1268">
        <f>J$3042</f>
        <v>2021</v>
      </c>
      <c r="K2788" s="1230">
        <f>K$3042</f>
        <v>2022</v>
      </c>
      <c r="L2788" s="1230">
        <f>L$3042</f>
        <v>2023</v>
      </c>
      <c r="M2788" s="1230">
        <f>M$3042</f>
        <v>2024</v>
      </c>
      <c r="N2788" s="1258">
        <f>N$3042</f>
        <v>2025</v>
      </c>
      <c r="O2788" s="15"/>
      <c r="P2788" s="15"/>
      <c r="Q2788" s="343"/>
      <c r="R2788" s="2"/>
      <c r="S2788" s="2"/>
      <c r="T2788" s="2"/>
      <c r="U2788" s="584"/>
      <c r="V2788" s="2"/>
      <c r="W2788" s="2"/>
      <c r="X2788" s="2"/>
      <c r="Y2788" s="2"/>
      <c r="Z2788" s="228"/>
      <c r="AA2788" s="2"/>
      <c r="AB2788" s="2"/>
      <c r="AC2788" s="2"/>
      <c r="AD2788" s="2"/>
      <c r="AE2788" s="2"/>
      <c r="AF2788" s="2"/>
      <c r="AG2788" s="2"/>
      <c r="AH2788" s="2"/>
      <c r="AI2788" s="2"/>
      <c r="AJ2788" s="2"/>
      <c r="AK2788" s="2"/>
      <c r="AL2788" s="343"/>
    </row>
    <row r="2789" spans="1:38" ht="12.75" customHeight="1" x14ac:dyDescent="0.25">
      <c r="A2789" s="343"/>
      <c r="B2789" s="178"/>
      <c r="C2789" s="178"/>
      <c r="D2789" s="1246" t="s">
        <v>10</v>
      </c>
      <c r="E2789" s="1231" t="str">
        <f>Translations!$B$1476</f>
        <v>&gt;= 100 utsläppsrätter kriterium uppnått?</v>
      </c>
      <c r="F2789" s="1231"/>
      <c r="G2789" s="1231"/>
      <c r="H2789" s="1231"/>
      <c r="I2789" s="1231"/>
      <c r="J2789" s="994" t="str">
        <f>IF(OR($I2731="",$T2767=FALSE),"",INDEX(K_Summary!J:J,MATCH($Q2789,K_Summary!$P:$P,0)))</f>
        <v/>
      </c>
      <c r="K2789" s="912" t="str">
        <f>IF(OR($I2731="",$T2767=FALSE),"",INDEX(K_Summary!K:K,MATCH($Q2789,K_Summary!$P:$P,0)))</f>
        <v/>
      </c>
      <c r="L2789" s="912" t="str">
        <f>IF(OR($I2731="",$T2767=FALSE),"",INDEX(K_Summary!L:L,MATCH($Q2789,K_Summary!$P:$P,0)))</f>
        <v/>
      </c>
      <c r="M2789" s="912" t="str">
        <f>IF(OR($I2731="",$T2767=FALSE),"",INDEX(K_Summary!M:M,MATCH($Q2789,K_Summary!$P:$P,0)))</f>
        <v/>
      </c>
      <c r="N2789" s="1221" t="str">
        <f>IF(OR($I2731="",$T2767=FALSE),"",INDEX(K_Summary!N:N,MATCH($Q2789,K_Summary!$P:$P,0)))</f>
        <v/>
      </c>
      <c r="O2789" s="15"/>
      <c r="P2789" s="15"/>
      <c r="Q2789" s="165" t="str">
        <f>EUconst_CNTR_100EUA_ElExch&amp;I2731</f>
        <v>EUA100ElExch_</v>
      </c>
      <c r="R2789" s="2"/>
      <c r="S2789" s="2"/>
      <c r="T2789" s="2"/>
      <c r="U2789" s="584"/>
      <c r="V2789" s="2"/>
      <c r="W2789" s="2"/>
      <c r="X2789" s="2"/>
      <c r="Y2789" s="2"/>
      <c r="Z2789" s="228"/>
      <c r="AA2789" s="2"/>
      <c r="AB2789" s="2"/>
      <c r="AC2789" s="2"/>
      <c r="AD2789" s="2"/>
      <c r="AE2789" s="2"/>
      <c r="AF2789" s="2"/>
      <c r="AG2789" s="2"/>
      <c r="AH2789" s="2"/>
      <c r="AI2789" s="2"/>
      <c r="AJ2789" s="2"/>
      <c r="AK2789" s="2"/>
      <c r="AL2789" s="343"/>
    </row>
    <row r="2790" spans="1:38" ht="5.15" customHeight="1" thickBot="1" x14ac:dyDescent="0.3">
      <c r="A2790" s="343"/>
      <c r="B2790" s="178"/>
      <c r="C2790" s="178"/>
      <c r="D2790" s="1246"/>
      <c r="E2790" s="1244"/>
      <c r="F2790" s="1244"/>
      <c r="G2790" s="1244"/>
      <c r="H2790" s="1244"/>
      <c r="I2790" s="1244"/>
      <c r="J2790" s="1244"/>
      <c r="K2790" s="1244"/>
      <c r="L2790" s="1244"/>
      <c r="M2790" s="1244"/>
      <c r="N2790" s="1248"/>
      <c r="O2790" s="15"/>
      <c r="P2790" s="15"/>
      <c r="Q2790" s="343"/>
      <c r="R2790" s="2"/>
      <c r="S2790" s="2"/>
      <c r="T2790" s="2"/>
      <c r="U2790" s="1086"/>
      <c r="V2790" s="343"/>
      <c r="W2790" s="2"/>
      <c r="X2790" s="2"/>
      <c r="Y2790" s="2"/>
      <c r="Z2790" s="228"/>
      <c r="AA2790" s="2"/>
      <c r="AB2790" s="2"/>
      <c r="AC2790" s="2"/>
      <c r="AD2790" s="2"/>
      <c r="AE2790" s="2"/>
      <c r="AF2790" s="2"/>
      <c r="AG2790" s="2"/>
      <c r="AH2790" s="2"/>
      <c r="AI2790" s="2"/>
      <c r="AJ2790" s="2"/>
      <c r="AK2790" s="2"/>
      <c r="AL2790" s="343"/>
    </row>
    <row r="2791" spans="1:38" ht="12.75" customHeight="1" thickBot="1" x14ac:dyDescent="0.3">
      <c r="A2791" s="2"/>
      <c r="B2791" s="178"/>
      <c r="C2791" s="178"/>
      <c r="D2791" s="1246" t="s">
        <v>23</v>
      </c>
      <c r="E2791" s="1231" t="str">
        <f>Translations!$B$1477</f>
        <v>Faktisk justering (om alla tröskelvärden överskrids)</v>
      </c>
      <c r="F2791" s="1231"/>
      <c r="G2791" s="1231"/>
      <c r="H2791" s="1233"/>
      <c r="I2791" s="1237"/>
      <c r="J2791" s="1099" t="str">
        <f>IF(J2789="","",IF(OR(J2789,V2783&lt;1),J2785,I2791))</f>
        <v/>
      </c>
      <c r="K2791" s="1100" t="str">
        <f>IF(K2789="","",IF(OR(K2789,W2783&lt;1),K2785,J2791))</f>
        <v/>
      </c>
      <c r="L2791" s="1100" t="str">
        <f>IF(L2789="","",IF(OR(L2789,X2783&lt;1),L2785,K2791))</f>
        <v/>
      </c>
      <c r="M2791" s="1100" t="str">
        <f>IF(M2789="","",IF(OR(M2789,Y2783&lt;1),M2785,L2791))</f>
        <v/>
      </c>
      <c r="N2791" s="1101" t="str">
        <f>IF(N2789="","",IF(OR(N2789,Z2783&lt;1),N2785,M2791))</f>
        <v/>
      </c>
      <c r="O2791" s="15"/>
      <c r="P2791" s="15"/>
      <c r="Q2791" s="343"/>
      <c r="R2791" s="2"/>
      <c r="S2791" s="2"/>
      <c r="T2791" s="2"/>
      <c r="U2791" s="1086" t="s">
        <v>1858</v>
      </c>
      <c r="V2791" s="1068">
        <f>J2788</f>
        <v>2021</v>
      </c>
      <c r="W2791" s="1068">
        <f>K2788</f>
        <v>2022</v>
      </c>
      <c r="X2791" s="1068">
        <f>L2788</f>
        <v>2023</v>
      </c>
      <c r="Y2791" s="1068">
        <f>M2788</f>
        <v>2024</v>
      </c>
      <c r="Z2791" s="1087">
        <f>N2788</f>
        <v>2025</v>
      </c>
      <c r="AA2791" s="2"/>
      <c r="AB2791" s="2"/>
      <c r="AC2791" s="2"/>
      <c r="AD2791" s="2"/>
      <c r="AE2791" s="2"/>
      <c r="AF2791" s="2"/>
      <c r="AG2791" s="2"/>
      <c r="AH2791" s="2"/>
      <c r="AI2791" s="2"/>
      <c r="AJ2791" s="2"/>
      <c r="AK2791" s="2"/>
      <c r="AL2791" s="343"/>
    </row>
    <row r="2792" spans="1:38" ht="12.75" customHeight="1" thickBot="1" x14ac:dyDescent="0.3">
      <c r="A2792" s="343"/>
      <c r="B2792" s="178"/>
      <c r="C2792" s="178"/>
      <c r="D2792" s="1246" t="s">
        <v>859</v>
      </c>
      <c r="E2792" s="1231" t="str">
        <f>Translations!$B$1478</f>
        <v>Faktiskt värde</v>
      </c>
      <c r="F2792" s="1231"/>
      <c r="G2792" s="1231"/>
      <c r="H2792" s="1232" t="str">
        <f>H2783</f>
        <v>-</v>
      </c>
      <c r="I2792" s="1011" t="str">
        <f>I2786</f>
        <v/>
      </c>
      <c r="J2792" s="1069" t="str">
        <f>IF(OR($I2731="",$T2767=FALSE),"",IF(OR($I2792=0,$I2792=EUconst_NA,J2791="",J2788&lt;=$V2731),J2786,$I2792*(1+SUM(J2791))))</f>
        <v/>
      </c>
      <c r="K2792" s="1070" t="str">
        <f>IF(OR($I2731="",$T2767=FALSE),"",IF(OR($I2792=0,$I2792=EUconst_NA,K2791="",K2788&lt;=$V2731),K2786,$I2792*(1+SUM(K2791))))</f>
        <v/>
      </c>
      <c r="L2792" s="1070" t="str">
        <f>IF(OR($I2731="",$T2767=FALSE),"",IF(OR($I2792=0,$I2792=EUconst_NA,L2791="",L2788&lt;=$V2731),L2786,$I2792*(1+SUM(L2791))))</f>
        <v/>
      </c>
      <c r="M2792" s="1070" t="str">
        <f>IF(OR($I2731="",$T2767=FALSE),"",IF(OR($I2792=0,$I2792=EUconst_NA,M2791="",M2788&lt;=$V2731),M2786,$I2792*(1+SUM(M2791))))</f>
        <v/>
      </c>
      <c r="N2792" s="1071" t="str">
        <f>IF(OR($I2731="",$T2767=FALSE),"",IF(OR($I2792=0,$I2792=EUconst_NA,N2791="",N2788&lt;=$V2731),N2786,$I2792*(1+SUM(N2791))))</f>
        <v/>
      </c>
      <c r="O2792" s="15"/>
      <c r="P2792" s="15"/>
      <c r="Q2792" s="165" t="str">
        <f>EUconst_CNTR_HALfinal&amp;EUconst_CNTR_ELEXCH &amp; I2731</f>
        <v>HALfinal_ELEXCH_</v>
      </c>
      <c r="R2792" s="2"/>
      <c r="S2792" s="2"/>
      <c r="T2792" s="2"/>
      <c r="U2792" s="1765" t="b">
        <v>0</v>
      </c>
      <c r="V2792" s="1757" t="str">
        <f>IF(V2739,IF(J2789=TRUE,V2784,U2792),"")</f>
        <v/>
      </c>
      <c r="W2792" s="1757" t="str">
        <f>IF(W2739,IF(K2789=TRUE,W2784,V2792),"")</f>
        <v/>
      </c>
      <c r="X2792" s="1757" t="str">
        <f>IF(X2739,IF(L2789=TRUE,X2784,W2792),"")</f>
        <v/>
      </c>
      <c r="Y2792" s="1757" t="str">
        <f>IF(Y2739,IF(M2789=TRUE,Y2784,X2792),"")</f>
        <v/>
      </c>
      <c r="Z2792" s="1758" t="str">
        <f>IF(Z2739,IF(N2789=TRUE,Z2784,Y2792),"")</f>
        <v/>
      </c>
      <c r="AA2792" s="2"/>
      <c r="AB2792" s="2"/>
      <c r="AC2792" s="2"/>
      <c r="AD2792" s="2"/>
      <c r="AE2792" s="2"/>
      <c r="AF2792" s="2"/>
      <c r="AG2792" s="2"/>
      <c r="AH2792" s="2"/>
      <c r="AI2792" s="2"/>
      <c r="AJ2792" s="553" t="s">
        <v>2242</v>
      </c>
      <c r="AK2792" s="108" t="str">
        <f>IF(OR(ISERROR(J2792),ISERROR(K2792),ISERROR(L2792),ISERROR(M2792),ISERROR(N2792)),EUconst_Error &amp; "BM" &amp; Q2731,"")</f>
        <v/>
      </c>
      <c r="AL2792" s="343"/>
    </row>
    <row r="2793" spans="1:38" ht="5.15" customHeight="1" thickBot="1" x14ac:dyDescent="0.3">
      <c r="A2793" s="2"/>
      <c r="B2793" s="178"/>
      <c r="C2793" s="178"/>
      <c r="D2793" s="1269"/>
      <c r="E2793" s="1270"/>
      <c r="F2793" s="1270"/>
      <c r="G2793" s="1270"/>
      <c r="H2793" s="1270"/>
      <c r="I2793" s="1270"/>
      <c r="J2793" s="1270"/>
      <c r="K2793" s="1270"/>
      <c r="L2793" s="1270"/>
      <c r="M2793" s="1272"/>
      <c r="N2793" s="1273"/>
      <c r="O2793" s="15"/>
      <c r="P2793" s="15"/>
      <c r="Q2793" s="343"/>
      <c r="R2793" s="2"/>
      <c r="S2793" s="2"/>
      <c r="T2793" s="2"/>
      <c r="U2793" s="2"/>
      <c r="V2793" s="2"/>
      <c r="W2793" s="2"/>
      <c r="X2793" s="2"/>
      <c r="Y2793" s="2"/>
      <c r="Z2793" s="2"/>
      <c r="AA2793" s="2"/>
      <c r="AB2793" s="2"/>
      <c r="AC2793" s="2"/>
      <c r="AD2793" s="2"/>
      <c r="AE2793" s="2"/>
      <c r="AF2793" s="2"/>
      <c r="AG2793" s="2"/>
      <c r="AH2793" s="2"/>
      <c r="AI2793" s="2"/>
      <c r="AJ2793" s="2"/>
      <c r="AK2793" s="2"/>
      <c r="AL2793" s="2"/>
    </row>
    <row r="2794" spans="1:38" ht="5.15" customHeight="1" x14ac:dyDescent="0.25">
      <c r="A2794" s="2"/>
      <c r="B2794" s="178"/>
      <c r="C2794" s="178"/>
      <c r="D2794" s="178"/>
      <c r="E2794" s="178"/>
      <c r="F2794" s="178"/>
      <c r="G2794" s="178"/>
      <c r="H2794" s="178"/>
      <c r="I2794" s="178"/>
      <c r="J2794" s="178"/>
      <c r="K2794" s="178"/>
      <c r="L2794" s="178"/>
      <c r="M2794" s="15"/>
      <c r="N2794" s="15"/>
      <c r="O2794" s="15"/>
      <c r="P2794" s="15"/>
      <c r="Q2794" s="343"/>
      <c r="R2794" s="2"/>
      <c r="S2794" s="2"/>
      <c r="T2794" s="2"/>
      <c r="U2794" s="2"/>
      <c r="V2794" s="2"/>
      <c r="W2794" s="2"/>
      <c r="X2794" s="2"/>
      <c r="Y2794" s="2"/>
      <c r="Z2794" s="2"/>
      <c r="AA2794" s="2"/>
      <c r="AB2794" s="2"/>
      <c r="AC2794" s="2"/>
      <c r="AD2794" s="2"/>
      <c r="AE2794" s="2"/>
      <c r="AF2794" s="2"/>
      <c r="AG2794" s="2"/>
      <c r="AH2794" s="2"/>
      <c r="AI2794" s="2"/>
      <c r="AJ2794" s="2"/>
      <c r="AK2794" s="2"/>
      <c r="AL2794" s="2"/>
    </row>
    <row r="2795" spans="1:38" ht="12.75" customHeight="1" x14ac:dyDescent="0.25">
      <c r="A2795" s="2"/>
      <c r="B2795" s="178"/>
      <c r="C2795" s="178"/>
      <c r="D2795" s="13" t="s">
        <v>960</v>
      </c>
      <c r="E2795" s="1943" t="str">
        <f>Translations!$B$533</f>
        <v>Värme som importeras från anläggningar eller enheter utanför ETS:</v>
      </c>
      <c r="F2795" s="1943"/>
      <c r="G2795" s="1943"/>
      <c r="H2795" s="1943"/>
      <c r="I2795" s="2067"/>
      <c r="J2795" s="2652" t="str">
        <f>IF(I2731="","",HYPERLINK(R2795,EUconst_MsgGoOnIfNotRelevant))</f>
        <v/>
      </c>
      <c r="K2795" s="2653"/>
      <c r="L2795" s="2653"/>
      <c r="M2795" s="2653"/>
      <c r="N2795" s="2654"/>
      <c r="O2795" s="15"/>
      <c r="P2795" s="15"/>
      <c r="Q2795" s="2" t="s">
        <v>484</v>
      </c>
      <c r="R2795" s="294" t="str">
        <f>"#"&amp;ADDRESS(ROW(D2820),COLUMN(D2820))</f>
        <v>#$D$2820</v>
      </c>
      <c r="S2795" s="2"/>
      <c r="T2795" s="2"/>
      <c r="U2795" s="2"/>
      <c r="V2795" s="2"/>
      <c r="W2795" s="2"/>
      <c r="X2795" s="2"/>
      <c r="Y2795" s="2"/>
      <c r="Z2795" s="2"/>
      <c r="AA2795" s="2"/>
      <c r="AB2795" s="2"/>
      <c r="AC2795" s="2"/>
      <c r="AD2795" s="2"/>
      <c r="AE2795" s="2"/>
      <c r="AF2795" s="2"/>
      <c r="AG2795" s="2"/>
      <c r="AH2795" s="2"/>
      <c r="AI2795" s="2"/>
      <c r="AJ2795" s="2"/>
      <c r="AK2795" s="2"/>
      <c r="AL2795" s="2"/>
    </row>
    <row r="2796" spans="1:38" ht="12.75" customHeight="1" x14ac:dyDescent="0.25">
      <c r="A2796" s="2"/>
      <c r="B2796" s="178"/>
      <c r="C2796" s="178"/>
      <c r="D2796" s="15"/>
      <c r="E2796" s="2061" t="str">
        <f>Translations!$B$534</f>
        <v>Enligt artikel 21 i FAR måste en utsläppsmängd dras av från det preliminära årsantalet utsläppsrätter från delanläggningar med produktriktmärke.</v>
      </c>
      <c r="F2796" s="1963"/>
      <c r="G2796" s="1963"/>
      <c r="H2796" s="1963"/>
      <c r="I2796" s="1963"/>
      <c r="J2796" s="1963"/>
      <c r="K2796" s="1963"/>
      <c r="L2796" s="1963"/>
      <c r="M2796" s="1963"/>
      <c r="N2796" s="1963"/>
      <c r="O2796" s="15"/>
      <c r="P2796" s="15"/>
      <c r="Q2796" s="343"/>
      <c r="R2796" s="2"/>
      <c r="S2796" s="2"/>
      <c r="T2796" s="2"/>
      <c r="U2796" s="343"/>
      <c r="V2796" s="343"/>
      <c r="W2796" s="2"/>
      <c r="X2796" s="2"/>
      <c r="Y2796" s="2"/>
      <c r="Z2796" s="2"/>
      <c r="AA2796" s="2"/>
      <c r="AB2796" s="2"/>
      <c r="AC2796" s="2"/>
      <c r="AD2796" s="2"/>
      <c r="AE2796" s="2"/>
      <c r="AF2796" s="2"/>
      <c r="AG2796" s="2"/>
      <c r="AH2796" s="2"/>
      <c r="AI2796" s="2"/>
      <c r="AJ2796" s="2"/>
      <c r="AK2796" s="2"/>
      <c r="AL2796" s="2"/>
    </row>
    <row r="2797" spans="1:38" ht="12.75" customHeight="1" x14ac:dyDescent="0.25">
      <c r="A2797" s="2"/>
      <c r="B2797" s="178"/>
      <c r="C2797" s="178"/>
      <c r="D2797" s="15"/>
      <c r="E2797" s="2061" t="str">
        <f>Translations!$B$535</f>
        <v>Detta är mängden mätbar värme som importeras från anläggningar utanför ETS (inklusive eventuell värme från delanläggningar för salpetersyra) eller enheter multiplicerat med värmeriktmärket.</v>
      </c>
      <c r="F2797" s="1963"/>
      <c r="G2797" s="1963"/>
      <c r="H2797" s="1963"/>
      <c r="I2797" s="1963"/>
      <c r="J2797" s="1963"/>
      <c r="K2797" s="1963"/>
      <c r="L2797" s="1963"/>
      <c r="M2797" s="1963"/>
      <c r="N2797" s="1963"/>
      <c r="O2797" s="15"/>
      <c r="P2797" s="15"/>
      <c r="Q2797" s="343"/>
      <c r="R2797" s="2"/>
      <c r="S2797" s="2"/>
      <c r="T2797" s="2"/>
      <c r="U2797" s="343"/>
      <c r="V2797" s="343"/>
      <c r="W2797" s="2"/>
      <c r="X2797" s="2"/>
      <c r="Y2797" s="2"/>
      <c r="Z2797" s="2"/>
      <c r="AA2797" s="2"/>
      <c r="AB2797" s="2"/>
      <c r="AC2797" s="2"/>
      <c r="AD2797" s="2"/>
      <c r="AE2797" s="2"/>
      <c r="AF2797" s="2"/>
      <c r="AG2797" s="2"/>
      <c r="AH2797" s="2"/>
      <c r="AI2797" s="2"/>
      <c r="AJ2797" s="2"/>
      <c r="AK2797" s="2"/>
      <c r="AL2797" s="2"/>
    </row>
    <row r="2798" spans="1:38" ht="12.75" customHeight="1" x14ac:dyDescent="0.25">
      <c r="A2798" s="2"/>
      <c r="B2798" s="178"/>
      <c r="C2798" s="178"/>
      <c r="D2798" s="15"/>
      <c r="E2798" s="2061" t="str">
        <f>Translations!$B$536</f>
        <v>Var god ange relevanta värden här. Notera att värdena måste överensstämma med delsummorna för import från anläggningar och enheter utanför ETS enligt punkt E.II.c i bladet ”E_Energy flows”.</v>
      </c>
      <c r="F2798" s="1963"/>
      <c r="G2798" s="1963"/>
      <c r="H2798" s="1963"/>
      <c r="I2798" s="1963"/>
      <c r="J2798" s="1963"/>
      <c r="K2798" s="1963"/>
      <c r="L2798" s="1963"/>
      <c r="M2798" s="1963"/>
      <c r="N2798" s="1963"/>
      <c r="O2798" s="15"/>
      <c r="P2798" s="15"/>
      <c r="Q2798" s="343"/>
      <c r="R2798" s="2"/>
      <c r="S2798" s="2"/>
      <c r="T2798" s="2"/>
      <c r="U2798" s="343"/>
      <c r="V2798" s="343"/>
      <c r="W2798" s="2"/>
      <c r="X2798" s="2"/>
      <c r="Y2798" s="2"/>
      <c r="Z2798" s="2"/>
      <c r="AA2798" s="2"/>
      <c r="AB2798" s="2"/>
      <c r="AC2798" s="2"/>
      <c r="AD2798" s="2"/>
      <c r="AE2798" s="2"/>
      <c r="AF2798" s="2"/>
      <c r="AG2798" s="2"/>
      <c r="AH2798" s="2"/>
      <c r="AI2798" s="2"/>
      <c r="AJ2798" s="2"/>
      <c r="AK2798" s="2"/>
      <c r="AL2798" s="2"/>
    </row>
    <row r="2799" spans="1:38" ht="12.75" customHeight="1" x14ac:dyDescent="0.25">
      <c r="A2799" s="2"/>
      <c r="B2799" s="178"/>
      <c r="C2799" s="178"/>
      <c r="D2799" s="15"/>
      <c r="E2799" s="2061" t="str">
        <f>Translations!$B$537</f>
        <v>Uppgifterna måste också överensstämma med den totala mätbara nettovärme som importeras, vilken anges i punkt k.i nedan.</v>
      </c>
      <c r="F2799" s="1963"/>
      <c r="G2799" s="1963"/>
      <c r="H2799" s="1963"/>
      <c r="I2799" s="1963"/>
      <c r="J2799" s="1963"/>
      <c r="K2799" s="1963"/>
      <c r="L2799" s="1963"/>
      <c r="M2799" s="1963"/>
      <c r="N2799" s="1963"/>
      <c r="O2799" s="15"/>
      <c r="P2799" s="15"/>
      <c r="Q2799" s="343"/>
      <c r="R2799" s="2"/>
      <c r="S2799" s="2"/>
      <c r="T2799" s="2"/>
      <c r="U2799" s="343"/>
      <c r="V2799" s="343"/>
      <c r="W2799" s="343"/>
      <c r="X2799" s="343"/>
      <c r="Y2799" s="343"/>
      <c r="Z2799" s="343"/>
      <c r="AA2799" s="2"/>
      <c r="AB2799" s="2"/>
      <c r="AC2799" s="2"/>
      <c r="AD2799" s="2"/>
      <c r="AE2799" s="2"/>
      <c r="AF2799" s="2"/>
      <c r="AG2799" s="2"/>
      <c r="AH2799" s="2"/>
      <c r="AI2799" s="2"/>
      <c r="AJ2799" s="2"/>
      <c r="AK2799" s="2"/>
      <c r="AL2799" s="2"/>
    </row>
    <row r="2800" spans="1:38" ht="13.5" thickBot="1" x14ac:dyDescent="0.3">
      <c r="A2800" s="2"/>
      <c r="B2800" s="19"/>
      <c r="C2800" s="19"/>
      <c r="D2800" s="13"/>
      <c r="E2800" s="914" t="str">
        <f>Translations!$B$527</f>
        <v>Parameter</v>
      </c>
      <c r="F2800" s="913"/>
      <c r="G2800" s="30" t="str">
        <f>EUconst_Unit</f>
        <v>Enhet</v>
      </c>
      <c r="H2800" s="320">
        <f>H$3042</f>
        <v>2019</v>
      </c>
      <c r="I2800" s="342">
        <f>I$3042</f>
        <v>2020</v>
      </c>
      <c r="J2800" s="987">
        <f>J$112</f>
        <v>2021</v>
      </c>
      <c r="K2800" s="320">
        <f>K$112</f>
        <v>2022</v>
      </c>
      <c r="L2800" s="320">
        <f>L$112</f>
        <v>2023</v>
      </c>
      <c r="M2800" s="320">
        <f>M$112</f>
        <v>2024</v>
      </c>
      <c r="N2800" s="320">
        <f>N$112</f>
        <v>2025</v>
      </c>
      <c r="O2800" s="15"/>
      <c r="P2800" s="15"/>
      <c r="Q2800" s="2"/>
      <c r="R2800" s="40"/>
      <c r="S2800" s="553" t="s">
        <v>2072</v>
      </c>
      <c r="T2800" s="1044">
        <f t="shared" ref="T2800:Z2800" si="1260">H2800</f>
        <v>2019</v>
      </c>
      <c r="U2800" s="1044">
        <f t="shared" si="1260"/>
        <v>2020</v>
      </c>
      <c r="V2800" s="1044">
        <f t="shared" si="1260"/>
        <v>2021</v>
      </c>
      <c r="W2800" s="1044">
        <f t="shared" si="1260"/>
        <v>2022</v>
      </c>
      <c r="X2800" s="1044">
        <f t="shared" si="1260"/>
        <v>2023</v>
      </c>
      <c r="Y2800" s="1044">
        <f t="shared" si="1260"/>
        <v>2024</v>
      </c>
      <c r="Z2800" s="1044">
        <f t="shared" si="1260"/>
        <v>2025</v>
      </c>
      <c r="AA2800" s="40"/>
      <c r="AB2800" s="2"/>
      <c r="AC2800" s="1044">
        <f t="shared" ref="AC2800:AI2800" si="1261">H$20</f>
        <v>2019</v>
      </c>
      <c r="AD2800" s="1044">
        <f t="shared" si="1261"/>
        <v>2020</v>
      </c>
      <c r="AE2800" s="1044">
        <f t="shared" si="1261"/>
        <v>2021</v>
      </c>
      <c r="AF2800" s="1044">
        <f t="shared" si="1261"/>
        <v>2022</v>
      </c>
      <c r="AG2800" s="1044">
        <f t="shared" si="1261"/>
        <v>2023</v>
      </c>
      <c r="AH2800" s="1044">
        <f t="shared" si="1261"/>
        <v>2024</v>
      </c>
      <c r="AI2800" s="1044">
        <f t="shared" si="1261"/>
        <v>2025</v>
      </c>
      <c r="AJ2800" s="2"/>
      <c r="AK2800" s="2"/>
      <c r="AL2800" s="2"/>
    </row>
    <row r="2801" spans="1:38" ht="13" customHeight="1" thickBot="1" x14ac:dyDescent="0.3">
      <c r="A2801" s="2"/>
      <c r="B2801" s="19"/>
      <c r="C2801" s="19"/>
      <c r="D2801" s="175" t="s">
        <v>8</v>
      </c>
      <c r="E2801" s="915" t="str">
        <f>Translations!$B$538</f>
        <v>Mätbar värme som importeras från anläggningar utanför ETS:</v>
      </c>
      <c r="F2801" s="915"/>
      <c r="G2801" s="43" t="str">
        <f>EUconst_TJpa</f>
        <v>TJ / år</v>
      </c>
      <c r="H2801" s="260"/>
      <c r="I2801" s="670"/>
      <c r="J2801" s="671"/>
      <c r="K2801" s="260"/>
      <c r="L2801" s="260"/>
      <c r="M2801" s="260"/>
      <c r="N2801" s="260"/>
      <c r="O2801" s="15"/>
      <c r="P2801" s="1362"/>
      <c r="Q2801" s="108" t="str">
        <f>EUconst_CNTR_HAL&amp;EUconst_CNTR_nonETSMeasHeat</f>
        <v>HAL_mätbar värme utanför ETS</v>
      </c>
      <c r="R2801" s="2"/>
      <c r="S2801" s="553"/>
      <c r="T2801" s="1551" t="str">
        <f t="shared" ref="T2801:Z2801" si="1262">IF(H2801="","",SUM(H2801)*EUconst_HeatBMvalue)</f>
        <v/>
      </c>
      <c r="U2801" s="1551" t="str">
        <f t="shared" si="1262"/>
        <v/>
      </c>
      <c r="V2801" s="1551" t="str">
        <f t="shared" si="1262"/>
        <v/>
      </c>
      <c r="W2801" s="1551" t="str">
        <f t="shared" si="1262"/>
        <v/>
      </c>
      <c r="X2801" s="1551" t="str">
        <f t="shared" si="1262"/>
        <v/>
      </c>
      <c r="Y2801" s="1551" t="str">
        <f t="shared" si="1262"/>
        <v/>
      </c>
      <c r="Z2801" s="1551" t="str">
        <f t="shared" si="1262"/>
        <v/>
      </c>
      <c r="AA2801" s="2"/>
      <c r="AB2801" s="672" t="s">
        <v>782</v>
      </c>
      <c r="AC2801" s="1755" t="b">
        <f t="shared" ref="AC2801:AI2801" si="1263">IF(CNTR_ExistSubInstEntries,OR($I2731="",H2738&gt;=CNTR_ReportingYear,AC2800&lt;$V2731-1),FALSE)</f>
        <v>0</v>
      </c>
      <c r="AD2801" s="1042" t="b">
        <f t="shared" si="1263"/>
        <v>0</v>
      </c>
      <c r="AE2801" s="1042" t="b">
        <f t="shared" si="1263"/>
        <v>0</v>
      </c>
      <c r="AF2801" s="1042" t="b">
        <f t="shared" si="1263"/>
        <v>0</v>
      </c>
      <c r="AG2801" s="1042" t="b">
        <f t="shared" si="1263"/>
        <v>0</v>
      </c>
      <c r="AH2801" s="1042" t="b">
        <f t="shared" si="1263"/>
        <v>0</v>
      </c>
      <c r="AI2801" s="1043" t="b">
        <f t="shared" si="1263"/>
        <v>0</v>
      </c>
      <c r="AJ2801" s="553" t="s">
        <v>2248</v>
      </c>
      <c r="AK2801" s="663" t="str">
        <f>IF(AND(CNTR_ExistSubInstEntries,COUNTIFS(AC2801:AI2801,FALSE,H2801:N2801,"")&gt;0),EUconst_Error&amp;"BM"&amp;$Q2731,"")</f>
        <v/>
      </c>
      <c r="AL2801" s="2"/>
    </row>
    <row r="2802" spans="1:38" ht="25.5" customHeight="1" x14ac:dyDescent="0.25">
      <c r="A2802" s="2"/>
      <c r="B2802" s="19"/>
      <c r="C2802" s="19"/>
      <c r="D2802" s="175" t="s">
        <v>9</v>
      </c>
      <c r="E2802" s="916" t="str">
        <f>Translations!$B$539</f>
        <v>Konsekvenskontroll mot blad ”E_Energy flows”:</v>
      </c>
      <c r="F2802" s="916"/>
      <c r="G2802" s="549" t="s">
        <v>1113</v>
      </c>
      <c r="H2802" s="247" t="str">
        <f>IF(AND(ISNUMBER(H2801),ISNUMBER(E_EnergyFlows!H$114)), H2801/E_EnergyFlows!H$114*100,"")</f>
        <v/>
      </c>
      <c r="I2802" s="1015" t="str">
        <f>IF(AND(ISNUMBER(I2801),ISNUMBER(E_EnergyFlows!I$114)), I2801/E_EnergyFlows!I$114*100,"")</f>
        <v/>
      </c>
      <c r="J2802" s="1017" t="str">
        <f>IF(AND(ISNUMBER(J2801),ISNUMBER(E_EnergyFlows!J$114)), J2801/E_EnergyFlows!J$114*100,"")</f>
        <v/>
      </c>
      <c r="K2802" s="247" t="str">
        <f>IF(AND(ISNUMBER(K2801),ISNUMBER(E_EnergyFlows!K$114)), K2801/E_EnergyFlows!K$114*100,"")</f>
        <v/>
      </c>
      <c r="L2802" s="247" t="str">
        <f>IF(AND(ISNUMBER(L2801),ISNUMBER(E_EnergyFlows!L$114)), L2801/E_EnergyFlows!L$114*100,"")</f>
        <v/>
      </c>
      <c r="M2802" s="247" t="str">
        <f>IF(AND(ISNUMBER(M2801),ISNUMBER(E_EnergyFlows!M$114)), M2801/E_EnergyFlows!M$114*100,"")</f>
        <v/>
      </c>
      <c r="N2802" s="247" t="str">
        <f>IF(AND(ISNUMBER(N2801),ISNUMBER(E_EnergyFlows!N$114)), N2801/E_EnergyFlows!N$114*100,"")</f>
        <v/>
      </c>
      <c r="O2802" s="15"/>
      <c r="P2802" s="15"/>
      <c r="Q2802" s="152" t="str">
        <f>EUconst_CNTR_HEAT &amp; I2731</f>
        <v>HEAT_</v>
      </c>
      <c r="R2802" s="343"/>
      <c r="S2802" s="2"/>
      <c r="T2802" s="2"/>
      <c r="U2802" s="343"/>
      <c r="V2802" s="343"/>
      <c r="W2802" s="2"/>
      <c r="X2802" s="2"/>
      <c r="Y2802" s="2"/>
      <c r="Z2802" s="2"/>
      <c r="AA2802" s="2"/>
      <c r="AB2802" s="2"/>
      <c r="AC2802" s="2"/>
      <c r="AD2802" s="2"/>
      <c r="AE2802" s="2"/>
      <c r="AF2802" s="2"/>
      <c r="AG2802" s="2"/>
      <c r="AH2802" s="2"/>
      <c r="AI2802" s="2"/>
      <c r="AJ2802" s="2"/>
      <c r="AK2802" s="2"/>
      <c r="AL2802" s="2"/>
    </row>
    <row r="2803" spans="1:38" ht="12.65" customHeight="1" x14ac:dyDescent="0.25">
      <c r="A2803" s="2"/>
      <c r="B2803" s="19"/>
      <c r="C2803" s="19"/>
      <c r="D2803" s="175" t="s">
        <v>10</v>
      </c>
      <c r="E2803" s="1783" t="str">
        <f>Translations!$B$540</f>
        <v>Konsekvenskontroll mot punkt k.i:</v>
      </c>
      <c r="F2803" s="1035"/>
      <c r="G2803" s="919" t="s">
        <v>1113</v>
      </c>
      <c r="H2803" s="246" t="str">
        <f t="shared" ref="H2803:N2803" si="1264">IF(AND(H2924&gt;0,ISNUMBER(H2801)), H2801/H2924*100,"")</f>
        <v/>
      </c>
      <c r="I2803" s="1016" t="str">
        <f t="shared" si="1264"/>
        <v/>
      </c>
      <c r="J2803" s="1018" t="str">
        <f t="shared" si="1264"/>
        <v/>
      </c>
      <c r="K2803" s="246" t="str">
        <f t="shared" si="1264"/>
        <v/>
      </c>
      <c r="L2803" s="246" t="str">
        <f t="shared" si="1264"/>
        <v/>
      </c>
      <c r="M2803" s="246" t="str">
        <f t="shared" si="1264"/>
        <v/>
      </c>
      <c r="N2803" s="246" t="str">
        <f t="shared" si="1264"/>
        <v/>
      </c>
      <c r="O2803" s="15"/>
      <c r="P2803" s="15"/>
      <c r="Q2803" s="2"/>
      <c r="R2803" s="2"/>
      <c r="S2803" s="2"/>
      <c r="T2803" s="2"/>
      <c r="U2803" s="343"/>
      <c r="V2803" s="343"/>
      <c r="W2803" s="2"/>
      <c r="X2803" s="2"/>
      <c r="Y2803" s="2"/>
      <c r="Z2803" s="2"/>
      <c r="AA2803" s="2"/>
      <c r="AB2803" s="2"/>
      <c r="AC2803" s="2"/>
      <c r="AD2803" s="2"/>
      <c r="AE2803" s="2"/>
      <c r="AF2803" s="2"/>
      <c r="AG2803" s="2"/>
      <c r="AH2803" s="2"/>
      <c r="AI2803" s="2"/>
      <c r="AJ2803" s="2"/>
      <c r="AK2803" s="2"/>
      <c r="AL2803" s="2"/>
    </row>
    <row r="2804" spans="1:38" ht="5.15" customHeight="1" x14ac:dyDescent="0.25">
      <c r="A2804" s="2"/>
      <c r="B2804" s="19"/>
      <c r="C2804" s="19"/>
      <c r="D2804" s="19"/>
      <c r="E2804" s="19"/>
      <c r="F2804" s="19"/>
      <c r="G2804" s="19"/>
      <c r="H2804" s="19"/>
      <c r="I2804" s="99"/>
      <c r="J2804" s="19"/>
      <c r="K2804" s="19"/>
      <c r="L2804" s="19"/>
      <c r="M2804" s="19"/>
      <c r="N2804" s="19"/>
      <c r="O2804" s="15"/>
      <c r="P2804" s="15"/>
      <c r="Q2804" s="130"/>
      <c r="R2804" s="2"/>
      <c r="S2804" s="2"/>
      <c r="T2804" s="2"/>
      <c r="U2804" s="343"/>
      <c r="V2804" s="343"/>
      <c r="W2804" s="2"/>
      <c r="X2804" s="2"/>
      <c r="Y2804" s="2"/>
      <c r="Z2804" s="2"/>
      <c r="AA2804" s="2"/>
      <c r="AB2804" s="2"/>
      <c r="AC2804" s="2"/>
      <c r="AD2804" s="2"/>
      <c r="AE2804" s="2"/>
      <c r="AF2804" s="2"/>
      <c r="AG2804" s="2"/>
      <c r="AH2804" s="2"/>
      <c r="AI2804" s="2"/>
      <c r="AJ2804" s="2"/>
      <c r="AK2804" s="2"/>
      <c r="AL2804" s="2"/>
    </row>
    <row r="2805" spans="1:38" ht="25.5" customHeight="1" thickBot="1" x14ac:dyDescent="0.3">
      <c r="A2805" s="2"/>
      <c r="B2805" s="178"/>
      <c r="C2805" s="178"/>
      <c r="D2805" s="15"/>
      <c r="E2805" s="2061" t="str">
        <f>Translations!$B$1479</f>
        <v>Baserat på uppgifterna ovan bestäms ett genomsnittligt årligt värde. Tilldelningen kommer endast att ändras om det relativa tröskelvärdet (15 % jämfört med värdet från de nationella genomförandeåtgärderna) och det absoluta tröskelvärdet (ändring leder till mer än 100 utsläppsrätter) överskrids, enligt artikel 6.4 i verksamhetsändringsförordningen.</v>
      </c>
      <c r="F2805" s="1963"/>
      <c r="G2805" s="1963"/>
      <c r="H2805" s="1963"/>
      <c r="I2805" s="1963"/>
      <c r="J2805" s="1963"/>
      <c r="K2805" s="1963"/>
      <c r="L2805" s="1963"/>
      <c r="M2805" s="1963"/>
      <c r="N2805" s="1963"/>
      <c r="O2805" s="15"/>
      <c r="P2805" s="15"/>
      <c r="Q2805" s="343"/>
      <c r="R2805" s="2"/>
      <c r="S2805" s="343"/>
      <c r="T2805" s="343"/>
      <c r="U2805" s="343"/>
      <c r="V2805" s="2"/>
      <c r="W2805" s="2"/>
      <c r="X2805" s="2"/>
      <c r="Y2805" s="2"/>
      <c r="Z2805" s="2"/>
      <c r="AA2805" s="2"/>
      <c r="AB2805" s="2"/>
      <c r="AC2805" s="2"/>
      <c r="AD2805" s="2"/>
      <c r="AE2805" s="2"/>
      <c r="AF2805" s="2"/>
      <c r="AG2805" s="2"/>
      <c r="AH2805" s="2"/>
      <c r="AI2805" s="2"/>
      <c r="AJ2805" s="2"/>
      <c r="AK2805" s="2"/>
      <c r="AL2805" s="2"/>
    </row>
    <row r="2806" spans="1:38" ht="5.15" customHeight="1" thickBot="1" x14ac:dyDescent="0.3">
      <c r="A2806" s="2"/>
      <c r="B2806" s="178"/>
      <c r="C2806" s="178"/>
      <c r="D2806" s="1238"/>
      <c r="E2806" s="1239"/>
      <c r="F2806" s="1240"/>
      <c r="G2806" s="1240"/>
      <c r="H2806" s="1240"/>
      <c r="I2806" s="1240"/>
      <c r="J2806" s="1240"/>
      <c r="K2806" s="1240"/>
      <c r="L2806" s="1240"/>
      <c r="M2806" s="1240"/>
      <c r="N2806" s="1241"/>
      <c r="O2806" s="15"/>
      <c r="P2806" s="15"/>
      <c r="Q2806" s="343"/>
      <c r="R2806" s="2"/>
      <c r="S2806" s="343"/>
      <c r="T2806" s="343"/>
      <c r="U2806" s="343"/>
      <c r="V2806" s="2"/>
      <c r="W2806" s="2"/>
      <c r="X2806" s="2"/>
      <c r="Y2806" s="2"/>
      <c r="Z2806" s="2"/>
      <c r="AA2806" s="2"/>
      <c r="AB2806" s="2"/>
      <c r="AC2806" s="2"/>
      <c r="AD2806" s="2"/>
      <c r="AE2806" s="2"/>
      <c r="AF2806" s="2"/>
      <c r="AG2806" s="2"/>
      <c r="AH2806" s="2"/>
      <c r="AI2806" s="2"/>
      <c r="AJ2806" s="2"/>
      <c r="AK2806" s="2"/>
      <c r="AL2806" s="2"/>
    </row>
    <row r="2807" spans="1:38" ht="12.75" customHeight="1" x14ac:dyDescent="0.25">
      <c r="A2807" s="2"/>
      <c r="B2807" s="178"/>
      <c r="C2807" s="178"/>
      <c r="D2807" s="1290" t="s">
        <v>2192</v>
      </c>
      <c r="E2807" s="1243" t="str">
        <f>Translations!$B$1483</f>
        <v>Justeringar: Värme från icke-ETS</v>
      </c>
      <c r="F2807" s="1244"/>
      <c r="G2807" s="1244"/>
      <c r="H2807" s="1228" t="str">
        <f>EUconst_Unit</f>
        <v>Enhet</v>
      </c>
      <c r="I2807" s="1229" t="str">
        <f>Translations!$B$1481</f>
        <v>Värde (NIMs)</v>
      </c>
      <c r="J2807" s="1268">
        <f>J$3042</f>
        <v>2021</v>
      </c>
      <c r="K2807" s="1230">
        <f>K$3042</f>
        <v>2022</v>
      </c>
      <c r="L2807" s="1230">
        <f>L$3042</f>
        <v>2023</v>
      </c>
      <c r="M2807" s="1230">
        <f>M$3042</f>
        <v>2024</v>
      </c>
      <c r="N2807" s="1258">
        <f>N$3042</f>
        <v>2025</v>
      </c>
      <c r="O2807" s="15"/>
      <c r="P2807" s="15"/>
      <c r="Q2807" s="343"/>
      <c r="R2807" s="2"/>
      <c r="S2807" s="2"/>
      <c r="T2807" s="2"/>
      <c r="U2807" s="772"/>
      <c r="V2807" s="1077">
        <f>J2807</f>
        <v>2021</v>
      </c>
      <c r="W2807" s="1077">
        <f>K2807</f>
        <v>2022</v>
      </c>
      <c r="X2807" s="1077">
        <f>L2807</f>
        <v>2023</v>
      </c>
      <c r="Y2807" s="1077">
        <f>M2807</f>
        <v>2024</v>
      </c>
      <c r="Z2807" s="1078">
        <f>N2807</f>
        <v>2025</v>
      </c>
      <c r="AA2807" s="2"/>
      <c r="AB2807" s="2"/>
      <c r="AC2807" s="2"/>
      <c r="AD2807" s="2"/>
      <c r="AE2807" s="2"/>
      <c r="AF2807" s="2"/>
      <c r="AG2807" s="2"/>
      <c r="AH2807" s="2"/>
      <c r="AI2807" s="2"/>
      <c r="AJ2807" s="2"/>
      <c r="AK2807" s="2"/>
      <c r="AL2807" s="2"/>
    </row>
    <row r="2808" spans="1:38" ht="12.75" customHeight="1" x14ac:dyDescent="0.25">
      <c r="A2808" s="2"/>
      <c r="B2808" s="178"/>
      <c r="C2808" s="178"/>
      <c r="D2808" s="1246" t="s">
        <v>8</v>
      </c>
      <c r="E2808" s="1231" t="str">
        <f>Translations!$B$1482</f>
        <v>Genomsnittligt årligt värde</v>
      </c>
      <c r="F2808" s="1231"/>
      <c r="G2808" s="1231"/>
      <c r="H2808" s="1232" t="str">
        <f>EUconst_tCO2</f>
        <v>t CO2</v>
      </c>
      <c r="I2808" s="990" t="str">
        <f>INDEX('B+C_SubInstallations'!$J:$J,MATCH(Q2808,'B+C_SubInstallations'!$U:$U,0))</f>
        <v/>
      </c>
      <c r="J2808" s="1215" t="str">
        <f>IF(AND(V2808&gt;=3,CNTR_ReportingYear&gt;J2807-1),AVERAGE(SUM(T2801),SUM(U2801)),"")</f>
        <v/>
      </c>
      <c r="K2808" s="1216" t="str">
        <f>IF(AND(W2808&gt;=3,CNTR_ReportingYear&gt;K2807-1),AVERAGE(SUM(U2801),SUM(V2801)),"")</f>
        <v/>
      </c>
      <c r="L2808" s="1216" t="str">
        <f>IF(AND(X2808&gt;=3,CNTR_ReportingYear&gt;L2807-1),AVERAGE(SUM(V2801),SUM(W2801)),"")</f>
        <v/>
      </c>
      <c r="M2808" s="1216" t="str">
        <f>IF(AND(Y2808&gt;=3,CNTR_ReportingYear&gt;M2807-1),AVERAGE(SUM(W2801),SUM(X2801)),"")</f>
        <v/>
      </c>
      <c r="N2808" s="1227" t="str">
        <f>IF(AND(Z2808&gt;=3,CNTR_ReportingYear&gt;N2807-1),AVERAGE(SUM(X2801),SUM(Y2801)),"")</f>
        <v/>
      </c>
      <c r="O2808" s="15"/>
      <c r="P2808" s="15"/>
      <c r="Q2808" s="1217" t="str">
        <f>EUconst_CNTR_HEATInitial &amp; I2731</f>
        <v>HEATIni_</v>
      </c>
      <c r="R2808" s="2"/>
      <c r="S2808" s="2"/>
      <c r="T2808" s="2"/>
      <c r="U2808" s="1086" t="s">
        <v>1850</v>
      </c>
      <c r="V2808" s="663">
        <f>V2753</f>
        <v>0</v>
      </c>
      <c r="W2808" s="663">
        <f>W2753</f>
        <v>0</v>
      </c>
      <c r="X2808" s="663">
        <f>X2753</f>
        <v>0</v>
      </c>
      <c r="Y2808" s="663">
        <f>Y2753</f>
        <v>0</v>
      </c>
      <c r="Z2808" s="1080">
        <f>Z2753</f>
        <v>0</v>
      </c>
      <c r="AA2808" s="2"/>
      <c r="AB2808" s="2"/>
      <c r="AC2808" s="2"/>
      <c r="AD2808" s="2"/>
      <c r="AE2808" s="2"/>
      <c r="AF2808" s="2"/>
      <c r="AG2808" s="2"/>
      <c r="AH2808" s="2"/>
      <c r="AI2808" s="2"/>
      <c r="AJ2808" s="2"/>
      <c r="AK2808" s="2"/>
      <c r="AL2808" s="2"/>
    </row>
    <row r="2809" spans="1:38" ht="12.75" hidden="1" customHeight="1" x14ac:dyDescent="0.25">
      <c r="A2809" s="343" t="s">
        <v>346</v>
      </c>
      <c r="B2809" s="178"/>
      <c r="C2809" s="178"/>
      <c r="D2809" s="1246"/>
      <c r="E2809" s="1231" t="s">
        <v>1980</v>
      </c>
      <c r="F2809" s="1231"/>
      <c r="G2809" s="1231"/>
      <c r="H2809" s="1233"/>
      <c r="I2809" s="1235"/>
      <c r="J2809" s="1013" t="str">
        <f>IF(J2808="","",IF($I2811=0,IF(J2808=0,0%,100%),J2808/$I2811-1))</f>
        <v/>
      </c>
      <c r="K2809" s="938" t="str">
        <f>IF(K2808="","",IF($I2811=0,IF(K2808=0,0%,100%),K2808/$I2811-1))</f>
        <v/>
      </c>
      <c r="L2809" s="938" t="str">
        <f>IF(L2808="","",IF($I2811=0,IF(L2808=0,0%,100%),L2808/$I2811-1))</f>
        <v/>
      </c>
      <c r="M2809" s="938" t="str">
        <f>IF(M2808="","",IF($I2811=0,IF(M2808=0,0%,100%),M2808/$I2811-1))</f>
        <v/>
      </c>
      <c r="N2809" s="1223" t="str">
        <f>IF(N2808="","",IF($I2811=0,IF(N2808=0,0%,100%),N2808/$I2811-1))</f>
        <v/>
      </c>
      <c r="O2809" s="15"/>
      <c r="P2809" s="15"/>
      <c r="Q2809" s="165" t="str">
        <f>EUconst_CNTR_RelThreshold &amp; Q2811</f>
        <v>RelThresh_HEATprelim_</v>
      </c>
      <c r="R2809" s="2"/>
      <c r="S2809" s="2"/>
      <c r="T2809" s="2"/>
      <c r="U2809" s="1086" t="s">
        <v>1855</v>
      </c>
      <c r="V2809" s="603" t="str">
        <f>IF(J2808="","",ABS(J2809)&gt;15%)</f>
        <v/>
      </c>
      <c r="W2809" s="603" t="str">
        <f>IF(K2808="","",ABS(K2809)&gt;15%)</f>
        <v/>
      </c>
      <c r="X2809" s="603" t="str">
        <f>IF(L2808="","",ABS(L2809)&gt;15%)</f>
        <v/>
      </c>
      <c r="Y2809" s="603" t="str">
        <f>IF(M2808="","",ABS(M2809)&gt;15%)</f>
        <v/>
      </c>
      <c r="Z2809" s="1756" t="str">
        <f>IF(N2808="","",ABS(N2809)&gt;15%)</f>
        <v/>
      </c>
      <c r="AA2809" s="2"/>
      <c r="AB2809" s="2"/>
      <c r="AC2809" s="2"/>
      <c r="AD2809" s="2"/>
      <c r="AE2809" s="2"/>
      <c r="AF2809" s="2"/>
      <c r="AG2809" s="2"/>
      <c r="AH2809" s="2"/>
      <c r="AI2809" s="2"/>
      <c r="AJ2809" s="2"/>
      <c r="AK2809" s="2"/>
      <c r="AL2809" s="2"/>
    </row>
    <row r="2810" spans="1:38" ht="12.75" customHeight="1" x14ac:dyDescent="0.25">
      <c r="A2810" s="343"/>
      <c r="B2810" s="178"/>
      <c r="C2810" s="178"/>
      <c r="D2810" s="1246" t="s">
        <v>9</v>
      </c>
      <c r="E2810" s="1231" t="str">
        <f>Translations!$B$1474</f>
        <v>Preliminär justering (om relativa tröskelvärden överskrids)</v>
      </c>
      <c r="F2810" s="1231"/>
      <c r="G2810" s="1231"/>
      <c r="H2810" s="1233"/>
      <c r="I2810" s="1235"/>
      <c r="J2810" s="992" t="str">
        <f>IF(J2808="","",IF(V2809=FALSE,0%,J2809))</f>
        <v/>
      </c>
      <c r="K2810" s="937" t="str">
        <f>IF(K2808="","",IF(W2809=FALSE,0%,K2809))</f>
        <v/>
      </c>
      <c r="L2810" s="937" t="str">
        <f>IF(L2808="","",IF(X2809=FALSE,0%,L2809))</f>
        <v/>
      </c>
      <c r="M2810" s="937" t="str">
        <f>IF(M2808="","",IF(Y2809=FALSE,0%,M2809))</f>
        <v/>
      </c>
      <c r="N2810" s="1220" t="str">
        <f>IF(N2808="","",IF(Z2809=FALSE,0%,N2809))</f>
        <v/>
      </c>
      <c r="O2810" s="15"/>
      <c r="P2810" s="15"/>
      <c r="Q2810" s="343"/>
      <c r="R2810" s="2"/>
      <c r="S2810" s="2"/>
      <c r="T2810" s="2"/>
      <c r="U2810" s="584"/>
      <c r="V2810" s="2"/>
      <c r="W2810" s="2"/>
      <c r="X2810" s="2"/>
      <c r="Y2810" s="2"/>
      <c r="Z2810" s="228"/>
      <c r="AA2810" s="2"/>
      <c r="AB2810" s="2"/>
      <c r="AC2810" s="2"/>
      <c r="AD2810" s="2"/>
      <c r="AE2810" s="2"/>
      <c r="AF2810" s="2"/>
      <c r="AG2810" s="2"/>
      <c r="AH2810" s="2"/>
      <c r="AI2810" s="2"/>
      <c r="AJ2810" s="2"/>
      <c r="AK2810" s="2"/>
      <c r="AL2810" s="343"/>
    </row>
    <row r="2811" spans="1:38" ht="12.75" hidden="1" customHeight="1" x14ac:dyDescent="0.25">
      <c r="A2811" s="343" t="s">
        <v>346</v>
      </c>
      <c r="B2811" s="178"/>
      <c r="C2811" s="178"/>
      <c r="D2811" s="1246"/>
      <c r="E2811" s="1231" t="s">
        <v>1889</v>
      </c>
      <c r="F2811" s="1231"/>
      <c r="G2811" s="1231"/>
      <c r="H2811" s="1232" t="str">
        <f>H2808</f>
        <v>t CO2</v>
      </c>
      <c r="I2811" s="990" t="str">
        <f>IF($I2731="","",IF(AB2731=FALSE,EUconst_NA,IF(V2731&gt;($J$3042-3),SUM(INDEX(H2801:N2801,MATCH(V2731,H2800:N2800,0))*EUconst_HeatBMvalue),SUM(I2808))))</f>
        <v/>
      </c>
      <c r="J2811" s="993" t="str">
        <f>IF($I2731="","",IF(V2808&lt;2,SUM(V2801),IF(V2808&lt;3,SUM(U2801),IF(V2811="",I2811,V2811))))</f>
        <v/>
      </c>
      <c r="K2811" s="920" t="str">
        <f>IF($I2731="","",IF(W2808&lt;2,SUM(W2801),IF(W2808&lt;3,SUM(V2801),IF(W2811="",J2811,W2811))))</f>
        <v/>
      </c>
      <c r="L2811" s="920" t="str">
        <f>IF($I2731="","",IF(X2808&lt;2,SUM(X2801),IF(X2808&lt;3,SUM(W2801),IF(X2811="",K2811,X2811))))</f>
        <v/>
      </c>
      <c r="M2811" s="920" t="str">
        <f>IF($I2731="","",IF(Y2808&lt;2,SUM(Y2801),IF(Y2808&lt;3,SUM(X2801),IF(Y2811="",L2811,Y2811))))</f>
        <v/>
      </c>
      <c r="N2811" s="1218" t="str">
        <f>IF($I2731="","",IF(Z2808&lt;2,SUM(Z2801),IF(Z2808&lt;3,SUM(Y2801),IF(Z2811="",M2811,Z2811))))</f>
        <v/>
      </c>
      <c r="O2811" s="15"/>
      <c r="P2811" s="15"/>
      <c r="Q2811" s="165" t="str">
        <f>EUconst_CNTR_HEATprelim &amp; I2731</f>
        <v>HEATprelim_</v>
      </c>
      <c r="R2811" s="2"/>
      <c r="S2811" s="2"/>
      <c r="T2811" s="2"/>
      <c r="U2811" s="1086" t="s">
        <v>1898</v>
      </c>
      <c r="V2811" s="1754" t="str">
        <f>IF(J2808="","",IF(CNTR_ReportingYear&lt;J2807,I2810,IF($I2811=0,J2808,$I2811*(1+J2810))))</f>
        <v/>
      </c>
      <c r="W2811" s="1754" t="str">
        <f>IF(K2808="","",IF(CNTR_ReportingYear&lt;K2807,J2810,IF($I2811=0,K2808,$I2811*(1+K2810))))</f>
        <v/>
      </c>
      <c r="X2811" s="1754" t="str">
        <f>IF(L2808="","",IF(CNTR_ReportingYear&lt;L2807,K2810,IF($I2811=0,L2808,$I2811*(1+L2810))))</f>
        <v/>
      </c>
      <c r="Y2811" s="1754" t="str">
        <f>IF(M2808="","",IF(CNTR_ReportingYear&lt;M2807,L2810,IF($I2811=0,M2808,$I2811*(1+M2810))))</f>
        <v/>
      </c>
      <c r="Z2811" s="1759" t="str">
        <f>IF(N2808="","",IF(CNTR_ReportingYear&lt;N2807,M2810,IF($I2811=0,N2808,$I2811*(1+N2810))))</f>
        <v/>
      </c>
      <c r="AA2811" s="2"/>
      <c r="AB2811" s="2"/>
      <c r="AC2811" s="2"/>
      <c r="AD2811" s="2"/>
      <c r="AE2811" s="2"/>
      <c r="AF2811" s="2"/>
      <c r="AG2811" s="2"/>
      <c r="AH2811" s="2"/>
      <c r="AI2811" s="2"/>
      <c r="AJ2811" s="2"/>
      <c r="AK2811" s="2"/>
      <c r="AL2811" s="343"/>
    </row>
    <row r="2812" spans="1:38" ht="5.15" customHeight="1" x14ac:dyDescent="0.25">
      <c r="A2812" s="343"/>
      <c r="B2812" s="178"/>
      <c r="C2812" s="178"/>
      <c r="D2812" s="1246"/>
      <c r="E2812" s="1244"/>
      <c r="F2812" s="1244"/>
      <c r="G2812" s="1244"/>
      <c r="H2812" s="1244"/>
      <c r="I2812" s="1244"/>
      <c r="J2812" s="1236"/>
      <c r="K2812" s="1236"/>
      <c r="L2812" s="1236"/>
      <c r="M2812" s="1236"/>
      <c r="N2812" s="1247"/>
      <c r="O2812" s="15"/>
      <c r="P2812" s="15"/>
      <c r="Q2812" s="343"/>
      <c r="R2812" s="2"/>
      <c r="S2812" s="2"/>
      <c r="T2812" s="2"/>
      <c r="U2812" s="1086"/>
      <c r="V2812" s="343"/>
      <c r="W2812" s="2"/>
      <c r="X2812" s="2"/>
      <c r="Y2812" s="2"/>
      <c r="Z2812" s="228"/>
      <c r="AA2812" s="2"/>
      <c r="AB2812" s="2"/>
      <c r="AC2812" s="2"/>
      <c r="AD2812" s="2"/>
      <c r="AE2812" s="2"/>
      <c r="AF2812" s="2"/>
      <c r="AG2812" s="2"/>
      <c r="AH2812" s="2"/>
      <c r="AI2812" s="2"/>
      <c r="AJ2812" s="2"/>
      <c r="AK2812" s="2"/>
      <c r="AL2812" s="343"/>
    </row>
    <row r="2813" spans="1:38" ht="12.75" customHeight="1" x14ac:dyDescent="0.25">
      <c r="A2813" s="343"/>
      <c r="B2813" s="178"/>
      <c r="C2813" s="178"/>
      <c r="D2813" s="1246"/>
      <c r="E2813" s="1234" t="str">
        <f>Translations!$B$1475</f>
        <v>Faktisk justering (grund för följande år)</v>
      </c>
      <c r="F2813" s="1234"/>
      <c r="G2813" s="1234"/>
      <c r="H2813" s="1234"/>
      <c r="I2813" s="1234"/>
      <c r="J2813" s="1268">
        <f>J$3042</f>
        <v>2021</v>
      </c>
      <c r="K2813" s="1230">
        <f>K$3042</f>
        <v>2022</v>
      </c>
      <c r="L2813" s="1230">
        <f>L$3042</f>
        <v>2023</v>
      </c>
      <c r="M2813" s="1230">
        <f>M$3042</f>
        <v>2024</v>
      </c>
      <c r="N2813" s="1258">
        <f>N$3042</f>
        <v>2025</v>
      </c>
      <c r="O2813" s="15"/>
      <c r="P2813" s="15"/>
      <c r="Q2813" s="343"/>
      <c r="R2813" s="2"/>
      <c r="S2813" s="2"/>
      <c r="T2813" s="2"/>
      <c r="U2813" s="584"/>
      <c r="V2813" s="2"/>
      <c r="W2813" s="2"/>
      <c r="X2813" s="2"/>
      <c r="Y2813" s="2"/>
      <c r="Z2813" s="228"/>
      <c r="AA2813" s="2"/>
      <c r="AB2813" s="2"/>
      <c r="AC2813" s="2"/>
      <c r="AD2813" s="2"/>
      <c r="AE2813" s="2"/>
      <c r="AF2813" s="2"/>
      <c r="AG2813" s="2"/>
      <c r="AH2813" s="2"/>
      <c r="AI2813" s="2"/>
      <c r="AJ2813" s="2"/>
      <c r="AK2813" s="2"/>
      <c r="AL2813" s="343"/>
    </row>
    <row r="2814" spans="1:38" ht="12.75" customHeight="1" x14ac:dyDescent="0.25">
      <c r="A2814" s="343"/>
      <c r="B2814" s="178"/>
      <c r="C2814" s="178"/>
      <c r="D2814" s="1246" t="s">
        <v>10</v>
      </c>
      <c r="E2814" s="1231" t="str">
        <f>Translations!$B$1476</f>
        <v>&gt;= 100 utsläppsrätter kriterium uppnått?</v>
      </c>
      <c r="F2814" s="1231"/>
      <c r="G2814" s="1231"/>
      <c r="H2814" s="1231"/>
      <c r="I2814" s="1231"/>
      <c r="J2814" s="994" t="str">
        <f>IF($I2731="","",INDEX(K_Summary!J:J,MATCH($Q2814,K_Summary!$P:$P,0)))</f>
        <v/>
      </c>
      <c r="K2814" s="912" t="str">
        <f>IF($I2731="","",INDEX(K_Summary!K:K,MATCH($Q2814,K_Summary!$P:$P,0)))</f>
        <v/>
      </c>
      <c r="L2814" s="912" t="str">
        <f>IF($I2731="","",INDEX(K_Summary!L:L,MATCH($Q2814,K_Summary!$P:$P,0)))</f>
        <v/>
      </c>
      <c r="M2814" s="912" t="str">
        <f>IF($I2731="","",INDEX(K_Summary!M:M,MATCH($Q2814,K_Summary!$P:$P,0)))</f>
        <v/>
      </c>
      <c r="N2814" s="1221" t="str">
        <f>IF($I2731="","",INDEX(K_Summary!N:N,MATCH($Q2814,K_Summary!$P:$P,0)))</f>
        <v/>
      </c>
      <c r="O2814" s="15"/>
      <c r="P2814" s="15"/>
      <c r="Q2814" s="165" t="str">
        <f>EUconst_CNTR_100EUA_HEAT&amp;I2731</f>
        <v>EUA100HEAT_</v>
      </c>
      <c r="R2814" s="2"/>
      <c r="S2814" s="2"/>
      <c r="T2814" s="2"/>
      <c r="U2814" s="584"/>
      <c r="V2814" s="2"/>
      <c r="W2814" s="2"/>
      <c r="X2814" s="2"/>
      <c r="Y2814" s="2"/>
      <c r="Z2814" s="228"/>
      <c r="AA2814" s="2"/>
      <c r="AB2814" s="2"/>
      <c r="AC2814" s="2"/>
      <c r="AD2814" s="2"/>
      <c r="AE2814" s="2"/>
      <c r="AF2814" s="2"/>
      <c r="AG2814" s="2"/>
      <c r="AH2814" s="2"/>
      <c r="AI2814" s="2"/>
      <c r="AJ2814" s="2"/>
      <c r="AK2814" s="2"/>
      <c r="AL2814" s="343"/>
    </row>
    <row r="2815" spans="1:38" ht="5.15" customHeight="1" thickBot="1" x14ac:dyDescent="0.3">
      <c r="A2815" s="343"/>
      <c r="B2815" s="178"/>
      <c r="C2815" s="178"/>
      <c r="D2815" s="1246"/>
      <c r="E2815" s="1244"/>
      <c r="F2815" s="1244"/>
      <c r="G2815" s="1244"/>
      <c r="H2815" s="1244"/>
      <c r="I2815" s="1244"/>
      <c r="J2815" s="1244"/>
      <c r="K2815" s="1244"/>
      <c r="L2815" s="1244"/>
      <c r="M2815" s="1244"/>
      <c r="N2815" s="1248"/>
      <c r="O2815" s="15"/>
      <c r="P2815" s="15"/>
      <c r="Q2815" s="343"/>
      <c r="R2815" s="2"/>
      <c r="S2815" s="2"/>
      <c r="T2815" s="2"/>
      <c r="U2815" s="1086"/>
      <c r="V2815" s="343"/>
      <c r="W2815" s="2"/>
      <c r="X2815" s="2"/>
      <c r="Y2815" s="2"/>
      <c r="Z2815" s="228"/>
      <c r="AA2815" s="2"/>
      <c r="AB2815" s="2"/>
      <c r="AC2815" s="2"/>
      <c r="AD2815" s="2"/>
      <c r="AE2815" s="2"/>
      <c r="AF2815" s="2"/>
      <c r="AG2815" s="2"/>
      <c r="AH2815" s="2"/>
      <c r="AI2815" s="2"/>
      <c r="AJ2815" s="2"/>
      <c r="AK2815" s="2"/>
      <c r="AL2815" s="343"/>
    </row>
    <row r="2816" spans="1:38" ht="12.75" customHeight="1" thickBot="1" x14ac:dyDescent="0.3">
      <c r="A2816" s="2"/>
      <c r="B2816" s="178"/>
      <c r="C2816" s="178"/>
      <c r="D2816" s="1246" t="s">
        <v>23</v>
      </c>
      <c r="E2816" s="1231" t="str">
        <f>Translations!$B$1477</f>
        <v>Faktisk justering (om alla tröskelvärden överskrids)</v>
      </c>
      <c r="F2816" s="1231"/>
      <c r="G2816" s="1231"/>
      <c r="H2816" s="1233"/>
      <c r="I2816" s="1237"/>
      <c r="J2816" s="1099" t="str">
        <f>IF(J2814="","",IF(OR(J2814,V2808&lt;1),J2810,I2816))</f>
        <v/>
      </c>
      <c r="K2816" s="1100" t="str">
        <f>IF(K2814="","",IF(OR(K2814,W2808&lt;1),K2810,J2816))</f>
        <v/>
      </c>
      <c r="L2816" s="1100" t="str">
        <f>IF(L2814="","",IF(OR(L2814,X2808&lt;1),L2810,K2816))</f>
        <v/>
      </c>
      <c r="M2816" s="1100" t="str">
        <f>IF(M2814="","",IF(OR(M2814,Y2808&lt;1),M2810,L2816))</f>
        <v/>
      </c>
      <c r="N2816" s="1101" t="str">
        <f>IF(N2814="","",IF(OR(N2814,Z2808&lt;1),N2810,M2816))</f>
        <v/>
      </c>
      <c r="O2816" s="15"/>
      <c r="P2816" s="15"/>
      <c r="Q2816" s="343"/>
      <c r="R2816" s="2"/>
      <c r="S2816" s="2"/>
      <c r="T2816" s="2"/>
      <c r="U2816" s="1086" t="s">
        <v>1858</v>
      </c>
      <c r="V2816" s="1068">
        <f>J2813</f>
        <v>2021</v>
      </c>
      <c r="W2816" s="1068">
        <f>K2813</f>
        <v>2022</v>
      </c>
      <c r="X2816" s="1068">
        <f>L2813</f>
        <v>2023</v>
      </c>
      <c r="Y2816" s="1068">
        <f>M2813</f>
        <v>2024</v>
      </c>
      <c r="Z2816" s="1087">
        <f>N2813</f>
        <v>2025</v>
      </c>
      <c r="AA2816" s="2"/>
      <c r="AB2816" s="2"/>
      <c r="AC2816" s="2"/>
      <c r="AD2816" s="2"/>
      <c r="AE2816" s="2"/>
      <c r="AF2816" s="2"/>
      <c r="AG2816" s="2"/>
      <c r="AH2816" s="2"/>
      <c r="AI2816" s="2"/>
      <c r="AJ2816" s="2"/>
      <c r="AK2816" s="2"/>
      <c r="AL2816" s="343"/>
    </row>
    <row r="2817" spans="1:38" ht="12.75" customHeight="1" thickBot="1" x14ac:dyDescent="0.3">
      <c r="A2817" s="343"/>
      <c r="B2817" s="178"/>
      <c r="C2817" s="178"/>
      <c r="D2817" s="1246" t="s">
        <v>859</v>
      </c>
      <c r="E2817" s="1231" t="str">
        <f>Translations!$B$1478</f>
        <v>Faktiskt värde</v>
      </c>
      <c r="F2817" s="1231"/>
      <c r="G2817" s="1231"/>
      <c r="H2817" s="1232" t="str">
        <f>H2808</f>
        <v>t CO2</v>
      </c>
      <c r="I2817" s="990" t="str">
        <f>I2811</f>
        <v/>
      </c>
      <c r="J2817" s="1072" t="str">
        <f>IF($I2731="","",IF(OR($I2817=0,$I2817=EUconst_NA,J2816=""),IF(OR(J2814=TRUE,J2813&lt;=$V2731),J2811,SUM(I2817)),$I2817*(1+SUM(J2816))))</f>
        <v/>
      </c>
      <c r="K2817" s="1073" t="str">
        <f>IF($I2731="","",IF(OR($I2817=0,$I2817=EUconst_NA,K2816=""),IF(OR(K2814=TRUE,K2813&lt;=$V2731),K2811,SUM(J2817)),$I2817*(1+SUM(K2816))))</f>
        <v/>
      </c>
      <c r="L2817" s="1073" t="str">
        <f>IF($I2731="","",IF(OR($I2817=0,$I2817=EUconst_NA,L2816=""),IF(OR(L2814=TRUE,L2813&lt;=$V2731),L2811,SUM(K2817)),$I2817*(1+SUM(L2816))))</f>
        <v/>
      </c>
      <c r="M2817" s="1073" t="str">
        <f>IF($I2731="","",IF(OR($I2817=0,$I2817=EUconst_NA,M2816=""),IF(OR(M2814=TRUE,M2813&lt;=$V2731),M2811,SUM(L2817)),$I2817*(1+SUM(M2816))))</f>
        <v/>
      </c>
      <c r="N2817" s="1074" t="str">
        <f>IF($I2731="","",IF(OR($I2817=0,$I2817=EUconst_NA,N2816=""),IF(OR(N2814=TRUE,N2813&lt;=$V2731),N2811,SUM(M2817)),$I2817*(1+SUM(N2816))))</f>
        <v/>
      </c>
      <c r="O2817" s="15"/>
      <c r="P2817" s="15"/>
      <c r="Q2817" s="165" t="str">
        <f>EUconst_CNTR_HEATfinal &amp; I2731</f>
        <v>HEATfinal_</v>
      </c>
      <c r="R2817" s="2"/>
      <c r="S2817" s="2"/>
      <c r="T2817" s="2"/>
      <c r="U2817" s="1765" t="b">
        <v>0</v>
      </c>
      <c r="V2817" s="1757" t="str">
        <f>IF(V2739,IF(J2814=TRUE,V2809,U2817),"")</f>
        <v/>
      </c>
      <c r="W2817" s="1757" t="str">
        <f>IF(W2739,IF(K2814=TRUE,W2809,V2817),"")</f>
        <v/>
      </c>
      <c r="X2817" s="1757" t="str">
        <f>IF(X2739,IF(L2814=TRUE,X2809,W2817),"")</f>
        <v/>
      </c>
      <c r="Y2817" s="1757" t="str">
        <f>IF(Y2739,IF(M2814=TRUE,Y2809,X2817),"")</f>
        <v/>
      </c>
      <c r="Z2817" s="1758" t="str">
        <f>IF(Z2739,IF(N2814=TRUE,Z2809,Y2817),"")</f>
        <v/>
      </c>
      <c r="AA2817" s="2"/>
      <c r="AB2817" s="2"/>
      <c r="AC2817" s="2"/>
      <c r="AD2817" s="2"/>
      <c r="AE2817" s="2"/>
      <c r="AF2817" s="2"/>
      <c r="AG2817" s="2"/>
      <c r="AH2817" s="2"/>
      <c r="AI2817" s="2"/>
      <c r="AJ2817" s="553" t="s">
        <v>2242</v>
      </c>
      <c r="AK2817" s="108" t="str">
        <f>IF(OR(ISERROR(J2817),ISERROR(K2817),ISERROR(L2817),ISERROR(M2817),ISERROR(N2817)),EUconst_Error &amp; "BM" &amp; Q2731,"")</f>
        <v/>
      </c>
      <c r="AL2817" s="2"/>
    </row>
    <row r="2818" spans="1:38" ht="5.15" customHeight="1" thickBot="1" x14ac:dyDescent="0.3">
      <c r="A2818" s="2"/>
      <c r="B2818" s="19"/>
      <c r="C2818" s="19"/>
      <c r="D2818" s="1274"/>
      <c r="E2818" s="1275"/>
      <c r="F2818" s="1275"/>
      <c r="G2818" s="1275"/>
      <c r="H2818" s="1275"/>
      <c r="I2818" s="1276"/>
      <c r="J2818" s="1275"/>
      <c r="K2818" s="1275"/>
      <c r="L2818" s="1275"/>
      <c r="M2818" s="1275"/>
      <c r="N2818" s="1277"/>
      <c r="O2818" s="15"/>
      <c r="P2818" s="15"/>
      <c r="Q2818" s="130"/>
      <c r="R2818" s="2"/>
      <c r="S2818" s="343"/>
      <c r="T2818" s="343"/>
      <c r="U2818" s="2"/>
      <c r="V2818" s="2"/>
      <c r="W2818" s="2"/>
      <c r="X2818" s="2"/>
      <c r="Y2818" s="2"/>
      <c r="Z2818" s="2"/>
      <c r="AA2818" s="2"/>
      <c r="AB2818" s="2"/>
      <c r="AC2818" s="2"/>
      <c r="AD2818" s="2"/>
      <c r="AE2818" s="2"/>
      <c r="AF2818" s="2"/>
      <c r="AG2818" s="2"/>
      <c r="AH2818" s="2"/>
      <c r="AI2818" s="2"/>
      <c r="AJ2818" s="2"/>
      <c r="AK2818" s="2"/>
      <c r="AL2818" s="2"/>
    </row>
    <row r="2819" spans="1:38" ht="5.15" customHeight="1" x14ac:dyDescent="0.25">
      <c r="A2819" s="2"/>
      <c r="B2819" s="19"/>
      <c r="C2819" s="19"/>
      <c r="D2819" s="19"/>
      <c r="E2819" s="19"/>
      <c r="F2819" s="19"/>
      <c r="G2819" s="19"/>
      <c r="H2819" s="19"/>
      <c r="I2819" s="99"/>
      <c r="J2819" s="19"/>
      <c r="K2819" s="19"/>
      <c r="L2819" s="19"/>
      <c r="M2819" s="19"/>
      <c r="N2819" s="19"/>
      <c r="O2819" s="15"/>
      <c r="P2819" s="15"/>
      <c r="Q2819" s="130"/>
      <c r="R2819" s="2"/>
      <c r="S2819" s="343"/>
      <c r="T2819" s="343"/>
      <c r="U2819" s="2"/>
      <c r="V2819" s="2"/>
      <c r="W2819" s="2"/>
      <c r="X2819" s="2"/>
      <c r="Y2819" s="2"/>
      <c r="Z2819" s="2"/>
      <c r="AA2819" s="2"/>
      <c r="AB2819" s="2"/>
      <c r="AC2819" s="2"/>
      <c r="AD2819" s="2"/>
      <c r="AE2819" s="2"/>
      <c r="AF2819" s="2"/>
      <c r="AG2819" s="2"/>
      <c r="AH2819" s="2"/>
      <c r="AI2819" s="2"/>
      <c r="AJ2819" s="2"/>
      <c r="AK2819" s="2"/>
      <c r="AL2819" s="2"/>
    </row>
    <row r="2820" spans="1:38" ht="15" customHeight="1" x14ac:dyDescent="0.25">
      <c r="A2820" s="2"/>
      <c r="B2820" s="19"/>
      <c r="C2820" s="619"/>
      <c r="D2820" s="2053" t="str">
        <f>Translations!$B$541</f>
        <v>Produktionsuppgifter</v>
      </c>
      <c r="E2820" s="1963"/>
      <c r="F2820" s="1963"/>
      <c r="G2820" s="1963"/>
      <c r="H2820" s="1963"/>
      <c r="I2820" s="1963"/>
      <c r="J2820" s="1963"/>
      <c r="K2820" s="1963"/>
      <c r="L2820" s="1963"/>
      <c r="M2820" s="1963"/>
      <c r="N2820" s="1963"/>
      <c r="O2820" s="15"/>
      <c r="P2820" s="15"/>
      <c r="Q2820" s="2"/>
      <c r="R2820" s="2"/>
      <c r="S2820" s="343"/>
      <c r="T2820" s="343"/>
      <c r="U2820" s="2"/>
      <c r="V2820" s="2"/>
      <c r="W2820" s="2"/>
      <c r="X2820" s="2"/>
      <c r="Y2820" s="2"/>
      <c r="Z2820" s="2"/>
      <c r="AA2820" s="2"/>
      <c r="AB2820" s="2"/>
      <c r="AC2820" s="2"/>
      <c r="AD2820" s="2"/>
      <c r="AE2820" s="2"/>
      <c r="AF2820" s="2"/>
      <c r="AG2820" s="2"/>
      <c r="AH2820" s="2"/>
      <c r="AI2820" s="2"/>
      <c r="AJ2820" s="2"/>
      <c r="AK2820" s="2"/>
      <c r="AL2820" s="2"/>
    </row>
    <row r="2821" spans="1:38" ht="5.15" customHeight="1" x14ac:dyDescent="0.25">
      <c r="A2821" s="2"/>
      <c r="B2821" s="178"/>
      <c r="C2821" s="178"/>
      <c r="D2821" s="178"/>
      <c r="E2821" s="178"/>
      <c r="F2821" s="178"/>
      <c r="G2821" s="178"/>
      <c r="H2821" s="178"/>
      <c r="I2821" s="178"/>
      <c r="J2821" s="178"/>
      <c r="K2821" s="178"/>
      <c r="L2821" s="178"/>
      <c r="M2821" s="178"/>
      <c r="N2821" s="178"/>
      <c r="O2821" s="15"/>
      <c r="P2821" s="15"/>
      <c r="Q2821" s="343"/>
      <c r="R2821" s="343"/>
      <c r="S2821" s="343"/>
      <c r="T2821" s="343"/>
      <c r="U2821" s="2"/>
      <c r="V2821" s="2"/>
      <c r="W2821" s="2"/>
      <c r="X2821" s="2"/>
      <c r="Y2821" s="2"/>
      <c r="Z2821" s="2"/>
      <c r="AA2821" s="2"/>
      <c r="AB2821" s="2"/>
      <c r="AC2821" s="2"/>
      <c r="AD2821" s="2"/>
      <c r="AE2821" s="2"/>
      <c r="AF2821" s="2"/>
      <c r="AG2821" s="2"/>
      <c r="AH2821" s="2"/>
      <c r="AI2821" s="2"/>
      <c r="AJ2821" s="2"/>
      <c r="AK2821" s="2"/>
      <c r="AL2821" s="2"/>
    </row>
    <row r="2822" spans="1:38" ht="12.75" customHeight="1" x14ac:dyDescent="0.25">
      <c r="A2822" s="2"/>
      <c r="B2822" s="178"/>
      <c r="C2822" s="13"/>
      <c r="D2822" s="13" t="s">
        <v>65</v>
      </c>
      <c r="E2822" s="1943" t="str">
        <f>Translations!$B$542</f>
        <v>Identifiering av produkter som ingår i delanläggningen med produktriktmärke</v>
      </c>
      <c r="F2822" s="1963"/>
      <c r="G2822" s="1963"/>
      <c r="H2822" s="1963"/>
      <c r="I2822" s="1963"/>
      <c r="J2822" s="1963"/>
      <c r="K2822" s="1963"/>
      <c r="L2822" s="1963"/>
      <c r="M2822" s="1963"/>
      <c r="N2822" s="1963"/>
      <c r="O2822" s="15"/>
      <c r="P2822" s="15"/>
      <c r="Q2822" s="343"/>
      <c r="R2822" s="2"/>
      <c r="S2822" s="343"/>
      <c r="T2822" s="343"/>
      <c r="U2822" s="2"/>
      <c r="V2822" s="2"/>
      <c r="W2822" s="2"/>
      <c r="X2822" s="2"/>
      <c r="Y2822" s="2"/>
      <c r="Z2822" s="2"/>
      <c r="AA2822" s="2"/>
      <c r="AB2822" s="2"/>
      <c r="AC2822" s="2"/>
      <c r="AD2822" s="2"/>
      <c r="AE2822" s="2"/>
      <c r="AF2822" s="2"/>
      <c r="AG2822" s="2"/>
      <c r="AH2822" s="2"/>
      <c r="AI2822" s="2"/>
      <c r="AJ2822" s="2"/>
      <c r="AK2822" s="2"/>
      <c r="AL2822" s="2"/>
    </row>
    <row r="2823" spans="1:38" ht="25.5" customHeight="1" x14ac:dyDescent="0.25">
      <c r="A2823" s="2"/>
      <c r="B2823" s="178"/>
      <c r="C2823" s="15"/>
      <c r="D2823" s="15"/>
      <c r="E2823" s="2061" t="s">
        <v>2215</v>
      </c>
      <c r="F2823" s="1963"/>
      <c r="G2823" s="1963"/>
      <c r="H2823" s="1963"/>
      <c r="I2823" s="1963"/>
      <c r="J2823" s="1963"/>
      <c r="K2823" s="1963"/>
      <c r="L2823" s="1963"/>
      <c r="M2823" s="1963"/>
      <c r="N2823" s="1963"/>
      <c r="O2823" s="15"/>
      <c r="P2823" s="15"/>
      <c r="Q2823" s="343"/>
      <c r="R2823" s="2"/>
      <c r="S2823" s="343"/>
      <c r="T2823" s="343"/>
      <c r="U2823" s="2"/>
      <c r="V2823" s="2"/>
      <c r="W2823" s="2"/>
      <c r="X2823" s="2"/>
      <c r="Y2823" s="2"/>
      <c r="Z2823" s="2"/>
      <c r="AA2823" s="2"/>
      <c r="AB2823" s="2"/>
      <c r="AC2823" s="2"/>
      <c r="AD2823" s="2"/>
      <c r="AE2823" s="2"/>
      <c r="AF2823" s="2"/>
      <c r="AG2823" s="2"/>
      <c r="AH2823" s="2"/>
      <c r="AI2823" s="2"/>
      <c r="AJ2823" s="2"/>
      <c r="AK2823" s="2"/>
      <c r="AL2823" s="2"/>
    </row>
    <row r="2824" spans="1:38" ht="25.5" customHeight="1" x14ac:dyDescent="0.25">
      <c r="A2824" s="2"/>
      <c r="B2824" s="178"/>
      <c r="C2824" s="15"/>
      <c r="D2824" s="15"/>
      <c r="E2824" s="2061" t="str">
        <f>Translations!$B$543</f>
        <v>Prodcom-koder ska anges i formatet ”nnnnnnnn”, dvs. utan punkter eller andra avgränsare. Endast om Prodcom-koder inte finns ska en Nace-kod på fyra siffror anges i formatet ”nnnn”.</v>
      </c>
      <c r="F2824" s="1963"/>
      <c r="G2824" s="1963"/>
      <c r="H2824" s="1963"/>
      <c r="I2824" s="1963"/>
      <c r="J2824" s="1963"/>
      <c r="K2824" s="1963"/>
      <c r="L2824" s="1963"/>
      <c r="M2824" s="1963"/>
      <c r="N2824" s="1963"/>
      <c r="O2824" s="15"/>
      <c r="P2824" s="15"/>
      <c r="Q2824" s="343"/>
      <c r="R2824" s="2"/>
      <c r="S2824" s="343"/>
      <c r="T2824" s="343"/>
      <c r="U2824" s="2"/>
      <c r="V2824" s="2"/>
      <c r="W2824" s="2"/>
      <c r="X2824" s="2"/>
      <c r="Y2824" s="2"/>
      <c r="Z2824" s="2"/>
      <c r="AA2824" s="2"/>
      <c r="AB2824" s="2"/>
      <c r="AC2824" s="2"/>
      <c r="AD2824" s="2"/>
      <c r="AE2824" s="2"/>
      <c r="AF2824" s="2"/>
      <c r="AG2824" s="2"/>
      <c r="AH2824" s="2"/>
      <c r="AI2824" s="2"/>
      <c r="AJ2824" s="2"/>
      <c r="AK2824" s="2"/>
      <c r="AL2824" s="2"/>
    </row>
    <row r="2825" spans="1:38" ht="12.75" customHeight="1" x14ac:dyDescent="0.25">
      <c r="A2825" s="2"/>
      <c r="B2825" s="178"/>
      <c r="C2825" s="15"/>
      <c r="D2825" s="15"/>
      <c r="E2825" s="2061" t="str">
        <f>Translations!$B$544</f>
        <v>En förteckning över 2010 års Prodcom-koder finns här:</v>
      </c>
      <c r="F2825" s="1963"/>
      <c r="G2825" s="1963"/>
      <c r="H2825" s="1963"/>
      <c r="I2825" s="1963"/>
      <c r="J2825" s="1963"/>
      <c r="K2825" s="1963"/>
      <c r="L2825" s="1963"/>
      <c r="M2825" s="1963"/>
      <c r="N2825" s="1963"/>
      <c r="O2825" s="15"/>
      <c r="P2825" s="15"/>
      <c r="Q2825" s="343"/>
      <c r="R2825" s="2"/>
      <c r="S2825" s="343"/>
      <c r="T2825" s="343"/>
      <c r="U2825" s="2"/>
      <c r="V2825" s="2"/>
      <c r="W2825" s="2"/>
      <c r="X2825" s="2"/>
      <c r="Y2825" s="2"/>
      <c r="Z2825" s="2"/>
      <c r="AA2825" s="2"/>
      <c r="AB2825" s="2"/>
      <c r="AC2825" s="2"/>
      <c r="AD2825" s="2"/>
      <c r="AE2825" s="2"/>
      <c r="AF2825" s="2"/>
      <c r="AG2825" s="2"/>
      <c r="AH2825" s="2"/>
      <c r="AI2825" s="2"/>
      <c r="AJ2825" s="2"/>
      <c r="AK2825" s="2"/>
      <c r="AL2825" s="2"/>
    </row>
    <row r="2826" spans="1:38" x14ac:dyDescent="0.25">
      <c r="A2826" s="2"/>
      <c r="B2826" s="178"/>
      <c r="C2826" s="15"/>
      <c r="D2826" s="15"/>
      <c r="E2826" s="2644" t="str">
        <f>Translations!$B$545</f>
        <v>http://ec.europa.eu/eurostat/ramon/nomenclatures/index.cfm?TargetUrl=LST_CLS_DLD&amp;StrNom=PRD_2010&amp;StrLanguageCode=EN&amp;StrLayoutCode=HIERARCHIC</v>
      </c>
      <c r="F2826" s="1940"/>
      <c r="G2826" s="1940"/>
      <c r="H2826" s="1940"/>
      <c r="I2826" s="1940"/>
      <c r="J2826" s="1940"/>
      <c r="K2826" s="1940"/>
      <c r="L2826" s="1940"/>
      <c r="M2826" s="1940"/>
      <c r="N2826" s="1940"/>
      <c r="O2826" s="15"/>
      <c r="P2826" s="15"/>
      <c r="Q2826" s="343"/>
      <c r="R2826" s="2"/>
      <c r="S2826" s="343"/>
      <c r="T2826" s="343"/>
      <c r="U2826" s="2"/>
      <c r="V2826" s="2"/>
      <c r="W2826" s="2"/>
      <c r="X2826" s="2"/>
      <c r="Y2826" s="2"/>
      <c r="Z2826" s="2"/>
      <c r="AA2826" s="2"/>
      <c r="AB2826" s="2"/>
      <c r="AC2826" s="2"/>
      <c r="AD2826" s="2"/>
      <c r="AE2826" s="2"/>
      <c r="AF2826" s="2"/>
      <c r="AG2826" s="2"/>
      <c r="AH2826" s="2"/>
      <c r="AI2826" s="2"/>
      <c r="AJ2826" s="2"/>
      <c r="AK2826" s="2"/>
      <c r="AL2826" s="2"/>
    </row>
    <row r="2827" spans="1:38" ht="5.15" customHeight="1" x14ac:dyDescent="0.25">
      <c r="A2827" s="2"/>
      <c r="B2827" s="178"/>
      <c r="C2827" s="178"/>
      <c r="D2827" s="178"/>
      <c r="E2827" s="178"/>
      <c r="F2827" s="178"/>
      <c r="G2827" s="178"/>
      <c r="H2827" s="178"/>
      <c r="I2827" s="178"/>
      <c r="J2827" s="178"/>
      <c r="K2827" s="178"/>
      <c r="L2827" s="178"/>
      <c r="M2827" s="178"/>
      <c r="N2827" s="178"/>
      <c r="O2827" s="15"/>
      <c r="P2827" s="15"/>
      <c r="Q2827" s="343"/>
      <c r="R2827" s="343"/>
      <c r="S2827" s="343"/>
      <c r="T2827" s="343"/>
      <c r="U2827" s="2"/>
      <c r="V2827" s="2"/>
      <c r="W2827" s="2"/>
      <c r="X2827" s="2"/>
      <c r="Y2827" s="2"/>
      <c r="Z2827" s="2"/>
      <c r="AA2827" s="2"/>
      <c r="AB2827" s="2"/>
      <c r="AC2827" s="2"/>
      <c r="AD2827" s="2"/>
      <c r="AE2827" s="2"/>
      <c r="AF2827" s="2"/>
      <c r="AG2827" s="2"/>
      <c r="AH2827" s="2"/>
      <c r="AI2827" s="2"/>
      <c r="AJ2827" s="2"/>
      <c r="AK2827" s="2"/>
      <c r="AL2827" s="2"/>
    </row>
    <row r="2828" spans="1:38" ht="12.75" customHeight="1" x14ac:dyDescent="0.25">
      <c r="A2828" s="2"/>
      <c r="B2828" s="178"/>
      <c r="C2828" s="13"/>
      <c r="D2828" s="13" t="s">
        <v>66</v>
      </c>
      <c r="E2828" s="1943" t="str">
        <f>Translations!$B$546</f>
        <v>Individuella produktionsnivåer för produkter som ingår i delanläggningen med produktriktmärke</v>
      </c>
      <c r="F2828" s="1963"/>
      <c r="G2828" s="1963"/>
      <c r="H2828" s="1963"/>
      <c r="I2828" s="1963"/>
      <c r="J2828" s="1963"/>
      <c r="K2828" s="1963"/>
      <c r="L2828" s="1963"/>
      <c r="M2828" s="1963"/>
      <c r="N2828" s="1963"/>
      <c r="O2828" s="15"/>
      <c r="P2828" s="15"/>
      <c r="Q2828" s="343"/>
      <c r="R2828" s="2"/>
      <c r="S2828" s="343"/>
      <c r="T2828" s="343"/>
      <c r="U2828" s="2"/>
      <c r="V2828" s="2"/>
      <c r="W2828" s="2"/>
      <c r="X2828" s="2"/>
      <c r="Y2828" s="2"/>
      <c r="Z2828" s="2"/>
      <c r="AA2828" s="2"/>
      <c r="AB2828" s="2"/>
      <c r="AC2828" s="2"/>
      <c r="AD2828" s="2"/>
      <c r="AE2828" s="2"/>
      <c r="AF2828" s="2"/>
      <c r="AG2828" s="2"/>
      <c r="AH2828" s="2"/>
      <c r="AI2828" s="2"/>
      <c r="AJ2828" s="2"/>
      <c r="AK2828" s="2"/>
      <c r="AL2828" s="2"/>
    </row>
    <row r="2829" spans="1:38" ht="5.15" customHeight="1" x14ac:dyDescent="0.25">
      <c r="A2829" s="2"/>
      <c r="B2829" s="178"/>
      <c r="C2829" s="178"/>
      <c r="D2829" s="15"/>
      <c r="E2829" s="16"/>
      <c r="F2829" s="16"/>
      <c r="G2829" s="16"/>
      <c r="H2829" s="16"/>
      <c r="I2829" s="16"/>
      <c r="J2829" s="20"/>
      <c r="K2829" s="20"/>
      <c r="L2829" s="20"/>
      <c r="M2829" s="15"/>
      <c r="N2829" s="15"/>
      <c r="O2829" s="15"/>
      <c r="P2829" s="15"/>
      <c r="Q2829" s="343"/>
      <c r="R2829" s="2"/>
      <c r="S2829" s="343"/>
      <c r="T2829" s="343"/>
      <c r="U2829" s="2"/>
      <c r="V2829" s="2"/>
      <c r="W2829" s="2"/>
      <c r="X2829" s="2"/>
      <c r="Y2829" s="2"/>
      <c r="Z2829" s="2"/>
      <c r="AA2829" s="2"/>
      <c r="AB2829" s="2"/>
      <c r="AC2829" s="2"/>
      <c r="AD2829" s="2"/>
      <c r="AE2829" s="2"/>
      <c r="AF2829" s="2"/>
      <c r="AG2829" s="2"/>
      <c r="AH2829" s="2"/>
      <c r="AI2829" s="2"/>
      <c r="AJ2829" s="2"/>
      <c r="AK2829" s="2"/>
      <c r="AL2829" s="2"/>
    </row>
    <row r="2830" spans="1:38" ht="25.5" customHeight="1" thickBot="1" x14ac:dyDescent="0.3">
      <c r="A2830" s="2"/>
      <c r="B2830" s="19"/>
      <c r="C2830" s="19"/>
      <c r="D2830" s="38"/>
      <c r="E2830" s="321" t="s">
        <v>1030</v>
      </c>
      <c r="F2830" s="1027" t="str">
        <f>Translations!$B$547</f>
        <v>Namn på produkt eller produktgrupp</v>
      </c>
      <c r="G2830" s="774" t="str">
        <f>EUconst_Unit</f>
        <v>Enhet</v>
      </c>
      <c r="H2830" s="320">
        <f t="shared" ref="H2830:N2830" si="1265">H$3042</f>
        <v>2019</v>
      </c>
      <c r="I2830" s="342">
        <f t="shared" si="1265"/>
        <v>2020</v>
      </c>
      <c r="J2830" s="987">
        <f t="shared" si="1265"/>
        <v>2021</v>
      </c>
      <c r="K2830" s="320">
        <f t="shared" si="1265"/>
        <v>2022</v>
      </c>
      <c r="L2830" s="320">
        <f t="shared" si="1265"/>
        <v>2023</v>
      </c>
      <c r="M2830" s="320">
        <f t="shared" si="1265"/>
        <v>2024</v>
      </c>
      <c r="N2830" s="320">
        <f t="shared" si="1265"/>
        <v>2025</v>
      </c>
      <c r="O2830" s="15"/>
      <c r="P2830" s="15"/>
      <c r="Q2830" s="2"/>
      <c r="R2830" s="2"/>
      <c r="S2830" s="343"/>
      <c r="T2830" s="343"/>
      <c r="U2830" s="2"/>
      <c r="V2830" s="2"/>
      <c r="W2830" s="2"/>
      <c r="X2830" s="2"/>
      <c r="Y2830" s="2"/>
      <c r="Z2830" s="1055" t="s">
        <v>782</v>
      </c>
      <c r="AA2830" s="2"/>
      <c r="AB2830" s="2"/>
      <c r="AC2830" s="1044">
        <f t="shared" ref="AC2830:AI2830" si="1266">H$20</f>
        <v>2019</v>
      </c>
      <c r="AD2830" s="1044">
        <f t="shared" si="1266"/>
        <v>2020</v>
      </c>
      <c r="AE2830" s="1044">
        <f t="shared" si="1266"/>
        <v>2021</v>
      </c>
      <c r="AF2830" s="1044">
        <f t="shared" si="1266"/>
        <v>2022</v>
      </c>
      <c r="AG2830" s="1044">
        <f t="shared" si="1266"/>
        <v>2023</v>
      </c>
      <c r="AH2830" s="1044">
        <f t="shared" si="1266"/>
        <v>2024</v>
      </c>
      <c r="AI2830" s="1044">
        <f t="shared" si="1266"/>
        <v>2025</v>
      </c>
      <c r="AJ2830" s="2"/>
      <c r="AK2830" s="2"/>
      <c r="AL2830" s="2"/>
    </row>
    <row r="2831" spans="1:38" x14ac:dyDescent="0.25">
      <c r="A2831" s="2"/>
      <c r="B2831" s="19"/>
      <c r="C2831" s="19"/>
      <c r="D2831" s="32">
        <v>1</v>
      </c>
      <c r="E2831" s="1787"/>
      <c r="F2831" s="1047"/>
      <c r="G2831" s="602"/>
      <c r="H2831" s="383"/>
      <c r="I2831" s="467"/>
      <c r="J2831" s="1106"/>
      <c r="K2831" s="383"/>
      <c r="L2831" s="383"/>
      <c r="M2831" s="383"/>
      <c r="N2831" s="383"/>
      <c r="O2831" s="15"/>
      <c r="P2831" s="1362"/>
      <c r="Q2831" s="2"/>
      <c r="R2831" s="2"/>
      <c r="S2831" s="343"/>
      <c r="T2831" s="343"/>
      <c r="U2831" s="2"/>
      <c r="V2831" s="2"/>
      <c r="W2831" s="2"/>
      <c r="X2831" s="2"/>
      <c r="Y2831" s="2"/>
      <c r="Z2831" s="1056" t="b">
        <f t="shared" ref="Z2831:Z2840" si="1267">AA2831</f>
        <v>0</v>
      </c>
      <c r="AA2831" s="1057" t="b">
        <f t="shared" ref="AA2831:AA2840" si="1268">AB2831</f>
        <v>0</v>
      </c>
      <c r="AB2831" s="1363" t="b">
        <f>AND(AC2831:AI2831)</f>
        <v>0</v>
      </c>
      <c r="AC2831" s="1054" t="b">
        <f t="shared" ref="AC2831:AI2831" si="1269">AC2801</f>
        <v>0</v>
      </c>
      <c r="AD2831" s="1052" t="b">
        <f t="shared" si="1269"/>
        <v>0</v>
      </c>
      <c r="AE2831" s="1052" t="b">
        <f t="shared" si="1269"/>
        <v>0</v>
      </c>
      <c r="AF2831" s="1052" t="b">
        <f t="shared" si="1269"/>
        <v>0</v>
      </c>
      <c r="AG2831" s="1052" t="b">
        <f t="shared" si="1269"/>
        <v>0</v>
      </c>
      <c r="AH2831" s="1052" t="b">
        <f t="shared" si="1269"/>
        <v>0</v>
      </c>
      <c r="AI2831" s="1053" t="b">
        <f t="shared" si="1269"/>
        <v>0</v>
      </c>
      <c r="AJ2831" s="553" t="s">
        <v>2248</v>
      </c>
      <c r="AK2831" s="663" t="str">
        <f>IF(AND(CNTR_ExistSubInstEntries,COUNTIFS(AC2831:AI2831,FALSE,H2831:N2831,"")&gt;0),EUconst_Error&amp;"BM"&amp;$Q2731,"")</f>
        <v/>
      </c>
      <c r="AL2831" s="2"/>
    </row>
    <row r="2832" spans="1:38" x14ac:dyDescent="0.25">
      <c r="A2832" s="2"/>
      <c r="B2832" s="19"/>
      <c r="C2832" s="19"/>
      <c r="D2832" s="33">
        <f>D2831+1</f>
        <v>2</v>
      </c>
      <c r="E2832" s="1788"/>
      <c r="F2832" s="1048"/>
      <c r="G2832" s="446"/>
      <c r="H2832" s="431"/>
      <c r="I2832" s="468"/>
      <c r="J2832" s="1120"/>
      <c r="K2832" s="431"/>
      <c r="L2832" s="431"/>
      <c r="M2832" s="431"/>
      <c r="N2832" s="431"/>
      <c r="O2832" s="15"/>
      <c r="P2832" s="1362"/>
      <c r="Q2832" s="2"/>
      <c r="R2832" s="2"/>
      <c r="S2832" s="343"/>
      <c r="T2832" s="343"/>
      <c r="U2832" s="2"/>
      <c r="V2832" s="2"/>
      <c r="W2832" s="2"/>
      <c r="X2832" s="2"/>
      <c r="Y2832" s="2"/>
      <c r="Z2832" s="583" t="b">
        <f t="shared" si="1267"/>
        <v>0</v>
      </c>
      <c r="AA2832" s="108" t="b">
        <f t="shared" si="1268"/>
        <v>0</v>
      </c>
      <c r="AB2832" s="109" t="b">
        <f t="shared" ref="AB2832:AB2840" si="1270">AND(AC2832:AI2832)</f>
        <v>0</v>
      </c>
      <c r="AC2832" s="153" t="b">
        <f>AC2831</f>
        <v>0</v>
      </c>
      <c r="AD2832" s="108" t="b">
        <f t="shared" ref="AD2832:AI2832" si="1271">AD2831</f>
        <v>0</v>
      </c>
      <c r="AE2832" s="108" t="b">
        <f t="shared" si="1271"/>
        <v>0</v>
      </c>
      <c r="AF2832" s="108" t="b">
        <f t="shared" si="1271"/>
        <v>0</v>
      </c>
      <c r="AG2832" s="108" t="b">
        <f t="shared" si="1271"/>
        <v>0</v>
      </c>
      <c r="AH2832" s="108" t="b">
        <f t="shared" si="1271"/>
        <v>0</v>
      </c>
      <c r="AI2832" s="109" t="b">
        <f t="shared" si="1271"/>
        <v>0</v>
      </c>
      <c r="AJ2832" s="2"/>
      <c r="AK2832" s="2"/>
      <c r="AL2832" s="2"/>
    </row>
    <row r="2833" spans="1:38" x14ac:dyDescent="0.25">
      <c r="A2833" s="2"/>
      <c r="B2833" s="19"/>
      <c r="C2833" s="19"/>
      <c r="D2833" s="33">
        <f t="shared" ref="D2833:D2840" si="1272">D2832+1</f>
        <v>3</v>
      </c>
      <c r="E2833" s="1788"/>
      <c r="F2833" s="1049"/>
      <c r="G2833" s="446"/>
      <c r="H2833" s="431"/>
      <c r="I2833" s="468"/>
      <c r="J2833" s="1120"/>
      <c r="K2833" s="431"/>
      <c r="L2833" s="431"/>
      <c r="M2833" s="431"/>
      <c r="N2833" s="431"/>
      <c r="O2833" s="15"/>
      <c r="P2833" s="1362"/>
      <c r="Q2833" s="2"/>
      <c r="R2833" s="2"/>
      <c r="S2833" s="343"/>
      <c r="T2833" s="343"/>
      <c r="U2833" s="2"/>
      <c r="V2833" s="2"/>
      <c r="W2833" s="2"/>
      <c r="X2833" s="2"/>
      <c r="Y2833" s="2"/>
      <c r="Z2833" s="583" t="b">
        <f t="shared" si="1267"/>
        <v>0</v>
      </c>
      <c r="AA2833" s="108" t="b">
        <f t="shared" si="1268"/>
        <v>0</v>
      </c>
      <c r="AB2833" s="109" t="b">
        <f t="shared" si="1270"/>
        <v>0</v>
      </c>
      <c r="AC2833" s="153" t="b">
        <f t="shared" ref="AC2833:AI2840" si="1273">AC2832</f>
        <v>0</v>
      </c>
      <c r="AD2833" s="108" t="b">
        <f t="shared" si="1273"/>
        <v>0</v>
      </c>
      <c r="AE2833" s="108" t="b">
        <f t="shared" si="1273"/>
        <v>0</v>
      </c>
      <c r="AF2833" s="108" t="b">
        <f t="shared" si="1273"/>
        <v>0</v>
      </c>
      <c r="AG2833" s="108" t="b">
        <f t="shared" si="1273"/>
        <v>0</v>
      </c>
      <c r="AH2833" s="108" t="b">
        <f t="shared" si="1273"/>
        <v>0</v>
      </c>
      <c r="AI2833" s="109" t="b">
        <f t="shared" si="1273"/>
        <v>0</v>
      </c>
      <c r="AJ2833" s="2"/>
      <c r="AK2833" s="2"/>
      <c r="AL2833" s="2"/>
    </row>
    <row r="2834" spans="1:38" x14ac:dyDescent="0.25">
      <c r="A2834" s="2"/>
      <c r="B2834" s="19"/>
      <c r="C2834" s="19"/>
      <c r="D2834" s="33">
        <f t="shared" si="1272"/>
        <v>4</v>
      </c>
      <c r="E2834" s="1788"/>
      <c r="F2834" s="1049"/>
      <c r="G2834" s="446"/>
      <c r="H2834" s="431"/>
      <c r="I2834" s="468"/>
      <c r="J2834" s="1120"/>
      <c r="K2834" s="431"/>
      <c r="L2834" s="431"/>
      <c r="M2834" s="431"/>
      <c r="N2834" s="431"/>
      <c r="O2834" s="15"/>
      <c r="P2834" s="1362"/>
      <c r="Q2834" s="2"/>
      <c r="R2834" s="2"/>
      <c r="S2834" s="343"/>
      <c r="T2834" s="343"/>
      <c r="U2834" s="2"/>
      <c r="V2834" s="2"/>
      <c r="W2834" s="2"/>
      <c r="X2834" s="2"/>
      <c r="Y2834" s="2"/>
      <c r="Z2834" s="583" t="b">
        <f t="shared" si="1267"/>
        <v>0</v>
      </c>
      <c r="AA2834" s="108" t="b">
        <f t="shared" si="1268"/>
        <v>0</v>
      </c>
      <c r="AB2834" s="109" t="b">
        <f t="shared" si="1270"/>
        <v>0</v>
      </c>
      <c r="AC2834" s="153" t="b">
        <f t="shared" si="1273"/>
        <v>0</v>
      </c>
      <c r="AD2834" s="108" t="b">
        <f t="shared" si="1273"/>
        <v>0</v>
      </c>
      <c r="AE2834" s="108" t="b">
        <f t="shared" si="1273"/>
        <v>0</v>
      </c>
      <c r="AF2834" s="108" t="b">
        <f t="shared" si="1273"/>
        <v>0</v>
      </c>
      <c r="AG2834" s="108" t="b">
        <f t="shared" si="1273"/>
        <v>0</v>
      </c>
      <c r="AH2834" s="108" t="b">
        <f t="shared" si="1273"/>
        <v>0</v>
      </c>
      <c r="AI2834" s="109" t="b">
        <f t="shared" si="1273"/>
        <v>0</v>
      </c>
      <c r="AJ2834" s="2"/>
      <c r="AK2834" s="2"/>
      <c r="AL2834" s="2"/>
    </row>
    <row r="2835" spans="1:38" x14ac:dyDescent="0.25">
      <c r="A2835" s="2"/>
      <c r="B2835" s="19"/>
      <c r="C2835" s="19"/>
      <c r="D2835" s="33">
        <f t="shared" si="1272"/>
        <v>5</v>
      </c>
      <c r="E2835" s="1788"/>
      <c r="F2835" s="1049"/>
      <c r="G2835" s="446"/>
      <c r="H2835" s="431"/>
      <c r="I2835" s="468"/>
      <c r="J2835" s="1120"/>
      <c r="K2835" s="431"/>
      <c r="L2835" s="431"/>
      <c r="M2835" s="431"/>
      <c r="N2835" s="431"/>
      <c r="O2835" s="15"/>
      <c r="P2835" s="1362"/>
      <c r="Q2835" s="2"/>
      <c r="R2835" s="2"/>
      <c r="S2835" s="343"/>
      <c r="T2835" s="343"/>
      <c r="U2835" s="2"/>
      <c r="V2835" s="2"/>
      <c r="W2835" s="2"/>
      <c r="X2835" s="2"/>
      <c r="Y2835" s="2"/>
      <c r="Z2835" s="583" t="b">
        <f t="shared" si="1267"/>
        <v>0</v>
      </c>
      <c r="AA2835" s="108" t="b">
        <f t="shared" si="1268"/>
        <v>0</v>
      </c>
      <c r="AB2835" s="109" t="b">
        <f t="shared" si="1270"/>
        <v>0</v>
      </c>
      <c r="AC2835" s="153" t="b">
        <f t="shared" si="1273"/>
        <v>0</v>
      </c>
      <c r="AD2835" s="108" t="b">
        <f t="shared" si="1273"/>
        <v>0</v>
      </c>
      <c r="AE2835" s="108" t="b">
        <f t="shared" si="1273"/>
        <v>0</v>
      </c>
      <c r="AF2835" s="108" t="b">
        <f t="shared" si="1273"/>
        <v>0</v>
      </c>
      <c r="AG2835" s="108" t="b">
        <f t="shared" si="1273"/>
        <v>0</v>
      </c>
      <c r="AH2835" s="108" t="b">
        <f t="shared" si="1273"/>
        <v>0</v>
      </c>
      <c r="AI2835" s="109" t="b">
        <f t="shared" si="1273"/>
        <v>0</v>
      </c>
      <c r="AJ2835" s="2"/>
      <c r="AK2835" s="2"/>
      <c r="AL2835" s="2"/>
    </row>
    <row r="2836" spans="1:38" x14ac:dyDescent="0.25">
      <c r="A2836" s="2"/>
      <c r="B2836" s="19"/>
      <c r="C2836" s="19"/>
      <c r="D2836" s="33">
        <f t="shared" si="1272"/>
        <v>6</v>
      </c>
      <c r="E2836" s="1788"/>
      <c r="F2836" s="1049"/>
      <c r="G2836" s="446"/>
      <c r="H2836" s="431"/>
      <c r="I2836" s="468"/>
      <c r="J2836" s="1120"/>
      <c r="K2836" s="431"/>
      <c r="L2836" s="431"/>
      <c r="M2836" s="431"/>
      <c r="N2836" s="431"/>
      <c r="O2836" s="15"/>
      <c r="P2836" s="1362"/>
      <c r="Q2836" s="2"/>
      <c r="R2836" s="2"/>
      <c r="S2836" s="343"/>
      <c r="T2836" s="343"/>
      <c r="U2836" s="2"/>
      <c r="V2836" s="2"/>
      <c r="W2836" s="2"/>
      <c r="X2836" s="2"/>
      <c r="Y2836" s="2"/>
      <c r="Z2836" s="583" t="b">
        <f t="shared" si="1267"/>
        <v>0</v>
      </c>
      <c r="AA2836" s="108" t="b">
        <f t="shared" si="1268"/>
        <v>0</v>
      </c>
      <c r="AB2836" s="109" t="b">
        <f t="shared" si="1270"/>
        <v>0</v>
      </c>
      <c r="AC2836" s="153" t="b">
        <f t="shared" si="1273"/>
        <v>0</v>
      </c>
      <c r="AD2836" s="108" t="b">
        <f t="shared" si="1273"/>
        <v>0</v>
      </c>
      <c r="AE2836" s="108" t="b">
        <f t="shared" si="1273"/>
        <v>0</v>
      </c>
      <c r="AF2836" s="108" t="b">
        <f t="shared" si="1273"/>
        <v>0</v>
      </c>
      <c r="AG2836" s="108" t="b">
        <f t="shared" si="1273"/>
        <v>0</v>
      </c>
      <c r="AH2836" s="108" t="b">
        <f t="shared" si="1273"/>
        <v>0</v>
      </c>
      <c r="AI2836" s="109" t="b">
        <f t="shared" si="1273"/>
        <v>0</v>
      </c>
      <c r="AJ2836" s="2"/>
      <c r="AK2836" s="2"/>
      <c r="AL2836" s="2"/>
    </row>
    <row r="2837" spans="1:38" x14ac:dyDescent="0.25">
      <c r="A2837" s="2"/>
      <c r="B2837" s="19"/>
      <c r="C2837" s="19"/>
      <c r="D2837" s="33">
        <f t="shared" si="1272"/>
        <v>7</v>
      </c>
      <c r="E2837" s="1788"/>
      <c r="F2837" s="1049"/>
      <c r="G2837" s="446"/>
      <c r="H2837" s="431"/>
      <c r="I2837" s="468"/>
      <c r="J2837" s="1120"/>
      <c r="K2837" s="431"/>
      <c r="L2837" s="431"/>
      <c r="M2837" s="431"/>
      <c r="N2837" s="431"/>
      <c r="O2837" s="15"/>
      <c r="P2837" s="1362"/>
      <c r="Q2837" s="2"/>
      <c r="R2837" s="2"/>
      <c r="S2837" s="343"/>
      <c r="T2837" s="343"/>
      <c r="U2837" s="2"/>
      <c r="V2837" s="2"/>
      <c r="W2837" s="2"/>
      <c r="X2837" s="2"/>
      <c r="Y2837" s="2"/>
      <c r="Z2837" s="583" t="b">
        <f t="shared" si="1267"/>
        <v>0</v>
      </c>
      <c r="AA2837" s="108" t="b">
        <f t="shared" si="1268"/>
        <v>0</v>
      </c>
      <c r="AB2837" s="109" t="b">
        <f t="shared" si="1270"/>
        <v>0</v>
      </c>
      <c r="AC2837" s="153" t="b">
        <f t="shared" si="1273"/>
        <v>0</v>
      </c>
      <c r="AD2837" s="108" t="b">
        <f t="shared" si="1273"/>
        <v>0</v>
      </c>
      <c r="AE2837" s="108" t="b">
        <f t="shared" si="1273"/>
        <v>0</v>
      </c>
      <c r="AF2837" s="108" t="b">
        <f t="shared" si="1273"/>
        <v>0</v>
      </c>
      <c r="AG2837" s="108" t="b">
        <f t="shared" si="1273"/>
        <v>0</v>
      </c>
      <c r="AH2837" s="108" t="b">
        <f t="shared" si="1273"/>
        <v>0</v>
      </c>
      <c r="AI2837" s="109" t="b">
        <f t="shared" si="1273"/>
        <v>0</v>
      </c>
      <c r="AJ2837" s="2"/>
      <c r="AK2837" s="2"/>
      <c r="AL2837" s="2"/>
    </row>
    <row r="2838" spans="1:38" x14ac:dyDescent="0.25">
      <c r="A2838" s="2"/>
      <c r="B2838" s="19"/>
      <c r="C2838" s="19"/>
      <c r="D2838" s="33">
        <f t="shared" si="1272"/>
        <v>8</v>
      </c>
      <c r="E2838" s="1788"/>
      <c r="F2838" s="1049"/>
      <c r="G2838" s="446"/>
      <c r="H2838" s="431"/>
      <c r="I2838" s="468"/>
      <c r="J2838" s="1120"/>
      <c r="K2838" s="431"/>
      <c r="L2838" s="431"/>
      <c r="M2838" s="431"/>
      <c r="N2838" s="431"/>
      <c r="O2838" s="15"/>
      <c r="P2838" s="1362"/>
      <c r="Q2838" s="2"/>
      <c r="R2838" s="2"/>
      <c r="S2838" s="343"/>
      <c r="T2838" s="343"/>
      <c r="U2838" s="2"/>
      <c r="V2838" s="2"/>
      <c r="W2838" s="2"/>
      <c r="X2838" s="2"/>
      <c r="Y2838" s="2"/>
      <c r="Z2838" s="583" t="b">
        <f t="shared" si="1267"/>
        <v>0</v>
      </c>
      <c r="AA2838" s="108" t="b">
        <f t="shared" si="1268"/>
        <v>0</v>
      </c>
      <c r="AB2838" s="109" t="b">
        <f t="shared" si="1270"/>
        <v>0</v>
      </c>
      <c r="AC2838" s="153" t="b">
        <f t="shared" si="1273"/>
        <v>0</v>
      </c>
      <c r="AD2838" s="108" t="b">
        <f t="shared" si="1273"/>
        <v>0</v>
      </c>
      <c r="AE2838" s="108" t="b">
        <f t="shared" si="1273"/>
        <v>0</v>
      </c>
      <c r="AF2838" s="108" t="b">
        <f t="shared" si="1273"/>
        <v>0</v>
      </c>
      <c r="AG2838" s="108" t="b">
        <f t="shared" si="1273"/>
        <v>0</v>
      </c>
      <c r="AH2838" s="108" t="b">
        <f t="shared" si="1273"/>
        <v>0</v>
      </c>
      <c r="AI2838" s="109" t="b">
        <f t="shared" si="1273"/>
        <v>0</v>
      </c>
      <c r="AJ2838" s="2"/>
      <c r="AK2838" s="2"/>
      <c r="AL2838" s="2"/>
    </row>
    <row r="2839" spans="1:38" x14ac:dyDescent="0.25">
      <c r="A2839" s="2"/>
      <c r="B2839" s="19"/>
      <c r="C2839" s="19"/>
      <c r="D2839" s="33">
        <f t="shared" si="1272"/>
        <v>9</v>
      </c>
      <c r="E2839" s="1788"/>
      <c r="F2839" s="1049"/>
      <c r="G2839" s="446"/>
      <c r="H2839" s="431"/>
      <c r="I2839" s="468"/>
      <c r="J2839" s="1120"/>
      <c r="K2839" s="431"/>
      <c r="L2839" s="431"/>
      <c r="M2839" s="431"/>
      <c r="N2839" s="431"/>
      <c r="O2839" s="15"/>
      <c r="P2839" s="1362"/>
      <c r="Q2839" s="2"/>
      <c r="R2839" s="2"/>
      <c r="S2839" s="343"/>
      <c r="T2839" s="343"/>
      <c r="U2839" s="2"/>
      <c r="V2839" s="2"/>
      <c r="W2839" s="2"/>
      <c r="X2839" s="2"/>
      <c r="Y2839" s="2"/>
      <c r="Z2839" s="583" t="b">
        <f t="shared" si="1267"/>
        <v>0</v>
      </c>
      <c r="AA2839" s="108" t="b">
        <f t="shared" si="1268"/>
        <v>0</v>
      </c>
      <c r="AB2839" s="109" t="b">
        <f t="shared" si="1270"/>
        <v>0</v>
      </c>
      <c r="AC2839" s="153" t="b">
        <f t="shared" si="1273"/>
        <v>0</v>
      </c>
      <c r="AD2839" s="108" t="b">
        <f t="shared" si="1273"/>
        <v>0</v>
      </c>
      <c r="AE2839" s="108" t="b">
        <f t="shared" si="1273"/>
        <v>0</v>
      </c>
      <c r="AF2839" s="108" t="b">
        <f t="shared" si="1273"/>
        <v>0</v>
      </c>
      <c r="AG2839" s="108" t="b">
        <f t="shared" si="1273"/>
        <v>0</v>
      </c>
      <c r="AH2839" s="108" t="b">
        <f t="shared" si="1273"/>
        <v>0</v>
      </c>
      <c r="AI2839" s="109" t="b">
        <f t="shared" si="1273"/>
        <v>0</v>
      </c>
      <c r="AJ2839" s="2"/>
      <c r="AK2839" s="2"/>
      <c r="AL2839" s="2"/>
    </row>
    <row r="2840" spans="1:38" ht="13" thickBot="1" x14ac:dyDescent="0.3">
      <c r="A2840" s="2"/>
      <c r="B2840" s="19"/>
      <c r="C2840" s="19"/>
      <c r="D2840" s="36">
        <f t="shared" si="1272"/>
        <v>10</v>
      </c>
      <c r="E2840" s="1790"/>
      <c r="F2840" s="1050"/>
      <c r="G2840" s="447"/>
      <c r="H2840" s="357"/>
      <c r="I2840" s="469"/>
      <c r="J2840" s="1112"/>
      <c r="K2840" s="357"/>
      <c r="L2840" s="357"/>
      <c r="M2840" s="357"/>
      <c r="N2840" s="357"/>
      <c r="O2840" s="15"/>
      <c r="P2840" s="1362"/>
      <c r="Q2840" s="2"/>
      <c r="R2840" s="2"/>
      <c r="S2840" s="343"/>
      <c r="T2840" s="343"/>
      <c r="U2840" s="2"/>
      <c r="V2840" s="2"/>
      <c r="W2840" s="2"/>
      <c r="X2840" s="2"/>
      <c r="Y2840" s="2"/>
      <c r="Z2840" s="110" t="b">
        <f t="shared" si="1267"/>
        <v>0</v>
      </c>
      <c r="AA2840" s="111" t="b">
        <f t="shared" si="1268"/>
        <v>0</v>
      </c>
      <c r="AB2840" s="112" t="b">
        <f t="shared" si="1270"/>
        <v>0</v>
      </c>
      <c r="AC2840" s="156" t="b">
        <f t="shared" si="1273"/>
        <v>0</v>
      </c>
      <c r="AD2840" s="111" t="b">
        <f t="shared" si="1273"/>
        <v>0</v>
      </c>
      <c r="AE2840" s="111" t="b">
        <f t="shared" si="1273"/>
        <v>0</v>
      </c>
      <c r="AF2840" s="111" t="b">
        <f t="shared" si="1273"/>
        <v>0</v>
      </c>
      <c r="AG2840" s="111" t="b">
        <f t="shared" si="1273"/>
        <v>0</v>
      </c>
      <c r="AH2840" s="111" t="b">
        <f t="shared" si="1273"/>
        <v>0</v>
      </c>
      <c r="AI2840" s="112" t="b">
        <f t="shared" si="1273"/>
        <v>0</v>
      </c>
      <c r="AJ2840" s="2"/>
      <c r="AK2840" s="2"/>
      <c r="AL2840" s="2"/>
    </row>
    <row r="2841" spans="1:38" ht="12.75" customHeight="1" thickBot="1" x14ac:dyDescent="0.3">
      <c r="A2841" s="2"/>
      <c r="B2841" s="19"/>
      <c r="C2841" s="19"/>
      <c r="D2841" s="90"/>
      <c r="E2841" s="1026" t="str">
        <f>Translations!$B$548</f>
        <v>Summa av produktionsnivåer</v>
      </c>
      <c r="F2841" s="915"/>
      <c r="G2841" s="554"/>
      <c r="H2841" s="275" t="str">
        <f t="shared" ref="H2841:N2841" si="1274">IF(COUNT(H2831:H2840)&gt;0,SUM(H2831:H2840),"")</f>
        <v/>
      </c>
      <c r="I2841" s="281" t="str">
        <f t="shared" si="1274"/>
        <v/>
      </c>
      <c r="J2841" s="1118" t="str">
        <f t="shared" si="1274"/>
        <v/>
      </c>
      <c r="K2841" s="275" t="str">
        <f t="shared" si="1274"/>
        <v/>
      </c>
      <c r="L2841" s="275" t="str">
        <f t="shared" si="1274"/>
        <v/>
      </c>
      <c r="M2841" s="275" t="str">
        <f t="shared" si="1274"/>
        <v/>
      </c>
      <c r="N2841" s="275" t="str">
        <f t="shared" si="1274"/>
        <v/>
      </c>
      <c r="O2841" s="15"/>
      <c r="P2841" s="15"/>
      <c r="Q2841" s="2"/>
      <c r="R2841" s="2"/>
      <c r="S2841" s="343"/>
      <c r="T2841" s="343"/>
      <c r="U2841" s="2"/>
      <c r="V2841" s="2"/>
      <c r="W2841" s="2"/>
      <c r="X2841" s="2"/>
      <c r="Y2841" s="2"/>
      <c r="Z2841" s="2"/>
      <c r="AA2841" s="2"/>
      <c r="AB2841" s="555" t="b">
        <f>AND(AB2831:AB2840)</f>
        <v>0</v>
      </c>
      <c r="AC2841" s="2"/>
      <c r="AD2841" s="2"/>
      <c r="AE2841" s="2"/>
      <c r="AF2841" s="2"/>
      <c r="AG2841" s="2"/>
      <c r="AH2841" s="2"/>
      <c r="AI2841" s="2"/>
      <c r="AJ2841" s="2"/>
      <c r="AK2841" s="2"/>
      <c r="AL2841" s="2"/>
    </row>
    <row r="2842" spans="1:38" ht="12.75" customHeight="1" thickBot="1" x14ac:dyDescent="0.3">
      <c r="A2842" s="2"/>
      <c r="B2842" s="178"/>
      <c r="C2842" s="178"/>
      <c r="D2842" s="178"/>
      <c r="E2842" s="178"/>
      <c r="F2842" s="178"/>
      <c r="G2842" s="178"/>
      <c r="H2842" s="178"/>
      <c r="I2842" s="178"/>
      <c r="J2842" s="178"/>
      <c r="K2842" s="178"/>
      <c r="L2842" s="178"/>
      <c r="M2842" s="15"/>
      <c r="N2842" s="15"/>
      <c r="O2842" s="15"/>
      <c r="P2842" s="15"/>
      <c r="Q2842" s="343"/>
      <c r="R2842" s="2"/>
      <c r="S2842" s="343"/>
      <c r="T2842" s="343"/>
      <c r="U2842" s="2"/>
      <c r="V2842" s="2"/>
      <c r="W2842" s="2"/>
      <c r="X2842" s="2"/>
      <c r="Y2842" s="2"/>
      <c r="Z2842" s="2"/>
      <c r="AA2842" s="2"/>
      <c r="AB2842" s="2"/>
      <c r="AC2842" s="2"/>
      <c r="AD2842" s="2"/>
      <c r="AE2842" s="2"/>
      <c r="AF2842" s="2"/>
      <c r="AG2842" s="2"/>
      <c r="AH2842" s="2"/>
      <c r="AI2842" s="2"/>
      <c r="AJ2842" s="2"/>
      <c r="AK2842" s="2"/>
      <c r="AL2842" s="2"/>
    </row>
    <row r="2843" spans="1:38" ht="5.15" customHeight="1" x14ac:dyDescent="0.25">
      <c r="A2843" s="2"/>
      <c r="B2843" s="178"/>
      <c r="C2843" s="775"/>
      <c r="D2843" s="776"/>
      <c r="E2843" s="776"/>
      <c r="F2843" s="776"/>
      <c r="G2843" s="776"/>
      <c r="H2843" s="776"/>
      <c r="I2843" s="776"/>
      <c r="J2843" s="776"/>
      <c r="K2843" s="776"/>
      <c r="L2843" s="776"/>
      <c r="M2843" s="777"/>
      <c r="N2843" s="778"/>
      <c r="O2843" s="15"/>
      <c r="P2843" s="15"/>
      <c r="Q2843" s="343"/>
      <c r="R2843" s="2"/>
      <c r="S2843" s="343"/>
      <c r="T2843" s="343"/>
      <c r="U2843" s="2"/>
      <c r="V2843" s="2"/>
      <c r="W2843" s="2"/>
      <c r="X2843" s="2"/>
      <c r="Y2843" s="2"/>
      <c r="Z2843" s="2"/>
      <c r="AA2843" s="2"/>
      <c r="AB2843" s="2"/>
      <c r="AC2843" s="2"/>
      <c r="AD2843" s="2"/>
      <c r="AE2843" s="2"/>
      <c r="AF2843" s="2"/>
      <c r="AG2843" s="2"/>
      <c r="AH2843" s="2"/>
      <c r="AI2843" s="2"/>
      <c r="AJ2843" s="2"/>
      <c r="AK2843" s="2"/>
      <c r="AL2843" s="2"/>
    </row>
    <row r="2844" spans="1:38" ht="15" customHeight="1" x14ac:dyDescent="0.25">
      <c r="A2844" s="2"/>
      <c r="B2844" s="19"/>
      <c r="C2844" s="779"/>
      <c r="D2844" s="2645" t="str">
        <f>Translations!$B$549</f>
        <v>Uppgifter som krävs för att fastställa den riktmärkesrelaterade förbättringsfaktorn enligt artikel 10a.2 i ETS-direktivet</v>
      </c>
      <c r="E2844" s="2635"/>
      <c r="F2844" s="2635"/>
      <c r="G2844" s="2635"/>
      <c r="H2844" s="2635"/>
      <c r="I2844" s="2635"/>
      <c r="J2844" s="2635"/>
      <c r="K2844" s="2635"/>
      <c r="L2844" s="2635"/>
      <c r="M2844" s="2635"/>
      <c r="N2844" s="2636"/>
      <c r="O2844" s="15"/>
      <c r="P2844" s="15"/>
      <c r="Q2844" s="2"/>
      <c r="R2844" s="2"/>
      <c r="S2844" s="343"/>
      <c r="T2844" s="343"/>
      <c r="U2844" s="2"/>
      <c r="V2844" s="2"/>
      <c r="W2844" s="2"/>
      <c r="X2844" s="2"/>
      <c r="Y2844" s="2"/>
      <c r="Z2844" s="2"/>
      <c r="AA2844" s="2"/>
      <c r="AB2844" s="2"/>
      <c r="AC2844" s="2"/>
      <c r="AD2844" s="2"/>
      <c r="AE2844" s="2"/>
      <c r="AF2844" s="2"/>
      <c r="AG2844" s="2"/>
      <c r="AH2844" s="2"/>
      <c r="AI2844" s="2"/>
      <c r="AJ2844" s="2"/>
      <c r="AK2844" s="2"/>
      <c r="AL2844" s="2"/>
    </row>
    <row r="2845" spans="1:38" ht="5.15" customHeight="1" x14ac:dyDescent="0.25">
      <c r="A2845" s="2"/>
      <c r="B2845" s="19"/>
      <c r="C2845" s="371"/>
      <c r="D2845" s="360"/>
      <c r="E2845" s="360"/>
      <c r="F2845" s="360"/>
      <c r="G2845" s="360"/>
      <c r="H2845" s="360"/>
      <c r="I2845" s="360"/>
      <c r="J2845" s="360"/>
      <c r="K2845" s="360"/>
      <c r="L2845" s="360"/>
      <c r="M2845" s="360"/>
      <c r="N2845" s="372"/>
      <c r="O2845" s="15"/>
      <c r="P2845" s="15"/>
      <c r="Q2845" s="2"/>
      <c r="R2845" s="2"/>
      <c r="S2845" s="343"/>
      <c r="T2845" s="343"/>
      <c r="U2845" s="2"/>
      <c r="V2845" s="2"/>
      <c r="W2845" s="2"/>
      <c r="X2845" s="2"/>
      <c r="Y2845" s="2"/>
      <c r="Z2845" s="2"/>
      <c r="AA2845" s="2"/>
      <c r="AB2845" s="2"/>
      <c r="AC2845" s="2"/>
      <c r="AD2845" s="2"/>
      <c r="AE2845" s="2"/>
      <c r="AF2845" s="2"/>
      <c r="AG2845" s="2"/>
      <c r="AH2845" s="2"/>
      <c r="AI2845" s="2"/>
      <c r="AJ2845" s="2"/>
      <c r="AK2845" s="2"/>
      <c r="AL2845" s="2"/>
    </row>
    <row r="2846" spans="1:38" ht="15" customHeight="1" x14ac:dyDescent="0.25">
      <c r="A2846" s="2"/>
      <c r="B2846" s="19"/>
      <c r="C2846" s="371"/>
      <c r="D2846" s="2646" t="str">
        <f>EUconst_BMSubinst &amp; ":"</f>
        <v>Delanläggning med produktriktmärke:</v>
      </c>
      <c r="E2846" s="2642"/>
      <c r="F2846" s="2642"/>
      <c r="G2846" s="2642"/>
      <c r="H2846" s="2647"/>
      <c r="I2846" s="2090" t="str">
        <f>I2731</f>
        <v/>
      </c>
      <c r="J2846" s="2120"/>
      <c r="K2846" s="2120"/>
      <c r="L2846" s="2120"/>
      <c r="M2846" s="2120"/>
      <c r="N2846" s="2648"/>
      <c r="O2846" s="15"/>
      <c r="P2846" s="15"/>
      <c r="Q2846" s="2"/>
      <c r="R2846" s="2"/>
      <c r="S2846" s="343"/>
      <c r="T2846" s="343"/>
      <c r="U2846" s="2"/>
      <c r="V2846" s="2"/>
      <c r="W2846" s="2"/>
      <c r="X2846" s="2"/>
      <c r="Y2846" s="2"/>
      <c r="Z2846" s="2"/>
      <c r="AA2846" s="2"/>
      <c r="AB2846" s="2"/>
      <c r="AC2846" s="2"/>
      <c r="AD2846" s="2"/>
      <c r="AE2846" s="2"/>
      <c r="AF2846" s="2"/>
      <c r="AG2846" s="2"/>
      <c r="AH2846" s="2"/>
      <c r="AI2846" s="2"/>
      <c r="AJ2846" s="2"/>
      <c r="AK2846" s="2"/>
      <c r="AL2846" s="2"/>
    </row>
    <row r="2847" spans="1:38" ht="5.15" customHeight="1" x14ac:dyDescent="0.25">
      <c r="A2847" s="2"/>
      <c r="B2847" s="19"/>
      <c r="C2847" s="371"/>
      <c r="D2847" s="360"/>
      <c r="E2847" s="360"/>
      <c r="F2847" s="360"/>
      <c r="G2847" s="360"/>
      <c r="H2847" s="360"/>
      <c r="I2847" s="360"/>
      <c r="J2847" s="360"/>
      <c r="K2847" s="360"/>
      <c r="L2847" s="360"/>
      <c r="M2847" s="360"/>
      <c r="N2847" s="372"/>
      <c r="O2847" s="15"/>
      <c r="P2847" s="15"/>
      <c r="Q2847" s="2"/>
      <c r="R2847" s="2"/>
      <c r="S2847" s="343"/>
      <c r="T2847" s="343"/>
      <c r="U2847" s="2"/>
      <c r="V2847" s="2"/>
      <c r="W2847" s="2"/>
      <c r="X2847" s="2"/>
      <c r="Y2847" s="2"/>
      <c r="Z2847" s="2"/>
      <c r="AA2847" s="2"/>
      <c r="AB2847" s="2"/>
      <c r="AC2847" s="2"/>
      <c r="AD2847" s="2"/>
      <c r="AE2847" s="2"/>
      <c r="AF2847" s="2"/>
      <c r="AG2847" s="2"/>
      <c r="AH2847" s="2"/>
      <c r="AI2847" s="2"/>
      <c r="AJ2847" s="2"/>
      <c r="AK2847" s="2"/>
      <c r="AL2847" s="2"/>
    </row>
    <row r="2848" spans="1:38" ht="30" customHeight="1" x14ac:dyDescent="0.25">
      <c r="A2848" s="2"/>
      <c r="B2848" s="178"/>
      <c r="C2848" s="779"/>
      <c r="D2848" s="780"/>
      <c r="E2848" s="2649" t="str">
        <f>Translations!$B$550</f>
        <v>Detta underavsnitt avser tillskrivning av utsläpp från bränsle-/materialmängder, utsläppskällor, import och export av mätbar värme och restgaser inklusive värmeförluster i enlighet med avsnitt 10 i bilaga VII till FAR.</v>
      </c>
      <c r="F2848" s="2649"/>
      <c r="G2848" s="2649"/>
      <c r="H2848" s="2649"/>
      <c r="I2848" s="2649"/>
      <c r="J2848" s="2649"/>
      <c r="K2848" s="2649"/>
      <c r="L2848" s="2649"/>
      <c r="M2848" s="2649"/>
      <c r="N2848" s="2650"/>
      <c r="O2848" s="15"/>
      <c r="P2848" s="15"/>
      <c r="Q2848" s="343"/>
      <c r="R2848" s="2"/>
      <c r="S2848" s="2"/>
      <c r="T2848" s="2"/>
      <c r="U2848" s="2"/>
      <c r="V2848" s="2"/>
      <c r="W2848" s="2"/>
      <c r="X2848" s="2"/>
      <c r="Y2848" s="2"/>
      <c r="Z2848" s="2"/>
      <c r="AA2848" s="2"/>
      <c r="AB2848" s="2"/>
      <c r="AC2848" s="2"/>
      <c r="AD2848" s="2"/>
      <c r="AE2848" s="2"/>
      <c r="AF2848" s="2"/>
      <c r="AG2848" s="2"/>
      <c r="AH2848" s="2"/>
      <c r="AI2848" s="2"/>
      <c r="AJ2848" s="2"/>
      <c r="AK2848" s="2"/>
      <c r="AL2848" s="2"/>
    </row>
    <row r="2849" spans="1:38" ht="30" customHeight="1" x14ac:dyDescent="0.25">
      <c r="A2849" s="2"/>
      <c r="B2849" s="178"/>
      <c r="C2849" s="779"/>
      <c r="D2849" s="780"/>
      <c r="E2849" s="2649" t="str">
        <f>Translations!$B$551</f>
        <v xml:space="preserve">Var god notera att även om viss vägledning ges för varje punkt nedan bör ytterligare information inhämtas från vägledning 5 (”Monitoring and Reporting in relation to the FAR”), som också innehåller exempel. </v>
      </c>
      <c r="F2849" s="2649"/>
      <c r="G2849" s="2649"/>
      <c r="H2849" s="2649"/>
      <c r="I2849" s="2649"/>
      <c r="J2849" s="2649"/>
      <c r="K2849" s="2649"/>
      <c r="L2849" s="2649"/>
      <c r="M2849" s="2649"/>
      <c r="N2849" s="2597"/>
      <c r="O2849" s="15"/>
      <c r="P2849" s="15"/>
      <c r="Q2849" s="343"/>
      <c r="R2849" s="2"/>
      <c r="S2849" s="2"/>
      <c r="T2849" s="2"/>
      <c r="U2849" s="2"/>
      <c r="V2849" s="2"/>
      <c r="W2849" s="2"/>
      <c r="X2849" s="2"/>
      <c r="Y2849" s="2"/>
      <c r="Z2849" s="2"/>
      <c r="AA2849" s="2"/>
      <c r="AB2849" s="2"/>
      <c r="AC2849" s="2"/>
      <c r="AD2849" s="2"/>
      <c r="AE2849" s="2"/>
      <c r="AF2849" s="2"/>
      <c r="AG2849" s="2"/>
      <c r="AH2849" s="2"/>
      <c r="AI2849" s="2"/>
      <c r="AJ2849" s="2"/>
      <c r="AK2849" s="2"/>
      <c r="AL2849" s="2"/>
    </row>
    <row r="2850" spans="1:38" ht="12.75" customHeight="1" x14ac:dyDescent="0.25">
      <c r="A2850" s="2"/>
      <c r="B2850" s="178"/>
      <c r="C2850" s="779"/>
      <c r="D2850" s="780"/>
      <c r="E2850" s="2649" t="str">
        <f>Translations!$B$552</f>
        <v xml:space="preserve">Vägledningen kan laddas ner via följande länk: </v>
      </c>
      <c r="F2850" s="1960"/>
      <c r="G2850" s="1960"/>
      <c r="H2850" s="1960"/>
      <c r="I2850" s="1960"/>
      <c r="J2850" s="1960"/>
      <c r="K2850" s="1960"/>
      <c r="L2850" s="1960"/>
      <c r="M2850" s="1960"/>
      <c r="N2850" s="2597"/>
      <c r="O2850" s="15"/>
      <c r="P2850" s="15"/>
      <c r="Q2850" s="343"/>
      <c r="R2850" s="2"/>
      <c r="S2850" s="2"/>
      <c r="T2850" s="2"/>
      <c r="U2850" s="2"/>
      <c r="V2850" s="2"/>
      <c r="W2850" s="2"/>
      <c r="X2850" s="2"/>
      <c r="Y2850" s="2"/>
      <c r="Z2850" s="2"/>
      <c r="AA2850" s="2"/>
      <c r="AB2850" s="2"/>
      <c r="AC2850" s="2"/>
      <c r="AD2850" s="2"/>
      <c r="AE2850" s="2"/>
      <c r="AF2850" s="2"/>
      <c r="AG2850" s="2"/>
      <c r="AH2850" s="2"/>
      <c r="AI2850" s="2"/>
      <c r="AJ2850" s="2"/>
      <c r="AK2850" s="2"/>
      <c r="AL2850" s="2"/>
    </row>
    <row r="2851" spans="1:38" ht="15" customHeight="1" x14ac:dyDescent="0.25">
      <c r="A2851" s="2"/>
      <c r="B2851" s="178"/>
      <c r="C2851" s="779"/>
      <c r="D2851" s="780"/>
      <c r="E2851" s="2651" t="str">
        <f>Translations!$B$553</f>
        <v>https://ec.europa.eu/clima/policies/ets/allowances_en#tab-0-1</v>
      </c>
      <c r="F2851" s="2651"/>
      <c r="G2851" s="2651"/>
      <c r="H2851" s="2651"/>
      <c r="I2851" s="2651"/>
      <c r="J2851" s="2651"/>
      <c r="K2851" s="2651"/>
      <c r="L2851" s="2651"/>
      <c r="M2851" s="2651"/>
      <c r="N2851" s="2624"/>
      <c r="O2851" s="15"/>
      <c r="P2851" s="15"/>
      <c r="Q2851" s="343"/>
      <c r="R2851" s="2"/>
      <c r="S2851" s="2"/>
      <c r="T2851" s="2"/>
      <c r="U2851" s="2"/>
      <c r="V2851" s="2"/>
      <c r="W2851" s="2"/>
      <c r="X2851" s="2"/>
      <c r="Y2851" s="2"/>
      <c r="Z2851" s="2"/>
      <c r="AA2851" s="2"/>
      <c r="AB2851" s="2"/>
      <c r="AC2851" s="2"/>
      <c r="AD2851" s="2"/>
      <c r="AE2851" s="2"/>
      <c r="AF2851" s="2"/>
      <c r="AG2851" s="2"/>
      <c r="AH2851" s="2"/>
      <c r="AI2851" s="2"/>
      <c r="AJ2851" s="2"/>
      <c r="AK2851" s="2"/>
      <c r="AL2851" s="2"/>
    </row>
    <row r="2852" spans="1:38" ht="5.15" customHeight="1" x14ac:dyDescent="0.25">
      <c r="A2852" s="2"/>
      <c r="B2852" s="19"/>
      <c r="C2852" s="371"/>
      <c r="D2852" s="360"/>
      <c r="E2852" s="360"/>
      <c r="F2852" s="360"/>
      <c r="G2852" s="360"/>
      <c r="H2852" s="360"/>
      <c r="I2852" s="360"/>
      <c r="J2852" s="360"/>
      <c r="K2852" s="360"/>
      <c r="L2852" s="360"/>
      <c r="M2852" s="360"/>
      <c r="N2852" s="372"/>
      <c r="O2852" s="15"/>
      <c r="P2852" s="15"/>
      <c r="Q2852" s="2"/>
      <c r="R2852" s="2"/>
      <c r="S2852" s="343"/>
      <c r="T2852" s="343"/>
      <c r="U2852" s="2"/>
      <c r="V2852" s="2"/>
      <c r="W2852" s="2"/>
      <c r="X2852" s="2"/>
      <c r="Y2852" s="2"/>
      <c r="Z2852" s="2"/>
      <c r="AA2852" s="2"/>
      <c r="AB2852" s="2"/>
      <c r="AC2852" s="2"/>
      <c r="AD2852" s="2"/>
      <c r="AE2852" s="2"/>
      <c r="AF2852" s="2"/>
      <c r="AG2852" s="2"/>
      <c r="AH2852" s="2"/>
      <c r="AI2852" s="2"/>
      <c r="AJ2852" s="2"/>
      <c r="AK2852" s="2"/>
      <c r="AL2852" s="2"/>
    </row>
    <row r="2853" spans="1:38" ht="15" customHeight="1" x14ac:dyDescent="0.25">
      <c r="A2853" s="2"/>
      <c r="B2853" s="178"/>
      <c r="C2853" s="779"/>
      <c r="D2853" s="780"/>
      <c r="E2853" s="2633" t="str">
        <f>Translations!$B$554</f>
        <v>Utifrån de uppgifter som anges nedan beräknas de tillskrivna utsläppen i avsnitt K.III.2 i det sammanfattande bladet "K_Summary".</v>
      </c>
      <c r="F2853" s="2633"/>
      <c r="G2853" s="2633"/>
      <c r="H2853" s="2633"/>
      <c r="I2853" s="2633"/>
      <c r="J2853" s="2633"/>
      <c r="K2853" s="2633"/>
      <c r="L2853" s="2633"/>
      <c r="M2853" s="2633"/>
      <c r="N2853" s="2624"/>
      <c r="O2853" s="15"/>
      <c r="P2853" s="15"/>
      <c r="Q2853" s="343"/>
      <c r="R2853" s="2"/>
      <c r="S2853" s="2"/>
      <c r="T2853" s="2"/>
      <c r="U2853" s="2"/>
      <c r="V2853" s="2"/>
      <c r="W2853" s="2"/>
      <c r="X2853" s="2"/>
      <c r="Y2853" s="2"/>
      <c r="Z2853" s="2"/>
      <c r="AA2853" s="2"/>
      <c r="AB2853" s="2"/>
      <c r="AC2853" s="2"/>
      <c r="AD2853" s="2"/>
      <c r="AE2853" s="2"/>
      <c r="AF2853" s="2"/>
      <c r="AG2853" s="2"/>
      <c r="AH2853" s="2"/>
      <c r="AI2853" s="2"/>
      <c r="AJ2853" s="2"/>
      <c r="AK2853" s="2"/>
      <c r="AL2853" s="2"/>
    </row>
    <row r="2854" spans="1:38" ht="5.15" customHeight="1" x14ac:dyDescent="0.25">
      <c r="A2854" s="2"/>
      <c r="B2854" s="19"/>
      <c r="C2854" s="371"/>
      <c r="D2854" s="360"/>
      <c r="E2854" s="360"/>
      <c r="F2854" s="360"/>
      <c r="G2854" s="360"/>
      <c r="H2854" s="360"/>
      <c r="I2854" s="360"/>
      <c r="J2854" s="360"/>
      <c r="K2854" s="360"/>
      <c r="L2854" s="360"/>
      <c r="M2854" s="360"/>
      <c r="N2854" s="372"/>
      <c r="O2854" s="15"/>
      <c r="P2854" s="15"/>
      <c r="Q2854" s="2"/>
      <c r="R2854" s="2"/>
      <c r="S2854" s="343"/>
      <c r="T2854" s="343"/>
      <c r="U2854" s="2"/>
      <c r="V2854" s="2"/>
      <c r="W2854" s="2"/>
      <c r="X2854" s="2"/>
      <c r="Y2854" s="2"/>
      <c r="Z2854" s="2"/>
      <c r="AA2854" s="2"/>
      <c r="AB2854" s="2"/>
      <c r="AC2854" s="2"/>
      <c r="AD2854" s="2"/>
      <c r="AE2854" s="2"/>
      <c r="AF2854" s="2"/>
      <c r="AG2854" s="2"/>
      <c r="AH2854" s="2"/>
      <c r="AI2854" s="2"/>
      <c r="AJ2854" s="2"/>
      <c r="AK2854" s="2"/>
      <c r="AL2854" s="2"/>
    </row>
    <row r="2855" spans="1:38" ht="12.75" customHeight="1" x14ac:dyDescent="0.25">
      <c r="A2855" s="2"/>
      <c r="B2855" s="178"/>
      <c r="C2855" s="779"/>
      <c r="D2855" s="373" t="s">
        <v>299</v>
      </c>
      <c r="E2855" s="2634" t="str">
        <f>Translations!$B$555</f>
        <v>Utsläpp som direkt kan tillskrivas (DirEm* (bränsle-/materialmängder enligt övervakningsplan)) delanläggningen</v>
      </c>
      <c r="F2855" s="2635"/>
      <c r="G2855" s="2635"/>
      <c r="H2855" s="2635"/>
      <c r="I2855" s="2635"/>
      <c r="J2855" s="2635"/>
      <c r="K2855" s="2635"/>
      <c r="L2855" s="2635"/>
      <c r="M2855" s="2635"/>
      <c r="N2855" s="2636"/>
      <c r="O2855" s="15"/>
      <c r="P2855" s="15"/>
      <c r="Q2855" s="343"/>
      <c r="R2855" s="2"/>
      <c r="S2855" s="343"/>
      <c r="T2855" s="343"/>
      <c r="U2855" s="2"/>
      <c r="V2855" s="2"/>
      <c r="W2855" s="2"/>
      <c r="X2855" s="2"/>
      <c r="Y2855" s="2"/>
      <c r="Z2855" s="2"/>
      <c r="AA2855" s="2"/>
      <c r="AB2855" s="2"/>
      <c r="AC2855" s="2"/>
      <c r="AD2855" s="2"/>
      <c r="AE2855" s="2"/>
      <c r="AF2855" s="2"/>
      <c r="AG2855" s="2"/>
      <c r="AH2855" s="2"/>
      <c r="AI2855" s="2"/>
      <c r="AJ2855" s="2"/>
      <c r="AK2855" s="2"/>
      <c r="AL2855" s="2"/>
    </row>
    <row r="2856" spans="1:38" ht="12.75" customHeight="1" x14ac:dyDescent="0.25">
      <c r="A2856" s="2"/>
      <c r="B2856" s="178"/>
      <c r="C2856" s="779"/>
      <c r="D2856" s="416"/>
      <c r="E2856" s="2637" t="str">
        <f>Translations!$B$556</f>
        <v>De uppgifter som anges här påverkar de utsläpp som kan tillskrivas i enlighet med avsnitt 10.1.1 i bilaga VII till FAR.</v>
      </c>
      <c r="F2856" s="2634"/>
      <c r="G2856" s="2634"/>
      <c r="H2856" s="2634"/>
      <c r="I2856" s="2634"/>
      <c r="J2856" s="2634"/>
      <c r="K2856" s="2634"/>
      <c r="L2856" s="2634"/>
      <c r="M2856" s="2634"/>
      <c r="N2856" s="2638"/>
      <c r="O2856" s="15"/>
      <c r="P2856" s="15"/>
      <c r="Q2856" s="343"/>
      <c r="R2856" s="2"/>
      <c r="S2856" s="343"/>
      <c r="T2856" s="343"/>
      <c r="U2856" s="2"/>
      <c r="V2856" s="2"/>
      <c r="W2856" s="2"/>
      <c r="X2856" s="2"/>
      <c r="Y2856" s="2"/>
      <c r="Z2856" s="2"/>
      <c r="AA2856" s="2"/>
      <c r="AB2856" s="2"/>
      <c r="AC2856" s="2"/>
      <c r="AD2856" s="2"/>
      <c r="AE2856" s="2"/>
      <c r="AF2856" s="2"/>
      <c r="AG2856" s="2"/>
      <c r="AH2856" s="2"/>
      <c r="AI2856" s="2"/>
      <c r="AJ2856" s="2"/>
      <c r="AK2856" s="2"/>
      <c r="AL2856" s="2"/>
    </row>
    <row r="2857" spans="1:38" ht="12.75" customHeight="1" x14ac:dyDescent="0.25">
      <c r="A2857" s="2"/>
      <c r="B2857" s="178"/>
      <c r="C2857" s="779"/>
      <c r="D2857" s="780"/>
      <c r="E2857" s="2639" t="str">
        <f>Translations!$B$557</f>
        <v>Var god ange utsläpp som direkt kan tillskrivas (DirEm* (bränsle-/materialmängder enligt övervakningsplan)) delanläggningen med beaktande av följande bestämmelser:</v>
      </c>
      <c r="F2857" s="2639"/>
      <c r="G2857" s="2639"/>
      <c r="H2857" s="2639"/>
      <c r="I2857" s="2639"/>
      <c r="J2857" s="2639"/>
      <c r="K2857" s="2639"/>
      <c r="L2857" s="2639"/>
      <c r="M2857" s="2639"/>
      <c r="N2857" s="2640"/>
      <c r="O2857" s="15"/>
      <c r="P2857" s="15"/>
      <c r="Q2857" s="343"/>
      <c r="R2857" s="2"/>
      <c r="S2857" s="343"/>
      <c r="T2857" s="2"/>
      <c r="U2857" s="2"/>
      <c r="V2857" s="2"/>
      <c r="W2857" s="2"/>
      <c r="X2857" s="2"/>
      <c r="Y2857" s="2"/>
      <c r="Z2857" s="2"/>
      <c r="AA2857" s="2"/>
      <c r="AB2857" s="2"/>
      <c r="AC2857" s="2"/>
      <c r="AD2857" s="2"/>
      <c r="AE2857" s="2"/>
      <c r="AF2857" s="2"/>
      <c r="AG2857" s="2"/>
      <c r="AH2857" s="2"/>
      <c r="AI2857" s="2"/>
      <c r="AJ2857" s="2"/>
      <c r="AK2857" s="2"/>
      <c r="AL2857" s="2"/>
    </row>
    <row r="2858" spans="1:38" ht="25.5" customHeight="1" x14ac:dyDescent="0.25">
      <c r="A2858" s="2"/>
      <c r="B2858" s="178"/>
      <c r="C2858" s="779"/>
      <c r="D2858" s="780"/>
      <c r="E2858" s="1140" t="s">
        <v>1112</v>
      </c>
      <c r="F2858" s="2641" t="str">
        <f>Translations!$B$558</f>
        <v>”Utsläpp som direkt kan tillskrivas” övervakas enligt den övervakningsplan som ska godkännas enligt M&amp;R-förordningen, dvs. med hänsyn tagen till de utsläpp som fastställts utifrån beräkningsbaserade metoder (med hjälp av bränsle-/materialmängder), mätbaserade metoder (Cems) och nivålösa metoder (”alternativa övervakningsmetoder”/”fall-back”).</v>
      </c>
      <c r="G2858" s="2642"/>
      <c r="H2858" s="2642"/>
      <c r="I2858" s="2642"/>
      <c r="J2858" s="2642"/>
      <c r="K2858" s="2642"/>
      <c r="L2858" s="2642"/>
      <c r="M2858" s="2642"/>
      <c r="N2858" s="2643"/>
      <c r="O2858" s="15"/>
      <c r="P2858" s="15"/>
      <c r="Q2858" s="343"/>
      <c r="R2858" s="2"/>
      <c r="S2858" s="343"/>
      <c r="T2858" s="2"/>
      <c r="U2858" s="2"/>
      <c r="V2858" s="2"/>
      <c r="W2858" s="2"/>
      <c r="X2858" s="2"/>
      <c r="Y2858" s="2"/>
      <c r="Z2858" s="2"/>
      <c r="AA2858" s="2"/>
      <c r="AB2858" s="2"/>
      <c r="AC2858" s="2"/>
      <c r="AD2858" s="2"/>
      <c r="AE2858" s="2"/>
      <c r="AF2858" s="2"/>
      <c r="AG2858" s="2"/>
      <c r="AH2858" s="2"/>
      <c r="AI2858" s="2"/>
      <c r="AJ2858" s="2"/>
      <c r="AK2858" s="2"/>
      <c r="AL2858" s="2"/>
    </row>
    <row r="2859" spans="1:38" ht="38.25" customHeight="1" x14ac:dyDescent="0.25">
      <c r="A2859" s="2"/>
      <c r="B2859" s="178"/>
      <c r="C2859" s="779"/>
      <c r="D2859" s="780"/>
      <c r="E2859" s="1140"/>
      <c r="F2859" s="2610" t="str">
        <f>Translations!$B$559</f>
        <v>I flera situationer är ”utsläppen som direkt kan tillskrivas” i detta avsnitt dock inte identiska med de som ska rapporteras enligt M&amp;R-förordningen. Sådana situationer är bland annat när bränsle-/materialmängder används för produktion av mätbar värme, restgaser osv. Med andra ord måste man därför vara uppmärksam när man fyller i avsnitten nedan, så att man följer instruktionerna noggrant för att undvika dubbelräkning eller utelämnanden.</v>
      </c>
      <c r="G2859" s="1960"/>
      <c r="H2859" s="1960"/>
      <c r="I2859" s="1960"/>
      <c r="J2859" s="1960"/>
      <c r="K2859" s="1960"/>
      <c r="L2859" s="1960"/>
      <c r="M2859" s="1960"/>
      <c r="N2859" s="2597"/>
      <c r="O2859" s="15"/>
      <c r="P2859" s="15"/>
      <c r="Q2859" s="343"/>
      <c r="R2859" s="2"/>
      <c r="S2859" s="343"/>
      <c r="T2859" s="2"/>
      <c r="U2859" s="2"/>
      <c r="V2859" s="2"/>
      <c r="W2859" s="2"/>
      <c r="X2859" s="2"/>
      <c r="Y2859" s="2"/>
      <c r="Z2859" s="2"/>
      <c r="AA2859" s="2"/>
      <c r="AB2859" s="2"/>
      <c r="AC2859" s="2"/>
      <c r="AD2859" s="2"/>
      <c r="AE2859" s="2"/>
      <c r="AF2859" s="2"/>
      <c r="AG2859" s="2"/>
      <c r="AH2859" s="2"/>
      <c r="AI2859" s="2"/>
      <c r="AJ2859" s="2"/>
      <c r="AK2859" s="2"/>
      <c r="AL2859" s="2"/>
    </row>
    <row r="2860" spans="1:38" ht="12.75" customHeight="1" x14ac:dyDescent="0.25">
      <c r="A2860" s="2"/>
      <c r="B2860" s="178"/>
      <c r="C2860" s="779"/>
      <c r="D2860" s="780"/>
      <c r="E2860" s="1140" t="s">
        <v>1112</v>
      </c>
      <c r="F2860" s="2641" t="str">
        <f>Translations!$B$560</f>
        <v xml:space="preserve">Mätbar värme: om värmen enbart produceras för en delanläggning kan utsläppen tillskrivas direkt här via bränslets utsläpp. </v>
      </c>
      <c r="G2860" s="2642"/>
      <c r="H2860" s="2642"/>
      <c r="I2860" s="2642"/>
      <c r="J2860" s="2642"/>
      <c r="K2860" s="2642"/>
      <c r="L2860" s="2642"/>
      <c r="M2860" s="2642"/>
      <c r="N2860" s="2643"/>
      <c r="O2860" s="15"/>
      <c r="P2860" s="15"/>
      <c r="Q2860" s="343"/>
      <c r="R2860" s="2"/>
      <c r="S2860" s="343"/>
      <c r="T2860" s="2"/>
      <c r="U2860" s="2"/>
      <c r="V2860" s="2"/>
      <c r="W2860" s="2"/>
      <c r="X2860" s="2"/>
      <c r="Y2860" s="2"/>
      <c r="Z2860" s="2"/>
      <c r="AA2860" s="2"/>
      <c r="AB2860" s="2"/>
      <c r="AC2860" s="2"/>
      <c r="AD2860" s="2"/>
      <c r="AE2860" s="2"/>
      <c r="AF2860" s="2"/>
      <c r="AG2860" s="2"/>
      <c r="AH2860" s="2"/>
      <c r="AI2860" s="2"/>
      <c r="AJ2860" s="2"/>
      <c r="AK2860" s="2"/>
      <c r="AL2860" s="2"/>
    </row>
    <row r="2861" spans="1:38" ht="38.9" customHeight="1" x14ac:dyDescent="0.25">
      <c r="A2861" s="2"/>
      <c r="B2861" s="178"/>
      <c r="C2861" s="779"/>
      <c r="D2861" s="780"/>
      <c r="E2861" s="1140"/>
      <c r="F2861" s="2641" t="str">
        <f>Translations!$B$561</f>
        <v>I samtliga fall där bränslen används för att producera mätbar värme som används i mer än en delanläggning där värmen förbrukas (vilket innefattar situationer med import från och export till andra anläggningar), bör bränslena inte räknas med i de ”utsläpp som direkt kan tillskrivas” delanläggningen utan tas med i punkt k nedan.</v>
      </c>
      <c r="G2861" s="2642"/>
      <c r="H2861" s="2642"/>
      <c r="I2861" s="2642"/>
      <c r="J2861" s="2642"/>
      <c r="K2861" s="2642"/>
      <c r="L2861" s="2642"/>
      <c r="M2861" s="2642"/>
      <c r="N2861" s="2643"/>
      <c r="O2861" s="15"/>
      <c r="P2861" s="15"/>
      <c r="Q2861" s="343"/>
      <c r="R2861" s="2"/>
      <c r="S2861" s="343"/>
      <c r="T2861" s="2"/>
      <c r="U2861" s="2"/>
      <c r="V2861" s="2"/>
      <c r="W2861" s="2"/>
      <c r="X2861" s="2"/>
      <c r="Y2861" s="2"/>
      <c r="Z2861" s="2"/>
      <c r="AA2861" s="2"/>
      <c r="AB2861" s="2"/>
      <c r="AC2861" s="2"/>
      <c r="AD2861" s="2"/>
      <c r="AE2861" s="2"/>
      <c r="AF2861" s="2"/>
      <c r="AG2861" s="2"/>
      <c r="AH2861" s="2"/>
      <c r="AI2861" s="2"/>
      <c r="AJ2861" s="2"/>
      <c r="AK2861" s="2"/>
      <c r="AL2861" s="2"/>
    </row>
    <row r="2862" spans="1:38" ht="25.5" customHeight="1" x14ac:dyDescent="0.25">
      <c r="A2862" s="2"/>
      <c r="B2862" s="178"/>
      <c r="C2862" s="779"/>
      <c r="D2862" s="780"/>
      <c r="E2862" s="1140"/>
      <c r="F2862" s="2641" t="str">
        <f>Translations!$B$562</f>
        <v>Detta innefattar mätbar värme från en enhet på platsen (t.ex. en energicentral vid anläggningen eller ett mer komplext ångnätverk med flera värmeproducerande enheter) som ger värme till mer än en delanläggning. I ett sådant fall bör utsläppen inte heller tillskrivas här utan i punkt k.i nedan.</v>
      </c>
      <c r="G2862" s="2642"/>
      <c r="H2862" s="2642"/>
      <c r="I2862" s="2642"/>
      <c r="J2862" s="2642"/>
      <c r="K2862" s="2642"/>
      <c r="L2862" s="2642"/>
      <c r="M2862" s="2642"/>
      <c r="N2862" s="2643"/>
      <c r="O2862" s="15"/>
      <c r="P2862" s="15"/>
      <c r="Q2862" s="343"/>
      <c r="R2862" s="2"/>
      <c r="S2862" s="343"/>
      <c r="T2862" s="2"/>
      <c r="U2862" s="2"/>
      <c r="V2862" s="2"/>
      <c r="W2862" s="2"/>
      <c r="X2862" s="2"/>
      <c r="Y2862" s="2"/>
      <c r="Z2862" s="2"/>
      <c r="AA2862" s="2"/>
      <c r="AB2862" s="2"/>
      <c r="AC2862" s="2"/>
      <c r="AD2862" s="2"/>
      <c r="AE2862" s="2"/>
      <c r="AF2862" s="2"/>
      <c r="AG2862" s="2"/>
      <c r="AH2862" s="2"/>
      <c r="AI2862" s="2"/>
      <c r="AJ2862" s="2"/>
      <c r="AK2862" s="2"/>
      <c r="AL2862" s="2"/>
    </row>
    <row r="2863" spans="1:38" ht="25.5" customHeight="1" x14ac:dyDescent="0.25">
      <c r="A2863" s="2"/>
      <c r="B2863" s="178"/>
      <c r="C2863" s="779"/>
      <c r="D2863" s="780"/>
      <c r="E2863" s="1140" t="s">
        <v>1112</v>
      </c>
      <c r="F2863" s="2641" t="str">
        <f>Translations!$B$563</f>
        <v>Exporterad mätbar värme: inga korrigeringar bör göras här om sådan värme återvinns från processen och exporteras. Avdrag för tillhörande utsläpp görs utifrån de uppgifter som ges i punkt k.v nedan.</v>
      </c>
      <c r="G2863" s="2642"/>
      <c r="H2863" s="2642"/>
      <c r="I2863" s="2642"/>
      <c r="J2863" s="2642"/>
      <c r="K2863" s="2642"/>
      <c r="L2863" s="2642"/>
      <c r="M2863" s="2642"/>
      <c r="N2863" s="2643"/>
      <c r="O2863" s="15"/>
      <c r="P2863" s="15"/>
      <c r="Q2863" s="343"/>
      <c r="R2863" s="2"/>
      <c r="S2863" s="343"/>
      <c r="T2863" s="2"/>
      <c r="U2863" s="2"/>
      <c r="V2863" s="2"/>
      <c r="W2863" s="2"/>
      <c r="X2863" s="2"/>
      <c r="Y2863" s="2"/>
      <c r="Z2863" s="2"/>
      <c r="AA2863" s="2"/>
      <c r="AB2863" s="2"/>
      <c r="AC2863" s="2"/>
      <c r="AD2863" s="2"/>
      <c r="AE2863" s="2"/>
      <c r="AF2863" s="2"/>
      <c r="AG2863" s="2"/>
      <c r="AH2863" s="2"/>
      <c r="AI2863" s="2"/>
      <c r="AJ2863" s="2"/>
      <c r="AK2863" s="2"/>
      <c r="AL2863" s="2"/>
    </row>
    <row r="2864" spans="1:38" ht="25.5" customHeight="1" thickBot="1" x14ac:dyDescent="0.3">
      <c r="A2864" s="2"/>
      <c r="B2864" s="178"/>
      <c r="C2864" s="779"/>
      <c r="D2864" s="780"/>
      <c r="E2864" s="1140" t="s">
        <v>1112</v>
      </c>
      <c r="F2864" s="2641" t="str">
        <f>Translations!$B$564</f>
        <v>Restgaser: utsläpp från restgaser som IMPORTERAS från andra anläggningar eller delanläggningar och förbrukas i denna delanläggning bör inte tas med här utan i punkt l nedan.</v>
      </c>
      <c r="G2864" s="2642"/>
      <c r="H2864" s="2642"/>
      <c r="I2864" s="2642"/>
      <c r="J2864" s="2642"/>
      <c r="K2864" s="2642"/>
      <c r="L2864" s="2642"/>
      <c r="M2864" s="2642"/>
      <c r="N2864" s="2643"/>
      <c r="O2864" s="15"/>
      <c r="P2864" s="15"/>
      <c r="Q2864" s="343"/>
      <c r="R2864" s="2"/>
      <c r="S2864" s="343"/>
      <c r="T2864" s="2"/>
      <c r="U2864" s="2"/>
      <c r="V2864" s="2"/>
      <c r="W2864" s="2"/>
      <c r="X2864" s="2"/>
      <c r="Y2864" s="2"/>
      <c r="Z2864" s="2"/>
      <c r="AA2864" s="2"/>
      <c r="AB2864" s="2"/>
      <c r="AC2864" s="2"/>
      <c r="AD2864" s="2"/>
      <c r="AE2864" s="2"/>
      <c r="AF2864" s="2"/>
      <c r="AG2864" s="2"/>
      <c r="AH2864" s="2"/>
      <c r="AI2864" s="2"/>
      <c r="AJ2864" s="2"/>
      <c r="AK2864" s="2"/>
      <c r="AL2864" s="2"/>
    </row>
    <row r="2865" spans="1:38" ht="12.75" customHeight="1" thickBot="1" x14ac:dyDescent="0.3">
      <c r="A2865" s="2"/>
      <c r="B2865" s="178"/>
      <c r="C2865" s="779"/>
      <c r="D2865" s="373"/>
      <c r="E2865" s="2605" t="str">
        <f>Translations!$B$565</f>
        <v>Utsläpp som direkt kan tillskrivas (DirEm*)</v>
      </c>
      <c r="F2865" s="2605"/>
      <c r="G2865" s="361" t="str">
        <f>EUconst_Unit</f>
        <v>Enhet</v>
      </c>
      <c r="H2865" s="362">
        <f t="shared" ref="H2865:N2865" si="1275">H$3042</f>
        <v>2019</v>
      </c>
      <c r="I2865" s="1103">
        <f t="shared" si="1275"/>
        <v>2020</v>
      </c>
      <c r="J2865" s="1104">
        <f t="shared" si="1275"/>
        <v>2021</v>
      </c>
      <c r="K2865" s="362">
        <f t="shared" si="1275"/>
        <v>2022</v>
      </c>
      <c r="L2865" s="362">
        <f t="shared" si="1275"/>
        <v>2023</v>
      </c>
      <c r="M2865" s="362">
        <f t="shared" si="1275"/>
        <v>2024</v>
      </c>
      <c r="N2865" s="1141">
        <f t="shared" si="1275"/>
        <v>2025</v>
      </c>
      <c r="O2865" s="15"/>
      <c r="P2865" s="15"/>
      <c r="Q2865" s="343"/>
      <c r="R2865" s="2"/>
      <c r="S2865" s="772"/>
      <c r="T2865" s="609">
        <f t="shared" ref="T2865:Z2865" si="1276">H2865</f>
        <v>2019</v>
      </c>
      <c r="U2865" s="609">
        <f t="shared" si="1276"/>
        <v>2020</v>
      </c>
      <c r="V2865" s="609">
        <f t="shared" si="1276"/>
        <v>2021</v>
      </c>
      <c r="W2865" s="609">
        <f t="shared" si="1276"/>
        <v>2022</v>
      </c>
      <c r="X2865" s="609">
        <f t="shared" si="1276"/>
        <v>2023</v>
      </c>
      <c r="Y2865" s="609">
        <f t="shared" si="1276"/>
        <v>2024</v>
      </c>
      <c r="Z2865" s="610">
        <f t="shared" si="1276"/>
        <v>2025</v>
      </c>
      <c r="AA2865" s="2"/>
      <c r="AB2865" s="2"/>
      <c r="AC2865" s="1044">
        <f t="shared" ref="AC2865:AI2865" si="1277">H$20</f>
        <v>2019</v>
      </c>
      <c r="AD2865" s="1044">
        <f t="shared" si="1277"/>
        <v>2020</v>
      </c>
      <c r="AE2865" s="1044">
        <f t="shared" si="1277"/>
        <v>2021</v>
      </c>
      <c r="AF2865" s="1044">
        <f t="shared" si="1277"/>
        <v>2022</v>
      </c>
      <c r="AG2865" s="1044">
        <f t="shared" si="1277"/>
        <v>2023</v>
      </c>
      <c r="AH2865" s="1044">
        <f t="shared" si="1277"/>
        <v>2024</v>
      </c>
      <c r="AI2865" s="1044">
        <f t="shared" si="1277"/>
        <v>2025</v>
      </c>
      <c r="AJ2865" s="2"/>
      <c r="AK2865" s="2"/>
      <c r="AL2865" s="2"/>
    </row>
    <row r="2866" spans="1:38" ht="12.75" customHeight="1" thickBot="1" x14ac:dyDescent="0.3">
      <c r="A2866" s="2"/>
      <c r="B2866" s="178"/>
      <c r="C2866" s="779"/>
      <c r="D2866" s="780"/>
      <c r="E2866" s="2617" t="str">
        <f>I2731</f>
        <v/>
      </c>
      <c r="F2866" s="1997"/>
      <c r="G2866" s="363" t="str">
        <f>EUconst_tCO2epa</f>
        <v>t CO2e/år</v>
      </c>
      <c r="H2866" s="582"/>
      <c r="I2866" s="1105"/>
      <c r="J2866" s="1115"/>
      <c r="K2866" s="582"/>
      <c r="L2866" s="582"/>
      <c r="M2866" s="582"/>
      <c r="N2866" s="1146"/>
      <c r="O2866" s="15"/>
      <c r="P2866" s="1362"/>
      <c r="Q2866" s="165" t="str">
        <f>EUconst_CNTR_Emissions &amp; I2731</f>
        <v>DirEmissions_</v>
      </c>
      <c r="R2866" s="2"/>
      <c r="S2866" s="773" t="str">
        <f>EUconst_CNTR_AttributedEmissions &amp; I2731</f>
        <v>AttrEmissions_</v>
      </c>
      <c r="T2866" s="111" t="str">
        <f t="shared" ref="T2866:Z2866" si="1278">IF(T2739,SUM(H2866),"")</f>
        <v/>
      </c>
      <c r="U2866" s="111" t="str">
        <f t="shared" si="1278"/>
        <v/>
      </c>
      <c r="V2866" s="111" t="str">
        <f t="shared" si="1278"/>
        <v/>
      </c>
      <c r="W2866" s="111" t="str">
        <f t="shared" si="1278"/>
        <v/>
      </c>
      <c r="X2866" s="111" t="str">
        <f t="shared" si="1278"/>
        <v/>
      </c>
      <c r="Y2866" s="111" t="str">
        <f t="shared" si="1278"/>
        <v/>
      </c>
      <c r="Z2866" s="112" t="str">
        <f t="shared" si="1278"/>
        <v/>
      </c>
      <c r="AA2866" s="2"/>
      <c r="AB2866" s="672" t="s">
        <v>782</v>
      </c>
      <c r="AC2866" s="108" t="b">
        <f>AC2801</f>
        <v>0</v>
      </c>
      <c r="AD2866" s="108" t="b">
        <f t="shared" ref="AD2866:AI2866" si="1279">AD2801</f>
        <v>0</v>
      </c>
      <c r="AE2866" s="108" t="b">
        <f t="shared" si="1279"/>
        <v>0</v>
      </c>
      <c r="AF2866" s="108" t="b">
        <f t="shared" si="1279"/>
        <v>0</v>
      </c>
      <c r="AG2866" s="108" t="b">
        <f t="shared" si="1279"/>
        <v>0</v>
      </c>
      <c r="AH2866" s="108" t="b">
        <f t="shared" si="1279"/>
        <v>0</v>
      </c>
      <c r="AI2866" s="108" t="b">
        <f t="shared" si="1279"/>
        <v>0</v>
      </c>
      <c r="AJ2866" s="553" t="s">
        <v>2248</v>
      </c>
      <c r="AK2866" s="663" t="str">
        <f>IF(AND(CNTR_ExistSubInstEntries,MSconst_RequireSubAttrEmissions,COUNTIFS(AC2866:AI2866,FALSE,H2866:N2866,"")&gt;0),EUconst_Error&amp;"BM"&amp;$Q2731,"")</f>
        <v/>
      </c>
      <c r="AL2866" s="2"/>
    </row>
    <row r="2867" spans="1:38" ht="12.75" customHeight="1" x14ac:dyDescent="0.25">
      <c r="A2867" s="2"/>
      <c r="B2867" s="178"/>
      <c r="C2867" s="779"/>
      <c r="D2867" s="780"/>
      <c r="E2867" s="780"/>
      <c r="F2867" s="780"/>
      <c r="G2867" s="780"/>
      <c r="H2867" s="780"/>
      <c r="I2867" s="780"/>
      <c r="J2867" s="780"/>
      <c r="K2867" s="780"/>
      <c r="L2867" s="780"/>
      <c r="M2867" s="623"/>
      <c r="N2867" s="519"/>
      <c r="O2867" s="15"/>
      <c r="P2867" s="15"/>
      <c r="Q2867" s="343"/>
      <c r="R2867" s="2"/>
      <c r="S2867" s="343"/>
      <c r="T2867" s="2"/>
      <c r="U2867" s="2"/>
      <c r="V2867" s="2"/>
      <c r="W2867" s="2"/>
      <c r="X2867" s="2"/>
      <c r="Y2867" s="2"/>
      <c r="Z2867" s="2"/>
      <c r="AA2867" s="2"/>
      <c r="AB2867" s="2"/>
      <c r="AC2867" s="2"/>
      <c r="AD2867" s="2"/>
      <c r="AE2867" s="2"/>
      <c r="AF2867" s="2"/>
      <c r="AG2867" s="2"/>
      <c r="AH2867" s="2"/>
      <c r="AI2867" s="2"/>
      <c r="AJ2867" s="2"/>
      <c r="AK2867" s="2"/>
      <c r="AL2867" s="2"/>
    </row>
    <row r="2868" spans="1:38" ht="12.75" customHeight="1" x14ac:dyDescent="0.25">
      <c r="A2868" s="2"/>
      <c r="B2868" s="178"/>
      <c r="C2868" s="779"/>
      <c r="D2868" s="373" t="s">
        <v>303</v>
      </c>
      <c r="E2868" s="2614" t="str">
        <f>Translations!$B$566</f>
        <v>Insatsbränsle till delanläggningen och relevant emissionsfaktor</v>
      </c>
      <c r="F2868" s="1960"/>
      <c r="G2868" s="1960"/>
      <c r="H2868" s="1960"/>
      <c r="I2868" s="1960"/>
      <c r="J2868" s="1960"/>
      <c r="K2868" s="1960"/>
      <c r="L2868" s="1960"/>
      <c r="M2868" s="1960"/>
      <c r="N2868" s="2597"/>
      <c r="O2868" s="15"/>
      <c r="P2868" s="15"/>
      <c r="Q2868" s="343"/>
      <c r="R2868" s="343"/>
      <c r="S2868" s="343"/>
      <c r="T2868" s="2"/>
      <c r="U2868" s="2"/>
      <c r="V2868" s="2"/>
      <c r="W2868" s="2"/>
      <c r="X2868" s="2"/>
      <c r="Y2868" s="2"/>
      <c r="Z2868" s="2"/>
      <c r="AA2868" s="2"/>
      <c r="AB2868" s="2"/>
      <c r="AC2868" s="2"/>
      <c r="AD2868" s="2"/>
      <c r="AE2868" s="2"/>
      <c r="AF2868" s="2"/>
      <c r="AG2868" s="2"/>
      <c r="AH2868" s="2"/>
      <c r="AI2868" s="2"/>
      <c r="AJ2868" s="2"/>
      <c r="AK2868" s="2"/>
      <c r="AL2868" s="2"/>
    </row>
    <row r="2869" spans="1:38" ht="25.5" customHeight="1" x14ac:dyDescent="0.25">
      <c r="A2869" s="2"/>
      <c r="B2869" s="178"/>
      <c r="C2869" s="779"/>
      <c r="D2869" s="780"/>
      <c r="E2869" s="2639" t="str">
        <f>Translations!$B$567</f>
        <v>I enlighet med kravet i avsnitt 2.4 a i bilaga IV till FAR, var god ange den totala bränsletillförseln till delanläggningen och motsvarande viktad emissionsfaktor, med beaktande av energiinnehållet hos varje bränsle som finns med under punkt g och med tillämpning av samma systemgränser som för punkt g.</v>
      </c>
      <c r="F2869" s="2639"/>
      <c r="G2869" s="2639"/>
      <c r="H2869" s="2639"/>
      <c r="I2869" s="2639"/>
      <c r="J2869" s="2639"/>
      <c r="K2869" s="2639"/>
      <c r="L2869" s="2639"/>
      <c r="M2869" s="2639"/>
      <c r="N2869" s="2640"/>
      <c r="O2869" s="15"/>
      <c r="P2869" s="15"/>
      <c r="Q2869" s="343"/>
      <c r="R2869" s="343"/>
      <c r="S2869" s="343"/>
      <c r="T2869" s="2"/>
      <c r="U2869" s="2"/>
      <c r="V2869" s="2"/>
      <c r="W2869" s="2"/>
      <c r="X2869" s="2"/>
      <c r="Y2869" s="2"/>
      <c r="Z2869" s="2"/>
      <c r="AA2869" s="2"/>
      <c r="AB2869" s="2"/>
      <c r="AC2869" s="2"/>
      <c r="AD2869" s="2"/>
      <c r="AE2869" s="2"/>
      <c r="AF2869" s="2"/>
      <c r="AG2869" s="2"/>
      <c r="AH2869" s="2"/>
      <c r="AI2869" s="2"/>
      <c r="AJ2869" s="2"/>
      <c r="AK2869" s="2"/>
      <c r="AL2869" s="2"/>
    </row>
    <row r="2870" spans="1:38" ht="25.5" customHeight="1" x14ac:dyDescent="0.25">
      <c r="A2870" s="2"/>
      <c r="B2870" s="178"/>
      <c r="C2870" s="779"/>
      <c r="D2870" s="780"/>
      <c r="E2870" s="2639" t="str">
        <f>Translations!$B$568</f>
        <v>Med ”bränsle” avses varje bränsle-/materialmängd enligt M&amp;R-förordningen som är brännbar och för vilken ett effektivt värmevärde kan fastställas. Den viktade emissionsfaktorn motsvarar de ackumulerade bränsleutsläppen delat med det totala energiinnehållet.</v>
      </c>
      <c r="F2870" s="2639"/>
      <c r="G2870" s="2639"/>
      <c r="H2870" s="2639"/>
      <c r="I2870" s="2639"/>
      <c r="J2870" s="2639"/>
      <c r="K2870" s="2639"/>
      <c r="L2870" s="2639"/>
      <c r="M2870" s="2639"/>
      <c r="N2870" s="2640"/>
      <c r="O2870" s="15"/>
      <c r="P2870" s="15"/>
      <c r="Q2870" s="343"/>
      <c r="R2870" s="2"/>
      <c r="S2870" s="343"/>
      <c r="T2870" s="2"/>
      <c r="U2870" s="2"/>
      <c r="V2870" s="2"/>
      <c r="W2870" s="2"/>
      <c r="X2870" s="2"/>
      <c r="Y2870" s="2"/>
      <c r="Z2870" s="2"/>
      <c r="AA2870" s="2"/>
      <c r="AB2870" s="2"/>
      <c r="AC2870" s="2"/>
      <c r="AD2870" s="2"/>
      <c r="AE2870" s="2"/>
      <c r="AF2870" s="2"/>
      <c r="AG2870" s="2"/>
      <c r="AH2870" s="2"/>
      <c r="AI2870" s="2"/>
      <c r="AJ2870" s="2"/>
      <c r="AK2870" s="2"/>
      <c r="AL2870" s="2"/>
    </row>
    <row r="2871" spans="1:38" ht="12.75" customHeight="1" x14ac:dyDescent="0.25">
      <c r="A2871" s="2"/>
      <c r="B2871" s="178"/>
      <c r="C2871" s="779"/>
      <c r="D2871" s="780"/>
      <c r="E2871" s="2639" t="str">
        <f>Translations!$B$569</f>
        <v>Den viktade emissionsfaktorn bör dessutom innefatta utsläpp från motsvarande rökgasrening, i tillämpliga fall.</v>
      </c>
      <c r="F2871" s="2639"/>
      <c r="G2871" s="2639"/>
      <c r="H2871" s="2639"/>
      <c r="I2871" s="2639"/>
      <c r="J2871" s="2639"/>
      <c r="K2871" s="2639"/>
      <c r="L2871" s="2639"/>
      <c r="M2871" s="2639"/>
      <c r="N2871" s="2640"/>
      <c r="O2871" s="15"/>
      <c r="P2871" s="15"/>
      <c r="Q2871" s="343"/>
      <c r="R2871" s="2"/>
      <c r="S2871" s="343"/>
      <c r="T2871" s="2"/>
      <c r="U2871" s="2"/>
      <c r="V2871" s="2"/>
      <c r="W2871" s="2"/>
      <c r="X2871" s="2"/>
      <c r="Y2871" s="2"/>
      <c r="Z2871" s="2"/>
      <c r="AA2871" s="2"/>
      <c r="AB2871" s="2"/>
      <c r="AC2871" s="2"/>
      <c r="AD2871" s="2"/>
      <c r="AE2871" s="2"/>
      <c r="AF2871" s="2"/>
      <c r="AG2871" s="2"/>
      <c r="AH2871" s="2"/>
      <c r="AI2871" s="2"/>
      <c r="AJ2871" s="2"/>
      <c r="AK2871" s="2"/>
      <c r="AL2871" s="2"/>
    </row>
    <row r="2872" spans="1:38" ht="12.75" customHeight="1" x14ac:dyDescent="0.25">
      <c r="A2872" s="2"/>
      <c r="B2872" s="178"/>
      <c r="C2872" s="779"/>
      <c r="D2872" s="780"/>
      <c r="E2872" s="2596" t="str">
        <f>Translations!$B$570</f>
        <v>De uppgifter som anges här används bara för konsekvenskontroll och har ingen direkt inverkan på vare sig de utsläpp som kan tillskrivas eller tilldelningen.</v>
      </c>
      <c r="F2872" s="1960"/>
      <c r="G2872" s="1960"/>
      <c r="H2872" s="1960"/>
      <c r="I2872" s="1960"/>
      <c r="J2872" s="1960"/>
      <c r="K2872" s="1960"/>
      <c r="L2872" s="1960"/>
      <c r="M2872" s="1960"/>
      <c r="N2872" s="2597"/>
      <c r="O2872" s="15"/>
      <c r="P2872" s="15"/>
      <c r="Q2872" s="343"/>
      <c r="R2872" s="2"/>
      <c r="S2872" s="343"/>
      <c r="T2872" s="2"/>
      <c r="U2872" s="2"/>
      <c r="V2872" s="2"/>
      <c r="W2872" s="2"/>
      <c r="X2872" s="2"/>
      <c r="Y2872" s="2"/>
      <c r="Z2872" s="2"/>
      <c r="AA2872" s="2"/>
      <c r="AB2872" s="2"/>
      <c r="AC2872" s="2"/>
      <c r="AD2872" s="2"/>
      <c r="AE2872" s="2"/>
      <c r="AF2872" s="2"/>
      <c r="AG2872" s="2"/>
      <c r="AH2872" s="2"/>
      <c r="AI2872" s="2"/>
      <c r="AJ2872" s="2"/>
      <c r="AK2872" s="2"/>
      <c r="AL2872" s="2"/>
    </row>
    <row r="2873" spans="1:38" ht="12.75" customHeight="1" thickBot="1" x14ac:dyDescent="0.3">
      <c r="A2873" s="2"/>
      <c r="B2873" s="178"/>
      <c r="C2873" s="779"/>
      <c r="D2873" s="373"/>
      <c r="E2873" s="1716"/>
      <c r="F2873" s="1717"/>
      <c r="G2873" s="361" t="str">
        <f>EUconst_Unit</f>
        <v>Enhet</v>
      </c>
      <c r="H2873" s="362">
        <f t="shared" ref="H2873:N2873" si="1280">H$3042</f>
        <v>2019</v>
      </c>
      <c r="I2873" s="1103">
        <f t="shared" si="1280"/>
        <v>2020</v>
      </c>
      <c r="J2873" s="1104">
        <f t="shared" si="1280"/>
        <v>2021</v>
      </c>
      <c r="K2873" s="362">
        <f t="shared" si="1280"/>
        <v>2022</v>
      </c>
      <c r="L2873" s="362">
        <f t="shared" si="1280"/>
        <v>2023</v>
      </c>
      <c r="M2873" s="362">
        <f t="shared" si="1280"/>
        <v>2024</v>
      </c>
      <c r="N2873" s="1141">
        <f t="shared" si="1280"/>
        <v>2025</v>
      </c>
      <c r="O2873" s="15"/>
      <c r="P2873" s="15"/>
      <c r="Q2873" s="343"/>
      <c r="R2873" s="2"/>
      <c r="S2873" s="343"/>
      <c r="T2873" s="2"/>
      <c r="U2873" s="2"/>
      <c r="V2873" s="2"/>
      <c r="W2873" s="2"/>
      <c r="X2873" s="2"/>
      <c r="Y2873" s="2"/>
      <c r="Z2873" s="2"/>
      <c r="AA2873" s="2"/>
      <c r="AB2873" s="2"/>
      <c r="AC2873" s="1044">
        <f t="shared" ref="AC2873:AI2873" si="1281">H$20</f>
        <v>2019</v>
      </c>
      <c r="AD2873" s="1044">
        <f t="shared" si="1281"/>
        <v>2020</v>
      </c>
      <c r="AE2873" s="1044">
        <f t="shared" si="1281"/>
        <v>2021</v>
      </c>
      <c r="AF2873" s="1044">
        <f t="shared" si="1281"/>
        <v>2022</v>
      </c>
      <c r="AG2873" s="1044">
        <f t="shared" si="1281"/>
        <v>2023</v>
      </c>
      <c r="AH2873" s="1044">
        <f t="shared" si="1281"/>
        <v>2024</v>
      </c>
      <c r="AI2873" s="1044">
        <f t="shared" si="1281"/>
        <v>2025</v>
      </c>
      <c r="AJ2873" s="2"/>
      <c r="AK2873" s="2"/>
      <c r="AL2873" s="2"/>
    </row>
    <row r="2874" spans="1:38" ht="12.75" customHeight="1" x14ac:dyDescent="0.25">
      <c r="A2874" s="2"/>
      <c r="B2874" s="178"/>
      <c r="C2874" s="779"/>
      <c r="D2874" s="416" t="s">
        <v>8</v>
      </c>
      <c r="E2874" s="2613" t="str">
        <f>Translations!$B$571</f>
        <v>Insatsbränsle</v>
      </c>
      <c r="F2874" s="1997"/>
      <c r="G2874" s="364" t="str">
        <f>EUconst_TJpa</f>
        <v>TJ / år</v>
      </c>
      <c r="H2874" s="582"/>
      <c r="I2874" s="1105"/>
      <c r="J2874" s="1115"/>
      <c r="K2874" s="582"/>
      <c r="L2874" s="582"/>
      <c r="M2874" s="582"/>
      <c r="N2874" s="1146"/>
      <c r="O2874" s="15"/>
      <c r="P2874" s="1362"/>
      <c r="Q2874" s="165" t="str">
        <f>EUconst_CNTR_FuelInput &amp; I2731</f>
        <v>FuelInput_</v>
      </c>
      <c r="R2874" s="2"/>
      <c r="S2874" s="343"/>
      <c r="T2874" s="2"/>
      <c r="U2874" s="2"/>
      <c r="V2874" s="2"/>
      <c r="W2874" s="2"/>
      <c r="X2874" s="2"/>
      <c r="Y2874" s="2"/>
      <c r="Z2874" s="2"/>
      <c r="AA2874" s="2"/>
      <c r="AB2874" s="672" t="s">
        <v>782</v>
      </c>
      <c r="AC2874" s="108" t="b">
        <f>AC2801</f>
        <v>0</v>
      </c>
      <c r="AD2874" s="108" t="b">
        <f t="shared" ref="AD2874:AI2874" si="1282">AD2801</f>
        <v>0</v>
      </c>
      <c r="AE2874" s="108" t="b">
        <f t="shared" si="1282"/>
        <v>0</v>
      </c>
      <c r="AF2874" s="108" t="b">
        <f t="shared" si="1282"/>
        <v>0</v>
      </c>
      <c r="AG2874" s="108" t="b">
        <f t="shared" si="1282"/>
        <v>0</v>
      </c>
      <c r="AH2874" s="108" t="b">
        <f t="shared" si="1282"/>
        <v>0</v>
      </c>
      <c r="AI2874" s="108" t="b">
        <f t="shared" si="1282"/>
        <v>0</v>
      </c>
      <c r="AJ2874" s="553" t="s">
        <v>2248</v>
      </c>
      <c r="AK2874" s="663" t="str">
        <f>IF(AND(CNTR_ExistSubInstEntries,MSconst_RequireSubAttrEmissions,COUNTIFS(AC2874:AI2874,FALSE,H2874:N2874,"")&gt;0),EUconst_Error&amp;"BM"&amp;$Q2731,"")</f>
        <v/>
      </c>
      <c r="AL2874" s="2"/>
    </row>
    <row r="2875" spans="1:38" ht="12.75" customHeight="1" x14ac:dyDescent="0.25">
      <c r="A2875" s="2"/>
      <c r="B2875" s="178"/>
      <c r="C2875" s="779"/>
      <c r="D2875" s="416" t="s">
        <v>9</v>
      </c>
      <c r="E2875" s="2613" t="str">
        <f>Translations!$B$572</f>
        <v>Viktad emissionsfaktor</v>
      </c>
      <c r="F2875" s="1997"/>
      <c r="G2875" s="449" t="str">
        <f>EUconst_tCO2pTJ</f>
        <v>t CO2 / TJ</v>
      </c>
      <c r="H2875" s="747"/>
      <c r="I2875" s="1295"/>
      <c r="J2875" s="1296"/>
      <c r="K2875" s="747"/>
      <c r="L2875" s="747"/>
      <c r="M2875" s="747"/>
      <c r="N2875" s="1297"/>
      <c r="O2875" s="15"/>
      <c r="P2875" s="1362"/>
      <c r="Q2875" s="165" t="str">
        <f>EUconst_CNTR_FuelEF &amp; I2731</f>
        <v>FuelEF_</v>
      </c>
      <c r="R2875" s="2"/>
      <c r="S2875" s="343"/>
      <c r="T2875" s="2"/>
      <c r="U2875" s="2"/>
      <c r="V2875" s="2"/>
      <c r="W2875" s="2"/>
      <c r="X2875" s="2"/>
      <c r="Y2875" s="2"/>
      <c r="Z2875" s="2"/>
      <c r="AA2875" s="2"/>
      <c r="AB2875" s="2"/>
      <c r="AC2875" s="108" t="b">
        <f>AC2874</f>
        <v>0</v>
      </c>
      <c r="AD2875" s="108" t="b">
        <f t="shared" ref="AD2875:AI2875" si="1283">AD2874</f>
        <v>0</v>
      </c>
      <c r="AE2875" s="108" t="b">
        <f t="shared" si="1283"/>
        <v>0</v>
      </c>
      <c r="AF2875" s="108" t="b">
        <f t="shared" si="1283"/>
        <v>0</v>
      </c>
      <c r="AG2875" s="108" t="b">
        <f t="shared" si="1283"/>
        <v>0</v>
      </c>
      <c r="AH2875" s="108" t="b">
        <f t="shared" si="1283"/>
        <v>0</v>
      </c>
      <c r="AI2875" s="108" t="b">
        <f t="shared" si="1283"/>
        <v>0</v>
      </c>
      <c r="AJ2875" s="553" t="s">
        <v>2248</v>
      </c>
      <c r="AK2875" s="663" t="str">
        <f>IF(AND(CNTR_ExistSubInstEntries,MSconst_RequireSubAttrEmissions,COUNTIFS(AC2875:AI2875,FALSE,H2875:N2875,"")&gt;0),EUconst_Error&amp;"BM"&amp;$Q2731,"")</f>
        <v/>
      </c>
      <c r="AL2875" s="2"/>
    </row>
    <row r="2876" spans="1:38" ht="12.75" customHeight="1" x14ac:dyDescent="0.25">
      <c r="A2876" s="2"/>
      <c r="B2876" s="178"/>
      <c r="C2876" s="779"/>
      <c r="D2876" s="780"/>
      <c r="E2876" s="780"/>
      <c r="F2876" s="780"/>
      <c r="G2876" s="780"/>
      <c r="H2876" s="780"/>
      <c r="I2876" s="780"/>
      <c r="J2876" s="780"/>
      <c r="K2876" s="780"/>
      <c r="L2876" s="780"/>
      <c r="M2876" s="623"/>
      <c r="N2876" s="519"/>
      <c r="O2876" s="15"/>
      <c r="P2876" s="15"/>
      <c r="Q2876" s="343"/>
      <c r="R2876" s="2"/>
      <c r="S2876" s="343"/>
      <c r="T2876" s="2"/>
      <c r="U2876" s="2"/>
      <c r="V2876" s="2"/>
      <c r="W2876" s="2"/>
      <c r="X2876" s="2"/>
      <c r="Y2876" s="2"/>
      <c r="Z2876" s="2"/>
      <c r="AA2876" s="2"/>
      <c r="AB2876" s="2"/>
      <c r="AC2876" s="2"/>
      <c r="AD2876" s="2"/>
      <c r="AE2876" s="2"/>
      <c r="AF2876" s="2"/>
      <c r="AG2876" s="2"/>
      <c r="AH2876" s="2"/>
      <c r="AI2876" s="2"/>
      <c r="AJ2876" s="2"/>
      <c r="AK2876" s="2"/>
      <c r="AL2876" s="2"/>
    </row>
    <row r="2877" spans="1:38" ht="12.75" customHeight="1" x14ac:dyDescent="0.25">
      <c r="A2877" s="2"/>
      <c r="B2877" s="178"/>
      <c r="C2877" s="779"/>
      <c r="D2877" s="373" t="s">
        <v>305</v>
      </c>
      <c r="E2877" s="2614" t="str">
        <f>Translations!$B$573</f>
        <v>Andra interna bränsle-/materialmängder som importeras till eller exporteras från delanläggningen</v>
      </c>
      <c r="F2877" s="1960"/>
      <c r="G2877" s="1960"/>
      <c r="H2877" s="1960"/>
      <c r="I2877" s="1960"/>
      <c r="J2877" s="1960"/>
      <c r="K2877" s="1960"/>
      <c r="L2877" s="1960"/>
      <c r="M2877" s="1960"/>
      <c r="N2877" s="2597"/>
      <c r="O2877" s="15"/>
      <c r="P2877" s="15"/>
      <c r="Q2877" s="343"/>
      <c r="R2877" s="343"/>
      <c r="S2877" s="343"/>
      <c r="T2877" s="2"/>
      <c r="U2877" s="2"/>
      <c r="V2877" s="2"/>
      <c r="W2877" s="2"/>
      <c r="X2877" s="2"/>
      <c r="Y2877" s="2"/>
      <c r="Z2877" s="2"/>
      <c r="AA2877" s="2"/>
      <c r="AB2877" s="2"/>
      <c r="AC2877" s="2"/>
      <c r="AD2877" s="2"/>
      <c r="AE2877" s="2"/>
      <c r="AF2877" s="2"/>
      <c r="AG2877" s="2"/>
      <c r="AH2877" s="2"/>
      <c r="AI2877" s="2"/>
      <c r="AJ2877" s="2"/>
      <c r="AK2877" s="2"/>
      <c r="AL2877" s="2"/>
    </row>
    <row r="2878" spans="1:38" ht="12.75" customHeight="1" x14ac:dyDescent="0.25">
      <c r="A2878" s="2"/>
      <c r="B2878" s="178"/>
      <c r="C2878" s="779"/>
      <c r="D2878" s="416"/>
      <c r="E2878" s="2596" t="str">
        <f>Translations!$B$556</f>
        <v>De uppgifter som anges här påverkar de utsläpp som kan tillskrivas i enlighet med avsnitt 10.1.1 i bilaga VII till FAR.</v>
      </c>
      <c r="F2878" s="1960"/>
      <c r="G2878" s="1960"/>
      <c r="H2878" s="1960"/>
      <c r="I2878" s="1960"/>
      <c r="J2878" s="1960"/>
      <c r="K2878" s="1960"/>
      <c r="L2878" s="1960"/>
      <c r="M2878" s="1960"/>
      <c r="N2878" s="2597"/>
      <c r="O2878" s="15"/>
      <c r="P2878" s="15"/>
      <c r="Q2878" s="343"/>
      <c r="R2878" s="2"/>
      <c r="S2878" s="343"/>
      <c r="T2878" s="343"/>
      <c r="U2878" s="343"/>
      <c r="V2878" s="343"/>
      <c r="W2878" s="2"/>
      <c r="X2878" s="2"/>
      <c r="Y2878" s="2"/>
      <c r="Z2878" s="2"/>
      <c r="AA2878" s="2"/>
      <c r="AB2878" s="2"/>
      <c r="AC2878" s="2"/>
      <c r="AD2878" s="2"/>
      <c r="AE2878" s="2"/>
      <c r="AF2878" s="2"/>
      <c r="AG2878" s="2"/>
      <c r="AH2878" s="2"/>
      <c r="AI2878" s="2"/>
      <c r="AJ2878" s="2"/>
      <c r="AK2878" s="2"/>
      <c r="AL2878" s="2"/>
    </row>
    <row r="2879" spans="1:38" ht="25.5" customHeight="1" x14ac:dyDescent="0.25">
      <c r="A2879" s="2"/>
      <c r="B2879" s="178"/>
      <c r="C2879" s="779"/>
      <c r="D2879" s="780"/>
      <c r="E2879" s="2596" t="str">
        <f>Translations!$B$574</f>
        <v>Det bör noteras att alla bränsle-/materialmängder endast bör anges här om de inte redan omfattas av de direkta utsläppen i punkt g ovan, i syfte att undvika eventuella dataluckor eller eventuell dubbelräkning. Utsläpp i samband med restgaser bör INTE anges här utan i punkt l nedan.</v>
      </c>
      <c r="F2879" s="1960"/>
      <c r="G2879" s="1960"/>
      <c r="H2879" s="1960"/>
      <c r="I2879" s="1960"/>
      <c r="J2879" s="1960"/>
      <c r="K2879" s="1960"/>
      <c r="L2879" s="1960"/>
      <c r="M2879" s="1960"/>
      <c r="N2879" s="2597"/>
      <c r="O2879" s="15"/>
      <c r="P2879" s="15"/>
      <c r="Q2879" s="343"/>
      <c r="R2879" s="343"/>
      <c r="S2879" s="343"/>
      <c r="T2879" s="2"/>
      <c r="U2879" s="2"/>
      <c r="V2879" s="2"/>
      <c r="W2879" s="2"/>
      <c r="X2879" s="2"/>
      <c r="Y2879" s="2"/>
      <c r="Z2879" s="2"/>
      <c r="AA2879" s="2"/>
      <c r="AB2879" s="2"/>
      <c r="AC2879" s="2"/>
      <c r="AD2879" s="2"/>
      <c r="AE2879" s="2"/>
      <c r="AF2879" s="2"/>
      <c r="AG2879" s="2"/>
      <c r="AH2879" s="2"/>
      <c r="AI2879" s="2"/>
      <c r="AJ2879" s="2"/>
      <c r="AK2879" s="2"/>
      <c r="AL2879" s="2"/>
    </row>
    <row r="2880" spans="1:38" ht="12.75" customHeight="1" x14ac:dyDescent="0.25">
      <c r="A2880" s="2"/>
      <c r="B2880" s="178"/>
      <c r="C2880" s="779"/>
      <c r="D2880" s="780"/>
      <c r="E2880" s="2610" t="str">
        <f>Translations!$B$575</f>
        <v>Var god ange information om de så kallade interna bränsle-/materialmängderna som överförs mellan delanläggningar, dvs. importeras till eller exporteras från delanläggningen.</v>
      </c>
      <c r="F2880" s="1960"/>
      <c r="G2880" s="1960"/>
      <c r="H2880" s="1960"/>
      <c r="I2880" s="1960"/>
      <c r="J2880" s="1960"/>
      <c r="K2880" s="1960"/>
      <c r="L2880" s="1960"/>
      <c r="M2880" s="1960"/>
      <c r="N2880" s="2597"/>
      <c r="O2880" s="15"/>
      <c r="P2880" s="15"/>
      <c r="Q2880" s="343"/>
      <c r="R2880" s="343"/>
      <c r="S2880" s="343"/>
      <c r="T2880" s="2"/>
      <c r="U2880" s="2"/>
      <c r="V2880" s="2"/>
      <c r="W2880" s="2"/>
      <c r="X2880" s="2"/>
      <c r="Y2880" s="2"/>
      <c r="Z2880" s="2"/>
      <c r="AA2880" s="2"/>
      <c r="AB2880" s="2"/>
      <c r="AC2880" s="2"/>
      <c r="AD2880" s="2"/>
      <c r="AE2880" s="2"/>
      <c r="AF2880" s="2"/>
      <c r="AG2880" s="2"/>
      <c r="AH2880" s="2"/>
      <c r="AI2880" s="2"/>
      <c r="AJ2880" s="2"/>
      <c r="AK2880" s="2"/>
      <c r="AL2880" s="2"/>
    </row>
    <row r="2881" spans="1:38" ht="38.9" customHeight="1" x14ac:dyDescent="0.25">
      <c r="A2881" s="2"/>
      <c r="B2881" s="178"/>
      <c r="C2881" s="779"/>
      <c r="D2881" s="780"/>
      <c r="E2881" s="2610" t="str">
        <f>Translations!$B$576</f>
        <v>Om det rör sig om en koksdelanläggning vid en integrerad järn- och stålanläggning förekommer utsläppen i samband med förbrukningen av koks i masugnen och bör därför inte tillskrivas delanläggningen (dvs. koksdelanläggningen). En del av utsläppen ska dock tas med i punkt g ovan, eftersom det kol som förs in i koksugnen kommer att vara en av de bränsle-/materialmängder som tillskrivs i ett första steg.</v>
      </c>
      <c r="F2881" s="1960"/>
      <c r="G2881" s="1960"/>
      <c r="H2881" s="1960"/>
      <c r="I2881" s="1960"/>
      <c r="J2881" s="1960"/>
      <c r="K2881" s="1960"/>
      <c r="L2881" s="1960"/>
      <c r="M2881" s="1960"/>
      <c r="N2881" s="2597"/>
      <c r="O2881" s="15"/>
      <c r="P2881" s="15"/>
      <c r="Q2881" s="343"/>
      <c r="R2881" s="2"/>
      <c r="S2881" s="343"/>
      <c r="T2881" s="2"/>
      <c r="U2881" s="2"/>
      <c r="V2881" s="2"/>
      <c r="W2881" s="2"/>
      <c r="X2881" s="2"/>
      <c r="Y2881" s="2"/>
      <c r="Z2881" s="2"/>
      <c r="AA2881" s="2"/>
      <c r="AB2881" s="2"/>
      <c r="AC2881" s="2"/>
      <c r="AD2881" s="2"/>
      <c r="AE2881" s="2"/>
      <c r="AF2881" s="2"/>
      <c r="AG2881" s="2"/>
      <c r="AH2881" s="2"/>
      <c r="AI2881" s="2"/>
      <c r="AJ2881" s="2"/>
      <c r="AK2881" s="2"/>
      <c r="AL2881" s="2"/>
    </row>
    <row r="2882" spans="1:38" ht="51" customHeight="1" x14ac:dyDescent="0.25">
      <c r="A2882" s="2"/>
      <c r="B2882" s="178"/>
      <c r="C2882" s="779"/>
      <c r="D2882" s="780"/>
      <c r="E2882" s="2610" t="str">
        <f>Translations!$B$577</f>
        <v>För att undvika dubbelräkning måste korrigering göras för den koks som lämnar koksdelanläggningen som utgående ”intern bränsle-/materialmängd”. Detta görs genom ett negativt värde på mängden koks i händelse av ”export”. För att få en komplett balans i utsläppen från den kol som kommer in till koksdelanläggningen omfattas utsläppen i samband med användningen av koksugnsgas (= en restgas) redan av punkt g ovan (eftersom de ingår i kolutsläppen) i den mån som gasen används inom delanläggningen. Korrigeringar för att beakta exporterade mängder av restgasen bör inte göras här utan i punkt l.xx nedan.</v>
      </c>
      <c r="F2882" s="1960"/>
      <c r="G2882" s="1960"/>
      <c r="H2882" s="1960"/>
      <c r="I2882" s="1960"/>
      <c r="J2882" s="1960"/>
      <c r="K2882" s="1960"/>
      <c r="L2882" s="1960"/>
      <c r="M2882" s="1960"/>
      <c r="N2882" s="2597"/>
      <c r="O2882" s="15"/>
      <c r="P2882" s="15"/>
      <c r="Q2882" s="343"/>
      <c r="R2882" s="2"/>
      <c r="S2882" s="343"/>
      <c r="T2882" s="2"/>
      <c r="U2882" s="2"/>
      <c r="V2882" s="2"/>
      <c r="W2882" s="2"/>
      <c r="X2882" s="2"/>
      <c r="Y2882" s="2"/>
      <c r="Z2882" s="2"/>
      <c r="AA2882" s="2"/>
      <c r="AB2882" s="2"/>
      <c r="AC2882" s="2"/>
      <c r="AD2882" s="2"/>
      <c r="AE2882" s="2"/>
      <c r="AF2882" s="2"/>
      <c r="AG2882" s="2"/>
      <c r="AH2882" s="2"/>
      <c r="AI2882" s="2"/>
      <c r="AJ2882" s="2"/>
      <c r="AK2882" s="2"/>
      <c r="AL2882" s="2"/>
    </row>
    <row r="2883" spans="1:38" ht="25.5" customHeight="1" x14ac:dyDescent="0.25">
      <c r="A2883" s="2"/>
      <c r="B2883" s="178"/>
      <c r="C2883" s="779"/>
      <c r="D2883" s="780"/>
      <c r="E2883" s="2610" t="str">
        <f>Translations!$B$578</f>
        <v>Omvänt innebär detta att om det rör sig om en delanläggning med råjärnsriktmärke vid en integrerad järn- och stålanläggning måste koksen anges här som en ingående/importerad ”intern” bränsle/materialmängd med positiva siffror.</v>
      </c>
      <c r="F2883" s="1960"/>
      <c r="G2883" s="1960"/>
      <c r="H2883" s="1960"/>
      <c r="I2883" s="1960"/>
      <c r="J2883" s="1960"/>
      <c r="K2883" s="1960"/>
      <c r="L2883" s="1960"/>
      <c r="M2883" s="1960"/>
      <c r="N2883" s="2597"/>
      <c r="O2883" s="15"/>
      <c r="P2883" s="15"/>
      <c r="Q2883" s="343"/>
      <c r="R2883" s="2"/>
      <c r="S2883" s="343"/>
      <c r="T2883" s="2"/>
      <c r="U2883" s="2"/>
      <c r="V2883" s="2"/>
      <c r="W2883" s="2"/>
      <c r="X2883" s="2"/>
      <c r="Y2883" s="2"/>
      <c r="Z2883" s="2"/>
      <c r="AA2883" s="2"/>
      <c r="AB2883" s="2"/>
      <c r="AC2883" s="2"/>
      <c r="AD2883" s="2"/>
      <c r="AE2883" s="2"/>
      <c r="AF2883" s="2"/>
      <c r="AG2883" s="2"/>
      <c r="AH2883" s="2"/>
      <c r="AI2883" s="2"/>
      <c r="AJ2883" s="2"/>
      <c r="AK2883" s="2"/>
      <c r="AL2883" s="2"/>
    </row>
    <row r="2884" spans="1:38" ht="12.75" customHeight="1" x14ac:dyDescent="0.25">
      <c r="A2884" s="2"/>
      <c r="B2884" s="178"/>
      <c r="C2884" s="779"/>
      <c r="D2884" s="416" t="s">
        <v>8</v>
      </c>
      <c r="E2884" s="2598" t="str">
        <f>Translations!$B$579</f>
        <v>Är andra importerade eller exporterade interna bränsle-/materialmängder relevanta för delanläggningen?</v>
      </c>
      <c r="F2884" s="1960"/>
      <c r="G2884" s="1960"/>
      <c r="H2884" s="1960"/>
      <c r="I2884" s="1960"/>
      <c r="J2884" s="1960"/>
      <c r="K2884" s="2520"/>
      <c r="L2884" s="749"/>
      <c r="M2884" s="1806"/>
      <c r="N2884" s="1807"/>
      <c r="O2884" s="15"/>
      <c r="P2884" s="1362"/>
      <c r="Q2884" s="343"/>
      <c r="R2884" s="2"/>
      <c r="S2884" s="343"/>
      <c r="T2884" s="2"/>
      <c r="U2884" s="2"/>
      <c r="V2884" s="2"/>
      <c r="W2884" s="2"/>
      <c r="X2884" s="2"/>
      <c r="Y2884" s="2"/>
      <c r="Z2884" s="2"/>
      <c r="AA2884" s="2"/>
      <c r="AB2884" s="2"/>
      <c r="AC2884" s="2"/>
      <c r="AD2884" s="2"/>
      <c r="AE2884" s="2"/>
      <c r="AF2884" s="672" t="s">
        <v>782</v>
      </c>
      <c r="AG2884" s="1196" t="b">
        <f>AND(CNTR_ExistSubInstEntries,I2731="")</f>
        <v>0</v>
      </c>
      <c r="AH2884" s="2"/>
      <c r="AI2884" s="2"/>
      <c r="AJ2884" s="2"/>
      <c r="AK2884" s="2"/>
      <c r="AL2884" s="2"/>
    </row>
    <row r="2885" spans="1:38" ht="12.75" customHeight="1" x14ac:dyDescent="0.25">
      <c r="A2885" s="2"/>
      <c r="B2885" s="178"/>
      <c r="C2885" s="779"/>
      <c r="D2885" s="780"/>
      <c r="E2885" s="2610" t="str">
        <f>Translations!$B$580</f>
        <v>Om det finns mer än två importerade eller exporterade bränsle-/materialmängder bör de olika bränsle-/materialmängderna slås samman och namnen på var och en av dessa anges.</v>
      </c>
      <c r="F2885" s="1960"/>
      <c r="G2885" s="1960"/>
      <c r="H2885" s="1960"/>
      <c r="I2885" s="1960"/>
      <c r="J2885" s="1960"/>
      <c r="K2885" s="1960"/>
      <c r="L2885" s="1960"/>
      <c r="M2885" s="1960"/>
      <c r="N2885" s="2597"/>
      <c r="O2885" s="15"/>
      <c r="P2885" s="15"/>
      <c r="Q2885" s="343"/>
      <c r="R2885" s="2"/>
      <c r="S2885" s="343"/>
      <c r="T2885" s="2"/>
      <c r="U2885" s="2"/>
      <c r="V2885" s="2"/>
      <c r="W2885" s="2"/>
      <c r="X2885" s="2"/>
      <c r="Y2885" s="2"/>
      <c r="Z2885" s="2"/>
      <c r="AA2885" s="2"/>
      <c r="AB2885" s="2"/>
      <c r="AC2885" s="2"/>
      <c r="AD2885" s="2"/>
      <c r="AE2885" s="2"/>
      <c r="AF2885" s="2"/>
      <c r="AG2885" s="2"/>
      <c r="AH2885" s="2"/>
      <c r="AI2885" s="2"/>
      <c r="AJ2885" s="2"/>
      <c r="AK2885" s="2"/>
      <c r="AL2885" s="2"/>
    </row>
    <row r="2886" spans="1:38" ht="12.75" customHeight="1" x14ac:dyDescent="0.25">
      <c r="A2886" s="2"/>
      <c r="B2886" s="178"/>
      <c r="C2886" s="779"/>
      <c r="D2886" s="416" t="s">
        <v>9</v>
      </c>
      <c r="E2886" s="2614" t="str">
        <f>Translations!$B$581</f>
        <v>Namn på andra bränsle-/materialmängder – 1:</v>
      </c>
      <c r="F2886" s="1960"/>
      <c r="G2886" s="1960"/>
      <c r="H2886" s="2520"/>
      <c r="I2886" s="2621"/>
      <c r="J2886" s="2631"/>
      <c r="K2886" s="2631"/>
      <c r="L2886" s="2631"/>
      <c r="M2886" s="2632"/>
      <c r="N2886" s="518"/>
      <c r="O2886" s="15"/>
      <c r="P2886" s="1362"/>
      <c r="Q2886" s="343"/>
      <c r="R2886" s="2"/>
      <c r="S2886" s="343"/>
      <c r="T2886" s="2"/>
      <c r="U2886" s="2"/>
      <c r="V2886" s="2"/>
      <c r="W2886" s="2"/>
      <c r="X2886" s="2"/>
      <c r="Y2886" s="2"/>
      <c r="Z2886" s="2"/>
      <c r="AA2886" s="2"/>
      <c r="AB2886" s="2"/>
      <c r="AC2886" s="672" t="s">
        <v>782</v>
      </c>
      <c r="AD2886" s="1196" t="b">
        <f>OR(AG2884,AND($L2884&lt;&gt;"",$L2884=FALSE))</f>
        <v>0</v>
      </c>
      <c r="AE2886" s="2"/>
      <c r="AF2886" s="2"/>
      <c r="AG2886" s="2"/>
      <c r="AH2886" s="2"/>
      <c r="AI2886" s="2"/>
      <c r="AJ2886" s="2"/>
      <c r="AK2886" s="2"/>
      <c r="AL2886" s="2"/>
    </row>
    <row r="2887" spans="1:38" ht="5.15" customHeight="1" x14ac:dyDescent="0.25">
      <c r="A2887" s="2"/>
      <c r="B2887" s="178"/>
      <c r="C2887" s="779"/>
      <c r="D2887" s="780"/>
      <c r="E2887" s="1804"/>
      <c r="F2887" s="1806"/>
      <c r="G2887" s="1806"/>
      <c r="H2887" s="1806"/>
      <c r="I2887" s="1806"/>
      <c r="J2887" s="1806"/>
      <c r="K2887" s="1806"/>
      <c r="L2887" s="1806"/>
      <c r="M2887" s="1806"/>
      <c r="N2887" s="1807"/>
      <c r="O2887" s="15"/>
      <c r="P2887" s="15"/>
      <c r="Q2887" s="343"/>
      <c r="R2887" s="2"/>
      <c r="S2887" s="343"/>
      <c r="T2887" s="2"/>
      <c r="U2887" s="2"/>
      <c r="V2887" s="2"/>
      <c r="W2887" s="2"/>
      <c r="X2887" s="2"/>
      <c r="Y2887" s="2"/>
      <c r="Z2887" s="2"/>
      <c r="AA2887" s="2"/>
      <c r="AB2887" s="2"/>
      <c r="AC2887" s="2"/>
      <c r="AD2887" s="2"/>
      <c r="AE2887" s="2"/>
      <c r="AF2887" s="2"/>
      <c r="AG2887" s="2"/>
      <c r="AH2887" s="2"/>
      <c r="AI2887" s="2"/>
      <c r="AJ2887" s="2"/>
      <c r="AK2887" s="2"/>
      <c r="AL2887" s="2"/>
    </row>
    <row r="2888" spans="1:38" ht="12.75" customHeight="1" thickBot="1" x14ac:dyDescent="0.3">
      <c r="A2888" s="2"/>
      <c r="B2888" s="178"/>
      <c r="C2888" s="779"/>
      <c r="D2888" s="780"/>
      <c r="E2888" s="2605" t="str">
        <f>Translations!$B$582</f>
        <v>Andra bränsle-/materialmängder – 1</v>
      </c>
      <c r="F2888" s="2497"/>
      <c r="G2888" s="361" t="str">
        <f>EUconst_Unit</f>
        <v>Enhet</v>
      </c>
      <c r="H2888" s="362">
        <f t="shared" ref="H2888:N2888" si="1284">H$3042</f>
        <v>2019</v>
      </c>
      <c r="I2888" s="1103">
        <f t="shared" si="1284"/>
        <v>2020</v>
      </c>
      <c r="J2888" s="1104">
        <f t="shared" si="1284"/>
        <v>2021</v>
      </c>
      <c r="K2888" s="362">
        <f t="shared" si="1284"/>
        <v>2022</v>
      </c>
      <c r="L2888" s="362">
        <f t="shared" si="1284"/>
        <v>2023</v>
      </c>
      <c r="M2888" s="362">
        <f t="shared" si="1284"/>
        <v>2024</v>
      </c>
      <c r="N2888" s="1141">
        <f t="shared" si="1284"/>
        <v>2025</v>
      </c>
      <c r="O2888" s="15"/>
      <c r="P2888" s="15"/>
      <c r="Q2888" s="343"/>
      <c r="R2888" s="2"/>
      <c r="S2888" s="343"/>
      <c r="T2888" s="2"/>
      <c r="U2888" s="2"/>
      <c r="V2888" s="2"/>
      <c r="W2888" s="2"/>
      <c r="X2888" s="2"/>
      <c r="Y2888" s="2"/>
      <c r="Z2888" s="2"/>
      <c r="AA2888" s="2"/>
      <c r="AB2888" s="2"/>
      <c r="AC2888" s="1044">
        <f t="shared" ref="AC2888:AI2888" si="1285">H$20</f>
        <v>2019</v>
      </c>
      <c r="AD2888" s="1044">
        <f t="shared" si="1285"/>
        <v>2020</v>
      </c>
      <c r="AE2888" s="1044">
        <f t="shared" si="1285"/>
        <v>2021</v>
      </c>
      <c r="AF2888" s="1044">
        <f t="shared" si="1285"/>
        <v>2022</v>
      </c>
      <c r="AG2888" s="1044">
        <f t="shared" si="1285"/>
        <v>2023</v>
      </c>
      <c r="AH2888" s="1044">
        <f t="shared" si="1285"/>
        <v>2024</v>
      </c>
      <c r="AI2888" s="1044">
        <f t="shared" si="1285"/>
        <v>2025</v>
      </c>
      <c r="AJ2888" s="2"/>
      <c r="AK2888" s="2"/>
      <c r="AL2888" s="2"/>
    </row>
    <row r="2889" spans="1:38" ht="12.75" customHeight="1" x14ac:dyDescent="0.25">
      <c r="A2889" s="2"/>
      <c r="B2889" s="178"/>
      <c r="C2889" s="779"/>
      <c r="D2889" s="416" t="s">
        <v>10</v>
      </c>
      <c r="E2889" s="2611" t="str">
        <f>Translations!$B$583</f>
        <v>Importerad eller exporterad mängd</v>
      </c>
      <c r="F2889" s="2484"/>
      <c r="G2889" s="365" t="str">
        <f>EUconst_tpa</f>
        <v>t / år</v>
      </c>
      <c r="H2889" s="1298"/>
      <c r="I2889" s="1299"/>
      <c r="J2889" s="1300"/>
      <c r="K2889" s="1298"/>
      <c r="L2889" s="1298"/>
      <c r="M2889" s="1298"/>
      <c r="N2889" s="1301"/>
      <c r="O2889" s="15"/>
      <c r="P2889" s="1362"/>
      <c r="Q2889" s="343"/>
      <c r="R2889" s="2"/>
      <c r="S2889" s="343"/>
      <c r="T2889" s="2"/>
      <c r="U2889" s="2"/>
      <c r="V2889" s="2"/>
      <c r="W2889" s="2"/>
      <c r="X2889" s="2"/>
      <c r="Y2889" s="2"/>
      <c r="Z2889" s="2"/>
      <c r="AA2889" s="2"/>
      <c r="AB2889" s="672" t="s">
        <v>782</v>
      </c>
      <c r="AC2889" s="1196" t="b">
        <f>OR(AND($L2884&lt;&gt;"",$L2884=FALSE),AC2801)</f>
        <v>0</v>
      </c>
      <c r="AD2889" s="108" t="b">
        <f t="shared" ref="AD2889:AI2889" si="1286">OR(AND($L2884&lt;&gt;"",$L2884=FALSE),AD2801)</f>
        <v>0</v>
      </c>
      <c r="AE2889" s="108" t="b">
        <f t="shared" si="1286"/>
        <v>0</v>
      </c>
      <c r="AF2889" s="108" t="b">
        <f t="shared" si="1286"/>
        <v>0</v>
      </c>
      <c r="AG2889" s="108" t="b">
        <f t="shared" si="1286"/>
        <v>0</v>
      </c>
      <c r="AH2889" s="108" t="b">
        <f t="shared" si="1286"/>
        <v>0</v>
      </c>
      <c r="AI2889" s="108" t="b">
        <f t="shared" si="1286"/>
        <v>0</v>
      </c>
      <c r="AJ2889" s="553" t="s">
        <v>2248</v>
      </c>
      <c r="AK2889" s="663" t="str">
        <f>IF(AND(CNTR_ExistSubInstEntries,MSconst_RequireSubAttrEmissions,COUNTIFS(AC2889:AI2889,FALSE,H2889:N2889,"")&gt;0),EUconst_Error&amp;"BM"&amp;$Q2731,"")</f>
        <v/>
      </c>
      <c r="AL2889" s="2"/>
    </row>
    <row r="2890" spans="1:38" ht="12.75" customHeight="1" x14ac:dyDescent="0.25">
      <c r="A2890" s="2"/>
      <c r="B2890" s="178"/>
      <c r="C2890" s="779"/>
      <c r="D2890" s="416" t="s">
        <v>23</v>
      </c>
      <c r="E2890" s="2625" t="str">
        <f>Translations!$B$584</f>
        <v>Effektivt värmevärde, i tillämpliga fall</v>
      </c>
      <c r="F2890" s="2476"/>
      <c r="G2890" s="424" t="str">
        <f>EUconst_GJpt</f>
        <v>GJ / t</v>
      </c>
      <c r="H2890" s="1302"/>
      <c r="I2890" s="1303"/>
      <c r="J2890" s="1304"/>
      <c r="K2890" s="1302"/>
      <c r="L2890" s="1302"/>
      <c r="M2890" s="1302"/>
      <c r="N2890" s="1305"/>
      <c r="O2890" s="15"/>
      <c r="P2890" s="1362"/>
      <c r="Q2890" s="343"/>
      <c r="R2890" s="2"/>
      <c r="S2890" s="343"/>
      <c r="T2890" s="2"/>
      <c r="U2890" s="2"/>
      <c r="V2890" s="2"/>
      <c r="W2890" s="2"/>
      <c r="X2890" s="2"/>
      <c r="Y2890" s="2"/>
      <c r="Z2890" s="2"/>
      <c r="AA2890" s="2"/>
      <c r="AB2890" s="2"/>
      <c r="AC2890" s="108" t="b">
        <f t="shared" ref="AC2890:AI2890" si="1287">AC2889</f>
        <v>0</v>
      </c>
      <c r="AD2890" s="108" t="b">
        <f t="shared" si="1287"/>
        <v>0</v>
      </c>
      <c r="AE2890" s="108" t="b">
        <f t="shared" si="1287"/>
        <v>0</v>
      </c>
      <c r="AF2890" s="108" t="b">
        <f t="shared" si="1287"/>
        <v>0</v>
      </c>
      <c r="AG2890" s="108" t="b">
        <f t="shared" si="1287"/>
        <v>0</v>
      </c>
      <c r="AH2890" s="108" t="b">
        <f t="shared" si="1287"/>
        <v>0</v>
      </c>
      <c r="AI2890" s="108" t="b">
        <f t="shared" si="1287"/>
        <v>0</v>
      </c>
      <c r="AJ2890" s="553" t="s">
        <v>2248</v>
      </c>
      <c r="AK2890" s="663" t="str">
        <f>IF(AND(CNTR_ExistSubInstEntries,MSconst_RequireSubAttrEmissions,COUNTIFS(AC2890:AI2890,FALSE,H2890:N2890,"")&gt;0),EUconst_Error&amp;"BM"&amp;$Q2731,"")</f>
        <v/>
      </c>
      <c r="AL2890" s="2"/>
    </row>
    <row r="2891" spans="1:38" ht="12.75" customHeight="1" thickBot="1" x14ac:dyDescent="0.3">
      <c r="A2891" s="2"/>
      <c r="B2891" s="178"/>
      <c r="C2891" s="779"/>
      <c r="D2891" s="416" t="s">
        <v>859</v>
      </c>
      <c r="E2891" s="2625" t="str">
        <f>Translations!$B$585</f>
        <v>Kolinnehåll (viktprocent)</v>
      </c>
      <c r="F2891" s="2476"/>
      <c r="G2891" s="425" t="s">
        <v>957</v>
      </c>
      <c r="H2891" s="1302"/>
      <c r="I2891" s="1303"/>
      <c r="J2891" s="1304"/>
      <c r="K2891" s="1302"/>
      <c r="L2891" s="1302"/>
      <c r="M2891" s="1302"/>
      <c r="N2891" s="1305"/>
      <c r="O2891" s="15"/>
      <c r="P2891" s="1362"/>
      <c r="Q2891" s="343"/>
      <c r="R2891" s="2"/>
      <c r="S2891" s="343"/>
      <c r="T2891" s="2"/>
      <c r="U2891" s="2"/>
      <c r="V2891" s="2"/>
      <c r="W2891" s="2"/>
      <c r="X2891" s="2"/>
      <c r="Y2891" s="2"/>
      <c r="Z2891" s="2"/>
      <c r="AA2891" s="2"/>
      <c r="AB2891" s="2"/>
      <c r="AC2891" s="108" t="b">
        <f t="shared" ref="AC2891:AI2891" si="1288">AC2890</f>
        <v>0</v>
      </c>
      <c r="AD2891" s="108" t="b">
        <f t="shared" si="1288"/>
        <v>0</v>
      </c>
      <c r="AE2891" s="108" t="b">
        <f t="shared" si="1288"/>
        <v>0</v>
      </c>
      <c r="AF2891" s="108" t="b">
        <f t="shared" si="1288"/>
        <v>0</v>
      </c>
      <c r="AG2891" s="108" t="b">
        <f t="shared" si="1288"/>
        <v>0</v>
      </c>
      <c r="AH2891" s="108" t="b">
        <f t="shared" si="1288"/>
        <v>0</v>
      </c>
      <c r="AI2891" s="108" t="b">
        <f t="shared" si="1288"/>
        <v>0</v>
      </c>
      <c r="AJ2891" s="553" t="s">
        <v>2248</v>
      </c>
      <c r="AK2891" s="663" t="str">
        <f>IF(AND(CNTR_ExistSubInstEntries,MSconst_RequireSubAttrEmissions,COUNTIFS(AC2891:AI2891,FALSE,H2891:N2891,"")&gt;0),EUconst_Error&amp;"BM"&amp;$Q2731,"")</f>
        <v/>
      </c>
      <c r="AL2891" s="2"/>
    </row>
    <row r="2892" spans="1:38" ht="12.75" customHeight="1" x14ac:dyDescent="0.25">
      <c r="A2892" s="2"/>
      <c r="B2892" s="178"/>
      <c r="C2892" s="779"/>
      <c r="D2892" s="416" t="s">
        <v>860</v>
      </c>
      <c r="E2892" s="2626" t="str">
        <f>Translations!$B$586</f>
        <v>Biomassahalt (som kolfraktion)</v>
      </c>
      <c r="F2892" s="2487"/>
      <c r="G2892" s="384" t="s">
        <v>957</v>
      </c>
      <c r="H2892" s="1306"/>
      <c r="I2892" s="1307"/>
      <c r="J2892" s="1308"/>
      <c r="K2892" s="1306"/>
      <c r="L2892" s="1306"/>
      <c r="M2892" s="1306"/>
      <c r="N2892" s="1309"/>
      <c r="O2892" s="15"/>
      <c r="P2892" s="1362"/>
      <c r="Q2892" s="343"/>
      <c r="R2892" s="2"/>
      <c r="S2892" s="772"/>
      <c r="T2892" s="609">
        <f t="shared" ref="T2892:Z2892" si="1289">H2888</f>
        <v>2019</v>
      </c>
      <c r="U2892" s="609">
        <f t="shared" si="1289"/>
        <v>2020</v>
      </c>
      <c r="V2892" s="609">
        <f t="shared" si="1289"/>
        <v>2021</v>
      </c>
      <c r="W2892" s="609">
        <f t="shared" si="1289"/>
        <v>2022</v>
      </c>
      <c r="X2892" s="609">
        <f t="shared" si="1289"/>
        <v>2023</v>
      </c>
      <c r="Y2892" s="609">
        <f t="shared" si="1289"/>
        <v>2024</v>
      </c>
      <c r="Z2892" s="610">
        <f t="shared" si="1289"/>
        <v>2025</v>
      </c>
      <c r="AA2892" s="2"/>
      <c r="AB2892" s="2"/>
      <c r="AC2892" s="108" t="b">
        <f t="shared" ref="AC2892:AI2892" si="1290">AC2891</f>
        <v>0</v>
      </c>
      <c r="AD2892" s="108" t="b">
        <f t="shared" si="1290"/>
        <v>0</v>
      </c>
      <c r="AE2892" s="108" t="b">
        <f t="shared" si="1290"/>
        <v>0</v>
      </c>
      <c r="AF2892" s="108" t="b">
        <f t="shared" si="1290"/>
        <v>0</v>
      </c>
      <c r="AG2892" s="108" t="b">
        <f t="shared" si="1290"/>
        <v>0</v>
      </c>
      <c r="AH2892" s="108" t="b">
        <f t="shared" si="1290"/>
        <v>0</v>
      </c>
      <c r="AI2892" s="108" t="b">
        <f t="shared" si="1290"/>
        <v>0</v>
      </c>
      <c r="AJ2892" s="553" t="s">
        <v>2248</v>
      </c>
      <c r="AK2892" s="663" t="str">
        <f>IF(AND(CNTR_ExistSubInstEntries,MSconst_RequireSubAttrEmissions,COUNTIFS(AC2892:AI2892,FALSE,H2892:N2892,"")&gt;0),EUconst_Error&amp;"BM"&amp;$Q2731,"")</f>
        <v/>
      </c>
      <c r="AL2892" s="2"/>
    </row>
    <row r="2893" spans="1:38" ht="12.75" customHeight="1" thickBot="1" x14ac:dyDescent="0.3">
      <c r="A2893" s="2"/>
      <c r="B2893" s="178"/>
      <c r="C2893" s="779"/>
      <c r="D2893" s="416" t="s">
        <v>861</v>
      </c>
      <c r="E2893" s="2627" t="str">
        <f>Translations!$B$587</f>
        <v>Utsläpp (fossila, beräknade)</v>
      </c>
      <c r="F2893" s="2484"/>
      <c r="G2893" s="426" t="str">
        <f>EUconst_tCO2pa</f>
        <v>t CO2 / år</v>
      </c>
      <c r="H2893" s="273" t="str">
        <f t="shared" ref="H2893:N2893" si="1291">IF(AND(COUNT(H2889:H2892)&gt;0,H2896=""),3.664*H2889*(H2891/100)*(1-H2892/100),"")</f>
        <v/>
      </c>
      <c r="I2893" s="1109" t="str">
        <f t="shared" si="1291"/>
        <v/>
      </c>
      <c r="J2893" s="1116" t="str">
        <f t="shared" si="1291"/>
        <v/>
      </c>
      <c r="K2893" s="273" t="str">
        <f t="shared" si="1291"/>
        <v/>
      </c>
      <c r="L2893" s="273" t="str">
        <f t="shared" si="1291"/>
        <v/>
      </c>
      <c r="M2893" s="273" t="str">
        <f t="shared" si="1291"/>
        <v/>
      </c>
      <c r="N2893" s="1142" t="str">
        <f t="shared" si="1291"/>
        <v/>
      </c>
      <c r="O2893" s="15"/>
      <c r="P2893" s="15"/>
      <c r="Q2893" s="165" t="str">
        <f>EUconst_CNTR_EmissionsIntSource1 &amp; I2731</f>
        <v>EmInternalSource1_</v>
      </c>
      <c r="R2893" s="2"/>
      <c r="S2893" s="773" t="str">
        <f>EUconst_CNTR_AttributedEmissions &amp; I2731</f>
        <v>AttrEmissions_</v>
      </c>
      <c r="T2893" s="111" t="str">
        <f t="shared" ref="T2893:Z2893" si="1292">IF(T2739,SUM(H2893),"")</f>
        <v/>
      </c>
      <c r="U2893" s="111" t="str">
        <f t="shared" si="1292"/>
        <v/>
      </c>
      <c r="V2893" s="111" t="str">
        <f t="shared" si="1292"/>
        <v/>
      </c>
      <c r="W2893" s="111" t="str">
        <f t="shared" si="1292"/>
        <v/>
      </c>
      <c r="X2893" s="111" t="str">
        <f t="shared" si="1292"/>
        <v/>
      </c>
      <c r="Y2893" s="111" t="str">
        <f t="shared" si="1292"/>
        <v/>
      </c>
      <c r="Z2893" s="112" t="str">
        <f t="shared" si="1292"/>
        <v/>
      </c>
      <c r="AA2893" s="2"/>
      <c r="AB2893" s="2"/>
      <c r="AC2893" s="2"/>
      <c r="AD2893" s="2"/>
      <c r="AE2893" s="2"/>
      <c r="AF2893" s="2"/>
      <c r="AG2893" s="2"/>
      <c r="AH2893" s="2"/>
      <c r="AI2893" s="2"/>
      <c r="AJ2893" s="2"/>
      <c r="AK2893" s="2"/>
      <c r="AL2893" s="2"/>
    </row>
    <row r="2894" spans="1:38" ht="12.75" customHeight="1" x14ac:dyDescent="0.25">
      <c r="A2894" s="2"/>
      <c r="B2894" s="178"/>
      <c r="C2894" s="779"/>
      <c r="D2894" s="416" t="s">
        <v>862</v>
      </c>
      <c r="E2894" s="2628" t="str">
        <f>Translations!$B$588</f>
        <v>Memorandumpost: Utsläpp biomassa</v>
      </c>
      <c r="F2894" s="2476"/>
      <c r="G2894" s="427" t="str">
        <f>EUconst_tCO2pa</f>
        <v>t CO2 / år</v>
      </c>
      <c r="H2894" s="272" t="str">
        <f t="shared" ref="H2894:N2894" si="1293">IF(ISNUMBER(H2893),3.664*H2889*(H2891/100)*(H2892/100),"")</f>
        <v/>
      </c>
      <c r="I2894" s="1110" t="str">
        <f t="shared" si="1293"/>
        <v/>
      </c>
      <c r="J2894" s="1117" t="str">
        <f t="shared" si="1293"/>
        <v/>
      </c>
      <c r="K2894" s="272" t="str">
        <f t="shared" si="1293"/>
        <v/>
      </c>
      <c r="L2894" s="272" t="str">
        <f t="shared" si="1293"/>
        <v/>
      </c>
      <c r="M2894" s="272" t="str">
        <f t="shared" si="1293"/>
        <v/>
      </c>
      <c r="N2894" s="1143" t="str">
        <f t="shared" si="1293"/>
        <v/>
      </c>
      <c r="O2894" s="15"/>
      <c r="P2894" s="15"/>
      <c r="Q2894" s="343"/>
      <c r="R2894" s="2"/>
      <c r="S2894" s="343"/>
      <c r="T2894" s="2"/>
      <c r="U2894" s="2"/>
      <c r="V2894" s="2"/>
      <c r="W2894" s="2"/>
      <c r="X2894" s="2"/>
      <c r="Y2894" s="2"/>
      <c r="Z2894" s="2"/>
      <c r="AA2894" s="2"/>
      <c r="AB2894" s="2"/>
      <c r="AC2894" s="2"/>
      <c r="AD2894" s="2"/>
      <c r="AE2894" s="2"/>
      <c r="AF2894" s="2"/>
      <c r="AG2894" s="2"/>
      <c r="AH2894" s="2"/>
      <c r="AI2894" s="2"/>
      <c r="AJ2894" s="2"/>
      <c r="AK2894" s="2"/>
      <c r="AL2894" s="2"/>
    </row>
    <row r="2895" spans="1:38" ht="12.75" customHeight="1" x14ac:dyDescent="0.25">
      <c r="A2895" s="2"/>
      <c r="B2895" s="178"/>
      <c r="C2895" s="779"/>
      <c r="D2895" s="416" t="s">
        <v>863</v>
      </c>
      <c r="E2895" s="2626" t="str">
        <f>Translations!$B$589</f>
        <v>Energiinnehåll (beräknat)</v>
      </c>
      <c r="F2895" s="2487"/>
      <c r="G2895" s="428" t="str">
        <f>EUconst_TJpa</f>
        <v>TJ / år</v>
      </c>
      <c r="H2895" s="275" t="str">
        <f t="shared" ref="H2895:N2895" si="1294">IF(COUNT(H2889:H2890)=2,H2889*H2890/1000,"")</f>
        <v/>
      </c>
      <c r="I2895" s="281" t="str">
        <f t="shared" si="1294"/>
        <v/>
      </c>
      <c r="J2895" s="1118" t="str">
        <f t="shared" si="1294"/>
        <v/>
      </c>
      <c r="K2895" s="275" t="str">
        <f t="shared" si="1294"/>
        <v/>
      </c>
      <c r="L2895" s="275" t="str">
        <f t="shared" si="1294"/>
        <v/>
      </c>
      <c r="M2895" s="275" t="str">
        <f t="shared" si="1294"/>
        <v/>
      </c>
      <c r="N2895" s="1144" t="str">
        <f t="shared" si="1294"/>
        <v/>
      </c>
      <c r="O2895" s="15"/>
      <c r="P2895" s="15"/>
      <c r="Q2895" s="343"/>
      <c r="R2895" s="2"/>
      <c r="S2895" s="343"/>
      <c r="T2895" s="2"/>
      <c r="U2895" s="2"/>
      <c r="V2895" s="2"/>
      <c r="W2895" s="2"/>
      <c r="X2895" s="2"/>
      <c r="Y2895" s="2"/>
      <c r="Z2895" s="2"/>
      <c r="AA2895" s="2"/>
      <c r="AB2895" s="2"/>
      <c r="AC2895" s="2"/>
      <c r="AD2895" s="2"/>
      <c r="AE2895" s="2"/>
      <c r="AF2895" s="2"/>
      <c r="AG2895" s="2"/>
      <c r="AH2895" s="2"/>
      <c r="AI2895" s="2"/>
      <c r="AJ2895" s="2"/>
      <c r="AK2895" s="2"/>
      <c r="AL2895" s="2"/>
    </row>
    <row r="2896" spans="1:38" ht="12.75" customHeight="1" x14ac:dyDescent="0.25">
      <c r="A2896" s="2"/>
      <c r="B2896" s="178"/>
      <c r="C2896" s="779"/>
      <c r="D2896" s="416" t="s">
        <v>72</v>
      </c>
      <c r="E2896" s="2629" t="str">
        <f>Translations!$B$590</f>
        <v>Felmeddelanden (utsläpp)</v>
      </c>
      <c r="F2896" s="2630"/>
      <c r="G2896" s="429"/>
      <c r="H2896" s="520" t="str">
        <f t="shared" ref="H2896:N2896" si="1295">IF(COUNT(H2889,H2891:H2892)&gt;0,IF(COUNTIF(H2890:H2892,"&lt;0")&gt;0,EUconst_Negative,IF(COUNT(H2889,H2891:H2892)&lt;3,EUconst_Incomplete,"")),"")</f>
        <v/>
      </c>
      <c r="I2896" s="1111" t="str">
        <f t="shared" si="1295"/>
        <v/>
      </c>
      <c r="J2896" s="1119" t="str">
        <f t="shared" si="1295"/>
        <v/>
      </c>
      <c r="K2896" s="520" t="str">
        <f t="shared" si="1295"/>
        <v/>
      </c>
      <c r="L2896" s="520" t="str">
        <f t="shared" si="1295"/>
        <v/>
      </c>
      <c r="M2896" s="520" t="str">
        <f t="shared" si="1295"/>
        <v/>
      </c>
      <c r="N2896" s="1145" t="str">
        <f t="shared" si="1295"/>
        <v/>
      </c>
      <c r="O2896" s="15"/>
      <c r="P2896" s="15"/>
      <c r="Q2896" s="343"/>
      <c r="R2896" s="2"/>
      <c r="S2896" s="343"/>
      <c r="T2896" s="2"/>
      <c r="U2896" s="2"/>
      <c r="V2896" s="2"/>
      <c r="W2896" s="2"/>
      <c r="X2896" s="2"/>
      <c r="Y2896" s="2"/>
      <c r="Z2896" s="2"/>
      <c r="AA2896" s="2"/>
      <c r="AB2896" s="2"/>
      <c r="AC2896" s="2"/>
      <c r="AD2896" s="2"/>
      <c r="AE2896" s="2"/>
      <c r="AF2896" s="2"/>
      <c r="AG2896" s="2"/>
      <c r="AH2896" s="2"/>
      <c r="AI2896" s="2"/>
      <c r="AJ2896" s="2"/>
      <c r="AK2896" s="2"/>
      <c r="AL2896" s="2"/>
    </row>
    <row r="2897" spans="1:38" ht="12.75" customHeight="1" x14ac:dyDescent="0.25">
      <c r="A2897" s="2"/>
      <c r="B2897" s="178"/>
      <c r="C2897" s="779"/>
      <c r="D2897" s="416"/>
      <c r="E2897" s="780"/>
      <c r="F2897" s="780"/>
      <c r="G2897" s="780"/>
      <c r="H2897" s="780"/>
      <c r="I2897" s="780"/>
      <c r="J2897" s="780"/>
      <c r="K2897" s="780"/>
      <c r="L2897" s="780"/>
      <c r="M2897" s="623"/>
      <c r="N2897" s="519"/>
      <c r="O2897" s="15"/>
      <c r="P2897" s="15"/>
      <c r="Q2897" s="343"/>
      <c r="R2897" s="2"/>
      <c r="S2897" s="343"/>
      <c r="T2897" s="2"/>
      <c r="U2897" s="2"/>
      <c r="V2897" s="2"/>
      <c r="W2897" s="2"/>
      <c r="X2897" s="2"/>
      <c r="Y2897" s="2"/>
      <c r="Z2897" s="2"/>
      <c r="AA2897" s="2"/>
      <c r="AB2897" s="2"/>
      <c r="AC2897" s="2"/>
      <c r="AD2897" s="2"/>
      <c r="AE2897" s="2"/>
      <c r="AF2897" s="2"/>
      <c r="AG2897" s="2"/>
      <c r="AH2897" s="2"/>
      <c r="AI2897" s="2"/>
      <c r="AJ2897" s="2"/>
      <c r="AK2897" s="2"/>
      <c r="AL2897" s="2"/>
    </row>
    <row r="2898" spans="1:38" ht="12.75" customHeight="1" x14ac:dyDescent="0.25">
      <c r="A2898" s="2"/>
      <c r="B2898" s="178"/>
      <c r="C2898" s="779"/>
      <c r="D2898" s="416" t="s">
        <v>73</v>
      </c>
      <c r="E2898" s="2614" t="str">
        <f>Translations!$B$591</f>
        <v>Namn på andra bränsle-/materialmängder – 2:</v>
      </c>
      <c r="F2898" s="1960"/>
      <c r="G2898" s="1960"/>
      <c r="H2898" s="2520"/>
      <c r="I2898" s="2621"/>
      <c r="J2898" s="2510"/>
      <c r="K2898" s="2510"/>
      <c r="L2898" s="2510"/>
      <c r="M2898" s="2511"/>
      <c r="N2898" s="1807"/>
      <c r="O2898" s="15"/>
      <c r="P2898" s="1362"/>
      <c r="Q2898" s="343"/>
      <c r="R2898" s="2"/>
      <c r="S2898" s="343"/>
      <c r="T2898" s="2"/>
      <c r="U2898" s="2"/>
      <c r="V2898" s="2"/>
      <c r="W2898" s="2"/>
      <c r="X2898" s="2"/>
      <c r="Y2898" s="2"/>
      <c r="Z2898" s="2"/>
      <c r="AA2898" s="2"/>
      <c r="AB2898" s="2"/>
      <c r="AC2898" s="672" t="s">
        <v>782</v>
      </c>
      <c r="AD2898" s="108" t="b">
        <f>AD2886</f>
        <v>0</v>
      </c>
      <c r="AE2898" s="2"/>
      <c r="AF2898" s="2"/>
      <c r="AG2898" s="2"/>
      <c r="AH2898" s="2"/>
      <c r="AI2898" s="2"/>
      <c r="AJ2898" s="2"/>
      <c r="AK2898" s="2"/>
      <c r="AL2898" s="2"/>
    </row>
    <row r="2899" spans="1:38" ht="5.15" customHeight="1" x14ac:dyDescent="0.25">
      <c r="A2899" s="2"/>
      <c r="B2899" s="178"/>
      <c r="C2899" s="779"/>
      <c r="D2899" s="780"/>
      <c r="E2899" s="1804"/>
      <c r="F2899" s="1806"/>
      <c r="G2899" s="780"/>
      <c r="H2899" s="780"/>
      <c r="I2899" s="1806"/>
      <c r="J2899" s="1806"/>
      <c r="K2899" s="1806"/>
      <c r="L2899" s="1806"/>
      <c r="M2899" s="1806"/>
      <c r="N2899" s="1807"/>
      <c r="O2899" s="15"/>
      <c r="P2899" s="15"/>
      <c r="Q2899" s="343"/>
      <c r="R2899" s="2"/>
      <c r="S2899" s="343"/>
      <c r="T2899" s="2"/>
      <c r="U2899" s="2"/>
      <c r="V2899" s="2"/>
      <c r="W2899" s="2"/>
      <c r="X2899" s="2"/>
      <c r="Y2899" s="2"/>
      <c r="Z2899" s="2"/>
      <c r="AA2899" s="2"/>
      <c r="AB2899" s="2"/>
      <c r="AC2899" s="2"/>
      <c r="AD2899" s="2"/>
      <c r="AE2899" s="2"/>
      <c r="AF2899" s="2"/>
      <c r="AG2899" s="2"/>
      <c r="AH2899" s="2"/>
      <c r="AI2899" s="2"/>
      <c r="AJ2899" s="2"/>
      <c r="AK2899" s="2"/>
      <c r="AL2899" s="2"/>
    </row>
    <row r="2900" spans="1:38" ht="12.75" customHeight="1" thickBot="1" x14ac:dyDescent="0.3">
      <c r="A2900" s="2"/>
      <c r="B2900" s="178"/>
      <c r="C2900" s="779"/>
      <c r="D2900" s="416"/>
      <c r="E2900" s="2605" t="str">
        <f>Translations!$B$592</f>
        <v>Andra bränsle-/materialmängder – 2</v>
      </c>
      <c r="F2900" s="2497"/>
      <c r="G2900" s="361" t="str">
        <f>EUconst_Unit</f>
        <v>Enhet</v>
      </c>
      <c r="H2900" s="362">
        <f t="shared" ref="H2900:N2900" si="1296">H$3042</f>
        <v>2019</v>
      </c>
      <c r="I2900" s="1103">
        <f t="shared" si="1296"/>
        <v>2020</v>
      </c>
      <c r="J2900" s="1104">
        <f t="shared" si="1296"/>
        <v>2021</v>
      </c>
      <c r="K2900" s="362">
        <f t="shared" si="1296"/>
        <v>2022</v>
      </c>
      <c r="L2900" s="362">
        <f t="shared" si="1296"/>
        <v>2023</v>
      </c>
      <c r="M2900" s="362">
        <f t="shared" si="1296"/>
        <v>2024</v>
      </c>
      <c r="N2900" s="1141">
        <f t="shared" si="1296"/>
        <v>2025</v>
      </c>
      <c r="O2900" s="15"/>
      <c r="P2900" s="15"/>
      <c r="Q2900" s="343"/>
      <c r="R2900" s="2"/>
      <c r="S2900" s="343"/>
      <c r="T2900" s="2"/>
      <c r="U2900" s="2"/>
      <c r="V2900" s="2"/>
      <c r="W2900" s="2"/>
      <c r="X2900" s="2"/>
      <c r="Y2900" s="2"/>
      <c r="Z2900" s="2"/>
      <c r="AA2900" s="2"/>
      <c r="AB2900" s="2"/>
      <c r="AC2900" s="1044">
        <f t="shared" ref="AC2900:AI2900" si="1297">H$20</f>
        <v>2019</v>
      </c>
      <c r="AD2900" s="1044">
        <f t="shared" si="1297"/>
        <v>2020</v>
      </c>
      <c r="AE2900" s="1044">
        <f t="shared" si="1297"/>
        <v>2021</v>
      </c>
      <c r="AF2900" s="1044">
        <f t="shared" si="1297"/>
        <v>2022</v>
      </c>
      <c r="AG2900" s="1044">
        <f t="shared" si="1297"/>
        <v>2023</v>
      </c>
      <c r="AH2900" s="1044">
        <f t="shared" si="1297"/>
        <v>2024</v>
      </c>
      <c r="AI2900" s="1044">
        <f t="shared" si="1297"/>
        <v>2025</v>
      </c>
      <c r="AJ2900" s="2"/>
      <c r="AK2900" s="2"/>
      <c r="AL2900" s="2"/>
    </row>
    <row r="2901" spans="1:38" ht="12.75" customHeight="1" x14ac:dyDescent="0.25">
      <c r="A2901" s="2"/>
      <c r="B2901" s="178"/>
      <c r="C2901" s="779"/>
      <c r="D2901" s="416" t="s">
        <v>74</v>
      </c>
      <c r="E2901" s="2611" t="str">
        <f>Translations!$B$583</f>
        <v>Importerad eller exporterad mängd</v>
      </c>
      <c r="F2901" s="2484"/>
      <c r="G2901" s="365" t="str">
        <f>EUconst_tpa</f>
        <v>t / år</v>
      </c>
      <c r="H2901" s="1298"/>
      <c r="I2901" s="1299"/>
      <c r="J2901" s="1300"/>
      <c r="K2901" s="1298"/>
      <c r="L2901" s="1298"/>
      <c r="M2901" s="1298"/>
      <c r="N2901" s="1301"/>
      <c r="O2901" s="15"/>
      <c r="P2901" s="1362"/>
      <c r="Q2901" s="343"/>
      <c r="R2901" s="2"/>
      <c r="S2901" s="343"/>
      <c r="T2901" s="2"/>
      <c r="U2901" s="2"/>
      <c r="V2901" s="2"/>
      <c r="W2901" s="2"/>
      <c r="X2901" s="2"/>
      <c r="Y2901" s="2"/>
      <c r="Z2901" s="2"/>
      <c r="AA2901" s="2"/>
      <c r="AB2901" s="672" t="s">
        <v>782</v>
      </c>
      <c r="AC2901" s="108" t="b">
        <f>AC2889</f>
        <v>0</v>
      </c>
      <c r="AD2901" s="108" t="b">
        <f t="shared" ref="AD2901:AI2901" si="1298">AD2889</f>
        <v>0</v>
      </c>
      <c r="AE2901" s="108" t="b">
        <f t="shared" si="1298"/>
        <v>0</v>
      </c>
      <c r="AF2901" s="108" t="b">
        <f t="shared" si="1298"/>
        <v>0</v>
      </c>
      <c r="AG2901" s="108" t="b">
        <f t="shared" si="1298"/>
        <v>0</v>
      </c>
      <c r="AH2901" s="108" t="b">
        <f t="shared" si="1298"/>
        <v>0</v>
      </c>
      <c r="AI2901" s="108" t="b">
        <f t="shared" si="1298"/>
        <v>0</v>
      </c>
      <c r="AJ2901" s="553" t="s">
        <v>2248</v>
      </c>
      <c r="AK2901" s="663" t="str">
        <f>IF(AND(CNTR_ExistSubInstEntries,MSconst_RequireSubAttrEmissions,COUNTIFS(AC2901:AI2901,FALSE,H2901:N2901,"")&gt;0),EUconst_Error&amp;"BM"&amp;$Q2731,"")</f>
        <v/>
      </c>
      <c r="AL2901" s="2"/>
    </row>
    <row r="2902" spans="1:38" ht="12.75" customHeight="1" x14ac:dyDescent="0.25">
      <c r="A2902" s="2"/>
      <c r="B2902" s="178"/>
      <c r="C2902" s="779"/>
      <c r="D2902" s="416" t="s">
        <v>1201</v>
      </c>
      <c r="E2902" s="2625" t="str">
        <f>Translations!$B$584</f>
        <v>Effektivt värmevärde, i tillämpliga fall</v>
      </c>
      <c r="F2902" s="2476"/>
      <c r="G2902" s="424" t="str">
        <f>EUconst_GJpt</f>
        <v>GJ / t</v>
      </c>
      <c r="H2902" s="1302"/>
      <c r="I2902" s="1303"/>
      <c r="J2902" s="1304"/>
      <c r="K2902" s="1302"/>
      <c r="L2902" s="1302"/>
      <c r="M2902" s="1302"/>
      <c r="N2902" s="1305"/>
      <c r="O2902" s="15"/>
      <c r="P2902" s="1362"/>
      <c r="Q2902" s="343"/>
      <c r="R2902" s="2"/>
      <c r="S2902" s="343"/>
      <c r="T2902" s="2"/>
      <c r="U2902" s="2"/>
      <c r="V2902" s="2"/>
      <c r="W2902" s="2"/>
      <c r="X2902" s="2"/>
      <c r="Y2902" s="2"/>
      <c r="Z2902" s="2"/>
      <c r="AA2902" s="2"/>
      <c r="AB2902" s="2"/>
      <c r="AC2902" s="108" t="b">
        <f t="shared" ref="AC2902:AI2902" si="1299">AC2890</f>
        <v>0</v>
      </c>
      <c r="AD2902" s="108" t="b">
        <f t="shared" si="1299"/>
        <v>0</v>
      </c>
      <c r="AE2902" s="108" t="b">
        <f t="shared" si="1299"/>
        <v>0</v>
      </c>
      <c r="AF2902" s="108" t="b">
        <f t="shared" si="1299"/>
        <v>0</v>
      </c>
      <c r="AG2902" s="108" t="b">
        <f t="shared" si="1299"/>
        <v>0</v>
      </c>
      <c r="AH2902" s="108" t="b">
        <f t="shared" si="1299"/>
        <v>0</v>
      </c>
      <c r="AI2902" s="108" t="b">
        <f t="shared" si="1299"/>
        <v>0</v>
      </c>
      <c r="AJ2902" s="553" t="s">
        <v>2248</v>
      </c>
      <c r="AK2902" s="663" t="str">
        <f>IF(AND(CNTR_ExistSubInstEntries,MSconst_RequireSubAttrEmissions,COUNTIFS(AC2902:AI2902,FALSE,H2902:N2902,"")&gt;0),EUconst_Error&amp;"BM"&amp;$Q2731,"")</f>
        <v/>
      </c>
      <c r="AL2902" s="2"/>
    </row>
    <row r="2903" spans="1:38" ht="12.75" customHeight="1" thickBot="1" x14ac:dyDescent="0.3">
      <c r="A2903" s="2"/>
      <c r="B2903" s="178"/>
      <c r="C2903" s="779"/>
      <c r="D2903" s="416" t="s">
        <v>1202</v>
      </c>
      <c r="E2903" s="2625" t="str">
        <f>Translations!$B$585</f>
        <v>Kolinnehåll (viktprocent)</v>
      </c>
      <c r="F2903" s="2476"/>
      <c r="G2903" s="425" t="s">
        <v>957</v>
      </c>
      <c r="H2903" s="1302"/>
      <c r="I2903" s="1303"/>
      <c r="J2903" s="1304"/>
      <c r="K2903" s="1302"/>
      <c r="L2903" s="1302"/>
      <c r="M2903" s="1302"/>
      <c r="N2903" s="1305"/>
      <c r="O2903" s="15"/>
      <c r="P2903" s="1362"/>
      <c r="Q2903" s="343"/>
      <c r="R2903" s="2"/>
      <c r="S2903" s="343"/>
      <c r="T2903" s="2"/>
      <c r="U2903" s="2"/>
      <c r="V2903" s="2"/>
      <c r="W2903" s="2"/>
      <c r="X2903" s="2"/>
      <c r="Y2903" s="2"/>
      <c r="Z2903" s="2"/>
      <c r="AA2903" s="2"/>
      <c r="AB2903" s="2"/>
      <c r="AC2903" s="108" t="b">
        <f t="shared" ref="AC2903:AI2903" si="1300">AC2891</f>
        <v>0</v>
      </c>
      <c r="AD2903" s="108" t="b">
        <f t="shared" si="1300"/>
        <v>0</v>
      </c>
      <c r="AE2903" s="108" t="b">
        <f t="shared" si="1300"/>
        <v>0</v>
      </c>
      <c r="AF2903" s="108" t="b">
        <f t="shared" si="1300"/>
        <v>0</v>
      </c>
      <c r="AG2903" s="108" t="b">
        <f t="shared" si="1300"/>
        <v>0</v>
      </c>
      <c r="AH2903" s="108" t="b">
        <f t="shared" si="1300"/>
        <v>0</v>
      </c>
      <c r="AI2903" s="108" t="b">
        <f t="shared" si="1300"/>
        <v>0</v>
      </c>
      <c r="AJ2903" s="553" t="s">
        <v>2248</v>
      </c>
      <c r="AK2903" s="663" t="str">
        <f>IF(AND(CNTR_ExistSubInstEntries,MSconst_RequireSubAttrEmissions,COUNTIFS(AC2903:AI2903,FALSE,H2903:N2903,"")&gt;0),EUconst_Error&amp;"BM"&amp;$Q2731,"")</f>
        <v/>
      </c>
      <c r="AL2903" s="2"/>
    </row>
    <row r="2904" spans="1:38" ht="12.75" customHeight="1" x14ac:dyDescent="0.25">
      <c r="A2904" s="2"/>
      <c r="B2904" s="178"/>
      <c r="C2904" s="779"/>
      <c r="D2904" s="416" t="s">
        <v>1203</v>
      </c>
      <c r="E2904" s="2626" t="str">
        <f>Translations!$B$586</f>
        <v>Biomassahalt (som kolfraktion)</v>
      </c>
      <c r="F2904" s="2487"/>
      <c r="G2904" s="384" t="s">
        <v>957</v>
      </c>
      <c r="H2904" s="1306"/>
      <c r="I2904" s="1307"/>
      <c r="J2904" s="1308"/>
      <c r="K2904" s="1306"/>
      <c r="L2904" s="1306"/>
      <c r="M2904" s="1306"/>
      <c r="N2904" s="1309"/>
      <c r="O2904" s="15"/>
      <c r="P2904" s="1362"/>
      <c r="Q2904" s="343"/>
      <c r="R2904" s="2"/>
      <c r="S2904" s="772"/>
      <c r="T2904" s="609">
        <f t="shared" ref="T2904:Z2904" si="1301">H2900</f>
        <v>2019</v>
      </c>
      <c r="U2904" s="609">
        <f t="shared" si="1301"/>
        <v>2020</v>
      </c>
      <c r="V2904" s="609">
        <f t="shared" si="1301"/>
        <v>2021</v>
      </c>
      <c r="W2904" s="609">
        <f t="shared" si="1301"/>
        <v>2022</v>
      </c>
      <c r="X2904" s="609">
        <f t="shared" si="1301"/>
        <v>2023</v>
      </c>
      <c r="Y2904" s="609">
        <f t="shared" si="1301"/>
        <v>2024</v>
      </c>
      <c r="Z2904" s="610">
        <f t="shared" si="1301"/>
        <v>2025</v>
      </c>
      <c r="AA2904" s="2"/>
      <c r="AB2904" s="2"/>
      <c r="AC2904" s="108" t="b">
        <f t="shared" ref="AC2904:AI2904" si="1302">AC2892</f>
        <v>0</v>
      </c>
      <c r="AD2904" s="108" t="b">
        <f t="shared" si="1302"/>
        <v>0</v>
      </c>
      <c r="AE2904" s="108" t="b">
        <f t="shared" si="1302"/>
        <v>0</v>
      </c>
      <c r="AF2904" s="108" t="b">
        <f t="shared" si="1302"/>
        <v>0</v>
      </c>
      <c r="AG2904" s="108" t="b">
        <f t="shared" si="1302"/>
        <v>0</v>
      </c>
      <c r="AH2904" s="108" t="b">
        <f t="shared" si="1302"/>
        <v>0</v>
      </c>
      <c r="AI2904" s="108" t="b">
        <f t="shared" si="1302"/>
        <v>0</v>
      </c>
      <c r="AJ2904" s="553" t="s">
        <v>2248</v>
      </c>
      <c r="AK2904" s="663" t="str">
        <f>IF(AND(CNTR_ExistSubInstEntries,MSconst_RequireSubAttrEmissions,COUNTIFS(AC2904:AI2904,FALSE,H2904:N2904,"")&gt;0),EUconst_Error&amp;"BM"&amp;$Q2731,"")</f>
        <v/>
      </c>
      <c r="AL2904" s="2"/>
    </row>
    <row r="2905" spans="1:38" ht="12.75" customHeight="1" thickBot="1" x14ac:dyDescent="0.3">
      <c r="A2905" s="2"/>
      <c r="B2905" s="178"/>
      <c r="C2905" s="779"/>
      <c r="D2905" s="416" t="s">
        <v>1204</v>
      </c>
      <c r="E2905" s="2627" t="str">
        <f>Translations!$B$587</f>
        <v>Utsläpp (fossila, beräknade)</v>
      </c>
      <c r="F2905" s="2484"/>
      <c r="G2905" s="426" t="str">
        <f>EUconst_tCO2pa</f>
        <v>t CO2 / år</v>
      </c>
      <c r="H2905" s="273" t="str">
        <f t="shared" ref="H2905:N2905" si="1303">IF(AND(COUNT(H2901:H2904)&gt;0,H2908=""),3.664*H2901*(H2903/100)*(1-H2904/100),"")</f>
        <v/>
      </c>
      <c r="I2905" s="1109" t="str">
        <f t="shared" si="1303"/>
        <v/>
      </c>
      <c r="J2905" s="1116" t="str">
        <f t="shared" si="1303"/>
        <v/>
      </c>
      <c r="K2905" s="273" t="str">
        <f t="shared" si="1303"/>
        <v/>
      </c>
      <c r="L2905" s="273" t="str">
        <f t="shared" si="1303"/>
        <v/>
      </c>
      <c r="M2905" s="273" t="str">
        <f t="shared" si="1303"/>
        <v/>
      </c>
      <c r="N2905" s="1142" t="str">
        <f t="shared" si="1303"/>
        <v/>
      </c>
      <c r="O2905" s="15"/>
      <c r="P2905" s="15"/>
      <c r="Q2905" s="165" t="str">
        <f>EUconst_CNTR_EmissionsIntSource2 &amp; I2731</f>
        <v>EmInternalSource2_</v>
      </c>
      <c r="R2905" s="2"/>
      <c r="S2905" s="773" t="str">
        <f>EUconst_CNTR_AttributedEmissions &amp; I2731</f>
        <v>AttrEmissions_</v>
      </c>
      <c r="T2905" s="111" t="str">
        <f t="shared" ref="T2905:Z2905" si="1304">IF(T2739,SUM(H2905),"")</f>
        <v/>
      </c>
      <c r="U2905" s="111" t="str">
        <f t="shared" si="1304"/>
        <v/>
      </c>
      <c r="V2905" s="111" t="str">
        <f t="shared" si="1304"/>
        <v/>
      </c>
      <c r="W2905" s="111" t="str">
        <f t="shared" si="1304"/>
        <v/>
      </c>
      <c r="X2905" s="111" t="str">
        <f t="shared" si="1304"/>
        <v/>
      </c>
      <c r="Y2905" s="111" t="str">
        <f t="shared" si="1304"/>
        <v/>
      </c>
      <c r="Z2905" s="112" t="str">
        <f t="shared" si="1304"/>
        <v/>
      </c>
      <c r="AA2905" s="2"/>
      <c r="AB2905" s="2"/>
      <c r="AC2905" s="2"/>
      <c r="AD2905" s="2"/>
      <c r="AE2905" s="2"/>
      <c r="AF2905" s="2"/>
      <c r="AG2905" s="2"/>
      <c r="AH2905" s="2"/>
      <c r="AI2905" s="2"/>
      <c r="AJ2905" s="2"/>
      <c r="AK2905" s="2"/>
      <c r="AL2905" s="2"/>
    </row>
    <row r="2906" spans="1:38" ht="12.75" customHeight="1" x14ac:dyDescent="0.25">
      <c r="A2906" s="2"/>
      <c r="B2906" s="178"/>
      <c r="C2906" s="779"/>
      <c r="D2906" s="416" t="s">
        <v>1205</v>
      </c>
      <c r="E2906" s="2628" t="str">
        <f>Translations!$B$588</f>
        <v>Memorandumpost: Utsläpp biomassa</v>
      </c>
      <c r="F2906" s="2476"/>
      <c r="G2906" s="427" t="str">
        <f>EUconst_tCO2pa</f>
        <v>t CO2 / år</v>
      </c>
      <c r="H2906" s="272" t="str">
        <f t="shared" ref="H2906:N2906" si="1305">IF(ISNUMBER(H2905),3.664*H2901*(H2903/100)*(H2904/100),"")</f>
        <v/>
      </c>
      <c r="I2906" s="1110" t="str">
        <f t="shared" si="1305"/>
        <v/>
      </c>
      <c r="J2906" s="1117" t="str">
        <f t="shared" si="1305"/>
        <v/>
      </c>
      <c r="K2906" s="272" t="str">
        <f t="shared" si="1305"/>
        <v/>
      </c>
      <c r="L2906" s="272" t="str">
        <f t="shared" si="1305"/>
        <v/>
      </c>
      <c r="M2906" s="272" t="str">
        <f t="shared" si="1305"/>
        <v/>
      </c>
      <c r="N2906" s="1143" t="str">
        <f t="shared" si="1305"/>
        <v/>
      </c>
      <c r="O2906" s="15"/>
      <c r="P2906" s="15"/>
      <c r="Q2906" s="343"/>
      <c r="R2906" s="2"/>
      <c r="S2906" s="343"/>
      <c r="T2906" s="2"/>
      <c r="U2906" s="2"/>
      <c r="V2906" s="2"/>
      <c r="W2906" s="2"/>
      <c r="X2906" s="2"/>
      <c r="Y2906" s="2"/>
      <c r="Z2906" s="2"/>
      <c r="AA2906" s="2"/>
      <c r="AB2906" s="2"/>
      <c r="AC2906" s="2"/>
      <c r="AD2906" s="2"/>
      <c r="AE2906" s="2"/>
      <c r="AF2906" s="2"/>
      <c r="AG2906" s="2"/>
      <c r="AH2906" s="2"/>
      <c r="AI2906" s="2"/>
      <c r="AJ2906" s="2"/>
      <c r="AK2906" s="2"/>
      <c r="AL2906" s="2"/>
    </row>
    <row r="2907" spans="1:38" ht="12.75" customHeight="1" x14ac:dyDescent="0.25">
      <c r="A2907" s="2"/>
      <c r="B2907" s="178"/>
      <c r="C2907" s="779"/>
      <c r="D2907" s="416" t="s">
        <v>1206</v>
      </c>
      <c r="E2907" s="2626" t="str">
        <f>Translations!$B$589</f>
        <v>Energiinnehåll (beräknat)</v>
      </c>
      <c r="F2907" s="2487"/>
      <c r="G2907" s="428" t="str">
        <f>EUconst_TJpa</f>
        <v>TJ / år</v>
      </c>
      <c r="H2907" s="275" t="str">
        <f t="shared" ref="H2907:N2907" si="1306">IF(COUNT(H2901:H2902)=2,H2901*H2902/1000,"")</f>
        <v/>
      </c>
      <c r="I2907" s="281" t="str">
        <f t="shared" si="1306"/>
        <v/>
      </c>
      <c r="J2907" s="1118" t="str">
        <f t="shared" si="1306"/>
        <v/>
      </c>
      <c r="K2907" s="275" t="str">
        <f t="shared" si="1306"/>
        <v/>
      </c>
      <c r="L2907" s="275" t="str">
        <f t="shared" si="1306"/>
        <v/>
      </c>
      <c r="M2907" s="275" t="str">
        <f t="shared" si="1306"/>
        <v/>
      </c>
      <c r="N2907" s="1144" t="str">
        <f t="shared" si="1306"/>
        <v/>
      </c>
      <c r="O2907" s="15"/>
      <c r="P2907" s="15"/>
      <c r="Q2907" s="343"/>
      <c r="R2907" s="2"/>
      <c r="S2907" s="343"/>
      <c r="T2907" s="2"/>
      <c r="U2907" s="2"/>
      <c r="V2907" s="2"/>
      <c r="W2907" s="2"/>
      <c r="X2907" s="2"/>
      <c r="Y2907" s="2"/>
      <c r="Z2907" s="2"/>
      <c r="AA2907" s="2"/>
      <c r="AB2907" s="2"/>
      <c r="AC2907" s="2"/>
      <c r="AD2907" s="2"/>
      <c r="AE2907" s="2"/>
      <c r="AF2907" s="2"/>
      <c r="AG2907" s="2"/>
      <c r="AH2907" s="2"/>
      <c r="AI2907" s="2"/>
      <c r="AJ2907" s="2"/>
      <c r="AK2907" s="2"/>
      <c r="AL2907" s="2"/>
    </row>
    <row r="2908" spans="1:38" ht="12.75" customHeight="1" x14ac:dyDescent="0.25">
      <c r="A2908" s="2"/>
      <c r="B2908" s="178"/>
      <c r="C2908" s="779"/>
      <c r="D2908" s="416" t="s">
        <v>1202</v>
      </c>
      <c r="E2908" s="2629" t="str">
        <f>Translations!$B$590</f>
        <v>Felmeddelanden (utsläpp)</v>
      </c>
      <c r="F2908" s="2630"/>
      <c r="G2908" s="429"/>
      <c r="H2908" s="520" t="str">
        <f t="shared" ref="H2908:N2908" si="1307">IF(COUNT(H2901,H2903:H2904)&gt;0,IF(COUNTIF(H2902:H2904,"&lt;0")&gt;0,EUconst_Negative,IF(COUNT(H2901,H2903:H2904)&lt;3,EUconst_Incomplete,"")),"")</f>
        <v/>
      </c>
      <c r="I2908" s="1111" t="str">
        <f t="shared" si="1307"/>
        <v/>
      </c>
      <c r="J2908" s="1119" t="str">
        <f t="shared" si="1307"/>
        <v/>
      </c>
      <c r="K2908" s="520" t="str">
        <f t="shared" si="1307"/>
        <v/>
      </c>
      <c r="L2908" s="520" t="str">
        <f t="shared" si="1307"/>
        <v/>
      </c>
      <c r="M2908" s="520" t="str">
        <f t="shared" si="1307"/>
        <v/>
      </c>
      <c r="N2908" s="1145" t="str">
        <f t="shared" si="1307"/>
        <v/>
      </c>
      <c r="O2908" s="15"/>
      <c r="P2908" s="15"/>
      <c r="Q2908" s="343"/>
      <c r="R2908" s="2"/>
      <c r="S2908" s="343"/>
      <c r="T2908" s="2"/>
      <c r="U2908" s="2"/>
      <c r="V2908" s="2"/>
      <c r="W2908" s="2"/>
      <c r="X2908" s="2"/>
      <c r="Y2908" s="2"/>
      <c r="Z2908" s="2"/>
      <c r="AA2908" s="2"/>
      <c r="AB2908" s="2"/>
      <c r="AC2908" s="2"/>
      <c r="AD2908" s="2"/>
      <c r="AE2908" s="2"/>
      <c r="AF2908" s="2"/>
      <c r="AG2908" s="2"/>
      <c r="AH2908" s="2"/>
      <c r="AI2908" s="2"/>
      <c r="AJ2908" s="2"/>
      <c r="AK2908" s="2"/>
      <c r="AL2908" s="2"/>
    </row>
    <row r="2909" spans="1:38" ht="12.75" customHeight="1" x14ac:dyDescent="0.25">
      <c r="A2909" s="2"/>
      <c r="B2909" s="178"/>
      <c r="C2909" s="779"/>
      <c r="D2909" s="780"/>
      <c r="E2909" s="780"/>
      <c r="F2909" s="780"/>
      <c r="G2909" s="780"/>
      <c r="H2909" s="780"/>
      <c r="I2909" s="780"/>
      <c r="J2909" s="780"/>
      <c r="K2909" s="780"/>
      <c r="L2909" s="780"/>
      <c r="M2909" s="623"/>
      <c r="N2909" s="519"/>
      <c r="O2909" s="15"/>
      <c r="P2909" s="15"/>
      <c r="Q2909" s="343"/>
      <c r="R2909" s="2"/>
      <c r="S2909" s="343"/>
      <c r="T2909" s="2"/>
      <c r="U2909" s="2"/>
      <c r="V2909" s="2"/>
      <c r="W2909" s="2"/>
      <c r="X2909" s="2"/>
      <c r="Y2909" s="2"/>
      <c r="Z2909" s="2"/>
      <c r="AA2909" s="2"/>
      <c r="AB2909" s="2"/>
      <c r="AC2909" s="2"/>
      <c r="AD2909" s="2"/>
      <c r="AE2909" s="2"/>
      <c r="AF2909" s="2"/>
      <c r="AG2909" s="2"/>
      <c r="AH2909" s="2"/>
      <c r="AI2909" s="2"/>
      <c r="AJ2909" s="2"/>
      <c r="AK2909" s="2"/>
      <c r="AL2909" s="2"/>
    </row>
    <row r="2910" spans="1:38" ht="12.75" customHeight="1" x14ac:dyDescent="0.25">
      <c r="A2910" s="2"/>
      <c r="B2910" s="178"/>
      <c r="C2910" s="779"/>
      <c r="D2910" s="373" t="s">
        <v>523</v>
      </c>
      <c r="E2910" s="2614" t="str">
        <f>Translations!$B$593</f>
        <v>Mängd växthusgaser som importerats eller exporterats som råvaror</v>
      </c>
      <c r="F2910" s="1960"/>
      <c r="G2910" s="1960"/>
      <c r="H2910" s="1960"/>
      <c r="I2910" s="1960"/>
      <c r="J2910" s="1960"/>
      <c r="K2910" s="1960"/>
      <c r="L2910" s="1960"/>
      <c r="M2910" s="1960"/>
      <c r="N2910" s="2597"/>
      <c r="O2910" s="15"/>
      <c r="P2910" s="15"/>
      <c r="Q2910" s="343"/>
      <c r="R2910" s="2"/>
      <c r="S2910" s="343"/>
      <c r="T2910" s="2"/>
      <c r="U2910" s="2"/>
      <c r="V2910" s="2"/>
      <c r="W2910" s="2"/>
      <c r="X2910" s="2"/>
      <c r="Y2910" s="2"/>
      <c r="Z2910" s="2"/>
      <c r="AA2910" s="2"/>
      <c r="AB2910" s="2"/>
      <c r="AC2910" s="2"/>
      <c r="AD2910" s="2"/>
      <c r="AE2910" s="2"/>
      <c r="AF2910" s="2"/>
      <c r="AG2910" s="2"/>
      <c r="AH2910" s="2"/>
      <c r="AI2910" s="2"/>
      <c r="AJ2910" s="2"/>
      <c r="AK2910" s="2"/>
      <c r="AL2910" s="2"/>
    </row>
    <row r="2911" spans="1:38" ht="12.75" customHeight="1" x14ac:dyDescent="0.25">
      <c r="A2911" s="2"/>
      <c r="B2911" s="178"/>
      <c r="C2911" s="779"/>
      <c r="D2911" s="416"/>
      <c r="E2911" s="2596" t="str">
        <f>Translations!$B$556</f>
        <v>De uppgifter som anges här påverkar de utsläpp som kan tillskrivas i enlighet med avsnitt 10.1.1 i bilaga VII till FAR.</v>
      </c>
      <c r="F2911" s="1960"/>
      <c r="G2911" s="1960"/>
      <c r="H2911" s="1960"/>
      <c r="I2911" s="1960"/>
      <c r="J2911" s="1960"/>
      <c r="K2911" s="1960"/>
      <c r="L2911" s="1960"/>
      <c r="M2911" s="1960"/>
      <c r="N2911" s="2597"/>
      <c r="O2911" s="15"/>
      <c r="P2911" s="15"/>
      <c r="Q2911" s="343"/>
      <c r="R2911" s="2"/>
      <c r="S2911" s="343"/>
      <c r="T2911" s="343"/>
      <c r="U2911" s="343"/>
      <c r="V2911" s="343"/>
      <c r="W2911" s="2"/>
      <c r="X2911" s="2"/>
      <c r="Y2911" s="2"/>
      <c r="Z2911" s="2"/>
      <c r="AA2911" s="2"/>
      <c r="AB2911" s="2"/>
      <c r="AC2911" s="2"/>
      <c r="AD2911" s="2"/>
      <c r="AE2911" s="2"/>
      <c r="AF2911" s="2"/>
      <c r="AG2911" s="2"/>
      <c r="AH2911" s="2"/>
      <c r="AI2911" s="2"/>
      <c r="AJ2911" s="2"/>
      <c r="AK2911" s="2"/>
      <c r="AL2911" s="2"/>
    </row>
    <row r="2912" spans="1:38" ht="25.5" customHeight="1" x14ac:dyDescent="0.25">
      <c r="A2912" s="2"/>
      <c r="B2912" s="178"/>
      <c r="C2912" s="779"/>
      <c r="D2912" s="780"/>
      <c r="E2912" s="2610" t="str">
        <f>Translations!$B$594</f>
        <v>I enlighet med kravet i avsnitt 3.1 k och 3.1 l i bilaga IV till FAR, var god ange mängden överförd koldioxid som importeras från eller exporteras till andra delanläggningar, anläggningar eller andra enheter, i enlighet med M&amp;R-förordningens regler.</v>
      </c>
      <c r="F2912" s="1960"/>
      <c r="G2912" s="1960"/>
      <c r="H2912" s="1960"/>
      <c r="I2912" s="1960"/>
      <c r="J2912" s="1960"/>
      <c r="K2912" s="1960"/>
      <c r="L2912" s="1960"/>
      <c r="M2912" s="1960"/>
      <c r="N2912" s="2597"/>
      <c r="O2912" s="15"/>
      <c r="P2912" s="15"/>
      <c r="Q2912" s="343"/>
      <c r="R2912" s="2"/>
      <c r="S2912" s="343"/>
      <c r="T2912" s="2"/>
      <c r="U2912" s="2"/>
      <c r="V2912" s="2"/>
      <c r="W2912" s="2"/>
      <c r="X2912" s="2"/>
      <c r="Y2912" s="2"/>
      <c r="Z2912" s="2"/>
      <c r="AA2912" s="2"/>
      <c r="AB2912" s="2"/>
      <c r="AC2912" s="2"/>
      <c r="AD2912" s="2"/>
      <c r="AE2912" s="2"/>
      <c r="AF2912" s="2"/>
      <c r="AG2912" s="2"/>
      <c r="AH2912" s="2"/>
      <c r="AI2912" s="2"/>
      <c r="AJ2912" s="2"/>
      <c r="AK2912" s="2"/>
      <c r="AL2912" s="2"/>
    </row>
    <row r="2913" spans="1:38" ht="12.75" customHeight="1" thickBot="1" x14ac:dyDescent="0.3">
      <c r="A2913" s="2"/>
      <c r="B2913" s="178"/>
      <c r="C2913" s="779"/>
      <c r="D2913" s="780"/>
      <c r="E2913" s="2610" t="str">
        <f>Translations!$B$595</f>
        <v>Exporterade mängder bör anges i negativa värden och motsvara den koldioxid som exporteras och som inte släpps ut i atmosfären av delanläggningen.</v>
      </c>
      <c r="F2913" s="1960"/>
      <c r="G2913" s="1960"/>
      <c r="H2913" s="1960"/>
      <c r="I2913" s="1960"/>
      <c r="J2913" s="1960"/>
      <c r="K2913" s="1960"/>
      <c r="L2913" s="1960"/>
      <c r="M2913" s="1960"/>
      <c r="N2913" s="2597"/>
      <c r="O2913" s="15"/>
      <c r="P2913" s="15"/>
      <c r="Q2913" s="343"/>
      <c r="R2913" s="2"/>
      <c r="S2913" s="343"/>
      <c r="T2913" s="2"/>
      <c r="U2913" s="2"/>
      <c r="V2913" s="2"/>
      <c r="W2913" s="2"/>
      <c r="X2913" s="2"/>
      <c r="Y2913" s="2"/>
      <c r="Z2913" s="2"/>
      <c r="AA2913" s="2"/>
      <c r="AB2913" s="2"/>
      <c r="AC2913" s="2"/>
      <c r="AD2913" s="2"/>
      <c r="AE2913" s="2"/>
      <c r="AF2913" s="2"/>
      <c r="AG2913" s="2"/>
      <c r="AH2913" s="2"/>
      <c r="AI2913" s="2"/>
      <c r="AJ2913" s="2"/>
      <c r="AK2913" s="2"/>
      <c r="AL2913" s="2"/>
    </row>
    <row r="2914" spans="1:38" ht="12.75" customHeight="1" thickBot="1" x14ac:dyDescent="0.3">
      <c r="A2914" s="2"/>
      <c r="B2914" s="178"/>
      <c r="C2914" s="779"/>
      <c r="D2914" s="373"/>
      <c r="E2914" s="1716"/>
      <c r="F2914" s="1717"/>
      <c r="G2914" s="361" t="str">
        <f>EUconst_Unit</f>
        <v>Enhet</v>
      </c>
      <c r="H2914" s="362">
        <f t="shared" ref="H2914:N2914" si="1308">H$3042</f>
        <v>2019</v>
      </c>
      <c r="I2914" s="1103">
        <f t="shared" si="1308"/>
        <v>2020</v>
      </c>
      <c r="J2914" s="1104">
        <f t="shared" si="1308"/>
        <v>2021</v>
      </c>
      <c r="K2914" s="362">
        <f t="shared" si="1308"/>
        <v>2022</v>
      </c>
      <c r="L2914" s="362">
        <f t="shared" si="1308"/>
        <v>2023</v>
      </c>
      <c r="M2914" s="362">
        <f t="shared" si="1308"/>
        <v>2024</v>
      </c>
      <c r="N2914" s="1141">
        <f t="shared" si="1308"/>
        <v>2025</v>
      </c>
      <c r="O2914" s="15"/>
      <c r="P2914" s="15"/>
      <c r="Q2914" s="343"/>
      <c r="R2914" s="2"/>
      <c r="S2914" s="772"/>
      <c r="T2914" s="609">
        <f t="shared" ref="T2914:Z2914" si="1309">H2914</f>
        <v>2019</v>
      </c>
      <c r="U2914" s="609">
        <f t="shared" si="1309"/>
        <v>2020</v>
      </c>
      <c r="V2914" s="609">
        <f t="shared" si="1309"/>
        <v>2021</v>
      </c>
      <c r="W2914" s="609">
        <f t="shared" si="1309"/>
        <v>2022</v>
      </c>
      <c r="X2914" s="609">
        <f t="shared" si="1309"/>
        <v>2023</v>
      </c>
      <c r="Y2914" s="609">
        <f t="shared" si="1309"/>
        <v>2024</v>
      </c>
      <c r="Z2914" s="610">
        <f t="shared" si="1309"/>
        <v>2025</v>
      </c>
      <c r="AA2914" s="2"/>
      <c r="AB2914" s="2"/>
      <c r="AC2914" s="1044">
        <f t="shared" ref="AC2914:AI2914" si="1310">H$20</f>
        <v>2019</v>
      </c>
      <c r="AD2914" s="1044">
        <f t="shared" si="1310"/>
        <v>2020</v>
      </c>
      <c r="AE2914" s="1044">
        <f t="shared" si="1310"/>
        <v>2021</v>
      </c>
      <c r="AF2914" s="1044">
        <f t="shared" si="1310"/>
        <v>2022</v>
      </c>
      <c r="AG2914" s="1044">
        <f t="shared" si="1310"/>
        <v>2023</v>
      </c>
      <c r="AH2914" s="1044">
        <f t="shared" si="1310"/>
        <v>2024</v>
      </c>
      <c r="AI2914" s="1044">
        <f t="shared" si="1310"/>
        <v>2025</v>
      </c>
      <c r="AJ2914" s="2"/>
      <c r="AK2914" s="2"/>
      <c r="AL2914" s="2"/>
    </row>
    <row r="2915" spans="1:38" ht="12.75" customHeight="1" thickBot="1" x14ac:dyDescent="0.3">
      <c r="A2915" s="2"/>
      <c r="B2915" s="178"/>
      <c r="C2915" s="779"/>
      <c r="D2915" s="416"/>
      <c r="E2915" s="2613" t="str">
        <f>Translations!$B$596</f>
        <v>Importerade eller exporterade växthusgaser</v>
      </c>
      <c r="F2915" s="1997"/>
      <c r="G2915" s="364" t="str">
        <f>EUconst_tCO2epa</f>
        <v>t CO2e/år</v>
      </c>
      <c r="H2915" s="582"/>
      <c r="I2915" s="1105"/>
      <c r="J2915" s="1115"/>
      <c r="K2915" s="582"/>
      <c r="L2915" s="582"/>
      <c r="M2915" s="582"/>
      <c r="N2915" s="1146"/>
      <c r="O2915" s="15"/>
      <c r="P2915" s="1362"/>
      <c r="Q2915" s="165" t="str">
        <f>EUconst_CNTR_CO2Feedstock &amp; I2731</f>
        <v>EmCO2Feedstock_</v>
      </c>
      <c r="R2915" s="2"/>
      <c r="S2915" s="773" t="str">
        <f>EUconst_CNTR_AttributedEmissions &amp; I2731</f>
        <v>AttrEmissions_</v>
      </c>
      <c r="T2915" s="111" t="str">
        <f t="shared" ref="T2915:Z2915" si="1311">IF(T2739,SUM(H2915),"")</f>
        <v/>
      </c>
      <c r="U2915" s="111" t="str">
        <f t="shared" si="1311"/>
        <v/>
      </c>
      <c r="V2915" s="111" t="str">
        <f t="shared" si="1311"/>
        <v/>
      </c>
      <c r="W2915" s="111" t="str">
        <f t="shared" si="1311"/>
        <v/>
      </c>
      <c r="X2915" s="111" t="str">
        <f t="shared" si="1311"/>
        <v/>
      </c>
      <c r="Y2915" s="111" t="str">
        <f t="shared" si="1311"/>
        <v/>
      </c>
      <c r="Z2915" s="112" t="str">
        <f t="shared" si="1311"/>
        <v/>
      </c>
      <c r="AA2915" s="2"/>
      <c r="AB2915" s="672" t="s">
        <v>782</v>
      </c>
      <c r="AC2915" s="108" t="b">
        <f>AC2801</f>
        <v>0</v>
      </c>
      <c r="AD2915" s="108" t="b">
        <f t="shared" ref="AD2915:AI2915" si="1312">AD2801</f>
        <v>0</v>
      </c>
      <c r="AE2915" s="108" t="b">
        <f t="shared" si="1312"/>
        <v>0</v>
      </c>
      <c r="AF2915" s="108" t="b">
        <f t="shared" si="1312"/>
        <v>0</v>
      </c>
      <c r="AG2915" s="108" t="b">
        <f t="shared" si="1312"/>
        <v>0</v>
      </c>
      <c r="AH2915" s="108" t="b">
        <f t="shared" si="1312"/>
        <v>0</v>
      </c>
      <c r="AI2915" s="108" t="b">
        <f t="shared" si="1312"/>
        <v>0</v>
      </c>
      <c r="AJ2915" s="553" t="s">
        <v>2248</v>
      </c>
      <c r="AK2915" s="663" t="str">
        <f>IF(AND(CNTR_ExistSubInstEntries,MSconst_RequireSubAttrEmissions,COUNTIFS(AC2915:AI2915,FALSE,H2915:N2915,"")&gt;0),EUconst_Error&amp;"BM"&amp;$Q2731,"")</f>
        <v/>
      </c>
      <c r="AL2915" s="2"/>
    </row>
    <row r="2916" spans="1:38" ht="12.75" customHeight="1" x14ac:dyDescent="0.25">
      <c r="A2916" s="2"/>
      <c r="B2916" s="178"/>
      <c r="C2916" s="779"/>
      <c r="D2916" s="780"/>
      <c r="E2916" s="780"/>
      <c r="F2916" s="780"/>
      <c r="G2916" s="780"/>
      <c r="H2916" s="780"/>
      <c r="I2916" s="780"/>
      <c r="J2916" s="780"/>
      <c r="K2916" s="780"/>
      <c r="L2916" s="780"/>
      <c r="M2916" s="623"/>
      <c r="N2916" s="519"/>
      <c r="O2916" s="15"/>
      <c r="P2916" s="15"/>
      <c r="Q2916" s="343"/>
      <c r="R2916" s="2"/>
      <c r="S2916" s="343"/>
      <c r="T2916" s="2"/>
      <c r="U2916" s="2"/>
      <c r="V2916" s="2"/>
      <c r="W2916" s="2"/>
      <c r="X2916" s="2"/>
      <c r="Y2916" s="2"/>
      <c r="Z2916" s="2"/>
      <c r="AA2916" s="2"/>
      <c r="AB2916" s="2"/>
      <c r="AC2916" s="2"/>
      <c r="AD2916" s="2"/>
      <c r="AE2916" s="2"/>
      <c r="AF2916" s="2"/>
      <c r="AG2916" s="2"/>
      <c r="AH2916" s="2"/>
      <c r="AI2916" s="2"/>
      <c r="AJ2916" s="2"/>
      <c r="AK2916" s="2"/>
      <c r="AL2916" s="2"/>
    </row>
    <row r="2917" spans="1:38" ht="12.75" customHeight="1" x14ac:dyDescent="0.25">
      <c r="A2917" s="2"/>
      <c r="B2917" s="178"/>
      <c r="C2917" s="779"/>
      <c r="D2917" s="373" t="s">
        <v>524</v>
      </c>
      <c r="E2917" s="2614" t="str">
        <f>Translations!$B$597</f>
        <v>Import till och export från delanläggningen av mätbar värme</v>
      </c>
      <c r="F2917" s="1960"/>
      <c r="G2917" s="1960"/>
      <c r="H2917" s="1960"/>
      <c r="I2917" s="1960"/>
      <c r="J2917" s="1960"/>
      <c r="K2917" s="1960"/>
      <c r="L2917" s="1960"/>
      <c r="M2917" s="1960"/>
      <c r="N2917" s="2597"/>
      <c r="O2917" s="15"/>
      <c r="P2917" s="15"/>
      <c r="Q2917" s="343"/>
      <c r="R2917" s="2"/>
      <c r="S2917" s="343"/>
      <c r="T2917" s="2"/>
      <c r="U2917" s="2"/>
      <c r="V2917" s="2"/>
      <c r="W2917" s="2"/>
      <c r="X2917" s="2"/>
      <c r="Y2917" s="2"/>
      <c r="Z2917" s="2"/>
      <c r="AA2917" s="2"/>
      <c r="AB2917" s="2"/>
      <c r="AC2917" s="2"/>
      <c r="AD2917" s="2"/>
      <c r="AE2917" s="2"/>
      <c r="AF2917" s="2"/>
      <c r="AG2917" s="2"/>
      <c r="AH2917" s="2"/>
      <c r="AI2917" s="2"/>
      <c r="AJ2917" s="2"/>
      <c r="AK2917" s="2"/>
      <c r="AL2917" s="2"/>
    </row>
    <row r="2918" spans="1:38" ht="12.75" customHeight="1" x14ac:dyDescent="0.25">
      <c r="A2918" s="2"/>
      <c r="B2918" s="178"/>
      <c r="C2918" s="779"/>
      <c r="D2918" s="416"/>
      <c r="E2918" s="2596" t="str">
        <f>Translations!$B$598</f>
        <v>De uppgifter som anges här påverkar de utsläpp som kan tillskrivas i enlighet med avsnitt 10.1.2 och 10.1.3 i bilaga VII till FAR.</v>
      </c>
      <c r="F2918" s="1960"/>
      <c r="G2918" s="1960"/>
      <c r="H2918" s="1960"/>
      <c r="I2918" s="1960"/>
      <c r="J2918" s="1960"/>
      <c r="K2918" s="1960"/>
      <c r="L2918" s="1960"/>
      <c r="M2918" s="1960"/>
      <c r="N2918" s="2597"/>
      <c r="O2918" s="15"/>
      <c r="P2918" s="15"/>
      <c r="Q2918" s="343"/>
      <c r="R2918" s="2"/>
      <c r="S2918" s="343"/>
      <c r="T2918" s="343"/>
      <c r="U2918" s="343"/>
      <c r="V2918" s="343"/>
      <c r="W2918" s="2"/>
      <c r="X2918" s="2"/>
      <c r="Y2918" s="2"/>
      <c r="Z2918" s="2"/>
      <c r="AA2918" s="2"/>
      <c r="AB2918" s="2"/>
      <c r="AC2918" s="2"/>
      <c r="AD2918" s="2"/>
      <c r="AE2918" s="2"/>
      <c r="AF2918" s="2"/>
      <c r="AG2918" s="2"/>
      <c r="AH2918" s="2"/>
      <c r="AI2918" s="2"/>
      <c r="AJ2918" s="2"/>
      <c r="AK2918" s="2"/>
      <c r="AL2918" s="2"/>
    </row>
    <row r="2919" spans="1:38" ht="38.9" customHeight="1" x14ac:dyDescent="0.25">
      <c r="A2919" s="2"/>
      <c r="B2919" s="178"/>
      <c r="C2919" s="779"/>
      <c r="D2919" s="780"/>
      <c r="E2919" s="2610" t="str">
        <f>Translations!$B$599</f>
        <v>Detta innefattar den totala mängd värme som produceras i, importeras från eller exporteras till (del)anläggningar inom ETS eller anläggningar eller enheter utanför ETS. De särskilda emissionsfaktorerna för värmen bör vara förenliga med bestämmelserna i avsnitten 8 och 10 i bilaga VII till FAR, särskilt avsnitt 10.1.2 och 10.1.3.</v>
      </c>
      <c r="F2919" s="1960"/>
      <c r="G2919" s="1960"/>
      <c r="H2919" s="1960"/>
      <c r="I2919" s="1960"/>
      <c r="J2919" s="1960"/>
      <c r="K2919" s="1960"/>
      <c r="L2919" s="1960"/>
      <c r="M2919" s="1960"/>
      <c r="N2919" s="2597"/>
      <c r="O2919" s="15"/>
      <c r="P2919" s="15"/>
      <c r="Q2919" s="343"/>
      <c r="R2919" s="2"/>
      <c r="S2919" s="343"/>
      <c r="T2919" s="2"/>
      <c r="U2919" s="2"/>
      <c r="V2919" s="2"/>
      <c r="W2919" s="2"/>
      <c r="X2919" s="2"/>
      <c r="Y2919" s="2"/>
      <c r="Z2919" s="2"/>
      <c r="AA2919" s="2"/>
      <c r="AB2919" s="2"/>
      <c r="AC2919" s="2"/>
      <c r="AD2919" s="2"/>
      <c r="AE2919" s="2"/>
      <c r="AF2919" s="2"/>
      <c r="AG2919" s="2"/>
      <c r="AH2919" s="2"/>
      <c r="AI2919" s="2"/>
      <c r="AJ2919" s="2"/>
      <c r="AK2919" s="2"/>
      <c r="AL2919" s="2"/>
    </row>
    <row r="2920" spans="1:38" ht="25.5" customHeight="1" x14ac:dyDescent="0.25">
      <c r="A2920" s="2"/>
      <c r="B2920" s="178"/>
      <c r="C2920" s="779"/>
      <c r="D2920" s="780"/>
      <c r="E2920" s="2610" t="str">
        <f>Translations!$B$600</f>
        <v>Utsläpp avseende mätbar värme som produceras på platsen från enheter som tjänar mer än en delanläggning bör också anges här under ”import” i stället för att utsläppen direkt tillskrivs genom bränslets emissionsfaktor i punkt g ovan. Detsamma gäller för all värme som ”importeras” från andra delanläggningar.</v>
      </c>
      <c r="F2920" s="1960"/>
      <c r="G2920" s="1960"/>
      <c r="H2920" s="1960"/>
      <c r="I2920" s="1960"/>
      <c r="J2920" s="1960"/>
      <c r="K2920" s="1960"/>
      <c r="L2920" s="1960"/>
      <c r="M2920" s="1960"/>
      <c r="N2920" s="2597"/>
      <c r="O2920" s="15"/>
      <c r="P2920" s="15"/>
      <c r="Q2920" s="343"/>
      <c r="R2920" s="2"/>
      <c r="S2920" s="343"/>
      <c r="T2920" s="2"/>
      <c r="U2920" s="2"/>
      <c r="V2920" s="2"/>
      <c r="W2920" s="2"/>
      <c r="X2920" s="2"/>
      <c r="Y2920" s="2"/>
      <c r="Z2920" s="2"/>
      <c r="AA2920" s="2"/>
      <c r="AB2920" s="2"/>
      <c r="AC2920" s="2"/>
      <c r="AD2920" s="2"/>
      <c r="AE2920" s="2"/>
      <c r="AF2920" s="2"/>
      <c r="AG2920" s="2"/>
      <c r="AH2920" s="2"/>
      <c r="AI2920" s="2"/>
      <c r="AJ2920" s="2"/>
      <c r="AK2920" s="2"/>
      <c r="AL2920" s="2"/>
    </row>
    <row r="2921" spans="1:38" ht="25.5" customHeight="1" x14ac:dyDescent="0.25">
      <c r="A2921" s="2"/>
      <c r="B2921" s="178"/>
      <c r="C2921" s="779"/>
      <c r="D2921" s="780"/>
      <c r="E2921" s="2610" t="str">
        <f>Translations!$B$601</f>
        <v xml:space="preserve">Om värmen endast produceras för en delanläggning och de motsvarande utsläppen därför anges i punkt g ovan, bör mängderna inte anges här som import för att undvika dubbelräkning. </v>
      </c>
      <c r="F2921" s="1960"/>
      <c r="G2921" s="1960"/>
      <c r="H2921" s="1960"/>
      <c r="I2921" s="1960"/>
      <c r="J2921" s="1960"/>
      <c r="K2921" s="1960"/>
      <c r="L2921" s="1960"/>
      <c r="M2921" s="1960"/>
      <c r="N2921" s="2597"/>
      <c r="O2921" s="15"/>
      <c r="P2921" s="15"/>
      <c r="Q2921" s="343"/>
      <c r="R2921" s="2"/>
      <c r="S2921" s="343"/>
      <c r="T2921" s="2"/>
      <c r="U2921" s="2"/>
      <c r="V2921" s="2"/>
      <c r="W2921" s="2"/>
      <c r="X2921" s="2"/>
      <c r="Y2921" s="2"/>
      <c r="Z2921" s="2"/>
      <c r="AA2921" s="2"/>
      <c r="AB2921" s="2"/>
      <c r="AC2921" s="2"/>
      <c r="AD2921" s="2"/>
      <c r="AE2921" s="2"/>
      <c r="AF2921" s="2"/>
      <c r="AG2921" s="2"/>
      <c r="AH2921" s="2"/>
      <c r="AI2921" s="2"/>
      <c r="AJ2921" s="2"/>
      <c r="AK2921" s="2"/>
      <c r="AL2921" s="2"/>
    </row>
    <row r="2922" spans="1:38" ht="12.75" customHeight="1" thickBot="1" x14ac:dyDescent="0.3">
      <c r="A2922" s="2"/>
      <c r="B2922" s="178"/>
      <c r="C2922" s="779"/>
      <c r="D2922" s="780"/>
      <c r="E2922" s="2622" t="str">
        <f>Translations!$B$602</f>
        <v>Kraftvärmeverktyget i avsnitt D.III i bladet "D_Emissions" måste användas för att tillskriva utsläpp från kraftvärme till produktion av mätbar värme.</v>
      </c>
      <c r="F2922" s="2623"/>
      <c r="G2922" s="2623"/>
      <c r="H2922" s="2623"/>
      <c r="I2922" s="2623"/>
      <c r="J2922" s="2623"/>
      <c r="K2922" s="2623"/>
      <c r="L2922" s="2623"/>
      <c r="M2922" s="2623"/>
      <c r="N2922" s="2624"/>
      <c r="O2922" s="15"/>
      <c r="P2922" s="15"/>
      <c r="Q2922" s="343"/>
      <c r="R2922" s="2"/>
      <c r="S2922" s="2"/>
      <c r="T2922" s="2"/>
      <c r="U2922" s="2"/>
      <c r="V2922" s="2"/>
      <c r="W2922" s="2"/>
      <c r="X2922" s="2"/>
      <c r="Y2922" s="2"/>
      <c r="Z2922" s="2"/>
      <c r="AA2922" s="2"/>
      <c r="AB2922" s="2"/>
      <c r="AC2922" s="2"/>
      <c r="AD2922" s="2"/>
      <c r="AE2922" s="2"/>
      <c r="AF2922" s="2"/>
      <c r="AG2922" s="2"/>
      <c r="AH2922" s="2"/>
      <c r="AI2922" s="2"/>
      <c r="AJ2922" s="2"/>
      <c r="AK2922" s="2"/>
      <c r="AL2922" s="2"/>
    </row>
    <row r="2923" spans="1:38" ht="12.75" customHeight="1" thickBot="1" x14ac:dyDescent="0.3">
      <c r="A2923" s="2"/>
      <c r="B2923" s="178"/>
      <c r="C2923" s="779"/>
      <c r="D2923" s="780"/>
      <c r="E2923" s="2605" t="str">
        <f>Translations!$B$603</f>
        <v>Total importerad värme</v>
      </c>
      <c r="F2923" s="2497"/>
      <c r="G2923" s="361" t="str">
        <f>EUconst_Unit</f>
        <v>Enhet</v>
      </c>
      <c r="H2923" s="362">
        <f t="shared" ref="H2923:N2923" si="1313">H$3042</f>
        <v>2019</v>
      </c>
      <c r="I2923" s="1103">
        <f t="shared" si="1313"/>
        <v>2020</v>
      </c>
      <c r="J2923" s="1104">
        <f t="shared" si="1313"/>
        <v>2021</v>
      </c>
      <c r="K2923" s="362">
        <f t="shared" si="1313"/>
        <v>2022</v>
      </c>
      <c r="L2923" s="362">
        <f t="shared" si="1313"/>
        <v>2023</v>
      </c>
      <c r="M2923" s="362">
        <f t="shared" si="1313"/>
        <v>2024</v>
      </c>
      <c r="N2923" s="1141">
        <f t="shared" si="1313"/>
        <v>2025</v>
      </c>
      <c r="O2923" s="15"/>
      <c r="P2923" s="15"/>
      <c r="Q2923" s="343"/>
      <c r="R2923" s="2"/>
      <c r="S2923" s="772"/>
      <c r="T2923" s="609">
        <f t="shared" ref="T2923:Z2923" si="1314">H2923</f>
        <v>2019</v>
      </c>
      <c r="U2923" s="609">
        <f t="shared" si="1314"/>
        <v>2020</v>
      </c>
      <c r="V2923" s="609">
        <f t="shared" si="1314"/>
        <v>2021</v>
      </c>
      <c r="W2923" s="609">
        <f t="shared" si="1314"/>
        <v>2022</v>
      </c>
      <c r="X2923" s="609">
        <f t="shared" si="1314"/>
        <v>2023</v>
      </c>
      <c r="Y2923" s="609">
        <f t="shared" si="1314"/>
        <v>2024</v>
      </c>
      <c r="Z2923" s="610">
        <f t="shared" si="1314"/>
        <v>2025</v>
      </c>
      <c r="AA2923" s="2"/>
      <c r="AB2923" s="2"/>
      <c r="AC2923" s="1044">
        <f t="shared" ref="AC2923:AI2923" si="1315">H$20</f>
        <v>2019</v>
      </c>
      <c r="AD2923" s="1044">
        <f t="shared" si="1315"/>
        <v>2020</v>
      </c>
      <c r="AE2923" s="1044">
        <f t="shared" si="1315"/>
        <v>2021</v>
      </c>
      <c r="AF2923" s="1044">
        <f t="shared" si="1315"/>
        <v>2022</v>
      </c>
      <c r="AG2923" s="1044">
        <f t="shared" si="1315"/>
        <v>2023</v>
      </c>
      <c r="AH2923" s="1044">
        <f t="shared" si="1315"/>
        <v>2024</v>
      </c>
      <c r="AI2923" s="1044">
        <f t="shared" si="1315"/>
        <v>2025</v>
      </c>
      <c r="AJ2923" s="2"/>
      <c r="AK2923" s="2"/>
      <c r="AL2923" s="2"/>
    </row>
    <row r="2924" spans="1:38" ht="12.75" customHeight="1" x14ac:dyDescent="0.25">
      <c r="A2924" s="2"/>
      <c r="B2924" s="178"/>
      <c r="C2924" s="779"/>
      <c r="D2924" s="416" t="s">
        <v>8</v>
      </c>
      <c r="E2924" s="2613" t="str">
        <f>Translations!$B$604</f>
        <v>Nettomängd importerad värme</v>
      </c>
      <c r="F2924" s="1997"/>
      <c r="G2924" s="364" t="str">
        <f>EUconst_TJpa</f>
        <v>TJ / år</v>
      </c>
      <c r="H2924" s="582"/>
      <c r="I2924" s="1105"/>
      <c r="J2924" s="1115"/>
      <c r="K2924" s="582"/>
      <c r="L2924" s="582"/>
      <c r="M2924" s="582"/>
      <c r="N2924" s="1146"/>
      <c r="O2924" s="15"/>
      <c r="P2924" s="1362"/>
      <c r="Q2924" s="165" t="str">
        <f>EUconst_CNTR_HeatImport &amp; I2731</f>
        <v>HeatIm_</v>
      </c>
      <c r="R2924" s="2"/>
      <c r="S2924" s="1751" t="str">
        <f>EUconst_ERR_AttrEmBMapplied &amp; I2731</f>
        <v>ERR_AttrEmBM_</v>
      </c>
      <c r="T2924" s="108">
        <f t="shared" ref="T2924:Z2924" si="1316">IF(AND(H2924&lt;&gt;0,H2925="",EUconst_StatusOfDataCollection=FALSE),1,0)</f>
        <v>0</v>
      </c>
      <c r="U2924" s="108">
        <f t="shared" si="1316"/>
        <v>0</v>
      </c>
      <c r="V2924" s="108">
        <f t="shared" si="1316"/>
        <v>0</v>
      </c>
      <c r="W2924" s="108">
        <f t="shared" si="1316"/>
        <v>0</v>
      </c>
      <c r="X2924" s="108">
        <f t="shared" si="1316"/>
        <v>0</v>
      </c>
      <c r="Y2924" s="108">
        <f t="shared" si="1316"/>
        <v>0</v>
      </c>
      <c r="Z2924" s="109">
        <f t="shared" si="1316"/>
        <v>0</v>
      </c>
      <c r="AA2924" s="40"/>
      <c r="AB2924" s="672" t="s">
        <v>782</v>
      </c>
      <c r="AC2924" s="108" t="b">
        <f t="shared" ref="AC2924:AI2924" si="1317">AC2801</f>
        <v>0</v>
      </c>
      <c r="AD2924" s="108" t="b">
        <f t="shared" si="1317"/>
        <v>0</v>
      </c>
      <c r="AE2924" s="108" t="b">
        <f t="shared" si="1317"/>
        <v>0</v>
      </c>
      <c r="AF2924" s="108" t="b">
        <f t="shared" si="1317"/>
        <v>0</v>
      </c>
      <c r="AG2924" s="108" t="b">
        <f t="shared" si="1317"/>
        <v>0</v>
      </c>
      <c r="AH2924" s="108" t="b">
        <f t="shared" si="1317"/>
        <v>0</v>
      </c>
      <c r="AI2924" s="108" t="b">
        <f t="shared" si="1317"/>
        <v>0</v>
      </c>
      <c r="AJ2924" s="553" t="s">
        <v>2248</v>
      </c>
      <c r="AK2924" s="663" t="str">
        <f>IF(AND(CNTR_ExistSubInstEntries,MSconst_RequireSubAttrEmissions,COUNTIFS(AC2924:AI2924,FALSE,H2924:N2924,"")&gt;0),EUconst_Error&amp;"BM"&amp;$Q2731,"")</f>
        <v/>
      </c>
      <c r="AL2924" s="2"/>
    </row>
    <row r="2925" spans="1:38" ht="12.75" customHeight="1" thickBot="1" x14ac:dyDescent="0.3">
      <c r="A2925" s="2"/>
      <c r="B2925" s="178"/>
      <c r="C2925" s="779"/>
      <c r="D2925" s="416" t="s">
        <v>9</v>
      </c>
      <c r="E2925" s="2613" t="str">
        <f>Translations!$B$605</f>
        <v>Särskild emissionsfaktor (importerad värme)</v>
      </c>
      <c r="F2925" s="1997"/>
      <c r="G2925" s="364" t="str">
        <f>EUconst_tCO2pTJ</f>
        <v>t CO2 / TJ</v>
      </c>
      <c r="H2925" s="582"/>
      <c r="I2925" s="1105"/>
      <c r="J2925" s="1115"/>
      <c r="K2925" s="582"/>
      <c r="L2925" s="582"/>
      <c r="M2925" s="582"/>
      <c r="N2925" s="1146"/>
      <c r="O2925" s="15"/>
      <c r="P2925" s="1362"/>
      <c r="Q2925" s="165" t="str">
        <f>EUconst_CNTR_HeatImportEF &amp; I2731</f>
        <v>HeatImEF_</v>
      </c>
      <c r="R2925" s="2"/>
      <c r="S2925" s="773" t="str">
        <f>EUconst_CNTR_AttributedEmissions &amp; I2731</f>
        <v>AttrEmissions_</v>
      </c>
      <c r="T2925" s="111" t="str">
        <f t="shared" ref="T2925:Z2925" si="1318">IF(T2739,SUM(H2924)*IF(ISNUMBER(H2925),H2925,EUconst_HeatBMvalue),"")</f>
        <v/>
      </c>
      <c r="U2925" s="111" t="str">
        <f t="shared" si="1318"/>
        <v/>
      </c>
      <c r="V2925" s="111" t="str">
        <f t="shared" si="1318"/>
        <v/>
      </c>
      <c r="W2925" s="111" t="str">
        <f t="shared" si="1318"/>
        <v/>
      </c>
      <c r="X2925" s="111" t="str">
        <f t="shared" si="1318"/>
        <v/>
      </c>
      <c r="Y2925" s="111" t="str">
        <f t="shared" si="1318"/>
        <v/>
      </c>
      <c r="Z2925" s="112" t="str">
        <f t="shared" si="1318"/>
        <v/>
      </c>
      <c r="AA2925" s="2"/>
      <c r="AB2925" s="2"/>
      <c r="AC2925" s="108" t="b">
        <f>AC2924</f>
        <v>0</v>
      </c>
      <c r="AD2925" s="108" t="b">
        <f t="shared" ref="AD2925:AI2925" si="1319">AD2924</f>
        <v>0</v>
      </c>
      <c r="AE2925" s="108" t="b">
        <f t="shared" si="1319"/>
        <v>0</v>
      </c>
      <c r="AF2925" s="108" t="b">
        <f t="shared" si="1319"/>
        <v>0</v>
      </c>
      <c r="AG2925" s="108" t="b">
        <f t="shared" si="1319"/>
        <v>0</v>
      </c>
      <c r="AH2925" s="108" t="b">
        <f t="shared" si="1319"/>
        <v>0</v>
      </c>
      <c r="AI2925" s="108" t="b">
        <f t="shared" si="1319"/>
        <v>0</v>
      </c>
      <c r="AJ2925" s="2"/>
      <c r="AK2925" s="2"/>
      <c r="AL2925" s="2"/>
    </row>
    <row r="2926" spans="1:38" ht="5.15" customHeight="1" x14ac:dyDescent="0.25">
      <c r="A2926" s="2"/>
      <c r="B2926" s="178"/>
      <c r="C2926" s="779"/>
      <c r="D2926" s="780"/>
      <c r="E2926" s="780"/>
      <c r="F2926" s="780"/>
      <c r="G2926" s="780"/>
      <c r="H2926" s="780"/>
      <c r="I2926" s="780"/>
      <c r="J2926" s="780"/>
      <c r="K2926" s="780"/>
      <c r="L2926" s="780"/>
      <c r="M2926" s="780"/>
      <c r="N2926" s="519"/>
      <c r="O2926" s="15"/>
      <c r="P2926" s="15"/>
      <c r="Q2926" s="343"/>
      <c r="R2926" s="2"/>
      <c r="S2926" s="343"/>
      <c r="T2926" s="343"/>
      <c r="U2926" s="343"/>
      <c r="V2926" s="343"/>
      <c r="W2926" s="2"/>
      <c r="X2926" s="2"/>
      <c r="Y2926" s="2"/>
      <c r="Z2926" s="2"/>
      <c r="AA2926" s="2"/>
      <c r="AB2926" s="2"/>
      <c r="AC2926" s="2"/>
      <c r="AD2926" s="2"/>
      <c r="AE2926" s="2"/>
      <c r="AF2926" s="2"/>
      <c r="AG2926" s="2"/>
      <c r="AH2926" s="2"/>
      <c r="AI2926" s="2"/>
      <c r="AJ2926" s="2"/>
      <c r="AK2926" s="2"/>
      <c r="AL2926" s="2"/>
    </row>
    <row r="2927" spans="1:38" ht="12.75" customHeight="1" thickBot="1" x14ac:dyDescent="0.3">
      <c r="A2927" s="2"/>
      <c r="B2927" s="178"/>
      <c r="C2927" s="779"/>
      <c r="D2927" s="780"/>
      <c r="E2927" s="2605" t="str">
        <f>Translations!$B$606</f>
        <v>Särskild värmeimport</v>
      </c>
      <c r="F2927" s="2497"/>
      <c r="G2927" s="361" t="str">
        <f>EUconst_Unit</f>
        <v>Enhet</v>
      </c>
      <c r="H2927" s="362">
        <f t="shared" ref="H2927:N2927" si="1320">H$3042</f>
        <v>2019</v>
      </c>
      <c r="I2927" s="1103">
        <f t="shared" si="1320"/>
        <v>2020</v>
      </c>
      <c r="J2927" s="1104">
        <f t="shared" si="1320"/>
        <v>2021</v>
      </c>
      <c r="K2927" s="362">
        <f t="shared" si="1320"/>
        <v>2022</v>
      </c>
      <c r="L2927" s="362">
        <f t="shared" si="1320"/>
        <v>2023</v>
      </c>
      <c r="M2927" s="362">
        <f t="shared" si="1320"/>
        <v>2024</v>
      </c>
      <c r="N2927" s="1141">
        <f t="shared" si="1320"/>
        <v>2025</v>
      </c>
      <c r="O2927" s="15"/>
      <c r="P2927" s="15"/>
      <c r="Q2927" s="343"/>
      <c r="R2927" s="2"/>
      <c r="S2927" s="343"/>
      <c r="T2927" s="343"/>
      <c r="U2927" s="343"/>
      <c r="V2927" s="343"/>
      <c r="W2927" s="2"/>
      <c r="X2927" s="2"/>
      <c r="Y2927" s="2"/>
      <c r="Z2927" s="2"/>
      <c r="AA2927" s="2"/>
      <c r="AB2927" s="2"/>
      <c r="AC2927" s="1044">
        <f t="shared" ref="AC2927:AI2927" si="1321">H$20</f>
        <v>2019</v>
      </c>
      <c r="AD2927" s="1044">
        <f t="shared" si="1321"/>
        <v>2020</v>
      </c>
      <c r="AE2927" s="1044">
        <f t="shared" si="1321"/>
        <v>2021</v>
      </c>
      <c r="AF2927" s="1044">
        <f t="shared" si="1321"/>
        <v>2022</v>
      </c>
      <c r="AG2927" s="1044">
        <f t="shared" si="1321"/>
        <v>2023</v>
      </c>
      <c r="AH2927" s="1044">
        <f t="shared" si="1321"/>
        <v>2024</v>
      </c>
      <c r="AI2927" s="1044">
        <f t="shared" si="1321"/>
        <v>2025</v>
      </c>
      <c r="AJ2927" s="2"/>
      <c r="AK2927" s="2"/>
      <c r="AL2927" s="2"/>
    </row>
    <row r="2928" spans="1:38" ht="12.75" customHeight="1" x14ac:dyDescent="0.25">
      <c r="A2928" s="2"/>
      <c r="B2928" s="178"/>
      <c r="C2928" s="779"/>
      <c r="D2928" s="416" t="s">
        <v>10</v>
      </c>
      <c r="E2928" s="2613" t="str">
        <f>Translations!$B$607</f>
        <v>Nettomängd importerad värme från massadelanläggningar</v>
      </c>
      <c r="F2928" s="1997"/>
      <c r="G2928" s="364" t="str">
        <f>EUconst_TJpa</f>
        <v>TJ / år</v>
      </c>
      <c r="H2928" s="1310"/>
      <c r="I2928" s="1311"/>
      <c r="J2928" s="1312"/>
      <c r="K2928" s="1310"/>
      <c r="L2928" s="1310"/>
      <c r="M2928" s="1310"/>
      <c r="N2928" s="1313"/>
      <c r="O2928" s="15"/>
      <c r="P2928" s="1362"/>
      <c r="Q2928" s="165" t="str">
        <f>EUconst_CNTR_HeatImportPulp &amp; I2731</f>
        <v>HeatImPulp_</v>
      </c>
      <c r="R2928" s="2"/>
      <c r="S2928" s="343"/>
      <c r="T2928" s="343"/>
      <c r="U2928" s="343"/>
      <c r="V2928" s="343"/>
      <c r="W2928" s="2"/>
      <c r="X2928" s="2"/>
      <c r="Y2928" s="2"/>
      <c r="Z2928" s="2"/>
      <c r="AA2928" s="2"/>
      <c r="AB2928" s="672" t="s">
        <v>782</v>
      </c>
      <c r="AC2928" s="108" t="b">
        <f>AC2801</f>
        <v>0</v>
      </c>
      <c r="AD2928" s="108" t="b">
        <f t="shared" ref="AD2928:AI2928" si="1322">AD2801</f>
        <v>0</v>
      </c>
      <c r="AE2928" s="108" t="b">
        <f t="shared" si="1322"/>
        <v>0</v>
      </c>
      <c r="AF2928" s="108" t="b">
        <f t="shared" si="1322"/>
        <v>0</v>
      </c>
      <c r="AG2928" s="108" t="b">
        <f t="shared" si="1322"/>
        <v>0</v>
      </c>
      <c r="AH2928" s="108" t="b">
        <f t="shared" si="1322"/>
        <v>0</v>
      </c>
      <c r="AI2928" s="108" t="b">
        <f t="shared" si="1322"/>
        <v>0</v>
      </c>
      <c r="AJ2928" s="553" t="s">
        <v>2248</v>
      </c>
      <c r="AK2928" s="663" t="str">
        <f>IF(AND(CNTR_ExistSubInstEntries,MSconst_RequireSubAttrEmissions,COUNTIFS(AC2928:AI2928,FALSE,H2928:N2928,"")&gt;0),EUconst_Error&amp;"BM"&amp;$Q2731,"")</f>
        <v/>
      </c>
      <c r="AL2928" s="2"/>
    </row>
    <row r="2929" spans="1:38" ht="25.5" customHeight="1" x14ac:dyDescent="0.25">
      <c r="A2929" s="2"/>
      <c r="B2929" s="178"/>
      <c r="C2929" s="779"/>
      <c r="D2929" s="416" t="s">
        <v>23</v>
      </c>
      <c r="E2929" s="2613" t="str">
        <f>Translations!$B$608</f>
        <v>Nettomängd importerad värme från delanläggningar för salpetersyra</v>
      </c>
      <c r="F2929" s="1997"/>
      <c r="G2929" s="364" t="str">
        <f>EUconst_TJpa</f>
        <v>TJ / år</v>
      </c>
      <c r="H2929" s="582"/>
      <c r="I2929" s="1105"/>
      <c r="J2929" s="1115"/>
      <c r="K2929" s="582"/>
      <c r="L2929" s="582"/>
      <c r="M2929" s="582"/>
      <c r="N2929" s="1146"/>
      <c r="O2929" s="15"/>
      <c r="P2929" s="1362"/>
      <c r="Q2929" s="165" t="str">
        <f>EUconst_CNTR_HeatImportNitric &amp; I2731</f>
        <v>HeatImNitric_</v>
      </c>
      <c r="R2929" s="2"/>
      <c r="S2929" s="343"/>
      <c r="T2929" s="343"/>
      <c r="U2929" s="343"/>
      <c r="V2929" s="343"/>
      <c r="W2929" s="2"/>
      <c r="X2929" s="2"/>
      <c r="Y2929" s="2"/>
      <c r="Z2929" s="2"/>
      <c r="AA2929" s="2"/>
      <c r="AB2929" s="2"/>
      <c r="AC2929" s="108" t="b">
        <f>AC2928</f>
        <v>0</v>
      </c>
      <c r="AD2929" s="108" t="b">
        <f t="shared" ref="AD2929:AI2929" si="1323">AD2928</f>
        <v>0</v>
      </c>
      <c r="AE2929" s="108" t="b">
        <f t="shared" si="1323"/>
        <v>0</v>
      </c>
      <c r="AF2929" s="108" t="b">
        <f t="shared" si="1323"/>
        <v>0</v>
      </c>
      <c r="AG2929" s="108" t="b">
        <f t="shared" si="1323"/>
        <v>0</v>
      </c>
      <c r="AH2929" s="108" t="b">
        <f t="shared" si="1323"/>
        <v>0</v>
      </c>
      <c r="AI2929" s="108" t="b">
        <f t="shared" si="1323"/>
        <v>0</v>
      </c>
      <c r="AJ2929" s="553" t="s">
        <v>2248</v>
      </c>
      <c r="AK2929" s="663" t="str">
        <f>IF(AND(CNTR_ExistSubInstEntries,MSconst_RequireSubAttrEmissions,COUNTIFS(AC2929:AI2929,FALSE,H2929:N2929,"")&gt;0),EUconst_Error&amp;"BM"&amp;$Q2731,"")</f>
        <v/>
      </c>
      <c r="AL2929" s="2"/>
    </row>
    <row r="2930" spans="1:38" ht="5.15" customHeight="1" thickBot="1" x14ac:dyDescent="0.3">
      <c r="A2930" s="2"/>
      <c r="B2930" s="178"/>
      <c r="C2930" s="779"/>
      <c r="D2930" s="780"/>
      <c r="E2930" s="780"/>
      <c r="F2930" s="780"/>
      <c r="G2930" s="780"/>
      <c r="H2930" s="780"/>
      <c r="I2930" s="780"/>
      <c r="J2930" s="780"/>
      <c r="K2930" s="780"/>
      <c r="L2930" s="780"/>
      <c r="M2930" s="780"/>
      <c r="N2930" s="519"/>
      <c r="O2930" s="15"/>
      <c r="P2930" s="15"/>
      <c r="Q2930" s="343"/>
      <c r="R2930" s="2"/>
      <c r="S2930" s="343"/>
      <c r="T2930" s="343"/>
      <c r="U2930" s="343"/>
      <c r="V2930" s="343"/>
      <c r="W2930" s="2"/>
      <c r="X2930" s="2"/>
      <c r="Y2930" s="2"/>
      <c r="Z2930" s="2"/>
      <c r="AA2930" s="2"/>
      <c r="AB2930" s="2"/>
      <c r="AC2930" s="2"/>
      <c r="AD2930" s="2"/>
      <c r="AE2930" s="2"/>
      <c r="AF2930" s="2"/>
      <c r="AG2930" s="2"/>
      <c r="AH2930" s="2"/>
      <c r="AI2930" s="2"/>
      <c r="AJ2930" s="2"/>
      <c r="AK2930" s="2"/>
      <c r="AL2930" s="2"/>
    </row>
    <row r="2931" spans="1:38" ht="12.75" customHeight="1" thickBot="1" x14ac:dyDescent="0.3">
      <c r="A2931" s="2"/>
      <c r="B2931" s="178"/>
      <c r="C2931" s="779"/>
      <c r="D2931" s="780"/>
      <c r="E2931" s="2605" t="str">
        <f>Translations!$B$609</f>
        <v>Total exporterad värme</v>
      </c>
      <c r="F2931" s="2497"/>
      <c r="G2931" s="361" t="str">
        <f>EUconst_Unit</f>
        <v>Enhet</v>
      </c>
      <c r="H2931" s="362">
        <f t="shared" ref="H2931:N2931" si="1324">H$3042</f>
        <v>2019</v>
      </c>
      <c r="I2931" s="1103">
        <f t="shared" si="1324"/>
        <v>2020</v>
      </c>
      <c r="J2931" s="1104">
        <f t="shared" si="1324"/>
        <v>2021</v>
      </c>
      <c r="K2931" s="362">
        <f t="shared" si="1324"/>
        <v>2022</v>
      </c>
      <c r="L2931" s="362">
        <f t="shared" si="1324"/>
        <v>2023</v>
      </c>
      <c r="M2931" s="362">
        <f t="shared" si="1324"/>
        <v>2024</v>
      </c>
      <c r="N2931" s="1141">
        <f t="shared" si="1324"/>
        <v>2025</v>
      </c>
      <c r="O2931" s="15"/>
      <c r="P2931" s="15"/>
      <c r="Q2931" s="343"/>
      <c r="R2931" s="2"/>
      <c r="S2931" s="772"/>
      <c r="T2931" s="609">
        <f t="shared" ref="T2931:Z2931" si="1325">H2931</f>
        <v>2019</v>
      </c>
      <c r="U2931" s="609">
        <f t="shared" si="1325"/>
        <v>2020</v>
      </c>
      <c r="V2931" s="609">
        <f t="shared" si="1325"/>
        <v>2021</v>
      </c>
      <c r="W2931" s="609">
        <f t="shared" si="1325"/>
        <v>2022</v>
      </c>
      <c r="X2931" s="609">
        <f t="shared" si="1325"/>
        <v>2023</v>
      </c>
      <c r="Y2931" s="609">
        <f t="shared" si="1325"/>
        <v>2024</v>
      </c>
      <c r="Z2931" s="610">
        <f t="shared" si="1325"/>
        <v>2025</v>
      </c>
      <c r="AA2931" s="2"/>
      <c r="AB2931" s="2"/>
      <c r="AC2931" s="1044">
        <f t="shared" ref="AC2931:AI2931" si="1326">H$20</f>
        <v>2019</v>
      </c>
      <c r="AD2931" s="1044">
        <f t="shared" si="1326"/>
        <v>2020</v>
      </c>
      <c r="AE2931" s="1044">
        <f t="shared" si="1326"/>
        <v>2021</v>
      </c>
      <c r="AF2931" s="1044">
        <f t="shared" si="1326"/>
        <v>2022</v>
      </c>
      <c r="AG2931" s="1044">
        <f t="shared" si="1326"/>
        <v>2023</v>
      </c>
      <c r="AH2931" s="1044">
        <f t="shared" si="1326"/>
        <v>2024</v>
      </c>
      <c r="AI2931" s="1044">
        <f t="shared" si="1326"/>
        <v>2025</v>
      </c>
      <c r="AJ2931" s="2"/>
      <c r="AK2931" s="2"/>
      <c r="AL2931" s="2"/>
    </row>
    <row r="2932" spans="1:38" ht="12.75" customHeight="1" x14ac:dyDescent="0.25">
      <c r="A2932" s="2"/>
      <c r="B2932" s="178"/>
      <c r="C2932" s="779"/>
      <c r="D2932" s="416" t="s">
        <v>859</v>
      </c>
      <c r="E2932" s="2613" t="str">
        <f>Translations!$B$610</f>
        <v>Nettomängd exporterad värme</v>
      </c>
      <c r="F2932" s="1997"/>
      <c r="G2932" s="364" t="str">
        <f>EUconst_TJpa</f>
        <v>TJ / år</v>
      </c>
      <c r="H2932" s="582"/>
      <c r="I2932" s="1105"/>
      <c r="J2932" s="1115"/>
      <c r="K2932" s="582"/>
      <c r="L2932" s="582"/>
      <c r="M2932" s="582"/>
      <c r="N2932" s="1146"/>
      <c r="O2932" s="15"/>
      <c r="P2932" s="1362"/>
      <c r="Q2932" s="165" t="str">
        <f>EUconst_CNTR_HeatExport &amp; I2731</f>
        <v>HeatEx_</v>
      </c>
      <c r="R2932" s="2"/>
      <c r="S2932" s="1751" t="str">
        <f>EUconst_ERR_AttrEmBMapplied &amp; I2731</f>
        <v>ERR_AttrEmBM_</v>
      </c>
      <c r="T2932" s="108">
        <f t="shared" ref="T2932:Z2932" si="1327">IF(AND(H2932&lt;&gt;0,H2933="",EUconst_StatusOfDataCollection=FALSE),1,0)</f>
        <v>0</v>
      </c>
      <c r="U2932" s="108">
        <f t="shared" si="1327"/>
        <v>0</v>
      </c>
      <c r="V2932" s="108">
        <f t="shared" si="1327"/>
        <v>0</v>
      </c>
      <c r="W2932" s="108">
        <f t="shared" si="1327"/>
        <v>0</v>
      </c>
      <c r="X2932" s="108">
        <f t="shared" si="1327"/>
        <v>0</v>
      </c>
      <c r="Y2932" s="108">
        <f t="shared" si="1327"/>
        <v>0</v>
      </c>
      <c r="Z2932" s="109">
        <f t="shared" si="1327"/>
        <v>0</v>
      </c>
      <c r="AA2932" s="2"/>
      <c r="AB2932" s="672" t="s">
        <v>782</v>
      </c>
      <c r="AC2932" s="108" t="b">
        <f>AC2928</f>
        <v>0</v>
      </c>
      <c r="AD2932" s="108" t="b">
        <f t="shared" ref="AD2932:AI2932" si="1328">AD2928</f>
        <v>0</v>
      </c>
      <c r="AE2932" s="108" t="b">
        <f t="shared" si="1328"/>
        <v>0</v>
      </c>
      <c r="AF2932" s="108" t="b">
        <f t="shared" si="1328"/>
        <v>0</v>
      </c>
      <c r="AG2932" s="108" t="b">
        <f t="shared" si="1328"/>
        <v>0</v>
      </c>
      <c r="AH2932" s="108" t="b">
        <f t="shared" si="1328"/>
        <v>0</v>
      </c>
      <c r="AI2932" s="108" t="b">
        <f t="shared" si="1328"/>
        <v>0</v>
      </c>
      <c r="AJ2932" s="553" t="s">
        <v>2248</v>
      </c>
      <c r="AK2932" s="663" t="str">
        <f>IF(AND(CNTR_ExistSubInstEntries,MSconst_RequireSubAttrEmissions,COUNTIFS(AC2932:AI2932,FALSE,H2932:N2932,"")&gt;0),EUconst_Error&amp;"BM"&amp;$Q2731,"")</f>
        <v/>
      </c>
      <c r="AL2932" s="2"/>
    </row>
    <row r="2933" spans="1:38" ht="12.75" customHeight="1" thickBot="1" x14ac:dyDescent="0.3">
      <c r="A2933" s="2"/>
      <c r="B2933" s="178"/>
      <c r="C2933" s="779"/>
      <c r="D2933" s="416" t="s">
        <v>860</v>
      </c>
      <c r="E2933" s="2613" t="str">
        <f>Translations!$B$611</f>
        <v>Särskild emissionsfaktor (exporterad värme)</v>
      </c>
      <c r="F2933" s="1997"/>
      <c r="G2933" s="364" t="str">
        <f>EUconst_tCO2pTJ</f>
        <v>t CO2 / TJ</v>
      </c>
      <c r="H2933" s="582"/>
      <c r="I2933" s="1105"/>
      <c r="J2933" s="1115"/>
      <c r="K2933" s="582"/>
      <c r="L2933" s="582"/>
      <c r="M2933" s="582"/>
      <c r="N2933" s="1146"/>
      <c r="O2933" s="15"/>
      <c r="P2933" s="1362"/>
      <c r="Q2933" s="165" t="str">
        <f>EUconst_CNTR_HeatExportEF &amp; I2731</f>
        <v>HeatExEF_</v>
      </c>
      <c r="R2933" s="2"/>
      <c r="S2933" s="773" t="str">
        <f>EUconst_CNTR_AttributedEmissions &amp; I2731</f>
        <v>AttrEmissions_</v>
      </c>
      <c r="T2933" s="111" t="str">
        <f t="shared" ref="T2933:Z2933" si="1329">IF(T2739,-SUM(H2932)*IF(INDEX(EUconst_BMlistNumberOfBM,MATCH($I2731,EUconst_BMlistNames,0))=39,0,IF(ISNUMBER(H2933),H2933,EUconst_HeatBMvalue)),"")</f>
        <v/>
      </c>
      <c r="U2933" s="111" t="str">
        <f t="shared" si="1329"/>
        <v/>
      </c>
      <c r="V2933" s="111" t="str">
        <f t="shared" si="1329"/>
        <v/>
      </c>
      <c r="W2933" s="111" t="str">
        <f t="shared" si="1329"/>
        <v/>
      </c>
      <c r="X2933" s="111" t="str">
        <f t="shared" si="1329"/>
        <v/>
      </c>
      <c r="Y2933" s="111" t="str">
        <f t="shared" si="1329"/>
        <v/>
      </c>
      <c r="Z2933" s="112" t="str">
        <f t="shared" si="1329"/>
        <v/>
      </c>
      <c r="AA2933" s="2"/>
      <c r="AB2933" s="2"/>
      <c r="AC2933" s="108" t="b">
        <f>AC2932</f>
        <v>0</v>
      </c>
      <c r="AD2933" s="108" t="b">
        <f t="shared" ref="AD2933:AI2933" si="1330">AD2932</f>
        <v>0</v>
      </c>
      <c r="AE2933" s="108" t="b">
        <f t="shared" si="1330"/>
        <v>0</v>
      </c>
      <c r="AF2933" s="108" t="b">
        <f t="shared" si="1330"/>
        <v>0</v>
      </c>
      <c r="AG2933" s="108" t="b">
        <f t="shared" si="1330"/>
        <v>0</v>
      </c>
      <c r="AH2933" s="108" t="b">
        <f t="shared" si="1330"/>
        <v>0</v>
      </c>
      <c r="AI2933" s="108" t="b">
        <f t="shared" si="1330"/>
        <v>0</v>
      </c>
      <c r="AJ2933" s="2"/>
      <c r="AK2933" s="2"/>
      <c r="AL2933" s="2"/>
    </row>
    <row r="2934" spans="1:38" ht="12.75" customHeight="1" x14ac:dyDescent="0.25">
      <c r="A2934" s="2"/>
      <c r="B2934" s="178"/>
      <c r="C2934" s="779"/>
      <c r="D2934" s="780"/>
      <c r="E2934" s="780"/>
      <c r="F2934" s="780"/>
      <c r="G2934" s="780"/>
      <c r="H2934" s="780"/>
      <c r="I2934" s="780"/>
      <c r="J2934" s="780"/>
      <c r="K2934" s="780"/>
      <c r="L2934" s="780"/>
      <c r="M2934" s="623"/>
      <c r="N2934" s="519"/>
      <c r="O2934" s="15"/>
      <c r="P2934" s="15"/>
      <c r="Q2934" s="343"/>
      <c r="R2934" s="2"/>
      <c r="S2934" s="343"/>
      <c r="T2934" s="343"/>
      <c r="U2934" s="343"/>
      <c r="V2934" s="343"/>
      <c r="W2934" s="2"/>
      <c r="X2934" s="2"/>
      <c r="Y2934" s="2"/>
      <c r="Z2934" s="2"/>
      <c r="AA2934" s="2"/>
      <c r="AB2934" s="2"/>
      <c r="AC2934" s="2"/>
      <c r="AD2934" s="2"/>
      <c r="AE2934" s="2"/>
      <c r="AF2934" s="2"/>
      <c r="AG2934" s="2"/>
      <c r="AH2934" s="2"/>
      <c r="AI2934" s="2"/>
      <c r="AJ2934" s="2"/>
      <c r="AK2934" s="2"/>
      <c r="AL2934" s="2"/>
    </row>
    <row r="2935" spans="1:38" ht="12.75" customHeight="1" x14ac:dyDescent="0.25">
      <c r="A2935" s="2"/>
      <c r="B2935" s="178"/>
      <c r="C2935" s="779"/>
      <c r="D2935" s="373" t="s">
        <v>526</v>
      </c>
      <c r="E2935" s="2614" t="str">
        <f>Translations!$B$612</f>
        <v>Delanläggningens restgasbalans</v>
      </c>
      <c r="F2935" s="1960"/>
      <c r="G2935" s="1960"/>
      <c r="H2935" s="1960"/>
      <c r="I2935" s="1960"/>
      <c r="J2935" s="1960"/>
      <c r="K2935" s="1960"/>
      <c r="L2935" s="1960"/>
      <c r="M2935" s="1960"/>
      <c r="N2935" s="2597"/>
      <c r="O2935" s="15"/>
      <c r="P2935" s="15"/>
      <c r="Q2935" s="343"/>
      <c r="R2935" s="2"/>
      <c r="S2935" s="343"/>
      <c r="T2935" s="343"/>
      <c r="U2935" s="343"/>
      <c r="V2935" s="343"/>
      <c r="W2935" s="2"/>
      <c r="X2935" s="2"/>
      <c r="Y2935" s="2"/>
      <c r="Z2935" s="2"/>
      <c r="AA2935" s="2"/>
      <c r="AB2935" s="2"/>
      <c r="AC2935" s="2"/>
      <c r="AD2935" s="2"/>
      <c r="AE2935" s="2"/>
      <c r="AF2935" s="2"/>
      <c r="AG2935" s="2"/>
      <c r="AH2935" s="2"/>
      <c r="AI2935" s="2"/>
      <c r="AJ2935" s="2"/>
      <c r="AK2935" s="2"/>
      <c r="AL2935" s="2"/>
    </row>
    <row r="2936" spans="1:38" ht="5.15" customHeight="1" x14ac:dyDescent="0.25">
      <c r="A2936" s="2"/>
      <c r="B2936" s="178"/>
      <c r="C2936" s="779"/>
      <c r="D2936" s="780"/>
      <c r="E2936" s="1804"/>
      <c r="F2936" s="1804"/>
      <c r="G2936" s="1804"/>
      <c r="H2936" s="1804"/>
      <c r="I2936" s="1804"/>
      <c r="J2936" s="1804"/>
      <c r="K2936" s="1804"/>
      <c r="L2936" s="1804"/>
      <c r="M2936" s="1804"/>
      <c r="N2936" s="1810"/>
      <c r="O2936" s="15"/>
      <c r="P2936" s="15"/>
      <c r="Q2936" s="343"/>
      <c r="R2936" s="2"/>
      <c r="S2936" s="343"/>
      <c r="T2936" s="343"/>
      <c r="U2936" s="343"/>
      <c r="V2936" s="343"/>
      <c r="W2936" s="2"/>
      <c r="X2936" s="2"/>
      <c r="Y2936" s="2"/>
      <c r="Z2936" s="2"/>
      <c r="AA2936" s="2"/>
      <c r="AB2936" s="2"/>
      <c r="AC2936" s="2"/>
      <c r="AD2936" s="2"/>
      <c r="AE2936" s="2"/>
      <c r="AF2936" s="2"/>
      <c r="AG2936" s="2"/>
      <c r="AH2936" s="2"/>
      <c r="AI2936" s="2"/>
      <c r="AJ2936" s="2"/>
      <c r="AK2936" s="2"/>
      <c r="AL2936" s="2"/>
    </row>
    <row r="2937" spans="1:38" ht="12.75" customHeight="1" x14ac:dyDescent="0.25">
      <c r="A2937" s="2"/>
      <c r="B2937" s="178"/>
      <c r="C2937" s="779"/>
      <c r="D2937" s="416" t="s">
        <v>8</v>
      </c>
      <c r="E2937" s="2614" t="str">
        <f>Translations!$B$613</f>
        <v>Är restgaser relevanta för delanläggningen?</v>
      </c>
      <c r="F2937" s="1960"/>
      <c r="G2937" s="1960"/>
      <c r="H2937" s="1960"/>
      <c r="I2937" s="1960"/>
      <c r="J2937" s="1960"/>
      <c r="K2937" s="2520"/>
      <c r="L2937" s="749"/>
      <c r="M2937" s="1806"/>
      <c r="N2937" s="1807"/>
      <c r="O2937" s="15"/>
      <c r="P2937" s="1362"/>
      <c r="Q2937" s="343"/>
      <c r="R2937" s="2"/>
      <c r="S2937" s="343"/>
      <c r="T2937" s="2"/>
      <c r="U2937" s="2"/>
      <c r="V2937" s="2"/>
      <c r="W2937" s="2"/>
      <c r="X2937" s="2"/>
      <c r="Y2937" s="2"/>
      <c r="Z2937" s="2"/>
      <c r="AA2937" s="2"/>
      <c r="AB2937" s="2"/>
      <c r="AC2937" s="2"/>
      <c r="AD2937" s="2"/>
      <c r="AE2937" s="2"/>
      <c r="AF2937" s="672" t="s">
        <v>782</v>
      </c>
      <c r="AG2937" s="1196" t="b">
        <f>AND(CNTR_ExistSubInstEntries,I2731="")</f>
        <v>0</v>
      </c>
      <c r="AH2937" s="2"/>
      <c r="AI2937" s="2"/>
      <c r="AJ2937" s="2"/>
      <c r="AK2937" s="2"/>
      <c r="AL2937" s="2"/>
    </row>
    <row r="2938" spans="1:38" ht="12.75" customHeight="1" x14ac:dyDescent="0.25">
      <c r="A2938" s="2"/>
      <c r="B2938" s="178"/>
      <c r="C2938" s="779"/>
      <c r="D2938" s="780"/>
      <c r="E2938" s="2610" t="str">
        <f>Translations!$B$614</f>
        <v>Om svaret ”FALSKT” anges kommer hela avsnittet att gråmarkeras och ni kan gå vidare till nästa punkt nedan.</v>
      </c>
      <c r="F2938" s="1960"/>
      <c r="G2938" s="1960"/>
      <c r="H2938" s="1960"/>
      <c r="I2938" s="1960"/>
      <c r="J2938" s="1960"/>
      <c r="K2938" s="1960"/>
      <c r="L2938" s="1960"/>
      <c r="M2938" s="1960"/>
      <c r="N2938" s="2597"/>
      <c r="O2938" s="15"/>
      <c r="P2938" s="15"/>
      <c r="Q2938" s="343"/>
      <c r="R2938" s="2"/>
      <c r="S2938" s="343"/>
      <c r="T2938" s="2"/>
      <c r="U2938" s="2"/>
      <c r="V2938" s="2"/>
      <c r="W2938" s="2"/>
      <c r="X2938" s="2"/>
      <c r="Y2938" s="2"/>
      <c r="Z2938" s="2"/>
      <c r="AA2938" s="2"/>
      <c r="AB2938" s="2"/>
      <c r="AC2938" s="2"/>
      <c r="AD2938" s="2"/>
      <c r="AE2938" s="2"/>
      <c r="AF2938" s="2"/>
      <c r="AG2938" s="2"/>
      <c r="AH2938" s="2"/>
      <c r="AI2938" s="2"/>
      <c r="AJ2938" s="2"/>
      <c r="AK2938" s="2"/>
      <c r="AL2938" s="2"/>
    </row>
    <row r="2939" spans="1:38" ht="12.75" customHeight="1" x14ac:dyDescent="0.25">
      <c r="A2939" s="2"/>
      <c r="B2939" s="178"/>
      <c r="C2939" s="779"/>
      <c r="D2939" s="416" t="s">
        <v>9</v>
      </c>
      <c r="E2939" s="2614" t="str">
        <f>Translations!$B$615</f>
        <v>Typer av producerade restgaser:</v>
      </c>
      <c r="F2939" s="1960"/>
      <c r="G2939" s="1960"/>
      <c r="H2939" s="2520"/>
      <c r="I2939" s="2621"/>
      <c r="J2939" s="2510"/>
      <c r="K2939" s="2510"/>
      <c r="L2939" s="2510"/>
      <c r="M2939" s="2511"/>
      <c r="N2939" s="1807"/>
      <c r="O2939" s="15"/>
      <c r="P2939" s="1362"/>
      <c r="Q2939" s="343"/>
      <c r="R2939" s="2"/>
      <c r="S2939" s="343"/>
      <c r="T2939" s="2"/>
      <c r="U2939" s="2"/>
      <c r="V2939" s="2"/>
      <c r="W2939" s="2"/>
      <c r="X2939" s="2"/>
      <c r="Y2939" s="2"/>
      <c r="Z2939" s="2"/>
      <c r="AA2939" s="2"/>
      <c r="AB2939" s="2"/>
      <c r="AC2939" s="672" t="s">
        <v>782</v>
      </c>
      <c r="AD2939" s="1196" t="b">
        <f>OR(AG2937,AND($L2937&lt;&gt;"",$L2937=FALSE))</f>
        <v>0</v>
      </c>
      <c r="AE2939" s="2"/>
      <c r="AF2939" s="2"/>
      <c r="AG2939" s="2"/>
      <c r="AH2939" s="2"/>
      <c r="AI2939" s="2"/>
      <c r="AJ2939" s="2"/>
      <c r="AK2939" s="2"/>
      <c r="AL2939" s="2"/>
    </row>
    <row r="2940" spans="1:38" ht="12.75" customHeight="1" x14ac:dyDescent="0.25">
      <c r="A2940" s="2"/>
      <c r="B2940" s="178"/>
      <c r="C2940" s="779"/>
      <c r="D2940" s="780"/>
      <c r="E2940" s="2610" t="str">
        <f>Translations!$B$616</f>
        <v>Ni kan välja att rapportera i ton eller i 1 000 Nm3. Enheterna måste stämma överens med de som används för effektivt värmevärde och emissionsfaktorn nedan.</v>
      </c>
      <c r="F2940" s="1960"/>
      <c r="G2940" s="1960"/>
      <c r="H2940" s="1960"/>
      <c r="I2940" s="1960"/>
      <c r="J2940" s="1960"/>
      <c r="K2940" s="1960"/>
      <c r="L2940" s="1960"/>
      <c r="M2940" s="1960"/>
      <c r="N2940" s="2597"/>
      <c r="O2940" s="15"/>
      <c r="P2940" s="15"/>
      <c r="Q2940" s="343"/>
      <c r="R2940" s="2"/>
      <c r="S2940" s="343"/>
      <c r="T2940" s="343"/>
      <c r="U2940" s="343"/>
      <c r="V2940" s="343"/>
      <c r="W2940" s="2"/>
      <c r="X2940" s="2"/>
      <c r="Y2940" s="2"/>
      <c r="Z2940" s="2"/>
      <c r="AA2940" s="2"/>
      <c r="AB2940" s="2"/>
      <c r="AC2940" s="2"/>
      <c r="AD2940" s="2"/>
      <c r="AE2940" s="2"/>
      <c r="AF2940" s="2"/>
      <c r="AG2940" s="2"/>
      <c r="AH2940" s="2"/>
      <c r="AI2940" s="2"/>
      <c r="AJ2940" s="2"/>
      <c r="AK2940" s="2"/>
      <c r="AL2940" s="2"/>
    </row>
    <row r="2941" spans="1:38" ht="12.75" customHeight="1" x14ac:dyDescent="0.25">
      <c r="A2941" s="2"/>
      <c r="B2941" s="178"/>
      <c r="C2941" s="779"/>
      <c r="D2941" s="780"/>
      <c r="E2941" s="2596" t="str">
        <f>Translations!$B$570</f>
        <v>De uppgifter som anges här används bara för konsekvenskontroll och har ingen direkt inverkan på vare sig de utsläpp som kan tillskrivas eller tilldelningen.</v>
      </c>
      <c r="F2941" s="1960"/>
      <c r="G2941" s="1960"/>
      <c r="H2941" s="1960"/>
      <c r="I2941" s="1960"/>
      <c r="J2941" s="1960"/>
      <c r="K2941" s="1960"/>
      <c r="L2941" s="1960"/>
      <c r="M2941" s="1960"/>
      <c r="N2941" s="2597"/>
      <c r="O2941" s="15"/>
      <c r="P2941" s="15"/>
      <c r="Q2941" s="343"/>
      <c r="R2941" s="2"/>
      <c r="S2941" s="343"/>
      <c r="T2941" s="343"/>
      <c r="U2941" s="343"/>
      <c r="V2941" s="343"/>
      <c r="W2941" s="2"/>
      <c r="X2941" s="2"/>
      <c r="Y2941" s="2"/>
      <c r="Z2941" s="2"/>
      <c r="AA2941" s="2"/>
      <c r="AB2941" s="2"/>
      <c r="AC2941" s="2"/>
      <c r="AD2941" s="2"/>
      <c r="AE2941" s="2"/>
      <c r="AF2941" s="2"/>
      <c r="AG2941" s="2"/>
      <c r="AH2941" s="2"/>
      <c r="AI2941" s="2"/>
      <c r="AJ2941" s="2"/>
      <c r="AK2941" s="2"/>
      <c r="AL2941" s="2"/>
    </row>
    <row r="2942" spans="1:38" ht="12.75" customHeight="1" thickBot="1" x14ac:dyDescent="0.3">
      <c r="A2942" s="2"/>
      <c r="B2942" s="178"/>
      <c r="C2942" s="779"/>
      <c r="D2942" s="780"/>
      <c r="E2942" s="1716"/>
      <c r="F2942" s="1717"/>
      <c r="G2942" s="361" t="str">
        <f>EUconst_Unit</f>
        <v>Enhet</v>
      </c>
      <c r="H2942" s="362">
        <f t="shared" ref="H2942:N2942" si="1331">H$3042</f>
        <v>2019</v>
      </c>
      <c r="I2942" s="1103">
        <f t="shared" si="1331"/>
        <v>2020</v>
      </c>
      <c r="J2942" s="1104">
        <f t="shared" si="1331"/>
        <v>2021</v>
      </c>
      <c r="K2942" s="362">
        <f t="shared" si="1331"/>
        <v>2022</v>
      </c>
      <c r="L2942" s="362">
        <f t="shared" si="1331"/>
        <v>2023</v>
      </c>
      <c r="M2942" s="362">
        <f t="shared" si="1331"/>
        <v>2024</v>
      </c>
      <c r="N2942" s="1141">
        <f t="shared" si="1331"/>
        <v>2025</v>
      </c>
      <c r="O2942" s="15"/>
      <c r="P2942" s="15"/>
      <c r="Q2942" s="343"/>
      <c r="R2942" s="2"/>
      <c r="S2942" s="343"/>
      <c r="T2942" s="343"/>
      <c r="U2942" s="343"/>
      <c r="V2942" s="343"/>
      <c r="W2942" s="2"/>
      <c r="X2942" s="2"/>
      <c r="Y2942" s="2"/>
      <c r="Z2942" s="2"/>
      <c r="AA2942" s="2"/>
      <c r="AB2942" s="2"/>
      <c r="AC2942" s="1044">
        <f t="shared" ref="AC2942:AI2942" si="1332">H$20</f>
        <v>2019</v>
      </c>
      <c r="AD2942" s="1044">
        <f t="shared" si="1332"/>
        <v>2020</v>
      </c>
      <c r="AE2942" s="1044">
        <f t="shared" si="1332"/>
        <v>2021</v>
      </c>
      <c r="AF2942" s="1044">
        <f t="shared" si="1332"/>
        <v>2022</v>
      </c>
      <c r="AG2942" s="1044">
        <f t="shared" si="1332"/>
        <v>2023</v>
      </c>
      <c r="AH2942" s="1044">
        <f t="shared" si="1332"/>
        <v>2024</v>
      </c>
      <c r="AI2942" s="1044">
        <f t="shared" si="1332"/>
        <v>2025</v>
      </c>
      <c r="AJ2942" s="2"/>
      <c r="AK2942" s="2"/>
      <c r="AL2942" s="2"/>
    </row>
    <row r="2943" spans="1:38" ht="12.75" customHeight="1" x14ac:dyDescent="0.25">
      <c r="A2943" s="2"/>
      <c r="B2943" s="178"/>
      <c r="C2943" s="779"/>
      <c r="D2943" s="416" t="s">
        <v>10</v>
      </c>
      <c r="E2943" s="2611" t="str">
        <f>Translations!$B$617</f>
        <v>Producerade mängder</v>
      </c>
      <c r="F2943" s="2484"/>
      <c r="G2943" s="1314"/>
      <c r="H2943" s="1298"/>
      <c r="I2943" s="1299"/>
      <c r="J2943" s="1300"/>
      <c r="K2943" s="1298"/>
      <c r="L2943" s="1298"/>
      <c r="M2943" s="1298"/>
      <c r="N2943" s="1301"/>
      <c r="O2943" s="15"/>
      <c r="P2943" s="1362"/>
      <c r="Q2943" s="343"/>
      <c r="R2943" s="2"/>
      <c r="S2943" s="343"/>
      <c r="T2943" s="343"/>
      <c r="U2943" s="343"/>
      <c r="V2943" s="343"/>
      <c r="W2943" s="2"/>
      <c r="X2943" s="2"/>
      <c r="Y2943" s="2"/>
      <c r="Z2943" s="2"/>
      <c r="AA2943" s="2"/>
      <c r="AB2943" s="672" t="s">
        <v>782</v>
      </c>
      <c r="AC2943" s="1196" t="b">
        <f>OR(AND($L2937&lt;&gt;"",$L2937=FALSE),AC2801)</f>
        <v>0</v>
      </c>
      <c r="AD2943" s="108" t="b">
        <f t="shared" ref="AD2943:AI2943" si="1333">OR(AND($L2937&lt;&gt;"",$L2937=FALSE),AD2801)</f>
        <v>0</v>
      </c>
      <c r="AE2943" s="108" t="b">
        <f t="shared" si="1333"/>
        <v>0</v>
      </c>
      <c r="AF2943" s="108" t="b">
        <f t="shared" si="1333"/>
        <v>0</v>
      </c>
      <c r="AG2943" s="108" t="b">
        <f t="shared" si="1333"/>
        <v>0</v>
      </c>
      <c r="AH2943" s="108" t="b">
        <f t="shared" si="1333"/>
        <v>0</v>
      </c>
      <c r="AI2943" s="108" t="b">
        <f t="shared" si="1333"/>
        <v>0</v>
      </c>
      <c r="AJ2943" s="553" t="s">
        <v>2248</v>
      </c>
      <c r="AK2943" s="663" t="str">
        <f>IF(AND(CNTR_ExistSubInstEntries,MSconst_RequireSubAttrEmissions,COUNTIFS(AC2943:AI2943,FALSE,H2943:N2943,"")&gt;0),EUconst_Error&amp;"BM"&amp;$Q2731,"")</f>
        <v/>
      </c>
      <c r="AL2943" s="2"/>
    </row>
    <row r="2944" spans="1:38" ht="12.75" customHeight="1" x14ac:dyDescent="0.25">
      <c r="A2944" s="2"/>
      <c r="B2944" s="178"/>
      <c r="C2944" s="779"/>
      <c r="D2944" s="416" t="s">
        <v>23</v>
      </c>
      <c r="E2944" s="2612" t="str">
        <f>Translations!$B$318</f>
        <v>Effektivt värmevärde</v>
      </c>
      <c r="F2944" s="2487"/>
      <c r="G2944" s="51" t="str">
        <f>IF(ISBLANK(G2943),EUconst_GJperUnit,INDEX(EUconst_GJperTorKNm3,MATCH(G2943,EUconst_TonnesOrkNm3pa,0)))</f>
        <v>GJ / Enhet</v>
      </c>
      <c r="H2944" s="1306"/>
      <c r="I2944" s="1307"/>
      <c r="J2944" s="1308"/>
      <c r="K2944" s="1306"/>
      <c r="L2944" s="1306"/>
      <c r="M2944" s="1306"/>
      <c r="N2944" s="1309"/>
      <c r="O2944" s="15"/>
      <c r="P2944" s="1362"/>
      <c r="Q2944" s="2"/>
      <c r="R2944" s="2"/>
      <c r="S2944" s="343"/>
      <c r="T2944" s="343"/>
      <c r="U2944" s="343"/>
      <c r="V2944" s="343"/>
      <c r="W2944" s="343"/>
      <c r="X2944" s="343"/>
      <c r="Y2944" s="343"/>
      <c r="Z2944" s="343"/>
      <c r="AA2944" s="2"/>
      <c r="AB2944" s="2"/>
      <c r="AC2944" s="108" t="b">
        <f>AC2943</f>
        <v>0</v>
      </c>
      <c r="AD2944" s="108" t="b">
        <f t="shared" ref="AD2944:AI2944" si="1334">AD2943</f>
        <v>0</v>
      </c>
      <c r="AE2944" s="108" t="b">
        <f t="shared" si="1334"/>
        <v>0</v>
      </c>
      <c r="AF2944" s="108" t="b">
        <f t="shared" si="1334"/>
        <v>0</v>
      </c>
      <c r="AG2944" s="108" t="b">
        <f t="shared" si="1334"/>
        <v>0</v>
      </c>
      <c r="AH2944" s="108" t="b">
        <f t="shared" si="1334"/>
        <v>0</v>
      </c>
      <c r="AI2944" s="108" t="b">
        <f t="shared" si="1334"/>
        <v>0</v>
      </c>
      <c r="AJ2944" s="553" t="s">
        <v>2248</v>
      </c>
      <c r="AK2944" s="663" t="str">
        <f>IF(AND(CNTR_ExistSubInstEntries,MSconst_RequireSubAttrEmissions,COUNTIFS(AC2944:AI2944,FALSE,H2944:N2944,"")&gt;0),EUconst_Error&amp;"BM"&amp;$Q2731,"")</f>
        <v/>
      </c>
      <c r="AL2944" s="2"/>
    </row>
    <row r="2945" spans="1:38" ht="12.75" customHeight="1" x14ac:dyDescent="0.25">
      <c r="A2945" s="2"/>
      <c r="B2945" s="178"/>
      <c r="C2945" s="779"/>
      <c r="D2945" s="416" t="s">
        <v>859</v>
      </c>
      <c r="E2945" s="2613" t="str">
        <f>Translations!$B$618</f>
        <v>Producerad restgas</v>
      </c>
      <c r="F2945" s="1997"/>
      <c r="G2945" s="364" t="str">
        <f>EUconst_TJpa</f>
        <v>TJ / år</v>
      </c>
      <c r="H2945" s="414" t="str">
        <f t="shared" ref="H2945:N2945" si="1335">IF(COUNT(H2943:H2944)=2,H2943*H2944/1000,"")</f>
        <v/>
      </c>
      <c r="I2945" s="1108" t="str">
        <f t="shared" si="1335"/>
        <v/>
      </c>
      <c r="J2945" s="1114" t="str">
        <f t="shared" si="1335"/>
        <v/>
      </c>
      <c r="K2945" s="414" t="str">
        <f t="shared" si="1335"/>
        <v/>
      </c>
      <c r="L2945" s="414" t="str">
        <f t="shared" si="1335"/>
        <v/>
      </c>
      <c r="M2945" s="414" t="str">
        <f t="shared" si="1335"/>
        <v/>
      </c>
      <c r="N2945" s="1147" t="str">
        <f t="shared" si="1335"/>
        <v/>
      </c>
      <c r="O2945" s="15"/>
      <c r="P2945" s="15"/>
      <c r="Q2945" s="165" t="str">
        <f>EUconst_CNTR_WGProduced &amp; I2731</f>
        <v>WasteGasProd_</v>
      </c>
      <c r="R2945" s="2"/>
      <c r="S2945" s="343"/>
      <c r="T2945" s="343"/>
      <c r="U2945" s="343"/>
      <c r="V2945" s="343"/>
      <c r="W2945" s="343"/>
      <c r="X2945" s="343"/>
      <c r="Y2945" s="343"/>
      <c r="Z2945" s="343"/>
      <c r="AA2945" s="2"/>
      <c r="AB2945" s="2"/>
      <c r="AC2945" s="2"/>
      <c r="AD2945" s="2"/>
      <c r="AE2945" s="2"/>
      <c r="AF2945" s="2"/>
      <c r="AG2945" s="2"/>
      <c r="AH2945" s="2"/>
      <c r="AI2945" s="2"/>
      <c r="AJ2945" s="2"/>
      <c r="AK2945" s="2"/>
      <c r="AL2945" s="2"/>
    </row>
    <row r="2946" spans="1:38" ht="12.75" customHeight="1" x14ac:dyDescent="0.25">
      <c r="A2946" s="2"/>
      <c r="B2946" s="178"/>
      <c r="C2946" s="779"/>
      <c r="D2946" s="416" t="s">
        <v>860</v>
      </c>
      <c r="E2946" s="2613" t="str">
        <f>Translations!$B$619</f>
        <v>Särskild emissionsfaktor (producerad restgas)</v>
      </c>
      <c r="F2946" s="1997"/>
      <c r="G2946" s="364" t="str">
        <f>EUconst_tCO2pTJ</f>
        <v>t CO2 / TJ</v>
      </c>
      <c r="H2946" s="582"/>
      <c r="I2946" s="1105"/>
      <c r="J2946" s="1115"/>
      <c r="K2946" s="582"/>
      <c r="L2946" s="582"/>
      <c r="M2946" s="582"/>
      <c r="N2946" s="1146"/>
      <c r="O2946" s="15"/>
      <c r="P2946" s="1362"/>
      <c r="Q2946" s="165" t="str">
        <f>EUconst_CNTR_WGProducedEF &amp; I2731</f>
        <v>WasteGasProdEF_</v>
      </c>
      <c r="R2946" s="2"/>
      <c r="S2946" s="343"/>
      <c r="T2946" s="343"/>
      <c r="U2946" s="343"/>
      <c r="V2946" s="343"/>
      <c r="W2946" s="343"/>
      <c r="X2946" s="343"/>
      <c r="Y2946" s="343"/>
      <c r="Z2946" s="343"/>
      <c r="AA2946" s="2"/>
      <c r="AB2946" s="672" t="s">
        <v>782</v>
      </c>
      <c r="AC2946" s="108" t="b">
        <f>AC2944</f>
        <v>0</v>
      </c>
      <c r="AD2946" s="108" t="b">
        <f t="shared" ref="AD2946:AI2946" si="1336">AD2944</f>
        <v>0</v>
      </c>
      <c r="AE2946" s="108" t="b">
        <f t="shared" si="1336"/>
        <v>0</v>
      </c>
      <c r="AF2946" s="108" t="b">
        <f t="shared" si="1336"/>
        <v>0</v>
      </c>
      <c r="AG2946" s="108" t="b">
        <f t="shared" si="1336"/>
        <v>0</v>
      </c>
      <c r="AH2946" s="108" t="b">
        <f t="shared" si="1336"/>
        <v>0</v>
      </c>
      <c r="AI2946" s="108" t="b">
        <f t="shared" si="1336"/>
        <v>0</v>
      </c>
      <c r="AJ2946" s="553" t="s">
        <v>2248</v>
      </c>
      <c r="AK2946" s="663" t="str">
        <f>IF(AND(CNTR_ExistSubInstEntries,MSconst_RequireSubAttrEmissions,COUNTIFS(AC2946:AI2946,FALSE,H2946:N2946,"")&gt;0),EUconst_Error&amp;"BM"&amp;$Q2731,"")</f>
        <v/>
      </c>
      <c r="AL2946" s="2"/>
    </row>
    <row r="2947" spans="1:38" ht="12.75" customHeight="1" x14ac:dyDescent="0.25">
      <c r="A2947" s="2"/>
      <c r="B2947" s="178"/>
      <c r="C2947" s="779"/>
      <c r="D2947" s="780"/>
      <c r="E2947" s="780"/>
      <c r="F2947" s="780"/>
      <c r="G2947" s="780"/>
      <c r="H2947" s="1805"/>
      <c r="I2947" s="780"/>
      <c r="J2947" s="780"/>
      <c r="K2947" s="780"/>
      <c r="L2947" s="780"/>
      <c r="M2947" s="623"/>
      <c r="N2947" s="519"/>
      <c r="O2947" s="15"/>
      <c r="P2947" s="15"/>
      <c r="Q2947" s="343"/>
      <c r="R2947" s="2"/>
      <c r="S2947" s="343"/>
      <c r="T2947" s="343"/>
      <c r="U2947" s="343"/>
      <c r="V2947" s="343"/>
      <c r="W2947" s="343"/>
      <c r="X2947" s="343"/>
      <c r="Y2947" s="343"/>
      <c r="Z2947" s="343"/>
      <c r="AA2947" s="2"/>
      <c r="AB2947" s="2"/>
      <c r="AC2947" s="2"/>
      <c r="AD2947" s="2"/>
      <c r="AE2947" s="2"/>
      <c r="AF2947" s="2"/>
      <c r="AG2947" s="2"/>
      <c r="AH2947" s="2"/>
      <c r="AI2947" s="2"/>
      <c r="AJ2947" s="2"/>
      <c r="AK2947" s="2"/>
      <c r="AL2947" s="2"/>
    </row>
    <row r="2948" spans="1:38" ht="12.75" customHeight="1" x14ac:dyDescent="0.25">
      <c r="A2948" s="2"/>
      <c r="B2948" s="178"/>
      <c r="C2948" s="779"/>
      <c r="D2948" s="416" t="s">
        <v>861</v>
      </c>
      <c r="E2948" s="2614" t="str">
        <f>Translations!$B$620</f>
        <v>Typer av restgaser som förbrukas:</v>
      </c>
      <c r="F2948" s="1960"/>
      <c r="G2948" s="1960"/>
      <c r="H2948" s="2520"/>
      <c r="I2948" s="2621"/>
      <c r="J2948" s="2510"/>
      <c r="K2948" s="2510"/>
      <c r="L2948" s="2510"/>
      <c r="M2948" s="2511"/>
      <c r="N2948" s="1807"/>
      <c r="O2948" s="15"/>
      <c r="P2948" s="1362"/>
      <c r="Q2948" s="343"/>
      <c r="R2948" s="2"/>
      <c r="S2948" s="343"/>
      <c r="T2948" s="343"/>
      <c r="U2948" s="343"/>
      <c r="V2948" s="343"/>
      <c r="W2948" s="343"/>
      <c r="X2948" s="343"/>
      <c r="Y2948" s="343"/>
      <c r="Z2948" s="343"/>
      <c r="AA2948" s="2"/>
      <c r="AB2948" s="2"/>
      <c r="AC2948" s="672" t="s">
        <v>782</v>
      </c>
      <c r="AD2948" s="108" t="b">
        <f>AD2939</f>
        <v>0</v>
      </c>
      <c r="AE2948" s="2"/>
      <c r="AF2948" s="2"/>
      <c r="AG2948" s="2"/>
      <c r="AH2948" s="2"/>
      <c r="AI2948" s="2"/>
      <c r="AJ2948" s="2"/>
      <c r="AK2948" s="2"/>
      <c r="AL2948" s="2"/>
    </row>
    <row r="2949" spans="1:38" ht="25.5" customHeight="1" x14ac:dyDescent="0.25">
      <c r="A2949" s="2"/>
      <c r="B2949" s="178"/>
      <c r="C2949" s="779"/>
      <c r="D2949" s="416"/>
      <c r="E2949" s="2610" t="str">
        <f>Translations!$B$621</f>
        <v>Detta innefattar alla restgastyper som förbrukas av delanläggningen för produktion av mätbar värme, icke-mätbar värme (inklusive för säkerhetsfackling) eller mekanisk energi (annan än för elproduktion). Mängden avgaser för fackling utom för säkerhetsfackling bör rapporteras i nästa punkt nedan.</v>
      </c>
      <c r="F2949" s="1960"/>
      <c r="G2949" s="1960"/>
      <c r="H2949" s="1960"/>
      <c r="I2949" s="1960"/>
      <c r="J2949" s="1960"/>
      <c r="K2949" s="1960"/>
      <c r="L2949" s="1960"/>
      <c r="M2949" s="1960"/>
      <c r="N2949" s="2597"/>
      <c r="O2949" s="15"/>
      <c r="P2949" s="15"/>
      <c r="Q2949" s="343"/>
      <c r="R2949" s="2"/>
      <c r="S2949" s="343"/>
      <c r="T2949" s="343"/>
      <c r="U2949" s="343"/>
      <c r="V2949" s="343"/>
      <c r="W2949" s="343"/>
      <c r="X2949" s="343"/>
      <c r="Y2949" s="343"/>
      <c r="Z2949" s="343"/>
      <c r="AA2949" s="2"/>
      <c r="AB2949" s="2"/>
      <c r="AC2949" s="2"/>
      <c r="AD2949" s="2"/>
      <c r="AE2949" s="2"/>
      <c r="AF2949" s="2"/>
      <c r="AG2949" s="2"/>
      <c r="AH2949" s="2"/>
      <c r="AI2949" s="2"/>
      <c r="AJ2949" s="2"/>
      <c r="AK2949" s="2"/>
      <c r="AL2949" s="2"/>
    </row>
    <row r="2950" spans="1:38" ht="12.75" customHeight="1" x14ac:dyDescent="0.25">
      <c r="A2950" s="2"/>
      <c r="B2950" s="178"/>
      <c r="C2950" s="779"/>
      <c r="D2950" s="780"/>
      <c r="E2950" s="2596" t="str">
        <f>Translations!$B$570</f>
        <v>De uppgifter som anges här används bara för konsekvenskontroll och har ingen direkt inverkan på vare sig de utsläpp som kan tillskrivas eller tilldelningen.</v>
      </c>
      <c r="F2950" s="1960"/>
      <c r="G2950" s="1960"/>
      <c r="H2950" s="1960"/>
      <c r="I2950" s="1960"/>
      <c r="J2950" s="1960"/>
      <c r="K2950" s="1960"/>
      <c r="L2950" s="1960"/>
      <c r="M2950" s="1960"/>
      <c r="N2950" s="2597"/>
      <c r="O2950" s="15"/>
      <c r="P2950" s="15"/>
      <c r="Q2950" s="343"/>
      <c r="R2950" s="2"/>
      <c r="S2950" s="343"/>
      <c r="T2950" s="343"/>
      <c r="U2950" s="343"/>
      <c r="V2950" s="343"/>
      <c r="W2950" s="343"/>
      <c r="X2950" s="343"/>
      <c r="Y2950" s="343"/>
      <c r="Z2950" s="343"/>
      <c r="AA2950" s="2"/>
      <c r="AB2950" s="2"/>
      <c r="AC2950" s="2"/>
      <c r="AD2950" s="2"/>
      <c r="AE2950" s="2"/>
      <c r="AF2950" s="2"/>
      <c r="AG2950" s="2"/>
      <c r="AH2950" s="2"/>
      <c r="AI2950" s="2"/>
      <c r="AJ2950" s="2"/>
      <c r="AK2950" s="2"/>
      <c r="AL2950" s="2"/>
    </row>
    <row r="2951" spans="1:38" ht="12.75" customHeight="1" thickBot="1" x14ac:dyDescent="0.3">
      <c r="A2951" s="2"/>
      <c r="B2951" s="178"/>
      <c r="C2951" s="779"/>
      <c r="D2951" s="780"/>
      <c r="E2951" s="1716"/>
      <c r="F2951" s="1717"/>
      <c r="G2951" s="361" t="str">
        <f>EUconst_Unit</f>
        <v>Enhet</v>
      </c>
      <c r="H2951" s="362">
        <f t="shared" ref="H2951:N2951" si="1337">H$3042</f>
        <v>2019</v>
      </c>
      <c r="I2951" s="1103">
        <f t="shared" si="1337"/>
        <v>2020</v>
      </c>
      <c r="J2951" s="1104">
        <f t="shared" si="1337"/>
        <v>2021</v>
      </c>
      <c r="K2951" s="362">
        <f t="shared" si="1337"/>
        <v>2022</v>
      </c>
      <c r="L2951" s="362">
        <f t="shared" si="1337"/>
        <v>2023</v>
      </c>
      <c r="M2951" s="362">
        <f t="shared" si="1337"/>
        <v>2024</v>
      </c>
      <c r="N2951" s="1141">
        <f t="shared" si="1337"/>
        <v>2025</v>
      </c>
      <c r="O2951" s="15"/>
      <c r="P2951" s="15"/>
      <c r="Q2951" s="343"/>
      <c r="R2951" s="2"/>
      <c r="S2951" s="343"/>
      <c r="T2951" s="343"/>
      <c r="U2951" s="343"/>
      <c r="V2951" s="343"/>
      <c r="W2951" s="343"/>
      <c r="X2951" s="343"/>
      <c r="Y2951" s="343"/>
      <c r="Z2951" s="343"/>
      <c r="AA2951" s="2"/>
      <c r="AB2951" s="2"/>
      <c r="AC2951" s="1044">
        <f t="shared" ref="AC2951:AI2951" si="1338">H$20</f>
        <v>2019</v>
      </c>
      <c r="AD2951" s="1044">
        <f t="shared" si="1338"/>
        <v>2020</v>
      </c>
      <c r="AE2951" s="1044">
        <f t="shared" si="1338"/>
        <v>2021</v>
      </c>
      <c r="AF2951" s="1044">
        <f t="shared" si="1338"/>
        <v>2022</v>
      </c>
      <c r="AG2951" s="1044">
        <f t="shared" si="1338"/>
        <v>2023</v>
      </c>
      <c r="AH2951" s="1044">
        <f t="shared" si="1338"/>
        <v>2024</v>
      </c>
      <c r="AI2951" s="1044">
        <f t="shared" si="1338"/>
        <v>2025</v>
      </c>
      <c r="AJ2951" s="2"/>
      <c r="AK2951" s="2"/>
      <c r="AL2951" s="2"/>
    </row>
    <row r="2952" spans="1:38" ht="12.75" customHeight="1" x14ac:dyDescent="0.25">
      <c r="A2952" s="2"/>
      <c r="B2952" s="178"/>
      <c r="C2952" s="779"/>
      <c r="D2952" s="416" t="s">
        <v>862</v>
      </c>
      <c r="E2952" s="2611" t="str">
        <f>Translations!$B$622</f>
        <v>Förbrukade mängder</v>
      </c>
      <c r="F2952" s="2484"/>
      <c r="G2952" s="1314"/>
      <c r="H2952" s="1298"/>
      <c r="I2952" s="1299"/>
      <c r="J2952" s="1300"/>
      <c r="K2952" s="1298"/>
      <c r="L2952" s="1298"/>
      <c r="M2952" s="1298"/>
      <c r="N2952" s="1301"/>
      <c r="O2952" s="15"/>
      <c r="P2952" s="1362"/>
      <c r="Q2952" s="343"/>
      <c r="R2952" s="2"/>
      <c r="S2952" s="343"/>
      <c r="T2952" s="343"/>
      <c r="U2952" s="343"/>
      <c r="V2952" s="343"/>
      <c r="W2952" s="343"/>
      <c r="X2952" s="343"/>
      <c r="Y2952" s="343"/>
      <c r="Z2952" s="343"/>
      <c r="AA2952" s="2"/>
      <c r="AB2952" s="672" t="s">
        <v>782</v>
      </c>
      <c r="AC2952" s="108" t="b">
        <f>AC2943</f>
        <v>0</v>
      </c>
      <c r="AD2952" s="108" t="b">
        <f t="shared" ref="AD2952:AI2952" si="1339">AD2943</f>
        <v>0</v>
      </c>
      <c r="AE2952" s="108" t="b">
        <f t="shared" si="1339"/>
        <v>0</v>
      </c>
      <c r="AF2952" s="108" t="b">
        <f t="shared" si="1339"/>
        <v>0</v>
      </c>
      <c r="AG2952" s="108" t="b">
        <f t="shared" si="1339"/>
        <v>0</v>
      </c>
      <c r="AH2952" s="108" t="b">
        <f t="shared" si="1339"/>
        <v>0</v>
      </c>
      <c r="AI2952" s="108" t="b">
        <f t="shared" si="1339"/>
        <v>0</v>
      </c>
      <c r="AJ2952" s="553" t="s">
        <v>2248</v>
      </c>
      <c r="AK2952" s="663" t="str">
        <f>IF(AND(CNTR_ExistSubInstEntries,MSconst_RequireSubAttrEmissions,COUNTIFS(AC2952:AI2952,FALSE,H2952:N2952,"")&gt;0),EUconst_Error&amp;"BM"&amp;$Q2731,"")</f>
        <v/>
      </c>
      <c r="AL2952" s="2"/>
    </row>
    <row r="2953" spans="1:38" ht="12.75" customHeight="1" x14ac:dyDescent="0.25">
      <c r="A2953" s="2"/>
      <c r="B2953" s="178"/>
      <c r="C2953" s="779"/>
      <c r="D2953" s="416" t="s">
        <v>863</v>
      </c>
      <c r="E2953" s="2612" t="str">
        <f>Translations!$B$318</f>
        <v>Effektivt värmevärde</v>
      </c>
      <c r="F2953" s="2487"/>
      <c r="G2953" s="51" t="str">
        <f>IF(ISBLANK(G2952),EUconst_GJperUnit,INDEX(EUconst_GJperTorKNm3,MATCH(G2952,EUconst_TonnesOrkNm3pa,0)))</f>
        <v>GJ / Enhet</v>
      </c>
      <c r="H2953" s="1306"/>
      <c r="I2953" s="1307"/>
      <c r="J2953" s="1308"/>
      <c r="K2953" s="1306"/>
      <c r="L2953" s="1306"/>
      <c r="M2953" s="1306"/>
      <c r="N2953" s="1309"/>
      <c r="O2953" s="15"/>
      <c r="P2953" s="1362"/>
      <c r="Q2953" s="2"/>
      <c r="R2953" s="2"/>
      <c r="S2953" s="343"/>
      <c r="T2953" s="343"/>
      <c r="U2953" s="343"/>
      <c r="V2953" s="343"/>
      <c r="W2953" s="343"/>
      <c r="X2953" s="343"/>
      <c r="Y2953" s="343"/>
      <c r="Z2953" s="343"/>
      <c r="AA2953" s="2"/>
      <c r="AB2953" s="2"/>
      <c r="AC2953" s="108" t="b">
        <f>AC2952</f>
        <v>0</v>
      </c>
      <c r="AD2953" s="108" t="b">
        <f t="shared" ref="AD2953:AI2953" si="1340">AD2952</f>
        <v>0</v>
      </c>
      <c r="AE2953" s="108" t="b">
        <f t="shared" si="1340"/>
        <v>0</v>
      </c>
      <c r="AF2953" s="108" t="b">
        <f t="shared" si="1340"/>
        <v>0</v>
      </c>
      <c r="AG2953" s="108" t="b">
        <f t="shared" si="1340"/>
        <v>0</v>
      </c>
      <c r="AH2953" s="108" t="b">
        <f t="shared" si="1340"/>
        <v>0</v>
      </c>
      <c r="AI2953" s="108" t="b">
        <f t="shared" si="1340"/>
        <v>0</v>
      </c>
      <c r="AJ2953" s="553" t="s">
        <v>2248</v>
      </c>
      <c r="AK2953" s="663" t="str">
        <f>IF(AND(CNTR_ExistSubInstEntries,MSconst_RequireSubAttrEmissions,COUNTIFS(AC2953:AI2953,FALSE,H2953:N2953,"")&gt;0),EUconst_Error&amp;"BM"&amp;$Q2731,"")</f>
        <v/>
      </c>
      <c r="AL2953" s="2"/>
    </row>
    <row r="2954" spans="1:38" ht="12.75" customHeight="1" x14ac:dyDescent="0.25">
      <c r="A2954" s="2"/>
      <c r="B2954" s="178"/>
      <c r="C2954" s="779"/>
      <c r="D2954" s="416" t="s">
        <v>72</v>
      </c>
      <c r="E2954" s="2613" t="str">
        <f>Translations!$B$623</f>
        <v>Förbrukad restgas</v>
      </c>
      <c r="F2954" s="1997"/>
      <c r="G2954" s="364" t="str">
        <f>EUconst_TJpa</f>
        <v>TJ / år</v>
      </c>
      <c r="H2954" s="414" t="str">
        <f t="shared" ref="H2954:N2954" si="1341">IF(COUNT(H2952:H2953)=2,H2952*H2953/1000,"")</f>
        <v/>
      </c>
      <c r="I2954" s="1108" t="str">
        <f t="shared" si="1341"/>
        <v/>
      </c>
      <c r="J2954" s="1114" t="str">
        <f t="shared" si="1341"/>
        <v/>
      </c>
      <c r="K2954" s="414" t="str">
        <f t="shared" si="1341"/>
        <v/>
      </c>
      <c r="L2954" s="414" t="str">
        <f t="shared" si="1341"/>
        <v/>
      </c>
      <c r="M2954" s="414" t="str">
        <f t="shared" si="1341"/>
        <v/>
      </c>
      <c r="N2954" s="1147" t="str">
        <f t="shared" si="1341"/>
        <v/>
      </c>
      <c r="O2954" s="15"/>
      <c r="P2954" s="15"/>
      <c r="Q2954" s="165" t="str">
        <f>EUconst_CNTR_WGConsumed &amp; I2731</f>
        <v>WasteGasCons_</v>
      </c>
      <c r="R2954" s="2"/>
      <c r="S2954" s="343"/>
      <c r="T2954" s="343"/>
      <c r="U2954" s="343"/>
      <c r="V2954" s="343"/>
      <c r="W2954" s="343"/>
      <c r="X2954" s="343"/>
      <c r="Y2954" s="343"/>
      <c r="Z2954" s="343"/>
      <c r="AA2954" s="2"/>
      <c r="AB2954" s="2"/>
      <c r="AC2954" s="2"/>
      <c r="AD2954" s="2"/>
      <c r="AE2954" s="2"/>
      <c r="AF2954" s="2"/>
      <c r="AG2954" s="2"/>
      <c r="AH2954" s="2"/>
      <c r="AI2954" s="2"/>
      <c r="AJ2954" s="2"/>
      <c r="AK2954" s="2"/>
      <c r="AL2954" s="2"/>
    </row>
    <row r="2955" spans="1:38" ht="12.75" customHeight="1" x14ac:dyDescent="0.25">
      <c r="A2955" s="2"/>
      <c r="B2955" s="178"/>
      <c r="C2955" s="779"/>
      <c r="D2955" s="416" t="s">
        <v>73</v>
      </c>
      <c r="E2955" s="2613" t="str">
        <f>Translations!$B$624</f>
        <v>Särskild emissionsfaktor (förbrukad restgas)</v>
      </c>
      <c r="F2955" s="1997"/>
      <c r="G2955" s="364" t="str">
        <f>EUconst_tCO2pTJ</f>
        <v>t CO2 / TJ</v>
      </c>
      <c r="H2955" s="582"/>
      <c r="I2955" s="1105"/>
      <c r="J2955" s="1115"/>
      <c r="K2955" s="582"/>
      <c r="L2955" s="582"/>
      <c r="M2955" s="582"/>
      <c r="N2955" s="1146"/>
      <c r="O2955" s="15"/>
      <c r="P2955" s="1362"/>
      <c r="Q2955" s="165" t="str">
        <f>EUconst_CNTR_WGConsumedEF &amp; I2731</f>
        <v>WasteGasConsEF_</v>
      </c>
      <c r="R2955" s="2"/>
      <c r="S2955" s="343"/>
      <c r="T2955" s="343"/>
      <c r="U2955" s="343"/>
      <c r="V2955" s="343"/>
      <c r="W2955" s="343"/>
      <c r="X2955" s="343"/>
      <c r="Y2955" s="343"/>
      <c r="Z2955" s="343"/>
      <c r="AA2955" s="2"/>
      <c r="AB2955" s="672" t="s">
        <v>782</v>
      </c>
      <c r="AC2955" s="108" t="b">
        <f>AC2953</f>
        <v>0</v>
      </c>
      <c r="AD2955" s="108" t="b">
        <f t="shared" ref="AD2955:AI2955" si="1342">AD2953</f>
        <v>0</v>
      </c>
      <c r="AE2955" s="108" t="b">
        <f t="shared" si="1342"/>
        <v>0</v>
      </c>
      <c r="AF2955" s="108" t="b">
        <f t="shared" si="1342"/>
        <v>0</v>
      </c>
      <c r="AG2955" s="108" t="b">
        <f t="shared" si="1342"/>
        <v>0</v>
      </c>
      <c r="AH2955" s="108" t="b">
        <f t="shared" si="1342"/>
        <v>0</v>
      </c>
      <c r="AI2955" s="108" t="b">
        <f t="shared" si="1342"/>
        <v>0</v>
      </c>
      <c r="AJ2955" s="553" t="s">
        <v>2248</v>
      </c>
      <c r="AK2955" s="663" t="str">
        <f>IF(AND(CNTR_ExistSubInstEntries,MSconst_RequireSubAttrEmissions,COUNTIFS(AC2955:AI2955,FALSE,H2955:N2955,"")&gt;0),EUconst_Error&amp;"BM"&amp;$Q2731,"")</f>
        <v/>
      </c>
      <c r="AL2955" s="2"/>
    </row>
    <row r="2956" spans="1:38" ht="12.75" customHeight="1" x14ac:dyDescent="0.25">
      <c r="A2956" s="2"/>
      <c r="B2956" s="178"/>
      <c r="C2956" s="779"/>
      <c r="D2956" s="780"/>
      <c r="E2956" s="780"/>
      <c r="F2956" s="780"/>
      <c r="G2956" s="780"/>
      <c r="H2956" s="1805"/>
      <c r="I2956" s="780"/>
      <c r="J2956" s="780"/>
      <c r="K2956" s="780"/>
      <c r="L2956" s="780"/>
      <c r="M2956" s="623"/>
      <c r="N2956" s="519"/>
      <c r="O2956" s="15"/>
      <c r="P2956" s="15"/>
      <c r="Q2956" s="343"/>
      <c r="R2956" s="2"/>
      <c r="S2956" s="343"/>
      <c r="T2956" s="343"/>
      <c r="U2956" s="343"/>
      <c r="V2956" s="343"/>
      <c r="W2956" s="2"/>
      <c r="X2956" s="2"/>
      <c r="Y2956" s="2"/>
      <c r="Z2956" s="2"/>
      <c r="AA2956" s="2"/>
      <c r="AB2956" s="2"/>
      <c r="AC2956" s="2"/>
      <c r="AD2956" s="2"/>
      <c r="AE2956" s="2"/>
      <c r="AF2956" s="2"/>
      <c r="AG2956" s="2"/>
      <c r="AH2956" s="2"/>
      <c r="AI2956" s="2"/>
      <c r="AJ2956" s="2"/>
      <c r="AK2956" s="2"/>
      <c r="AL2956" s="2"/>
    </row>
    <row r="2957" spans="1:38" ht="12.75" customHeight="1" x14ac:dyDescent="0.25">
      <c r="A2957" s="2"/>
      <c r="B2957" s="178"/>
      <c r="C2957" s="779"/>
      <c r="D2957" s="416" t="s">
        <v>74</v>
      </c>
      <c r="E2957" s="2614" t="str">
        <f>Translations!$B$625</f>
        <v>Facklade restgastyper:</v>
      </c>
      <c r="F2957" s="1960"/>
      <c r="G2957" s="1960"/>
      <c r="H2957" s="2520"/>
      <c r="I2957" s="2621"/>
      <c r="J2957" s="2510"/>
      <c r="K2957" s="2510"/>
      <c r="L2957" s="2510"/>
      <c r="M2957" s="2511"/>
      <c r="N2957" s="1807"/>
      <c r="O2957" s="15"/>
      <c r="P2957" s="1362"/>
      <c r="Q2957" s="343"/>
      <c r="R2957" s="2"/>
      <c r="S2957" s="343"/>
      <c r="T2957" s="2"/>
      <c r="U2957" s="2"/>
      <c r="V2957" s="2"/>
      <c r="W2957" s="2"/>
      <c r="X2957" s="2"/>
      <c r="Y2957" s="2"/>
      <c r="Z2957" s="2"/>
      <c r="AA2957" s="2"/>
      <c r="AB2957" s="2"/>
      <c r="AC2957" s="672" t="s">
        <v>782</v>
      </c>
      <c r="AD2957" s="108" t="b">
        <f>AD2948</f>
        <v>0</v>
      </c>
      <c r="AE2957" s="2"/>
      <c r="AF2957" s="2"/>
      <c r="AG2957" s="2"/>
      <c r="AH2957" s="2"/>
      <c r="AI2957" s="2"/>
      <c r="AJ2957" s="2"/>
      <c r="AK2957" s="2"/>
      <c r="AL2957" s="2"/>
    </row>
    <row r="2958" spans="1:38" ht="12.75" customHeight="1" x14ac:dyDescent="0.25">
      <c r="A2958" s="2"/>
      <c r="B2958" s="178"/>
      <c r="C2958" s="779"/>
      <c r="D2958" s="416"/>
      <c r="E2958" s="2610" t="str">
        <f>Translations!$B$626</f>
        <v>Detta innefattar alla restgastyper som i slutändan blir föremål för annan fackling än säkerhetsfackling, antingen inom eller utanför delanläggningen.</v>
      </c>
      <c r="F2958" s="1960"/>
      <c r="G2958" s="1960"/>
      <c r="H2958" s="1960"/>
      <c r="I2958" s="1960"/>
      <c r="J2958" s="1960"/>
      <c r="K2958" s="1960"/>
      <c r="L2958" s="1960"/>
      <c r="M2958" s="1960"/>
      <c r="N2958" s="2597"/>
      <c r="O2958" s="15"/>
      <c r="P2958" s="15"/>
      <c r="Q2958" s="343"/>
      <c r="R2958" s="2"/>
      <c r="S2958" s="2"/>
      <c r="T2958" s="343"/>
      <c r="U2958" s="343"/>
      <c r="V2958" s="343"/>
      <c r="W2958" s="2"/>
      <c r="X2958" s="2"/>
      <c r="Y2958" s="2"/>
      <c r="Z2958" s="2"/>
      <c r="AA2958" s="2"/>
      <c r="AB2958" s="2"/>
      <c r="AC2958" s="2"/>
      <c r="AD2958" s="2"/>
      <c r="AE2958" s="2"/>
      <c r="AF2958" s="2"/>
      <c r="AG2958" s="2"/>
      <c r="AH2958" s="2"/>
      <c r="AI2958" s="2"/>
      <c r="AJ2958" s="2"/>
      <c r="AK2958" s="2"/>
      <c r="AL2958" s="2"/>
    </row>
    <row r="2959" spans="1:38" ht="12.75" customHeight="1" x14ac:dyDescent="0.25">
      <c r="A2959" s="2"/>
      <c r="B2959" s="178"/>
      <c r="C2959" s="779"/>
      <c r="D2959" s="780"/>
      <c r="E2959" s="2610" t="str">
        <f>Translations!$B$627</f>
        <v>De uppgifter som anges här används bara i konsekvenskontrollsyfte och får ingen direkt påverkan på de utsläpp som kan tillskrivas.</v>
      </c>
      <c r="F2959" s="1960"/>
      <c r="G2959" s="1960"/>
      <c r="H2959" s="1960"/>
      <c r="I2959" s="1960"/>
      <c r="J2959" s="1960"/>
      <c r="K2959" s="1960"/>
      <c r="L2959" s="1960"/>
      <c r="M2959" s="1960"/>
      <c r="N2959" s="2597"/>
      <c r="O2959" s="15"/>
      <c r="P2959" s="15"/>
      <c r="Q2959" s="343"/>
      <c r="R2959" s="2"/>
      <c r="S2959" s="343"/>
      <c r="T2959" s="343"/>
      <c r="U2959" s="343"/>
      <c r="V2959" s="343"/>
      <c r="W2959" s="2"/>
      <c r="X2959" s="2"/>
      <c r="Y2959" s="2"/>
      <c r="Z2959" s="2"/>
      <c r="AA2959" s="2"/>
      <c r="AB2959" s="2"/>
      <c r="AC2959" s="2"/>
      <c r="AD2959" s="2"/>
      <c r="AE2959" s="2"/>
      <c r="AF2959" s="2"/>
      <c r="AG2959" s="2"/>
      <c r="AH2959" s="2"/>
      <c r="AI2959" s="2"/>
      <c r="AJ2959" s="2"/>
      <c r="AK2959" s="2"/>
      <c r="AL2959" s="2"/>
    </row>
    <row r="2960" spans="1:38" ht="12.75" customHeight="1" x14ac:dyDescent="0.25">
      <c r="A2960" s="2"/>
      <c r="B2960" s="178"/>
      <c r="C2960" s="779"/>
      <c r="D2960" s="780"/>
      <c r="E2960" s="2596" t="str">
        <f>Translations!$B$628</f>
        <v>Från och med 2026 kommer dock tilldelningen att minskas med avseende på annan fackling av restgaser än säkerhetsfackling.</v>
      </c>
      <c r="F2960" s="1960"/>
      <c r="G2960" s="1960"/>
      <c r="H2960" s="1960"/>
      <c r="I2960" s="1960"/>
      <c r="J2960" s="1960"/>
      <c r="K2960" s="1960"/>
      <c r="L2960" s="1960"/>
      <c r="M2960" s="1960"/>
      <c r="N2960" s="2597"/>
      <c r="O2960" s="15"/>
      <c r="P2960" s="15"/>
      <c r="Q2960" s="343"/>
      <c r="R2960" s="2"/>
      <c r="S2960" s="343"/>
      <c r="T2960" s="343"/>
      <c r="U2960" s="343"/>
      <c r="V2960" s="343"/>
      <c r="W2960" s="343"/>
      <c r="X2960" s="343"/>
      <c r="Y2960" s="343"/>
      <c r="Z2960" s="343"/>
      <c r="AA2960" s="2"/>
      <c r="AB2960" s="2"/>
      <c r="AC2960" s="2"/>
      <c r="AD2960" s="2"/>
      <c r="AE2960" s="2"/>
      <c r="AF2960" s="2"/>
      <c r="AG2960" s="2"/>
      <c r="AH2960" s="2"/>
      <c r="AI2960" s="2"/>
      <c r="AJ2960" s="2"/>
      <c r="AK2960" s="2"/>
      <c r="AL2960" s="2"/>
    </row>
    <row r="2961" spans="1:38" ht="12.75" customHeight="1" thickBot="1" x14ac:dyDescent="0.3">
      <c r="A2961" s="2"/>
      <c r="B2961" s="178"/>
      <c r="C2961" s="779"/>
      <c r="D2961" s="780"/>
      <c r="E2961" s="1716"/>
      <c r="F2961" s="1717"/>
      <c r="G2961" s="361" t="str">
        <f>EUconst_Unit</f>
        <v>Enhet</v>
      </c>
      <c r="H2961" s="362">
        <f t="shared" ref="H2961:N2961" si="1343">H$3042</f>
        <v>2019</v>
      </c>
      <c r="I2961" s="1103">
        <f t="shared" si="1343"/>
        <v>2020</v>
      </c>
      <c r="J2961" s="1104">
        <f t="shared" si="1343"/>
        <v>2021</v>
      </c>
      <c r="K2961" s="362">
        <f t="shared" si="1343"/>
        <v>2022</v>
      </c>
      <c r="L2961" s="362">
        <f t="shared" si="1343"/>
        <v>2023</v>
      </c>
      <c r="M2961" s="362">
        <f t="shared" si="1343"/>
        <v>2024</v>
      </c>
      <c r="N2961" s="1141">
        <f t="shared" si="1343"/>
        <v>2025</v>
      </c>
      <c r="O2961" s="15"/>
      <c r="P2961" s="15"/>
      <c r="Q2961" s="343"/>
      <c r="R2961" s="2"/>
      <c r="S2961" s="343"/>
      <c r="T2961" s="343"/>
      <c r="U2961" s="343"/>
      <c r="V2961" s="343"/>
      <c r="W2961" s="343"/>
      <c r="X2961" s="343"/>
      <c r="Y2961" s="343"/>
      <c r="Z2961" s="343"/>
      <c r="AA2961" s="2"/>
      <c r="AB2961" s="2"/>
      <c r="AC2961" s="1044">
        <f t="shared" ref="AC2961:AI2961" si="1344">H$20</f>
        <v>2019</v>
      </c>
      <c r="AD2961" s="1044">
        <f t="shared" si="1344"/>
        <v>2020</v>
      </c>
      <c r="AE2961" s="1044">
        <f t="shared" si="1344"/>
        <v>2021</v>
      </c>
      <c r="AF2961" s="1044">
        <f t="shared" si="1344"/>
        <v>2022</v>
      </c>
      <c r="AG2961" s="1044">
        <f t="shared" si="1344"/>
        <v>2023</v>
      </c>
      <c r="AH2961" s="1044">
        <f t="shared" si="1344"/>
        <v>2024</v>
      </c>
      <c r="AI2961" s="1044">
        <f t="shared" si="1344"/>
        <v>2025</v>
      </c>
      <c r="AJ2961" s="2"/>
      <c r="AK2961" s="2"/>
      <c r="AL2961" s="2"/>
    </row>
    <row r="2962" spans="1:38" ht="12.75" customHeight="1" x14ac:dyDescent="0.25">
      <c r="A2962" s="2"/>
      <c r="B2962" s="178"/>
      <c r="C2962" s="779"/>
      <c r="D2962" s="416" t="s">
        <v>1201</v>
      </c>
      <c r="E2962" s="2611" t="str">
        <f>Translations!$B$629</f>
        <v>Facklade mängder</v>
      </c>
      <c r="F2962" s="2484"/>
      <c r="G2962" s="1314" t="s">
        <v>2202</v>
      </c>
      <c r="H2962" s="1298"/>
      <c r="I2962" s="1299"/>
      <c r="J2962" s="1300"/>
      <c r="K2962" s="1298"/>
      <c r="L2962" s="1298"/>
      <c r="M2962" s="1298"/>
      <c r="N2962" s="1301"/>
      <c r="O2962" s="15"/>
      <c r="P2962" s="1362"/>
      <c r="Q2962" s="343"/>
      <c r="R2962" s="2"/>
      <c r="S2962" s="343"/>
      <c r="T2962" s="343"/>
      <c r="U2962" s="343"/>
      <c r="V2962" s="343"/>
      <c r="W2962" s="343"/>
      <c r="X2962" s="343"/>
      <c r="Y2962" s="343"/>
      <c r="Z2962" s="343"/>
      <c r="AA2962" s="2"/>
      <c r="AB2962" s="672" t="s">
        <v>782</v>
      </c>
      <c r="AC2962" s="108" t="b">
        <f>AC2952</f>
        <v>0</v>
      </c>
      <c r="AD2962" s="108" t="b">
        <f t="shared" ref="AD2962:AI2962" si="1345">AD2952</f>
        <v>0</v>
      </c>
      <c r="AE2962" s="108" t="b">
        <f t="shared" si="1345"/>
        <v>0</v>
      </c>
      <c r="AF2962" s="108" t="b">
        <f t="shared" si="1345"/>
        <v>0</v>
      </c>
      <c r="AG2962" s="108" t="b">
        <f t="shared" si="1345"/>
        <v>0</v>
      </c>
      <c r="AH2962" s="108" t="b">
        <f t="shared" si="1345"/>
        <v>0</v>
      </c>
      <c r="AI2962" s="108" t="b">
        <f t="shared" si="1345"/>
        <v>0</v>
      </c>
      <c r="AJ2962" s="553" t="s">
        <v>2248</v>
      </c>
      <c r="AK2962" s="663" t="str">
        <f>IF(AND(CNTR_ExistSubInstEntries,MSconst_RequireSubAttrEmissions,COUNTIFS(AC2962:AI2962,FALSE,H2962:N2962,"")&gt;0),EUconst_Error&amp;"BM"&amp;$Q2731,"")</f>
        <v/>
      </c>
      <c r="AL2962" s="2"/>
    </row>
    <row r="2963" spans="1:38" ht="12.75" customHeight="1" x14ac:dyDescent="0.25">
      <c r="A2963" s="2"/>
      <c r="B2963" s="178"/>
      <c r="C2963" s="779"/>
      <c r="D2963" s="416" t="s">
        <v>1202</v>
      </c>
      <c r="E2963" s="2612" t="str">
        <f>Translations!$B$318</f>
        <v>Effektivt värmevärde</v>
      </c>
      <c r="F2963" s="2487"/>
      <c r="G2963" s="51" t="e">
        <f>IF(ISBLANK(G2962),EUconst_GJperUnit,INDEX(EUconst_GJperTorKNm3,MATCH(G2962,EUconst_TonnesOrkNm3pa,0)))</f>
        <v>#N/A</v>
      </c>
      <c r="H2963" s="1306"/>
      <c r="I2963" s="1307"/>
      <c r="J2963" s="1308"/>
      <c r="K2963" s="1306"/>
      <c r="L2963" s="1306"/>
      <c r="M2963" s="1306"/>
      <c r="N2963" s="1309"/>
      <c r="O2963" s="15"/>
      <c r="P2963" s="1362"/>
      <c r="Q2963" s="2"/>
      <c r="R2963" s="2"/>
      <c r="S2963" s="343"/>
      <c r="T2963" s="343"/>
      <c r="U2963" s="343"/>
      <c r="V2963" s="343"/>
      <c r="W2963" s="343"/>
      <c r="X2963" s="343"/>
      <c r="Y2963" s="343"/>
      <c r="Z2963" s="343"/>
      <c r="AA2963" s="2"/>
      <c r="AB2963" s="2"/>
      <c r="AC2963" s="108" t="b">
        <f>AC2962</f>
        <v>0</v>
      </c>
      <c r="AD2963" s="108" t="b">
        <f t="shared" ref="AD2963:AI2963" si="1346">AD2962</f>
        <v>0</v>
      </c>
      <c r="AE2963" s="108" t="b">
        <f t="shared" si="1346"/>
        <v>0</v>
      </c>
      <c r="AF2963" s="108" t="b">
        <f t="shared" si="1346"/>
        <v>0</v>
      </c>
      <c r="AG2963" s="108" t="b">
        <f t="shared" si="1346"/>
        <v>0</v>
      </c>
      <c r="AH2963" s="108" t="b">
        <f t="shared" si="1346"/>
        <v>0</v>
      </c>
      <c r="AI2963" s="108" t="b">
        <f t="shared" si="1346"/>
        <v>0</v>
      </c>
      <c r="AJ2963" s="553" t="s">
        <v>2248</v>
      </c>
      <c r="AK2963" s="663" t="str">
        <f>IF(AND(CNTR_ExistSubInstEntries,MSconst_RequireSubAttrEmissions,COUNTIFS(AC2963:AI2963,FALSE,H2963:N2963,"")&gt;0),EUconst_Error&amp;"BM"&amp;$Q2731,"")</f>
        <v/>
      </c>
      <c r="AL2963" s="2"/>
    </row>
    <row r="2964" spans="1:38" ht="12.75" customHeight="1" x14ac:dyDescent="0.25">
      <c r="A2964" s="2"/>
      <c r="B2964" s="178"/>
      <c r="C2964" s="779"/>
      <c r="D2964" s="416" t="s">
        <v>1203</v>
      </c>
      <c r="E2964" s="2613" t="str">
        <f>Translations!$B$630</f>
        <v>Facklad restgas</v>
      </c>
      <c r="F2964" s="1997"/>
      <c r="G2964" s="364" t="str">
        <f>EUconst_TJpa</f>
        <v>TJ / år</v>
      </c>
      <c r="H2964" s="414" t="str">
        <f t="shared" ref="H2964:N2964" si="1347">IF(COUNT(H2962:H2963)=2,H2962*H2963/1000,"")</f>
        <v/>
      </c>
      <c r="I2964" s="1108" t="str">
        <f t="shared" si="1347"/>
        <v/>
      </c>
      <c r="J2964" s="1114" t="str">
        <f t="shared" si="1347"/>
        <v/>
      </c>
      <c r="K2964" s="414" t="str">
        <f t="shared" si="1347"/>
        <v/>
      </c>
      <c r="L2964" s="414" t="str">
        <f t="shared" si="1347"/>
        <v/>
      </c>
      <c r="M2964" s="414" t="str">
        <f t="shared" si="1347"/>
        <v/>
      </c>
      <c r="N2964" s="1147" t="str">
        <f t="shared" si="1347"/>
        <v/>
      </c>
      <c r="O2964" s="15"/>
      <c r="P2964" s="15"/>
      <c r="Q2964" s="165" t="str">
        <f>EUconst_CNTR_WGFlared &amp; I2731</f>
        <v>WasteGasFlare_</v>
      </c>
      <c r="R2964" s="2"/>
      <c r="S2964" s="343"/>
      <c r="T2964" s="343"/>
      <c r="U2964" s="343"/>
      <c r="V2964" s="343"/>
      <c r="W2964" s="343"/>
      <c r="X2964" s="343"/>
      <c r="Y2964" s="343"/>
      <c r="Z2964" s="343"/>
      <c r="AA2964" s="2"/>
      <c r="AB2964" s="2"/>
      <c r="AC2964" s="2"/>
      <c r="AD2964" s="2"/>
      <c r="AE2964" s="2"/>
      <c r="AF2964" s="2"/>
      <c r="AG2964" s="2"/>
      <c r="AH2964" s="2"/>
      <c r="AI2964" s="2"/>
      <c r="AJ2964" s="2"/>
      <c r="AK2964" s="2"/>
      <c r="AL2964" s="2"/>
    </row>
    <row r="2965" spans="1:38" ht="12.75" customHeight="1" x14ac:dyDescent="0.25">
      <c r="A2965" s="2"/>
      <c r="B2965" s="178"/>
      <c r="C2965" s="779"/>
      <c r="D2965" s="416" t="s">
        <v>1204</v>
      </c>
      <c r="E2965" s="2613" t="str">
        <f>Translations!$B$631</f>
        <v>Särskild emissionsfaktor (facklad restgas)</v>
      </c>
      <c r="F2965" s="1997"/>
      <c r="G2965" s="364" t="str">
        <f>EUconst_tCO2pTJ</f>
        <v>t CO2 / TJ</v>
      </c>
      <c r="H2965" s="582"/>
      <c r="I2965" s="1105"/>
      <c r="J2965" s="1115"/>
      <c r="K2965" s="582"/>
      <c r="L2965" s="582"/>
      <c r="M2965" s="582"/>
      <c r="N2965" s="1146"/>
      <c r="O2965" s="15"/>
      <c r="P2965" s="1362"/>
      <c r="Q2965" s="165" t="str">
        <f>EUconst_CNTR_WGFlaredEF &amp; I2731</f>
        <v>WasteGasFlareEF_</v>
      </c>
      <c r="R2965" s="2"/>
      <c r="S2965" s="343"/>
      <c r="T2965" s="343"/>
      <c r="U2965" s="343"/>
      <c r="V2965" s="343"/>
      <c r="W2965" s="343"/>
      <c r="X2965" s="343"/>
      <c r="Y2965" s="343"/>
      <c r="Z2965" s="343"/>
      <c r="AA2965" s="2"/>
      <c r="AB2965" s="672" t="s">
        <v>782</v>
      </c>
      <c r="AC2965" s="108" t="b">
        <f>AC2963</f>
        <v>0</v>
      </c>
      <c r="AD2965" s="108" t="b">
        <f t="shared" ref="AD2965:AI2965" si="1348">AD2963</f>
        <v>0</v>
      </c>
      <c r="AE2965" s="108" t="b">
        <f t="shared" si="1348"/>
        <v>0</v>
      </c>
      <c r="AF2965" s="108" t="b">
        <f t="shared" si="1348"/>
        <v>0</v>
      </c>
      <c r="AG2965" s="108" t="b">
        <f t="shared" si="1348"/>
        <v>0</v>
      </c>
      <c r="AH2965" s="108" t="b">
        <f t="shared" si="1348"/>
        <v>0</v>
      </c>
      <c r="AI2965" s="108" t="b">
        <f t="shared" si="1348"/>
        <v>0</v>
      </c>
      <c r="AJ2965" s="553" t="s">
        <v>2248</v>
      </c>
      <c r="AK2965" s="663" t="str">
        <f>IF(AND(CNTR_ExistSubInstEntries,MSconst_RequireSubAttrEmissions,COUNTIFS(AC2965:AI2965,FALSE,H2965:N2965,"")&gt;0),EUconst_Error&amp;"BM"&amp;$Q2731,"")</f>
        <v/>
      </c>
      <c r="AL2965" s="2"/>
    </row>
    <row r="2966" spans="1:38" ht="5.15" customHeight="1" thickBot="1" x14ac:dyDescent="0.3">
      <c r="A2966" s="2"/>
      <c r="B2966" s="178"/>
      <c r="C2966" s="779"/>
      <c r="D2966" s="780"/>
      <c r="E2966" s="780"/>
      <c r="F2966" s="780"/>
      <c r="G2966" s="780"/>
      <c r="H2966" s="1805"/>
      <c r="I2966" s="780"/>
      <c r="J2966" s="780"/>
      <c r="K2966" s="780"/>
      <c r="L2966" s="780"/>
      <c r="M2966" s="623"/>
      <c r="N2966" s="519"/>
      <c r="O2966" s="15"/>
      <c r="P2966" s="15"/>
      <c r="Q2966" s="343"/>
      <c r="R2966" s="2"/>
      <c r="S2966" s="343"/>
      <c r="T2966" s="343"/>
      <c r="U2966" s="343"/>
      <c r="V2966" s="343"/>
      <c r="W2966" s="2"/>
      <c r="X2966" s="2"/>
      <c r="Y2966" s="2"/>
      <c r="Z2966" s="2"/>
      <c r="AA2966" s="2"/>
      <c r="AB2966" s="2"/>
      <c r="AC2966" s="2"/>
      <c r="AD2966" s="2"/>
      <c r="AE2966" s="2"/>
      <c r="AF2966" s="2"/>
      <c r="AG2966" s="2"/>
      <c r="AH2966" s="2"/>
      <c r="AI2966" s="2"/>
      <c r="AJ2966" s="2"/>
      <c r="AK2966" s="2"/>
      <c r="AL2966" s="2"/>
    </row>
    <row r="2967" spans="1:38" ht="12.75" customHeight="1" thickBot="1" x14ac:dyDescent="0.3">
      <c r="A2967" s="2"/>
      <c r="B2967" s="178"/>
      <c r="C2967" s="779"/>
      <c r="D2967" s="780"/>
      <c r="E2967" s="2613" t="str">
        <f>Translations!$B$1484</f>
        <v>Mängd facklad restgas</v>
      </c>
      <c r="F2967" s="2613"/>
      <c r="G2967" s="1206" t="str">
        <f>EUconst_tCO2</f>
        <v>t CO2</v>
      </c>
      <c r="H2967" s="626" t="str">
        <f t="shared" ref="H2967:N2967" si="1349">IF(T2739,SUM(H2964)*SUM(H2965),"")</f>
        <v/>
      </c>
      <c r="I2967" s="1364" t="str">
        <f t="shared" si="1349"/>
        <v/>
      </c>
      <c r="J2967" s="1365" t="str">
        <f t="shared" si="1349"/>
        <v/>
      </c>
      <c r="K2967" s="626" t="str">
        <f t="shared" si="1349"/>
        <v/>
      </c>
      <c r="L2967" s="626" t="str">
        <f t="shared" si="1349"/>
        <v/>
      </c>
      <c r="M2967" s="626" t="str">
        <f t="shared" si="1349"/>
        <v/>
      </c>
      <c r="N2967" s="626" t="str">
        <f t="shared" si="1349"/>
        <v/>
      </c>
      <c r="O2967" s="15"/>
      <c r="P2967" s="15"/>
      <c r="Q2967" s="165" t="str">
        <f>EUconst_CNTR_HAL &amp; EUconst_CNTR_WGFlared &amp; I2731</f>
        <v>HAL_WasteGasFlare_</v>
      </c>
      <c r="R2967" s="2"/>
      <c r="S2967" s="553" t="s">
        <v>1962</v>
      </c>
      <c r="T2967" s="445" t="b">
        <f>CNTR_SubPeriod=2</f>
        <v>1</v>
      </c>
      <c r="U2967" s="343"/>
      <c r="V2967" s="343"/>
      <c r="W2967" s="2"/>
      <c r="X2967" s="2"/>
      <c r="Y2967" s="2"/>
      <c r="Z2967" s="2"/>
      <c r="AA2967" s="2"/>
      <c r="AB2967" s="2"/>
      <c r="AC2967" s="2"/>
      <c r="AD2967" s="2"/>
      <c r="AE2967" s="2"/>
      <c r="AF2967" s="2"/>
      <c r="AG2967" s="2"/>
      <c r="AH2967" s="2"/>
      <c r="AI2967" s="2"/>
      <c r="AJ2967" s="2"/>
      <c r="AK2967" s="2"/>
      <c r="AL2967" s="2"/>
    </row>
    <row r="2968" spans="1:38" ht="5.15" customHeight="1" thickBot="1" x14ac:dyDescent="0.3">
      <c r="A2968" s="2"/>
      <c r="B2968" s="178"/>
      <c r="C2968" s="779"/>
      <c r="D2968" s="780"/>
      <c r="E2968" s="780"/>
      <c r="F2968" s="780"/>
      <c r="G2968" s="780"/>
      <c r="H2968" s="1805"/>
      <c r="I2968" s="780"/>
      <c r="J2968" s="780"/>
      <c r="K2968" s="780"/>
      <c r="L2968" s="780"/>
      <c r="M2968" s="623"/>
      <c r="N2968" s="519"/>
      <c r="O2968" s="15"/>
      <c r="P2968" s="15"/>
      <c r="Q2968" s="343"/>
      <c r="R2968" s="2"/>
      <c r="S2968" s="343"/>
      <c r="T2968" s="343"/>
      <c r="U2968" s="343"/>
      <c r="V2968" s="343"/>
      <c r="W2968" s="2"/>
      <c r="X2968" s="2"/>
      <c r="Y2968" s="2"/>
      <c r="Z2968" s="2"/>
      <c r="AA2968" s="2"/>
      <c r="AB2968" s="2"/>
      <c r="AC2968" s="2"/>
      <c r="AD2968" s="2"/>
      <c r="AE2968" s="2"/>
      <c r="AF2968" s="2"/>
      <c r="AG2968" s="2"/>
      <c r="AH2968" s="2"/>
      <c r="AI2968" s="2"/>
      <c r="AJ2968" s="2"/>
      <c r="AK2968" s="2"/>
      <c r="AL2968" s="2"/>
    </row>
    <row r="2969" spans="1:38" ht="5.15" customHeight="1" thickBot="1" x14ac:dyDescent="0.3">
      <c r="A2969" s="2"/>
      <c r="B2969" s="178"/>
      <c r="C2969" s="779"/>
      <c r="D2969" s="1263"/>
      <c r="E2969" s="1264"/>
      <c r="F2969" s="1264"/>
      <c r="G2969" s="1264"/>
      <c r="H2969" s="1265"/>
      <c r="I2969" s="1264"/>
      <c r="J2969" s="1264"/>
      <c r="K2969" s="1264"/>
      <c r="L2969" s="1264"/>
      <c r="M2969" s="1266"/>
      <c r="N2969" s="1267"/>
      <c r="O2969" s="15"/>
      <c r="P2969" s="15"/>
      <c r="Q2969" s="343"/>
      <c r="R2969" s="2"/>
      <c r="S2969" s="343"/>
      <c r="T2969" s="343"/>
      <c r="U2969" s="343"/>
      <c r="V2969" s="343"/>
      <c r="W2969" s="2"/>
      <c r="X2969" s="2"/>
      <c r="Y2969" s="2"/>
      <c r="Z2969" s="2"/>
      <c r="AA2969" s="2"/>
      <c r="AB2969" s="2"/>
      <c r="AC2969" s="2"/>
      <c r="AD2969" s="2"/>
      <c r="AE2969" s="2"/>
      <c r="AF2969" s="2"/>
      <c r="AG2969" s="2"/>
      <c r="AH2969" s="2"/>
      <c r="AI2969" s="2"/>
      <c r="AJ2969" s="2"/>
      <c r="AK2969" s="2"/>
      <c r="AL2969" s="2"/>
    </row>
    <row r="2970" spans="1:38" ht="12.75" customHeight="1" x14ac:dyDescent="0.25">
      <c r="A2970" s="2"/>
      <c r="B2970" s="178"/>
      <c r="C2970" s="779"/>
      <c r="D2970" s="1290" t="s">
        <v>2193</v>
      </c>
      <c r="E2970" s="2619" t="str">
        <f>Translations!$B$1485</f>
        <v>Justeringar: facklad restgas</v>
      </c>
      <c r="F2970" s="2497"/>
      <c r="G2970" s="2497"/>
      <c r="H2970" s="1228" t="str">
        <f>EUconst_Unit</f>
        <v>Enhet</v>
      </c>
      <c r="I2970" s="1229" t="str">
        <f>Translations!$B$1481</f>
        <v>Värde (NIMs)</v>
      </c>
      <c r="J2970" s="1268">
        <f>J$3042</f>
        <v>2021</v>
      </c>
      <c r="K2970" s="1230">
        <f>K$3042</f>
        <v>2022</v>
      </c>
      <c r="L2970" s="1230">
        <f>L$3042</f>
        <v>2023</v>
      </c>
      <c r="M2970" s="1230">
        <f>M$3042</f>
        <v>2024</v>
      </c>
      <c r="N2970" s="1258">
        <f>N$3042</f>
        <v>2025</v>
      </c>
      <c r="O2970" s="15"/>
      <c r="P2970" s="15"/>
      <c r="Q2970" s="343"/>
      <c r="R2970" s="2"/>
      <c r="S2970" s="2"/>
      <c r="T2970" s="2"/>
      <c r="U2970" s="772"/>
      <c r="V2970" s="1077">
        <f>J2970</f>
        <v>2021</v>
      </c>
      <c r="W2970" s="1077">
        <f>K2970</f>
        <v>2022</v>
      </c>
      <c r="X2970" s="1077">
        <f>L2970</f>
        <v>2023</v>
      </c>
      <c r="Y2970" s="1077">
        <f>M2970</f>
        <v>2024</v>
      </c>
      <c r="Z2970" s="1078">
        <f>N2970</f>
        <v>2025</v>
      </c>
      <c r="AA2970" s="2"/>
      <c r="AB2970" s="2"/>
      <c r="AC2970" s="2"/>
      <c r="AD2970" s="2"/>
      <c r="AE2970" s="2"/>
      <c r="AF2970" s="2"/>
      <c r="AG2970" s="2"/>
      <c r="AH2970" s="2"/>
      <c r="AI2970" s="2"/>
      <c r="AJ2970" s="2"/>
      <c r="AK2970" s="2"/>
      <c r="AL2970" s="2"/>
    </row>
    <row r="2971" spans="1:38" ht="12.75" customHeight="1" x14ac:dyDescent="0.25">
      <c r="A2971" s="2"/>
      <c r="B2971" s="178"/>
      <c r="C2971" s="779"/>
      <c r="D2971" s="1246" t="s">
        <v>8</v>
      </c>
      <c r="E2971" s="2618" t="str">
        <f>Translations!$B$1482</f>
        <v>Genomsnittligt årligt värde</v>
      </c>
      <c r="F2971" s="1997"/>
      <c r="G2971" s="1997"/>
      <c r="H2971" s="1232" t="str">
        <f>G2967</f>
        <v>t CO2</v>
      </c>
      <c r="I2971" s="990" t="str">
        <f>INDEX('B+C_SubInstallations'!$K:$K,MATCH(Q2971,'B+C_SubInstallations'!$V:$V,0))</f>
        <v/>
      </c>
      <c r="J2971" s="1215" t="str">
        <f>IF($T2967&lt;&gt;TRUE,"",IF(AND(V2971&gt;=3,CNTR_ReportingYear&gt;J2970-1),AVERAGE(SUM(H2967),SUM(I2967)),""))</f>
        <v/>
      </c>
      <c r="K2971" s="1216" t="str">
        <f>IF($T2967&lt;&gt;TRUE,"",IF(AND(W2971&gt;=3,CNTR_ReportingYear&gt;K2970-1),AVERAGE(SUM(I2967),SUM(J2967)),""))</f>
        <v/>
      </c>
      <c r="L2971" s="1216" t="str">
        <f>IF($T2967&lt;&gt;TRUE,"",IF(AND(X2971&gt;=3,CNTR_ReportingYear&gt;L2970-1),AVERAGE(SUM(J2967),SUM(K2967)),""))</f>
        <v/>
      </c>
      <c r="M2971" s="1216" t="str">
        <f>IF($T2967&lt;&gt;TRUE,"",IF(AND(Y2971&gt;=3,CNTR_ReportingYear&gt;M2970-1),AVERAGE(SUM(K2967),SUM(L2967)),""))</f>
        <v/>
      </c>
      <c r="N2971" s="1227" t="str">
        <f>IF($T2967&lt;&gt;TRUE,"",IF(AND(Z2971&gt;=3,CNTR_ReportingYear&gt;N2970-1),AVERAGE(SUM(L2967),SUM(M2967)),""))</f>
        <v/>
      </c>
      <c r="O2971" s="15"/>
      <c r="P2971" s="15"/>
      <c r="Q2971" s="165" t="str">
        <f>EUconst_CNTR_HALinitial &amp; EUconst_CNTR_WGFlared &amp; I2731</f>
        <v>HALini_WasteGasFlare_</v>
      </c>
      <c r="R2971" s="2"/>
      <c r="S2971" s="2"/>
      <c r="T2971" s="2"/>
      <c r="U2971" s="1079" t="s">
        <v>1850</v>
      </c>
      <c r="V2971" s="663">
        <f>V2753</f>
        <v>0</v>
      </c>
      <c r="W2971" s="663">
        <f>W2753</f>
        <v>0</v>
      </c>
      <c r="X2971" s="663">
        <f>X2753</f>
        <v>0</v>
      </c>
      <c r="Y2971" s="663">
        <f>Y2753</f>
        <v>0</v>
      </c>
      <c r="Z2971" s="1080">
        <f>Z2753</f>
        <v>0</v>
      </c>
      <c r="AA2971" s="2"/>
      <c r="AB2971" s="2"/>
      <c r="AC2971" s="2"/>
      <c r="AD2971" s="2"/>
      <c r="AE2971" s="2"/>
      <c r="AF2971" s="2"/>
      <c r="AG2971" s="2"/>
      <c r="AH2971" s="2"/>
      <c r="AI2971" s="2"/>
      <c r="AJ2971" s="2"/>
      <c r="AK2971" s="2"/>
      <c r="AL2971" s="2"/>
    </row>
    <row r="2972" spans="1:38" ht="12.75" hidden="1" customHeight="1" x14ac:dyDescent="0.25">
      <c r="A2972" s="343" t="s">
        <v>346</v>
      </c>
      <c r="B2972" s="178"/>
      <c r="C2972" s="779"/>
      <c r="D2972" s="1246"/>
      <c r="E2972" s="2618" t="s">
        <v>1980</v>
      </c>
      <c r="F2972" s="1997"/>
      <c r="G2972" s="1997"/>
      <c r="H2972" s="1233"/>
      <c r="I2972" s="1235"/>
      <c r="J2972" s="1013" t="str">
        <f>IF(J2971="","",IF($I2974=0,IF(J2971=0,0%,100%),J2971/$I2974-1))</f>
        <v/>
      </c>
      <c r="K2972" s="938" t="str">
        <f>IF(K2971="","",IF($I2974=0,IF(K2971=0,0%,100%),K2971/$I2974-1))</f>
        <v/>
      </c>
      <c r="L2972" s="938" t="str">
        <f>IF(L2971="","",IF($I2974=0,IF(L2971=0,0%,100%),L2971/$I2974-1))</f>
        <v/>
      </c>
      <c r="M2972" s="938" t="str">
        <f>IF(M2971="","",IF($I2974=0,IF(M2971=0,0%,100%),M2971/$I2974-1))</f>
        <v/>
      </c>
      <c r="N2972" s="1223" t="str">
        <f>IF(N2971="","",IF($I2974=0,IF(N2971=0,0%,100%),N2971/$I2974-1))</f>
        <v/>
      </c>
      <c r="O2972" s="15"/>
      <c r="P2972" s="15"/>
      <c r="Q2972" s="165" t="str">
        <f>EUconst_CNTR_RelThreshold &amp; Q2974</f>
        <v>RelThresh_HALprelim_WasteGasFlare_</v>
      </c>
      <c r="R2972" s="2"/>
      <c r="S2972" s="2"/>
      <c r="T2972" s="2"/>
      <c r="U2972" s="1079" t="s">
        <v>1855</v>
      </c>
      <c r="V2972" s="603" t="str">
        <f>IF(J2971="","",ABS(J2972)&gt;15%)</f>
        <v/>
      </c>
      <c r="W2972" s="603" t="str">
        <f>IF(K2971="","",ABS(K2972)&gt;15%)</f>
        <v/>
      </c>
      <c r="X2972" s="603" t="str">
        <f>IF(L2971="","",ABS(L2972)&gt;15%)</f>
        <v/>
      </c>
      <c r="Y2972" s="603" t="str">
        <f>IF(M2971="","",ABS(M2972)&gt;15%)</f>
        <v/>
      </c>
      <c r="Z2972" s="1756" t="str">
        <f>IF(N2971="","",ABS(N2972)&gt;15%)</f>
        <v/>
      </c>
      <c r="AA2972" s="2"/>
      <c r="AB2972" s="2"/>
      <c r="AC2972" s="2"/>
      <c r="AD2972" s="2"/>
      <c r="AE2972" s="2"/>
      <c r="AF2972" s="2"/>
      <c r="AG2972" s="2"/>
      <c r="AH2972" s="2"/>
      <c r="AI2972" s="2"/>
      <c r="AJ2972" s="2"/>
      <c r="AK2972" s="2"/>
      <c r="AL2972" s="2"/>
    </row>
    <row r="2973" spans="1:38" ht="12.75" customHeight="1" x14ac:dyDescent="0.25">
      <c r="A2973" s="343"/>
      <c r="B2973" s="178"/>
      <c r="C2973" s="779"/>
      <c r="D2973" s="1246" t="s">
        <v>9</v>
      </c>
      <c r="E2973" s="2618" t="str">
        <f>Translations!$B$1474</f>
        <v>Preliminär justering (om relativa tröskelvärden överskrids)</v>
      </c>
      <c r="F2973" s="1997"/>
      <c r="G2973" s="1997"/>
      <c r="H2973" s="1233"/>
      <c r="I2973" s="1235"/>
      <c r="J2973" s="992" t="str">
        <f>IF(J2971="","",IF(V2972=FALSE,0%,J2972))</f>
        <v/>
      </c>
      <c r="K2973" s="937" t="str">
        <f>IF(K2971="","",IF(W2972=FALSE,0%,K2972))</f>
        <v/>
      </c>
      <c r="L2973" s="937" t="str">
        <f>IF(L2971="","",IF(X2972=FALSE,0%,L2972))</f>
        <v/>
      </c>
      <c r="M2973" s="937" t="str">
        <f>IF(M2971="","",IF(Y2972=FALSE,0%,M2972))</f>
        <v/>
      </c>
      <c r="N2973" s="1220" t="str">
        <f>IF(N2971="","",IF(Z2972=FALSE,0%,N2972))</f>
        <v/>
      </c>
      <c r="O2973" s="15"/>
      <c r="P2973" s="15"/>
      <c r="Q2973" s="343"/>
      <c r="R2973" s="2"/>
      <c r="S2973" s="2"/>
      <c r="T2973" s="2"/>
      <c r="U2973" s="1081"/>
      <c r="V2973" s="2"/>
      <c r="W2973" s="2"/>
      <c r="X2973" s="2"/>
      <c r="Y2973" s="2"/>
      <c r="Z2973" s="228"/>
      <c r="AA2973" s="2"/>
      <c r="AB2973" s="2"/>
      <c r="AC2973" s="2"/>
      <c r="AD2973" s="2"/>
      <c r="AE2973" s="2"/>
      <c r="AF2973" s="2"/>
      <c r="AG2973" s="2"/>
      <c r="AH2973" s="2"/>
      <c r="AI2973" s="2"/>
      <c r="AJ2973" s="2"/>
      <c r="AK2973" s="2"/>
      <c r="AL2973" s="2"/>
    </row>
    <row r="2974" spans="1:38" ht="12.75" hidden="1" customHeight="1" x14ac:dyDescent="0.25">
      <c r="A2974" s="343" t="s">
        <v>346</v>
      </c>
      <c r="B2974" s="178"/>
      <c r="C2974" s="779"/>
      <c r="D2974" s="1246"/>
      <c r="E2974" s="2618" t="s">
        <v>1889</v>
      </c>
      <c r="F2974" s="1997"/>
      <c r="G2974" s="1997"/>
      <c r="H2974" s="1232" t="str">
        <f>H2971</f>
        <v>t CO2</v>
      </c>
      <c r="I2974" s="990" t="str">
        <f>IF($I2731="","",IF(AB2731=FALSE,EUconst_NA,IF(V2731&gt;($J$3042-3),INDEX(H2967:N2967,MATCH(V2731,H2961:N2961,0)),SUM(I2971))))</f>
        <v/>
      </c>
      <c r="J2974" s="993" t="str">
        <f>IF($I2731="","",IF(V2971&lt;2,SUM(J2967),IF(V2971&lt;3,SUM(I2967),IF(V2974="",I2974,V2974))))</f>
        <v/>
      </c>
      <c r="K2974" s="920" t="str">
        <f>IF($I2731="","",IF(W2971&lt;2,SUM(K2967),IF(W2971&lt;3,SUM(J2967),IF(W2974="",J2974,W2974))))</f>
        <v/>
      </c>
      <c r="L2974" s="920" t="str">
        <f>IF($I2731="","",IF(X2971&lt;2,SUM(L2967),IF(X2971&lt;3,SUM(K2967),IF(X2974="",K2974,X2974))))</f>
        <v/>
      </c>
      <c r="M2974" s="920" t="str">
        <f>IF($I2731="","",IF(Y2971&lt;2,SUM(M2967),IF(Y2971&lt;3,SUM(L2967),IF(Y2974="",L2974,Y2974))))</f>
        <v/>
      </c>
      <c r="N2974" s="1218" t="str">
        <f>IF($I2731="","",IF(Z2971&lt;2,SUM(N2967),IF(Z2971&lt;3,SUM(M2967),IF(Z2974="",M2974,Z2974))))</f>
        <v/>
      </c>
      <c r="O2974" s="15"/>
      <c r="P2974" s="15"/>
      <c r="Q2974" s="165" t="str">
        <f>EUconst_CNTR_HALprelim&amp;EUconst_CNTR_WGFlared &amp; I2731</f>
        <v>HALprelim_WasteGasFlare_</v>
      </c>
      <c r="R2974" s="2"/>
      <c r="S2974" s="2"/>
      <c r="T2974" s="2"/>
      <c r="U2974" s="1079" t="s">
        <v>1898</v>
      </c>
      <c r="V2974" s="1752" t="str">
        <f>IF(J2971="","",IF(CNTR_ReportingYear&lt;J2970,I2973,IF($I2974=0,J2971,$I2974*(1+J2973))))</f>
        <v/>
      </c>
      <c r="W2974" s="1752" t="str">
        <f>IF(K2971="","",IF(CNTR_ReportingYear&lt;K2970,J2973,IF($I2974=0,K2971,$I2974*(1+K2973))))</f>
        <v/>
      </c>
      <c r="X2974" s="1752" t="str">
        <f>IF(L2971="","",IF(CNTR_ReportingYear&lt;L2970,K2973,IF($I2974=0,L2971,$I2974*(1+L2973))))</f>
        <v/>
      </c>
      <c r="Y2974" s="1752" t="str">
        <f>IF(M2971="","",IF(CNTR_ReportingYear&lt;M2970,L2973,IF($I2974=0,M2971,$I2974*(1+M2973))))</f>
        <v/>
      </c>
      <c r="Z2974" s="1761" t="str">
        <f>IF(N2971="","",IF(CNTR_ReportingYear&lt;N2970,M2973,IF($I2974=0,N2971,$I2974*(1+N2973))))</f>
        <v/>
      </c>
      <c r="AA2974" s="2"/>
      <c r="AB2974" s="2"/>
      <c r="AC2974" s="2"/>
      <c r="AD2974" s="2"/>
      <c r="AE2974" s="2"/>
      <c r="AF2974" s="2"/>
      <c r="AG2974" s="2"/>
      <c r="AH2974" s="2"/>
      <c r="AI2974" s="2"/>
      <c r="AJ2974" s="2"/>
      <c r="AK2974" s="2"/>
      <c r="AL2974" s="2"/>
    </row>
    <row r="2975" spans="1:38" ht="5.15" customHeight="1" x14ac:dyDescent="0.25">
      <c r="A2975" s="343"/>
      <c r="B2975" s="178"/>
      <c r="C2975" s="779"/>
      <c r="D2975" s="1246"/>
      <c r="E2975" s="1244"/>
      <c r="F2975" s="1244"/>
      <c r="G2975" s="1244"/>
      <c r="H2975" s="1244"/>
      <c r="I2975" s="1244"/>
      <c r="J2975" s="1236"/>
      <c r="K2975" s="1236"/>
      <c r="L2975" s="1236"/>
      <c r="M2975" s="1236"/>
      <c r="N2975" s="1247"/>
      <c r="O2975" s="15"/>
      <c r="P2975" s="15"/>
      <c r="Q2975" s="343"/>
      <c r="R2975" s="2"/>
      <c r="S2975" s="2"/>
      <c r="T2975" s="2"/>
      <c r="U2975" s="1086"/>
      <c r="V2975" s="343"/>
      <c r="W2975" s="2"/>
      <c r="X2975" s="2"/>
      <c r="Y2975" s="2"/>
      <c r="Z2975" s="228"/>
      <c r="AA2975" s="2"/>
      <c r="AB2975" s="2"/>
      <c r="AC2975" s="2"/>
      <c r="AD2975" s="2"/>
      <c r="AE2975" s="2"/>
      <c r="AF2975" s="2"/>
      <c r="AG2975" s="2"/>
      <c r="AH2975" s="2"/>
      <c r="AI2975" s="2"/>
      <c r="AJ2975" s="2"/>
      <c r="AK2975" s="2"/>
      <c r="AL2975" s="2"/>
    </row>
    <row r="2976" spans="1:38" ht="12.75" customHeight="1" x14ac:dyDescent="0.25">
      <c r="A2976" s="343"/>
      <c r="B2976" s="178"/>
      <c r="C2976" s="779"/>
      <c r="D2976" s="1246"/>
      <c r="E2976" s="2619" t="str">
        <f>Translations!$B$1475</f>
        <v>Faktisk justering (grund för följande år)</v>
      </c>
      <c r="F2976" s="2497"/>
      <c r="G2976" s="2497"/>
      <c r="H2976" s="2497"/>
      <c r="I2976" s="2616"/>
      <c r="J2976" s="1268">
        <f>J$3042</f>
        <v>2021</v>
      </c>
      <c r="K2976" s="1230">
        <f>K$3042</f>
        <v>2022</v>
      </c>
      <c r="L2976" s="1230">
        <f>L$3042</f>
        <v>2023</v>
      </c>
      <c r="M2976" s="1230">
        <f>M$3042</f>
        <v>2024</v>
      </c>
      <c r="N2976" s="1258">
        <f>N$3042</f>
        <v>2025</v>
      </c>
      <c r="O2976" s="15"/>
      <c r="P2976" s="15"/>
      <c r="Q2976" s="343"/>
      <c r="R2976" s="2"/>
      <c r="S2976" s="2"/>
      <c r="T2976" s="2"/>
      <c r="U2976" s="584"/>
      <c r="V2976" s="2"/>
      <c r="W2976" s="2"/>
      <c r="X2976" s="2"/>
      <c r="Y2976" s="2"/>
      <c r="Z2976" s="228"/>
      <c r="AA2976" s="2"/>
      <c r="AB2976" s="2"/>
      <c r="AC2976" s="2"/>
      <c r="AD2976" s="2"/>
      <c r="AE2976" s="2"/>
      <c r="AF2976" s="2"/>
      <c r="AG2976" s="2"/>
      <c r="AH2976" s="2"/>
      <c r="AI2976" s="2"/>
      <c r="AJ2976" s="2"/>
      <c r="AK2976" s="2"/>
      <c r="AL2976" s="2"/>
    </row>
    <row r="2977" spans="1:38" ht="12.75" customHeight="1" x14ac:dyDescent="0.25">
      <c r="A2977" s="343"/>
      <c r="B2977" s="178"/>
      <c r="C2977" s="779"/>
      <c r="D2977" s="1246" t="s">
        <v>10</v>
      </c>
      <c r="E2977" s="2618" t="str">
        <f>Translations!$B$1476</f>
        <v>&gt;= 100 utsläppsrätter kriterium uppnått?</v>
      </c>
      <c r="F2977" s="1997"/>
      <c r="G2977" s="1997"/>
      <c r="H2977" s="1997"/>
      <c r="I2977" s="2620"/>
      <c r="J2977" s="994" t="str">
        <f>IF($I2731="","",INDEX(K_Summary!J:J,MATCH($Q2977,K_Summary!$P:$P,0)))</f>
        <v/>
      </c>
      <c r="K2977" s="912" t="str">
        <f>IF($I2731="","",INDEX(K_Summary!K:K,MATCH($Q2977,K_Summary!$P:$P,0)))</f>
        <v/>
      </c>
      <c r="L2977" s="912" t="str">
        <f>IF($I2731="","",INDEX(K_Summary!L:L,MATCH($Q2977,K_Summary!$P:$P,0)))</f>
        <v/>
      </c>
      <c r="M2977" s="912" t="str">
        <f>IF($I2731="","",INDEX(K_Summary!M:M,MATCH($Q2977,K_Summary!$P:$P,0)))</f>
        <v/>
      </c>
      <c r="N2977" s="1221" t="str">
        <f>IF($I2731="","",INDEX(K_Summary!N:N,MATCH($Q2977,K_Summary!$P:$P,0)))</f>
        <v/>
      </c>
      <c r="O2977" s="15"/>
      <c r="P2977" s="15"/>
      <c r="Q2977" s="165" t="str">
        <f>EUconst_CNTR_100EUA_WGFlare&amp;I2731</f>
        <v>EUA100WGFlare_</v>
      </c>
      <c r="R2977" s="2"/>
      <c r="S2977" s="2"/>
      <c r="T2977" s="2"/>
      <c r="U2977" s="584"/>
      <c r="V2977" s="2"/>
      <c r="W2977" s="2"/>
      <c r="X2977" s="2"/>
      <c r="Y2977" s="2"/>
      <c r="Z2977" s="228"/>
      <c r="AA2977" s="2"/>
      <c r="AB2977" s="2"/>
      <c r="AC2977" s="2"/>
      <c r="AD2977" s="2"/>
      <c r="AE2977" s="2"/>
      <c r="AF2977" s="2"/>
      <c r="AG2977" s="2"/>
      <c r="AH2977" s="2"/>
      <c r="AI2977" s="2"/>
      <c r="AJ2977" s="2"/>
      <c r="AK2977" s="2"/>
      <c r="AL2977" s="2"/>
    </row>
    <row r="2978" spans="1:38" ht="5.15" customHeight="1" thickBot="1" x14ac:dyDescent="0.3">
      <c r="A2978" s="343"/>
      <c r="B2978" s="178"/>
      <c r="C2978" s="779"/>
      <c r="D2978" s="1246"/>
      <c r="E2978" s="1244"/>
      <c r="F2978" s="1244"/>
      <c r="G2978" s="1244"/>
      <c r="H2978" s="1244"/>
      <c r="I2978" s="1244"/>
      <c r="J2978" s="1244"/>
      <c r="K2978" s="1244"/>
      <c r="L2978" s="1244"/>
      <c r="M2978" s="1244"/>
      <c r="N2978" s="1248"/>
      <c r="O2978" s="15"/>
      <c r="P2978" s="15"/>
      <c r="Q2978" s="343"/>
      <c r="R2978" s="2"/>
      <c r="S2978" s="2"/>
      <c r="T2978" s="2"/>
      <c r="U2978" s="1086"/>
      <c r="V2978" s="343"/>
      <c r="W2978" s="2"/>
      <c r="X2978" s="2"/>
      <c r="Y2978" s="2"/>
      <c r="Z2978" s="228"/>
      <c r="AA2978" s="2"/>
      <c r="AB2978" s="2"/>
      <c r="AC2978" s="2"/>
      <c r="AD2978" s="2"/>
      <c r="AE2978" s="2"/>
      <c r="AF2978" s="2"/>
      <c r="AG2978" s="2"/>
      <c r="AH2978" s="2"/>
      <c r="AI2978" s="2"/>
      <c r="AJ2978" s="2"/>
      <c r="AK2978" s="2"/>
      <c r="AL2978" s="2"/>
    </row>
    <row r="2979" spans="1:38" ht="12.75" customHeight="1" thickBot="1" x14ac:dyDescent="0.3">
      <c r="A2979" s="2"/>
      <c r="B2979" s="178"/>
      <c r="C2979" s="779"/>
      <c r="D2979" s="1246" t="s">
        <v>23</v>
      </c>
      <c r="E2979" s="2618" t="str">
        <f>Translations!$B$1477</f>
        <v>Faktisk justering (om alla tröskelvärden överskrids)</v>
      </c>
      <c r="F2979" s="1997"/>
      <c r="G2979" s="1997"/>
      <c r="H2979" s="1997"/>
      <c r="I2979" s="2620"/>
      <c r="J2979" s="1099" t="str">
        <f>IF(J2977="","",IF(OR(J2977,V2971&lt;1),J2973,I2979))</f>
        <v/>
      </c>
      <c r="K2979" s="1100" t="str">
        <f>IF(K2977="","",IF(OR(K2977,W2971&lt;1),K2973,J2979))</f>
        <v/>
      </c>
      <c r="L2979" s="1100" t="str">
        <f>IF(L2977="","",IF(OR(L2977,X2971&lt;1),L2973,K2979))</f>
        <v/>
      </c>
      <c r="M2979" s="1100" t="str">
        <f>IF(M2977="","",IF(OR(M2977,Y2971&lt;1),M2973,L2979))</f>
        <v/>
      </c>
      <c r="N2979" s="1101" t="str">
        <f>IF(N2977="","",IF(OR(N2977,Z2971&lt;1),N2973,M2979))</f>
        <v/>
      </c>
      <c r="O2979" s="15"/>
      <c r="P2979" s="15"/>
      <c r="Q2979" s="343"/>
      <c r="R2979" s="2"/>
      <c r="S2979" s="2"/>
      <c r="T2979" s="2"/>
      <c r="U2979" s="1086" t="s">
        <v>1858</v>
      </c>
      <c r="V2979" s="1068">
        <f>J2976</f>
        <v>2021</v>
      </c>
      <c r="W2979" s="1068">
        <f>K2976</f>
        <v>2022</v>
      </c>
      <c r="X2979" s="1068">
        <f>L2976</f>
        <v>2023</v>
      </c>
      <c r="Y2979" s="1068">
        <f>M2976</f>
        <v>2024</v>
      </c>
      <c r="Z2979" s="1087">
        <f>N2976</f>
        <v>2025</v>
      </c>
      <c r="AA2979" s="2"/>
      <c r="AB2979" s="2"/>
      <c r="AC2979" s="2"/>
      <c r="AD2979" s="2"/>
      <c r="AE2979" s="2"/>
      <c r="AF2979" s="2"/>
      <c r="AG2979" s="2"/>
      <c r="AH2979" s="2"/>
      <c r="AI2979" s="2"/>
      <c r="AJ2979" s="2"/>
      <c r="AK2979" s="2"/>
      <c r="AL2979" s="2"/>
    </row>
    <row r="2980" spans="1:38" ht="12.75" customHeight="1" thickBot="1" x14ac:dyDescent="0.3">
      <c r="A2980" s="343"/>
      <c r="B2980" s="178"/>
      <c r="C2980" s="779"/>
      <c r="D2980" s="1246" t="s">
        <v>859</v>
      </c>
      <c r="E2980" s="2618" t="str">
        <f>Translations!$B$1478</f>
        <v>Faktiskt värde</v>
      </c>
      <c r="F2980" s="1997"/>
      <c r="G2980" s="1997"/>
      <c r="H2980" s="1232" t="str">
        <f>H2971</f>
        <v>t CO2</v>
      </c>
      <c r="I2980" s="990" t="str">
        <f>I2974</f>
        <v/>
      </c>
      <c r="J2980" s="1072" t="str">
        <f>IF($I2731="","",IF(OR($I2980=0,$I2980=EUconst_NA),IF(OR(J2977=TRUE,J2976=$V2731),J2974,SUM(I2980)),IF(J2979="",J2974,$I2980*(1+SUM(J2979)))))</f>
        <v/>
      </c>
      <c r="K2980" s="1073" t="str">
        <f>IF($I2731="","",IF(OR($I2980=0,$I2980=EUconst_NA),IF(OR(K2977=TRUE,K2976=$V2731),K2974,SUM(J2980)),IF(K2979="",K2974,$I2980*(1+SUM(K2979)))))</f>
        <v/>
      </c>
      <c r="L2980" s="1073" t="str">
        <f>IF($I2731="","",IF(OR($I2980=0,$I2980=EUconst_NA),IF(OR(L2977=TRUE,L2976=$V2731),L2974,SUM(K2980)),IF(L2979="",L2974,$I2980*(1+SUM(L2979)))))</f>
        <v/>
      </c>
      <c r="M2980" s="1073" t="str">
        <f>IF($I2731="","",IF(OR($I2980=0,$I2980=EUconst_NA),IF(OR(M2977=TRUE,M2976=$V2731),M2974,SUM(L2980)),IF(M2979="",M2974,$I2980*(1+SUM(M2979)))))</f>
        <v/>
      </c>
      <c r="N2980" s="1074" t="str">
        <f>IF($I2731="","",IF(OR($I2980=0,$I2980=EUconst_NA),IF(OR(N2977=TRUE,N2976=$V2731),N2974,SUM(M2980)),IF(N2979="",N2974,$I2980*(1+SUM(N2979)))))</f>
        <v/>
      </c>
      <c r="O2980" s="15"/>
      <c r="P2980" s="15"/>
      <c r="Q2980" s="165" t="str">
        <f>EUconst_CNTR_HALfinal&amp;EUconst_CNTR_WGFlared &amp; I2731</f>
        <v>HALfinal_WasteGasFlare_</v>
      </c>
      <c r="R2980" s="2"/>
      <c r="S2980" s="2"/>
      <c r="T2980" s="2"/>
      <c r="U2980" s="1765" t="b">
        <v>0</v>
      </c>
      <c r="V2980" s="1757" t="str">
        <f>IF(V2930,IF(J2977=TRUE,V2739,U2980),"")</f>
        <v/>
      </c>
      <c r="W2980" s="1757" t="str">
        <f>IF(W2930,IF(K2977=TRUE,W2739,V2980),"")</f>
        <v/>
      </c>
      <c r="X2980" s="1757" t="str">
        <f>IF(X2930,IF(L2977=TRUE,X2739,W2980),"")</f>
        <v/>
      </c>
      <c r="Y2980" s="1757" t="str">
        <f>IF(Y2930,IF(M2977=TRUE,Y2739,X2980),"")</f>
        <v/>
      </c>
      <c r="Z2980" s="1758" t="str">
        <f>IF(Z2930,IF(N2977=TRUE,Z2739,Y2980),"")</f>
        <v/>
      </c>
      <c r="AA2980" s="2"/>
      <c r="AB2980" s="2"/>
      <c r="AC2980" s="2"/>
      <c r="AD2980" s="2"/>
      <c r="AE2980" s="2"/>
      <c r="AF2980" s="2"/>
      <c r="AG2980" s="2"/>
      <c r="AH2980" s="2"/>
      <c r="AI2980" s="2"/>
      <c r="AJ2980" s="553" t="s">
        <v>2242</v>
      </c>
      <c r="AK2980" s="108" t="str">
        <f>IF(OR(ISERROR(J2980),ISERROR(K2980),ISERROR(L2980),ISERROR(M2980),ISERROR(N2980)),EUconst_Error &amp; "BM" &amp; Q2731,"")</f>
        <v/>
      </c>
      <c r="AL2980" s="2"/>
    </row>
    <row r="2981" spans="1:38" ht="5.15" customHeight="1" thickBot="1" x14ac:dyDescent="0.3">
      <c r="A2981" s="2"/>
      <c r="B2981" s="178"/>
      <c r="C2981" s="779"/>
      <c r="D2981" s="1269"/>
      <c r="E2981" s="1270"/>
      <c r="F2981" s="1270"/>
      <c r="G2981" s="1270"/>
      <c r="H2981" s="1271"/>
      <c r="I2981" s="1270"/>
      <c r="J2981" s="1270"/>
      <c r="K2981" s="1270"/>
      <c r="L2981" s="1270"/>
      <c r="M2981" s="1272"/>
      <c r="N2981" s="1273"/>
      <c r="O2981" s="15"/>
      <c r="P2981" s="15"/>
      <c r="Q2981" s="343"/>
      <c r="R2981" s="2"/>
      <c r="S2981" s="343"/>
      <c r="T2981" s="343"/>
      <c r="U2981" s="343"/>
      <c r="V2981" s="343"/>
      <c r="W2981" s="2"/>
      <c r="X2981" s="2"/>
      <c r="Y2981" s="2"/>
      <c r="Z2981" s="2"/>
      <c r="AA2981" s="2"/>
      <c r="AB2981" s="2"/>
      <c r="AC2981" s="2"/>
      <c r="AD2981" s="2"/>
      <c r="AE2981" s="2"/>
      <c r="AF2981" s="2"/>
      <c r="AG2981" s="2"/>
      <c r="AH2981" s="2"/>
      <c r="AI2981" s="2"/>
      <c r="AJ2981" s="2"/>
      <c r="AK2981" s="2"/>
      <c r="AL2981" s="2"/>
    </row>
    <row r="2982" spans="1:38" ht="5.15" customHeight="1" x14ac:dyDescent="0.25">
      <c r="A2982" s="2"/>
      <c r="B2982" s="178"/>
      <c r="C2982" s="779"/>
      <c r="D2982" s="780"/>
      <c r="E2982" s="780"/>
      <c r="F2982" s="780"/>
      <c r="G2982" s="780"/>
      <c r="H2982" s="1805"/>
      <c r="I2982" s="780"/>
      <c r="J2982" s="780"/>
      <c r="K2982" s="780"/>
      <c r="L2982" s="780"/>
      <c r="M2982" s="623"/>
      <c r="N2982" s="519"/>
      <c r="O2982" s="15"/>
      <c r="P2982" s="15"/>
      <c r="Q2982" s="343"/>
      <c r="R2982" s="2"/>
      <c r="S2982" s="343"/>
      <c r="T2982" s="343"/>
      <c r="U2982" s="343"/>
      <c r="V2982" s="343"/>
      <c r="W2982" s="2"/>
      <c r="X2982" s="2"/>
      <c r="Y2982" s="2"/>
      <c r="Z2982" s="2"/>
      <c r="AA2982" s="2"/>
      <c r="AB2982" s="2"/>
      <c r="AC2982" s="2"/>
      <c r="AD2982" s="2"/>
      <c r="AE2982" s="2"/>
      <c r="AF2982" s="2"/>
      <c r="AG2982" s="2"/>
      <c r="AH2982" s="2"/>
      <c r="AI2982" s="2"/>
      <c r="AJ2982" s="2"/>
      <c r="AK2982" s="2"/>
      <c r="AL2982" s="2"/>
    </row>
    <row r="2983" spans="1:38" ht="12.75" customHeight="1" x14ac:dyDescent="0.25">
      <c r="A2983" s="2"/>
      <c r="B2983" s="178"/>
      <c r="C2983" s="779"/>
      <c r="D2983" s="416" t="s">
        <v>1205</v>
      </c>
      <c r="E2983" s="2614" t="str">
        <f>Translations!$B$632</f>
        <v>Importerade restgastyper:</v>
      </c>
      <c r="F2983" s="1960"/>
      <c r="G2983" s="1960"/>
      <c r="H2983" s="2520"/>
      <c r="I2983" s="2621"/>
      <c r="J2983" s="2510"/>
      <c r="K2983" s="2510"/>
      <c r="L2983" s="2510"/>
      <c r="M2983" s="2511"/>
      <c r="N2983" s="519"/>
      <c r="O2983" s="15"/>
      <c r="P2983" s="1362"/>
      <c r="Q2983" s="343"/>
      <c r="R2983" s="2"/>
      <c r="S2983" s="343"/>
      <c r="T2983" s="2"/>
      <c r="U2983" s="2"/>
      <c r="V2983" s="2"/>
      <c r="W2983" s="2"/>
      <c r="X2983" s="2"/>
      <c r="Y2983" s="2"/>
      <c r="Z2983" s="2"/>
      <c r="AA2983" s="2"/>
      <c r="AB2983" s="2"/>
      <c r="AC2983" s="672" t="s">
        <v>782</v>
      </c>
      <c r="AD2983" s="108" t="b">
        <f>AD2957</f>
        <v>0</v>
      </c>
      <c r="AE2983" s="2"/>
      <c r="AF2983" s="2"/>
      <c r="AG2983" s="2"/>
      <c r="AH2983" s="2"/>
      <c r="AI2983" s="2"/>
      <c r="AJ2983" s="2"/>
      <c r="AK2983" s="2"/>
      <c r="AL2983" s="2"/>
    </row>
    <row r="2984" spans="1:38" ht="12.75" customHeight="1" x14ac:dyDescent="0.25">
      <c r="A2984" s="2"/>
      <c r="B2984" s="178"/>
      <c r="C2984" s="779"/>
      <c r="D2984" s="416"/>
      <c r="E2984" s="2596" t="str">
        <f>Translations!$B$633</f>
        <v>De uppgifter som anges här påverkar de utsläpp som kan tillskrivas i enlighet med avsnitt 10.1.5 i bilaga VII till FAR.</v>
      </c>
      <c r="F2984" s="1960"/>
      <c r="G2984" s="1960"/>
      <c r="H2984" s="1960"/>
      <c r="I2984" s="1960"/>
      <c r="J2984" s="1960"/>
      <c r="K2984" s="1960"/>
      <c r="L2984" s="1960"/>
      <c r="M2984" s="1960"/>
      <c r="N2984" s="2597"/>
      <c r="O2984" s="15"/>
      <c r="P2984" s="15"/>
      <c r="Q2984" s="343"/>
      <c r="R2984" s="2"/>
      <c r="S2984" s="343"/>
      <c r="T2984" s="343"/>
      <c r="U2984" s="343"/>
      <c r="V2984" s="343"/>
      <c r="W2984" s="2"/>
      <c r="X2984" s="2"/>
      <c r="Y2984" s="2"/>
      <c r="Z2984" s="2"/>
      <c r="AA2984" s="2"/>
      <c r="AB2984" s="2"/>
      <c r="AC2984" s="2"/>
      <c r="AD2984" s="2"/>
      <c r="AE2984" s="2"/>
      <c r="AF2984" s="2"/>
      <c r="AG2984" s="2"/>
      <c r="AH2984" s="2"/>
      <c r="AI2984" s="2"/>
      <c r="AJ2984" s="2"/>
      <c r="AK2984" s="2"/>
      <c r="AL2984" s="2"/>
    </row>
    <row r="2985" spans="1:38" ht="25.5" customHeight="1" x14ac:dyDescent="0.25">
      <c r="A2985" s="2"/>
      <c r="B2985" s="178"/>
      <c r="C2985" s="779"/>
      <c r="D2985" s="416"/>
      <c r="E2985" s="2610" t="str">
        <f>Translations!$B$634</f>
        <v>Detta innefattar alla restgastyper som produceras utanför delanläggningens systemgränser men som importeras till delanläggningen och används för produktion av mätbar värme, icke-mätbar värme (inklusive för säkerhetsfackling) eller mekanisk energi (annat än för elproduktion).</v>
      </c>
      <c r="F2985" s="1960"/>
      <c r="G2985" s="1960"/>
      <c r="H2985" s="1960"/>
      <c r="I2985" s="1960"/>
      <c r="J2985" s="1960"/>
      <c r="K2985" s="1960"/>
      <c r="L2985" s="1960"/>
      <c r="M2985" s="1960"/>
      <c r="N2985" s="2597"/>
      <c r="O2985" s="15"/>
      <c r="P2985" s="15"/>
      <c r="Q2985" s="343"/>
      <c r="R2985" s="2"/>
      <c r="S2985" s="343"/>
      <c r="T2985" s="343"/>
      <c r="U2985" s="343"/>
      <c r="V2985" s="343"/>
      <c r="W2985" s="2"/>
      <c r="X2985" s="2"/>
      <c r="Y2985" s="2"/>
      <c r="Z2985" s="2"/>
      <c r="AA2985" s="2"/>
      <c r="AB2985" s="2"/>
      <c r="AC2985" s="2"/>
      <c r="AD2985" s="2"/>
      <c r="AE2985" s="2"/>
      <c r="AF2985" s="2"/>
      <c r="AG2985" s="2"/>
      <c r="AH2985" s="2"/>
      <c r="AI2985" s="2"/>
      <c r="AJ2985" s="2"/>
      <c r="AK2985" s="2"/>
      <c r="AL2985" s="2"/>
    </row>
    <row r="2986" spans="1:38" ht="12.75" customHeight="1" thickBot="1" x14ac:dyDescent="0.3">
      <c r="A2986" s="2"/>
      <c r="B2986" s="178"/>
      <c r="C2986" s="779"/>
      <c r="D2986" s="780"/>
      <c r="E2986" s="1716"/>
      <c r="F2986" s="1717"/>
      <c r="G2986" s="361" t="str">
        <f>EUconst_Unit</f>
        <v>Enhet</v>
      </c>
      <c r="H2986" s="362">
        <f t="shared" ref="H2986:N2986" si="1350">H$3042</f>
        <v>2019</v>
      </c>
      <c r="I2986" s="1103">
        <f t="shared" si="1350"/>
        <v>2020</v>
      </c>
      <c r="J2986" s="1104">
        <f t="shared" si="1350"/>
        <v>2021</v>
      </c>
      <c r="K2986" s="362">
        <f t="shared" si="1350"/>
        <v>2022</v>
      </c>
      <c r="L2986" s="362">
        <f t="shared" si="1350"/>
        <v>2023</v>
      </c>
      <c r="M2986" s="362">
        <f t="shared" si="1350"/>
        <v>2024</v>
      </c>
      <c r="N2986" s="1141">
        <f t="shared" si="1350"/>
        <v>2025</v>
      </c>
      <c r="O2986" s="15"/>
      <c r="P2986" s="15"/>
      <c r="Q2986" s="343"/>
      <c r="R2986" s="2"/>
      <c r="S2986" s="343"/>
      <c r="T2986" s="343"/>
      <c r="U2986" s="343"/>
      <c r="V2986" s="343"/>
      <c r="W2986" s="2"/>
      <c r="X2986" s="2"/>
      <c r="Y2986" s="2"/>
      <c r="Z2986" s="2"/>
      <c r="AA2986" s="2"/>
      <c r="AB2986" s="2"/>
      <c r="AC2986" s="1044">
        <f t="shared" ref="AC2986:AI2986" si="1351">H$20</f>
        <v>2019</v>
      </c>
      <c r="AD2986" s="1044">
        <f t="shared" si="1351"/>
        <v>2020</v>
      </c>
      <c r="AE2986" s="1044">
        <f t="shared" si="1351"/>
        <v>2021</v>
      </c>
      <c r="AF2986" s="1044">
        <f t="shared" si="1351"/>
        <v>2022</v>
      </c>
      <c r="AG2986" s="1044">
        <f t="shared" si="1351"/>
        <v>2023</v>
      </c>
      <c r="AH2986" s="1044">
        <f t="shared" si="1351"/>
        <v>2024</v>
      </c>
      <c r="AI2986" s="1044">
        <f t="shared" si="1351"/>
        <v>2025</v>
      </c>
      <c r="AJ2986" s="2"/>
      <c r="AK2986" s="2"/>
      <c r="AL2986" s="2"/>
    </row>
    <row r="2987" spans="1:38" ht="12.75" customHeight="1" thickBot="1" x14ac:dyDescent="0.3">
      <c r="A2987" s="2"/>
      <c r="B2987" s="178"/>
      <c r="C2987" s="779"/>
      <c r="D2987" s="416" t="s">
        <v>1206</v>
      </c>
      <c r="E2987" s="2611" t="str">
        <f>Translations!$B$635</f>
        <v>Importerade mängder</v>
      </c>
      <c r="F2987" s="2484"/>
      <c r="G2987" s="1314"/>
      <c r="H2987" s="1298"/>
      <c r="I2987" s="1299"/>
      <c r="J2987" s="1300"/>
      <c r="K2987" s="1298"/>
      <c r="L2987" s="1298"/>
      <c r="M2987" s="1298"/>
      <c r="N2987" s="1301"/>
      <c r="O2987" s="15"/>
      <c r="P2987" s="1362"/>
      <c r="Q2987" s="343"/>
      <c r="R2987" s="2"/>
      <c r="S2987" s="343"/>
      <c r="T2987" s="343"/>
      <c r="U2987" s="343"/>
      <c r="V2987" s="343"/>
      <c r="W2987" s="2"/>
      <c r="X2987" s="2"/>
      <c r="Y2987" s="2"/>
      <c r="Z2987" s="2"/>
      <c r="AA2987" s="2"/>
      <c r="AB2987" s="672" t="s">
        <v>782</v>
      </c>
      <c r="AC2987" s="108" t="b">
        <f t="shared" ref="AC2987:AI2987" si="1352">AC2943</f>
        <v>0</v>
      </c>
      <c r="AD2987" s="108" t="b">
        <f t="shared" si="1352"/>
        <v>0</v>
      </c>
      <c r="AE2987" s="108" t="b">
        <f t="shared" si="1352"/>
        <v>0</v>
      </c>
      <c r="AF2987" s="108" t="b">
        <f t="shared" si="1352"/>
        <v>0</v>
      </c>
      <c r="AG2987" s="108" t="b">
        <f t="shared" si="1352"/>
        <v>0</v>
      </c>
      <c r="AH2987" s="108" t="b">
        <f t="shared" si="1352"/>
        <v>0</v>
      </c>
      <c r="AI2987" s="108" t="b">
        <f t="shared" si="1352"/>
        <v>0</v>
      </c>
      <c r="AJ2987" s="553" t="s">
        <v>2248</v>
      </c>
      <c r="AK2987" s="663" t="str">
        <f>IF(AND(CNTR_ExistSubInstEntries,MSconst_RequireSubAttrEmissions,COUNTIFS(AC2987:AI2987,FALSE,H2987:N2987,"")&gt;0),EUconst_Error&amp;"BM"&amp;$Q2731,"")</f>
        <v/>
      </c>
      <c r="AL2987" s="2"/>
    </row>
    <row r="2988" spans="1:38" ht="12.75" customHeight="1" x14ac:dyDescent="0.25">
      <c r="A2988" s="2"/>
      <c r="B2988" s="178"/>
      <c r="C2988" s="779"/>
      <c r="D2988" s="416" t="s">
        <v>1207</v>
      </c>
      <c r="E2988" s="2612" t="str">
        <f>Translations!$B$318</f>
        <v>Effektivt värmevärde</v>
      </c>
      <c r="F2988" s="2487"/>
      <c r="G2988" s="51" t="str">
        <f>IF(ISBLANK(G2987),EUconst_GJperUnit,INDEX(EUconst_GJperTorKNm3,MATCH(G2987,EUconst_TonnesOrkNm3pa,0)))</f>
        <v>GJ / Enhet</v>
      </c>
      <c r="H2988" s="1306"/>
      <c r="I2988" s="1307"/>
      <c r="J2988" s="1308"/>
      <c r="K2988" s="1306"/>
      <c r="L2988" s="1306"/>
      <c r="M2988" s="1306"/>
      <c r="N2988" s="1309"/>
      <c r="O2988" s="15"/>
      <c r="P2988" s="1362"/>
      <c r="Q2988" s="343"/>
      <c r="R2988" s="2"/>
      <c r="S2988" s="772"/>
      <c r="T2988" s="609">
        <f t="shared" ref="T2988:Z2988" si="1353">H2986</f>
        <v>2019</v>
      </c>
      <c r="U2988" s="609">
        <f t="shared" si="1353"/>
        <v>2020</v>
      </c>
      <c r="V2988" s="609">
        <f t="shared" si="1353"/>
        <v>2021</v>
      </c>
      <c r="W2988" s="609">
        <f t="shared" si="1353"/>
        <v>2022</v>
      </c>
      <c r="X2988" s="609">
        <f t="shared" si="1353"/>
        <v>2023</v>
      </c>
      <c r="Y2988" s="609">
        <f t="shared" si="1353"/>
        <v>2024</v>
      </c>
      <c r="Z2988" s="610">
        <f t="shared" si="1353"/>
        <v>2025</v>
      </c>
      <c r="AA2988" s="2"/>
      <c r="AB2988" s="2"/>
      <c r="AC2988" s="108" t="b">
        <f>AC2987</f>
        <v>0</v>
      </c>
      <c r="AD2988" s="108" t="b">
        <f t="shared" ref="AD2988:AI2988" si="1354">AD2987</f>
        <v>0</v>
      </c>
      <c r="AE2988" s="108" t="b">
        <f t="shared" si="1354"/>
        <v>0</v>
      </c>
      <c r="AF2988" s="108" t="b">
        <f t="shared" si="1354"/>
        <v>0</v>
      </c>
      <c r="AG2988" s="108" t="b">
        <f t="shared" si="1354"/>
        <v>0</v>
      </c>
      <c r="AH2988" s="108" t="b">
        <f t="shared" si="1354"/>
        <v>0</v>
      </c>
      <c r="AI2988" s="108" t="b">
        <f t="shared" si="1354"/>
        <v>0</v>
      </c>
      <c r="AJ2988" s="553" t="s">
        <v>2248</v>
      </c>
      <c r="AK2988" s="663" t="str">
        <f>IF(AND(CNTR_ExistSubInstEntries,MSconst_RequireSubAttrEmissions,COUNTIFS(AC2988:AI2988,FALSE,H2988:N2988,"")&gt;0),EUconst_Error&amp;"BM"&amp;$Q2731,"")</f>
        <v/>
      </c>
      <c r="AL2988" s="2"/>
    </row>
    <row r="2989" spans="1:38" ht="12.75" customHeight="1" x14ac:dyDescent="0.25">
      <c r="A2989" s="2"/>
      <c r="B2989" s="178"/>
      <c r="C2989" s="779"/>
      <c r="D2989" s="416" t="s">
        <v>1208</v>
      </c>
      <c r="E2989" s="2613" t="str">
        <f>Translations!$B$636</f>
        <v>Importerad restgas</v>
      </c>
      <c r="F2989" s="1997"/>
      <c r="G2989" s="364" t="str">
        <f>EUconst_TJpa</f>
        <v>TJ / år</v>
      </c>
      <c r="H2989" s="351" t="str">
        <f t="shared" ref="H2989:N2989" si="1355">IF(COUNT(H2987:H2988)=2,H2987*H2988/1000,"")</f>
        <v/>
      </c>
      <c r="I2989" s="1107" t="str">
        <f t="shared" si="1355"/>
        <v/>
      </c>
      <c r="J2989" s="1113" t="str">
        <f t="shared" si="1355"/>
        <v/>
      </c>
      <c r="K2989" s="351" t="str">
        <f t="shared" si="1355"/>
        <v/>
      </c>
      <c r="L2989" s="351" t="str">
        <f t="shared" si="1355"/>
        <v/>
      </c>
      <c r="M2989" s="351" t="str">
        <f t="shared" si="1355"/>
        <v/>
      </c>
      <c r="N2989" s="1148" t="str">
        <f t="shared" si="1355"/>
        <v/>
      </c>
      <c r="O2989" s="15"/>
      <c r="P2989" s="15"/>
      <c r="Q2989" s="165" t="str">
        <f>EUconst_CNTR_WGImport &amp; I2731</f>
        <v>WasteGasIm_</v>
      </c>
      <c r="R2989" s="2"/>
      <c r="S2989" s="1751" t="str">
        <f>EUconst_ERR_AttrEmBMapplied &amp; I2731</f>
        <v>ERR_AttrEmBM_</v>
      </c>
      <c r="T2989" s="108">
        <f t="shared" ref="T2989:Z2989" si="1356">IF(AND(H2989&lt;&gt;"",EUconst_StatusOfDataCollection=FALSE),1,0)</f>
        <v>0</v>
      </c>
      <c r="U2989" s="108">
        <f t="shared" si="1356"/>
        <v>0</v>
      </c>
      <c r="V2989" s="108">
        <f t="shared" si="1356"/>
        <v>0</v>
      </c>
      <c r="W2989" s="108">
        <f t="shared" si="1356"/>
        <v>0</v>
      </c>
      <c r="X2989" s="108">
        <f t="shared" si="1356"/>
        <v>0</v>
      </c>
      <c r="Y2989" s="108">
        <f t="shared" si="1356"/>
        <v>0</v>
      </c>
      <c r="Z2989" s="109">
        <f t="shared" si="1356"/>
        <v>0</v>
      </c>
      <c r="AA2989" s="2"/>
      <c r="AB2989" s="2"/>
      <c r="AC2989" s="2"/>
      <c r="AD2989" s="2"/>
      <c r="AE2989" s="2"/>
      <c r="AF2989" s="2"/>
      <c r="AG2989" s="2"/>
      <c r="AH2989" s="2"/>
      <c r="AI2989" s="2"/>
      <c r="AJ2989" s="2"/>
      <c r="AK2989" s="2"/>
      <c r="AL2989" s="2"/>
    </row>
    <row r="2990" spans="1:38" s="534" customFormat="1" ht="12.75" customHeight="1" thickBot="1" x14ac:dyDescent="0.3">
      <c r="A2990" s="343"/>
      <c r="B2990" s="178"/>
      <c r="C2990" s="779"/>
      <c r="D2990" s="416" t="s">
        <v>1209</v>
      </c>
      <c r="E2990" s="2613" t="str">
        <f>Translations!$B$637</f>
        <v>Särskild emissionsfaktor (importerad restgas)</v>
      </c>
      <c r="F2990" s="1997"/>
      <c r="G2990" s="363" t="str">
        <f>EUconst_tCO2pTJ</f>
        <v>t CO2 / TJ</v>
      </c>
      <c r="H2990" s="1315"/>
      <c r="I2990" s="1316"/>
      <c r="J2990" s="1317"/>
      <c r="K2990" s="1315"/>
      <c r="L2990" s="1315"/>
      <c r="M2990" s="1315"/>
      <c r="N2990" s="1318"/>
      <c r="O2990" s="15"/>
      <c r="P2990" s="1362"/>
      <c r="Q2990" s="165" t="str">
        <f>EUconst_CNTR_WGImportEF &amp; I2731</f>
        <v>WasteGasImEF_</v>
      </c>
      <c r="R2990" s="343"/>
      <c r="S2990" s="773" t="str">
        <f>EUconst_CNTR_AttributedEmissions &amp; I2731</f>
        <v>AttrEmissions_</v>
      </c>
      <c r="T2990" s="111" t="str">
        <f t="shared" ref="T2990:Z2990" si="1357">IF(T2739,SUM(H2989)*EUconst_FuelBMvalue,"")</f>
        <v/>
      </c>
      <c r="U2990" s="111" t="str">
        <f t="shared" si="1357"/>
        <v/>
      </c>
      <c r="V2990" s="111" t="str">
        <f t="shared" si="1357"/>
        <v/>
      </c>
      <c r="W2990" s="111" t="str">
        <f t="shared" si="1357"/>
        <v/>
      </c>
      <c r="X2990" s="111" t="str">
        <f t="shared" si="1357"/>
        <v/>
      </c>
      <c r="Y2990" s="111" t="str">
        <f t="shared" si="1357"/>
        <v/>
      </c>
      <c r="Z2990" s="112" t="str">
        <f t="shared" si="1357"/>
        <v/>
      </c>
      <c r="AA2990" s="343"/>
      <c r="AB2990" s="672" t="s">
        <v>782</v>
      </c>
      <c r="AC2990" s="108" t="b">
        <f>AC2988</f>
        <v>0</v>
      </c>
      <c r="AD2990" s="108" t="b">
        <f t="shared" ref="AD2990:AI2990" si="1358">AD2988</f>
        <v>0</v>
      </c>
      <c r="AE2990" s="108" t="b">
        <f t="shared" si="1358"/>
        <v>0</v>
      </c>
      <c r="AF2990" s="108" t="b">
        <f t="shared" si="1358"/>
        <v>0</v>
      </c>
      <c r="AG2990" s="108" t="b">
        <f t="shared" si="1358"/>
        <v>0</v>
      </c>
      <c r="AH2990" s="108" t="b">
        <f t="shared" si="1358"/>
        <v>0</v>
      </c>
      <c r="AI2990" s="108" t="b">
        <f t="shared" si="1358"/>
        <v>0</v>
      </c>
      <c r="AJ2990" s="553" t="s">
        <v>2248</v>
      </c>
      <c r="AK2990" s="663" t="str">
        <f>IF(AND(CNTR_ExistSubInstEntries,MSconst_RequireSubAttrEmissions,COUNTIFS(AC2990:AI2990,FALSE,H2990:N2990,"")&gt;0),EUconst_Error&amp;"BM"&amp;$Q2731,"")</f>
        <v/>
      </c>
      <c r="AL2990" s="2"/>
    </row>
    <row r="2991" spans="1:38" ht="12.75" customHeight="1" x14ac:dyDescent="0.25">
      <c r="A2991" s="2"/>
      <c r="B2991" s="178"/>
      <c r="C2991" s="779"/>
      <c r="D2991" s="780"/>
      <c r="E2991" s="780"/>
      <c r="F2991" s="780"/>
      <c r="G2991" s="780"/>
      <c r="H2991" s="1805"/>
      <c r="I2991" s="780"/>
      <c r="J2991" s="780"/>
      <c r="K2991" s="780"/>
      <c r="L2991" s="780"/>
      <c r="M2991" s="623"/>
      <c r="N2991" s="519"/>
      <c r="O2991" s="15"/>
      <c r="P2991" s="15"/>
      <c r="Q2991" s="343"/>
      <c r="R2991" s="2"/>
      <c r="S2991" s="343"/>
      <c r="T2991" s="343"/>
      <c r="U2991" s="343"/>
      <c r="V2991" s="343"/>
      <c r="W2991" s="2"/>
      <c r="X2991" s="2"/>
      <c r="Y2991" s="2"/>
      <c r="Z2991" s="2"/>
      <c r="AA2991" s="2"/>
      <c r="AB2991" s="2"/>
      <c r="AC2991" s="2"/>
      <c r="AD2991" s="2"/>
      <c r="AE2991" s="2"/>
      <c r="AF2991" s="2"/>
      <c r="AG2991" s="2"/>
      <c r="AH2991" s="2"/>
      <c r="AI2991" s="2"/>
      <c r="AJ2991" s="2"/>
      <c r="AK2991" s="2"/>
      <c r="AL2991" s="2"/>
    </row>
    <row r="2992" spans="1:38" ht="12.75" customHeight="1" x14ac:dyDescent="0.25">
      <c r="A2992" s="2"/>
      <c r="B2992" s="178"/>
      <c r="C2992" s="779"/>
      <c r="D2992" s="416" t="s">
        <v>1210</v>
      </c>
      <c r="E2992" s="2614" t="str">
        <f>Translations!$B$638</f>
        <v>Exporterade restgastyper:</v>
      </c>
      <c r="F2992" s="1960"/>
      <c r="G2992" s="1960"/>
      <c r="H2992" s="2520"/>
      <c r="I2992" s="2621"/>
      <c r="J2992" s="2510"/>
      <c r="K2992" s="2510"/>
      <c r="L2992" s="2510"/>
      <c r="M2992" s="2511"/>
      <c r="N2992" s="1807"/>
      <c r="O2992" s="15"/>
      <c r="P2992" s="1362"/>
      <c r="Q2992" s="343"/>
      <c r="R2992" s="2"/>
      <c r="S2992" s="343"/>
      <c r="T2992" s="2"/>
      <c r="U2992" s="2"/>
      <c r="V2992" s="2"/>
      <c r="W2992" s="2"/>
      <c r="X2992" s="2"/>
      <c r="Y2992" s="2"/>
      <c r="Z2992" s="2"/>
      <c r="AA2992" s="2"/>
      <c r="AB2992" s="2"/>
      <c r="AC2992" s="672" t="s">
        <v>782</v>
      </c>
      <c r="AD2992" s="108" t="b">
        <f>AD2983</f>
        <v>0</v>
      </c>
      <c r="AE2992" s="2"/>
      <c r="AF2992" s="2"/>
      <c r="AG2992" s="2"/>
      <c r="AH2992" s="2"/>
      <c r="AI2992" s="2"/>
      <c r="AJ2992" s="2"/>
      <c r="AK2992" s="2"/>
      <c r="AL2992" s="2"/>
    </row>
    <row r="2993" spans="1:38" ht="12.75" customHeight="1" x14ac:dyDescent="0.25">
      <c r="A2993" s="2"/>
      <c r="B2993" s="178"/>
      <c r="C2993" s="779"/>
      <c r="D2993" s="416"/>
      <c r="E2993" s="2596" t="str">
        <f>Translations!$B$633</f>
        <v>De uppgifter som anges här påverkar de utsläpp som kan tillskrivas i enlighet med avsnitt 10.1.5 i bilaga VII till FAR.</v>
      </c>
      <c r="F2993" s="1960"/>
      <c r="G2993" s="1960"/>
      <c r="H2993" s="1960"/>
      <c r="I2993" s="1960"/>
      <c r="J2993" s="1960"/>
      <c r="K2993" s="1960"/>
      <c r="L2993" s="1960"/>
      <c r="M2993" s="1960"/>
      <c r="N2993" s="2597"/>
      <c r="O2993" s="15"/>
      <c r="P2993" s="15"/>
      <c r="Q2993" s="343"/>
      <c r="R2993" s="2"/>
      <c r="S2993" s="343"/>
      <c r="T2993" s="343"/>
      <c r="U2993" s="343"/>
      <c r="V2993" s="343"/>
      <c r="W2993" s="2"/>
      <c r="X2993" s="2"/>
      <c r="Y2993" s="2"/>
      <c r="Z2993" s="2"/>
      <c r="AA2993" s="2"/>
      <c r="AB2993" s="2"/>
      <c r="AC2993" s="2"/>
      <c r="AD2993" s="2"/>
      <c r="AE2993" s="2"/>
      <c r="AF2993" s="2"/>
      <c r="AG2993" s="2"/>
      <c r="AH2993" s="2"/>
      <c r="AI2993" s="2"/>
      <c r="AJ2993" s="2"/>
      <c r="AK2993" s="2"/>
      <c r="AL2993" s="2"/>
    </row>
    <row r="2994" spans="1:38" ht="25.5" customHeight="1" x14ac:dyDescent="0.25">
      <c r="A2994" s="2"/>
      <c r="B2994" s="178"/>
      <c r="C2994" s="779"/>
      <c r="D2994" s="416"/>
      <c r="E2994" s="2610" t="str">
        <f>Translations!$B$639</f>
        <v>Detta innefattar alla restgastyper som produceras inom delanläggningens systemgränser och som exporteras från delanläggningen till en annan delanläggning samt till eventuella andra anläggningar eller enheter.</v>
      </c>
      <c r="F2994" s="1960"/>
      <c r="G2994" s="1960"/>
      <c r="H2994" s="1960"/>
      <c r="I2994" s="1960"/>
      <c r="J2994" s="1960"/>
      <c r="K2994" s="1960"/>
      <c r="L2994" s="1960"/>
      <c r="M2994" s="1960"/>
      <c r="N2994" s="2597"/>
      <c r="O2994" s="15"/>
      <c r="P2994" s="15"/>
      <c r="Q2994" s="343"/>
      <c r="R2994" s="2"/>
      <c r="S2994" s="343"/>
      <c r="T2994" s="343"/>
      <c r="U2994" s="343"/>
      <c r="V2994" s="343"/>
      <c r="W2994" s="2"/>
      <c r="X2994" s="2"/>
      <c r="Y2994" s="2"/>
      <c r="Z2994" s="2"/>
      <c r="AA2994" s="2"/>
      <c r="AB2994" s="2"/>
      <c r="AC2994" s="2"/>
      <c r="AD2994" s="2"/>
      <c r="AE2994" s="2"/>
      <c r="AF2994" s="2"/>
      <c r="AG2994" s="2"/>
      <c r="AH2994" s="2"/>
      <c r="AI2994" s="2"/>
      <c r="AJ2994" s="2"/>
      <c r="AK2994" s="2"/>
      <c r="AL2994" s="2"/>
    </row>
    <row r="2995" spans="1:38" ht="12.75" customHeight="1" thickBot="1" x14ac:dyDescent="0.3">
      <c r="A2995" s="2"/>
      <c r="B2995" s="178"/>
      <c r="C2995" s="779"/>
      <c r="D2995" s="780"/>
      <c r="E2995" s="1716"/>
      <c r="F2995" s="1717"/>
      <c r="G2995" s="361" t="str">
        <f>EUconst_Unit</f>
        <v>Enhet</v>
      </c>
      <c r="H2995" s="362">
        <f t="shared" ref="H2995:N2995" si="1359">H$3042</f>
        <v>2019</v>
      </c>
      <c r="I2995" s="1103">
        <f t="shared" si="1359"/>
        <v>2020</v>
      </c>
      <c r="J2995" s="1104">
        <f t="shared" si="1359"/>
        <v>2021</v>
      </c>
      <c r="K2995" s="362">
        <f t="shared" si="1359"/>
        <v>2022</v>
      </c>
      <c r="L2995" s="362">
        <f t="shared" si="1359"/>
        <v>2023</v>
      </c>
      <c r="M2995" s="362">
        <f t="shared" si="1359"/>
        <v>2024</v>
      </c>
      <c r="N2995" s="1141">
        <f t="shared" si="1359"/>
        <v>2025</v>
      </c>
      <c r="O2995" s="15"/>
      <c r="P2995" s="15"/>
      <c r="Q2995" s="343"/>
      <c r="R2995" s="2"/>
      <c r="S2995" s="343"/>
      <c r="T2995" s="343"/>
      <c r="U2995" s="343"/>
      <c r="V2995" s="343"/>
      <c r="W2995" s="2"/>
      <c r="X2995" s="2"/>
      <c r="Y2995" s="2"/>
      <c r="Z2995" s="2"/>
      <c r="AA2995" s="2"/>
      <c r="AB2995" s="2"/>
      <c r="AC2995" s="1044">
        <f t="shared" ref="AC2995:AI2995" si="1360">H$20</f>
        <v>2019</v>
      </c>
      <c r="AD2995" s="1044">
        <f t="shared" si="1360"/>
        <v>2020</v>
      </c>
      <c r="AE2995" s="1044">
        <f t="shared" si="1360"/>
        <v>2021</v>
      </c>
      <c r="AF2995" s="1044">
        <f t="shared" si="1360"/>
        <v>2022</v>
      </c>
      <c r="AG2995" s="1044">
        <f t="shared" si="1360"/>
        <v>2023</v>
      </c>
      <c r="AH2995" s="1044">
        <f t="shared" si="1360"/>
        <v>2024</v>
      </c>
      <c r="AI2995" s="1044">
        <f t="shared" si="1360"/>
        <v>2025</v>
      </c>
      <c r="AJ2995" s="2"/>
      <c r="AK2995" s="2"/>
      <c r="AL2995" s="2"/>
    </row>
    <row r="2996" spans="1:38" ht="12.75" customHeight="1" x14ac:dyDescent="0.25">
      <c r="A2996" s="2"/>
      <c r="B2996" s="178"/>
      <c r="C2996" s="779"/>
      <c r="D2996" s="416" t="s">
        <v>1211</v>
      </c>
      <c r="E2996" s="2611" t="str">
        <f>Translations!$B$640</f>
        <v>Exporterade mängder</v>
      </c>
      <c r="F2996" s="2484"/>
      <c r="G2996" s="1314"/>
      <c r="H2996" s="1298"/>
      <c r="I2996" s="1299"/>
      <c r="J2996" s="1300"/>
      <c r="K2996" s="1298"/>
      <c r="L2996" s="1298"/>
      <c r="M2996" s="1298"/>
      <c r="N2996" s="1301"/>
      <c r="O2996" s="15"/>
      <c r="P2996" s="1362"/>
      <c r="Q2996" s="343"/>
      <c r="R2996" s="2"/>
      <c r="S2996" s="343"/>
      <c r="T2996" s="343"/>
      <c r="U2996" s="343"/>
      <c r="V2996" s="343"/>
      <c r="W2996" s="2"/>
      <c r="X2996" s="2"/>
      <c r="Y2996" s="2"/>
      <c r="Z2996" s="2"/>
      <c r="AA2996" s="2"/>
      <c r="AB2996" s="672" t="s">
        <v>782</v>
      </c>
      <c r="AC2996" s="108" t="b">
        <f>AC2943</f>
        <v>0</v>
      </c>
      <c r="AD2996" s="108" t="b">
        <f t="shared" ref="AD2996:AI2996" si="1361">AD2943</f>
        <v>0</v>
      </c>
      <c r="AE2996" s="108" t="b">
        <f t="shared" si="1361"/>
        <v>0</v>
      </c>
      <c r="AF2996" s="108" t="b">
        <f t="shared" si="1361"/>
        <v>0</v>
      </c>
      <c r="AG2996" s="108" t="b">
        <f t="shared" si="1361"/>
        <v>0</v>
      </c>
      <c r="AH2996" s="108" t="b">
        <f t="shared" si="1361"/>
        <v>0</v>
      </c>
      <c r="AI2996" s="108" t="b">
        <f t="shared" si="1361"/>
        <v>0</v>
      </c>
      <c r="AJ2996" s="553" t="s">
        <v>2248</v>
      </c>
      <c r="AK2996" s="663" t="str">
        <f>IF(AND(CNTR_ExistSubInstEntries,MSconst_RequireSubAttrEmissions,COUNTIFS(AC2996:AI2996,FALSE,H2996:N2996,"")&gt;0),EUconst_Error&amp;"BM"&amp;$Q2731,"")</f>
        <v/>
      </c>
      <c r="AL2996" s="2"/>
    </row>
    <row r="2997" spans="1:38" ht="12.75" customHeight="1" thickBot="1" x14ac:dyDescent="0.3">
      <c r="A2997" s="2"/>
      <c r="B2997" s="178"/>
      <c r="C2997" s="779"/>
      <c r="D2997" s="416" t="s">
        <v>1733</v>
      </c>
      <c r="E2997" s="2612" t="str">
        <f>Translations!$B$318</f>
        <v>Effektivt värmevärde</v>
      </c>
      <c r="F2997" s="2487"/>
      <c r="G2997" s="51" t="str">
        <f>IF(ISBLANK(G2996),EUconst_GJperUnit,INDEX(EUconst_GJperTorKNm3,MATCH(G2996,EUconst_TonnesOrkNm3pa,0)))</f>
        <v>GJ / Enhet</v>
      </c>
      <c r="H2997" s="1306"/>
      <c r="I2997" s="1307"/>
      <c r="J2997" s="1308"/>
      <c r="K2997" s="1306"/>
      <c r="L2997" s="1306"/>
      <c r="M2997" s="1306"/>
      <c r="N2997" s="1309"/>
      <c r="O2997" s="15"/>
      <c r="P2997" s="1362"/>
      <c r="Q2997" s="343"/>
      <c r="R2997" s="2"/>
      <c r="S2997" s="343"/>
      <c r="T2997" s="343"/>
      <c r="U2997" s="343"/>
      <c r="V2997" s="343"/>
      <c r="W2997" s="2"/>
      <c r="X2997" s="2"/>
      <c r="Y2997" s="2"/>
      <c r="Z2997" s="2"/>
      <c r="AA2997" s="2"/>
      <c r="AB2997" s="2"/>
      <c r="AC2997" s="108" t="b">
        <f>AC2996</f>
        <v>0</v>
      </c>
      <c r="AD2997" s="108" t="b">
        <f t="shared" ref="AD2997:AI2997" si="1362">AD2996</f>
        <v>0</v>
      </c>
      <c r="AE2997" s="108" t="b">
        <f t="shared" si="1362"/>
        <v>0</v>
      </c>
      <c r="AF2997" s="108" t="b">
        <f t="shared" si="1362"/>
        <v>0</v>
      </c>
      <c r="AG2997" s="108" t="b">
        <f t="shared" si="1362"/>
        <v>0</v>
      </c>
      <c r="AH2997" s="108" t="b">
        <f t="shared" si="1362"/>
        <v>0</v>
      </c>
      <c r="AI2997" s="108" t="b">
        <f t="shared" si="1362"/>
        <v>0</v>
      </c>
      <c r="AJ2997" s="553" t="s">
        <v>2248</v>
      </c>
      <c r="AK2997" s="663" t="str">
        <f>IF(AND(CNTR_ExistSubInstEntries,MSconst_RequireSubAttrEmissions,COUNTIFS(AC2997:AI2997,FALSE,H2997:N2997,"")&gt;0),EUconst_Error&amp;"BM"&amp;$Q2731,"")</f>
        <v/>
      </c>
      <c r="AL2997" s="2"/>
    </row>
    <row r="2998" spans="1:38" ht="12.75" customHeight="1" x14ac:dyDescent="0.25">
      <c r="A2998" s="2"/>
      <c r="B2998" s="178"/>
      <c r="C2998" s="779"/>
      <c r="D2998" s="416" t="s">
        <v>1787</v>
      </c>
      <c r="E2998" s="2613" t="str">
        <f>Translations!$B$641</f>
        <v>Exporterad restgas</v>
      </c>
      <c r="F2998" s="1997"/>
      <c r="G2998" s="364" t="str">
        <f>EUconst_TJpa</f>
        <v>TJ / år</v>
      </c>
      <c r="H2998" s="351" t="str">
        <f t="shared" ref="H2998:N2998" si="1363">IF(COUNT(H2996:H2997)=2,H2996*H2997/1000,"")</f>
        <v/>
      </c>
      <c r="I2998" s="1107" t="str">
        <f t="shared" si="1363"/>
        <v/>
      </c>
      <c r="J2998" s="1113" t="str">
        <f t="shared" si="1363"/>
        <v/>
      </c>
      <c r="K2998" s="351" t="str">
        <f t="shared" si="1363"/>
        <v/>
      </c>
      <c r="L2998" s="351" t="str">
        <f t="shared" si="1363"/>
        <v/>
      </c>
      <c r="M2998" s="351" t="str">
        <f t="shared" si="1363"/>
        <v/>
      </c>
      <c r="N2998" s="1148" t="str">
        <f t="shared" si="1363"/>
        <v/>
      </c>
      <c r="O2998" s="15"/>
      <c r="P2998" s="15"/>
      <c r="Q2998" s="165" t="str">
        <f>EUconst_CNTR_WGExport &amp; I2731</f>
        <v>WasteGasEx_</v>
      </c>
      <c r="R2998" s="2"/>
      <c r="S2998" s="772"/>
      <c r="T2998" s="609">
        <f t="shared" ref="T2998:Z2998" si="1364">H2995</f>
        <v>2019</v>
      </c>
      <c r="U2998" s="609">
        <f t="shared" si="1364"/>
        <v>2020</v>
      </c>
      <c r="V2998" s="609">
        <f t="shared" si="1364"/>
        <v>2021</v>
      </c>
      <c r="W2998" s="609">
        <f t="shared" si="1364"/>
        <v>2022</v>
      </c>
      <c r="X2998" s="609">
        <f t="shared" si="1364"/>
        <v>2023</v>
      </c>
      <c r="Y2998" s="609">
        <f t="shared" si="1364"/>
        <v>2024</v>
      </c>
      <c r="Z2998" s="610">
        <f t="shared" si="1364"/>
        <v>2025</v>
      </c>
      <c r="AA2998" s="2"/>
      <c r="AB2998" s="2"/>
      <c r="AC2998" s="2"/>
      <c r="AD2998" s="2"/>
      <c r="AE2998" s="2"/>
      <c r="AF2998" s="2"/>
      <c r="AG2998" s="2"/>
      <c r="AH2998" s="2"/>
      <c r="AI2998" s="2"/>
      <c r="AJ2998" s="2"/>
      <c r="AK2998" s="2"/>
      <c r="AL2998" s="2"/>
    </row>
    <row r="2999" spans="1:38" s="534" customFormat="1" ht="12.75" customHeight="1" thickBot="1" x14ac:dyDescent="0.3">
      <c r="A2999" s="2"/>
      <c r="B2999" s="178"/>
      <c r="C2999" s="779"/>
      <c r="D2999" s="416" t="s">
        <v>1788</v>
      </c>
      <c r="E2999" s="2613" t="str">
        <f>Translations!$B$642</f>
        <v>Särskild emissionsfaktor (exporterad restgas)</v>
      </c>
      <c r="F2999" s="1997"/>
      <c r="G2999" s="363" t="str">
        <f>EUconst_tCO2pTJ</f>
        <v>t CO2 / TJ</v>
      </c>
      <c r="H2999" s="1315"/>
      <c r="I2999" s="1316"/>
      <c r="J2999" s="1317"/>
      <c r="K2999" s="1315"/>
      <c r="L2999" s="1315"/>
      <c r="M2999" s="1315"/>
      <c r="N2999" s="1318"/>
      <c r="O2999" s="15"/>
      <c r="P2999" s="1362"/>
      <c r="Q2999" s="165" t="str">
        <f>EUconst_CNTR_WGExportEF &amp; I2731</f>
        <v>WasteGasExEF_</v>
      </c>
      <c r="R2999" s="343"/>
      <c r="S2999" s="773" t="str">
        <f>EUconst_CNTR_AttributedEmissions &amp; I2731</f>
        <v>AttrEmissions_</v>
      </c>
      <c r="T2999" s="111" t="str">
        <f t="shared" ref="T2999:Z2999" si="1365">IF(T2739,-SUM(H2998)*EUconst_NGEFvalue*EUconst_WasteGasCorrFactor,"")</f>
        <v/>
      </c>
      <c r="U2999" s="111" t="str">
        <f t="shared" si="1365"/>
        <v/>
      </c>
      <c r="V2999" s="111" t="str">
        <f t="shared" si="1365"/>
        <v/>
      </c>
      <c r="W2999" s="111" t="str">
        <f t="shared" si="1365"/>
        <v/>
      </c>
      <c r="X2999" s="111" t="str">
        <f t="shared" si="1365"/>
        <v/>
      </c>
      <c r="Y2999" s="111" t="str">
        <f t="shared" si="1365"/>
        <v/>
      </c>
      <c r="Z2999" s="112" t="str">
        <f t="shared" si="1365"/>
        <v/>
      </c>
      <c r="AA2999" s="343"/>
      <c r="AB2999" s="672" t="s">
        <v>782</v>
      </c>
      <c r="AC2999" s="108" t="b">
        <f t="shared" ref="AC2999:AI2999" si="1366">AC2946</f>
        <v>0</v>
      </c>
      <c r="AD2999" s="108" t="b">
        <f t="shared" si="1366"/>
        <v>0</v>
      </c>
      <c r="AE2999" s="108" t="b">
        <f t="shared" si="1366"/>
        <v>0</v>
      </c>
      <c r="AF2999" s="108" t="b">
        <f t="shared" si="1366"/>
        <v>0</v>
      </c>
      <c r="AG2999" s="108" t="b">
        <f t="shared" si="1366"/>
        <v>0</v>
      </c>
      <c r="AH2999" s="108" t="b">
        <f t="shared" si="1366"/>
        <v>0</v>
      </c>
      <c r="AI2999" s="108" t="b">
        <f t="shared" si="1366"/>
        <v>0</v>
      </c>
      <c r="AJ2999" s="553" t="s">
        <v>2248</v>
      </c>
      <c r="AK2999" s="663" t="str">
        <f>IF(AND(CNTR_ExistSubInstEntries,MSconst_RequireSubAttrEmissions,COUNTIFS(AC2999:AI2999,FALSE,H2999:N2999,"")&gt;0),EUconst_Error&amp;"BM"&amp;$Q2731,"")</f>
        <v/>
      </c>
      <c r="AL2999" s="2"/>
    </row>
    <row r="3000" spans="1:38" ht="12.75" customHeight="1" x14ac:dyDescent="0.25">
      <c r="A3000" s="2"/>
      <c r="B3000" s="178"/>
      <c r="C3000" s="779"/>
      <c r="D3000" s="780"/>
      <c r="E3000" s="780"/>
      <c r="F3000" s="780"/>
      <c r="G3000" s="780"/>
      <c r="H3000" s="780"/>
      <c r="I3000" s="1805"/>
      <c r="J3000" s="780"/>
      <c r="K3000" s="780"/>
      <c r="L3000" s="780"/>
      <c r="M3000" s="780"/>
      <c r="N3000" s="519"/>
      <c r="O3000" s="15"/>
      <c r="P3000" s="15"/>
      <c r="Q3000" s="343"/>
      <c r="R3000" s="2"/>
      <c r="S3000" s="343"/>
      <c r="T3000" s="2"/>
      <c r="U3000" s="2"/>
      <c r="V3000" s="2"/>
      <c r="W3000" s="2"/>
      <c r="X3000" s="2"/>
      <c r="Y3000" s="2"/>
      <c r="Z3000" s="2"/>
      <c r="AA3000" s="2"/>
      <c r="AB3000" s="2"/>
      <c r="AC3000" s="2"/>
      <c r="AD3000" s="2"/>
      <c r="AE3000" s="2"/>
      <c r="AF3000" s="2"/>
      <c r="AG3000" s="2"/>
      <c r="AH3000" s="2"/>
      <c r="AI3000" s="2"/>
      <c r="AJ3000" s="2"/>
      <c r="AK3000" s="2"/>
      <c r="AL3000" s="2"/>
    </row>
    <row r="3001" spans="1:38" ht="12.75" customHeight="1" x14ac:dyDescent="0.25">
      <c r="A3001" s="2"/>
      <c r="B3001" s="178"/>
      <c r="C3001" s="779"/>
      <c r="D3001" s="373" t="s">
        <v>527</v>
      </c>
      <c r="E3001" s="2614" t="str">
        <f>Translations!$B$268</f>
        <v>Elproduktion</v>
      </c>
      <c r="F3001" s="1960"/>
      <c r="G3001" s="1960"/>
      <c r="H3001" s="1960"/>
      <c r="I3001" s="1960"/>
      <c r="J3001" s="1960"/>
      <c r="K3001" s="1960"/>
      <c r="L3001" s="1960"/>
      <c r="M3001" s="1960"/>
      <c r="N3001" s="2597"/>
      <c r="O3001" s="15"/>
      <c r="P3001" s="15"/>
      <c r="Q3001" s="343"/>
      <c r="R3001" s="2"/>
      <c r="S3001" s="343"/>
      <c r="T3001" s="2"/>
      <c r="U3001" s="2"/>
      <c r="V3001" s="2"/>
      <c r="W3001" s="2"/>
      <c r="X3001" s="2"/>
      <c r="Y3001" s="2"/>
      <c r="Z3001" s="2"/>
      <c r="AA3001" s="2"/>
      <c r="AB3001" s="2"/>
      <c r="AC3001" s="2"/>
      <c r="AD3001" s="2"/>
      <c r="AE3001" s="2"/>
      <c r="AF3001" s="2"/>
      <c r="AG3001" s="2"/>
      <c r="AH3001" s="2"/>
      <c r="AI3001" s="2"/>
      <c r="AJ3001" s="2"/>
      <c r="AK3001" s="2"/>
      <c r="AL3001" s="2"/>
    </row>
    <row r="3002" spans="1:38" ht="12.75" customHeight="1" x14ac:dyDescent="0.25">
      <c r="A3002" s="2"/>
      <c r="B3002" s="178"/>
      <c r="C3002" s="779"/>
      <c r="D3002" s="416"/>
      <c r="E3002" s="2596" t="str">
        <f>Translations!$B$643</f>
        <v>De uppgifter som anges här påverkar de utsläpp som kan tillskrivas i enlighet med kapitel 10 i bilaga VII till FAR.</v>
      </c>
      <c r="F3002" s="1960"/>
      <c r="G3002" s="1960"/>
      <c r="H3002" s="1960"/>
      <c r="I3002" s="1960"/>
      <c r="J3002" s="1960"/>
      <c r="K3002" s="1960"/>
      <c r="L3002" s="1960"/>
      <c r="M3002" s="1960"/>
      <c r="N3002" s="2597"/>
      <c r="O3002" s="15"/>
      <c r="P3002" s="15"/>
      <c r="Q3002" s="343"/>
      <c r="R3002" s="2"/>
      <c r="S3002" s="343"/>
      <c r="T3002" s="343"/>
      <c r="U3002" s="343"/>
      <c r="V3002" s="343"/>
      <c r="W3002" s="2"/>
      <c r="X3002" s="2"/>
      <c r="Y3002" s="2"/>
      <c r="Z3002" s="2"/>
      <c r="AA3002" s="2"/>
      <c r="AB3002" s="2"/>
      <c r="AC3002" s="2"/>
      <c r="AD3002" s="2"/>
      <c r="AE3002" s="2"/>
      <c r="AF3002" s="2"/>
      <c r="AG3002" s="2"/>
      <c r="AH3002" s="2"/>
      <c r="AI3002" s="2"/>
      <c r="AJ3002" s="2"/>
      <c r="AK3002" s="2"/>
      <c r="AL3002" s="2"/>
    </row>
    <row r="3003" spans="1:38" ht="25.5" customHeight="1" thickBot="1" x14ac:dyDescent="0.3">
      <c r="A3003" s="2"/>
      <c r="B3003" s="178"/>
      <c r="C3003" s="779"/>
      <c r="D3003" s="780"/>
      <c r="E3003" s="2610" t="str">
        <f>Translations!$B$644</f>
        <v>Detta innefattar el som produceras direkt från delanläggningen i enlighet med avsnitt 3.1 (i) i bilaga IV till FAR. El som produceras via intermediär mätbar värme bör inte anges här utan som export av mätbar värme i punkt k.v ovan.</v>
      </c>
      <c r="F3003" s="1960"/>
      <c r="G3003" s="1960"/>
      <c r="H3003" s="1960"/>
      <c r="I3003" s="1960"/>
      <c r="J3003" s="1960"/>
      <c r="K3003" s="1960"/>
      <c r="L3003" s="1960"/>
      <c r="M3003" s="1960"/>
      <c r="N3003" s="2597"/>
      <c r="O3003" s="15"/>
      <c r="P3003" s="15"/>
      <c r="Q3003" s="343"/>
      <c r="R3003" s="2"/>
      <c r="S3003" s="343"/>
      <c r="T3003" s="2"/>
      <c r="U3003" s="2"/>
      <c r="V3003" s="2"/>
      <c r="W3003" s="2"/>
      <c r="X3003" s="2"/>
      <c r="Y3003" s="2"/>
      <c r="Z3003" s="2"/>
      <c r="AA3003" s="2"/>
      <c r="AB3003" s="2"/>
      <c r="AC3003" s="2"/>
      <c r="AD3003" s="2"/>
      <c r="AE3003" s="2"/>
      <c r="AF3003" s="2"/>
      <c r="AG3003" s="2"/>
      <c r="AH3003" s="2"/>
      <c r="AI3003" s="2"/>
      <c r="AJ3003" s="2"/>
      <c r="AK3003" s="2"/>
      <c r="AL3003" s="2"/>
    </row>
    <row r="3004" spans="1:38" ht="12.75" customHeight="1" thickBot="1" x14ac:dyDescent="0.3">
      <c r="A3004" s="2"/>
      <c r="B3004" s="178"/>
      <c r="C3004" s="779"/>
      <c r="D3004" s="373"/>
      <c r="E3004" s="1716"/>
      <c r="F3004" s="1717"/>
      <c r="G3004" s="361" t="str">
        <f>EUconst_Unit</f>
        <v>Enhet</v>
      </c>
      <c r="H3004" s="362">
        <f t="shared" ref="H3004:N3004" si="1367">H$3042</f>
        <v>2019</v>
      </c>
      <c r="I3004" s="1103">
        <f t="shared" si="1367"/>
        <v>2020</v>
      </c>
      <c r="J3004" s="1104">
        <f t="shared" si="1367"/>
        <v>2021</v>
      </c>
      <c r="K3004" s="362">
        <f t="shared" si="1367"/>
        <v>2022</v>
      </c>
      <c r="L3004" s="362">
        <f t="shared" si="1367"/>
        <v>2023</v>
      </c>
      <c r="M3004" s="362">
        <f t="shared" si="1367"/>
        <v>2024</v>
      </c>
      <c r="N3004" s="1141">
        <f t="shared" si="1367"/>
        <v>2025</v>
      </c>
      <c r="O3004" s="15"/>
      <c r="P3004" s="15"/>
      <c r="Q3004" s="343"/>
      <c r="R3004" s="2"/>
      <c r="S3004" s="772"/>
      <c r="T3004" s="609">
        <f t="shared" ref="T3004:Z3004" si="1368">H3004</f>
        <v>2019</v>
      </c>
      <c r="U3004" s="609">
        <f t="shared" si="1368"/>
        <v>2020</v>
      </c>
      <c r="V3004" s="609">
        <f t="shared" si="1368"/>
        <v>2021</v>
      </c>
      <c r="W3004" s="609">
        <f t="shared" si="1368"/>
        <v>2022</v>
      </c>
      <c r="X3004" s="609">
        <f t="shared" si="1368"/>
        <v>2023</v>
      </c>
      <c r="Y3004" s="609">
        <f t="shared" si="1368"/>
        <v>2024</v>
      </c>
      <c r="Z3004" s="610">
        <f t="shared" si="1368"/>
        <v>2025</v>
      </c>
      <c r="AA3004" s="2"/>
      <c r="AB3004" s="2"/>
      <c r="AC3004" s="1044">
        <f t="shared" ref="AC3004:AI3004" si="1369">H$20</f>
        <v>2019</v>
      </c>
      <c r="AD3004" s="1044">
        <f t="shared" si="1369"/>
        <v>2020</v>
      </c>
      <c r="AE3004" s="1044">
        <f t="shared" si="1369"/>
        <v>2021</v>
      </c>
      <c r="AF3004" s="1044">
        <f t="shared" si="1369"/>
        <v>2022</v>
      </c>
      <c r="AG3004" s="1044">
        <f t="shared" si="1369"/>
        <v>2023</v>
      </c>
      <c r="AH3004" s="1044">
        <f t="shared" si="1369"/>
        <v>2024</v>
      </c>
      <c r="AI3004" s="1044">
        <f t="shared" si="1369"/>
        <v>2025</v>
      </c>
      <c r="AJ3004" s="2"/>
      <c r="AK3004" s="2"/>
      <c r="AL3004" s="2"/>
    </row>
    <row r="3005" spans="1:38" ht="12.75" customHeight="1" thickBot="1" x14ac:dyDescent="0.3">
      <c r="A3005" s="2"/>
      <c r="B3005" s="178"/>
      <c r="C3005" s="779"/>
      <c r="D3005" s="416"/>
      <c r="E3005" s="2613" t="str">
        <f>Translations!$B$645</f>
        <v>Producerad el</v>
      </c>
      <c r="F3005" s="1997"/>
      <c r="G3005" s="364" t="str">
        <f>EUconst_MWhpa</f>
        <v>MWh / år</v>
      </c>
      <c r="H3005" s="582"/>
      <c r="I3005" s="1105"/>
      <c r="J3005" s="1115"/>
      <c r="K3005" s="582"/>
      <c r="L3005" s="582"/>
      <c r="M3005" s="582"/>
      <c r="N3005" s="1146"/>
      <c r="O3005" s="15"/>
      <c r="P3005" s="1362"/>
      <c r="Q3005" s="165" t="str">
        <f>EUconst_CNTR_ElectricityExported &amp; I2731</f>
        <v>ElecEx_</v>
      </c>
      <c r="R3005" s="2"/>
      <c r="S3005" s="773" t="str">
        <f>EUconst_CNTR_AttributedEmissions &amp; I2731</f>
        <v>AttrEmissions_</v>
      </c>
      <c r="T3005" s="111" t="str">
        <f t="shared" ref="T3005:Z3005" si="1370">IF(T2739,-SUM(H3005)*EUconst_ElBM,"")</f>
        <v/>
      </c>
      <c r="U3005" s="111" t="str">
        <f t="shared" si="1370"/>
        <v/>
      </c>
      <c r="V3005" s="111" t="str">
        <f t="shared" si="1370"/>
        <v/>
      </c>
      <c r="W3005" s="111" t="str">
        <f t="shared" si="1370"/>
        <v/>
      </c>
      <c r="X3005" s="111" t="str">
        <f t="shared" si="1370"/>
        <v/>
      </c>
      <c r="Y3005" s="111" t="str">
        <f t="shared" si="1370"/>
        <v/>
      </c>
      <c r="Z3005" s="112" t="str">
        <f t="shared" si="1370"/>
        <v/>
      </c>
      <c r="AA3005" s="2"/>
      <c r="AB3005" s="672" t="s">
        <v>782</v>
      </c>
      <c r="AC3005" s="108" t="b">
        <f>AC2801</f>
        <v>0</v>
      </c>
      <c r="AD3005" s="108" t="b">
        <f t="shared" ref="AD3005:AI3005" si="1371">AD2801</f>
        <v>0</v>
      </c>
      <c r="AE3005" s="108" t="b">
        <f t="shared" si="1371"/>
        <v>0</v>
      </c>
      <c r="AF3005" s="108" t="b">
        <f t="shared" si="1371"/>
        <v>0</v>
      </c>
      <c r="AG3005" s="108" t="b">
        <f t="shared" si="1371"/>
        <v>0</v>
      </c>
      <c r="AH3005" s="108" t="b">
        <f t="shared" si="1371"/>
        <v>0</v>
      </c>
      <c r="AI3005" s="108" t="b">
        <f t="shared" si="1371"/>
        <v>0</v>
      </c>
      <c r="AJ3005" s="553" t="s">
        <v>2248</v>
      </c>
      <c r="AK3005" s="663" t="str">
        <f>IF(AND(CNTR_ExistSubInstEntries,MSconst_RequireSubAttrEmissions,COUNTIFS(AC3005:AI3005,FALSE,H3005:N3005,"")&gt;0),EUconst_Error&amp;"BM"&amp;$Q2731,"")</f>
        <v/>
      </c>
      <c r="AL3005" s="2"/>
    </row>
    <row r="3006" spans="1:38" ht="12.75" customHeight="1" x14ac:dyDescent="0.25">
      <c r="A3006" s="2"/>
      <c r="B3006" s="178"/>
      <c r="C3006" s="779"/>
      <c r="D3006" s="780"/>
      <c r="E3006" s="780"/>
      <c r="F3006" s="780"/>
      <c r="G3006" s="780"/>
      <c r="H3006" s="780"/>
      <c r="I3006" s="1805"/>
      <c r="J3006" s="780"/>
      <c r="K3006" s="780"/>
      <c r="L3006" s="780"/>
      <c r="M3006" s="780"/>
      <c r="N3006" s="519"/>
      <c r="O3006" s="15"/>
      <c r="P3006" s="15"/>
      <c r="Q3006" s="343"/>
      <c r="R3006" s="2"/>
      <c r="S3006" s="343"/>
      <c r="T3006" s="2"/>
      <c r="U3006" s="2"/>
      <c r="V3006" s="343"/>
      <c r="W3006" s="2"/>
      <c r="X3006" s="2"/>
      <c r="Y3006" s="2"/>
      <c r="Z3006" s="2"/>
      <c r="AA3006" s="2"/>
      <c r="AB3006" s="2"/>
      <c r="AC3006" s="2"/>
      <c r="AD3006" s="2"/>
      <c r="AE3006" s="2"/>
      <c r="AF3006" s="2"/>
      <c r="AG3006" s="2"/>
      <c r="AH3006" s="2"/>
      <c r="AI3006" s="2"/>
      <c r="AJ3006" s="2"/>
      <c r="AK3006" s="2"/>
      <c r="AL3006" s="2"/>
    </row>
    <row r="3007" spans="1:38" ht="12.75" customHeight="1" x14ac:dyDescent="0.25">
      <c r="A3007" s="2"/>
      <c r="B3007" s="178"/>
      <c r="C3007" s="779"/>
      <c r="D3007" s="373" t="s">
        <v>271</v>
      </c>
      <c r="E3007" s="2614" t="str">
        <f>Translations!$B$646</f>
        <v>Total producerad massamängd</v>
      </c>
      <c r="F3007" s="1960"/>
      <c r="G3007" s="1960"/>
      <c r="H3007" s="1960"/>
      <c r="I3007" s="1960"/>
      <c r="J3007" s="1960"/>
      <c r="K3007" s="1960"/>
      <c r="L3007" s="1960"/>
      <c r="M3007" s="1960"/>
      <c r="N3007" s="2597"/>
      <c r="O3007" s="15"/>
      <c r="P3007" s="15"/>
      <c r="Q3007" s="2"/>
      <c r="R3007" s="2"/>
      <c r="S3007" s="2"/>
      <c r="T3007" s="2"/>
      <c r="U3007" s="2"/>
      <c r="V3007" s="343"/>
      <c r="W3007" s="2"/>
      <c r="X3007" s="2"/>
      <c r="Y3007" s="2"/>
      <c r="Z3007" s="2"/>
      <c r="AA3007" s="2"/>
      <c r="AB3007" s="2"/>
      <c r="AC3007" s="2"/>
      <c r="AD3007" s="2"/>
      <c r="AE3007" s="2"/>
      <c r="AF3007" s="2"/>
      <c r="AG3007" s="2"/>
      <c r="AH3007" s="2"/>
      <c r="AI3007" s="2"/>
      <c r="AJ3007" s="2"/>
      <c r="AK3007" s="2"/>
      <c r="AL3007" s="2"/>
    </row>
    <row r="3008" spans="1:38" ht="25.5" customHeight="1" x14ac:dyDescent="0.25">
      <c r="A3008" s="2"/>
      <c r="B3008" s="178"/>
      <c r="C3008" s="779"/>
      <c r="D3008" s="780"/>
      <c r="E3008" s="2610" t="str">
        <f>Translations!$B$647</f>
        <v>Enligt avsnitt 2.7 k i bilaga IV till FAR ska det lämnas uppgift om den totala mängden massa som produceras för delanläggningar med produktriktmärke för kortfibrig sulfatmassa, långfibrig sulfatmassa, termomekanisk massa och mekanisk massa samt sulfitmassa.</v>
      </c>
      <c r="F3008" s="1960"/>
      <c r="G3008" s="1960"/>
      <c r="H3008" s="1960"/>
      <c r="I3008" s="1960"/>
      <c r="J3008" s="1960"/>
      <c r="K3008" s="1960"/>
      <c r="L3008" s="1960"/>
      <c r="M3008" s="1960"/>
      <c r="N3008" s="2597"/>
      <c r="O3008" s="15"/>
      <c r="P3008" s="15"/>
      <c r="Q3008" s="343"/>
      <c r="R3008" s="2"/>
      <c r="S3008" s="343"/>
      <c r="T3008" s="2"/>
      <c r="U3008" s="2"/>
      <c r="V3008" s="343"/>
      <c r="W3008" s="2"/>
      <c r="X3008" s="2"/>
      <c r="Y3008" s="2"/>
      <c r="Z3008" s="2"/>
      <c r="AA3008" s="2"/>
      <c r="AB3008" s="2"/>
      <c r="AC3008" s="2"/>
      <c r="AD3008" s="2"/>
      <c r="AE3008" s="2"/>
      <c r="AF3008" s="2"/>
      <c r="AG3008" s="2"/>
      <c r="AH3008" s="2"/>
      <c r="AI3008" s="2"/>
      <c r="AJ3008" s="2"/>
      <c r="AK3008" s="2"/>
      <c r="AL3008" s="2"/>
    </row>
    <row r="3009" spans="1:38" ht="12.75" customHeight="1" x14ac:dyDescent="0.25">
      <c r="A3009" s="2"/>
      <c r="B3009" s="178"/>
      <c r="C3009" s="779"/>
      <c r="D3009" s="780"/>
      <c r="E3009" s="2610" t="str">
        <f>Translations!$B$648</f>
        <v>Avsnittet kommer att gråmarkeras om det inte rör sig om någon massaproducerande delanläggning av dessa slag. Var god gå vidare till nedanstående punkter, i sådana fall.</v>
      </c>
      <c r="F3009" s="1960"/>
      <c r="G3009" s="1960"/>
      <c r="H3009" s="1960"/>
      <c r="I3009" s="1960"/>
      <c r="J3009" s="1960"/>
      <c r="K3009" s="1960"/>
      <c r="L3009" s="1960"/>
      <c r="M3009" s="1960"/>
      <c r="N3009" s="2597"/>
      <c r="O3009" s="15"/>
      <c r="P3009" s="15"/>
      <c r="Q3009" s="343"/>
      <c r="R3009" s="2"/>
      <c r="S3009" s="343"/>
      <c r="T3009" s="2"/>
      <c r="U3009" s="2"/>
      <c r="V3009" s="343"/>
      <c r="W3009" s="2"/>
      <c r="X3009" s="2"/>
      <c r="Y3009" s="2"/>
      <c r="Z3009" s="2"/>
      <c r="AA3009" s="2"/>
      <c r="AB3009" s="2"/>
      <c r="AC3009" s="2"/>
      <c r="AD3009" s="2"/>
      <c r="AE3009" s="2"/>
      <c r="AF3009" s="2"/>
      <c r="AG3009" s="2"/>
      <c r="AH3009" s="2"/>
      <c r="AI3009" s="2"/>
      <c r="AJ3009" s="2"/>
      <c r="AK3009" s="2"/>
      <c r="AL3009" s="2"/>
    </row>
    <row r="3010" spans="1:38" ht="12.75" customHeight="1" thickBot="1" x14ac:dyDescent="0.3">
      <c r="A3010" s="2"/>
      <c r="B3010" s="178"/>
      <c r="C3010" s="779"/>
      <c r="D3010" s="416"/>
      <c r="E3010" s="2615" t="str">
        <f>Translations!$B$649</f>
        <v>De uppgifter som anges här är relevanta för uppdateringen av det särskilda riktmärket för massa.</v>
      </c>
      <c r="F3010" s="2497"/>
      <c r="G3010" s="2497"/>
      <c r="H3010" s="2497"/>
      <c r="I3010" s="2497"/>
      <c r="J3010" s="2497"/>
      <c r="K3010" s="2497"/>
      <c r="L3010" s="2497"/>
      <c r="M3010" s="2497"/>
      <c r="N3010" s="2616"/>
      <c r="O3010" s="15"/>
      <c r="P3010" s="15"/>
      <c r="Q3010" s="343"/>
      <c r="R3010" s="2"/>
      <c r="S3010" s="343"/>
      <c r="T3010" s="2"/>
      <c r="U3010" s="2"/>
      <c r="V3010" s="343"/>
      <c r="W3010" s="2"/>
      <c r="X3010" s="2"/>
      <c r="Y3010" s="2"/>
      <c r="Z3010" s="2"/>
      <c r="AA3010" s="2"/>
      <c r="AB3010" s="2"/>
      <c r="AC3010" s="1044">
        <f t="shared" ref="AC3010:AI3010" si="1372">H$20</f>
        <v>2019</v>
      </c>
      <c r="AD3010" s="1044">
        <f t="shared" si="1372"/>
        <v>2020</v>
      </c>
      <c r="AE3010" s="1044">
        <f t="shared" si="1372"/>
        <v>2021</v>
      </c>
      <c r="AF3010" s="1044">
        <f t="shared" si="1372"/>
        <v>2022</v>
      </c>
      <c r="AG3010" s="1044">
        <f t="shared" si="1372"/>
        <v>2023</v>
      </c>
      <c r="AH3010" s="1044">
        <f t="shared" si="1372"/>
        <v>2024</v>
      </c>
      <c r="AI3010" s="1044">
        <f t="shared" si="1372"/>
        <v>2025</v>
      </c>
      <c r="AJ3010" s="2"/>
      <c r="AK3010" s="2"/>
      <c r="AL3010" s="2"/>
    </row>
    <row r="3011" spans="1:38" ht="12.75" customHeight="1" x14ac:dyDescent="0.25">
      <c r="A3011" s="2"/>
      <c r="B3011" s="178"/>
      <c r="C3011" s="779"/>
      <c r="D3011" s="416"/>
      <c r="E3011" s="2617" t="str">
        <f>IF(I2731="","",IF(INDEX(EUconst_BMlistPulp,MATCH(I2731,EUconst_BMlistNames,0)),I2731,""))</f>
        <v/>
      </c>
      <c r="F3011" s="1997"/>
      <c r="G3011" s="364" t="str">
        <f>EUconst_Tons</f>
        <v>ton</v>
      </c>
      <c r="H3011" s="582"/>
      <c r="I3011" s="1105"/>
      <c r="J3011" s="1115"/>
      <c r="K3011" s="582"/>
      <c r="L3011" s="582"/>
      <c r="M3011" s="582"/>
      <c r="N3011" s="1146"/>
      <c r="O3011" s="15"/>
      <c r="P3011" s="1362"/>
      <c r="Q3011" s="165" t="str">
        <f>EUconst_CNTR_HALPulpTotal &amp; I2731</f>
        <v>HALPulpTotal_</v>
      </c>
      <c r="R3011" s="2"/>
      <c r="S3011" s="343"/>
      <c r="T3011" s="2"/>
      <c r="U3011" s="2"/>
      <c r="V3011" s="2"/>
      <c r="W3011" s="2"/>
      <c r="X3011" s="2"/>
      <c r="Y3011" s="2"/>
      <c r="Z3011" s="2"/>
      <c r="AA3011" s="2"/>
      <c r="AB3011" s="672" t="s">
        <v>782</v>
      </c>
      <c r="AC3011" s="1196" t="b">
        <f t="shared" ref="AC3011:AI3011" si="1373">IF($I2731&lt;&gt;"",IF(INDEX(EUconst_BMlistPulp,MATCH($I2731,EUconst_BMlistNames,0))=TRUE,FALSE,TRUE),AC2801)</f>
        <v>0</v>
      </c>
      <c r="AD3011" s="108" t="b">
        <f t="shared" si="1373"/>
        <v>0</v>
      </c>
      <c r="AE3011" s="108" t="b">
        <f t="shared" si="1373"/>
        <v>0</v>
      </c>
      <c r="AF3011" s="108" t="b">
        <f t="shared" si="1373"/>
        <v>0</v>
      </c>
      <c r="AG3011" s="108" t="b">
        <f t="shared" si="1373"/>
        <v>0</v>
      </c>
      <c r="AH3011" s="108" t="b">
        <f t="shared" si="1373"/>
        <v>0</v>
      </c>
      <c r="AI3011" s="108" t="b">
        <f t="shared" si="1373"/>
        <v>0</v>
      </c>
      <c r="AJ3011" s="553" t="s">
        <v>2248</v>
      </c>
      <c r="AK3011" s="663" t="str">
        <f>IF(AND(CNTR_ExistSubInstEntries,MSconst_RequireSubAttrEmissions,COUNTIFS(AC3011:AI3011,FALSE,H3011:N3011,"")&gt;0),EUconst_Error&amp;"BM"&amp;$Q2731,"")</f>
        <v/>
      </c>
      <c r="AL3011" s="2"/>
    </row>
    <row r="3012" spans="1:38" ht="12.75" customHeight="1" x14ac:dyDescent="0.25">
      <c r="A3012" s="2"/>
      <c r="B3012" s="178"/>
      <c r="C3012" s="779"/>
      <c r="D3012" s="416"/>
      <c r="E3012" s="416"/>
      <c r="F3012" s="416"/>
      <c r="G3012" s="416"/>
      <c r="H3012" s="1805"/>
      <c r="I3012" s="416"/>
      <c r="J3012" s="416"/>
      <c r="K3012" s="416"/>
      <c r="L3012" s="416"/>
      <c r="M3012" s="416"/>
      <c r="N3012" s="1810"/>
      <c r="O3012" s="15"/>
      <c r="P3012" s="15"/>
      <c r="Q3012" s="343"/>
      <c r="R3012" s="2"/>
      <c r="S3012" s="343"/>
      <c r="T3012" s="2"/>
      <c r="U3012" s="2"/>
      <c r="V3012" s="343"/>
      <c r="W3012" s="2"/>
      <c r="X3012" s="2"/>
      <c r="Y3012" s="2"/>
      <c r="Z3012" s="2"/>
      <c r="AA3012" s="2"/>
      <c r="AB3012" s="2"/>
      <c r="AC3012" s="2"/>
      <c r="AD3012" s="2"/>
      <c r="AE3012" s="2"/>
      <c r="AF3012" s="2"/>
      <c r="AG3012" s="2"/>
      <c r="AH3012" s="2"/>
      <c r="AI3012" s="2"/>
      <c r="AJ3012" s="2"/>
      <c r="AK3012" s="2"/>
      <c r="AL3012" s="2"/>
    </row>
    <row r="3013" spans="1:38" ht="12.75" customHeight="1" x14ac:dyDescent="0.25">
      <c r="A3013" s="2"/>
      <c r="B3013" s="178"/>
      <c r="C3013" s="779"/>
      <c r="D3013" s="373" t="s">
        <v>906</v>
      </c>
      <c r="E3013" s="2614" t="str">
        <f>Translations!$B$650</f>
        <v>Import eller export av mellanprodukter som omfattas av produktriktmärken</v>
      </c>
      <c r="F3013" s="1960"/>
      <c r="G3013" s="1960"/>
      <c r="H3013" s="1960"/>
      <c r="I3013" s="1960"/>
      <c r="J3013" s="1960"/>
      <c r="K3013" s="1960"/>
      <c r="L3013" s="1960"/>
      <c r="M3013" s="1960"/>
      <c r="N3013" s="2597"/>
      <c r="O3013" s="15"/>
      <c r="P3013" s="15"/>
      <c r="Q3013" s="343"/>
      <c r="R3013" s="2"/>
      <c r="S3013" s="343"/>
      <c r="T3013" s="2"/>
      <c r="U3013" s="2"/>
      <c r="V3013" s="343"/>
      <c r="W3013" s="2"/>
      <c r="X3013" s="2"/>
      <c r="Y3013" s="2"/>
      <c r="Z3013" s="2"/>
      <c r="AA3013" s="2"/>
      <c r="AB3013" s="2"/>
      <c r="AC3013" s="2"/>
      <c r="AD3013" s="2"/>
      <c r="AE3013" s="2"/>
      <c r="AF3013" s="2"/>
      <c r="AG3013" s="2"/>
      <c r="AH3013" s="2"/>
      <c r="AI3013" s="2"/>
      <c r="AJ3013" s="2"/>
      <c r="AK3013" s="2"/>
      <c r="AL3013" s="2"/>
    </row>
    <row r="3014" spans="1:38" ht="25.5" customHeight="1" x14ac:dyDescent="0.25">
      <c r="A3014" s="2"/>
      <c r="B3014" s="178"/>
      <c r="C3014" s="779"/>
      <c r="D3014" s="780"/>
      <c r="E3014" s="2610" t="str">
        <f>Translations!$B$651</f>
        <v>För att undvika eventuell dubbelräkning eller luckor i tilldelade utsläpp vid fastställandet av de uppdaterade riktmärkena ska man enligt avsnitt 2.7 d i bilaga IV till FAR ange eventuell import eller export av mellanprodukter som omfattas av något av produktriktmärkena i bilaga I till FAR.</v>
      </c>
      <c r="F3014" s="1960"/>
      <c r="G3014" s="1960"/>
      <c r="H3014" s="1960"/>
      <c r="I3014" s="1960"/>
      <c r="J3014" s="1960"/>
      <c r="K3014" s="1960"/>
      <c r="L3014" s="1960"/>
      <c r="M3014" s="1960"/>
      <c r="N3014" s="2597"/>
      <c r="O3014" s="15"/>
      <c r="P3014" s="15"/>
      <c r="Q3014" s="343"/>
      <c r="R3014" s="2"/>
      <c r="S3014" s="343"/>
      <c r="T3014" s="2"/>
      <c r="U3014" s="2"/>
      <c r="V3014" s="343"/>
      <c r="W3014" s="2"/>
      <c r="X3014" s="2"/>
      <c r="Y3014" s="2"/>
      <c r="Z3014" s="2"/>
      <c r="AA3014" s="2"/>
      <c r="AB3014" s="2"/>
      <c r="AC3014" s="2"/>
      <c r="AD3014" s="2"/>
      <c r="AE3014" s="2"/>
      <c r="AF3014" s="2"/>
      <c r="AG3014" s="2"/>
      <c r="AH3014" s="2"/>
      <c r="AI3014" s="2"/>
      <c r="AJ3014" s="2"/>
      <c r="AK3014" s="2"/>
      <c r="AL3014" s="2"/>
    </row>
    <row r="3015" spans="1:38" ht="12.75" customHeight="1" x14ac:dyDescent="0.25">
      <c r="A3015" s="2"/>
      <c r="B3015" s="178"/>
      <c r="C3015" s="779"/>
      <c r="D3015" s="780"/>
      <c r="E3015" s="2596" t="str">
        <f>Translations!$B$652</f>
        <v>De uppgifter som anges här kan påverka uppdateringen av det särskilda riktmärket.</v>
      </c>
      <c r="F3015" s="1960"/>
      <c r="G3015" s="1960"/>
      <c r="H3015" s="1960"/>
      <c r="I3015" s="1960"/>
      <c r="J3015" s="1960"/>
      <c r="K3015" s="1960"/>
      <c r="L3015" s="1960"/>
      <c r="M3015" s="1960"/>
      <c r="N3015" s="2597"/>
      <c r="O3015" s="15"/>
      <c r="P3015" s="15"/>
      <c r="Q3015" s="343"/>
      <c r="R3015" s="2"/>
      <c r="S3015" s="343"/>
      <c r="T3015" s="2"/>
      <c r="U3015" s="2"/>
      <c r="V3015" s="343"/>
      <c r="W3015" s="2"/>
      <c r="X3015" s="2"/>
      <c r="Y3015" s="2"/>
      <c r="Z3015" s="2"/>
      <c r="AA3015" s="2"/>
      <c r="AB3015" s="2"/>
      <c r="AC3015" s="2"/>
      <c r="AD3015" s="2"/>
      <c r="AE3015" s="2"/>
      <c r="AF3015" s="2"/>
      <c r="AG3015" s="2"/>
      <c r="AH3015" s="2"/>
      <c r="AI3015" s="2"/>
      <c r="AJ3015" s="2"/>
      <c r="AK3015" s="2"/>
      <c r="AL3015" s="2"/>
    </row>
    <row r="3016" spans="1:38" ht="12.75" customHeight="1" x14ac:dyDescent="0.25">
      <c r="A3016" s="2"/>
      <c r="B3016" s="19"/>
      <c r="C3016" s="779"/>
      <c r="D3016" s="416" t="s">
        <v>8</v>
      </c>
      <c r="E3016" s="2598" t="str">
        <f>Translations!$B$653</f>
        <v>Förekommer import eller export av mellanprodukter som omfattas av produktriktmärken?</v>
      </c>
      <c r="F3016" s="1960"/>
      <c r="G3016" s="1960"/>
      <c r="H3016" s="1960"/>
      <c r="I3016" s="1960"/>
      <c r="J3016" s="1960"/>
      <c r="K3016" s="2520"/>
      <c r="L3016" s="749"/>
      <c r="M3016" s="360"/>
      <c r="N3016" s="535"/>
      <c r="O3016" s="15"/>
      <c r="P3016" s="1362"/>
      <c r="Q3016" s="2"/>
      <c r="R3016" s="2"/>
      <c r="S3016" s="2"/>
      <c r="T3016" s="2"/>
      <c r="U3016" s="2"/>
      <c r="V3016" s="2"/>
      <c r="W3016" s="2"/>
      <c r="X3016" s="2"/>
      <c r="Y3016" s="2"/>
      <c r="Z3016" s="2"/>
      <c r="AA3016" s="2"/>
      <c r="AB3016" s="2"/>
      <c r="AC3016" s="2"/>
      <c r="AD3016" s="2"/>
      <c r="AE3016" s="2"/>
      <c r="AF3016" s="672" t="s">
        <v>782</v>
      </c>
      <c r="AG3016" s="1196" t="b">
        <f>AND(CNTR_ExistSubInstEntries,I2731="")</f>
        <v>0</v>
      </c>
      <c r="AH3016" s="2"/>
      <c r="AI3016" s="2"/>
      <c r="AJ3016" s="2"/>
      <c r="AK3016" s="2"/>
      <c r="AL3016" s="2"/>
    </row>
    <row r="3017" spans="1:38" ht="5.15" customHeight="1" x14ac:dyDescent="0.25">
      <c r="A3017" s="2"/>
      <c r="B3017" s="178"/>
      <c r="C3017" s="779"/>
      <c r="D3017" s="416"/>
      <c r="E3017" s="416"/>
      <c r="F3017" s="416"/>
      <c r="G3017" s="416"/>
      <c r="H3017" s="1805"/>
      <c r="I3017" s="416"/>
      <c r="J3017" s="416"/>
      <c r="K3017" s="416"/>
      <c r="L3017" s="416"/>
      <c r="M3017" s="416"/>
      <c r="N3017" s="1810"/>
      <c r="O3017" s="15"/>
      <c r="P3017" s="15"/>
      <c r="Q3017" s="343"/>
      <c r="R3017" s="2"/>
      <c r="S3017" s="343"/>
      <c r="T3017" s="2"/>
      <c r="U3017" s="2"/>
      <c r="V3017" s="343"/>
      <c r="W3017" s="2"/>
      <c r="X3017" s="2"/>
      <c r="Y3017" s="2"/>
      <c r="Z3017" s="2"/>
      <c r="AA3017" s="2"/>
      <c r="AB3017" s="2"/>
      <c r="AC3017" s="2"/>
      <c r="AD3017" s="2"/>
      <c r="AE3017" s="2"/>
      <c r="AF3017" s="2"/>
      <c r="AG3017" s="2"/>
      <c r="AH3017" s="2"/>
      <c r="AI3017" s="2"/>
      <c r="AJ3017" s="2"/>
      <c r="AK3017" s="2"/>
      <c r="AL3017" s="2"/>
    </row>
    <row r="3018" spans="1:38" ht="12.75" customHeight="1" thickBot="1" x14ac:dyDescent="0.3">
      <c r="A3018" s="2"/>
      <c r="B3018" s="178"/>
      <c r="C3018" s="779"/>
      <c r="D3018" s="373"/>
      <c r="E3018" s="2605" t="str">
        <f>Translations!$B$654</f>
        <v>Importerade mängder:</v>
      </c>
      <c r="F3018" s="2497"/>
      <c r="G3018" s="415" t="str">
        <f>EUconst_Unit</f>
        <v>Enhet</v>
      </c>
      <c r="H3018" s="362">
        <f t="shared" ref="H3018:N3018" si="1374">H$3042</f>
        <v>2019</v>
      </c>
      <c r="I3018" s="1103">
        <f t="shared" si="1374"/>
        <v>2020</v>
      </c>
      <c r="J3018" s="1104">
        <f t="shared" si="1374"/>
        <v>2021</v>
      </c>
      <c r="K3018" s="362">
        <f t="shared" si="1374"/>
        <v>2022</v>
      </c>
      <c r="L3018" s="362">
        <f t="shared" si="1374"/>
        <v>2023</v>
      </c>
      <c r="M3018" s="362">
        <f t="shared" si="1374"/>
        <v>2024</v>
      </c>
      <c r="N3018" s="1141">
        <f t="shared" si="1374"/>
        <v>2025</v>
      </c>
      <c r="O3018" s="15"/>
      <c r="P3018" s="15"/>
      <c r="Q3018" s="343"/>
      <c r="R3018" s="2"/>
      <c r="S3018" s="343"/>
      <c r="T3018" s="2"/>
      <c r="U3018" s="2"/>
      <c r="V3018" s="343"/>
      <c r="W3018" s="2"/>
      <c r="X3018" s="2"/>
      <c r="Y3018" s="2"/>
      <c r="Z3018" s="2"/>
      <c r="AA3018" s="2"/>
      <c r="AB3018" s="2"/>
      <c r="AC3018" s="1044">
        <f t="shared" ref="AC3018:AI3018" si="1375">H$20</f>
        <v>2019</v>
      </c>
      <c r="AD3018" s="1044">
        <f t="shared" si="1375"/>
        <v>2020</v>
      </c>
      <c r="AE3018" s="1044">
        <f t="shared" si="1375"/>
        <v>2021</v>
      </c>
      <c r="AF3018" s="1044">
        <f t="shared" si="1375"/>
        <v>2022</v>
      </c>
      <c r="AG3018" s="1044">
        <f t="shared" si="1375"/>
        <v>2023</v>
      </c>
      <c r="AH3018" s="1044">
        <f t="shared" si="1375"/>
        <v>2024</v>
      </c>
      <c r="AI3018" s="1044">
        <f t="shared" si="1375"/>
        <v>2025</v>
      </c>
      <c r="AJ3018" s="2"/>
      <c r="AK3018" s="2"/>
      <c r="AL3018" s="2"/>
    </row>
    <row r="3019" spans="1:38" ht="12.75" customHeight="1" x14ac:dyDescent="0.25">
      <c r="A3019" s="2"/>
      <c r="B3019" s="178"/>
      <c r="C3019" s="779"/>
      <c r="D3019" s="416" t="s">
        <v>9</v>
      </c>
      <c r="E3019" s="2606"/>
      <c r="F3019" s="2607"/>
      <c r="G3019" s="59" t="str">
        <f>IF(E3019&lt;&gt;"",INDEX(EUconst_BMlistUnits,MATCH(E3019,EUconst_BMlistNames,0)),EUconst_Tons)</f>
        <v>ton</v>
      </c>
      <c r="H3019" s="1319"/>
      <c r="I3019" s="1320"/>
      <c r="J3019" s="1321"/>
      <c r="K3019" s="1319"/>
      <c r="L3019" s="1319"/>
      <c r="M3019" s="1319"/>
      <c r="N3019" s="1322"/>
      <c r="O3019" s="15"/>
      <c r="P3019" s="1362"/>
      <c r="Q3019" s="165" t="str">
        <f>EUconst_CNTR_IntermediateImport &amp; S3019 &amp; "_" &amp; I2731</f>
        <v>IntImp_1_</v>
      </c>
      <c r="R3019" s="2"/>
      <c r="S3019" s="165">
        <v>1</v>
      </c>
      <c r="T3019" s="2"/>
      <c r="U3019" s="2"/>
      <c r="V3019" s="343"/>
      <c r="W3019" s="2"/>
      <c r="X3019" s="2"/>
      <c r="Y3019" s="2"/>
      <c r="Z3019" s="2"/>
      <c r="AA3019" s="2"/>
      <c r="AB3019" s="672" t="s">
        <v>782</v>
      </c>
      <c r="AC3019" s="1196" t="b">
        <f>OR(AND($L3016&lt;&gt;"",$L3016=FALSE),AC2801)</f>
        <v>0</v>
      </c>
      <c r="AD3019" s="108" t="b">
        <f t="shared" ref="AD3019:AI3019" si="1376">OR(AND($L3016&lt;&gt;"",$L3016=FALSE),AD2801)</f>
        <v>0</v>
      </c>
      <c r="AE3019" s="108" t="b">
        <f t="shared" si="1376"/>
        <v>0</v>
      </c>
      <c r="AF3019" s="108" t="b">
        <f t="shared" si="1376"/>
        <v>0</v>
      </c>
      <c r="AG3019" s="108" t="b">
        <f t="shared" si="1376"/>
        <v>0</v>
      </c>
      <c r="AH3019" s="108" t="b">
        <f t="shared" si="1376"/>
        <v>0</v>
      </c>
      <c r="AI3019" s="108" t="b">
        <f t="shared" si="1376"/>
        <v>0</v>
      </c>
      <c r="AJ3019" s="553" t="s">
        <v>2248</v>
      </c>
      <c r="AK3019" s="663" t="str">
        <f>IF(AND(CNTR_ExistSubInstEntries,MSconst_RequireSubAttrEmissions,COUNTIFS(AC3019:AI3019,FALSE,H3019:N3019,"")&gt;0),EUconst_Error&amp;"BM"&amp;$Q2731,"")</f>
        <v/>
      </c>
      <c r="AL3019" s="2"/>
    </row>
    <row r="3020" spans="1:38" ht="12.75" customHeight="1" x14ac:dyDescent="0.25">
      <c r="A3020" s="2"/>
      <c r="B3020" s="178"/>
      <c r="C3020" s="779"/>
      <c r="D3020" s="416" t="s">
        <v>10</v>
      </c>
      <c r="E3020" s="2608"/>
      <c r="F3020" s="2609"/>
      <c r="G3020" s="51" t="str">
        <f>IF(E3020&lt;&gt;"",INDEX(EUconst_BMlistUnits,MATCH(E3020,EUconst_BMlistNames,0)),EUconst_Tons)</f>
        <v>ton</v>
      </c>
      <c r="H3020" s="1323"/>
      <c r="I3020" s="1324"/>
      <c r="J3020" s="1325"/>
      <c r="K3020" s="1323"/>
      <c r="L3020" s="1323"/>
      <c r="M3020" s="1323"/>
      <c r="N3020" s="1326"/>
      <c r="O3020" s="15"/>
      <c r="P3020" s="1362"/>
      <c r="Q3020" s="165" t="str">
        <f>EUconst_CNTR_IntermediateImport &amp; S3020 &amp; "_" &amp; I2731</f>
        <v>IntImp_2_</v>
      </c>
      <c r="R3020" s="2"/>
      <c r="S3020" s="165">
        <v>2</v>
      </c>
      <c r="T3020" s="2"/>
      <c r="U3020" s="2"/>
      <c r="V3020" s="343"/>
      <c r="W3020" s="2"/>
      <c r="X3020" s="2"/>
      <c r="Y3020" s="2"/>
      <c r="Z3020" s="2"/>
      <c r="AA3020" s="2"/>
      <c r="AB3020" s="2"/>
      <c r="AC3020" s="108" t="b">
        <f>AC3019</f>
        <v>0</v>
      </c>
      <c r="AD3020" s="108" t="b">
        <f t="shared" ref="AD3020:AI3020" si="1377">AD3019</f>
        <v>0</v>
      </c>
      <c r="AE3020" s="108" t="b">
        <f t="shared" si="1377"/>
        <v>0</v>
      </c>
      <c r="AF3020" s="108" t="b">
        <f t="shared" si="1377"/>
        <v>0</v>
      </c>
      <c r="AG3020" s="108" t="b">
        <f t="shared" si="1377"/>
        <v>0</v>
      </c>
      <c r="AH3020" s="108" t="b">
        <f t="shared" si="1377"/>
        <v>0</v>
      </c>
      <c r="AI3020" s="108" t="b">
        <f t="shared" si="1377"/>
        <v>0</v>
      </c>
      <c r="AJ3020" s="2"/>
      <c r="AK3020" s="2"/>
      <c r="AL3020" s="2"/>
    </row>
    <row r="3021" spans="1:38" ht="5.15" customHeight="1" x14ac:dyDescent="0.25">
      <c r="A3021" s="2"/>
      <c r="B3021" s="178"/>
      <c r="C3021" s="779"/>
      <c r="D3021" s="416"/>
      <c r="E3021" s="416"/>
      <c r="F3021" s="416"/>
      <c r="G3021" s="416"/>
      <c r="H3021" s="416"/>
      <c r="I3021" s="416"/>
      <c r="J3021" s="416"/>
      <c r="K3021" s="416"/>
      <c r="L3021" s="416"/>
      <c r="M3021" s="416"/>
      <c r="N3021" s="1149"/>
      <c r="O3021" s="15"/>
      <c r="P3021" s="15"/>
      <c r="Q3021" s="343"/>
      <c r="R3021" s="2"/>
      <c r="S3021" s="343"/>
      <c r="T3021" s="2"/>
      <c r="U3021" s="2"/>
      <c r="V3021" s="343"/>
      <c r="W3021" s="2"/>
      <c r="X3021" s="2"/>
      <c r="Y3021" s="2"/>
      <c r="Z3021" s="2"/>
      <c r="AA3021" s="2"/>
      <c r="AB3021" s="2"/>
      <c r="AC3021" s="2"/>
      <c r="AD3021" s="2"/>
      <c r="AE3021" s="2"/>
      <c r="AF3021" s="2"/>
      <c r="AG3021" s="2"/>
      <c r="AH3021" s="2"/>
      <c r="AI3021" s="2"/>
      <c r="AJ3021" s="2"/>
      <c r="AK3021" s="2"/>
      <c r="AL3021" s="2"/>
    </row>
    <row r="3022" spans="1:38" ht="12.75" customHeight="1" thickBot="1" x14ac:dyDescent="0.3">
      <c r="A3022" s="2"/>
      <c r="B3022" s="178"/>
      <c r="C3022" s="779"/>
      <c r="D3022" s="373"/>
      <c r="E3022" s="2605" t="str">
        <f>Translations!$B$655</f>
        <v>Exporterade mängder:</v>
      </c>
      <c r="F3022" s="2497"/>
      <c r="G3022" s="415" t="str">
        <f>EUconst_Unit</f>
        <v>Enhet</v>
      </c>
      <c r="H3022" s="362">
        <f t="shared" ref="H3022:N3022" si="1378">H$3042</f>
        <v>2019</v>
      </c>
      <c r="I3022" s="1103">
        <f t="shared" si="1378"/>
        <v>2020</v>
      </c>
      <c r="J3022" s="1104">
        <f t="shared" si="1378"/>
        <v>2021</v>
      </c>
      <c r="K3022" s="362">
        <f t="shared" si="1378"/>
        <v>2022</v>
      </c>
      <c r="L3022" s="362">
        <f t="shared" si="1378"/>
        <v>2023</v>
      </c>
      <c r="M3022" s="362">
        <f t="shared" si="1378"/>
        <v>2024</v>
      </c>
      <c r="N3022" s="1141">
        <f t="shared" si="1378"/>
        <v>2025</v>
      </c>
      <c r="O3022" s="15"/>
      <c r="P3022" s="15"/>
      <c r="Q3022" s="343"/>
      <c r="R3022" s="2"/>
      <c r="S3022" s="343"/>
      <c r="T3022" s="2"/>
      <c r="U3022" s="2"/>
      <c r="V3022" s="343"/>
      <c r="W3022" s="2"/>
      <c r="X3022" s="2"/>
      <c r="Y3022" s="2"/>
      <c r="Z3022" s="2"/>
      <c r="AA3022" s="2"/>
      <c r="AB3022" s="2"/>
      <c r="AC3022" s="1044">
        <f t="shared" ref="AC3022:AI3022" si="1379">H$20</f>
        <v>2019</v>
      </c>
      <c r="AD3022" s="1044">
        <f t="shared" si="1379"/>
        <v>2020</v>
      </c>
      <c r="AE3022" s="1044">
        <f t="shared" si="1379"/>
        <v>2021</v>
      </c>
      <c r="AF3022" s="1044">
        <f t="shared" si="1379"/>
        <v>2022</v>
      </c>
      <c r="AG3022" s="1044">
        <f t="shared" si="1379"/>
        <v>2023</v>
      </c>
      <c r="AH3022" s="1044">
        <f t="shared" si="1379"/>
        <v>2024</v>
      </c>
      <c r="AI3022" s="1044">
        <f t="shared" si="1379"/>
        <v>2025</v>
      </c>
      <c r="AJ3022" s="2"/>
      <c r="AK3022" s="2"/>
      <c r="AL3022" s="2"/>
    </row>
    <row r="3023" spans="1:38" ht="12.75" customHeight="1" x14ac:dyDescent="0.25">
      <c r="A3023" s="2"/>
      <c r="B3023" s="178"/>
      <c r="C3023" s="779"/>
      <c r="D3023" s="416" t="s">
        <v>23</v>
      </c>
      <c r="E3023" s="2606"/>
      <c r="F3023" s="2607"/>
      <c r="G3023" s="59" t="str">
        <f>IF(E3023&lt;&gt;"",INDEX(EUconst_BMlistUnits,MATCH(E3023,EUconst_BMlistNames,0)),EUconst_Tons)</f>
        <v>ton</v>
      </c>
      <c r="H3023" s="1319"/>
      <c r="I3023" s="1320"/>
      <c r="J3023" s="1321"/>
      <c r="K3023" s="1319"/>
      <c r="L3023" s="1319"/>
      <c r="M3023" s="1319"/>
      <c r="N3023" s="1322"/>
      <c r="O3023" s="15"/>
      <c r="P3023" s="1362"/>
      <c r="Q3023" s="165" t="str">
        <f>EUconst_CNTR_IntermediateExport &amp; S3019 &amp; "_" &amp; I2731</f>
        <v>IntExp_1_</v>
      </c>
      <c r="R3023" s="2"/>
      <c r="S3023" s="165">
        <v>1</v>
      </c>
      <c r="T3023" s="2"/>
      <c r="U3023" s="2"/>
      <c r="V3023" s="343"/>
      <c r="W3023" s="2"/>
      <c r="X3023" s="413"/>
      <c r="Y3023" s="413"/>
      <c r="Z3023" s="2"/>
      <c r="AA3023" s="2"/>
      <c r="AB3023" s="672" t="s">
        <v>782</v>
      </c>
      <c r="AC3023" s="108" t="b">
        <f>AC3019</f>
        <v>0</v>
      </c>
      <c r="AD3023" s="108" t="b">
        <f t="shared" ref="AD3023:AI3023" si="1380">AD3019</f>
        <v>0</v>
      </c>
      <c r="AE3023" s="108" t="b">
        <f t="shared" si="1380"/>
        <v>0</v>
      </c>
      <c r="AF3023" s="108" t="b">
        <f t="shared" si="1380"/>
        <v>0</v>
      </c>
      <c r="AG3023" s="108" t="b">
        <f t="shared" si="1380"/>
        <v>0</v>
      </c>
      <c r="AH3023" s="108" t="b">
        <f t="shared" si="1380"/>
        <v>0</v>
      </c>
      <c r="AI3023" s="108" t="b">
        <f t="shared" si="1380"/>
        <v>0</v>
      </c>
      <c r="AJ3023" s="553" t="s">
        <v>2248</v>
      </c>
      <c r="AK3023" s="663" t="str">
        <f>IF(AND(CNTR_ExistSubInstEntries,MSconst_RequireSubAttrEmissions,COUNTIFS(AC3023:AI3023,FALSE,H3023:N3023,"")&gt;0),EUconst_Error&amp;"BM"&amp;$Q2731,"")</f>
        <v/>
      </c>
      <c r="AL3023" s="2"/>
    </row>
    <row r="3024" spans="1:38" ht="12.75" customHeight="1" x14ac:dyDescent="0.25">
      <c r="A3024" s="2"/>
      <c r="B3024" s="178"/>
      <c r="C3024" s="779"/>
      <c r="D3024" s="416" t="s">
        <v>859</v>
      </c>
      <c r="E3024" s="2608"/>
      <c r="F3024" s="2609"/>
      <c r="G3024" s="51" t="str">
        <f>IF(E3024&lt;&gt;"",INDEX(EUconst_BMlistUnits,MATCH(E3024,EUconst_BMlistNames,0)),EUconst_Tons)</f>
        <v>ton</v>
      </c>
      <c r="H3024" s="1323"/>
      <c r="I3024" s="1324"/>
      <c r="J3024" s="1325"/>
      <c r="K3024" s="1323"/>
      <c r="L3024" s="1323"/>
      <c r="M3024" s="1323"/>
      <c r="N3024" s="1326"/>
      <c r="O3024" s="15"/>
      <c r="P3024" s="1362"/>
      <c r="Q3024" s="165" t="str">
        <f>EUconst_CNTR_IntermediateExport &amp; S3024 &amp; "_" &amp; I2731</f>
        <v>IntExp_2_</v>
      </c>
      <c r="R3024" s="2"/>
      <c r="S3024" s="165">
        <v>2</v>
      </c>
      <c r="T3024" s="2"/>
      <c r="U3024" s="2"/>
      <c r="V3024" s="343"/>
      <c r="W3024" s="2"/>
      <c r="X3024" s="413"/>
      <c r="Y3024" s="413"/>
      <c r="Z3024" s="2"/>
      <c r="AA3024" s="2"/>
      <c r="AB3024" s="2"/>
      <c r="AC3024" s="108" t="b">
        <f t="shared" ref="AC3024:AI3024" si="1381">AC3020</f>
        <v>0</v>
      </c>
      <c r="AD3024" s="108" t="b">
        <f t="shared" si="1381"/>
        <v>0</v>
      </c>
      <c r="AE3024" s="108" t="b">
        <f t="shared" si="1381"/>
        <v>0</v>
      </c>
      <c r="AF3024" s="108" t="b">
        <f t="shared" si="1381"/>
        <v>0</v>
      </c>
      <c r="AG3024" s="108" t="b">
        <f t="shared" si="1381"/>
        <v>0</v>
      </c>
      <c r="AH3024" s="108" t="b">
        <f t="shared" si="1381"/>
        <v>0</v>
      </c>
      <c r="AI3024" s="108" t="b">
        <f t="shared" si="1381"/>
        <v>0</v>
      </c>
      <c r="AJ3024" s="2"/>
      <c r="AK3024" s="2"/>
      <c r="AL3024" s="2"/>
    </row>
    <row r="3025" spans="1:38" ht="5.15" customHeight="1" x14ac:dyDescent="0.25">
      <c r="A3025" s="2"/>
      <c r="B3025" s="178"/>
      <c r="C3025" s="779"/>
      <c r="D3025" s="416"/>
      <c r="E3025" s="416"/>
      <c r="F3025" s="416"/>
      <c r="G3025" s="416"/>
      <c r="H3025" s="416"/>
      <c r="I3025" s="416"/>
      <c r="J3025" s="416"/>
      <c r="K3025" s="416"/>
      <c r="L3025" s="416"/>
      <c r="M3025" s="416"/>
      <c r="N3025" s="1810"/>
      <c r="O3025" s="15"/>
      <c r="P3025" s="15"/>
      <c r="Q3025" s="343"/>
      <c r="R3025" s="2"/>
      <c r="S3025" s="343"/>
      <c r="T3025" s="2"/>
      <c r="U3025" s="2"/>
      <c r="V3025" s="343"/>
      <c r="W3025" s="2"/>
      <c r="X3025" s="413"/>
      <c r="Y3025" s="413"/>
      <c r="Z3025" s="2"/>
      <c r="AA3025" s="2"/>
      <c r="AB3025" s="2"/>
      <c r="AC3025" s="2"/>
      <c r="AD3025" s="2"/>
      <c r="AE3025" s="2"/>
      <c r="AF3025" s="2"/>
      <c r="AG3025" s="2"/>
      <c r="AH3025" s="2"/>
      <c r="AI3025" s="2"/>
      <c r="AJ3025" s="2"/>
      <c r="AK3025" s="2"/>
      <c r="AL3025" s="2"/>
    </row>
    <row r="3026" spans="1:38" ht="12.75" customHeight="1" x14ac:dyDescent="0.25">
      <c r="A3026" s="2"/>
      <c r="B3026" s="178"/>
      <c r="C3026" s="779"/>
      <c r="D3026" s="416" t="s">
        <v>860</v>
      </c>
      <c r="E3026" s="623" t="str">
        <f>Translations!$B$656</f>
        <v>Beskrivning av importerade eller exporterade mellanprodukter</v>
      </c>
      <c r="F3026" s="623"/>
      <c r="G3026" s="623"/>
      <c r="H3026" s="623"/>
      <c r="I3026" s="623"/>
      <c r="J3026" s="623"/>
      <c r="K3026" s="623"/>
      <c r="L3026" s="623"/>
      <c r="M3026" s="623"/>
      <c r="N3026" s="1810"/>
      <c r="O3026" s="15"/>
      <c r="P3026" s="15"/>
      <c r="Q3026" s="343"/>
      <c r="R3026" s="2"/>
      <c r="S3026" s="343"/>
      <c r="T3026" s="2"/>
      <c r="U3026" s="2"/>
      <c r="V3026" s="343"/>
      <c r="W3026" s="2"/>
      <c r="X3026" s="413"/>
      <c r="Y3026" s="413"/>
      <c r="Z3026" s="2"/>
      <c r="AA3026" s="2"/>
      <c r="AB3026" s="2"/>
      <c r="AC3026" s="2"/>
      <c r="AD3026" s="2"/>
      <c r="AE3026" s="2"/>
      <c r="AF3026" s="2"/>
      <c r="AG3026" s="2"/>
      <c r="AH3026" s="2"/>
      <c r="AI3026" s="2"/>
      <c r="AJ3026" s="2"/>
      <c r="AK3026" s="2"/>
      <c r="AL3026" s="2"/>
    </row>
    <row r="3027" spans="1:38" ht="12.75" customHeight="1" x14ac:dyDescent="0.25">
      <c r="A3027" s="2"/>
      <c r="B3027" s="178"/>
      <c r="C3027" s="779"/>
      <c r="D3027" s="416"/>
      <c r="E3027" s="1139" t="str">
        <f>Translations!$B$657</f>
        <v>Var god ge en kort beskrivning av produktionsprocessen för importerade eller exporterade mellanprodukter</v>
      </c>
      <c r="F3027" s="1806"/>
      <c r="G3027" s="1806"/>
      <c r="H3027" s="1806"/>
      <c r="I3027" s="1806"/>
      <c r="J3027" s="1806"/>
      <c r="K3027" s="1806"/>
      <c r="L3027" s="1806"/>
      <c r="M3027" s="1806"/>
      <c r="N3027" s="1807"/>
      <c r="O3027" s="15"/>
      <c r="P3027" s="15"/>
      <c r="Q3027" s="343"/>
      <c r="R3027" s="2"/>
      <c r="S3027" s="343"/>
      <c r="T3027" s="2"/>
      <c r="U3027" s="2"/>
      <c r="V3027" s="343"/>
      <c r="W3027" s="2"/>
      <c r="X3027" s="413"/>
      <c r="Y3027" s="413"/>
      <c r="Z3027" s="2"/>
      <c r="AA3027" s="2"/>
      <c r="AB3027" s="2"/>
      <c r="AC3027" s="2"/>
      <c r="AD3027" s="2"/>
      <c r="AE3027" s="2"/>
      <c r="AF3027" s="2"/>
      <c r="AG3027" s="2"/>
      <c r="AH3027" s="2"/>
      <c r="AI3027" s="2"/>
      <c r="AJ3027" s="2"/>
      <c r="AK3027" s="2"/>
      <c r="AL3027" s="2"/>
    </row>
    <row r="3028" spans="1:38" ht="12.75" customHeight="1" x14ac:dyDescent="0.25">
      <c r="A3028" s="2"/>
      <c r="B3028" s="178"/>
      <c r="C3028" s="779"/>
      <c r="D3028" s="416"/>
      <c r="E3028" s="2599"/>
      <c r="F3028" s="2600"/>
      <c r="G3028" s="2600"/>
      <c r="H3028" s="2600"/>
      <c r="I3028" s="2600"/>
      <c r="J3028" s="2600"/>
      <c r="K3028" s="2600"/>
      <c r="L3028" s="2600"/>
      <c r="M3028" s="2601"/>
      <c r="N3028" s="1810"/>
      <c r="O3028" s="15"/>
      <c r="P3028" s="1362"/>
      <c r="Q3028" s="343"/>
      <c r="R3028" s="2"/>
      <c r="S3028" s="343"/>
      <c r="T3028" s="2"/>
      <c r="U3028" s="2"/>
      <c r="V3028" s="343"/>
      <c r="W3028" s="2"/>
      <c r="X3028" s="413"/>
      <c r="Y3028" s="413"/>
      <c r="Z3028" s="2"/>
      <c r="AA3028" s="2"/>
      <c r="AB3028" s="672" t="s">
        <v>782</v>
      </c>
      <c r="AC3028" s="108" t="b">
        <f>AND(AC3023:AI3023)</f>
        <v>0</v>
      </c>
      <c r="AD3028" s="2"/>
      <c r="AE3028" s="2"/>
      <c r="AF3028" s="2"/>
      <c r="AG3028" s="2"/>
      <c r="AH3028" s="2"/>
      <c r="AI3028" s="2"/>
      <c r="AJ3028" s="2"/>
      <c r="AK3028" s="2"/>
      <c r="AL3028" s="2"/>
    </row>
    <row r="3029" spans="1:38" ht="12.75" customHeight="1" x14ac:dyDescent="0.25">
      <c r="A3029" s="2"/>
      <c r="B3029" s="178"/>
      <c r="C3029" s="779"/>
      <c r="D3029" s="416"/>
      <c r="E3029" s="2602"/>
      <c r="F3029" s="2603"/>
      <c r="G3029" s="2603"/>
      <c r="H3029" s="2603"/>
      <c r="I3029" s="2603"/>
      <c r="J3029" s="2603"/>
      <c r="K3029" s="2603"/>
      <c r="L3029" s="2603"/>
      <c r="M3029" s="2604"/>
      <c r="N3029" s="1810"/>
      <c r="O3029" s="15"/>
      <c r="P3029" s="15"/>
      <c r="Q3029" s="343"/>
      <c r="R3029" s="2"/>
      <c r="S3029" s="343"/>
      <c r="T3029" s="2"/>
      <c r="U3029" s="2"/>
      <c r="V3029" s="343"/>
      <c r="W3029" s="2"/>
      <c r="X3029" s="413"/>
      <c r="Y3029" s="413"/>
      <c r="Z3029" s="2"/>
      <c r="AA3029" s="2"/>
      <c r="AB3029" s="2"/>
      <c r="AC3029" s="108" t="b">
        <f>AC3028</f>
        <v>0</v>
      </c>
      <c r="AD3029" s="2"/>
      <c r="AE3029" s="2"/>
      <c r="AF3029" s="2"/>
      <c r="AG3029" s="2"/>
      <c r="AH3029" s="2"/>
      <c r="AI3029" s="2"/>
      <c r="AJ3029" s="2"/>
      <c r="AK3029" s="2"/>
      <c r="AL3029" s="2"/>
    </row>
    <row r="3030" spans="1:38" ht="12.75" customHeight="1" thickBot="1" x14ac:dyDescent="0.3">
      <c r="A3030" s="2"/>
      <c r="B3030" s="178"/>
      <c r="C3030" s="781"/>
      <c r="D3030" s="782"/>
      <c r="E3030" s="782"/>
      <c r="F3030" s="782"/>
      <c r="G3030" s="782"/>
      <c r="H3030" s="782"/>
      <c r="I3030" s="782"/>
      <c r="J3030" s="782"/>
      <c r="K3030" s="782"/>
      <c r="L3030" s="782"/>
      <c r="M3030" s="783"/>
      <c r="N3030" s="784"/>
      <c r="O3030" s="15"/>
      <c r="P3030" s="15"/>
      <c r="Q3030" s="343"/>
      <c r="R3030" s="2"/>
      <c r="S3030" s="343"/>
      <c r="T3030" s="2"/>
      <c r="U3030" s="2"/>
      <c r="V3030" s="343"/>
      <c r="W3030" s="2"/>
      <c r="X3030" s="2"/>
      <c r="Y3030" s="2"/>
      <c r="Z3030" s="2"/>
      <c r="AA3030" s="2"/>
      <c r="AB3030" s="2"/>
      <c r="AC3030" s="2"/>
      <c r="AD3030" s="2"/>
      <c r="AE3030" s="2"/>
      <c r="AF3030" s="2"/>
      <c r="AG3030" s="2"/>
      <c r="AH3030" s="2"/>
      <c r="AI3030" s="2"/>
      <c r="AJ3030" s="2"/>
      <c r="AK3030" s="2"/>
      <c r="AL3030" s="2"/>
    </row>
    <row r="3031" spans="1:38" ht="12.75" customHeight="1" thickBot="1" x14ac:dyDescent="0.3">
      <c r="A3031" s="343"/>
      <c r="B3031" s="3"/>
      <c r="C3031" s="3"/>
      <c r="D3031" s="3"/>
      <c r="E3031" s="3"/>
      <c r="F3031" s="3"/>
      <c r="G3031" s="3"/>
      <c r="H3031" s="3"/>
      <c r="I3031" s="3"/>
      <c r="J3031" s="3"/>
      <c r="K3031" s="3"/>
      <c r="L3031" s="3"/>
      <c r="M3031" s="6"/>
      <c r="N3031" s="6"/>
      <c r="O3031" s="6"/>
      <c r="P3031" s="6"/>
      <c r="Q3031" s="294" t="str">
        <f>IF(OR(AND(CNTR_ExistProductSubEntries=FALSE,Q2731=1),AND(I2731&lt;&gt;"",COUNTIF(Q3032:$Q3071,"PRINT")=0)),"PRINT","")</f>
        <v/>
      </c>
      <c r="R3031" s="7"/>
      <c r="S3031" s="7"/>
      <c r="T3031" s="7"/>
      <c r="U3031" s="7"/>
      <c r="V3031" s="7"/>
      <c r="W3031" s="7"/>
      <c r="X3031" s="7"/>
      <c r="Y3031" s="7"/>
      <c r="Z3031" s="2"/>
      <c r="AA3031" s="2"/>
      <c r="AB3031" s="2"/>
      <c r="AC3031" s="2"/>
      <c r="AD3031" s="2"/>
      <c r="AE3031" s="349"/>
      <c r="AF3031" s="349"/>
      <c r="AG3031" s="349"/>
      <c r="AH3031" s="349"/>
      <c r="AI3031" s="349"/>
      <c r="AJ3031" s="349"/>
      <c r="AK3031" s="349"/>
      <c r="AL3031" s="349"/>
    </row>
    <row r="3032" spans="1:38" ht="5.15" customHeight="1" x14ac:dyDescent="0.25">
      <c r="A3032" s="2"/>
      <c r="B3032" s="19"/>
      <c r="C3032" s="785"/>
      <c r="D3032" s="785"/>
      <c r="E3032" s="785"/>
      <c r="F3032" s="785"/>
      <c r="G3032" s="785"/>
      <c r="H3032" s="785"/>
      <c r="I3032" s="785"/>
      <c r="J3032" s="785"/>
      <c r="K3032" s="785"/>
      <c r="L3032" s="785"/>
      <c r="M3032" s="785"/>
      <c r="N3032" s="785"/>
      <c r="O3032" s="15"/>
      <c r="P3032" s="15"/>
      <c r="Q3032" s="1723"/>
      <c r="R3032" s="1723"/>
      <c r="S3032" s="1723"/>
      <c r="T3032" s="1723"/>
      <c r="U3032" s="1723"/>
      <c r="V3032" s="1723"/>
      <c r="W3032" s="1723"/>
      <c r="X3032" s="1723"/>
      <c r="Y3032" s="1723"/>
      <c r="Z3032" s="1723"/>
      <c r="AA3032" s="1723"/>
      <c r="AB3032" s="1723"/>
      <c r="AC3032" s="1723"/>
      <c r="AD3032" s="1723"/>
      <c r="AE3032" s="1723"/>
      <c r="AF3032" s="1723"/>
      <c r="AG3032" s="1723"/>
      <c r="AH3032" s="1723"/>
      <c r="AI3032" s="1723"/>
      <c r="AJ3032" s="1723"/>
      <c r="AK3032" s="1723"/>
      <c r="AL3032" s="1723"/>
    </row>
    <row r="3033" spans="1:38" s="1130" customFormat="1" ht="12.75" customHeight="1" x14ac:dyDescent="0.25">
      <c r="A3033" s="2"/>
      <c r="B3033" s="1625"/>
      <c r="C3033" s="1625"/>
      <c r="D3033" s="1625"/>
      <c r="E3033" s="1625"/>
      <c r="F3033" s="1625"/>
      <c r="G3033" s="1625"/>
      <c r="H3033" s="1625"/>
      <c r="I3033" s="1625"/>
      <c r="J3033" s="1625"/>
      <c r="K3033" s="1625"/>
      <c r="L3033" s="635"/>
      <c r="Q3033" s="2"/>
      <c r="R3033" s="2"/>
      <c r="S3033" s="343"/>
      <c r="T3033" s="343"/>
      <c r="U3033" s="2"/>
      <c r="V3033" s="2"/>
      <c r="W3033" s="2"/>
      <c r="X3033" s="2"/>
      <c r="Y3033" s="2"/>
      <c r="Z3033" s="2"/>
      <c r="AA3033" s="2"/>
      <c r="AB3033" s="2"/>
      <c r="AC3033" s="2"/>
      <c r="AD3033" s="2"/>
      <c r="AE3033" s="2"/>
      <c r="AF3033" s="2"/>
      <c r="AG3033" s="2"/>
      <c r="AH3033" s="2"/>
      <c r="AI3033" s="2"/>
      <c r="AJ3033" s="2"/>
      <c r="AK3033" s="2"/>
      <c r="AL3033" s="2"/>
    </row>
    <row r="3034" spans="1:38" ht="13" x14ac:dyDescent="0.25">
      <c r="A3034" s="2"/>
      <c r="B3034" s="19"/>
      <c r="C3034" s="19"/>
      <c r="D3034" s="2477" t="str">
        <f>Translations!$B$66</f>
        <v xml:space="preserve">&lt;&lt;&lt; Klicka här för att gå vidare till nästa blad &gt;&gt;&gt; </v>
      </c>
      <c r="E3034" s="2477"/>
      <c r="F3034" s="2477"/>
      <c r="G3034" s="2477"/>
      <c r="H3034" s="2477"/>
      <c r="I3034" s="2477"/>
      <c r="J3034" s="2477"/>
      <c r="K3034" s="2477"/>
      <c r="L3034" s="2477"/>
      <c r="M3034" s="2477"/>
      <c r="N3034" s="2477"/>
      <c r="O3034" s="15"/>
      <c r="P3034" s="15"/>
      <c r="Q3034" s="2"/>
      <c r="R3034" s="2"/>
      <c r="S3034" s="343"/>
      <c r="T3034" s="343"/>
      <c r="U3034" s="2"/>
      <c r="V3034" s="2"/>
      <c r="W3034" s="2"/>
      <c r="X3034" s="2"/>
      <c r="Y3034" s="2"/>
      <c r="Z3034" s="2"/>
      <c r="AA3034" s="2"/>
      <c r="AB3034" s="2"/>
      <c r="AC3034" s="2"/>
      <c r="AD3034" s="2"/>
      <c r="AE3034" s="2"/>
      <c r="AF3034" s="2"/>
      <c r="AG3034" s="2"/>
      <c r="AH3034" s="2"/>
      <c r="AI3034" s="2"/>
      <c r="AJ3034" s="2"/>
      <c r="AK3034" s="2"/>
      <c r="AL3034" s="2"/>
    </row>
    <row r="3035" spans="1:38" x14ac:dyDescent="0.25">
      <c r="A3035" s="2"/>
      <c r="B3035" s="19"/>
      <c r="C3035" s="19"/>
      <c r="D3035" s="19"/>
      <c r="E3035" s="19"/>
      <c r="F3035" s="19"/>
      <c r="G3035" s="19"/>
      <c r="H3035" s="19"/>
      <c r="I3035" s="19"/>
      <c r="J3035" s="19"/>
      <c r="K3035" s="19"/>
      <c r="L3035" s="19"/>
      <c r="M3035" s="19"/>
      <c r="N3035" s="19"/>
      <c r="O3035" s="15"/>
      <c r="P3035" s="15"/>
      <c r="Q3035" s="2"/>
      <c r="R3035" s="2"/>
      <c r="S3035" s="343"/>
      <c r="T3035" s="343"/>
      <c r="U3035" s="2"/>
      <c r="V3035" s="2"/>
      <c r="W3035" s="2"/>
      <c r="X3035" s="2"/>
      <c r="Y3035" s="2"/>
      <c r="Z3035" s="2"/>
      <c r="AA3035" s="2"/>
      <c r="AB3035" s="2"/>
      <c r="AC3035" s="2"/>
      <c r="AD3035" s="2"/>
      <c r="AE3035" s="2"/>
      <c r="AF3035" s="2"/>
      <c r="AG3035" s="2"/>
      <c r="AH3035" s="2"/>
      <c r="AI3035" s="2"/>
      <c r="AJ3035" s="2"/>
      <c r="AK3035" s="2"/>
      <c r="AL3035" s="2"/>
    </row>
    <row r="3036" spans="1:38" hidden="1" x14ac:dyDescent="0.25">
      <c r="A3036" s="2" t="s">
        <v>346</v>
      </c>
      <c r="B3036" s="2" t="s">
        <v>952</v>
      </c>
      <c r="C3036" s="2" t="s">
        <v>952</v>
      </c>
      <c r="D3036" s="2" t="s">
        <v>952</v>
      </c>
      <c r="E3036" s="2" t="s">
        <v>952</v>
      </c>
      <c r="F3036" s="2" t="s">
        <v>952</v>
      </c>
      <c r="G3036" s="2"/>
      <c r="H3036" s="2" t="s">
        <v>952</v>
      </c>
      <c r="I3036" s="2" t="s">
        <v>952</v>
      </c>
      <c r="J3036" s="2" t="s">
        <v>952</v>
      </c>
      <c r="K3036" s="2" t="s">
        <v>952</v>
      </c>
      <c r="L3036" s="2" t="s">
        <v>952</v>
      </c>
      <c r="M3036" s="2" t="s">
        <v>952</v>
      </c>
      <c r="N3036" s="2" t="s">
        <v>952</v>
      </c>
      <c r="O3036" s="2" t="s">
        <v>952</v>
      </c>
      <c r="P3036" s="2" t="s">
        <v>952</v>
      </c>
      <c r="Q3036" s="2" t="s">
        <v>952</v>
      </c>
      <c r="R3036" s="2" t="s">
        <v>952</v>
      </c>
      <c r="S3036" s="2" t="s">
        <v>952</v>
      </c>
      <c r="T3036" s="2" t="s">
        <v>952</v>
      </c>
      <c r="U3036" s="2" t="s">
        <v>952</v>
      </c>
      <c r="V3036" s="2" t="s">
        <v>952</v>
      </c>
      <c r="W3036" s="2" t="s">
        <v>952</v>
      </c>
      <c r="X3036" s="2" t="s">
        <v>952</v>
      </c>
      <c r="Y3036" s="2" t="s">
        <v>952</v>
      </c>
      <c r="Z3036" s="2" t="s">
        <v>952</v>
      </c>
      <c r="AA3036" s="2" t="s">
        <v>952</v>
      </c>
      <c r="AB3036" s="2" t="s">
        <v>952</v>
      </c>
      <c r="AC3036" s="2" t="s">
        <v>952</v>
      </c>
      <c r="AD3036" s="2" t="s">
        <v>952</v>
      </c>
      <c r="AE3036" s="2" t="s">
        <v>952</v>
      </c>
      <c r="AF3036" s="2" t="s">
        <v>952</v>
      </c>
      <c r="AG3036" s="2" t="s">
        <v>952</v>
      </c>
      <c r="AH3036" s="2" t="s">
        <v>952</v>
      </c>
      <c r="AI3036" s="2" t="s">
        <v>952</v>
      </c>
      <c r="AJ3036" s="2" t="s">
        <v>952</v>
      </c>
      <c r="AK3036" s="2" t="s">
        <v>952</v>
      </c>
      <c r="AL3036" s="2" t="s">
        <v>952</v>
      </c>
    </row>
    <row r="3037" spans="1:38" hidden="1" x14ac:dyDescent="0.25">
      <c r="A3037" s="2" t="s">
        <v>346</v>
      </c>
      <c r="B3037" s="1"/>
      <c r="C3037" s="1"/>
      <c r="D3037" s="1"/>
      <c r="E3037" s="1"/>
      <c r="F3037" s="1"/>
      <c r="G3037" s="1"/>
      <c r="H3037" s="1"/>
      <c r="I3037" s="1"/>
      <c r="J3037" s="1"/>
      <c r="K3037" s="1"/>
      <c r="L3037" s="1"/>
      <c r="M3037" s="1"/>
      <c r="N3037" s="1"/>
      <c r="O3037" s="1"/>
      <c r="P3037" s="1"/>
      <c r="Q3037" s="2"/>
      <c r="R3037" s="2"/>
      <c r="S3037" s="343"/>
      <c r="T3037" s="343"/>
      <c r="U3037" s="2"/>
      <c r="V3037" s="2"/>
      <c r="W3037" s="2"/>
      <c r="X3037" s="2"/>
      <c r="Y3037" s="2"/>
      <c r="Z3037" s="2"/>
      <c r="AA3037" s="2"/>
      <c r="AB3037" s="2"/>
      <c r="AC3037" s="2"/>
      <c r="AD3037" s="2"/>
      <c r="AE3037" s="2"/>
      <c r="AF3037" s="2"/>
      <c r="AG3037" s="2"/>
      <c r="AH3037" s="2"/>
      <c r="AI3037" s="2"/>
      <c r="AJ3037" s="2"/>
      <c r="AK3037" s="2"/>
      <c r="AL3037" s="2"/>
    </row>
    <row r="3038" spans="1:38" ht="13.5" hidden="1" thickBot="1" x14ac:dyDescent="0.3">
      <c r="A3038" s="2" t="s">
        <v>346</v>
      </c>
      <c r="B3038" s="2"/>
      <c r="C3038" s="2"/>
      <c r="D3038" s="40" t="s">
        <v>953</v>
      </c>
      <c r="E3038" s="2"/>
      <c r="F3038" s="2"/>
      <c r="G3038" s="2"/>
      <c r="H3038" s="2"/>
      <c r="I3038" s="2"/>
      <c r="J3038" s="2"/>
      <c r="K3038" s="2"/>
      <c r="L3038" s="2"/>
      <c r="M3038" s="2"/>
      <c r="N3038" s="2"/>
      <c r="O3038" s="2"/>
      <c r="P3038" s="2"/>
      <c r="Q3038" s="2"/>
      <c r="R3038" s="2"/>
      <c r="S3038" s="343"/>
      <c r="T3038" s="343"/>
      <c r="U3038" s="2"/>
      <c r="V3038" s="2"/>
      <c r="W3038" s="2"/>
      <c r="X3038" s="2"/>
      <c r="Y3038" s="2"/>
      <c r="Z3038" s="2"/>
      <c r="AA3038" s="2"/>
      <c r="AB3038" s="2"/>
      <c r="AC3038" s="2"/>
      <c r="AD3038" s="2"/>
      <c r="AE3038" s="2"/>
      <c r="AF3038" s="2"/>
      <c r="AG3038" s="2"/>
      <c r="AH3038" s="2"/>
      <c r="AI3038" s="2"/>
      <c r="AJ3038" s="2"/>
      <c r="AK3038" s="2"/>
      <c r="AL3038" s="2"/>
    </row>
    <row r="3039" spans="1:38" ht="13" hidden="1" x14ac:dyDescent="0.25">
      <c r="A3039" s="2" t="s">
        <v>346</v>
      </c>
      <c r="B3039" s="1"/>
      <c r="C3039" s="1"/>
      <c r="D3039" s="1"/>
      <c r="E3039" s="151" t="s">
        <v>593</v>
      </c>
      <c r="F3039" s="61"/>
      <c r="G3039" s="61"/>
      <c r="H3039" s="61"/>
      <c r="I3039" s="61"/>
      <c r="J3039" s="61"/>
      <c r="K3039" s="61"/>
      <c r="L3039" s="61"/>
      <c r="M3039" s="61"/>
      <c r="N3039" s="63"/>
      <c r="O3039" s="1"/>
      <c r="P3039" s="1"/>
      <c r="Q3039" s="2"/>
      <c r="R3039" s="2"/>
      <c r="S3039" s="343"/>
      <c r="T3039" s="343"/>
      <c r="U3039" s="2"/>
      <c r="V3039" s="2"/>
      <c r="W3039" s="2"/>
      <c r="X3039" s="2"/>
      <c r="Y3039" s="2"/>
      <c r="Z3039" s="2"/>
      <c r="AA3039" s="2"/>
      <c r="AB3039" s="2"/>
      <c r="AC3039" s="2"/>
      <c r="AD3039" s="2"/>
      <c r="AE3039" s="2"/>
      <c r="AF3039" s="2"/>
      <c r="AG3039" s="2"/>
      <c r="AH3039" s="2"/>
      <c r="AI3039" s="2"/>
      <c r="AJ3039" s="2"/>
      <c r="AK3039" s="2"/>
      <c r="AL3039" s="2"/>
    </row>
    <row r="3040" spans="1:38" hidden="1" x14ac:dyDescent="0.25">
      <c r="A3040" s="2" t="s">
        <v>346</v>
      </c>
      <c r="B3040" s="1"/>
      <c r="C3040" s="1"/>
      <c r="D3040" s="1"/>
      <c r="E3040" s="93" t="s">
        <v>956</v>
      </c>
      <c r="F3040" s="22"/>
      <c r="G3040" s="22"/>
      <c r="H3040" s="22"/>
      <c r="I3040" s="141"/>
      <c r="J3040" s="141">
        <f>A_InstallationData!J413</f>
        <v>1</v>
      </c>
      <c r="K3040" s="141">
        <f>A_InstallationData!K413</f>
        <v>2</v>
      </c>
      <c r="L3040" s="141">
        <f>A_InstallationData!L413</f>
        <v>3</v>
      </c>
      <c r="M3040" s="141">
        <f>A_InstallationData!M413</f>
        <v>4</v>
      </c>
      <c r="N3040" s="141">
        <f>A_InstallationData!N413</f>
        <v>5</v>
      </c>
      <c r="O3040" s="1"/>
      <c r="P3040" s="1"/>
      <c r="Q3040" s="2"/>
      <c r="R3040" s="2"/>
      <c r="S3040" s="343"/>
      <c r="T3040" s="343"/>
      <c r="U3040" s="2"/>
      <c r="V3040" s="2"/>
      <c r="W3040" s="2"/>
      <c r="X3040" s="2"/>
      <c r="Y3040" s="2"/>
      <c r="Z3040" s="2"/>
      <c r="AA3040" s="2"/>
      <c r="AB3040" s="2"/>
      <c r="AC3040" s="2"/>
      <c r="AD3040" s="2"/>
      <c r="AE3040" s="2"/>
      <c r="AF3040" s="2"/>
      <c r="AG3040" s="2"/>
      <c r="AH3040" s="2"/>
      <c r="AI3040" s="2"/>
      <c r="AJ3040" s="2"/>
      <c r="AK3040" s="2"/>
      <c r="AL3040" s="2"/>
    </row>
    <row r="3041" spans="1:38" hidden="1" x14ac:dyDescent="0.25">
      <c r="A3041" s="2" t="s">
        <v>346</v>
      </c>
      <c r="B3041" s="1"/>
      <c r="C3041" s="1"/>
      <c r="D3041" s="1"/>
      <c r="E3041" s="145" t="s">
        <v>1228</v>
      </c>
      <c r="F3041" s="22"/>
      <c r="G3041" s="22"/>
      <c r="H3041" s="141">
        <f>A_InstallationData!H414</f>
        <v>2019</v>
      </c>
      <c r="I3041" s="141">
        <f>A_InstallationData!I414</f>
        <v>2020</v>
      </c>
      <c r="J3041" s="141">
        <f>A_InstallationData!J414</f>
        <v>2021</v>
      </c>
      <c r="K3041" s="141">
        <f>A_InstallationData!K414</f>
        <v>2022</v>
      </c>
      <c r="L3041" s="141">
        <f>A_InstallationData!L414</f>
        <v>2023</v>
      </c>
      <c r="M3041" s="141">
        <f>A_InstallationData!M414</f>
        <v>2024</v>
      </c>
      <c r="N3041" s="141">
        <f>A_InstallationData!N414</f>
        <v>2025</v>
      </c>
      <c r="O3041" s="1"/>
      <c r="P3041" s="1"/>
      <c r="Q3041" s="2"/>
      <c r="R3041" s="2"/>
      <c r="S3041" s="343"/>
      <c r="T3041" s="343"/>
      <c r="U3041" s="2"/>
      <c r="V3041" s="2"/>
      <c r="W3041" s="2"/>
      <c r="X3041" s="2"/>
      <c r="Y3041" s="2"/>
      <c r="Z3041" s="2"/>
      <c r="AA3041" s="2"/>
      <c r="AB3041" s="2"/>
      <c r="AC3041" s="2"/>
      <c r="AD3041" s="2"/>
      <c r="AE3041" s="2"/>
      <c r="AF3041" s="2"/>
      <c r="AG3041" s="2"/>
      <c r="AH3041" s="2"/>
      <c r="AI3041" s="2"/>
      <c r="AJ3041" s="2"/>
      <c r="AK3041" s="2"/>
      <c r="AL3041" s="2"/>
    </row>
    <row r="3042" spans="1:38" hidden="1" x14ac:dyDescent="0.25">
      <c r="A3042" s="2" t="s">
        <v>346</v>
      </c>
      <c r="B3042" s="1"/>
      <c r="C3042" s="1"/>
      <c r="D3042" s="1"/>
      <c r="E3042" s="145" t="s">
        <v>1227</v>
      </c>
      <c r="F3042" s="142"/>
      <c r="G3042" s="142"/>
      <c r="H3042" s="141">
        <f>A_InstallationData!H415</f>
        <v>2019</v>
      </c>
      <c r="I3042" s="141">
        <f>A_InstallationData!I415</f>
        <v>2020</v>
      </c>
      <c r="J3042" s="143">
        <f>A_InstallationData!J415</f>
        <v>2021</v>
      </c>
      <c r="K3042" s="143">
        <f>A_InstallationData!K415</f>
        <v>2022</v>
      </c>
      <c r="L3042" s="143">
        <f>A_InstallationData!L415</f>
        <v>2023</v>
      </c>
      <c r="M3042" s="143">
        <f>A_InstallationData!M415</f>
        <v>2024</v>
      </c>
      <c r="N3042" s="143">
        <f>A_InstallationData!N415</f>
        <v>2025</v>
      </c>
      <c r="O3042" s="19"/>
      <c r="P3042" s="19"/>
      <c r="Q3042" s="2"/>
      <c r="R3042" s="2"/>
      <c r="S3042" s="343"/>
      <c r="T3042" s="343"/>
      <c r="U3042" s="2"/>
      <c r="V3042" s="2"/>
      <c r="W3042" s="2"/>
      <c r="X3042" s="2"/>
      <c r="Y3042" s="2"/>
      <c r="Z3042" s="2"/>
      <c r="AA3042" s="2"/>
      <c r="AB3042" s="2"/>
      <c r="AC3042" s="2"/>
      <c r="AD3042" s="2"/>
      <c r="AE3042" s="2"/>
      <c r="AF3042" s="2"/>
      <c r="AG3042" s="2"/>
      <c r="AH3042" s="2"/>
      <c r="AI3042" s="2"/>
      <c r="AJ3042" s="2"/>
      <c r="AK3042" s="2"/>
      <c r="AL3042" s="2"/>
    </row>
    <row r="3043" spans="1:38" hidden="1" x14ac:dyDescent="0.25">
      <c r="A3043" s="2" t="s">
        <v>346</v>
      </c>
      <c r="B3043" s="1"/>
      <c r="C3043" s="1"/>
      <c r="D3043" s="1"/>
      <c r="E3043" s="145" t="s">
        <v>592</v>
      </c>
      <c r="F3043" s="142"/>
      <c r="G3043" s="142"/>
      <c r="H3043" s="142"/>
      <c r="I3043" s="143"/>
      <c r="J3043" s="143">
        <f>A_InstallationData!J416</f>
        <v>1</v>
      </c>
      <c r="K3043" s="143">
        <f>A_InstallationData!K416</f>
        <v>1</v>
      </c>
      <c r="L3043" s="143">
        <f>A_InstallationData!L416</f>
        <v>1</v>
      </c>
      <c r="M3043" s="143">
        <f>A_InstallationData!M416</f>
        <v>1</v>
      </c>
      <c r="N3043" s="143">
        <f>A_InstallationData!N416</f>
        <v>1</v>
      </c>
      <c r="O3043" s="1"/>
      <c r="P3043" s="1"/>
      <c r="Q3043" s="2"/>
      <c r="R3043" s="2"/>
      <c r="S3043" s="343"/>
      <c r="T3043" s="343"/>
      <c r="U3043" s="2"/>
      <c r="V3043" s="2"/>
      <c r="W3043" s="2"/>
      <c r="X3043" s="2"/>
      <c r="Y3043" s="2"/>
      <c r="Z3043" s="2"/>
      <c r="AA3043" s="2"/>
      <c r="AB3043" s="2"/>
      <c r="AC3043" s="2"/>
      <c r="AD3043" s="2"/>
      <c r="AE3043" s="2"/>
      <c r="AF3043" s="2"/>
      <c r="AG3043" s="2"/>
      <c r="AH3043" s="2"/>
      <c r="AI3043" s="2"/>
      <c r="AJ3043" s="2"/>
      <c r="AK3043" s="2"/>
      <c r="AL3043" s="2"/>
    </row>
    <row r="3044" spans="1:38" hidden="1" x14ac:dyDescent="0.25">
      <c r="A3044" s="2" t="s">
        <v>346</v>
      </c>
      <c r="B3044" s="1"/>
      <c r="C3044" s="1"/>
      <c r="D3044" s="1"/>
      <c r="E3044" s="145" t="s">
        <v>590</v>
      </c>
      <c r="F3044" s="142"/>
      <c r="G3044" s="142"/>
      <c r="H3044" s="142" t="b">
        <f>A_InstallationData!H417</f>
        <v>1</v>
      </c>
      <c r="I3044" s="142" t="b">
        <f>A_InstallationData!I417</f>
        <v>1</v>
      </c>
      <c r="J3044" s="142" t="b">
        <f>A_InstallationData!J417</f>
        <v>1</v>
      </c>
      <c r="K3044" s="142" t="b">
        <f>A_InstallationData!K417</f>
        <v>1</v>
      </c>
      <c r="L3044" s="142" t="b">
        <f>A_InstallationData!L417</f>
        <v>1</v>
      </c>
      <c r="M3044" s="142" t="b">
        <f>A_InstallationData!M417</f>
        <v>1</v>
      </c>
      <c r="N3044" s="142" t="b">
        <f>A_InstallationData!N417</f>
        <v>1</v>
      </c>
      <c r="O3044" s="1"/>
      <c r="P3044" s="1"/>
      <c r="Q3044" s="2"/>
      <c r="R3044" s="2"/>
      <c r="S3044" s="343"/>
      <c r="T3044" s="343"/>
      <c r="U3044" s="2"/>
      <c r="V3044" s="2"/>
      <c r="W3044" s="2"/>
      <c r="X3044" s="2"/>
      <c r="Y3044" s="2"/>
      <c r="Z3044" s="2"/>
      <c r="AA3044" s="2"/>
      <c r="AB3044" s="2"/>
      <c r="AC3044" s="2"/>
      <c r="AD3044" s="2"/>
      <c r="AE3044" s="2"/>
      <c r="AF3044" s="2"/>
      <c r="AG3044" s="2"/>
      <c r="AH3044" s="2"/>
      <c r="AI3044" s="2"/>
      <c r="AJ3044" s="2"/>
      <c r="AK3044" s="2"/>
      <c r="AL3044" s="2"/>
    </row>
    <row r="3045" spans="1:38" ht="13" hidden="1" thickBot="1" x14ac:dyDescent="0.3">
      <c r="A3045" s="2" t="s">
        <v>346</v>
      </c>
      <c r="B3045" s="1"/>
      <c r="C3045" s="1"/>
      <c r="D3045" s="1"/>
      <c r="E3045" s="148" t="s">
        <v>591</v>
      </c>
      <c r="F3045" s="149"/>
      <c r="G3045" s="149"/>
      <c r="H3045" s="149" t="b">
        <f>A_InstallationData!H418</f>
        <v>1</v>
      </c>
      <c r="I3045" s="149" t="b">
        <f>A_InstallationData!I418</f>
        <v>1</v>
      </c>
      <c r="J3045" s="149" t="b">
        <f>A_InstallationData!J418</f>
        <v>1</v>
      </c>
      <c r="K3045" s="149" t="b">
        <f>A_InstallationData!K418</f>
        <v>1</v>
      </c>
      <c r="L3045" s="149" t="b">
        <f>A_InstallationData!L418</f>
        <v>1</v>
      </c>
      <c r="M3045" s="149" t="b">
        <f>A_InstallationData!M418</f>
        <v>1</v>
      </c>
      <c r="N3045" s="149" t="b">
        <f>A_InstallationData!N418</f>
        <v>1</v>
      </c>
      <c r="O3045" s="1"/>
      <c r="P3045" s="1"/>
      <c r="Q3045" s="2"/>
      <c r="R3045" s="2"/>
      <c r="S3045" s="343"/>
      <c r="T3045" s="343"/>
      <c r="U3045" s="2"/>
      <c r="V3045" s="2"/>
      <c r="W3045" s="2"/>
      <c r="X3045" s="2"/>
      <c r="Y3045" s="2"/>
      <c r="Z3045" s="2"/>
      <c r="AA3045" s="2"/>
      <c r="AB3045" s="2"/>
      <c r="AC3045" s="2"/>
      <c r="AD3045" s="2"/>
      <c r="AE3045" s="2"/>
      <c r="AF3045" s="2"/>
      <c r="AG3045" s="2"/>
      <c r="AH3045" s="2"/>
      <c r="AI3045" s="2"/>
      <c r="AJ3045" s="2"/>
      <c r="AK3045" s="2"/>
      <c r="AL3045" s="2"/>
    </row>
    <row r="3046" spans="1:38" hidden="1" x14ac:dyDescent="0.25">
      <c r="A3046" s="2" t="s">
        <v>346</v>
      </c>
      <c r="B3046" s="1"/>
      <c r="C3046" s="1"/>
      <c r="D3046" s="1"/>
      <c r="E3046" s="1"/>
      <c r="F3046" s="1"/>
      <c r="G3046" s="1"/>
      <c r="H3046" s="1"/>
      <c r="I3046" s="1"/>
      <c r="J3046" s="1"/>
      <c r="K3046" s="1"/>
      <c r="L3046" s="1"/>
      <c r="M3046" s="1"/>
      <c r="N3046" s="1"/>
      <c r="O3046" s="1"/>
      <c r="P3046" s="1"/>
      <c r="Q3046" s="2"/>
      <c r="R3046" s="2"/>
      <c r="S3046" s="343"/>
      <c r="T3046" s="343"/>
      <c r="U3046" s="2"/>
      <c r="V3046" s="2"/>
      <c r="W3046" s="2"/>
      <c r="X3046" s="2"/>
      <c r="Y3046" s="2"/>
      <c r="Z3046" s="2"/>
      <c r="AA3046" s="2"/>
      <c r="AB3046" s="2"/>
      <c r="AC3046" s="2"/>
      <c r="AD3046" s="2"/>
      <c r="AE3046" s="2"/>
      <c r="AF3046" s="2"/>
      <c r="AG3046" s="2"/>
      <c r="AH3046" s="2"/>
      <c r="AI3046" s="2"/>
      <c r="AJ3046" s="2"/>
      <c r="AK3046" s="2"/>
      <c r="AL3046" s="2"/>
    </row>
    <row r="3047" spans="1:38" ht="13" hidden="1" x14ac:dyDescent="0.25">
      <c r="A3047" s="2" t="s">
        <v>346</v>
      </c>
      <c r="B3047" s="1"/>
      <c r="C3047" s="1"/>
      <c r="D3047" s="1"/>
      <c r="E3047" s="41" t="s">
        <v>816</v>
      </c>
      <c r="F3047" s="1"/>
      <c r="G3047" s="1"/>
      <c r="H3047" s="1"/>
      <c r="I3047" s="1"/>
      <c r="J3047" s="1"/>
      <c r="K3047" s="1"/>
      <c r="L3047" s="1"/>
      <c r="M3047" s="1"/>
      <c r="N3047" s="1"/>
      <c r="O3047" s="1"/>
      <c r="P3047" s="1"/>
      <c r="Q3047" s="2"/>
      <c r="R3047" s="2"/>
      <c r="S3047" s="343"/>
      <c r="T3047" s="343"/>
      <c r="U3047" s="2"/>
      <c r="V3047" s="2"/>
      <c r="W3047" s="2"/>
      <c r="X3047" s="2"/>
      <c r="Y3047" s="2"/>
      <c r="Z3047" s="2"/>
      <c r="AA3047" s="2"/>
      <c r="AB3047" s="2"/>
      <c r="AC3047" s="2"/>
      <c r="AD3047" s="2"/>
      <c r="AE3047" s="2"/>
      <c r="AF3047" s="2"/>
      <c r="AG3047" s="2"/>
      <c r="AH3047" s="2"/>
      <c r="AI3047" s="2"/>
      <c r="AJ3047" s="2"/>
      <c r="AK3047" s="2"/>
      <c r="AL3047" s="2"/>
    </row>
    <row r="3048" spans="1:38" ht="13" hidden="1" thickBot="1" x14ac:dyDescent="0.3">
      <c r="A3048" s="2" t="s">
        <v>346</v>
      </c>
      <c r="B3048" s="1"/>
      <c r="C3048" s="1"/>
      <c r="D3048" s="1"/>
      <c r="E3048" s="22"/>
      <c r="F3048" s="22"/>
      <c r="G3048" s="22"/>
      <c r="H3048" s="22">
        <f t="shared" ref="H3048:N3048" si="1382">H$3042</f>
        <v>2019</v>
      </c>
      <c r="I3048" s="22">
        <f t="shared" si="1382"/>
        <v>2020</v>
      </c>
      <c r="J3048" s="22">
        <f t="shared" si="1382"/>
        <v>2021</v>
      </c>
      <c r="K3048" s="22">
        <f t="shared" si="1382"/>
        <v>2022</v>
      </c>
      <c r="L3048" s="22">
        <f t="shared" si="1382"/>
        <v>2023</v>
      </c>
      <c r="M3048" s="22">
        <f t="shared" si="1382"/>
        <v>2024</v>
      </c>
      <c r="N3048" s="22">
        <f t="shared" si="1382"/>
        <v>2025</v>
      </c>
      <c r="O3048" s="1"/>
      <c r="P3048" s="1"/>
      <c r="Q3048" s="2" t="s">
        <v>818</v>
      </c>
      <c r="R3048" s="2"/>
      <c r="S3048" s="343"/>
      <c r="T3048" s="343"/>
      <c r="U3048" s="2"/>
      <c r="V3048" s="2"/>
      <c r="W3048" s="2"/>
      <c r="X3048" s="2"/>
      <c r="Y3048" s="2"/>
      <c r="Z3048" s="2"/>
      <c r="AA3048" s="2"/>
      <c r="AB3048" s="2"/>
      <c r="AC3048" s="2"/>
      <c r="AD3048" s="2"/>
      <c r="AE3048" s="2"/>
      <c r="AF3048" s="2"/>
      <c r="AG3048" s="2"/>
      <c r="AH3048" s="2"/>
      <c r="AI3048" s="2"/>
      <c r="AJ3048" s="2"/>
      <c r="AK3048" s="2"/>
      <c r="AL3048" s="2"/>
    </row>
    <row r="3049" spans="1:38" ht="13.5" hidden="1" thickBot="1" x14ac:dyDescent="0.3">
      <c r="A3049" s="2" t="s">
        <v>346</v>
      </c>
      <c r="B3049" s="1"/>
      <c r="C3049" s="1"/>
      <c r="D3049" s="1"/>
      <c r="E3049" s="168" t="s">
        <v>817</v>
      </c>
      <c r="F3049" s="168"/>
      <c r="G3049" s="168"/>
      <c r="H3049" s="168">
        <f>COUNTIFS($Q$6:$Q$3036,$Q3049,$H$6:$H$3036,"&gt;="&amp;0)</f>
        <v>0</v>
      </c>
      <c r="I3049" s="168">
        <f t="shared" ref="I3049:N3049" si="1383">COUNTIFS($Q$6:$Q$3036,$Q3049,$H$6:$H$3036,"&gt;="&amp;0)</f>
        <v>0</v>
      </c>
      <c r="J3049" s="168">
        <f t="shared" si="1383"/>
        <v>0</v>
      </c>
      <c r="K3049" s="168">
        <f t="shared" si="1383"/>
        <v>0</v>
      </c>
      <c r="L3049" s="168">
        <f t="shared" si="1383"/>
        <v>0</v>
      </c>
      <c r="M3049" s="168">
        <f t="shared" si="1383"/>
        <v>0</v>
      </c>
      <c r="N3049" s="168">
        <f t="shared" si="1383"/>
        <v>0</v>
      </c>
      <c r="O3049" s="1"/>
      <c r="P3049" s="1"/>
      <c r="Q3049" s="167" t="str">
        <f>EUconst_CNTR_HAL&amp;EUconst_CNTR_nonETSMeasHeat</f>
        <v>HAL_mätbar värme utanför ETS</v>
      </c>
      <c r="R3049" s="2"/>
      <c r="S3049" s="343"/>
      <c r="T3049" s="343"/>
      <c r="U3049" s="2"/>
      <c r="V3049" s="2"/>
      <c r="W3049" s="2"/>
      <c r="X3049" s="2"/>
      <c r="Y3049" s="2"/>
      <c r="Z3049" s="2"/>
      <c r="AA3049" s="2"/>
      <c r="AB3049" s="2"/>
      <c r="AC3049" s="2"/>
      <c r="AD3049" s="2"/>
      <c r="AE3049" s="2"/>
      <c r="AF3049" s="2"/>
      <c r="AG3049" s="2"/>
      <c r="AH3049" s="2"/>
      <c r="AI3049" s="2"/>
      <c r="AJ3049" s="2"/>
      <c r="AK3049" s="2"/>
      <c r="AL3049" s="2"/>
    </row>
    <row r="3050" spans="1:38" ht="13.5" hidden="1" thickBot="1" x14ac:dyDescent="0.3">
      <c r="A3050" s="2" t="s">
        <v>346</v>
      </c>
      <c r="B3050" s="1"/>
      <c r="C3050" s="1"/>
      <c r="D3050" s="1"/>
      <c r="E3050" s="169" t="s">
        <v>820</v>
      </c>
      <c r="F3050" s="170"/>
      <c r="G3050" s="171" t="str">
        <f>EUconst_TJpa</f>
        <v>TJ / år</v>
      </c>
      <c r="H3050" s="172" t="str">
        <f t="shared" ref="H3050:N3050" si="1384">IF(H3049&gt;0,SUMIF($Q$11:$Q$3036,$Q3049,H$11:H$3036),"")</f>
        <v/>
      </c>
      <c r="I3050" s="172" t="str">
        <f t="shared" si="1384"/>
        <v/>
      </c>
      <c r="J3050" s="172" t="str">
        <f t="shared" si="1384"/>
        <v/>
      </c>
      <c r="K3050" s="172" t="str">
        <f t="shared" si="1384"/>
        <v/>
      </c>
      <c r="L3050" s="172" t="str">
        <f t="shared" si="1384"/>
        <v/>
      </c>
      <c r="M3050" s="172" t="str">
        <f t="shared" si="1384"/>
        <v/>
      </c>
      <c r="N3050" s="173" t="str">
        <f t="shared" si="1384"/>
        <v/>
      </c>
      <c r="O3050" s="1"/>
      <c r="P3050" s="1"/>
      <c r="Q3050" s="2" t="s">
        <v>821</v>
      </c>
      <c r="R3050" s="2"/>
      <c r="S3050" s="343"/>
      <c r="T3050" s="343"/>
      <c r="U3050" s="2"/>
      <c r="V3050" s="2"/>
      <c r="W3050" s="2"/>
      <c r="X3050" s="2"/>
      <c r="Y3050" s="2"/>
      <c r="Z3050" s="2"/>
      <c r="AA3050" s="2"/>
      <c r="AB3050" s="2"/>
      <c r="AC3050" s="2"/>
      <c r="AD3050" s="2"/>
      <c r="AE3050" s="2"/>
      <c r="AF3050" s="2"/>
      <c r="AG3050" s="2"/>
      <c r="AH3050" s="2"/>
      <c r="AI3050" s="2"/>
      <c r="AJ3050" s="2"/>
      <c r="AK3050" s="2"/>
      <c r="AL3050" s="2"/>
    </row>
    <row r="3051" spans="1:38" hidden="1" x14ac:dyDescent="0.25">
      <c r="A3051" s="2" t="s">
        <v>346</v>
      </c>
      <c r="B3051" s="1"/>
      <c r="C3051" s="1"/>
      <c r="D3051" s="1"/>
      <c r="E3051" s="1"/>
      <c r="F3051" s="1"/>
      <c r="G3051" s="1"/>
      <c r="H3051" s="1"/>
      <c r="I3051" s="1"/>
      <c r="J3051" s="1"/>
      <c r="K3051" s="1"/>
      <c r="L3051" s="1"/>
      <c r="M3051" s="1"/>
      <c r="N3051" s="1"/>
      <c r="O3051" s="1"/>
      <c r="P3051" s="1"/>
      <c r="Q3051" s="2"/>
      <c r="R3051" s="2"/>
      <c r="S3051" s="343"/>
      <c r="T3051" s="343"/>
      <c r="U3051" s="2"/>
      <c r="V3051" s="2"/>
      <c r="W3051" s="2"/>
      <c r="X3051" s="2"/>
      <c r="Y3051" s="2"/>
      <c r="Z3051" s="2"/>
      <c r="AA3051" s="2"/>
      <c r="AB3051" s="2"/>
      <c r="AC3051" s="2"/>
      <c r="AD3051" s="2"/>
      <c r="AE3051" s="2"/>
      <c r="AF3051" s="2"/>
      <c r="AG3051" s="2"/>
      <c r="AH3051" s="2"/>
      <c r="AI3051" s="2"/>
      <c r="AJ3051" s="2"/>
      <c r="AK3051" s="2"/>
      <c r="AL3051" s="2"/>
    </row>
    <row r="3052" spans="1:38" ht="13" hidden="1" x14ac:dyDescent="0.25">
      <c r="A3052" s="2" t="s">
        <v>346</v>
      </c>
      <c r="B3052" s="1"/>
      <c r="C3052" s="1"/>
      <c r="D3052" s="1"/>
      <c r="E3052" s="41" t="s">
        <v>616</v>
      </c>
      <c r="F3052" s="1"/>
      <c r="G3052" s="1"/>
      <c r="H3052" s="1"/>
      <c r="I3052" s="1"/>
      <c r="J3052" s="1"/>
      <c r="K3052" s="1"/>
      <c r="L3052" s="1"/>
      <c r="M3052" s="1"/>
      <c r="N3052" s="1"/>
      <c r="O3052" s="1"/>
      <c r="P3052" s="1"/>
      <c r="Q3052" s="2"/>
      <c r="R3052" s="2"/>
      <c r="S3052" s="343"/>
      <c r="T3052" s="343"/>
      <c r="U3052" s="2"/>
      <c r="V3052" s="2"/>
      <c r="W3052" s="2"/>
      <c r="X3052" s="2"/>
      <c r="Y3052" s="2"/>
      <c r="Z3052" s="2"/>
      <c r="AA3052" s="2"/>
      <c r="AB3052" s="2"/>
      <c r="AC3052" s="2"/>
      <c r="AD3052" s="2"/>
      <c r="AE3052" s="2"/>
      <c r="AF3052" s="2"/>
      <c r="AG3052" s="2"/>
      <c r="AH3052" s="2"/>
      <c r="AI3052" s="2"/>
      <c r="AJ3052" s="2"/>
      <c r="AK3052" s="2"/>
      <c r="AL3052" s="2"/>
    </row>
    <row r="3053" spans="1:38" ht="13" hidden="1" thickBot="1" x14ac:dyDescent="0.3">
      <c r="A3053" s="2" t="s">
        <v>346</v>
      </c>
      <c r="B3053" s="1"/>
      <c r="C3053" s="1"/>
      <c r="D3053" s="1"/>
      <c r="E3053" s="22"/>
      <c r="F3053" s="22"/>
      <c r="G3053" s="22"/>
      <c r="H3053" s="22">
        <f t="shared" ref="H3053:N3053" si="1385">H$3042</f>
        <v>2019</v>
      </c>
      <c r="I3053" s="22">
        <f t="shared" si="1385"/>
        <v>2020</v>
      </c>
      <c r="J3053" s="22">
        <f t="shared" si="1385"/>
        <v>2021</v>
      </c>
      <c r="K3053" s="22">
        <f t="shared" si="1385"/>
        <v>2022</v>
      </c>
      <c r="L3053" s="22">
        <f t="shared" si="1385"/>
        <v>2023</v>
      </c>
      <c r="M3053" s="22">
        <f t="shared" si="1385"/>
        <v>2024</v>
      </c>
      <c r="N3053" s="22">
        <f t="shared" si="1385"/>
        <v>2025</v>
      </c>
      <c r="O3053" s="1"/>
      <c r="P3053" s="1"/>
      <c r="Q3053" s="2" t="s">
        <v>818</v>
      </c>
      <c r="R3053" s="2"/>
      <c r="S3053" s="343"/>
      <c r="T3053" s="343"/>
      <c r="U3053" s="2"/>
      <c r="V3053" s="2"/>
      <c r="W3053" s="2"/>
      <c r="X3053" s="2"/>
      <c r="Y3053" s="2"/>
      <c r="Z3053" s="2"/>
      <c r="AA3053" s="2"/>
      <c r="AB3053" s="2"/>
      <c r="AC3053" s="2"/>
      <c r="AD3053" s="2"/>
      <c r="AE3053" s="2"/>
      <c r="AF3053" s="2"/>
      <c r="AG3053" s="2"/>
      <c r="AH3053" s="2"/>
      <c r="AI3053" s="2"/>
      <c r="AJ3053" s="2"/>
      <c r="AK3053" s="2"/>
      <c r="AL3053" s="2"/>
    </row>
    <row r="3054" spans="1:38" ht="13.5" hidden="1" thickBot="1" x14ac:dyDescent="0.3">
      <c r="A3054" s="2" t="s">
        <v>346</v>
      </c>
      <c r="B3054" s="1"/>
      <c r="C3054" s="1"/>
      <c r="D3054" s="1"/>
      <c r="E3054" s="168" t="s">
        <v>817</v>
      </c>
      <c r="F3054" s="168"/>
      <c r="G3054" s="168"/>
      <c r="H3054" s="168">
        <f>COUNTIFS($Q$6:$Q$3036,$Q3054,$H$6:$H$3036,"&gt;="&amp;0)</f>
        <v>0</v>
      </c>
      <c r="I3054" s="168">
        <f t="shared" ref="I3054:N3054" si="1386">COUNTIFS($Q$6:$Q$3036,$Q3054,$H$6:$H$3036,"&gt;="&amp;0)</f>
        <v>0</v>
      </c>
      <c r="J3054" s="168">
        <f t="shared" si="1386"/>
        <v>0</v>
      </c>
      <c r="K3054" s="168">
        <f t="shared" si="1386"/>
        <v>0</v>
      </c>
      <c r="L3054" s="168">
        <f t="shared" si="1386"/>
        <v>0</v>
      </c>
      <c r="M3054" s="168">
        <f t="shared" si="1386"/>
        <v>0</v>
      </c>
      <c r="N3054" s="168">
        <f t="shared" si="1386"/>
        <v>0</v>
      </c>
      <c r="O3054" s="1"/>
      <c r="P3054" s="1"/>
      <c r="Q3054" s="167" t="str">
        <f>EUconst_CNTR_HAL&amp;EUconst_CNTR_ELEXCH</f>
        <v>HAL_ELEXCH_</v>
      </c>
      <c r="R3054" s="2"/>
      <c r="S3054" s="343"/>
      <c r="T3054" s="343"/>
      <c r="U3054" s="2"/>
      <c r="V3054" s="2"/>
      <c r="W3054" s="2"/>
      <c r="X3054" s="2"/>
      <c r="Y3054" s="2"/>
      <c r="Z3054" s="2"/>
      <c r="AA3054" s="2"/>
      <c r="AB3054" s="2"/>
      <c r="AC3054" s="2"/>
      <c r="AD3054" s="2"/>
      <c r="AE3054" s="2"/>
      <c r="AF3054" s="2"/>
      <c r="AG3054" s="2"/>
      <c r="AH3054" s="2"/>
      <c r="AI3054" s="2"/>
      <c r="AJ3054" s="2"/>
      <c r="AK3054" s="2"/>
      <c r="AL3054" s="2"/>
    </row>
    <row r="3055" spans="1:38" ht="13.5" hidden="1" thickBot="1" x14ac:dyDescent="0.3">
      <c r="A3055" s="2" t="s">
        <v>346</v>
      </c>
      <c r="B3055" s="1"/>
      <c r="C3055" s="1"/>
      <c r="D3055" s="1"/>
      <c r="E3055" s="169" t="s">
        <v>820</v>
      </c>
      <c r="F3055" s="170"/>
      <c r="G3055" s="171" t="str">
        <f>EUconst_TJpa</f>
        <v>TJ / år</v>
      </c>
      <c r="H3055" s="172" t="str">
        <f t="shared" ref="H3055:N3055" si="1387">IF(H3054&gt;0,SUMIF($Q$11:$Q$3036,$Q3054,H$11:H$3036),"")</f>
        <v/>
      </c>
      <c r="I3055" s="172" t="str">
        <f t="shared" si="1387"/>
        <v/>
      </c>
      <c r="J3055" s="172" t="str">
        <f t="shared" si="1387"/>
        <v/>
      </c>
      <c r="K3055" s="172" t="str">
        <f t="shared" si="1387"/>
        <v/>
      </c>
      <c r="L3055" s="172" t="str">
        <f t="shared" si="1387"/>
        <v/>
      </c>
      <c r="M3055" s="172" t="str">
        <f t="shared" si="1387"/>
        <v/>
      </c>
      <c r="N3055" s="173" t="str">
        <f t="shared" si="1387"/>
        <v/>
      </c>
      <c r="O3055" s="1"/>
      <c r="P3055" s="1"/>
      <c r="Q3055" s="2" t="s">
        <v>617</v>
      </c>
      <c r="R3055" s="2"/>
      <c r="S3055" s="343"/>
      <c r="T3055" s="343"/>
      <c r="U3055" s="2"/>
      <c r="V3055" s="2"/>
      <c r="W3055" s="2"/>
      <c r="X3055" s="2"/>
      <c r="Y3055" s="2"/>
      <c r="Z3055" s="2"/>
      <c r="AA3055" s="2"/>
      <c r="AB3055" s="2"/>
      <c r="AC3055" s="2"/>
      <c r="AD3055" s="2"/>
      <c r="AE3055" s="2"/>
      <c r="AF3055" s="2"/>
      <c r="AG3055" s="2"/>
      <c r="AH3055" s="2"/>
      <c r="AI3055" s="2"/>
      <c r="AJ3055" s="2"/>
      <c r="AK3055" s="2"/>
      <c r="AL3055" s="2"/>
    </row>
    <row r="3056" spans="1:38" hidden="1" x14ac:dyDescent="0.25">
      <c r="A3056" s="2" t="s">
        <v>346</v>
      </c>
      <c r="B3056" s="1"/>
      <c r="C3056" s="1"/>
      <c r="D3056" s="1"/>
      <c r="E3056" s="1"/>
      <c r="F3056" s="1"/>
      <c r="G3056" s="1"/>
      <c r="H3056" s="1"/>
      <c r="I3056" s="1"/>
      <c r="J3056" s="1"/>
      <c r="K3056" s="1"/>
      <c r="L3056" s="1"/>
      <c r="M3056" s="1"/>
      <c r="N3056" s="1"/>
      <c r="O3056" s="1"/>
      <c r="P3056" s="1"/>
      <c r="Q3056" s="2"/>
      <c r="R3056" s="2"/>
      <c r="S3056" s="343"/>
      <c r="T3056" s="343"/>
      <c r="U3056" s="2"/>
      <c r="V3056" s="2"/>
      <c r="W3056" s="2"/>
      <c r="X3056" s="2"/>
      <c r="Y3056" s="2"/>
      <c r="Z3056" s="2"/>
      <c r="AA3056" s="2"/>
      <c r="AB3056" s="2"/>
      <c r="AC3056" s="2"/>
      <c r="AD3056" s="2"/>
      <c r="AE3056" s="2"/>
      <c r="AF3056" s="2"/>
      <c r="AG3056" s="2"/>
      <c r="AH3056" s="2"/>
      <c r="AI3056" s="2"/>
      <c r="AJ3056" s="2"/>
      <c r="AK3056" s="2"/>
      <c r="AL3056" s="2"/>
    </row>
    <row r="3057" spans="1:38" hidden="1" x14ac:dyDescent="0.25">
      <c r="A3057" s="2" t="s">
        <v>346</v>
      </c>
      <c r="B3057" s="1"/>
      <c r="C3057" s="1"/>
      <c r="D3057" s="1"/>
      <c r="E3057" s="1" t="s">
        <v>868</v>
      </c>
      <c r="F3057" s="1"/>
      <c r="G3057" s="1"/>
      <c r="H3057" s="1"/>
      <c r="I3057" s="1"/>
      <c r="J3057" s="1"/>
      <c r="K3057" s="1"/>
      <c r="L3057" s="1"/>
      <c r="M3057" s="1"/>
      <c r="N3057" s="1"/>
      <c r="O3057" s="1"/>
      <c r="P3057" s="1"/>
      <c r="Q3057" s="2"/>
      <c r="R3057" s="2"/>
      <c r="S3057" s="343"/>
      <c r="T3057" s="343"/>
      <c r="U3057" s="2"/>
      <c r="V3057" s="2"/>
      <c r="W3057" s="2"/>
      <c r="X3057" s="2"/>
      <c r="Y3057" s="2"/>
      <c r="Z3057" s="2"/>
      <c r="AA3057" s="2"/>
      <c r="AB3057" s="2"/>
      <c r="AC3057" s="2"/>
      <c r="AD3057" s="2"/>
      <c r="AE3057" s="2"/>
      <c r="AF3057" s="2"/>
      <c r="AG3057" s="2"/>
      <c r="AH3057" s="2"/>
      <c r="AI3057" s="2"/>
      <c r="AJ3057" s="2"/>
      <c r="AK3057" s="2"/>
      <c r="AL3057" s="2"/>
    </row>
    <row r="3058" spans="1:38" hidden="1" x14ac:dyDescent="0.25">
      <c r="A3058" s="2" t="s">
        <v>346</v>
      </c>
      <c r="B3058" s="1"/>
      <c r="C3058" s="1"/>
      <c r="D3058" s="1"/>
      <c r="E3058" s="1"/>
      <c r="F3058" s="1" t="s">
        <v>1134</v>
      </c>
      <c r="G3058" s="44" t="b">
        <f t="shared" ref="G3058:G3067" si="1388">(COUNTIF($AK$11:$AK$3036,EUconst_Error&amp;F3058)&gt;0)</f>
        <v>0</v>
      </c>
      <c r="H3058" s="1"/>
      <c r="I3058" s="1"/>
      <c r="J3058" s="1"/>
      <c r="K3058" s="1"/>
      <c r="L3058" s="1"/>
      <c r="M3058" s="1"/>
      <c r="N3058" s="1"/>
      <c r="O3058" s="1"/>
      <c r="P3058" s="1"/>
      <c r="Q3058" s="2"/>
      <c r="R3058" s="2"/>
      <c r="S3058" s="343"/>
      <c r="T3058" s="343"/>
      <c r="U3058" s="2"/>
      <c r="V3058" s="2"/>
      <c r="W3058" s="2"/>
      <c r="X3058" s="2"/>
      <c r="Y3058" s="2"/>
      <c r="Z3058" s="2"/>
      <c r="AA3058" s="2"/>
      <c r="AB3058" s="2"/>
      <c r="AC3058" s="2"/>
      <c r="AD3058" s="2"/>
      <c r="AE3058" s="2"/>
      <c r="AF3058" s="2"/>
      <c r="AG3058" s="2"/>
      <c r="AH3058" s="2"/>
      <c r="AI3058" s="2"/>
      <c r="AJ3058" s="2"/>
      <c r="AK3058" s="2"/>
      <c r="AL3058" s="2"/>
    </row>
    <row r="3059" spans="1:38" hidden="1" x14ac:dyDescent="0.25">
      <c r="A3059" s="2" t="s">
        <v>346</v>
      </c>
      <c r="B3059" s="1"/>
      <c r="C3059" s="1"/>
      <c r="D3059" s="1"/>
      <c r="E3059" s="1"/>
      <c r="F3059" s="1" t="s">
        <v>1135</v>
      </c>
      <c r="G3059" s="44" t="b">
        <f t="shared" si="1388"/>
        <v>0</v>
      </c>
      <c r="H3059" s="1"/>
      <c r="I3059" s="1"/>
      <c r="J3059" s="1"/>
      <c r="K3059" s="1"/>
      <c r="L3059" s="1"/>
      <c r="M3059" s="1"/>
      <c r="N3059" s="1"/>
      <c r="O3059" s="1"/>
      <c r="P3059" s="1"/>
      <c r="Q3059" s="2"/>
      <c r="R3059" s="2"/>
      <c r="S3059" s="343"/>
      <c r="T3059" s="343"/>
      <c r="U3059" s="2"/>
      <c r="V3059" s="2"/>
      <c r="W3059" s="2"/>
      <c r="X3059" s="2"/>
      <c r="Y3059" s="2"/>
      <c r="Z3059" s="2"/>
      <c r="AA3059" s="2"/>
      <c r="AB3059" s="2"/>
      <c r="AC3059" s="2"/>
      <c r="AD3059" s="2"/>
      <c r="AE3059" s="2"/>
      <c r="AF3059" s="2"/>
      <c r="AG3059" s="2"/>
      <c r="AH3059" s="2"/>
      <c r="AI3059" s="2"/>
      <c r="AJ3059" s="2"/>
      <c r="AK3059" s="2"/>
      <c r="AL3059" s="2"/>
    </row>
    <row r="3060" spans="1:38" hidden="1" x14ac:dyDescent="0.25">
      <c r="A3060" s="2" t="s">
        <v>346</v>
      </c>
      <c r="B3060" s="1"/>
      <c r="C3060" s="1"/>
      <c r="D3060" s="1"/>
      <c r="E3060" s="1"/>
      <c r="F3060" s="1" t="s">
        <v>1136</v>
      </c>
      <c r="G3060" s="44" t="b">
        <f t="shared" si="1388"/>
        <v>0</v>
      </c>
      <c r="H3060" s="1"/>
      <c r="I3060" s="1"/>
      <c r="J3060" s="1"/>
      <c r="K3060" s="1"/>
      <c r="L3060" s="1"/>
      <c r="M3060" s="1"/>
      <c r="N3060" s="1"/>
      <c r="O3060" s="1"/>
      <c r="P3060" s="1"/>
      <c r="Q3060" s="2"/>
      <c r="R3060" s="2"/>
      <c r="S3060" s="343"/>
      <c r="T3060" s="343"/>
      <c r="U3060" s="2"/>
      <c r="V3060" s="2"/>
      <c r="W3060" s="2"/>
      <c r="X3060" s="2"/>
      <c r="Y3060" s="2"/>
      <c r="Z3060" s="2"/>
      <c r="AA3060" s="2"/>
      <c r="AB3060" s="2"/>
      <c r="AC3060" s="2"/>
      <c r="AD3060" s="2"/>
      <c r="AE3060" s="2"/>
      <c r="AF3060" s="2"/>
      <c r="AG3060" s="2"/>
      <c r="AH3060" s="2"/>
      <c r="AI3060" s="2"/>
      <c r="AJ3060" s="2"/>
      <c r="AK3060" s="2"/>
      <c r="AL3060" s="2"/>
    </row>
    <row r="3061" spans="1:38" hidden="1" x14ac:dyDescent="0.25">
      <c r="A3061" s="2" t="s">
        <v>346</v>
      </c>
      <c r="B3061" s="1"/>
      <c r="C3061" s="1"/>
      <c r="D3061" s="1"/>
      <c r="E3061" s="1"/>
      <c r="F3061" s="1" t="s">
        <v>1137</v>
      </c>
      <c r="G3061" s="44" t="b">
        <f t="shared" si="1388"/>
        <v>0</v>
      </c>
      <c r="H3061" s="1"/>
      <c r="I3061" s="1"/>
      <c r="J3061" s="1"/>
      <c r="K3061" s="1"/>
      <c r="L3061" s="1"/>
      <c r="M3061" s="1"/>
      <c r="N3061" s="1"/>
      <c r="O3061" s="1"/>
      <c r="P3061" s="1"/>
      <c r="Q3061" s="2"/>
      <c r="R3061" s="2"/>
      <c r="S3061" s="343"/>
      <c r="T3061" s="343"/>
      <c r="U3061" s="2"/>
      <c r="V3061" s="2"/>
      <c r="W3061" s="2"/>
      <c r="X3061" s="2"/>
      <c r="Y3061" s="2"/>
      <c r="Z3061" s="2"/>
      <c r="AA3061" s="2"/>
      <c r="AB3061" s="2"/>
      <c r="AC3061" s="2"/>
      <c r="AD3061" s="2"/>
      <c r="AE3061" s="2"/>
      <c r="AF3061" s="2"/>
      <c r="AG3061" s="2"/>
      <c r="AH3061" s="2"/>
      <c r="AI3061" s="2"/>
      <c r="AJ3061" s="2"/>
      <c r="AK3061" s="2"/>
      <c r="AL3061" s="2"/>
    </row>
    <row r="3062" spans="1:38" hidden="1" x14ac:dyDescent="0.25">
      <c r="A3062" s="2" t="s">
        <v>346</v>
      </c>
      <c r="B3062" s="1"/>
      <c r="C3062" s="1"/>
      <c r="D3062" s="1"/>
      <c r="E3062" s="1"/>
      <c r="F3062" s="1" t="s">
        <v>1138</v>
      </c>
      <c r="G3062" s="44" t="b">
        <f t="shared" si="1388"/>
        <v>0</v>
      </c>
      <c r="H3062" s="1"/>
      <c r="I3062" s="1"/>
      <c r="J3062" s="1"/>
      <c r="K3062" s="1"/>
      <c r="L3062" s="1"/>
      <c r="M3062" s="1"/>
      <c r="N3062" s="1"/>
      <c r="O3062" s="1"/>
      <c r="P3062" s="1"/>
      <c r="Q3062" s="2"/>
      <c r="R3062" s="2"/>
      <c r="S3062" s="343"/>
      <c r="T3062" s="343"/>
      <c r="U3062" s="2"/>
      <c r="V3062" s="2"/>
      <c r="W3062" s="2"/>
      <c r="X3062" s="2"/>
      <c r="Y3062" s="2"/>
      <c r="Z3062" s="2"/>
      <c r="AA3062" s="2"/>
      <c r="AB3062" s="2"/>
      <c r="AC3062" s="2"/>
      <c r="AD3062" s="2"/>
      <c r="AE3062" s="2"/>
      <c r="AF3062" s="2"/>
      <c r="AG3062" s="2"/>
      <c r="AH3062" s="2"/>
      <c r="AI3062" s="2"/>
      <c r="AJ3062" s="2"/>
      <c r="AK3062" s="2"/>
      <c r="AL3062" s="2"/>
    </row>
    <row r="3063" spans="1:38" hidden="1" x14ac:dyDescent="0.25">
      <c r="A3063" s="2" t="s">
        <v>346</v>
      </c>
      <c r="B3063" s="1"/>
      <c r="C3063" s="1"/>
      <c r="D3063" s="1"/>
      <c r="E3063" s="1"/>
      <c r="F3063" s="1" t="s">
        <v>1139</v>
      </c>
      <c r="G3063" s="44" t="b">
        <f t="shared" si="1388"/>
        <v>0</v>
      </c>
      <c r="H3063" s="1"/>
      <c r="I3063" s="1"/>
      <c r="J3063" s="1"/>
      <c r="K3063" s="1"/>
      <c r="L3063" s="1"/>
      <c r="M3063" s="1"/>
      <c r="N3063" s="1"/>
      <c r="O3063" s="1"/>
      <c r="P3063" s="1"/>
      <c r="Q3063" s="2"/>
      <c r="R3063" s="2"/>
      <c r="S3063" s="343"/>
      <c r="T3063" s="343"/>
      <c r="U3063" s="2"/>
      <c r="V3063" s="2"/>
      <c r="W3063" s="2"/>
      <c r="X3063" s="2"/>
      <c r="Y3063" s="2"/>
      <c r="Z3063" s="2"/>
      <c r="AA3063" s="2"/>
      <c r="AB3063" s="2"/>
      <c r="AC3063" s="2"/>
      <c r="AD3063" s="2"/>
      <c r="AE3063" s="2"/>
      <c r="AF3063" s="2"/>
      <c r="AG3063" s="2"/>
      <c r="AH3063" s="2"/>
      <c r="AI3063" s="2"/>
      <c r="AJ3063" s="2"/>
      <c r="AK3063" s="2"/>
      <c r="AL3063" s="2"/>
    </row>
    <row r="3064" spans="1:38" hidden="1" x14ac:dyDescent="0.25">
      <c r="A3064" s="2" t="s">
        <v>346</v>
      </c>
      <c r="B3064" s="1"/>
      <c r="C3064" s="1"/>
      <c r="D3064" s="1"/>
      <c r="E3064" s="1"/>
      <c r="F3064" s="1" t="s">
        <v>1140</v>
      </c>
      <c r="G3064" s="44" t="b">
        <f t="shared" si="1388"/>
        <v>0</v>
      </c>
      <c r="H3064" s="1"/>
      <c r="I3064" s="1"/>
      <c r="J3064" s="1"/>
      <c r="K3064" s="1"/>
      <c r="L3064" s="1"/>
      <c r="M3064" s="1"/>
      <c r="N3064" s="1"/>
      <c r="O3064" s="1"/>
      <c r="P3064" s="1"/>
      <c r="Q3064" s="2"/>
      <c r="R3064" s="2"/>
      <c r="S3064" s="343"/>
      <c r="T3064" s="343"/>
      <c r="U3064" s="2"/>
      <c r="V3064" s="2"/>
      <c r="W3064" s="2"/>
      <c r="X3064" s="2"/>
      <c r="Y3064" s="2"/>
      <c r="Z3064" s="2"/>
      <c r="AA3064" s="2"/>
      <c r="AB3064" s="2"/>
      <c r="AC3064" s="2"/>
      <c r="AD3064" s="2"/>
      <c r="AE3064" s="2"/>
      <c r="AF3064" s="2"/>
      <c r="AG3064" s="2"/>
      <c r="AH3064" s="2"/>
      <c r="AI3064" s="2"/>
      <c r="AJ3064" s="2"/>
      <c r="AK3064" s="2"/>
      <c r="AL3064" s="2"/>
    </row>
    <row r="3065" spans="1:38" hidden="1" x14ac:dyDescent="0.25">
      <c r="A3065" s="2" t="s">
        <v>346</v>
      </c>
      <c r="B3065" s="1"/>
      <c r="C3065" s="1"/>
      <c r="D3065" s="1"/>
      <c r="E3065" s="1"/>
      <c r="F3065" s="1" t="s">
        <v>1141</v>
      </c>
      <c r="G3065" s="44" t="b">
        <f t="shared" si="1388"/>
        <v>0</v>
      </c>
      <c r="H3065" s="1"/>
      <c r="I3065" s="1"/>
      <c r="J3065" s="1"/>
      <c r="K3065" s="1"/>
      <c r="L3065" s="1"/>
      <c r="M3065" s="1"/>
      <c r="N3065" s="1"/>
      <c r="O3065" s="1"/>
      <c r="P3065" s="1"/>
      <c r="Q3065" s="2"/>
      <c r="R3065" s="2"/>
      <c r="S3065" s="343"/>
      <c r="T3065" s="343"/>
      <c r="U3065" s="2"/>
      <c r="V3065" s="2"/>
      <c r="W3065" s="2"/>
      <c r="X3065" s="2"/>
      <c r="Y3065" s="2"/>
      <c r="Z3065" s="2"/>
      <c r="AA3065" s="2"/>
      <c r="AB3065" s="2"/>
      <c r="AC3065" s="2"/>
      <c r="AD3065" s="2"/>
      <c r="AE3065" s="2"/>
      <c r="AF3065" s="2"/>
      <c r="AG3065" s="2"/>
      <c r="AH3065" s="2"/>
      <c r="AI3065" s="2"/>
      <c r="AJ3065" s="2"/>
      <c r="AK3065" s="2"/>
      <c r="AL3065" s="2"/>
    </row>
    <row r="3066" spans="1:38" hidden="1" x14ac:dyDescent="0.25">
      <c r="A3066" s="2" t="s">
        <v>346</v>
      </c>
      <c r="B3066" s="1"/>
      <c r="C3066" s="1"/>
      <c r="D3066" s="1"/>
      <c r="E3066" s="1"/>
      <c r="F3066" s="1" t="s">
        <v>1142</v>
      </c>
      <c r="G3066" s="44" t="b">
        <f t="shared" si="1388"/>
        <v>0</v>
      </c>
      <c r="H3066" s="1"/>
      <c r="I3066" s="1"/>
      <c r="J3066" s="1"/>
      <c r="K3066" s="1"/>
      <c r="L3066" s="1"/>
      <c r="M3066" s="1"/>
      <c r="N3066" s="1"/>
      <c r="O3066" s="1"/>
      <c r="P3066" s="1"/>
      <c r="Q3066" s="2"/>
      <c r="R3066" s="2"/>
      <c r="S3066" s="343"/>
      <c r="T3066" s="343"/>
      <c r="U3066" s="2"/>
      <c r="V3066" s="2"/>
      <c r="W3066" s="2"/>
      <c r="X3066" s="2"/>
      <c r="Y3066" s="2"/>
      <c r="Z3066" s="2"/>
      <c r="AA3066" s="2"/>
      <c r="AB3066" s="2"/>
      <c r="AC3066" s="2"/>
      <c r="AD3066" s="2"/>
      <c r="AE3066" s="2"/>
      <c r="AF3066" s="2"/>
      <c r="AG3066" s="2"/>
      <c r="AH3066" s="2"/>
      <c r="AI3066" s="2"/>
      <c r="AJ3066" s="2"/>
      <c r="AK3066" s="2"/>
      <c r="AL3066" s="2"/>
    </row>
    <row r="3067" spans="1:38" ht="13" hidden="1" thickBot="1" x14ac:dyDescent="0.3">
      <c r="A3067" s="2" t="s">
        <v>346</v>
      </c>
      <c r="B3067" s="1"/>
      <c r="C3067" s="1"/>
      <c r="D3067" s="1"/>
      <c r="E3067" s="1"/>
      <c r="F3067" s="1" t="s">
        <v>1143</v>
      </c>
      <c r="G3067" s="44" t="b">
        <f t="shared" si="1388"/>
        <v>0</v>
      </c>
      <c r="H3067" s="1"/>
      <c r="I3067" s="1"/>
      <c r="J3067" s="1"/>
      <c r="K3067" s="1"/>
      <c r="L3067" s="1"/>
      <c r="M3067" s="1"/>
      <c r="N3067" s="1"/>
      <c r="O3067" s="1"/>
      <c r="P3067" s="1"/>
      <c r="Q3067" s="2"/>
      <c r="R3067" s="2"/>
      <c r="S3067" s="343"/>
      <c r="T3067" s="343"/>
      <c r="U3067" s="2"/>
      <c r="V3067" s="2"/>
      <c r="W3067" s="2"/>
      <c r="X3067" s="2"/>
      <c r="Y3067" s="2"/>
      <c r="Z3067" s="2"/>
      <c r="AA3067" s="2"/>
      <c r="AB3067" s="2"/>
      <c r="AC3067" s="2"/>
      <c r="AD3067" s="2"/>
      <c r="AE3067" s="2"/>
      <c r="AF3067" s="2"/>
      <c r="AG3067" s="2"/>
      <c r="AH3067" s="2"/>
      <c r="AI3067" s="2"/>
      <c r="AJ3067" s="2"/>
      <c r="AK3067" s="2"/>
      <c r="AL3067" s="2"/>
    </row>
    <row r="3068" spans="1:38" ht="13.5" hidden="1" thickBot="1" x14ac:dyDescent="0.3">
      <c r="A3068" s="2" t="s">
        <v>346</v>
      </c>
      <c r="B3068" s="1"/>
      <c r="C3068" s="1"/>
      <c r="D3068" s="1"/>
      <c r="E3068" s="1"/>
      <c r="F3068" s="41" t="s">
        <v>869</v>
      </c>
      <c r="G3068" s="227" t="b">
        <f>OR(G3058:G3067)</f>
        <v>0</v>
      </c>
      <c r="H3068" s="1"/>
      <c r="I3068" s="1"/>
      <c r="J3068" s="1"/>
      <c r="K3068" s="1"/>
      <c r="L3068" s="1"/>
      <c r="M3068" s="1"/>
      <c r="N3068" s="1"/>
      <c r="O3068" s="1"/>
      <c r="P3068" s="1"/>
      <c r="Q3068" s="2"/>
      <c r="R3068" s="2"/>
      <c r="S3068" s="343"/>
      <c r="T3068" s="343"/>
      <c r="U3068" s="2"/>
      <c r="V3068" s="2"/>
      <c r="W3068" s="2"/>
      <c r="X3068" s="2"/>
      <c r="Y3068" s="2"/>
      <c r="Z3068" s="2"/>
      <c r="AA3068" s="2"/>
      <c r="AB3068" s="2"/>
      <c r="AC3068" s="2"/>
      <c r="AD3068" s="2"/>
      <c r="AE3068" s="2"/>
      <c r="AF3068" s="2"/>
      <c r="AG3068" s="2"/>
      <c r="AH3068" s="2"/>
      <c r="AI3068" s="2"/>
      <c r="AJ3068" s="2"/>
      <c r="AK3068" s="2"/>
      <c r="AL3068" s="2"/>
    </row>
    <row r="3069" spans="1:38" hidden="1" x14ac:dyDescent="0.25">
      <c r="A3069" s="2" t="s">
        <v>346</v>
      </c>
      <c r="B3069" s="1"/>
      <c r="C3069" s="1"/>
      <c r="D3069" s="1"/>
      <c r="E3069" s="1"/>
      <c r="F3069" s="1"/>
      <c r="G3069" s="1"/>
      <c r="H3069" s="1"/>
      <c r="I3069" s="1"/>
      <c r="J3069" s="1"/>
      <c r="K3069" s="1"/>
      <c r="L3069" s="1"/>
      <c r="M3069" s="1"/>
      <c r="N3069" s="1"/>
      <c r="O3069" s="1"/>
      <c r="P3069" s="1"/>
      <c r="Q3069" s="2"/>
      <c r="R3069" s="2"/>
      <c r="S3069" s="343"/>
      <c r="T3069" s="343"/>
      <c r="U3069" s="2"/>
      <c r="V3069" s="2"/>
      <c r="W3069" s="2"/>
      <c r="X3069" s="2"/>
      <c r="Y3069" s="2"/>
      <c r="Z3069" s="2"/>
      <c r="AA3069" s="2"/>
      <c r="AB3069" s="2"/>
      <c r="AC3069" s="2"/>
      <c r="AD3069" s="2"/>
      <c r="AE3069" s="2"/>
      <c r="AF3069" s="2"/>
      <c r="AG3069" s="2"/>
      <c r="AH3069" s="2"/>
      <c r="AI3069" s="2"/>
      <c r="AJ3069" s="2"/>
      <c r="AK3069" s="2"/>
      <c r="AL3069" s="2"/>
    </row>
    <row r="3070" spans="1:38" hidden="1" x14ac:dyDescent="0.25">
      <c r="A3070" s="2" t="s">
        <v>346</v>
      </c>
      <c r="B3070" s="1"/>
      <c r="C3070" s="626">
        <v>11</v>
      </c>
      <c r="D3070" s="453" t="s">
        <v>1673</v>
      </c>
      <c r="E3070" s="453"/>
      <c r="F3070" s="1"/>
      <c r="G3070" s="1"/>
      <c r="H3070" s="1"/>
      <c r="I3070" s="1"/>
      <c r="J3070" s="1"/>
      <c r="K3070" s="1"/>
      <c r="L3070" s="1"/>
      <c r="M3070" s="1"/>
      <c r="N3070" s="1"/>
      <c r="O3070" s="1"/>
      <c r="P3070" s="1"/>
      <c r="Q3070" s="2"/>
      <c r="R3070" s="2"/>
      <c r="S3070" s="343"/>
      <c r="T3070" s="343"/>
      <c r="U3070" s="2"/>
      <c r="V3070" s="2"/>
      <c r="W3070" s="2"/>
      <c r="X3070" s="2"/>
      <c r="Y3070" s="2"/>
      <c r="Z3070" s="2"/>
      <c r="AA3070" s="2"/>
      <c r="AB3070" s="2"/>
      <c r="AC3070" s="2"/>
      <c r="AD3070" s="2"/>
      <c r="AE3070" s="2"/>
      <c r="AF3070" s="2"/>
      <c r="AG3070" s="2"/>
      <c r="AH3070" s="2"/>
      <c r="AI3070" s="2"/>
      <c r="AJ3070" s="2"/>
      <c r="AK3070" s="2"/>
      <c r="AL3070" s="2"/>
    </row>
    <row r="3071" spans="1:38" hidden="1" x14ac:dyDescent="0.25">
      <c r="A3071" s="2" t="s">
        <v>346</v>
      </c>
      <c r="B3071" s="1"/>
      <c r="C3071" s="1"/>
      <c r="D3071" s="1"/>
      <c r="E3071" s="1"/>
      <c r="F3071" s="1"/>
      <c r="G3071" s="1"/>
      <c r="H3071" s="1"/>
      <c r="I3071" s="1"/>
      <c r="J3071" s="1"/>
      <c r="K3071" s="1"/>
      <c r="L3071" s="1"/>
      <c r="M3071" s="1"/>
      <c r="N3071" s="1"/>
      <c r="O3071" s="1"/>
      <c r="P3071" s="1"/>
      <c r="Q3071" s="2"/>
      <c r="R3071" s="2"/>
      <c r="S3071" s="343"/>
      <c r="T3071" s="343"/>
      <c r="U3071" s="2"/>
      <c r="V3071" s="2"/>
      <c r="W3071" s="2"/>
      <c r="X3071" s="2"/>
      <c r="Y3071" s="2"/>
      <c r="Z3071" s="2"/>
      <c r="AA3071" s="2"/>
      <c r="AB3071" s="2"/>
      <c r="AC3071" s="2"/>
      <c r="AD3071" s="2"/>
      <c r="AE3071" s="2"/>
      <c r="AF3071" s="2"/>
      <c r="AG3071" s="2"/>
      <c r="AH3071" s="2"/>
      <c r="AI3071" s="2"/>
      <c r="AJ3071" s="2"/>
      <c r="AK3071" s="2"/>
      <c r="AL3071" s="2"/>
    </row>
  </sheetData>
  <sheetProtection sheet="1" objects="1" scenarios="1" formatCells="0" formatColumns="0" formatRows="0"/>
  <scenarios current="0">
    <scenario name="Test" locked="1" count="7" user="Heller Christian" comment="Erstellt von Heller Christian am 28.03.2020">
      <inputCells r="H21" val=""/>
      <inputCells r="I21" val="100" numFmtId="164"/>
      <inputCells r="J21" val="100" numFmtId="164"/>
      <inputCells r="K21" val="200" numFmtId="164"/>
      <inputCells r="L21" val=""/>
      <inputCells r="M21" val=""/>
      <inputCells r="N21" val=""/>
    </scenario>
  </scenarios>
  <mergeCells count="1957">
    <mergeCell ref="E2:F2"/>
    <mergeCell ref="E305:F305"/>
    <mergeCell ref="E306:F306"/>
    <mergeCell ref="E296:N296"/>
    <mergeCell ref="E297:N297"/>
    <mergeCell ref="E298:K298"/>
    <mergeCell ref="E301:F301"/>
    <mergeCell ref="E302:F302"/>
    <mergeCell ref="E304:F304"/>
    <mergeCell ref="E300:F300"/>
    <mergeCell ref="E289:N289"/>
    <mergeCell ref="E290:N290"/>
    <mergeCell ref="E291:N291"/>
    <mergeCell ref="E292:N292"/>
    <mergeCell ref="E293:F293"/>
    <mergeCell ref="E295:N295"/>
    <mergeCell ref="E280:F280"/>
    <mergeCell ref="E281:F281"/>
    <mergeCell ref="E283:N283"/>
    <mergeCell ref="E284:N284"/>
    <mergeCell ref="E285:N285"/>
    <mergeCell ref="E287:F287"/>
    <mergeCell ref="E274:H274"/>
    <mergeCell ref="E275:N275"/>
    <mergeCell ref="E276:N276"/>
    <mergeCell ref="E278:F278"/>
    <mergeCell ref="E279:F279"/>
    <mergeCell ref="I274:M274"/>
    <mergeCell ref="E267:N267"/>
    <mergeCell ref="E269:F269"/>
    <mergeCell ref="E270:F270"/>
    <mergeCell ref="E271:F271"/>
    <mergeCell ref="I265:M265"/>
    <mergeCell ref="E272:F272"/>
    <mergeCell ref="E258:I258"/>
    <mergeCell ref="E259:I259"/>
    <mergeCell ref="E261:I261"/>
    <mergeCell ref="E262:G262"/>
    <mergeCell ref="E265:H265"/>
    <mergeCell ref="E266:N266"/>
    <mergeCell ref="E249:F249"/>
    <mergeCell ref="E252:G252"/>
    <mergeCell ref="E253:G253"/>
    <mergeCell ref="E254:G254"/>
    <mergeCell ref="E255:G255"/>
    <mergeCell ref="E256:G256"/>
    <mergeCell ref="E241:N241"/>
    <mergeCell ref="E242:N242"/>
    <mergeCell ref="E244:F244"/>
    <mergeCell ref="E245:F245"/>
    <mergeCell ref="E246:F246"/>
    <mergeCell ref="E247:F247"/>
    <mergeCell ref="E234:F234"/>
    <mergeCell ref="E235:F235"/>
    <mergeCell ref="E236:F236"/>
    <mergeCell ref="E237:F237"/>
    <mergeCell ref="E239:H239"/>
    <mergeCell ref="E240:N240"/>
    <mergeCell ref="E227:F227"/>
    <mergeCell ref="E228:F228"/>
    <mergeCell ref="E230:H230"/>
    <mergeCell ref="I230:M230"/>
    <mergeCell ref="E231:N231"/>
    <mergeCell ref="E232:N232"/>
    <mergeCell ref="E220:N220"/>
    <mergeCell ref="E221:H221"/>
    <mergeCell ref="E222:N222"/>
    <mergeCell ref="E223:N223"/>
    <mergeCell ref="E225:F225"/>
    <mergeCell ref="E226:F226"/>
    <mergeCell ref="E213:F213"/>
    <mergeCell ref="E214:F214"/>
    <mergeCell ref="E215:F215"/>
    <mergeCell ref="E217:N217"/>
    <mergeCell ref="E219:K219"/>
    <mergeCell ref="E204:N204"/>
    <mergeCell ref="E205:F205"/>
    <mergeCell ref="E206:F206"/>
    <mergeCell ref="E207:F207"/>
    <mergeCell ref="E209:F209"/>
    <mergeCell ref="E210:F210"/>
    <mergeCell ref="E197:F197"/>
    <mergeCell ref="E199:N199"/>
    <mergeCell ref="E200:N200"/>
    <mergeCell ref="E201:N201"/>
    <mergeCell ref="E202:N202"/>
    <mergeCell ref="E203:N203"/>
    <mergeCell ref="E192:N192"/>
    <mergeCell ref="E193:N193"/>
    <mergeCell ref="E194:N194"/>
    <mergeCell ref="E195:N195"/>
    <mergeCell ref="E183:F183"/>
    <mergeCell ref="E184:F184"/>
    <mergeCell ref="E185:F185"/>
    <mergeCell ref="E186:F186"/>
    <mergeCell ref="E187:F187"/>
    <mergeCell ref="E188:F188"/>
    <mergeCell ref="E175:F175"/>
    <mergeCell ref="E176:F176"/>
    <mergeCell ref="E177:F177"/>
    <mergeCell ref="E178:F178"/>
    <mergeCell ref="E180:H180"/>
    <mergeCell ref="E182:F182"/>
    <mergeCell ref="E211:F211"/>
    <mergeCell ref="E172:F172"/>
    <mergeCell ref="E173:F173"/>
    <mergeCell ref="E174:F174"/>
    <mergeCell ref="E162:N162"/>
    <mergeCell ref="E163:N163"/>
    <mergeCell ref="E164:N164"/>
    <mergeCell ref="E165:N165"/>
    <mergeCell ref="E166:K166"/>
    <mergeCell ref="E167:N167"/>
    <mergeCell ref="E154:N154"/>
    <mergeCell ref="E156:F156"/>
    <mergeCell ref="E157:F157"/>
    <mergeCell ref="E159:N159"/>
    <mergeCell ref="E160:N160"/>
    <mergeCell ref="E161:N161"/>
    <mergeCell ref="E189:F189"/>
    <mergeCell ref="E190:F190"/>
    <mergeCell ref="E321:N321"/>
    <mergeCell ref="E322:F322"/>
    <mergeCell ref="E323:F323"/>
    <mergeCell ref="E324:F324"/>
    <mergeCell ref="E325:F325"/>
    <mergeCell ref="E327:G327"/>
    <mergeCell ref="E310:M311"/>
    <mergeCell ref="E131:N131"/>
    <mergeCell ref="E132:N132"/>
    <mergeCell ref="E133:N133"/>
    <mergeCell ref="E135:N135"/>
    <mergeCell ref="I168:M168"/>
    <mergeCell ref="F143:N143"/>
    <mergeCell ref="I239:M239"/>
    <mergeCell ref="E147:F147"/>
    <mergeCell ref="E148:F148"/>
    <mergeCell ref="D47:N47"/>
    <mergeCell ref="E107:N107"/>
    <mergeCell ref="E49:I49"/>
    <mergeCell ref="I180:M180"/>
    <mergeCell ref="I221:M221"/>
    <mergeCell ref="E152:N152"/>
    <mergeCell ref="E139:N139"/>
    <mergeCell ref="E137:N137"/>
    <mergeCell ref="F141:N141"/>
    <mergeCell ref="E150:N150"/>
    <mergeCell ref="E62:N62"/>
    <mergeCell ref="E87:N87"/>
    <mergeCell ref="E79:N79"/>
    <mergeCell ref="E168:H168"/>
    <mergeCell ref="E170:F170"/>
    <mergeCell ref="E171:F171"/>
    <mergeCell ref="U3:V3"/>
    <mergeCell ref="S5:T5"/>
    <mergeCell ref="Q5:R5"/>
    <mergeCell ref="S4:T4"/>
    <mergeCell ref="U5:V5"/>
    <mergeCell ref="S3:T3"/>
    <mergeCell ref="E29:N29"/>
    <mergeCell ref="E30:N30"/>
    <mergeCell ref="F31:N31"/>
    <mergeCell ref="F32:N32"/>
    <mergeCell ref="E78:N78"/>
    <mergeCell ref="E51:N51"/>
    <mergeCell ref="E52:N52"/>
    <mergeCell ref="D3034:N3034"/>
    <mergeCell ref="E110:N110"/>
    <mergeCell ref="F140:N140"/>
    <mergeCell ref="F145:N145"/>
    <mergeCell ref="F146:N146"/>
    <mergeCell ref="E106:N106"/>
    <mergeCell ref="E151:N151"/>
    <mergeCell ref="D128:H128"/>
    <mergeCell ref="E153:N153"/>
    <mergeCell ref="F144:N144"/>
    <mergeCell ref="F142:N142"/>
    <mergeCell ref="E138:N138"/>
    <mergeCell ref="E130:N130"/>
    <mergeCell ref="D315:H315"/>
    <mergeCell ref="I315:N315"/>
    <mergeCell ref="E316:N316"/>
    <mergeCell ref="E318:N318"/>
    <mergeCell ref="E319:N319"/>
    <mergeCell ref="E320:N320"/>
    <mergeCell ref="D7:N7"/>
    <mergeCell ref="M5:N5"/>
    <mergeCell ref="I5:J5"/>
    <mergeCell ref="W5:X5"/>
    <mergeCell ref="U4:V4"/>
    <mergeCell ref="W4:X4"/>
    <mergeCell ref="Q4:R4"/>
    <mergeCell ref="M4:N4"/>
    <mergeCell ref="P2:P5"/>
    <mergeCell ref="W3:X3"/>
    <mergeCell ref="D13:H13"/>
    <mergeCell ref="I13:N13"/>
    <mergeCell ref="E16:N16"/>
    <mergeCell ref="D11:N11"/>
    <mergeCell ref="E9:M9"/>
    <mergeCell ref="M3:N3"/>
    <mergeCell ref="G4:H4"/>
    <mergeCell ref="G3:H3"/>
    <mergeCell ref="I3:J3"/>
    <mergeCell ref="E3:F3"/>
    <mergeCell ref="E4:F4"/>
    <mergeCell ref="I4:J4"/>
    <mergeCell ref="G5:H5"/>
    <mergeCell ref="B2:D4"/>
    <mergeCell ref="K2:L2"/>
    <mergeCell ref="K3:L3"/>
    <mergeCell ref="G2:H2"/>
    <mergeCell ref="K5:L5"/>
    <mergeCell ref="I2:J2"/>
    <mergeCell ref="K4:L4"/>
    <mergeCell ref="M2:N2"/>
    <mergeCell ref="Q3:R3"/>
    <mergeCell ref="E21:F21"/>
    <mergeCell ref="E22:F22"/>
    <mergeCell ref="E23:F23"/>
    <mergeCell ref="E17:N17"/>
    <mergeCell ref="H25:N25"/>
    <mergeCell ref="E14:N14"/>
    <mergeCell ref="E18:N18"/>
    <mergeCell ref="E26:N26"/>
    <mergeCell ref="I128:N128"/>
    <mergeCell ref="E105:N105"/>
    <mergeCell ref="E19:N19"/>
    <mergeCell ref="J49:N49"/>
    <mergeCell ref="E77:I77"/>
    <mergeCell ref="E104:N104"/>
    <mergeCell ref="E80:N80"/>
    <mergeCell ref="E25:G25"/>
    <mergeCell ref="E20:F20"/>
    <mergeCell ref="E28:N28"/>
    <mergeCell ref="D126:N126"/>
    <mergeCell ref="E50:N50"/>
    <mergeCell ref="E108:N108"/>
    <mergeCell ref="D102:N102"/>
    <mergeCell ref="J77:N77"/>
    <mergeCell ref="E81:N81"/>
    <mergeCell ref="H327:N327"/>
    <mergeCell ref="E328:N328"/>
    <mergeCell ref="E330:N330"/>
    <mergeCell ref="E331:N331"/>
    <mergeCell ref="E332:N332"/>
    <mergeCell ref="F333:N333"/>
    <mergeCell ref="F334:N334"/>
    <mergeCell ref="D349:N349"/>
    <mergeCell ref="E351:I351"/>
    <mergeCell ref="J351:N351"/>
    <mergeCell ref="E352:N352"/>
    <mergeCell ref="E353:N353"/>
    <mergeCell ref="E354:N354"/>
    <mergeCell ref="E364:N364"/>
    <mergeCell ref="E379:I379"/>
    <mergeCell ref="J379:N379"/>
    <mergeCell ref="E380:N380"/>
    <mergeCell ref="E381:N381"/>
    <mergeCell ref="E382:N382"/>
    <mergeCell ref="E383:N383"/>
    <mergeCell ref="E389:N389"/>
    <mergeCell ref="D404:N404"/>
    <mergeCell ref="E406:N406"/>
    <mergeCell ref="E407:N407"/>
    <mergeCell ref="E408:N408"/>
    <mergeCell ref="E409:N409"/>
    <mergeCell ref="E410:N410"/>
    <mergeCell ref="E412:N412"/>
    <mergeCell ref="D428:N428"/>
    <mergeCell ref="D430:H430"/>
    <mergeCell ref="I430:N430"/>
    <mergeCell ref="E432:N432"/>
    <mergeCell ref="E433:N433"/>
    <mergeCell ref="E434:N434"/>
    <mergeCell ref="E435:N435"/>
    <mergeCell ref="E437:N437"/>
    <mergeCell ref="E439:N439"/>
    <mergeCell ref="E440:N440"/>
    <mergeCell ref="E441:N441"/>
    <mergeCell ref="F442:N442"/>
    <mergeCell ref="F443:N443"/>
    <mergeCell ref="F444:N444"/>
    <mergeCell ref="F445:N445"/>
    <mergeCell ref="F446:N446"/>
    <mergeCell ref="F447:N447"/>
    <mergeCell ref="F448:N448"/>
    <mergeCell ref="E449:F449"/>
    <mergeCell ref="E450:F450"/>
    <mergeCell ref="E452:N452"/>
    <mergeCell ref="E453:N453"/>
    <mergeCell ref="E454:N454"/>
    <mergeCell ref="E455:N455"/>
    <mergeCell ref="E456:N456"/>
    <mergeCell ref="E458:F458"/>
    <mergeCell ref="E459:F459"/>
    <mergeCell ref="E461:N461"/>
    <mergeCell ref="E462:N462"/>
    <mergeCell ref="E463:N463"/>
    <mergeCell ref="E464:N464"/>
    <mergeCell ref="E465:N465"/>
    <mergeCell ref="E466:N466"/>
    <mergeCell ref="E467:N467"/>
    <mergeCell ref="E468:K468"/>
    <mergeCell ref="E469:N469"/>
    <mergeCell ref="E470:H470"/>
    <mergeCell ref="I470:M470"/>
    <mergeCell ref="E472:F472"/>
    <mergeCell ref="E473:F473"/>
    <mergeCell ref="E474:F474"/>
    <mergeCell ref="E475:F475"/>
    <mergeCell ref="E476:F476"/>
    <mergeCell ref="E477:F477"/>
    <mergeCell ref="E478:F478"/>
    <mergeCell ref="E479:F479"/>
    <mergeCell ref="E480:F480"/>
    <mergeCell ref="E482:H482"/>
    <mergeCell ref="I482:M482"/>
    <mergeCell ref="E484:F484"/>
    <mergeCell ref="E485:F485"/>
    <mergeCell ref="E486:F486"/>
    <mergeCell ref="E487:F487"/>
    <mergeCell ref="E488:F488"/>
    <mergeCell ref="E489:F489"/>
    <mergeCell ref="E490:F490"/>
    <mergeCell ref="E491:F491"/>
    <mergeCell ref="E492:F492"/>
    <mergeCell ref="E494:N494"/>
    <mergeCell ref="E495:N495"/>
    <mergeCell ref="E496:N496"/>
    <mergeCell ref="E497:N497"/>
    <mergeCell ref="E499:F499"/>
    <mergeCell ref="E501:N501"/>
    <mergeCell ref="E502:N502"/>
    <mergeCell ref="E503:N503"/>
    <mergeCell ref="E504:N504"/>
    <mergeCell ref="E505:N505"/>
    <mergeCell ref="E506:N506"/>
    <mergeCell ref="E507:F507"/>
    <mergeCell ref="E508:F508"/>
    <mergeCell ref="E509:F509"/>
    <mergeCell ref="E511:F511"/>
    <mergeCell ref="E512:F512"/>
    <mergeCell ref="E513:F513"/>
    <mergeCell ref="E515:F515"/>
    <mergeCell ref="E516:F516"/>
    <mergeCell ref="E517:F517"/>
    <mergeCell ref="E519:N519"/>
    <mergeCell ref="E521:K521"/>
    <mergeCell ref="E522:N522"/>
    <mergeCell ref="E523:H523"/>
    <mergeCell ref="I523:M523"/>
    <mergeCell ref="E524:N524"/>
    <mergeCell ref="E525:N525"/>
    <mergeCell ref="E527:F527"/>
    <mergeCell ref="E528:F528"/>
    <mergeCell ref="E529:F529"/>
    <mergeCell ref="E530:F530"/>
    <mergeCell ref="E532:H532"/>
    <mergeCell ref="I532:M532"/>
    <mergeCell ref="E533:N533"/>
    <mergeCell ref="E534:N534"/>
    <mergeCell ref="E536:F536"/>
    <mergeCell ref="E537:F537"/>
    <mergeCell ref="E538:F538"/>
    <mergeCell ref="E539:F539"/>
    <mergeCell ref="E541:H541"/>
    <mergeCell ref="I541:M541"/>
    <mergeCell ref="E542:N542"/>
    <mergeCell ref="E543:N543"/>
    <mergeCell ref="E544:N544"/>
    <mergeCell ref="E546:F546"/>
    <mergeCell ref="E547:F547"/>
    <mergeCell ref="E548:F548"/>
    <mergeCell ref="E549:F549"/>
    <mergeCell ref="E551:F551"/>
    <mergeCell ref="E554:G554"/>
    <mergeCell ref="E555:G555"/>
    <mergeCell ref="E556:G556"/>
    <mergeCell ref="E557:G557"/>
    <mergeCell ref="E558:G558"/>
    <mergeCell ref="E560:I560"/>
    <mergeCell ref="E561:I561"/>
    <mergeCell ref="E563:I563"/>
    <mergeCell ref="E564:G564"/>
    <mergeCell ref="E567:H567"/>
    <mergeCell ref="I567:M567"/>
    <mergeCell ref="E568:N568"/>
    <mergeCell ref="E569:N569"/>
    <mergeCell ref="E571:F571"/>
    <mergeCell ref="E572:F572"/>
    <mergeCell ref="E573:F573"/>
    <mergeCell ref="E574:F574"/>
    <mergeCell ref="E576:H576"/>
    <mergeCell ref="I576:M576"/>
    <mergeCell ref="E577:N577"/>
    <mergeCell ref="E578:N578"/>
    <mergeCell ref="E580:F580"/>
    <mergeCell ref="E581:F581"/>
    <mergeCell ref="E582:F582"/>
    <mergeCell ref="E583:F583"/>
    <mergeCell ref="E585:N585"/>
    <mergeCell ref="E586:N586"/>
    <mergeCell ref="E587:N587"/>
    <mergeCell ref="E589:F589"/>
    <mergeCell ref="E591:N591"/>
    <mergeCell ref="E592:N592"/>
    <mergeCell ref="E593:N593"/>
    <mergeCell ref="E594:N594"/>
    <mergeCell ref="E595:F595"/>
    <mergeCell ref="E597:N597"/>
    <mergeCell ref="E598:N598"/>
    <mergeCell ref="E599:N599"/>
    <mergeCell ref="E600:K600"/>
    <mergeCell ref="E602:F602"/>
    <mergeCell ref="E603:F603"/>
    <mergeCell ref="E604:F604"/>
    <mergeCell ref="E606:F606"/>
    <mergeCell ref="E607:F607"/>
    <mergeCell ref="E608:F608"/>
    <mergeCell ref="E612:M613"/>
    <mergeCell ref="D617:H617"/>
    <mergeCell ref="I617:N617"/>
    <mergeCell ref="E618:N618"/>
    <mergeCell ref="E620:N620"/>
    <mergeCell ref="E621:N621"/>
    <mergeCell ref="E622:N622"/>
    <mergeCell ref="E623:N623"/>
    <mergeCell ref="E624:F624"/>
    <mergeCell ref="E625:F625"/>
    <mergeCell ref="E626:F626"/>
    <mergeCell ref="E627:F627"/>
    <mergeCell ref="E629:G629"/>
    <mergeCell ref="H629:N629"/>
    <mergeCell ref="E630:N630"/>
    <mergeCell ref="E632:N632"/>
    <mergeCell ref="E633:N633"/>
    <mergeCell ref="E634:N634"/>
    <mergeCell ref="F635:N635"/>
    <mergeCell ref="F636:N636"/>
    <mergeCell ref="D651:N651"/>
    <mergeCell ref="E653:I653"/>
    <mergeCell ref="J653:N653"/>
    <mergeCell ref="E654:N654"/>
    <mergeCell ref="E655:N655"/>
    <mergeCell ref="E656:N656"/>
    <mergeCell ref="E666:N666"/>
    <mergeCell ref="E681:I681"/>
    <mergeCell ref="J681:N681"/>
    <mergeCell ref="E682:N682"/>
    <mergeCell ref="E683:N683"/>
    <mergeCell ref="E684:N684"/>
    <mergeCell ref="E685:N685"/>
    <mergeCell ref="E691:N691"/>
    <mergeCell ref="D706:N706"/>
    <mergeCell ref="E708:N708"/>
    <mergeCell ref="E709:N709"/>
    <mergeCell ref="E710:N710"/>
    <mergeCell ref="E711:N711"/>
    <mergeCell ref="E712:N712"/>
    <mergeCell ref="E714:N714"/>
    <mergeCell ref="D730:N730"/>
    <mergeCell ref="D732:H732"/>
    <mergeCell ref="I732:N732"/>
    <mergeCell ref="E734:N734"/>
    <mergeCell ref="E735:N735"/>
    <mergeCell ref="E736:N736"/>
    <mergeCell ref="E737:N737"/>
    <mergeCell ref="E739:N739"/>
    <mergeCell ref="E741:N741"/>
    <mergeCell ref="E742:N742"/>
    <mergeCell ref="E743:N743"/>
    <mergeCell ref="F744:N744"/>
    <mergeCell ref="F745:N745"/>
    <mergeCell ref="F746:N746"/>
    <mergeCell ref="F747:N747"/>
    <mergeCell ref="F748:N748"/>
    <mergeCell ref="F749:N749"/>
    <mergeCell ref="F750:N750"/>
    <mergeCell ref="E751:F751"/>
    <mergeCell ref="E752:F752"/>
    <mergeCell ref="E754:N754"/>
    <mergeCell ref="E755:N755"/>
    <mergeCell ref="E756:N756"/>
    <mergeCell ref="E757:N757"/>
    <mergeCell ref="E758:N758"/>
    <mergeCell ref="E760:F760"/>
    <mergeCell ref="E761:F761"/>
    <mergeCell ref="E763:N763"/>
    <mergeCell ref="E764:N764"/>
    <mergeCell ref="E765:N765"/>
    <mergeCell ref="E766:N766"/>
    <mergeCell ref="E767:N767"/>
    <mergeCell ref="E768:N768"/>
    <mergeCell ref="E769:N769"/>
    <mergeCell ref="E770:K770"/>
    <mergeCell ref="E771:N771"/>
    <mergeCell ref="E772:H772"/>
    <mergeCell ref="I772:M772"/>
    <mergeCell ref="E774:F774"/>
    <mergeCell ref="E775:F775"/>
    <mergeCell ref="E776:F776"/>
    <mergeCell ref="E777:F777"/>
    <mergeCell ref="E778:F778"/>
    <mergeCell ref="E779:F779"/>
    <mergeCell ref="E780:F780"/>
    <mergeCell ref="E781:F781"/>
    <mergeCell ref="E782:F782"/>
    <mergeCell ref="E784:H784"/>
    <mergeCell ref="I784:M784"/>
    <mergeCell ref="E786:F786"/>
    <mergeCell ref="E787:F787"/>
    <mergeCell ref="E788:F788"/>
    <mergeCell ref="E789:F789"/>
    <mergeCell ref="E790:F790"/>
    <mergeCell ref="E791:F791"/>
    <mergeCell ref="E792:F792"/>
    <mergeCell ref="E793:F793"/>
    <mergeCell ref="E794:F794"/>
    <mergeCell ref="E796:N796"/>
    <mergeCell ref="E797:N797"/>
    <mergeCell ref="E798:N798"/>
    <mergeCell ref="E799:N799"/>
    <mergeCell ref="E801:F801"/>
    <mergeCell ref="E803:N803"/>
    <mergeCell ref="E804:N804"/>
    <mergeCell ref="E805:N805"/>
    <mergeCell ref="E806:N806"/>
    <mergeCell ref="E807:N807"/>
    <mergeCell ref="E808:N808"/>
    <mergeCell ref="E809:F809"/>
    <mergeCell ref="E810:F810"/>
    <mergeCell ref="E811:F811"/>
    <mergeCell ref="E813:F813"/>
    <mergeCell ref="E814:F814"/>
    <mergeCell ref="E815:F815"/>
    <mergeCell ref="E817:F817"/>
    <mergeCell ref="E818:F818"/>
    <mergeCell ref="E819:F819"/>
    <mergeCell ref="E821:N821"/>
    <mergeCell ref="E823:K823"/>
    <mergeCell ref="E824:N824"/>
    <mergeCell ref="E825:H825"/>
    <mergeCell ref="I825:M825"/>
    <mergeCell ref="E826:N826"/>
    <mergeCell ref="E827:N827"/>
    <mergeCell ref="E829:F829"/>
    <mergeCell ref="E830:F830"/>
    <mergeCell ref="E831:F831"/>
    <mergeCell ref="E832:F832"/>
    <mergeCell ref="E834:H834"/>
    <mergeCell ref="I834:M834"/>
    <mergeCell ref="E835:N835"/>
    <mergeCell ref="E836:N836"/>
    <mergeCell ref="E838:F838"/>
    <mergeCell ref="E839:F839"/>
    <mergeCell ref="E840:F840"/>
    <mergeCell ref="E841:F841"/>
    <mergeCell ref="E843:H843"/>
    <mergeCell ref="I843:M843"/>
    <mergeCell ref="E844:N844"/>
    <mergeCell ref="E845:N845"/>
    <mergeCell ref="E846:N846"/>
    <mergeCell ref="E848:F848"/>
    <mergeCell ref="E849:F849"/>
    <mergeCell ref="E850:F850"/>
    <mergeCell ref="E851:F851"/>
    <mergeCell ref="E853:F853"/>
    <mergeCell ref="E856:G856"/>
    <mergeCell ref="E857:G857"/>
    <mergeCell ref="E858:G858"/>
    <mergeCell ref="E859:G859"/>
    <mergeCell ref="E860:G860"/>
    <mergeCell ref="E862:I862"/>
    <mergeCell ref="E863:I863"/>
    <mergeCell ref="E865:I865"/>
    <mergeCell ref="E866:G866"/>
    <mergeCell ref="E869:H869"/>
    <mergeCell ref="I869:M869"/>
    <mergeCell ref="E870:N870"/>
    <mergeCell ref="E871:N871"/>
    <mergeCell ref="E873:F873"/>
    <mergeCell ref="E874:F874"/>
    <mergeCell ref="E875:F875"/>
    <mergeCell ref="E876:F876"/>
    <mergeCell ref="E878:H878"/>
    <mergeCell ref="I878:M878"/>
    <mergeCell ref="E879:N879"/>
    <mergeCell ref="E880:N880"/>
    <mergeCell ref="E882:F882"/>
    <mergeCell ref="E883:F883"/>
    <mergeCell ref="E884:F884"/>
    <mergeCell ref="E885:F885"/>
    <mergeCell ref="E887:N887"/>
    <mergeCell ref="E888:N888"/>
    <mergeCell ref="E889:N889"/>
    <mergeCell ref="E891:F891"/>
    <mergeCell ref="E893:N893"/>
    <mergeCell ref="E894:N894"/>
    <mergeCell ref="E895:N895"/>
    <mergeCell ref="E896:N896"/>
    <mergeCell ref="E897:F897"/>
    <mergeCell ref="E899:N899"/>
    <mergeCell ref="E900:N900"/>
    <mergeCell ref="E901:N901"/>
    <mergeCell ref="E902:K902"/>
    <mergeCell ref="E904:F904"/>
    <mergeCell ref="E905:F905"/>
    <mergeCell ref="E906:F906"/>
    <mergeCell ref="E908:F908"/>
    <mergeCell ref="E909:F909"/>
    <mergeCell ref="E910:F910"/>
    <mergeCell ref="E914:M915"/>
    <mergeCell ref="D919:H919"/>
    <mergeCell ref="I919:N919"/>
    <mergeCell ref="E920:N920"/>
    <mergeCell ref="E922:N922"/>
    <mergeCell ref="E923:N923"/>
    <mergeCell ref="E924:N924"/>
    <mergeCell ref="E925:N925"/>
    <mergeCell ref="E926:F926"/>
    <mergeCell ref="E927:F927"/>
    <mergeCell ref="E928:F928"/>
    <mergeCell ref="E929:F929"/>
    <mergeCell ref="E931:G931"/>
    <mergeCell ref="H931:N931"/>
    <mergeCell ref="E932:N932"/>
    <mergeCell ref="E934:N934"/>
    <mergeCell ref="E935:N935"/>
    <mergeCell ref="E936:N936"/>
    <mergeCell ref="F937:N937"/>
    <mergeCell ref="F938:N938"/>
    <mergeCell ref="D953:N953"/>
    <mergeCell ref="E955:I955"/>
    <mergeCell ref="J955:N955"/>
    <mergeCell ref="E956:N956"/>
    <mergeCell ref="E957:N957"/>
    <mergeCell ref="E958:N958"/>
    <mergeCell ref="E968:N968"/>
    <mergeCell ref="E983:I983"/>
    <mergeCell ref="J983:N983"/>
    <mergeCell ref="E984:N984"/>
    <mergeCell ref="E985:N985"/>
    <mergeCell ref="E986:N986"/>
    <mergeCell ref="E987:N987"/>
    <mergeCell ref="E993:N993"/>
    <mergeCell ref="D1008:N1008"/>
    <mergeCell ref="E1010:N1010"/>
    <mergeCell ref="E1011:N1011"/>
    <mergeCell ref="E1012:N1012"/>
    <mergeCell ref="E1013:N1013"/>
    <mergeCell ref="E1014:N1014"/>
    <mergeCell ref="E1016:N1016"/>
    <mergeCell ref="D1032:N1032"/>
    <mergeCell ref="D1034:H1034"/>
    <mergeCell ref="I1034:N1034"/>
    <mergeCell ref="E1036:N1036"/>
    <mergeCell ref="E1037:N1037"/>
    <mergeCell ref="E1038:N1038"/>
    <mergeCell ref="E1039:N1039"/>
    <mergeCell ref="E1041:N1041"/>
    <mergeCell ref="E1043:N1043"/>
    <mergeCell ref="E1044:N1044"/>
    <mergeCell ref="E1045:N1045"/>
    <mergeCell ref="F1046:N1046"/>
    <mergeCell ref="F1047:N1047"/>
    <mergeCell ref="F1048:N1048"/>
    <mergeCell ref="F1049:N1049"/>
    <mergeCell ref="F1050:N1050"/>
    <mergeCell ref="F1051:N1051"/>
    <mergeCell ref="F1052:N1052"/>
    <mergeCell ref="E1053:F1053"/>
    <mergeCell ref="E1054:F1054"/>
    <mergeCell ref="E1056:N1056"/>
    <mergeCell ref="E1057:N1057"/>
    <mergeCell ref="E1058:N1058"/>
    <mergeCell ref="E1059:N1059"/>
    <mergeCell ref="E1060:N1060"/>
    <mergeCell ref="E1062:F1062"/>
    <mergeCell ref="E1063:F1063"/>
    <mergeCell ref="E1065:N1065"/>
    <mergeCell ref="E1066:N1066"/>
    <mergeCell ref="E1067:N1067"/>
    <mergeCell ref="E1068:N1068"/>
    <mergeCell ref="E1069:N1069"/>
    <mergeCell ref="E1070:N1070"/>
    <mergeCell ref="E1071:N1071"/>
    <mergeCell ref="E1072:K1072"/>
    <mergeCell ref="E1073:N1073"/>
    <mergeCell ref="E1074:H1074"/>
    <mergeCell ref="I1074:M1074"/>
    <mergeCell ref="E1076:F1076"/>
    <mergeCell ref="E1077:F1077"/>
    <mergeCell ref="E1078:F1078"/>
    <mergeCell ref="E1079:F1079"/>
    <mergeCell ref="E1080:F1080"/>
    <mergeCell ref="E1081:F1081"/>
    <mergeCell ref="E1082:F1082"/>
    <mergeCell ref="E1083:F1083"/>
    <mergeCell ref="E1084:F1084"/>
    <mergeCell ref="E1086:H1086"/>
    <mergeCell ref="I1086:M1086"/>
    <mergeCell ref="E1088:F1088"/>
    <mergeCell ref="E1089:F1089"/>
    <mergeCell ref="E1090:F1090"/>
    <mergeCell ref="E1091:F1091"/>
    <mergeCell ref="E1092:F1092"/>
    <mergeCell ref="E1093:F1093"/>
    <mergeCell ref="E1094:F1094"/>
    <mergeCell ref="E1095:F1095"/>
    <mergeCell ref="E1096:F1096"/>
    <mergeCell ref="E1098:N1098"/>
    <mergeCell ref="E1099:N1099"/>
    <mergeCell ref="E1100:N1100"/>
    <mergeCell ref="E1101:N1101"/>
    <mergeCell ref="E1103:F1103"/>
    <mergeCell ref="E1105:N1105"/>
    <mergeCell ref="E1106:N1106"/>
    <mergeCell ref="E1107:N1107"/>
    <mergeCell ref="E1108:N1108"/>
    <mergeCell ref="E1109:N1109"/>
    <mergeCell ref="E1110:N1110"/>
    <mergeCell ref="E1111:F1111"/>
    <mergeCell ref="E1112:F1112"/>
    <mergeCell ref="E1113:F1113"/>
    <mergeCell ref="E1115:F1115"/>
    <mergeCell ref="E1116:F1116"/>
    <mergeCell ref="E1117:F1117"/>
    <mergeCell ref="E1119:F1119"/>
    <mergeCell ref="E1120:F1120"/>
    <mergeCell ref="E1121:F1121"/>
    <mergeCell ref="E1123:N1123"/>
    <mergeCell ref="E1125:K1125"/>
    <mergeCell ref="E1126:N1126"/>
    <mergeCell ref="E1127:H1127"/>
    <mergeCell ref="I1127:M1127"/>
    <mergeCell ref="E1128:N1128"/>
    <mergeCell ref="E1129:N1129"/>
    <mergeCell ref="E1131:F1131"/>
    <mergeCell ref="E1132:F1132"/>
    <mergeCell ref="E1133:F1133"/>
    <mergeCell ref="E1134:F1134"/>
    <mergeCell ref="E1136:H1136"/>
    <mergeCell ref="I1136:M1136"/>
    <mergeCell ref="E1137:N1137"/>
    <mergeCell ref="E1138:N1138"/>
    <mergeCell ref="E1140:F1140"/>
    <mergeCell ref="E1141:F1141"/>
    <mergeCell ref="E1142:F1142"/>
    <mergeCell ref="E1143:F1143"/>
    <mergeCell ref="E1145:H1145"/>
    <mergeCell ref="I1145:M1145"/>
    <mergeCell ref="E1146:N1146"/>
    <mergeCell ref="E1147:N1147"/>
    <mergeCell ref="E1148:N1148"/>
    <mergeCell ref="E1150:F1150"/>
    <mergeCell ref="E1151:F1151"/>
    <mergeCell ref="E1152:F1152"/>
    <mergeCell ref="E1153:F1153"/>
    <mergeCell ref="E1155:F1155"/>
    <mergeCell ref="E1158:G1158"/>
    <mergeCell ref="E1159:G1159"/>
    <mergeCell ref="E1160:G1160"/>
    <mergeCell ref="E1161:G1161"/>
    <mergeCell ref="E1162:G1162"/>
    <mergeCell ref="E1164:I1164"/>
    <mergeCell ref="E1165:I1165"/>
    <mergeCell ref="E1167:I1167"/>
    <mergeCell ref="E1168:G1168"/>
    <mergeCell ref="E1171:H1171"/>
    <mergeCell ref="I1171:M1171"/>
    <mergeCell ref="E1172:N1172"/>
    <mergeCell ref="E1173:N1173"/>
    <mergeCell ref="E1175:F1175"/>
    <mergeCell ref="E1176:F1176"/>
    <mergeCell ref="E1177:F1177"/>
    <mergeCell ref="E1178:F1178"/>
    <mergeCell ref="E1180:H1180"/>
    <mergeCell ref="I1180:M1180"/>
    <mergeCell ref="E1181:N1181"/>
    <mergeCell ref="E1182:N1182"/>
    <mergeCell ref="E1184:F1184"/>
    <mergeCell ref="E1185:F1185"/>
    <mergeCell ref="E1186:F1186"/>
    <mergeCell ref="E1187:F1187"/>
    <mergeCell ref="E1189:N1189"/>
    <mergeCell ref="E1190:N1190"/>
    <mergeCell ref="E1191:N1191"/>
    <mergeCell ref="E1193:F1193"/>
    <mergeCell ref="E1195:N1195"/>
    <mergeCell ref="E1196:N1196"/>
    <mergeCell ref="E1197:N1197"/>
    <mergeCell ref="E1198:N1198"/>
    <mergeCell ref="E1199:F1199"/>
    <mergeCell ref="E1201:N1201"/>
    <mergeCell ref="E1202:N1202"/>
    <mergeCell ref="E1203:N1203"/>
    <mergeCell ref="E1204:K1204"/>
    <mergeCell ref="E1206:F1206"/>
    <mergeCell ref="E1207:F1207"/>
    <mergeCell ref="E1208:F1208"/>
    <mergeCell ref="E1210:F1210"/>
    <mergeCell ref="E1211:F1211"/>
    <mergeCell ref="E1212:F1212"/>
    <mergeCell ref="E1216:M1217"/>
    <mergeCell ref="D1221:H1221"/>
    <mergeCell ref="I1221:N1221"/>
    <mergeCell ref="E1222:N1222"/>
    <mergeCell ref="E1224:N1224"/>
    <mergeCell ref="E1225:N1225"/>
    <mergeCell ref="E1226:N1226"/>
    <mergeCell ref="E1227:N1227"/>
    <mergeCell ref="E1228:F1228"/>
    <mergeCell ref="E1229:F1229"/>
    <mergeCell ref="E1230:F1230"/>
    <mergeCell ref="E1231:F1231"/>
    <mergeCell ref="E1233:G1233"/>
    <mergeCell ref="H1233:N1233"/>
    <mergeCell ref="E1234:N1234"/>
    <mergeCell ref="E1236:N1236"/>
    <mergeCell ref="E1237:N1237"/>
    <mergeCell ref="E1238:N1238"/>
    <mergeCell ref="F1239:N1239"/>
    <mergeCell ref="F1240:N1240"/>
    <mergeCell ref="D1255:N1255"/>
    <mergeCell ref="E1257:I1257"/>
    <mergeCell ref="J1257:N1257"/>
    <mergeCell ref="E1258:N1258"/>
    <mergeCell ref="E1259:N1259"/>
    <mergeCell ref="E1260:N1260"/>
    <mergeCell ref="E1270:N1270"/>
    <mergeCell ref="E1285:I1285"/>
    <mergeCell ref="J1285:N1285"/>
    <mergeCell ref="E1286:N1286"/>
    <mergeCell ref="E1287:N1287"/>
    <mergeCell ref="E1288:N1288"/>
    <mergeCell ref="E1289:N1289"/>
    <mergeCell ref="E1295:N1295"/>
    <mergeCell ref="D1310:N1310"/>
    <mergeCell ref="E1312:N1312"/>
    <mergeCell ref="E1313:N1313"/>
    <mergeCell ref="E1314:N1314"/>
    <mergeCell ref="E1315:N1315"/>
    <mergeCell ref="E1316:N1316"/>
    <mergeCell ref="E1318:N1318"/>
    <mergeCell ref="D1334:N1334"/>
    <mergeCell ref="D1336:H1336"/>
    <mergeCell ref="I1336:N1336"/>
    <mergeCell ref="E1338:N1338"/>
    <mergeCell ref="E1339:N1339"/>
    <mergeCell ref="E1340:N1340"/>
    <mergeCell ref="E1341:N1341"/>
    <mergeCell ref="E1343:N1343"/>
    <mergeCell ref="E1345:N1345"/>
    <mergeCell ref="E1346:N1346"/>
    <mergeCell ref="E1347:N1347"/>
    <mergeCell ref="F1348:N1348"/>
    <mergeCell ref="F1349:N1349"/>
    <mergeCell ref="F1350:N1350"/>
    <mergeCell ref="F1351:N1351"/>
    <mergeCell ref="F1352:N1352"/>
    <mergeCell ref="F1353:N1353"/>
    <mergeCell ref="F1354:N1354"/>
    <mergeCell ref="E1355:F1355"/>
    <mergeCell ref="E1356:F1356"/>
    <mergeCell ref="E1358:N1358"/>
    <mergeCell ref="E1359:N1359"/>
    <mergeCell ref="E1360:N1360"/>
    <mergeCell ref="E1361:N1361"/>
    <mergeCell ref="E1362:N1362"/>
    <mergeCell ref="E1364:F1364"/>
    <mergeCell ref="E1365:F1365"/>
    <mergeCell ref="E1367:N1367"/>
    <mergeCell ref="E1368:N1368"/>
    <mergeCell ref="E1369:N1369"/>
    <mergeCell ref="E1370:N1370"/>
    <mergeCell ref="E1371:N1371"/>
    <mergeCell ref="E1372:N1372"/>
    <mergeCell ref="E1373:N1373"/>
    <mergeCell ref="E1374:K1374"/>
    <mergeCell ref="E1375:N1375"/>
    <mergeCell ref="E1376:H1376"/>
    <mergeCell ref="I1376:M1376"/>
    <mergeCell ref="E1378:F1378"/>
    <mergeCell ref="E1379:F1379"/>
    <mergeCell ref="E1380:F1380"/>
    <mergeCell ref="E1381:F1381"/>
    <mergeCell ref="E1382:F1382"/>
    <mergeCell ref="E1383:F1383"/>
    <mergeCell ref="E1384:F1384"/>
    <mergeCell ref="E1385:F1385"/>
    <mergeCell ref="E1386:F1386"/>
    <mergeCell ref="E1388:H1388"/>
    <mergeCell ref="I1388:M1388"/>
    <mergeCell ref="E1390:F1390"/>
    <mergeCell ref="E1391:F1391"/>
    <mergeCell ref="E1392:F1392"/>
    <mergeCell ref="E1393:F1393"/>
    <mergeCell ref="E1394:F1394"/>
    <mergeCell ref="E1395:F1395"/>
    <mergeCell ref="E1396:F1396"/>
    <mergeCell ref="E1397:F1397"/>
    <mergeCell ref="E1398:F1398"/>
    <mergeCell ref="E1400:N1400"/>
    <mergeCell ref="E1401:N1401"/>
    <mergeCell ref="E1402:N1402"/>
    <mergeCell ref="E1403:N1403"/>
    <mergeCell ref="E1405:F1405"/>
    <mergeCell ref="E1407:N1407"/>
    <mergeCell ref="E1408:N1408"/>
    <mergeCell ref="E1409:N1409"/>
    <mergeCell ref="E1410:N1410"/>
    <mergeCell ref="E1411:N1411"/>
    <mergeCell ref="E1412:N1412"/>
    <mergeCell ref="E1413:F1413"/>
    <mergeCell ref="E1414:F1414"/>
    <mergeCell ref="E1415:F1415"/>
    <mergeCell ref="E1417:F1417"/>
    <mergeCell ref="E1418:F1418"/>
    <mergeCell ref="E1419:F1419"/>
    <mergeCell ref="E1421:F1421"/>
    <mergeCell ref="E1422:F1422"/>
    <mergeCell ref="E1423:F1423"/>
    <mergeCell ref="E1425:N1425"/>
    <mergeCell ref="E1427:K1427"/>
    <mergeCell ref="E1428:N1428"/>
    <mergeCell ref="E1429:H1429"/>
    <mergeCell ref="I1429:M1429"/>
    <mergeCell ref="E1430:N1430"/>
    <mergeCell ref="E1431:N1431"/>
    <mergeCell ref="E1433:F1433"/>
    <mergeCell ref="E1434:F1434"/>
    <mergeCell ref="E1435:F1435"/>
    <mergeCell ref="E1436:F1436"/>
    <mergeCell ref="E1438:H1438"/>
    <mergeCell ref="I1438:M1438"/>
    <mergeCell ref="E1439:N1439"/>
    <mergeCell ref="E1440:N1440"/>
    <mergeCell ref="E1442:F1442"/>
    <mergeCell ref="E1443:F1443"/>
    <mergeCell ref="E1444:F1444"/>
    <mergeCell ref="E1445:F1445"/>
    <mergeCell ref="E1447:H1447"/>
    <mergeCell ref="I1447:M1447"/>
    <mergeCell ref="E1448:N1448"/>
    <mergeCell ref="E1449:N1449"/>
    <mergeCell ref="E1450:N1450"/>
    <mergeCell ref="E1452:F1452"/>
    <mergeCell ref="E1453:F1453"/>
    <mergeCell ref="E1454:F1454"/>
    <mergeCell ref="E1455:F1455"/>
    <mergeCell ref="E1457:F1457"/>
    <mergeCell ref="E1460:G1460"/>
    <mergeCell ref="E1461:G1461"/>
    <mergeCell ref="E1462:G1462"/>
    <mergeCell ref="E1463:G1463"/>
    <mergeCell ref="E1464:G1464"/>
    <mergeCell ref="E1466:I1466"/>
    <mergeCell ref="E1467:I1467"/>
    <mergeCell ref="E1469:I1469"/>
    <mergeCell ref="E1470:G1470"/>
    <mergeCell ref="E1473:H1473"/>
    <mergeCell ref="I1473:M1473"/>
    <mergeCell ref="E1474:N1474"/>
    <mergeCell ref="E1475:N1475"/>
    <mergeCell ref="E1477:F1477"/>
    <mergeCell ref="E1478:F1478"/>
    <mergeCell ref="E1479:F1479"/>
    <mergeCell ref="E1480:F1480"/>
    <mergeCell ref="E1482:H1482"/>
    <mergeCell ref="I1482:M1482"/>
    <mergeCell ref="E1483:N1483"/>
    <mergeCell ref="E1484:N1484"/>
    <mergeCell ref="E1486:F1486"/>
    <mergeCell ref="E1487:F1487"/>
    <mergeCell ref="E1488:F1488"/>
    <mergeCell ref="E1489:F1489"/>
    <mergeCell ref="E1491:N1491"/>
    <mergeCell ref="E1492:N1492"/>
    <mergeCell ref="E1493:N1493"/>
    <mergeCell ref="E1495:F1495"/>
    <mergeCell ref="E1497:N1497"/>
    <mergeCell ref="E1498:N1498"/>
    <mergeCell ref="E1499:N1499"/>
    <mergeCell ref="E1500:N1500"/>
    <mergeCell ref="E1501:F1501"/>
    <mergeCell ref="E1503:N1503"/>
    <mergeCell ref="E1504:N1504"/>
    <mergeCell ref="E1505:N1505"/>
    <mergeCell ref="E1506:K1506"/>
    <mergeCell ref="E1508:F1508"/>
    <mergeCell ref="E1509:F1509"/>
    <mergeCell ref="E1510:F1510"/>
    <mergeCell ref="E1512:F1512"/>
    <mergeCell ref="E1513:F1513"/>
    <mergeCell ref="E1514:F1514"/>
    <mergeCell ref="E1518:M1519"/>
    <mergeCell ref="D1523:H1523"/>
    <mergeCell ref="I1523:N1523"/>
    <mergeCell ref="E1524:N1524"/>
    <mergeCell ref="E1526:N1526"/>
    <mergeCell ref="E1527:N1527"/>
    <mergeCell ref="E1528:N1528"/>
    <mergeCell ref="E1529:N1529"/>
    <mergeCell ref="E1530:F1530"/>
    <mergeCell ref="E1531:F1531"/>
    <mergeCell ref="E1532:F1532"/>
    <mergeCell ref="E1533:F1533"/>
    <mergeCell ref="E1535:G1535"/>
    <mergeCell ref="H1535:N1535"/>
    <mergeCell ref="E1536:N1536"/>
    <mergeCell ref="E1538:N1538"/>
    <mergeCell ref="E1539:N1539"/>
    <mergeCell ref="E1540:N1540"/>
    <mergeCell ref="F1541:N1541"/>
    <mergeCell ref="F1542:N1542"/>
    <mergeCell ref="D1557:N1557"/>
    <mergeCell ref="E1559:I1559"/>
    <mergeCell ref="J1559:N1559"/>
    <mergeCell ref="E1560:N1560"/>
    <mergeCell ref="E1561:N1561"/>
    <mergeCell ref="E1562:N1562"/>
    <mergeCell ref="E1572:N1572"/>
    <mergeCell ref="E1587:I1587"/>
    <mergeCell ref="J1587:N1587"/>
    <mergeCell ref="E1588:N1588"/>
    <mergeCell ref="E1589:N1589"/>
    <mergeCell ref="E1590:N1590"/>
    <mergeCell ref="E1591:N1591"/>
    <mergeCell ref="E1597:N1597"/>
    <mergeCell ref="D1612:N1612"/>
    <mergeCell ref="E1614:N1614"/>
    <mergeCell ref="E1615:N1615"/>
    <mergeCell ref="E1616:N1616"/>
    <mergeCell ref="E1617:N1617"/>
    <mergeCell ref="E1618:N1618"/>
    <mergeCell ref="E1620:N1620"/>
    <mergeCell ref="D1636:N1636"/>
    <mergeCell ref="D1638:H1638"/>
    <mergeCell ref="I1638:N1638"/>
    <mergeCell ref="E1640:N1640"/>
    <mergeCell ref="E1641:N1641"/>
    <mergeCell ref="E1642:N1642"/>
    <mergeCell ref="E1643:N1643"/>
    <mergeCell ref="E1645:N1645"/>
    <mergeCell ref="E1647:N1647"/>
    <mergeCell ref="E1648:N1648"/>
    <mergeCell ref="E1649:N1649"/>
    <mergeCell ref="F1650:N1650"/>
    <mergeCell ref="F1651:N1651"/>
    <mergeCell ref="F1652:N1652"/>
    <mergeCell ref="F1653:N1653"/>
    <mergeCell ref="F1654:N1654"/>
    <mergeCell ref="F1655:N1655"/>
    <mergeCell ref="F1656:N1656"/>
    <mergeCell ref="E1657:F1657"/>
    <mergeCell ref="E1658:F1658"/>
    <mergeCell ref="E1660:N1660"/>
    <mergeCell ref="E1661:N1661"/>
    <mergeCell ref="E1662:N1662"/>
    <mergeCell ref="E1663:N1663"/>
    <mergeCell ref="E1664:N1664"/>
    <mergeCell ref="E1666:F1666"/>
    <mergeCell ref="E1667:F1667"/>
    <mergeCell ref="E1669:N1669"/>
    <mergeCell ref="E1670:N1670"/>
    <mergeCell ref="E1671:N1671"/>
    <mergeCell ref="E1672:N1672"/>
    <mergeCell ref="E1673:N1673"/>
    <mergeCell ref="E1674:N1674"/>
    <mergeCell ref="E1675:N1675"/>
    <mergeCell ref="E1676:K1676"/>
    <mergeCell ref="E1677:N1677"/>
    <mergeCell ref="E1678:H1678"/>
    <mergeCell ref="I1678:M1678"/>
    <mergeCell ref="E1680:F1680"/>
    <mergeCell ref="E1681:F1681"/>
    <mergeCell ref="E1682:F1682"/>
    <mergeCell ref="E1683:F1683"/>
    <mergeCell ref="E1684:F1684"/>
    <mergeCell ref="E1685:F1685"/>
    <mergeCell ref="E1686:F1686"/>
    <mergeCell ref="E1687:F1687"/>
    <mergeCell ref="E1688:F1688"/>
    <mergeCell ref="E1690:H1690"/>
    <mergeCell ref="I1690:M1690"/>
    <mergeCell ref="E1692:F1692"/>
    <mergeCell ref="E1693:F1693"/>
    <mergeCell ref="E1694:F1694"/>
    <mergeCell ref="E1695:F1695"/>
    <mergeCell ref="E1696:F1696"/>
    <mergeCell ref="E1697:F1697"/>
    <mergeCell ref="E1698:F1698"/>
    <mergeCell ref="E1699:F1699"/>
    <mergeCell ref="E1700:F1700"/>
    <mergeCell ref="E1702:N1702"/>
    <mergeCell ref="E1703:N1703"/>
    <mergeCell ref="E1704:N1704"/>
    <mergeCell ref="E1705:N1705"/>
    <mergeCell ref="E1707:F1707"/>
    <mergeCell ref="E1709:N1709"/>
    <mergeCell ref="E1710:N1710"/>
    <mergeCell ref="E1711:N1711"/>
    <mergeCell ref="E1712:N1712"/>
    <mergeCell ref="E1713:N1713"/>
    <mergeCell ref="E1714:N1714"/>
    <mergeCell ref="E1715:F1715"/>
    <mergeCell ref="E1716:F1716"/>
    <mergeCell ref="E1717:F1717"/>
    <mergeCell ref="E1719:F1719"/>
    <mergeCell ref="E1720:F1720"/>
    <mergeCell ref="E1721:F1721"/>
    <mergeCell ref="E1723:F1723"/>
    <mergeCell ref="E1724:F1724"/>
    <mergeCell ref="E1725:F1725"/>
    <mergeCell ref="E1727:N1727"/>
    <mergeCell ref="E1729:K1729"/>
    <mergeCell ref="E1730:N1730"/>
    <mergeCell ref="E1731:H1731"/>
    <mergeCell ref="I1731:M1731"/>
    <mergeCell ref="E1732:N1732"/>
    <mergeCell ref="E1733:N1733"/>
    <mergeCell ref="E1735:F1735"/>
    <mergeCell ref="E1736:F1736"/>
    <mergeCell ref="E1737:F1737"/>
    <mergeCell ref="E1738:F1738"/>
    <mergeCell ref="E1740:H1740"/>
    <mergeCell ref="I1740:M1740"/>
    <mergeCell ref="E1741:N1741"/>
    <mergeCell ref="E1742:N1742"/>
    <mergeCell ref="E1744:F1744"/>
    <mergeCell ref="E1745:F1745"/>
    <mergeCell ref="E1746:F1746"/>
    <mergeCell ref="E1747:F1747"/>
    <mergeCell ref="E1749:H1749"/>
    <mergeCell ref="I1749:M1749"/>
    <mergeCell ref="E1750:N1750"/>
    <mergeCell ref="E1751:N1751"/>
    <mergeCell ref="E1752:N1752"/>
    <mergeCell ref="E1754:F1754"/>
    <mergeCell ref="E1755:F1755"/>
    <mergeCell ref="E1756:F1756"/>
    <mergeCell ref="E1757:F1757"/>
    <mergeCell ref="E1759:F1759"/>
    <mergeCell ref="E1762:G1762"/>
    <mergeCell ref="E1763:G1763"/>
    <mergeCell ref="E1764:G1764"/>
    <mergeCell ref="E1765:G1765"/>
    <mergeCell ref="E1766:G1766"/>
    <mergeCell ref="E1768:I1768"/>
    <mergeCell ref="E1769:I1769"/>
    <mergeCell ref="E1771:I1771"/>
    <mergeCell ref="E1772:G1772"/>
    <mergeCell ref="E1775:H1775"/>
    <mergeCell ref="I1775:M1775"/>
    <mergeCell ref="E1776:N1776"/>
    <mergeCell ref="E1777:N1777"/>
    <mergeCell ref="E1779:F1779"/>
    <mergeCell ref="E1780:F1780"/>
    <mergeCell ref="E1781:F1781"/>
    <mergeCell ref="E1782:F1782"/>
    <mergeCell ref="E1784:H1784"/>
    <mergeCell ref="I1784:M1784"/>
    <mergeCell ref="E1785:N1785"/>
    <mergeCell ref="E1786:N1786"/>
    <mergeCell ref="E1788:F1788"/>
    <mergeCell ref="E1789:F1789"/>
    <mergeCell ref="E1790:F1790"/>
    <mergeCell ref="E1791:F1791"/>
    <mergeCell ref="E1793:N1793"/>
    <mergeCell ref="E1794:N1794"/>
    <mergeCell ref="E1795:N1795"/>
    <mergeCell ref="E1797:F1797"/>
    <mergeCell ref="E1799:N1799"/>
    <mergeCell ref="E1800:N1800"/>
    <mergeCell ref="E1801:N1801"/>
    <mergeCell ref="E1802:N1802"/>
    <mergeCell ref="E1803:F1803"/>
    <mergeCell ref="E1805:N1805"/>
    <mergeCell ref="E1806:N1806"/>
    <mergeCell ref="E1807:N1807"/>
    <mergeCell ref="E1808:K1808"/>
    <mergeCell ref="E1810:F1810"/>
    <mergeCell ref="E1811:F1811"/>
    <mergeCell ref="E1812:F1812"/>
    <mergeCell ref="E1814:F1814"/>
    <mergeCell ref="E1815:F1815"/>
    <mergeCell ref="E1816:F1816"/>
    <mergeCell ref="E1820:M1821"/>
    <mergeCell ref="D1825:H1825"/>
    <mergeCell ref="I1825:N1825"/>
    <mergeCell ref="E1826:N1826"/>
    <mergeCell ref="E1828:N1828"/>
    <mergeCell ref="E1829:N1829"/>
    <mergeCell ref="E1830:N1830"/>
    <mergeCell ref="E1831:N1831"/>
    <mergeCell ref="E1832:F1832"/>
    <mergeCell ref="E1833:F1833"/>
    <mergeCell ref="E1834:F1834"/>
    <mergeCell ref="E1835:F1835"/>
    <mergeCell ref="E1837:G1837"/>
    <mergeCell ref="H1837:N1837"/>
    <mergeCell ref="E1838:N1838"/>
    <mergeCell ref="E1840:N1840"/>
    <mergeCell ref="E1841:N1841"/>
    <mergeCell ref="E1842:N1842"/>
    <mergeCell ref="F1843:N1843"/>
    <mergeCell ref="F1844:N1844"/>
    <mergeCell ref="D1859:N1859"/>
    <mergeCell ref="E1861:I1861"/>
    <mergeCell ref="J1861:N1861"/>
    <mergeCell ref="E1862:N1862"/>
    <mergeCell ref="E1863:N1863"/>
    <mergeCell ref="E1864:N1864"/>
    <mergeCell ref="E1874:N1874"/>
    <mergeCell ref="E1889:I1889"/>
    <mergeCell ref="J1889:N1889"/>
    <mergeCell ref="E1890:N1890"/>
    <mergeCell ref="E1891:N1891"/>
    <mergeCell ref="E1892:N1892"/>
    <mergeCell ref="E1893:N1893"/>
    <mergeCell ref="E1899:N1899"/>
    <mergeCell ref="D1914:N1914"/>
    <mergeCell ref="E1916:N1916"/>
    <mergeCell ref="E1917:N1917"/>
    <mergeCell ref="E1918:N1918"/>
    <mergeCell ref="E1919:N1919"/>
    <mergeCell ref="E1920:N1920"/>
    <mergeCell ref="E1922:N1922"/>
    <mergeCell ref="D1938:N1938"/>
    <mergeCell ref="D1940:H1940"/>
    <mergeCell ref="I1940:N1940"/>
    <mergeCell ref="E1942:N1942"/>
    <mergeCell ref="E1943:N1943"/>
    <mergeCell ref="E1944:N1944"/>
    <mergeCell ref="E1945:N1945"/>
    <mergeCell ref="E1947:N1947"/>
    <mergeCell ref="E1949:N1949"/>
    <mergeCell ref="E1950:N1950"/>
    <mergeCell ref="E1951:N1951"/>
    <mergeCell ref="F1952:N1952"/>
    <mergeCell ref="F1953:N1953"/>
    <mergeCell ref="F1954:N1954"/>
    <mergeCell ref="F1955:N1955"/>
    <mergeCell ref="F1956:N1956"/>
    <mergeCell ref="F1957:N1957"/>
    <mergeCell ref="F1958:N1958"/>
    <mergeCell ref="E1959:F1959"/>
    <mergeCell ref="E1960:F1960"/>
    <mergeCell ref="E1962:N1962"/>
    <mergeCell ref="E1963:N1963"/>
    <mergeCell ref="E1964:N1964"/>
    <mergeCell ref="E1965:N1965"/>
    <mergeCell ref="E1966:N1966"/>
    <mergeCell ref="E1968:F1968"/>
    <mergeCell ref="E1969:F1969"/>
    <mergeCell ref="E1971:N1971"/>
    <mergeCell ref="E1972:N1972"/>
    <mergeCell ref="E1973:N1973"/>
    <mergeCell ref="E1974:N1974"/>
    <mergeCell ref="E1975:N1975"/>
    <mergeCell ref="E1976:N1976"/>
    <mergeCell ref="E1977:N1977"/>
    <mergeCell ref="E1978:K1978"/>
    <mergeCell ref="E1979:N1979"/>
    <mergeCell ref="E1980:H1980"/>
    <mergeCell ref="I1980:M1980"/>
    <mergeCell ref="E1982:F1982"/>
    <mergeCell ref="E1983:F1983"/>
    <mergeCell ref="E1984:F1984"/>
    <mergeCell ref="E1985:F1985"/>
    <mergeCell ref="E1986:F1986"/>
    <mergeCell ref="E1987:F1987"/>
    <mergeCell ref="E1988:F1988"/>
    <mergeCell ref="E1989:F1989"/>
    <mergeCell ref="E1990:F1990"/>
    <mergeCell ref="E1992:H1992"/>
    <mergeCell ref="I1992:M1992"/>
    <mergeCell ref="E1994:F1994"/>
    <mergeCell ref="E1995:F1995"/>
    <mergeCell ref="E1996:F1996"/>
    <mergeCell ref="E1997:F1997"/>
    <mergeCell ref="E1998:F1998"/>
    <mergeCell ref="E1999:F1999"/>
    <mergeCell ref="E2000:F2000"/>
    <mergeCell ref="E2001:F2001"/>
    <mergeCell ref="E2002:F2002"/>
    <mergeCell ref="E2004:N2004"/>
    <mergeCell ref="E2005:N2005"/>
    <mergeCell ref="E2006:N2006"/>
    <mergeCell ref="E2007:N2007"/>
    <mergeCell ref="E2009:F2009"/>
    <mergeCell ref="E2011:N2011"/>
    <mergeCell ref="E2012:N2012"/>
    <mergeCell ref="E2013:N2013"/>
    <mergeCell ref="E2014:N2014"/>
    <mergeCell ref="E2015:N2015"/>
    <mergeCell ref="E2016:N2016"/>
    <mergeCell ref="E2017:F2017"/>
    <mergeCell ref="E2018:F2018"/>
    <mergeCell ref="E2019:F2019"/>
    <mergeCell ref="E2021:F2021"/>
    <mergeCell ref="E2022:F2022"/>
    <mergeCell ref="E2023:F2023"/>
    <mergeCell ref="E2025:F2025"/>
    <mergeCell ref="E2026:F2026"/>
    <mergeCell ref="E2027:F2027"/>
    <mergeCell ref="E2029:N2029"/>
    <mergeCell ref="E2031:K2031"/>
    <mergeCell ref="E2032:N2032"/>
    <mergeCell ref="E2033:H2033"/>
    <mergeCell ref="I2033:M2033"/>
    <mergeCell ref="E2034:N2034"/>
    <mergeCell ref="E2035:N2035"/>
    <mergeCell ref="E2037:F2037"/>
    <mergeCell ref="E2038:F2038"/>
    <mergeCell ref="E2039:F2039"/>
    <mergeCell ref="E2040:F2040"/>
    <mergeCell ref="E2042:H2042"/>
    <mergeCell ref="I2042:M2042"/>
    <mergeCell ref="E2043:N2043"/>
    <mergeCell ref="E2044:N2044"/>
    <mergeCell ref="E2046:F2046"/>
    <mergeCell ref="E2047:F2047"/>
    <mergeCell ref="E2048:F2048"/>
    <mergeCell ref="E2049:F2049"/>
    <mergeCell ref="E2051:H2051"/>
    <mergeCell ref="I2051:M2051"/>
    <mergeCell ref="E2052:N2052"/>
    <mergeCell ref="E2053:N2053"/>
    <mergeCell ref="E2054:N2054"/>
    <mergeCell ref="E2056:F2056"/>
    <mergeCell ref="E2057:F2057"/>
    <mergeCell ref="E2058:F2058"/>
    <mergeCell ref="E2059:F2059"/>
    <mergeCell ref="E2061:F2061"/>
    <mergeCell ref="E2064:G2064"/>
    <mergeCell ref="E2065:G2065"/>
    <mergeCell ref="E2066:G2066"/>
    <mergeCell ref="E2067:G2067"/>
    <mergeCell ref="E2068:G2068"/>
    <mergeCell ref="E2070:I2070"/>
    <mergeCell ref="E2071:I2071"/>
    <mergeCell ref="E2073:I2073"/>
    <mergeCell ref="E2074:G2074"/>
    <mergeCell ref="E2077:H2077"/>
    <mergeCell ref="I2077:M2077"/>
    <mergeCell ref="E2078:N2078"/>
    <mergeCell ref="E2079:N2079"/>
    <mergeCell ref="E2081:F2081"/>
    <mergeCell ref="E2082:F2082"/>
    <mergeCell ref="E2083:F2083"/>
    <mergeCell ref="E2084:F2084"/>
    <mergeCell ref="E2086:H2086"/>
    <mergeCell ref="I2086:M2086"/>
    <mergeCell ref="E2087:N2087"/>
    <mergeCell ref="E2088:N2088"/>
    <mergeCell ref="E2090:F2090"/>
    <mergeCell ref="E2091:F2091"/>
    <mergeCell ref="E2092:F2092"/>
    <mergeCell ref="E2093:F2093"/>
    <mergeCell ref="E2095:N2095"/>
    <mergeCell ref="E2096:N2096"/>
    <mergeCell ref="E2097:N2097"/>
    <mergeCell ref="E2099:F2099"/>
    <mergeCell ref="E2101:N2101"/>
    <mergeCell ref="E2102:N2102"/>
    <mergeCell ref="E2103:N2103"/>
    <mergeCell ref="E2104:N2104"/>
    <mergeCell ref="E2105:F2105"/>
    <mergeCell ref="E2107:N2107"/>
    <mergeCell ref="E2108:N2108"/>
    <mergeCell ref="E2109:N2109"/>
    <mergeCell ref="E2110:K2110"/>
    <mergeCell ref="E2112:F2112"/>
    <mergeCell ref="E2113:F2113"/>
    <mergeCell ref="E2114:F2114"/>
    <mergeCell ref="E2116:F2116"/>
    <mergeCell ref="E2117:F2117"/>
    <mergeCell ref="E2118:F2118"/>
    <mergeCell ref="E2122:M2123"/>
    <mergeCell ref="D2127:H2127"/>
    <mergeCell ref="I2127:N2127"/>
    <mergeCell ref="E2128:N2128"/>
    <mergeCell ref="E2130:N2130"/>
    <mergeCell ref="E2131:N2131"/>
    <mergeCell ref="E2132:N2132"/>
    <mergeCell ref="E2133:N2133"/>
    <mergeCell ref="E2134:F2134"/>
    <mergeCell ref="E2135:F2135"/>
    <mergeCell ref="E2136:F2136"/>
    <mergeCell ref="E2137:F2137"/>
    <mergeCell ref="E2139:G2139"/>
    <mergeCell ref="H2139:N2139"/>
    <mergeCell ref="E2140:N2140"/>
    <mergeCell ref="E2142:N2142"/>
    <mergeCell ref="E2143:N2143"/>
    <mergeCell ref="E2144:N2144"/>
    <mergeCell ref="F2145:N2145"/>
    <mergeCell ref="F2146:N2146"/>
    <mergeCell ref="D2161:N2161"/>
    <mergeCell ref="E2163:I2163"/>
    <mergeCell ref="J2163:N2163"/>
    <mergeCell ref="E2164:N2164"/>
    <mergeCell ref="E2165:N2165"/>
    <mergeCell ref="E2166:N2166"/>
    <mergeCell ref="E2176:N2176"/>
    <mergeCell ref="E2191:I2191"/>
    <mergeCell ref="J2191:N2191"/>
    <mergeCell ref="E2192:N2192"/>
    <mergeCell ref="E2193:N2193"/>
    <mergeCell ref="E2194:N2194"/>
    <mergeCell ref="E2195:N2195"/>
    <mergeCell ref="E2201:N2201"/>
    <mergeCell ref="D2216:N2216"/>
    <mergeCell ref="E2218:N2218"/>
    <mergeCell ref="E2219:N2219"/>
    <mergeCell ref="E2220:N2220"/>
    <mergeCell ref="E2221:N2221"/>
    <mergeCell ref="E2222:N2222"/>
    <mergeCell ref="E2224:N2224"/>
    <mergeCell ref="D2240:N2240"/>
    <mergeCell ref="D2242:H2242"/>
    <mergeCell ref="I2242:N2242"/>
    <mergeCell ref="E2244:N2244"/>
    <mergeCell ref="E2245:N2245"/>
    <mergeCell ref="E2246:N2246"/>
    <mergeCell ref="E2247:N2247"/>
    <mergeCell ref="E2249:N2249"/>
    <mergeCell ref="E2251:N2251"/>
    <mergeCell ref="E2252:N2252"/>
    <mergeCell ref="E2253:N2253"/>
    <mergeCell ref="F2254:N2254"/>
    <mergeCell ref="F2255:N2255"/>
    <mergeCell ref="F2256:N2256"/>
    <mergeCell ref="F2257:N2257"/>
    <mergeCell ref="F2258:N2258"/>
    <mergeCell ref="F2259:N2259"/>
    <mergeCell ref="F2260:N2260"/>
    <mergeCell ref="E2261:F2261"/>
    <mergeCell ref="E2262:F2262"/>
    <mergeCell ref="E2264:N2264"/>
    <mergeCell ref="E2265:N2265"/>
    <mergeCell ref="E2266:N2266"/>
    <mergeCell ref="E2267:N2267"/>
    <mergeCell ref="E2268:N2268"/>
    <mergeCell ref="E2270:F2270"/>
    <mergeCell ref="E2271:F2271"/>
    <mergeCell ref="E2273:N2273"/>
    <mergeCell ref="E2274:N2274"/>
    <mergeCell ref="E2275:N2275"/>
    <mergeCell ref="E2276:N2276"/>
    <mergeCell ref="E2277:N2277"/>
    <mergeCell ref="E2278:N2278"/>
    <mergeCell ref="E2279:N2279"/>
    <mergeCell ref="E2280:K2280"/>
    <mergeCell ref="E2281:N2281"/>
    <mergeCell ref="E2282:H2282"/>
    <mergeCell ref="I2282:M2282"/>
    <mergeCell ref="E2284:F2284"/>
    <mergeCell ref="E2285:F2285"/>
    <mergeCell ref="E2286:F2286"/>
    <mergeCell ref="E2287:F2287"/>
    <mergeCell ref="E2288:F2288"/>
    <mergeCell ref="E2289:F2289"/>
    <mergeCell ref="E2290:F2290"/>
    <mergeCell ref="E2291:F2291"/>
    <mergeCell ref="E2292:F2292"/>
    <mergeCell ref="E2294:H2294"/>
    <mergeCell ref="I2294:M2294"/>
    <mergeCell ref="E2296:F2296"/>
    <mergeCell ref="E2297:F2297"/>
    <mergeCell ref="E2298:F2298"/>
    <mergeCell ref="E2299:F2299"/>
    <mergeCell ref="E2300:F2300"/>
    <mergeCell ref="E2301:F2301"/>
    <mergeCell ref="E2302:F2302"/>
    <mergeCell ref="E2303:F2303"/>
    <mergeCell ref="E2304:F2304"/>
    <mergeCell ref="E2306:N2306"/>
    <mergeCell ref="E2307:N2307"/>
    <mergeCell ref="E2308:N2308"/>
    <mergeCell ref="E2309:N2309"/>
    <mergeCell ref="E2311:F2311"/>
    <mergeCell ref="E2313:N2313"/>
    <mergeCell ref="E2314:N2314"/>
    <mergeCell ref="E2315:N2315"/>
    <mergeCell ref="E2316:N2316"/>
    <mergeCell ref="E2317:N2317"/>
    <mergeCell ref="E2318:N2318"/>
    <mergeCell ref="E2319:F2319"/>
    <mergeCell ref="E2320:F2320"/>
    <mergeCell ref="E2321:F2321"/>
    <mergeCell ref="E2323:F2323"/>
    <mergeCell ref="E2324:F2324"/>
    <mergeCell ref="E2325:F2325"/>
    <mergeCell ref="E2327:F2327"/>
    <mergeCell ref="E2328:F2328"/>
    <mergeCell ref="E2329:F2329"/>
    <mergeCell ref="E2331:N2331"/>
    <mergeCell ref="E2333:K2333"/>
    <mergeCell ref="E2334:N2334"/>
    <mergeCell ref="E2335:H2335"/>
    <mergeCell ref="I2335:M2335"/>
    <mergeCell ref="E2336:N2336"/>
    <mergeCell ref="E2337:N2337"/>
    <mergeCell ref="E2339:F2339"/>
    <mergeCell ref="E2340:F2340"/>
    <mergeCell ref="E2341:F2341"/>
    <mergeCell ref="E2342:F2342"/>
    <mergeCell ref="E2344:H2344"/>
    <mergeCell ref="I2344:M2344"/>
    <mergeCell ref="E2345:N2345"/>
    <mergeCell ref="E2346:N2346"/>
    <mergeCell ref="E2348:F2348"/>
    <mergeCell ref="E2349:F2349"/>
    <mergeCell ref="E2350:F2350"/>
    <mergeCell ref="E2351:F2351"/>
    <mergeCell ref="E2353:H2353"/>
    <mergeCell ref="I2353:M2353"/>
    <mergeCell ref="E2354:N2354"/>
    <mergeCell ref="E2355:N2355"/>
    <mergeCell ref="E2356:N2356"/>
    <mergeCell ref="E2358:F2358"/>
    <mergeCell ref="E2359:F2359"/>
    <mergeCell ref="E2360:F2360"/>
    <mergeCell ref="E2361:F2361"/>
    <mergeCell ref="E2363:F2363"/>
    <mergeCell ref="E2366:G2366"/>
    <mergeCell ref="E2367:G2367"/>
    <mergeCell ref="E2368:G2368"/>
    <mergeCell ref="E2369:G2369"/>
    <mergeCell ref="E2370:G2370"/>
    <mergeCell ref="E2372:I2372"/>
    <mergeCell ref="E2373:I2373"/>
    <mergeCell ref="E2375:I2375"/>
    <mergeCell ref="E2376:G2376"/>
    <mergeCell ref="E2379:H2379"/>
    <mergeCell ref="I2379:M2379"/>
    <mergeCell ref="E2380:N2380"/>
    <mergeCell ref="E2381:N2381"/>
    <mergeCell ref="E2383:F2383"/>
    <mergeCell ref="E2384:F2384"/>
    <mergeCell ref="E2385:F2385"/>
    <mergeCell ref="E2386:F2386"/>
    <mergeCell ref="E2388:H2388"/>
    <mergeCell ref="I2388:M2388"/>
    <mergeCell ref="E2389:N2389"/>
    <mergeCell ref="E2390:N2390"/>
    <mergeCell ref="E2392:F2392"/>
    <mergeCell ref="E2393:F2393"/>
    <mergeCell ref="E2394:F2394"/>
    <mergeCell ref="E2395:F2395"/>
    <mergeCell ref="E2397:N2397"/>
    <mergeCell ref="E2398:N2398"/>
    <mergeCell ref="E2399:N2399"/>
    <mergeCell ref="E2401:F2401"/>
    <mergeCell ref="E2403:N2403"/>
    <mergeCell ref="E2404:N2404"/>
    <mergeCell ref="E2405:N2405"/>
    <mergeCell ref="E2406:N2406"/>
    <mergeCell ref="E2407:F2407"/>
    <mergeCell ref="E2409:N2409"/>
    <mergeCell ref="E2410:N2410"/>
    <mergeCell ref="E2411:N2411"/>
    <mergeCell ref="E2412:K2412"/>
    <mergeCell ref="E2414:F2414"/>
    <mergeCell ref="E2415:F2415"/>
    <mergeCell ref="E2416:F2416"/>
    <mergeCell ref="E2418:F2418"/>
    <mergeCell ref="E2419:F2419"/>
    <mergeCell ref="E2420:F2420"/>
    <mergeCell ref="E2424:M2425"/>
    <mergeCell ref="D2429:H2429"/>
    <mergeCell ref="I2429:N2429"/>
    <mergeCell ref="E2430:N2430"/>
    <mergeCell ref="E2432:N2432"/>
    <mergeCell ref="E2433:N2433"/>
    <mergeCell ref="E2434:N2434"/>
    <mergeCell ref="E2435:N2435"/>
    <mergeCell ref="E2436:F2436"/>
    <mergeCell ref="E2437:F2437"/>
    <mergeCell ref="E2438:F2438"/>
    <mergeCell ref="E2439:F2439"/>
    <mergeCell ref="E2441:G2441"/>
    <mergeCell ref="H2441:N2441"/>
    <mergeCell ref="E2442:N2442"/>
    <mergeCell ref="E2444:N2444"/>
    <mergeCell ref="E2445:N2445"/>
    <mergeCell ref="E2446:N2446"/>
    <mergeCell ref="F2447:N2447"/>
    <mergeCell ref="F2448:N2448"/>
    <mergeCell ref="D2463:N2463"/>
    <mergeCell ref="E2465:I2465"/>
    <mergeCell ref="J2465:N2465"/>
    <mergeCell ref="E2466:N2466"/>
    <mergeCell ref="E2467:N2467"/>
    <mergeCell ref="E2468:N2468"/>
    <mergeCell ref="E2478:N2478"/>
    <mergeCell ref="E2493:I2493"/>
    <mergeCell ref="J2493:N2493"/>
    <mergeCell ref="E2494:N2494"/>
    <mergeCell ref="E2495:N2495"/>
    <mergeCell ref="E2496:N2496"/>
    <mergeCell ref="E2497:N2497"/>
    <mergeCell ref="E2503:N2503"/>
    <mergeCell ref="D2518:N2518"/>
    <mergeCell ref="E2520:N2520"/>
    <mergeCell ref="E2521:N2521"/>
    <mergeCell ref="E2522:N2522"/>
    <mergeCell ref="E2523:N2523"/>
    <mergeCell ref="E2524:N2524"/>
    <mergeCell ref="E2526:N2526"/>
    <mergeCell ref="D2542:N2542"/>
    <mergeCell ref="D2544:H2544"/>
    <mergeCell ref="I2544:N2544"/>
    <mergeCell ref="E2546:N2546"/>
    <mergeCell ref="E2547:N2547"/>
    <mergeCell ref="E2548:N2548"/>
    <mergeCell ref="E2549:N2549"/>
    <mergeCell ref="E2551:N2551"/>
    <mergeCell ref="E2553:N2553"/>
    <mergeCell ref="E2554:N2554"/>
    <mergeCell ref="E2555:N2555"/>
    <mergeCell ref="F2556:N2556"/>
    <mergeCell ref="F2557:N2557"/>
    <mergeCell ref="F2558:N2558"/>
    <mergeCell ref="F2559:N2559"/>
    <mergeCell ref="F2560:N2560"/>
    <mergeCell ref="F2561:N2561"/>
    <mergeCell ref="F2562:N2562"/>
    <mergeCell ref="E2563:F2563"/>
    <mergeCell ref="E2564:F2564"/>
    <mergeCell ref="E2566:N2566"/>
    <mergeCell ref="E2567:N2567"/>
    <mergeCell ref="E2568:N2568"/>
    <mergeCell ref="E2569:N2569"/>
    <mergeCell ref="E2570:N2570"/>
    <mergeCell ref="E2572:F2572"/>
    <mergeCell ref="E2573:F2573"/>
    <mergeCell ref="E2575:N2575"/>
    <mergeCell ref="E2576:N2576"/>
    <mergeCell ref="E2577:N2577"/>
    <mergeCell ref="E2578:N2578"/>
    <mergeCell ref="E2579:N2579"/>
    <mergeCell ref="E2580:N2580"/>
    <mergeCell ref="E2581:N2581"/>
    <mergeCell ref="E2582:K2582"/>
    <mergeCell ref="E2583:N2583"/>
    <mergeCell ref="E2584:H2584"/>
    <mergeCell ref="I2584:M2584"/>
    <mergeCell ref="E2586:F2586"/>
    <mergeCell ref="E2587:F2587"/>
    <mergeCell ref="E2588:F2588"/>
    <mergeCell ref="E2589:F2589"/>
    <mergeCell ref="E2590:F2590"/>
    <mergeCell ref="E2591:F2591"/>
    <mergeCell ref="E2592:F2592"/>
    <mergeCell ref="E2593:F2593"/>
    <mergeCell ref="E2594:F2594"/>
    <mergeCell ref="E2596:H2596"/>
    <mergeCell ref="I2596:M2596"/>
    <mergeCell ref="E2598:F2598"/>
    <mergeCell ref="E2599:F2599"/>
    <mergeCell ref="E2600:F2600"/>
    <mergeCell ref="E2601:F2601"/>
    <mergeCell ref="E2602:F2602"/>
    <mergeCell ref="E2603:F2603"/>
    <mergeCell ref="E2604:F2604"/>
    <mergeCell ref="E2605:F2605"/>
    <mergeCell ref="E2606:F2606"/>
    <mergeCell ref="E2608:N2608"/>
    <mergeCell ref="E2609:N2609"/>
    <mergeCell ref="E2610:N2610"/>
    <mergeCell ref="E2611:N2611"/>
    <mergeCell ref="E2613:F2613"/>
    <mergeCell ref="E2615:N2615"/>
    <mergeCell ref="E2616:N2616"/>
    <mergeCell ref="E2617:N2617"/>
    <mergeCell ref="E2618:N2618"/>
    <mergeCell ref="E2619:N2619"/>
    <mergeCell ref="E2620:N2620"/>
    <mergeCell ref="E2621:F2621"/>
    <mergeCell ref="E2622:F2622"/>
    <mergeCell ref="E2623:F2623"/>
    <mergeCell ref="E2625:F2625"/>
    <mergeCell ref="E2626:F2626"/>
    <mergeCell ref="E2627:F2627"/>
    <mergeCell ref="E2629:F2629"/>
    <mergeCell ref="E2630:F2630"/>
    <mergeCell ref="E2631:F2631"/>
    <mergeCell ref="E2633:N2633"/>
    <mergeCell ref="E2635:K2635"/>
    <mergeCell ref="E2636:N2636"/>
    <mergeCell ref="E2637:H2637"/>
    <mergeCell ref="I2637:M2637"/>
    <mergeCell ref="E2638:N2638"/>
    <mergeCell ref="E2639:N2639"/>
    <mergeCell ref="E2641:F2641"/>
    <mergeCell ref="E2642:F2642"/>
    <mergeCell ref="E2643:F2643"/>
    <mergeCell ref="E2644:F2644"/>
    <mergeCell ref="E2646:H2646"/>
    <mergeCell ref="I2646:M2646"/>
    <mergeCell ref="E2647:N2647"/>
    <mergeCell ref="E2648:N2648"/>
    <mergeCell ref="E2650:F2650"/>
    <mergeCell ref="E2651:F2651"/>
    <mergeCell ref="E2652:F2652"/>
    <mergeCell ref="E2653:F2653"/>
    <mergeCell ref="E2655:H2655"/>
    <mergeCell ref="I2655:M2655"/>
    <mergeCell ref="E2656:N2656"/>
    <mergeCell ref="E2657:N2657"/>
    <mergeCell ref="E2658:N2658"/>
    <mergeCell ref="E2660:F2660"/>
    <mergeCell ref="E2661:F2661"/>
    <mergeCell ref="E2662:F2662"/>
    <mergeCell ref="E2663:F2663"/>
    <mergeCell ref="E2665:F2665"/>
    <mergeCell ref="E2668:G2668"/>
    <mergeCell ref="E2669:G2669"/>
    <mergeCell ref="E2670:G2670"/>
    <mergeCell ref="E2671:G2671"/>
    <mergeCell ref="E2672:G2672"/>
    <mergeCell ref="E2674:I2674"/>
    <mergeCell ref="E2675:I2675"/>
    <mergeCell ref="E2677:I2677"/>
    <mergeCell ref="E2678:G2678"/>
    <mergeCell ref="E2681:H2681"/>
    <mergeCell ref="I2681:M2681"/>
    <mergeCell ref="E2682:N2682"/>
    <mergeCell ref="E2683:N2683"/>
    <mergeCell ref="E2685:F2685"/>
    <mergeCell ref="E2686:F2686"/>
    <mergeCell ref="E2687:F2687"/>
    <mergeCell ref="E2688:F2688"/>
    <mergeCell ref="E2690:H2690"/>
    <mergeCell ref="I2690:M2690"/>
    <mergeCell ref="E2691:N2691"/>
    <mergeCell ref="E2692:N2692"/>
    <mergeCell ref="E2694:F2694"/>
    <mergeCell ref="E2695:F2695"/>
    <mergeCell ref="E2696:F2696"/>
    <mergeCell ref="E2697:F2697"/>
    <mergeCell ref="E2699:N2699"/>
    <mergeCell ref="E2700:N2700"/>
    <mergeCell ref="E2701:N2701"/>
    <mergeCell ref="E2703:F2703"/>
    <mergeCell ref="E2705:N2705"/>
    <mergeCell ref="E2706:N2706"/>
    <mergeCell ref="E2707:N2707"/>
    <mergeCell ref="E2708:N2708"/>
    <mergeCell ref="E2709:F2709"/>
    <mergeCell ref="E2711:N2711"/>
    <mergeCell ref="E2712:N2712"/>
    <mergeCell ref="E2713:N2713"/>
    <mergeCell ref="E2714:K2714"/>
    <mergeCell ref="E2716:F2716"/>
    <mergeCell ref="E2717:F2717"/>
    <mergeCell ref="E2718:F2718"/>
    <mergeCell ref="E2720:F2720"/>
    <mergeCell ref="E2721:F2721"/>
    <mergeCell ref="E2722:F2722"/>
    <mergeCell ref="E2726:M2727"/>
    <mergeCell ref="D2731:H2731"/>
    <mergeCell ref="I2731:N2731"/>
    <mergeCell ref="E2732:N2732"/>
    <mergeCell ref="E2734:N2734"/>
    <mergeCell ref="E2735:N2735"/>
    <mergeCell ref="E2736:N2736"/>
    <mergeCell ref="E2737:N2737"/>
    <mergeCell ref="E2738:F2738"/>
    <mergeCell ref="E2739:F2739"/>
    <mergeCell ref="E2740:F2740"/>
    <mergeCell ref="E2741:F2741"/>
    <mergeCell ref="E2743:G2743"/>
    <mergeCell ref="H2743:N2743"/>
    <mergeCell ref="E2744:N2744"/>
    <mergeCell ref="E2746:N2746"/>
    <mergeCell ref="E2747:N2747"/>
    <mergeCell ref="E2748:N2748"/>
    <mergeCell ref="F2749:N2749"/>
    <mergeCell ref="F2750:N2750"/>
    <mergeCell ref="D2765:N2765"/>
    <mergeCell ref="E2767:I2767"/>
    <mergeCell ref="J2767:N2767"/>
    <mergeCell ref="E2768:N2768"/>
    <mergeCell ref="E2769:N2769"/>
    <mergeCell ref="E2770:N2770"/>
    <mergeCell ref="E2780:N2780"/>
    <mergeCell ref="E2795:I2795"/>
    <mergeCell ref="J2795:N2795"/>
    <mergeCell ref="E2796:N2796"/>
    <mergeCell ref="E2797:N2797"/>
    <mergeCell ref="E2798:N2798"/>
    <mergeCell ref="E2799:N2799"/>
    <mergeCell ref="E2805:N2805"/>
    <mergeCell ref="D2820:N2820"/>
    <mergeCell ref="E2822:N2822"/>
    <mergeCell ref="E2823:N2823"/>
    <mergeCell ref="E2824:N2824"/>
    <mergeCell ref="E2825:N2825"/>
    <mergeCell ref="E2826:N2826"/>
    <mergeCell ref="E2828:N2828"/>
    <mergeCell ref="D2844:N2844"/>
    <mergeCell ref="D2846:H2846"/>
    <mergeCell ref="I2846:N2846"/>
    <mergeCell ref="E2848:N2848"/>
    <mergeCell ref="E2849:N2849"/>
    <mergeCell ref="E2850:N2850"/>
    <mergeCell ref="E2851:N2851"/>
    <mergeCell ref="E2853:N2853"/>
    <mergeCell ref="E2855:N2855"/>
    <mergeCell ref="E2856:N2856"/>
    <mergeCell ref="E2857:N2857"/>
    <mergeCell ref="F2858:N2858"/>
    <mergeCell ref="F2859:N2859"/>
    <mergeCell ref="F2860:N2860"/>
    <mergeCell ref="F2861:N2861"/>
    <mergeCell ref="F2862:N2862"/>
    <mergeCell ref="F2863:N2863"/>
    <mergeCell ref="F2864:N2864"/>
    <mergeCell ref="E2865:F2865"/>
    <mergeCell ref="E2866:F2866"/>
    <mergeCell ref="E2868:N2868"/>
    <mergeCell ref="E2869:N2869"/>
    <mergeCell ref="E2870:N2870"/>
    <mergeCell ref="E2871:N2871"/>
    <mergeCell ref="E2872:N2872"/>
    <mergeCell ref="E2874:F2874"/>
    <mergeCell ref="E2875:F2875"/>
    <mergeCell ref="E2877:N2877"/>
    <mergeCell ref="E2878:N2878"/>
    <mergeCell ref="E2879:N2879"/>
    <mergeCell ref="E2880:N2880"/>
    <mergeCell ref="E2881:N2881"/>
    <mergeCell ref="E2882:N2882"/>
    <mergeCell ref="E2883:N2883"/>
    <mergeCell ref="E2884:K2884"/>
    <mergeCell ref="E2885:N2885"/>
    <mergeCell ref="E2886:H2886"/>
    <mergeCell ref="I2886:M2886"/>
    <mergeCell ref="E2888:F2888"/>
    <mergeCell ref="E2889:F2889"/>
    <mergeCell ref="E2890:F2890"/>
    <mergeCell ref="E2891:F2891"/>
    <mergeCell ref="E2892:F2892"/>
    <mergeCell ref="E2893:F2893"/>
    <mergeCell ref="E2894:F2894"/>
    <mergeCell ref="E2895:F2895"/>
    <mergeCell ref="E2896:F2896"/>
    <mergeCell ref="E2898:H2898"/>
    <mergeCell ref="I2898:M2898"/>
    <mergeCell ref="E2900:F2900"/>
    <mergeCell ref="E2901:F2901"/>
    <mergeCell ref="E2902:F2902"/>
    <mergeCell ref="E2903:F2903"/>
    <mergeCell ref="E2904:F2904"/>
    <mergeCell ref="E2905:F2905"/>
    <mergeCell ref="E2906:F2906"/>
    <mergeCell ref="E2907:F2907"/>
    <mergeCell ref="E2908:F2908"/>
    <mergeCell ref="E2910:N2910"/>
    <mergeCell ref="E2911:N2911"/>
    <mergeCell ref="E2912:N2912"/>
    <mergeCell ref="E2913:N2913"/>
    <mergeCell ref="E2915:F2915"/>
    <mergeCell ref="E2917:N2917"/>
    <mergeCell ref="E2918:N2918"/>
    <mergeCell ref="E2919:N2919"/>
    <mergeCell ref="E2920:N2920"/>
    <mergeCell ref="E2921:N2921"/>
    <mergeCell ref="E2922:N2922"/>
    <mergeCell ref="E2923:F2923"/>
    <mergeCell ref="E2924:F2924"/>
    <mergeCell ref="E2925:F2925"/>
    <mergeCell ref="E2927:F2927"/>
    <mergeCell ref="E2928:F2928"/>
    <mergeCell ref="E2929:F2929"/>
    <mergeCell ref="E2931:F2931"/>
    <mergeCell ref="E2932:F2932"/>
    <mergeCell ref="E2933:F2933"/>
    <mergeCell ref="E2935:N2935"/>
    <mergeCell ref="E2937:K2937"/>
    <mergeCell ref="E2938:N2938"/>
    <mergeCell ref="E2939:H2939"/>
    <mergeCell ref="I2939:M2939"/>
    <mergeCell ref="E2940:N2940"/>
    <mergeCell ref="E2941:N2941"/>
    <mergeCell ref="E2943:F2943"/>
    <mergeCell ref="E2944:F2944"/>
    <mergeCell ref="E2945:F2945"/>
    <mergeCell ref="E2946:F2946"/>
    <mergeCell ref="E2948:H2948"/>
    <mergeCell ref="I2948:M2948"/>
    <mergeCell ref="E2949:N2949"/>
    <mergeCell ref="E2950:N2950"/>
    <mergeCell ref="E2952:F2952"/>
    <mergeCell ref="E2953:F2953"/>
    <mergeCell ref="E2954:F2954"/>
    <mergeCell ref="E2955:F2955"/>
    <mergeCell ref="E2957:H2957"/>
    <mergeCell ref="I2957:M2957"/>
    <mergeCell ref="E2958:N2958"/>
    <mergeCell ref="E2959:N2959"/>
    <mergeCell ref="E2960:N2960"/>
    <mergeCell ref="E2962:F2962"/>
    <mergeCell ref="E2963:F2963"/>
    <mergeCell ref="E2964:F2964"/>
    <mergeCell ref="E2965:F2965"/>
    <mergeCell ref="E2967:F2967"/>
    <mergeCell ref="E2970:G2970"/>
    <mergeCell ref="E2971:G2971"/>
    <mergeCell ref="E2972:G2972"/>
    <mergeCell ref="E2973:G2973"/>
    <mergeCell ref="E2974:G2974"/>
    <mergeCell ref="E2976:I2976"/>
    <mergeCell ref="E2977:I2977"/>
    <mergeCell ref="E2979:I2979"/>
    <mergeCell ref="E2980:G2980"/>
    <mergeCell ref="E2983:H2983"/>
    <mergeCell ref="I2983:M2983"/>
    <mergeCell ref="E2984:N2984"/>
    <mergeCell ref="E2985:N2985"/>
    <mergeCell ref="E2987:F2987"/>
    <mergeCell ref="E2988:F2988"/>
    <mergeCell ref="E2989:F2989"/>
    <mergeCell ref="E2990:F2990"/>
    <mergeCell ref="E2992:H2992"/>
    <mergeCell ref="I2992:M2992"/>
    <mergeCell ref="E3015:N3015"/>
    <mergeCell ref="E3016:K3016"/>
    <mergeCell ref="E3028:M3029"/>
    <mergeCell ref="E3018:F3018"/>
    <mergeCell ref="E3019:F3019"/>
    <mergeCell ref="E3020:F3020"/>
    <mergeCell ref="E3022:F3022"/>
    <mergeCell ref="E3023:F3023"/>
    <mergeCell ref="E3024:F3024"/>
    <mergeCell ref="E2993:N2993"/>
    <mergeCell ref="E2994:N2994"/>
    <mergeCell ref="E2996:F2996"/>
    <mergeCell ref="E2997:F2997"/>
    <mergeCell ref="E2998:F2998"/>
    <mergeCell ref="E2999:F2999"/>
    <mergeCell ref="E3001:N3001"/>
    <mergeCell ref="E3002:N3002"/>
    <mergeCell ref="E3003:N3003"/>
    <mergeCell ref="E3005:F3005"/>
    <mergeCell ref="E3007:N3007"/>
    <mergeCell ref="E3008:N3008"/>
    <mergeCell ref="E3009:N3009"/>
    <mergeCell ref="E3010:N3010"/>
    <mergeCell ref="E3011:F3011"/>
    <mergeCell ref="E3013:N3013"/>
    <mergeCell ref="E3014:N3014"/>
  </mergeCells>
  <phoneticPr fontId="34" type="noConversion"/>
  <conditionalFormatting sqref="B2:D4">
    <cfRule type="expression" dxfId="734" priority="1137" stopIfTrue="1">
      <formula>$G$3068</formula>
    </cfRule>
  </conditionalFormatting>
  <conditionalFormatting sqref="C14:N312 C316:N614 C618:N916 C920:N1218 C1222:N1520 C1524:N1822 C1826:N2124 C2128:N2426 C2430:N2728 C2732:N3030">
    <cfRule type="expression" dxfId="733" priority="1495" stopIfTrue="1">
      <formula>INDEX($AL:$AL,MATCH(MAX(INDIRECT(ADDRESS(1,3)&amp;":"&amp;ADDRESS(ROW(D12),3))),$C:$C,0))</formula>
    </cfRule>
  </conditionalFormatting>
  <conditionalFormatting sqref="E310:M311">
    <cfRule type="expression" dxfId="732" priority="698" stopIfTrue="1">
      <formula>$AC310</formula>
    </cfRule>
  </conditionalFormatting>
  <conditionalFormatting sqref="E612:M613">
    <cfRule type="expression" dxfId="731" priority="321" stopIfTrue="1">
      <formula>$AC612</formula>
    </cfRule>
  </conditionalFormatting>
  <conditionalFormatting sqref="E914:M915">
    <cfRule type="expression" dxfId="730" priority="282" stopIfTrue="1">
      <formula>$AC914</formula>
    </cfRule>
  </conditionalFormatting>
  <conditionalFormatting sqref="E1216:M1217">
    <cfRule type="expression" dxfId="729" priority="243" stopIfTrue="1">
      <formula>$AC1216</formula>
    </cfRule>
  </conditionalFormatting>
  <conditionalFormatting sqref="E1518:M1519">
    <cfRule type="expression" dxfId="728" priority="204" stopIfTrue="1">
      <formula>$AC1518</formula>
    </cfRule>
  </conditionalFormatting>
  <conditionalFormatting sqref="E1820:M1821">
    <cfRule type="expression" dxfId="727" priority="165" stopIfTrue="1">
      <formula>$AC1820</formula>
    </cfRule>
  </conditionalFormatting>
  <conditionalFormatting sqref="E2122:M2123">
    <cfRule type="expression" dxfId="726" priority="126" stopIfTrue="1">
      <formula>$AC2122</formula>
    </cfRule>
  </conditionalFormatting>
  <conditionalFormatting sqref="E2424:M2425">
    <cfRule type="expression" dxfId="725" priority="87" stopIfTrue="1">
      <formula>$AC2424</formula>
    </cfRule>
  </conditionalFormatting>
  <conditionalFormatting sqref="E2726:M2727">
    <cfRule type="expression" dxfId="724" priority="48" stopIfTrue="1">
      <formula>$AC2726</formula>
    </cfRule>
  </conditionalFormatting>
  <conditionalFormatting sqref="E3028:M3029">
    <cfRule type="expression" dxfId="723" priority="9" stopIfTrue="1">
      <formula>$AC3028</formula>
    </cfRule>
  </conditionalFormatting>
  <conditionalFormatting sqref="E113:N122">
    <cfRule type="expression" dxfId="722" priority="858" stopIfTrue="1">
      <formula>Z113</formula>
    </cfRule>
  </conditionalFormatting>
  <conditionalFormatting sqref="E415:N424">
    <cfRule type="expression" dxfId="721" priority="347" stopIfTrue="1">
      <formula>Z415</formula>
    </cfRule>
  </conditionalFormatting>
  <conditionalFormatting sqref="E717:N726">
    <cfRule type="expression" dxfId="720" priority="308" stopIfTrue="1">
      <formula>Z717</formula>
    </cfRule>
  </conditionalFormatting>
  <conditionalFormatting sqref="E1019:N1028">
    <cfRule type="expression" dxfId="719" priority="269" stopIfTrue="1">
      <formula>Z1019</formula>
    </cfRule>
  </conditionalFormatting>
  <conditionalFormatting sqref="E1321:N1330">
    <cfRule type="expression" dxfId="718" priority="230" stopIfTrue="1">
      <formula>Z1321</formula>
    </cfRule>
  </conditionalFormatting>
  <conditionalFormatting sqref="E1623:N1632">
    <cfRule type="expression" dxfId="717" priority="191" stopIfTrue="1">
      <formula>Z1623</formula>
    </cfRule>
  </conditionalFormatting>
  <conditionalFormatting sqref="E1925:N1934">
    <cfRule type="expression" dxfId="716" priority="152" stopIfTrue="1">
      <formula>Z1925</formula>
    </cfRule>
  </conditionalFormatting>
  <conditionalFormatting sqref="E2227:N2236">
    <cfRule type="expression" dxfId="715" priority="113" stopIfTrue="1">
      <formula>Z2227</formula>
    </cfRule>
  </conditionalFormatting>
  <conditionalFormatting sqref="E2529:N2538">
    <cfRule type="expression" dxfId="714" priority="74" stopIfTrue="1">
      <formula>Z2529</formula>
    </cfRule>
  </conditionalFormatting>
  <conditionalFormatting sqref="E2831:N2840">
    <cfRule type="expression" dxfId="713" priority="35" stopIfTrue="1">
      <formula>Z2831</formula>
    </cfRule>
  </conditionalFormatting>
  <conditionalFormatting sqref="G3:N5">
    <cfRule type="expression" dxfId="712" priority="1067" stopIfTrue="1">
      <formula>INDEX($G$3058:$G$3067,MATCH("BM"&amp;Q3,$F$3058:$F$3067,0))</formula>
    </cfRule>
  </conditionalFormatting>
  <conditionalFormatting sqref="H21:N22">
    <cfRule type="expression" dxfId="711" priority="1350" stopIfTrue="1">
      <formula>AC21</formula>
    </cfRule>
  </conditionalFormatting>
  <conditionalFormatting sqref="H57:N58">
    <cfRule type="expression" dxfId="710" priority="1065" stopIfTrue="1">
      <formula>($AL57=TRUE)</formula>
    </cfRule>
  </conditionalFormatting>
  <conditionalFormatting sqref="H83:N83">
    <cfRule type="expression" dxfId="709" priority="857" stopIfTrue="1">
      <formula>AC83</formula>
    </cfRule>
  </conditionalFormatting>
  <conditionalFormatting sqref="H148:N148 H156:N157 H171:N174 H183:N186 H197:N197 H206:N207 G244:N244 H245:N245 H247:N247 G225:N225 H226:N226 H228:N228 G234:N234 H235:N235 H237:N237 G269:N269 H270:N270 H272:N272 G278:N278 H279:N279 H281:N281 H287:N287 H293:N293 H301:N302 H305:N306 H210:N211 H214:N215 E310 L166 I168 I180 L219 L298 E301:E302 E305:E306">
    <cfRule type="expression" dxfId="708" priority="1061" stopIfTrue="1">
      <formula>MSconst_RequireSubAttrEmissions</formula>
    </cfRule>
  </conditionalFormatting>
  <conditionalFormatting sqref="H148:N148">
    <cfRule type="expression" dxfId="707" priority="847" stopIfTrue="1">
      <formula>AC148</formula>
    </cfRule>
  </conditionalFormatting>
  <conditionalFormatting sqref="H156:N157">
    <cfRule type="expression" dxfId="706" priority="846" stopIfTrue="1">
      <formula>AC156</formula>
    </cfRule>
  </conditionalFormatting>
  <conditionalFormatting sqref="H171:N174 H183:N186 H197:N197">
    <cfRule type="expression" dxfId="705" priority="845" stopIfTrue="1">
      <formula>AC171</formula>
    </cfRule>
  </conditionalFormatting>
  <conditionalFormatting sqref="H206:N206">
    <cfRule type="expression" dxfId="704" priority="844" stopIfTrue="1">
      <formula>$T49</formula>
    </cfRule>
  </conditionalFormatting>
  <conditionalFormatting sqref="H206:N207 H210:N211 H214:N215">
    <cfRule type="expression" dxfId="703" priority="837" stopIfTrue="1">
      <formula>AC206</formula>
    </cfRule>
  </conditionalFormatting>
  <conditionalFormatting sqref="H207:N207">
    <cfRule type="expression" dxfId="702" priority="838" stopIfTrue="1">
      <formula>$T49</formula>
    </cfRule>
  </conditionalFormatting>
  <conditionalFormatting sqref="H225:N226 H228:N228 H234:N235 H237:N237 H244:N245 H247:N247 H269:N270 H272:N272 H278:N279 H281:N281">
    <cfRule type="expression" dxfId="701" priority="842" stopIfTrue="1">
      <formula>AC225</formula>
    </cfRule>
  </conditionalFormatting>
  <conditionalFormatting sqref="H244:N245 H247:N247 G244">
    <cfRule type="expression" dxfId="700" priority="843" stopIfTrue="1">
      <formula>CNTR_SubPeriod=2</formula>
    </cfRule>
  </conditionalFormatting>
  <conditionalFormatting sqref="H287:N287 H293:N293">
    <cfRule type="expression" dxfId="699" priority="841" stopIfTrue="1">
      <formula>AC287</formula>
    </cfRule>
  </conditionalFormatting>
  <conditionalFormatting sqref="H301:N302 H305:N306">
    <cfRule type="expression" dxfId="698" priority="840" stopIfTrue="1">
      <formula>AC301</formula>
    </cfRule>
  </conditionalFormatting>
  <conditionalFormatting sqref="H323:N324">
    <cfRule type="expression" dxfId="697" priority="351" stopIfTrue="1">
      <formula>AC323</formula>
    </cfRule>
  </conditionalFormatting>
  <conditionalFormatting sqref="H359:N360">
    <cfRule type="expression" dxfId="696" priority="350" stopIfTrue="1">
      <formula>($AL359=TRUE)</formula>
    </cfRule>
  </conditionalFormatting>
  <conditionalFormatting sqref="H385:N385">
    <cfRule type="expression" dxfId="695" priority="346" stopIfTrue="1">
      <formula>AC385</formula>
    </cfRule>
  </conditionalFormatting>
  <conditionalFormatting sqref="H450:N450 H458:N459 H473:N476 H485:N488 H499:N499 H508:N509 G546:N546 H547:N547 H549:N549 G527:N527 H528:N528 H530:N530 G536:N536 H537:N537 H539:N539 G571:N571 H572:N572 H574:N574 G580:N580 H581:N581 H583:N583 H589:N589 H595:N595 H603:N604 H607:N608 H512:N513 H516:N517 E612 L468 I470 I482 L521 L600 E603:E604 E607:E608">
    <cfRule type="expression" dxfId="694" priority="348" stopIfTrue="1">
      <formula>MSconst_RequireSubAttrEmissions</formula>
    </cfRule>
  </conditionalFormatting>
  <conditionalFormatting sqref="H450:N450">
    <cfRule type="expression" dxfId="693" priority="341" stopIfTrue="1">
      <formula>AC450</formula>
    </cfRule>
  </conditionalFormatting>
  <conditionalFormatting sqref="H458:N459">
    <cfRule type="expression" dxfId="692" priority="340" stopIfTrue="1">
      <formula>AC458</formula>
    </cfRule>
  </conditionalFormatting>
  <conditionalFormatting sqref="H473:N476 H485:N488 H499:N499">
    <cfRule type="expression" dxfId="691" priority="339" stopIfTrue="1">
      <formula>AC473</formula>
    </cfRule>
  </conditionalFormatting>
  <conditionalFormatting sqref="H508:N508">
    <cfRule type="expression" dxfId="690" priority="338" stopIfTrue="1">
      <formula>$T351</formula>
    </cfRule>
  </conditionalFormatting>
  <conditionalFormatting sqref="H508:N509 H512:N513 H516:N517">
    <cfRule type="expression" dxfId="689" priority="332" stopIfTrue="1">
      <formula>AC508</formula>
    </cfRule>
  </conditionalFormatting>
  <conditionalFormatting sqref="H509:N509">
    <cfRule type="expression" dxfId="688" priority="333" stopIfTrue="1">
      <formula>$T351</formula>
    </cfRule>
  </conditionalFormatting>
  <conditionalFormatting sqref="H527:N528 H530:N530 H536:N537 H539:N539 H546:N547 H549:N549 H571:N572 H574:N574 H580:N581 H583:N583">
    <cfRule type="expression" dxfId="687" priority="336" stopIfTrue="1">
      <formula>AC527</formula>
    </cfRule>
  </conditionalFormatting>
  <conditionalFormatting sqref="H546:N547 H549:N549 G546">
    <cfRule type="expression" dxfId="686" priority="337" stopIfTrue="1">
      <formula>CNTR_SubPeriod=2</formula>
    </cfRule>
  </conditionalFormatting>
  <conditionalFormatting sqref="H589:N589 H595:N595">
    <cfRule type="expression" dxfId="685" priority="335" stopIfTrue="1">
      <formula>AC589</formula>
    </cfRule>
  </conditionalFormatting>
  <conditionalFormatting sqref="H603:N604 H607:N608">
    <cfRule type="expression" dxfId="684" priority="334" stopIfTrue="1">
      <formula>AC603</formula>
    </cfRule>
  </conditionalFormatting>
  <conditionalFormatting sqref="H625:N626">
    <cfRule type="expression" dxfId="683" priority="312" stopIfTrue="1">
      <formula>AC625</formula>
    </cfRule>
  </conditionalFormatting>
  <conditionalFormatting sqref="H661:N662">
    <cfRule type="expression" dxfId="682" priority="311" stopIfTrue="1">
      <formula>($AL661=TRUE)</formula>
    </cfRule>
  </conditionalFormatting>
  <conditionalFormatting sqref="H687:N687">
    <cfRule type="expression" dxfId="681" priority="307" stopIfTrue="1">
      <formula>AC687</formula>
    </cfRule>
  </conditionalFormatting>
  <conditionalFormatting sqref="H752:N752 H760:N761 H775:N778 H787:N790 H801:N801 H810:N811 G848:N848 H849:N849 H851:N851 G829:N829 H830:N830 H832:N832 G838:N838 H839:N839 H841:N841 G873:N873 H874:N874 H876:N876 G882:N882 H883:N883 H885:N885 H891:N891 H897:N897 H905:N906 H909:N910 H814:N815 H818:N819 E914 L770 I772 I784 L823 L902 E905:E906 E909:E910">
    <cfRule type="expression" dxfId="680" priority="309" stopIfTrue="1">
      <formula>MSconst_RequireSubAttrEmissions</formula>
    </cfRule>
  </conditionalFormatting>
  <conditionalFormatting sqref="H752:N752">
    <cfRule type="expression" dxfId="679" priority="302" stopIfTrue="1">
      <formula>AC752</formula>
    </cfRule>
  </conditionalFormatting>
  <conditionalFormatting sqref="H760:N761">
    <cfRule type="expression" dxfId="678" priority="301" stopIfTrue="1">
      <formula>AC760</formula>
    </cfRule>
  </conditionalFormatting>
  <conditionalFormatting sqref="H775:N778 H787:N790 H801:N801">
    <cfRule type="expression" dxfId="677" priority="300" stopIfTrue="1">
      <formula>AC775</formula>
    </cfRule>
  </conditionalFormatting>
  <conditionalFormatting sqref="H810:N810">
    <cfRule type="expression" dxfId="676" priority="299" stopIfTrue="1">
      <formula>$T653</formula>
    </cfRule>
  </conditionalFormatting>
  <conditionalFormatting sqref="H810:N811 H814:N815 H818:N819">
    <cfRule type="expression" dxfId="675" priority="293" stopIfTrue="1">
      <formula>AC810</formula>
    </cfRule>
  </conditionalFormatting>
  <conditionalFormatting sqref="H811:N811">
    <cfRule type="expression" dxfId="674" priority="294" stopIfTrue="1">
      <formula>$T653</formula>
    </cfRule>
  </conditionalFormatting>
  <conditionalFormatting sqref="H829:N830 H832:N832 H838:N839 H841:N841 H848:N849 H851:N851 H873:N874 H876:N876 H882:N883 H885:N885">
    <cfRule type="expression" dxfId="673" priority="297" stopIfTrue="1">
      <formula>AC829</formula>
    </cfRule>
  </conditionalFormatting>
  <conditionalFormatting sqref="H848:N849 H851:N851 G848">
    <cfRule type="expression" dxfId="672" priority="298" stopIfTrue="1">
      <formula>CNTR_SubPeriod=2</formula>
    </cfRule>
  </conditionalFormatting>
  <conditionalFormatting sqref="H891:N891 H897:N897">
    <cfRule type="expression" dxfId="671" priority="296" stopIfTrue="1">
      <formula>AC891</formula>
    </cfRule>
  </conditionalFormatting>
  <conditionalFormatting sqref="H905:N906 H909:N910">
    <cfRule type="expression" dxfId="670" priority="295" stopIfTrue="1">
      <formula>AC905</formula>
    </cfRule>
  </conditionalFormatting>
  <conditionalFormatting sqref="H927:N928">
    <cfRule type="expression" dxfId="669" priority="273" stopIfTrue="1">
      <formula>AC927</formula>
    </cfRule>
  </conditionalFormatting>
  <conditionalFormatting sqref="H963:N964">
    <cfRule type="expression" dxfId="668" priority="272" stopIfTrue="1">
      <formula>($AL963=TRUE)</formula>
    </cfRule>
  </conditionalFormatting>
  <conditionalFormatting sqref="H989:N989">
    <cfRule type="expression" dxfId="667" priority="268" stopIfTrue="1">
      <formula>AC989</formula>
    </cfRule>
  </conditionalFormatting>
  <conditionalFormatting sqref="H1054:N1054 H1062:N1063 H1077:N1080 H1089:N1092 H1103:N1103 H1112:N1113 G1150:N1150 H1151:N1151 H1153:N1153 G1131:N1131 H1132:N1132 H1134:N1134 G1140:N1140 H1141:N1141 H1143:N1143 G1175:N1175 H1176:N1176 H1178:N1178 G1184:N1184 H1185:N1185 H1187:N1187 H1193:N1193 H1199:N1199 H1207:N1208 H1211:N1212 H1116:N1117 H1120:N1121 E1216 L1072 I1074 I1086 L1125 L1204 E1207:E1208 E1211:E1212">
    <cfRule type="expression" dxfId="666" priority="270" stopIfTrue="1">
      <formula>MSconst_RequireSubAttrEmissions</formula>
    </cfRule>
  </conditionalFormatting>
  <conditionalFormatting sqref="H1054:N1054">
    <cfRule type="expression" dxfId="665" priority="263" stopIfTrue="1">
      <formula>AC1054</formula>
    </cfRule>
  </conditionalFormatting>
  <conditionalFormatting sqref="H1062:N1063">
    <cfRule type="expression" dxfId="664" priority="262" stopIfTrue="1">
      <formula>AC1062</formula>
    </cfRule>
  </conditionalFormatting>
  <conditionalFormatting sqref="H1077:N1080 H1089:N1092 H1103:N1103">
    <cfRule type="expression" dxfId="663" priority="261" stopIfTrue="1">
      <formula>AC1077</formula>
    </cfRule>
  </conditionalFormatting>
  <conditionalFormatting sqref="H1112:N1112">
    <cfRule type="expression" dxfId="662" priority="260" stopIfTrue="1">
      <formula>$T955</formula>
    </cfRule>
  </conditionalFormatting>
  <conditionalFormatting sqref="H1112:N1113 H1116:N1117 H1120:N1121">
    <cfRule type="expression" dxfId="661" priority="254" stopIfTrue="1">
      <formula>AC1112</formula>
    </cfRule>
  </conditionalFormatting>
  <conditionalFormatting sqref="H1113:N1113">
    <cfRule type="expression" dxfId="660" priority="255" stopIfTrue="1">
      <formula>$T955</formula>
    </cfRule>
  </conditionalFormatting>
  <conditionalFormatting sqref="H1131:N1132 H1134:N1134 H1140:N1141 H1143:N1143 H1150:N1151 H1153:N1153 H1175:N1176 H1178:N1178 H1184:N1185 H1187:N1187">
    <cfRule type="expression" dxfId="659" priority="258" stopIfTrue="1">
      <formula>AC1131</formula>
    </cfRule>
  </conditionalFormatting>
  <conditionalFormatting sqref="H1150:N1151 H1153:N1153 G1150">
    <cfRule type="expression" dxfId="658" priority="259" stopIfTrue="1">
      <formula>CNTR_SubPeriod=2</formula>
    </cfRule>
  </conditionalFormatting>
  <conditionalFormatting sqref="H1193:N1193 H1199:N1199">
    <cfRule type="expression" dxfId="657" priority="257" stopIfTrue="1">
      <formula>AC1193</formula>
    </cfRule>
  </conditionalFormatting>
  <conditionalFormatting sqref="H1207:N1208 H1211:N1212">
    <cfRule type="expression" dxfId="656" priority="256" stopIfTrue="1">
      <formula>AC1207</formula>
    </cfRule>
  </conditionalFormatting>
  <conditionalFormatting sqref="H1229:N1230">
    <cfRule type="expression" dxfId="655" priority="234" stopIfTrue="1">
      <formula>AC1229</formula>
    </cfRule>
  </conditionalFormatting>
  <conditionalFormatting sqref="H1265:N1266">
    <cfRule type="expression" dxfId="654" priority="233" stopIfTrue="1">
      <formula>($AL1265=TRUE)</formula>
    </cfRule>
  </conditionalFormatting>
  <conditionalFormatting sqref="H1291:N1291">
    <cfRule type="expression" dxfId="653" priority="229" stopIfTrue="1">
      <formula>AC1291</formula>
    </cfRule>
  </conditionalFormatting>
  <conditionalFormatting sqref="H1356:N1356 H1364:N1365 H1379:N1382 H1391:N1394 H1405:N1405 H1414:N1415 G1452:N1452 H1453:N1453 H1455:N1455 G1433:N1433 H1434:N1434 H1436:N1436 G1442:N1442 H1443:N1443 H1445:N1445 G1477:N1477 H1478:N1478 H1480:N1480 G1486:N1486 H1487:N1487 H1489:N1489 H1495:N1495 H1501:N1501 H1509:N1510 H1513:N1514 H1418:N1419 H1422:N1423 E1518 L1374 I1376 I1388 L1427 L1506 E1509:E1510 E1513:E1514">
    <cfRule type="expression" dxfId="652" priority="231" stopIfTrue="1">
      <formula>MSconst_RequireSubAttrEmissions</formula>
    </cfRule>
  </conditionalFormatting>
  <conditionalFormatting sqref="H1356:N1356">
    <cfRule type="expression" dxfId="651" priority="224" stopIfTrue="1">
      <formula>AC1356</formula>
    </cfRule>
  </conditionalFormatting>
  <conditionalFormatting sqref="H1364:N1365">
    <cfRule type="expression" dxfId="650" priority="223" stopIfTrue="1">
      <formula>AC1364</formula>
    </cfRule>
  </conditionalFormatting>
  <conditionalFormatting sqref="H1379:N1382 H1391:N1394 H1405:N1405">
    <cfRule type="expression" dxfId="649" priority="222" stopIfTrue="1">
      <formula>AC1379</formula>
    </cfRule>
  </conditionalFormatting>
  <conditionalFormatting sqref="H1414:N1414">
    <cfRule type="expression" dxfId="648" priority="221" stopIfTrue="1">
      <formula>$T1257</formula>
    </cfRule>
  </conditionalFormatting>
  <conditionalFormatting sqref="H1414:N1415 H1418:N1419 H1422:N1423">
    <cfRule type="expression" dxfId="647" priority="215" stopIfTrue="1">
      <formula>AC1414</formula>
    </cfRule>
  </conditionalFormatting>
  <conditionalFormatting sqref="H1415:N1415">
    <cfRule type="expression" dxfId="646" priority="216" stopIfTrue="1">
      <formula>$T1257</formula>
    </cfRule>
  </conditionalFormatting>
  <conditionalFormatting sqref="H1433:N1434 H1436:N1436 H1442:N1443 H1445:N1445 H1452:N1453 H1455:N1455 H1477:N1478 H1480:N1480 H1486:N1487 H1489:N1489">
    <cfRule type="expression" dxfId="645" priority="219" stopIfTrue="1">
      <formula>AC1433</formula>
    </cfRule>
  </conditionalFormatting>
  <conditionalFormatting sqref="H1452:N1453 H1455:N1455 G1452">
    <cfRule type="expression" dxfId="644" priority="220" stopIfTrue="1">
      <formula>CNTR_SubPeriod=2</formula>
    </cfRule>
  </conditionalFormatting>
  <conditionalFormatting sqref="H1495:N1495 H1501:N1501">
    <cfRule type="expression" dxfId="643" priority="218" stopIfTrue="1">
      <formula>AC1495</formula>
    </cfRule>
  </conditionalFormatting>
  <conditionalFormatting sqref="H1509:N1510 H1513:N1514">
    <cfRule type="expression" dxfId="642" priority="217" stopIfTrue="1">
      <formula>AC1509</formula>
    </cfRule>
  </conditionalFormatting>
  <conditionalFormatting sqref="H1531:N1532">
    <cfRule type="expression" dxfId="641" priority="195" stopIfTrue="1">
      <formula>AC1531</formula>
    </cfRule>
  </conditionalFormatting>
  <conditionalFormatting sqref="H1567:N1568">
    <cfRule type="expression" dxfId="640" priority="194" stopIfTrue="1">
      <formula>($AL1567=TRUE)</formula>
    </cfRule>
  </conditionalFormatting>
  <conditionalFormatting sqref="H1593:N1593">
    <cfRule type="expression" dxfId="639" priority="190" stopIfTrue="1">
      <formula>AC1593</formula>
    </cfRule>
  </conditionalFormatting>
  <conditionalFormatting sqref="H1658:N1658 H1666:N1667 H1681:N1684 H1693:N1696 H1707:N1707 H1716:N1717 G1754:N1754 H1755:N1755 H1757:N1757 G1735:N1735 H1736:N1736 H1738:N1738 G1744:N1744 H1745:N1745 H1747:N1747 G1779:N1779 H1780:N1780 H1782:N1782 G1788:N1788 H1789:N1789 H1791:N1791 H1797:N1797 H1803:N1803 H1811:N1812 H1815:N1816 H1720:N1721 H1724:N1725 E1820 L1676 I1678 I1690 L1729 L1808 E1811:E1812 E1815:E1816">
    <cfRule type="expression" dxfId="638" priority="192" stopIfTrue="1">
      <formula>MSconst_RequireSubAttrEmissions</formula>
    </cfRule>
  </conditionalFormatting>
  <conditionalFormatting sqref="H1658:N1658">
    <cfRule type="expression" dxfId="637" priority="185" stopIfTrue="1">
      <formula>AC1658</formula>
    </cfRule>
  </conditionalFormatting>
  <conditionalFormatting sqref="H1666:N1667">
    <cfRule type="expression" dxfId="636" priority="184" stopIfTrue="1">
      <formula>AC1666</formula>
    </cfRule>
  </conditionalFormatting>
  <conditionalFormatting sqref="H1681:N1684 H1693:N1696 H1707:N1707">
    <cfRule type="expression" dxfId="635" priority="183" stopIfTrue="1">
      <formula>AC1681</formula>
    </cfRule>
  </conditionalFormatting>
  <conditionalFormatting sqref="H1716:N1716">
    <cfRule type="expression" dxfId="634" priority="182" stopIfTrue="1">
      <formula>$T1559</formula>
    </cfRule>
  </conditionalFormatting>
  <conditionalFormatting sqref="H1716:N1717 H1720:N1721 H1724:N1725">
    <cfRule type="expression" dxfId="633" priority="176" stopIfTrue="1">
      <formula>AC1716</formula>
    </cfRule>
  </conditionalFormatting>
  <conditionalFormatting sqref="H1717:N1717">
    <cfRule type="expression" dxfId="632" priority="177" stopIfTrue="1">
      <formula>$T1559</formula>
    </cfRule>
  </conditionalFormatting>
  <conditionalFormatting sqref="H1735:N1736 H1738:N1738 H1744:N1745 H1747:N1747 H1754:N1755 H1757:N1757 H1779:N1780 H1782:N1782 H1788:N1789 H1791:N1791">
    <cfRule type="expression" dxfId="631" priority="180" stopIfTrue="1">
      <formula>AC1735</formula>
    </cfRule>
  </conditionalFormatting>
  <conditionalFormatting sqref="H1754:N1755 H1757:N1757 G1754">
    <cfRule type="expression" dxfId="630" priority="181" stopIfTrue="1">
      <formula>CNTR_SubPeriod=2</formula>
    </cfRule>
  </conditionalFormatting>
  <conditionalFormatting sqref="H1797:N1797 H1803:N1803">
    <cfRule type="expression" dxfId="629" priority="179" stopIfTrue="1">
      <formula>AC1797</formula>
    </cfRule>
  </conditionalFormatting>
  <conditionalFormatting sqref="H1811:N1812 H1815:N1816">
    <cfRule type="expression" dxfId="628" priority="178" stopIfTrue="1">
      <formula>AC1811</formula>
    </cfRule>
  </conditionalFormatting>
  <conditionalFormatting sqref="H1833:N1834">
    <cfRule type="expression" dxfId="627" priority="156" stopIfTrue="1">
      <formula>AC1833</formula>
    </cfRule>
  </conditionalFormatting>
  <conditionalFormatting sqref="H1869:N1870">
    <cfRule type="expression" dxfId="626" priority="155" stopIfTrue="1">
      <formula>($AL1869=TRUE)</formula>
    </cfRule>
  </conditionalFormatting>
  <conditionalFormatting sqref="H1895:N1895">
    <cfRule type="expression" dxfId="625" priority="151" stopIfTrue="1">
      <formula>AC1895</formula>
    </cfRule>
  </conditionalFormatting>
  <conditionalFormatting sqref="H1960:N1960 H1968:N1969 H1983:N1986 H1995:N1998 H2009:N2009 H2018:N2019 G2056:N2056 H2057:N2057 H2059:N2059 G2037:N2037 H2038:N2038 H2040:N2040 G2046:N2046 H2047:N2047 H2049:N2049 G2081:N2081 H2082:N2082 H2084:N2084 G2090:N2090 H2091:N2091 H2093:N2093 H2099:N2099 H2105:N2105 H2113:N2114 H2117:N2118 H2022:N2023 H2026:N2027 E2122 L1978 I1980 I1992 L2031 L2110 E2113:E2114 E2117:E2118">
    <cfRule type="expression" dxfId="624" priority="153" stopIfTrue="1">
      <formula>MSconst_RequireSubAttrEmissions</formula>
    </cfRule>
  </conditionalFormatting>
  <conditionalFormatting sqref="H1960:N1960">
    <cfRule type="expression" dxfId="623" priority="146" stopIfTrue="1">
      <formula>AC1960</formula>
    </cfRule>
  </conditionalFormatting>
  <conditionalFormatting sqref="H1968:N1969">
    <cfRule type="expression" dxfId="622" priority="145" stopIfTrue="1">
      <formula>AC1968</formula>
    </cfRule>
  </conditionalFormatting>
  <conditionalFormatting sqref="H1983:N1986 H1995:N1998 H2009:N2009">
    <cfRule type="expression" dxfId="621" priority="144" stopIfTrue="1">
      <formula>AC1983</formula>
    </cfRule>
  </conditionalFormatting>
  <conditionalFormatting sqref="H2018:N2018">
    <cfRule type="expression" dxfId="620" priority="143" stopIfTrue="1">
      <formula>$T1861</formula>
    </cfRule>
  </conditionalFormatting>
  <conditionalFormatting sqref="H2018:N2019 H2022:N2023 H2026:N2027">
    <cfRule type="expression" dxfId="619" priority="137" stopIfTrue="1">
      <formula>AC2018</formula>
    </cfRule>
  </conditionalFormatting>
  <conditionalFormatting sqref="H2019:N2019">
    <cfRule type="expression" dxfId="618" priority="138" stopIfTrue="1">
      <formula>$T1861</formula>
    </cfRule>
  </conditionalFormatting>
  <conditionalFormatting sqref="H2037:N2038 H2040:N2040 H2046:N2047 H2049:N2049 H2056:N2057 H2059:N2059 H2081:N2082 H2084:N2084 H2090:N2091 H2093:N2093">
    <cfRule type="expression" dxfId="617" priority="141" stopIfTrue="1">
      <formula>AC2037</formula>
    </cfRule>
  </conditionalFormatting>
  <conditionalFormatting sqref="H2056:N2057 H2059:N2059 G2056">
    <cfRule type="expression" dxfId="616" priority="142" stopIfTrue="1">
      <formula>CNTR_SubPeriod=2</formula>
    </cfRule>
  </conditionalFormatting>
  <conditionalFormatting sqref="H2099:N2099 H2105:N2105">
    <cfRule type="expression" dxfId="615" priority="140" stopIfTrue="1">
      <formula>AC2099</formula>
    </cfRule>
  </conditionalFormatting>
  <conditionalFormatting sqref="H2113:N2114 H2117:N2118">
    <cfRule type="expression" dxfId="614" priority="139" stopIfTrue="1">
      <formula>AC2113</formula>
    </cfRule>
  </conditionalFormatting>
  <conditionalFormatting sqref="H2135:N2136">
    <cfRule type="expression" dxfId="613" priority="117" stopIfTrue="1">
      <formula>AC2135</formula>
    </cfRule>
  </conditionalFormatting>
  <conditionalFormatting sqref="H2171:N2172">
    <cfRule type="expression" dxfId="612" priority="116" stopIfTrue="1">
      <formula>($AL2171=TRUE)</formula>
    </cfRule>
  </conditionalFormatting>
  <conditionalFormatting sqref="H2197:N2197">
    <cfRule type="expression" dxfId="611" priority="112" stopIfTrue="1">
      <formula>AC2197</formula>
    </cfRule>
  </conditionalFormatting>
  <conditionalFormatting sqref="H2262:N2262 H2270:N2271 H2285:N2288 H2297:N2300 H2311:N2311 H2320:N2321 G2358:N2358 H2359:N2359 H2361:N2361 G2339:N2339 H2340:N2340 H2342:N2342 G2348:N2348 H2349:N2349 H2351:N2351 G2383:N2383 H2384:N2384 H2386:N2386 G2392:N2392 H2393:N2393 H2395:N2395 H2401:N2401 H2407:N2407 H2415:N2416 H2419:N2420 H2324:N2325 H2328:N2329 E2424 L2280 I2282 I2294 L2333 L2412 E2415:E2416 E2419:E2420">
    <cfRule type="expression" dxfId="610" priority="114" stopIfTrue="1">
      <formula>MSconst_RequireSubAttrEmissions</formula>
    </cfRule>
  </conditionalFormatting>
  <conditionalFormatting sqref="H2262:N2262">
    <cfRule type="expression" dxfId="609" priority="107" stopIfTrue="1">
      <formula>AC2262</formula>
    </cfRule>
  </conditionalFormatting>
  <conditionalFormatting sqref="H2270:N2271">
    <cfRule type="expression" dxfId="608" priority="106" stopIfTrue="1">
      <formula>AC2270</formula>
    </cfRule>
  </conditionalFormatting>
  <conditionalFormatting sqref="H2285:N2288 H2297:N2300 H2311:N2311">
    <cfRule type="expression" dxfId="607" priority="105" stopIfTrue="1">
      <formula>AC2285</formula>
    </cfRule>
  </conditionalFormatting>
  <conditionalFormatting sqref="H2320:N2320">
    <cfRule type="expression" dxfId="606" priority="104" stopIfTrue="1">
      <formula>$T2163</formula>
    </cfRule>
  </conditionalFormatting>
  <conditionalFormatting sqref="H2320:N2321 H2324:N2325 H2328:N2329">
    <cfRule type="expression" dxfId="605" priority="98" stopIfTrue="1">
      <formula>AC2320</formula>
    </cfRule>
  </conditionalFormatting>
  <conditionalFormatting sqref="H2321:N2321">
    <cfRule type="expression" dxfId="604" priority="99" stopIfTrue="1">
      <formula>$T2163</formula>
    </cfRule>
  </conditionalFormatting>
  <conditionalFormatting sqref="H2339:N2340 H2342:N2342 H2348:N2349 H2351:N2351 H2358:N2359 H2361:N2361 H2383:N2384 H2386:N2386 H2392:N2393 H2395:N2395">
    <cfRule type="expression" dxfId="603" priority="102" stopIfTrue="1">
      <formula>AC2339</formula>
    </cfRule>
  </conditionalFormatting>
  <conditionalFormatting sqref="H2358:N2359 H2361:N2361 G2358">
    <cfRule type="expression" dxfId="602" priority="103" stopIfTrue="1">
      <formula>CNTR_SubPeriod=2</formula>
    </cfRule>
  </conditionalFormatting>
  <conditionalFormatting sqref="H2401:N2401 H2407:N2407">
    <cfRule type="expression" dxfId="601" priority="101" stopIfTrue="1">
      <formula>AC2401</formula>
    </cfRule>
  </conditionalFormatting>
  <conditionalFormatting sqref="H2415:N2416 H2419:N2420">
    <cfRule type="expression" dxfId="600" priority="100" stopIfTrue="1">
      <formula>AC2415</formula>
    </cfRule>
  </conditionalFormatting>
  <conditionalFormatting sqref="H2437:N2438">
    <cfRule type="expression" dxfId="599" priority="78" stopIfTrue="1">
      <formula>AC2437</formula>
    </cfRule>
  </conditionalFormatting>
  <conditionalFormatting sqref="H2473:N2474">
    <cfRule type="expression" dxfId="598" priority="77" stopIfTrue="1">
      <formula>($AL2473=TRUE)</formula>
    </cfRule>
  </conditionalFormatting>
  <conditionalFormatting sqref="H2499:N2499">
    <cfRule type="expression" dxfId="597" priority="73" stopIfTrue="1">
      <formula>AC2499</formula>
    </cfRule>
  </conditionalFormatting>
  <conditionalFormatting sqref="H2564:N2564 H2572:N2573 H2587:N2590 H2599:N2602 H2613:N2613 H2622:N2623 G2660:N2660 H2661:N2661 H2663:N2663 G2641:N2641 H2642:N2642 H2644:N2644 G2650:N2650 H2651:N2651 H2653:N2653 G2685:N2685 H2686:N2686 H2688:N2688 G2694:N2694 H2695:N2695 H2697:N2697 H2703:N2703 H2709:N2709 H2717:N2718 H2721:N2722 H2626:N2627 H2630:N2631 E2726 L2582 I2584 I2596 L2635 L2714 E2717:E2718 E2721:E2722">
    <cfRule type="expression" dxfId="596" priority="75" stopIfTrue="1">
      <formula>MSconst_RequireSubAttrEmissions</formula>
    </cfRule>
  </conditionalFormatting>
  <conditionalFormatting sqref="H2564:N2564">
    <cfRule type="expression" dxfId="595" priority="68" stopIfTrue="1">
      <formula>AC2564</formula>
    </cfRule>
  </conditionalFormatting>
  <conditionalFormatting sqref="H2572:N2573">
    <cfRule type="expression" dxfId="594" priority="67" stopIfTrue="1">
      <formula>AC2572</formula>
    </cfRule>
  </conditionalFormatting>
  <conditionalFormatting sqref="H2587:N2590 H2599:N2602 H2613:N2613">
    <cfRule type="expression" dxfId="593" priority="66" stopIfTrue="1">
      <formula>AC2587</formula>
    </cfRule>
  </conditionalFormatting>
  <conditionalFormatting sqref="H2622:N2622">
    <cfRule type="expression" dxfId="592" priority="65" stopIfTrue="1">
      <formula>$T2465</formula>
    </cfRule>
  </conditionalFormatting>
  <conditionalFormatting sqref="H2622:N2623 H2626:N2627 H2630:N2631">
    <cfRule type="expression" dxfId="591" priority="59" stopIfTrue="1">
      <formula>AC2622</formula>
    </cfRule>
  </conditionalFormatting>
  <conditionalFormatting sqref="H2623:N2623">
    <cfRule type="expression" dxfId="590" priority="60" stopIfTrue="1">
      <formula>$T2465</formula>
    </cfRule>
  </conditionalFormatting>
  <conditionalFormatting sqref="H2641:N2642 H2644:N2644 H2650:N2651 H2653:N2653 H2660:N2661 H2663:N2663 H2685:N2686 H2688:N2688 H2694:N2695 H2697:N2697">
    <cfRule type="expression" dxfId="589" priority="63" stopIfTrue="1">
      <formula>AC2641</formula>
    </cfRule>
  </conditionalFormatting>
  <conditionalFormatting sqref="H2660:N2661 H2663:N2663 G2660">
    <cfRule type="expression" dxfId="588" priority="64" stopIfTrue="1">
      <formula>CNTR_SubPeriod=2</formula>
    </cfRule>
  </conditionalFormatting>
  <conditionalFormatting sqref="H2703:N2703 H2709:N2709">
    <cfRule type="expression" dxfId="587" priority="62" stopIfTrue="1">
      <formula>AC2703</formula>
    </cfRule>
  </conditionalFormatting>
  <conditionalFormatting sqref="H2717:N2718 H2721:N2722">
    <cfRule type="expression" dxfId="586" priority="61" stopIfTrue="1">
      <formula>AC2717</formula>
    </cfRule>
  </conditionalFormatting>
  <conditionalFormatting sqref="H2739:N2740">
    <cfRule type="expression" dxfId="585" priority="39" stopIfTrue="1">
      <formula>AC2739</formula>
    </cfRule>
  </conditionalFormatting>
  <conditionalFormatting sqref="H2775:N2776">
    <cfRule type="expression" dxfId="584" priority="38" stopIfTrue="1">
      <formula>($AL2775=TRUE)</formula>
    </cfRule>
  </conditionalFormatting>
  <conditionalFormatting sqref="H2801:N2801">
    <cfRule type="expression" dxfId="583" priority="34" stopIfTrue="1">
      <formula>AC2801</formula>
    </cfRule>
  </conditionalFormatting>
  <conditionalFormatting sqref="H2866:N2866 H2874:N2875 H2889:N2892 H2901:N2904 H2915:N2915 H2924:N2925 G2962:N2962 H2963:N2963 H2965:N2965 G2943:N2943 H2944:N2944 H2946:N2946 G2952:N2952 H2953:N2953 H2955:N2955 G2987:N2987 H2988:N2988 H2990:N2990 G2996:N2996 H2997:N2997 H2999:N2999 H3005:N3005 H3011:N3011 H3019:N3020 H3023:N3024 H2928:N2929 H2932:N2933 E3028 L2884 I2886 I2898 L2937 L3016 E3019:E3020 E3023:E3024">
    <cfRule type="expression" dxfId="582" priority="36" stopIfTrue="1">
      <formula>MSconst_RequireSubAttrEmissions</formula>
    </cfRule>
  </conditionalFormatting>
  <conditionalFormatting sqref="H2866:N2866">
    <cfRule type="expression" dxfId="581" priority="29" stopIfTrue="1">
      <formula>AC2866</formula>
    </cfRule>
  </conditionalFormatting>
  <conditionalFormatting sqref="H2874:N2875">
    <cfRule type="expression" dxfId="580" priority="28" stopIfTrue="1">
      <formula>AC2874</formula>
    </cfRule>
  </conditionalFormatting>
  <conditionalFormatting sqref="H2889:N2892 H2901:N2904 H2915:N2915">
    <cfRule type="expression" dxfId="579" priority="27" stopIfTrue="1">
      <formula>AC2889</formula>
    </cfRule>
  </conditionalFormatting>
  <conditionalFormatting sqref="H2924:N2924">
    <cfRule type="expression" dxfId="578" priority="26" stopIfTrue="1">
      <formula>$T2767</formula>
    </cfRule>
  </conditionalFormatting>
  <conditionalFormatting sqref="H2924:N2925 H2928:N2929 H2932:N2933">
    <cfRule type="expression" dxfId="577" priority="20" stopIfTrue="1">
      <formula>AC2924</formula>
    </cfRule>
  </conditionalFormatting>
  <conditionalFormatting sqref="H2925:N2925">
    <cfRule type="expression" dxfId="576" priority="21" stopIfTrue="1">
      <formula>$T2767</formula>
    </cfRule>
  </conditionalFormatting>
  <conditionalFormatting sqref="H2943:N2944 H2946:N2946 H2952:N2953 H2955:N2955 H2962:N2963 H2965:N2965 H2987:N2988 H2990:N2990 H2996:N2997 H2999:N2999">
    <cfRule type="expression" dxfId="575" priority="24" stopIfTrue="1">
      <formula>AC2943</formula>
    </cfRule>
  </conditionalFormatting>
  <conditionalFormatting sqref="H2962:N2963 H2965:N2965 G2962">
    <cfRule type="expression" dxfId="574" priority="25" stopIfTrue="1">
      <formula>CNTR_SubPeriod=2</formula>
    </cfRule>
  </conditionalFormatting>
  <conditionalFormatting sqref="H3005:N3005 H3011:N3011">
    <cfRule type="expression" dxfId="573" priority="23" stopIfTrue="1">
      <formula>AC3005</formula>
    </cfRule>
  </conditionalFormatting>
  <conditionalFormatting sqref="H3019:N3020 H3023:N3024">
    <cfRule type="expression" dxfId="572" priority="22" stopIfTrue="1">
      <formula>AC3019</formula>
    </cfRule>
  </conditionalFormatting>
  <conditionalFormatting sqref="I168 I180 H54 I54:N55 H56:N56 G123">
    <cfRule type="expression" dxfId="571" priority="1062" stopIfTrue="1">
      <formula>AB54</formula>
    </cfRule>
  </conditionalFormatting>
  <conditionalFormatting sqref="I221">
    <cfRule type="expression" dxfId="570" priority="836" stopIfTrue="1">
      <formula>AD221</formula>
    </cfRule>
    <cfRule type="expression" dxfId="569" priority="835" stopIfTrue="1">
      <formula>MSconst_RequireSubAttrEmissions</formula>
    </cfRule>
  </conditionalFormatting>
  <conditionalFormatting sqref="I230">
    <cfRule type="expression" dxfId="568" priority="834" stopIfTrue="1">
      <formula>AD230</formula>
    </cfRule>
    <cfRule type="expression" dxfId="567" priority="833" stopIfTrue="1">
      <formula>MSconst_RequireSubAttrEmissions</formula>
    </cfRule>
  </conditionalFormatting>
  <conditionalFormatting sqref="I239">
    <cfRule type="expression" dxfId="566" priority="831" stopIfTrue="1">
      <formula>MSconst_RequireSubAttrEmissions</formula>
    </cfRule>
    <cfRule type="expression" dxfId="565" priority="832" stopIfTrue="1">
      <formula>AD239</formula>
    </cfRule>
  </conditionalFormatting>
  <conditionalFormatting sqref="I265">
    <cfRule type="expression" dxfId="564" priority="829" stopIfTrue="1">
      <formula>MSconst_RequireSubAttrEmissions</formula>
    </cfRule>
    <cfRule type="expression" dxfId="563" priority="830" stopIfTrue="1">
      <formula>AD265</formula>
    </cfRule>
  </conditionalFormatting>
  <conditionalFormatting sqref="I274">
    <cfRule type="expression" dxfId="562" priority="827" stopIfTrue="1">
      <formula>MSconst_RequireSubAttrEmissions</formula>
    </cfRule>
    <cfRule type="expression" dxfId="561" priority="828" stopIfTrue="1">
      <formula>AD274</formula>
    </cfRule>
  </conditionalFormatting>
  <conditionalFormatting sqref="I470 I482 H356 I356:N357 H358:N358 G425">
    <cfRule type="expression" dxfId="560" priority="349" stopIfTrue="1">
      <formula>AB356</formula>
    </cfRule>
  </conditionalFormatting>
  <conditionalFormatting sqref="I523">
    <cfRule type="expression" dxfId="559" priority="330" stopIfTrue="1">
      <formula>MSconst_RequireSubAttrEmissions</formula>
    </cfRule>
    <cfRule type="expression" dxfId="558" priority="331" stopIfTrue="1">
      <formula>AD523</formula>
    </cfRule>
  </conditionalFormatting>
  <conditionalFormatting sqref="I532">
    <cfRule type="expression" dxfId="557" priority="329" stopIfTrue="1">
      <formula>AD532</formula>
    </cfRule>
    <cfRule type="expression" dxfId="556" priority="328" stopIfTrue="1">
      <formula>MSconst_RequireSubAttrEmissions</formula>
    </cfRule>
  </conditionalFormatting>
  <conditionalFormatting sqref="I541">
    <cfRule type="expression" dxfId="555" priority="327" stopIfTrue="1">
      <formula>AD541</formula>
    </cfRule>
    <cfRule type="expression" dxfId="554" priority="326" stopIfTrue="1">
      <formula>MSconst_RequireSubAttrEmissions</formula>
    </cfRule>
  </conditionalFormatting>
  <conditionalFormatting sqref="I567">
    <cfRule type="expression" dxfId="553" priority="324" stopIfTrue="1">
      <formula>MSconst_RequireSubAttrEmissions</formula>
    </cfRule>
    <cfRule type="expression" dxfId="552" priority="325" stopIfTrue="1">
      <formula>AD567</formula>
    </cfRule>
  </conditionalFormatting>
  <conditionalFormatting sqref="I576">
    <cfRule type="expression" dxfId="551" priority="323" stopIfTrue="1">
      <formula>AD576</formula>
    </cfRule>
    <cfRule type="expression" dxfId="550" priority="322" stopIfTrue="1">
      <formula>MSconst_RequireSubAttrEmissions</formula>
    </cfRule>
  </conditionalFormatting>
  <conditionalFormatting sqref="I772 I784 H658 I658:N659 H660:N660 G727">
    <cfRule type="expression" dxfId="549" priority="310" stopIfTrue="1">
      <formula>AB658</formula>
    </cfRule>
  </conditionalFormatting>
  <conditionalFormatting sqref="I825">
    <cfRule type="expression" dxfId="548" priority="292" stopIfTrue="1">
      <formula>AD825</formula>
    </cfRule>
    <cfRule type="expression" dxfId="547" priority="291" stopIfTrue="1">
      <formula>MSconst_RequireSubAttrEmissions</formula>
    </cfRule>
  </conditionalFormatting>
  <conditionalFormatting sqref="I834">
    <cfRule type="expression" dxfId="546" priority="289" stopIfTrue="1">
      <formula>MSconst_RequireSubAttrEmissions</formula>
    </cfRule>
    <cfRule type="expression" dxfId="545" priority="290" stopIfTrue="1">
      <formula>AD834</formula>
    </cfRule>
  </conditionalFormatting>
  <conditionalFormatting sqref="I843">
    <cfRule type="expression" dxfId="544" priority="287" stopIfTrue="1">
      <formula>MSconst_RequireSubAttrEmissions</formula>
    </cfRule>
    <cfRule type="expression" dxfId="543" priority="288" stopIfTrue="1">
      <formula>AD843</formula>
    </cfRule>
  </conditionalFormatting>
  <conditionalFormatting sqref="I869">
    <cfRule type="expression" dxfId="542" priority="285" stopIfTrue="1">
      <formula>MSconst_RequireSubAttrEmissions</formula>
    </cfRule>
    <cfRule type="expression" dxfId="541" priority="286" stopIfTrue="1">
      <formula>AD869</formula>
    </cfRule>
  </conditionalFormatting>
  <conditionalFormatting sqref="I878">
    <cfRule type="expression" dxfId="540" priority="284" stopIfTrue="1">
      <formula>AD878</formula>
    </cfRule>
    <cfRule type="expression" dxfId="539" priority="283" stopIfTrue="1">
      <formula>MSconst_RequireSubAttrEmissions</formula>
    </cfRule>
  </conditionalFormatting>
  <conditionalFormatting sqref="I1074 I1086 H960 I960:N961 H962:N962 G1029">
    <cfRule type="expression" dxfId="538" priority="271" stopIfTrue="1">
      <formula>AB960</formula>
    </cfRule>
  </conditionalFormatting>
  <conditionalFormatting sqref="I1127">
    <cfRule type="expression" dxfId="537" priority="252" stopIfTrue="1">
      <formula>MSconst_RequireSubAttrEmissions</formula>
    </cfRule>
    <cfRule type="expression" dxfId="536" priority="253" stopIfTrue="1">
      <formula>AD1127</formula>
    </cfRule>
  </conditionalFormatting>
  <conditionalFormatting sqref="I1136">
    <cfRule type="expression" dxfId="535" priority="251" stopIfTrue="1">
      <formula>AD1136</formula>
    </cfRule>
    <cfRule type="expression" dxfId="534" priority="250" stopIfTrue="1">
      <formula>MSconst_RequireSubAttrEmissions</formula>
    </cfRule>
  </conditionalFormatting>
  <conditionalFormatting sqref="I1145">
    <cfRule type="expression" dxfId="533" priority="249" stopIfTrue="1">
      <formula>AD1145</formula>
    </cfRule>
    <cfRule type="expression" dxfId="532" priority="248" stopIfTrue="1">
      <formula>MSconst_RequireSubAttrEmissions</formula>
    </cfRule>
  </conditionalFormatting>
  <conditionalFormatting sqref="I1171">
    <cfRule type="expression" dxfId="531" priority="246" stopIfTrue="1">
      <formula>MSconst_RequireSubAttrEmissions</formula>
    </cfRule>
    <cfRule type="expression" dxfId="530" priority="247" stopIfTrue="1">
      <formula>AD1171</formula>
    </cfRule>
  </conditionalFormatting>
  <conditionalFormatting sqref="I1180">
    <cfRule type="expression" dxfId="529" priority="244" stopIfTrue="1">
      <formula>MSconst_RequireSubAttrEmissions</formula>
    </cfRule>
    <cfRule type="expression" dxfId="528" priority="245" stopIfTrue="1">
      <formula>AD1180</formula>
    </cfRule>
  </conditionalFormatting>
  <conditionalFormatting sqref="I1376 I1388 H1262 I1262:N1263 H1264:N1264 G1331">
    <cfRule type="expression" dxfId="527" priority="232" stopIfTrue="1">
      <formula>AB1262</formula>
    </cfRule>
  </conditionalFormatting>
  <conditionalFormatting sqref="I1429">
    <cfRule type="expression" dxfId="526" priority="214" stopIfTrue="1">
      <formula>AD1429</formula>
    </cfRule>
    <cfRule type="expression" dxfId="525" priority="213" stopIfTrue="1">
      <formula>MSconst_RequireSubAttrEmissions</formula>
    </cfRule>
  </conditionalFormatting>
  <conditionalFormatting sqref="I1438">
    <cfRule type="expression" dxfId="524" priority="211" stopIfTrue="1">
      <formula>MSconst_RequireSubAttrEmissions</formula>
    </cfRule>
    <cfRule type="expression" dxfId="523" priority="212" stopIfTrue="1">
      <formula>AD1438</formula>
    </cfRule>
  </conditionalFormatting>
  <conditionalFormatting sqref="I1447">
    <cfRule type="expression" dxfId="522" priority="209" stopIfTrue="1">
      <formula>MSconst_RequireSubAttrEmissions</formula>
    </cfRule>
    <cfRule type="expression" dxfId="521" priority="210" stopIfTrue="1">
      <formula>AD1447</formula>
    </cfRule>
  </conditionalFormatting>
  <conditionalFormatting sqref="I1473">
    <cfRule type="expression" dxfId="520" priority="207" stopIfTrue="1">
      <formula>MSconst_RequireSubAttrEmissions</formula>
    </cfRule>
    <cfRule type="expression" dxfId="519" priority="208" stopIfTrue="1">
      <formula>AD1473</formula>
    </cfRule>
  </conditionalFormatting>
  <conditionalFormatting sqref="I1482">
    <cfRule type="expression" dxfId="518" priority="205" stopIfTrue="1">
      <formula>MSconst_RequireSubAttrEmissions</formula>
    </cfRule>
    <cfRule type="expression" dxfId="517" priority="206" stopIfTrue="1">
      <formula>AD1482</formula>
    </cfRule>
  </conditionalFormatting>
  <conditionalFormatting sqref="I1678 I1690 H1564 I1564:N1565 H1566:N1566 G1633">
    <cfRule type="expression" dxfId="516" priority="193" stopIfTrue="1">
      <formula>AB1564</formula>
    </cfRule>
  </conditionalFormatting>
  <conditionalFormatting sqref="I1731">
    <cfRule type="expression" dxfId="515" priority="174" stopIfTrue="1">
      <formula>MSconst_RequireSubAttrEmissions</formula>
    </cfRule>
    <cfRule type="expression" dxfId="514" priority="175" stopIfTrue="1">
      <formula>AD1731</formula>
    </cfRule>
  </conditionalFormatting>
  <conditionalFormatting sqref="I1740">
    <cfRule type="expression" dxfId="513" priority="172" stopIfTrue="1">
      <formula>MSconst_RequireSubAttrEmissions</formula>
    </cfRule>
    <cfRule type="expression" dxfId="512" priority="173" stopIfTrue="1">
      <formula>AD1740</formula>
    </cfRule>
  </conditionalFormatting>
  <conditionalFormatting sqref="I1749">
    <cfRule type="expression" dxfId="511" priority="170" stopIfTrue="1">
      <formula>MSconst_RequireSubAttrEmissions</formula>
    </cfRule>
    <cfRule type="expression" dxfId="510" priority="171" stopIfTrue="1">
      <formula>AD1749</formula>
    </cfRule>
  </conditionalFormatting>
  <conditionalFormatting sqref="I1775">
    <cfRule type="expression" dxfId="509" priority="169" stopIfTrue="1">
      <formula>AD1775</formula>
    </cfRule>
    <cfRule type="expression" dxfId="508" priority="168" stopIfTrue="1">
      <formula>MSconst_RequireSubAttrEmissions</formula>
    </cfRule>
  </conditionalFormatting>
  <conditionalFormatting sqref="I1784">
    <cfRule type="expression" dxfId="507" priority="167" stopIfTrue="1">
      <formula>AD1784</formula>
    </cfRule>
    <cfRule type="expression" dxfId="506" priority="166" stopIfTrue="1">
      <formula>MSconst_RequireSubAttrEmissions</formula>
    </cfRule>
  </conditionalFormatting>
  <conditionalFormatting sqref="I1980 I1992 H1866 I1866:N1867 H1868:N1868 G1935">
    <cfRule type="expression" dxfId="505" priority="154" stopIfTrue="1">
      <formula>AB1866</formula>
    </cfRule>
  </conditionalFormatting>
  <conditionalFormatting sqref="I2033">
    <cfRule type="expression" dxfId="504" priority="136" stopIfTrue="1">
      <formula>AD2033</formula>
    </cfRule>
    <cfRule type="expression" dxfId="503" priority="135" stopIfTrue="1">
      <formula>MSconst_RequireSubAttrEmissions</formula>
    </cfRule>
  </conditionalFormatting>
  <conditionalFormatting sqref="I2042">
    <cfRule type="expression" dxfId="502" priority="134" stopIfTrue="1">
      <formula>AD2042</formula>
    </cfRule>
    <cfRule type="expression" dxfId="501" priority="133" stopIfTrue="1">
      <formula>MSconst_RequireSubAttrEmissions</formula>
    </cfRule>
  </conditionalFormatting>
  <conditionalFormatting sqref="I2051">
    <cfRule type="expression" dxfId="500" priority="131" stopIfTrue="1">
      <formula>MSconst_RequireSubAttrEmissions</formula>
    </cfRule>
    <cfRule type="expression" dxfId="499" priority="132" stopIfTrue="1">
      <formula>AD2051</formula>
    </cfRule>
  </conditionalFormatting>
  <conditionalFormatting sqref="I2077">
    <cfRule type="expression" dxfId="498" priority="129" stopIfTrue="1">
      <formula>MSconst_RequireSubAttrEmissions</formula>
    </cfRule>
    <cfRule type="expression" dxfId="497" priority="130" stopIfTrue="1">
      <formula>AD2077</formula>
    </cfRule>
  </conditionalFormatting>
  <conditionalFormatting sqref="I2086">
    <cfRule type="expression" dxfId="496" priority="127" stopIfTrue="1">
      <formula>MSconst_RequireSubAttrEmissions</formula>
    </cfRule>
    <cfRule type="expression" dxfId="495" priority="128" stopIfTrue="1">
      <formula>AD2086</formula>
    </cfRule>
  </conditionalFormatting>
  <conditionalFormatting sqref="I2282 I2294 H2168 I2168:N2169 H2170:N2170 G2237">
    <cfRule type="expression" dxfId="494" priority="115" stopIfTrue="1">
      <formula>AB2168</formula>
    </cfRule>
  </conditionalFormatting>
  <conditionalFormatting sqref="I2335">
    <cfRule type="expression" dxfId="493" priority="96" stopIfTrue="1">
      <formula>MSconst_RequireSubAttrEmissions</formula>
    </cfRule>
    <cfRule type="expression" dxfId="492" priority="97" stopIfTrue="1">
      <formula>AD2335</formula>
    </cfRule>
  </conditionalFormatting>
  <conditionalFormatting sqref="I2344">
    <cfRule type="expression" dxfId="491" priority="95" stopIfTrue="1">
      <formula>AD2344</formula>
    </cfRule>
    <cfRule type="expression" dxfId="490" priority="94" stopIfTrue="1">
      <formula>MSconst_RequireSubAttrEmissions</formula>
    </cfRule>
  </conditionalFormatting>
  <conditionalFormatting sqref="I2353">
    <cfRule type="expression" dxfId="489" priority="93" stopIfTrue="1">
      <formula>AD2353</formula>
    </cfRule>
    <cfRule type="expression" dxfId="488" priority="92" stopIfTrue="1">
      <formula>MSconst_RequireSubAttrEmissions</formula>
    </cfRule>
  </conditionalFormatting>
  <conditionalFormatting sqref="I2379">
    <cfRule type="expression" dxfId="487" priority="91" stopIfTrue="1">
      <formula>AD2379</formula>
    </cfRule>
    <cfRule type="expression" dxfId="486" priority="90" stopIfTrue="1">
      <formula>MSconst_RequireSubAttrEmissions</formula>
    </cfRule>
  </conditionalFormatting>
  <conditionalFormatting sqref="I2388">
    <cfRule type="expression" dxfId="485" priority="88" stopIfTrue="1">
      <formula>MSconst_RequireSubAttrEmissions</formula>
    </cfRule>
    <cfRule type="expression" dxfId="484" priority="89" stopIfTrue="1">
      <formula>AD2388</formula>
    </cfRule>
  </conditionalFormatting>
  <conditionalFormatting sqref="I2584 I2596 H2470 I2470:N2471 H2472:N2472 G2539">
    <cfRule type="expression" dxfId="483" priority="76" stopIfTrue="1">
      <formula>AB2470</formula>
    </cfRule>
  </conditionalFormatting>
  <conditionalFormatting sqref="I2637">
    <cfRule type="expression" dxfId="482" priority="58" stopIfTrue="1">
      <formula>AD2637</formula>
    </cfRule>
    <cfRule type="expression" dxfId="481" priority="57" stopIfTrue="1">
      <formula>MSconst_RequireSubAttrEmissions</formula>
    </cfRule>
  </conditionalFormatting>
  <conditionalFormatting sqref="I2646">
    <cfRule type="expression" dxfId="480" priority="56" stopIfTrue="1">
      <formula>AD2646</formula>
    </cfRule>
    <cfRule type="expression" dxfId="479" priority="55" stopIfTrue="1">
      <formula>MSconst_RequireSubAttrEmissions</formula>
    </cfRule>
  </conditionalFormatting>
  <conditionalFormatting sqref="I2655">
    <cfRule type="expression" dxfId="478" priority="54" stopIfTrue="1">
      <formula>AD2655</formula>
    </cfRule>
    <cfRule type="expression" dxfId="477" priority="53" stopIfTrue="1">
      <formula>MSconst_RequireSubAttrEmissions</formula>
    </cfRule>
  </conditionalFormatting>
  <conditionalFormatting sqref="I2681">
    <cfRule type="expression" dxfId="476" priority="52" stopIfTrue="1">
      <formula>AD2681</formula>
    </cfRule>
    <cfRule type="expression" dxfId="475" priority="51" stopIfTrue="1">
      <formula>MSconst_RequireSubAttrEmissions</formula>
    </cfRule>
  </conditionalFormatting>
  <conditionalFormatting sqref="I2690">
    <cfRule type="expression" dxfId="474" priority="49" stopIfTrue="1">
      <formula>MSconst_RequireSubAttrEmissions</formula>
    </cfRule>
    <cfRule type="expression" dxfId="473" priority="50" stopIfTrue="1">
      <formula>AD2690</formula>
    </cfRule>
  </conditionalFormatting>
  <conditionalFormatting sqref="I2886 I2898 H2772 I2772:N2773 H2774:N2774 G2841">
    <cfRule type="expression" dxfId="472" priority="37" stopIfTrue="1">
      <formula>AB2772</formula>
    </cfRule>
  </conditionalFormatting>
  <conditionalFormatting sqref="I2939">
    <cfRule type="expression" dxfId="471" priority="19" stopIfTrue="1">
      <formula>AD2939</formula>
    </cfRule>
    <cfRule type="expression" dxfId="470" priority="18" stopIfTrue="1">
      <formula>MSconst_RequireSubAttrEmissions</formula>
    </cfRule>
  </conditionalFormatting>
  <conditionalFormatting sqref="I2948">
    <cfRule type="expression" dxfId="469" priority="16" stopIfTrue="1">
      <formula>MSconst_RequireSubAttrEmissions</formula>
    </cfRule>
    <cfRule type="expression" dxfId="468" priority="17" stopIfTrue="1">
      <formula>AD2948</formula>
    </cfRule>
  </conditionalFormatting>
  <conditionalFormatting sqref="I2957">
    <cfRule type="expression" dxfId="467" priority="14" stopIfTrue="1">
      <formula>MSconst_RequireSubAttrEmissions</formula>
    </cfRule>
    <cfRule type="expression" dxfId="466" priority="15" stopIfTrue="1">
      <formula>AD2957</formula>
    </cfRule>
  </conditionalFormatting>
  <conditionalFormatting sqref="I2983">
    <cfRule type="expression" dxfId="465" priority="13" stopIfTrue="1">
      <formula>AD2983</formula>
    </cfRule>
    <cfRule type="expression" dxfId="464" priority="12" stopIfTrue="1">
      <formula>MSconst_RequireSubAttrEmissions</formula>
    </cfRule>
  </conditionalFormatting>
  <conditionalFormatting sqref="I2992">
    <cfRule type="expression" dxfId="463" priority="10" stopIfTrue="1">
      <formula>MSconst_RequireSubAttrEmissions</formula>
    </cfRule>
    <cfRule type="expression" dxfId="462" priority="11" stopIfTrue="1">
      <formula>AD2992</formula>
    </cfRule>
  </conditionalFormatting>
  <conditionalFormatting sqref="J41:N41">
    <cfRule type="cellIs" dxfId="461" priority="852" stopIfTrue="1" operator="equal">
      <formula>TRUE</formula>
    </cfRule>
  </conditionalFormatting>
  <conditionalFormatting sqref="J71:N71">
    <cfRule type="cellIs" dxfId="460" priority="851" stopIfTrue="1" operator="equal">
      <formula>TRUE</formula>
    </cfRule>
  </conditionalFormatting>
  <conditionalFormatting sqref="J96:N96">
    <cfRule type="cellIs" dxfId="459" priority="850" stopIfTrue="1" operator="equal">
      <formula>TRUE</formula>
    </cfRule>
  </conditionalFormatting>
  <conditionalFormatting sqref="J259:N259">
    <cfRule type="cellIs" dxfId="458" priority="849" stopIfTrue="1" operator="equal">
      <formula>TRUE</formula>
    </cfRule>
  </conditionalFormatting>
  <conditionalFormatting sqref="J343:N343">
    <cfRule type="cellIs" dxfId="457" priority="345" stopIfTrue="1" operator="equal">
      <formula>TRUE</formula>
    </cfRule>
  </conditionalFormatting>
  <conditionalFormatting sqref="J373:N373">
    <cfRule type="cellIs" dxfId="456" priority="344" stopIfTrue="1" operator="equal">
      <formula>TRUE</formula>
    </cfRule>
  </conditionalFormatting>
  <conditionalFormatting sqref="J398:N398">
    <cfRule type="cellIs" dxfId="455" priority="343" stopIfTrue="1" operator="equal">
      <formula>TRUE</formula>
    </cfRule>
  </conditionalFormatting>
  <conditionalFormatting sqref="J561:N561">
    <cfRule type="cellIs" dxfId="454" priority="342" stopIfTrue="1" operator="equal">
      <formula>TRUE</formula>
    </cfRule>
  </conditionalFormatting>
  <conditionalFormatting sqref="J645:N645">
    <cfRule type="cellIs" dxfId="453" priority="306" stopIfTrue="1" operator="equal">
      <formula>TRUE</formula>
    </cfRule>
  </conditionalFormatting>
  <conditionalFormatting sqref="J675:N675">
    <cfRule type="cellIs" dxfId="452" priority="305" stopIfTrue="1" operator="equal">
      <formula>TRUE</formula>
    </cfRule>
  </conditionalFormatting>
  <conditionalFormatting sqref="J700:N700">
    <cfRule type="cellIs" dxfId="451" priority="304" stopIfTrue="1" operator="equal">
      <formula>TRUE</formula>
    </cfRule>
  </conditionalFormatting>
  <conditionalFormatting sqref="J863:N863">
    <cfRule type="cellIs" dxfId="450" priority="303" stopIfTrue="1" operator="equal">
      <formula>TRUE</formula>
    </cfRule>
  </conditionalFormatting>
  <conditionalFormatting sqref="J947:N947">
    <cfRule type="cellIs" dxfId="449" priority="267" stopIfTrue="1" operator="equal">
      <formula>TRUE</formula>
    </cfRule>
  </conditionalFormatting>
  <conditionalFormatting sqref="J977:N977">
    <cfRule type="cellIs" dxfId="448" priority="266" stopIfTrue="1" operator="equal">
      <formula>TRUE</formula>
    </cfRule>
  </conditionalFormatting>
  <conditionalFormatting sqref="J1002:N1002">
    <cfRule type="cellIs" dxfId="447" priority="265" stopIfTrue="1" operator="equal">
      <formula>TRUE</formula>
    </cfRule>
  </conditionalFormatting>
  <conditionalFormatting sqref="J1165:N1165">
    <cfRule type="cellIs" dxfId="446" priority="264" stopIfTrue="1" operator="equal">
      <formula>TRUE</formula>
    </cfRule>
  </conditionalFormatting>
  <conditionalFormatting sqref="J1249:N1249">
    <cfRule type="cellIs" dxfId="445" priority="228" stopIfTrue="1" operator="equal">
      <formula>TRUE</formula>
    </cfRule>
  </conditionalFormatting>
  <conditionalFormatting sqref="J1279:N1279">
    <cfRule type="cellIs" dxfId="444" priority="227" stopIfTrue="1" operator="equal">
      <formula>TRUE</formula>
    </cfRule>
  </conditionalFormatting>
  <conditionalFormatting sqref="J1304:N1304">
    <cfRule type="cellIs" dxfId="443" priority="226" stopIfTrue="1" operator="equal">
      <formula>TRUE</formula>
    </cfRule>
  </conditionalFormatting>
  <conditionalFormatting sqref="J1467:N1467">
    <cfRule type="cellIs" dxfId="442" priority="225" stopIfTrue="1" operator="equal">
      <formula>TRUE</formula>
    </cfRule>
  </conditionalFormatting>
  <conditionalFormatting sqref="J1551:N1551">
    <cfRule type="cellIs" dxfId="441" priority="189" stopIfTrue="1" operator="equal">
      <formula>TRUE</formula>
    </cfRule>
  </conditionalFormatting>
  <conditionalFormatting sqref="J1581:N1581">
    <cfRule type="cellIs" dxfId="440" priority="188" stopIfTrue="1" operator="equal">
      <formula>TRUE</formula>
    </cfRule>
  </conditionalFormatting>
  <conditionalFormatting sqref="J1606:N1606">
    <cfRule type="cellIs" dxfId="439" priority="187" stopIfTrue="1" operator="equal">
      <formula>TRUE</formula>
    </cfRule>
  </conditionalFormatting>
  <conditionalFormatting sqref="J1769:N1769">
    <cfRule type="cellIs" dxfId="438" priority="186" stopIfTrue="1" operator="equal">
      <formula>TRUE</formula>
    </cfRule>
  </conditionalFormatting>
  <conditionalFormatting sqref="J1853:N1853">
    <cfRule type="cellIs" dxfId="437" priority="150" stopIfTrue="1" operator="equal">
      <formula>TRUE</formula>
    </cfRule>
  </conditionalFormatting>
  <conditionalFormatting sqref="J1883:N1883">
    <cfRule type="cellIs" dxfId="436" priority="149" stopIfTrue="1" operator="equal">
      <formula>TRUE</formula>
    </cfRule>
  </conditionalFormatting>
  <conditionalFormatting sqref="J1908:N1908">
    <cfRule type="cellIs" dxfId="435" priority="148" stopIfTrue="1" operator="equal">
      <formula>TRUE</formula>
    </cfRule>
  </conditionalFormatting>
  <conditionalFormatting sqref="J2071:N2071">
    <cfRule type="cellIs" dxfId="434" priority="147" stopIfTrue="1" operator="equal">
      <formula>TRUE</formula>
    </cfRule>
  </conditionalFormatting>
  <conditionalFormatting sqref="J2155:N2155">
    <cfRule type="cellIs" dxfId="433" priority="111" stopIfTrue="1" operator="equal">
      <formula>TRUE</formula>
    </cfRule>
  </conditionalFormatting>
  <conditionalFormatting sqref="J2185:N2185">
    <cfRule type="cellIs" dxfId="432" priority="110" stopIfTrue="1" operator="equal">
      <formula>TRUE</formula>
    </cfRule>
  </conditionalFormatting>
  <conditionalFormatting sqref="J2210:N2210">
    <cfRule type="cellIs" dxfId="431" priority="109" stopIfTrue="1" operator="equal">
      <formula>TRUE</formula>
    </cfRule>
  </conditionalFormatting>
  <conditionalFormatting sqref="J2373:N2373">
    <cfRule type="cellIs" dxfId="430" priority="108" stopIfTrue="1" operator="equal">
      <formula>TRUE</formula>
    </cfRule>
  </conditionalFormatting>
  <conditionalFormatting sqref="J2457:N2457">
    <cfRule type="cellIs" dxfId="429" priority="72" stopIfTrue="1" operator="equal">
      <formula>TRUE</formula>
    </cfRule>
  </conditionalFormatting>
  <conditionalFormatting sqref="J2487:N2487">
    <cfRule type="cellIs" dxfId="428" priority="71" stopIfTrue="1" operator="equal">
      <formula>TRUE</formula>
    </cfRule>
  </conditionalFormatting>
  <conditionalFormatting sqref="J2512:N2512">
    <cfRule type="cellIs" dxfId="427" priority="70" stopIfTrue="1" operator="equal">
      <formula>TRUE</formula>
    </cfRule>
  </conditionalFormatting>
  <conditionalFormatting sqref="J2675:N2675">
    <cfRule type="cellIs" dxfId="426" priority="69" stopIfTrue="1" operator="equal">
      <formula>TRUE</formula>
    </cfRule>
  </conditionalFormatting>
  <conditionalFormatting sqref="J2759:N2759">
    <cfRule type="cellIs" dxfId="425" priority="33" stopIfTrue="1" operator="equal">
      <formula>TRUE</formula>
    </cfRule>
  </conditionalFormatting>
  <conditionalFormatting sqref="J2789:N2789">
    <cfRule type="cellIs" dxfId="424" priority="32" stopIfTrue="1" operator="equal">
      <formula>TRUE</formula>
    </cfRule>
  </conditionalFormatting>
  <conditionalFormatting sqref="J2814:N2814">
    <cfRule type="cellIs" dxfId="423" priority="31" stopIfTrue="1" operator="equal">
      <formula>TRUE</formula>
    </cfRule>
  </conditionalFormatting>
  <conditionalFormatting sqref="J2977:N2977">
    <cfRule type="cellIs" dxfId="422" priority="30" stopIfTrue="1" operator="equal">
      <formula>TRUE</formula>
    </cfRule>
  </conditionalFormatting>
  <conditionalFormatting sqref="P2">
    <cfRule type="expression" dxfId="421" priority="848" stopIfTrue="1">
      <formula>INDEX($G$3058:$G$3067,MATCH("BM"&amp;Z2,$F$3058:$F$3067,0))</formula>
    </cfRule>
  </conditionalFormatting>
  <dataValidations count="6">
    <dataValidation type="list" allowBlank="1" showInputMessage="1" showErrorMessage="1" sqref="L166 L219 L298 L2582 L2635 L2714 L468 L521 L600 L770 L823 L902 L1072 L1125 L1204 L1374 L1427 L1506 L1676 L1729 L1808 L1978 L2031 L2110 L2280 L2333 L2412 L2884 L2937 L3016" xr:uid="{CEE4B041-E01A-4B92-9803-CA9AE6EB1C03}">
      <formula1>Euconst_TrueFalse</formula1>
    </dataValidation>
    <dataValidation type="list" allowBlank="1" showInputMessage="1" showErrorMessage="1" sqref="G225 G269 G278 G244 G234 G2641 G2685 G2694 G2660 G2650 G527 G571 G580 G546 G536 G829 G873 G882 G848 G838 G1131 G1175 G1184 G1150 G1140 G1433 G1477 G1486 G1452 G1442 G1735 G1779 G1788 G1754 G1744 G2037 G2081 G2090 G2056 G2046 G2339 G2383 G2392 G2358 G2348 G2943 G2987 G2996 G2962 G2952" xr:uid="{4F9C3399-3946-40AB-83D5-2E86881A6BF8}">
      <formula1>EUconst_TonnesOrkNm3pa</formula1>
    </dataValidation>
    <dataValidation type="list" allowBlank="1" showInputMessage="1" showErrorMessage="1" sqref="G301:G302 E301:E302 E305:E306 G305:G306 G2717:G2718 E2717:E2718 E2721:E2722 G2721:G2722 G603:G604 E603:E604 E607:E608 G607:G608 G905:G906 E905:E906 E909:E910 G909:G910 G1207:G1208 E1207:E1208 E1211:E1212 G1211:G1212 G1509:G1510 E1509:E1510 E1513:E1514 G1513:G1514 G1811:G1812 E1811:E1812 E1815:E1816 G1815:G1816 G2113:G2114 E2113:E2114 E2117:E2118 G2117:G2118 G2415:G2416 E2415:E2416 E2419:E2420 G2419:G2420 G3019:G3020 E3019:E3020 E3023:E3024 G3023:G3024" xr:uid="{59169A62-F69A-4B60-A745-C15BACA69BFA}">
      <formula1>EUconst_BMlistNames</formula1>
    </dataValidation>
    <dataValidation type="decimal" operator="greaterThanOrEqual" allowBlank="1" showInputMessage="1" showErrorMessage="1" errorTitle="Value &lt; 0" error="Values have to be &gt;= 0" sqref="H214:N214 H2630:N2630 H516:N516 H818:N818 H1120:N1120 H1422:N1422 H1724:N1724 H2026:N2026 H2328:N2328 H2932:N2932" xr:uid="{5CE89AA4-CF2B-434A-8EAC-572862611556}">
      <formula1>0</formula1>
    </dataValidation>
    <dataValidation type="decimal" operator="greaterThanOrEqual" allowBlank="1" showInputMessage="1" showErrorMessage="1" errorTitle="Values &lt; 0" error="Values have to be &gt;= 0 " sqref="H278:N278 H305:N306 H2694:N2694 H2721:N2722 H580:N580 H607:N608 H882:N882 H909:N910 H1184:N1184 H1211:N1212 H1486:N1486 H1513:N1514 H1788:N1788 H1815:N1816 H2090:N2090 H2117:N2118 H2392:N2392 H2419:N2420 H2996:N2996 H3023:N3024" xr:uid="{4286617A-4E8B-472F-B60B-28EC630FF541}">
      <formula1>0</formula1>
    </dataValidation>
    <dataValidation type="decimal" operator="greaterThanOrEqual" allowBlank="1" showInputMessage="1" showErrorMessage="1" error="! Enter value &gt;=0 !" sqref="H21:N21 H83:N83 H113:N122 H54:N54 H56:N56 H385:N385 H415:N424 H356:N356 H358:N358 H323:N323 H625:N625 H687:N687 H717:N726 H658:N658 H660:N660 H927:N927 H989:N989 H1019:N1028 H960:N960 H962:N962 H1229:N1229 H1291:N1291 H1321:N1330 H1262:N1262 H1264:N1264 H1531:N1531 H1593:N1593 H1623:N1632 H1564:N1564 H1566:N1566 H1833:N1833 H1895:N1895 H1925:N1934 H1866:N1866 H1868:N1868 H2135:N2135 H2197:N2197 H2227:N2236 H2168:N2168 H2170:N2170 H2437:N2437 H2499:N2499 H2529:N2538 H2470:N2470 H2472:N2472 H2739:N2739 H2801:N2801 H2831:N2840 H2772:N2772 H2774:N2774" xr:uid="{6D92B6F0-3746-4B2F-B8DB-AD8CBB16A688}">
      <formula1>0</formula1>
    </dataValidation>
  </dataValidations>
  <hyperlinks>
    <hyperlink ref="E108" r:id="rId1" display="http://ec.europa.eu/eurostat/ramon/nomenclatures/index.cfm?TargetUrl=LST_CLS_DLD&amp;StrNom=PRD_2010&amp;StrLanguageCode=EN&amp;StrLayoutCode=HIERARCHIC" xr:uid="{8F1297DE-437B-40F0-A17C-3598CE6DD6D7}"/>
    <hyperlink ref="G2:H2" location="JUMP_TOC_Home" display="Table of contents" xr:uid="{E0E38159-7824-45A4-B508-EB47B3B18F86}"/>
    <hyperlink ref="M2:N2" location="JUMP_K_I" display="Summary" xr:uid="{B73A7F1C-6009-4176-9888-081231DB40F7}"/>
    <hyperlink ref="E3:F3" location="JUMP_F_Top" display="Top of sheet" xr:uid="{57B82EB2-6C76-4C1C-A09C-ADF0469020D5}"/>
    <hyperlink ref="I2:J2" location="JUMP_E_Top" display="Previous sheet" xr:uid="{56682A19-7F62-4D56-BC23-AE5934EEE86C}"/>
    <hyperlink ref="E4:F4" location="JUMP_F_Bottom" display="End of sheet" xr:uid="{221F6A1B-1901-4F9B-8F4D-90F12652A48B}"/>
    <hyperlink ref="D3034:N3034" location="JUMP_G_Top" display="&lt;&lt;&lt; Click here to proceed to next sheet &gt;&gt;&gt; " xr:uid="{2CC6BCA9-B1F0-423F-9858-C6B54E090BF4}"/>
    <hyperlink ref="K2:L2" location="JUMP_G_Top" display="Next sheet" xr:uid="{48B9BFA5-F38E-4ACF-BB79-6227EA379CFF}"/>
    <hyperlink ref="E204:M204" location="JUMP_D_III" display="For attributing emissions from cogeneration (CHP) to production of heat and electricity, the &quot;CHP tool&quot; in section D.III. has to be used." xr:uid="{FFB3DAC3-CFF9-496D-8936-ACB9A98AC7B3}"/>
    <hyperlink ref="E135:M135" location="JUMP_K_III2" display="Upon entries made below, the attributable emissions are calculated in section K.III.2 of the summary sheet." xr:uid="{B0E33D41-AF8E-403E-A9B9-611E722A38B6}"/>
    <hyperlink ref="E133:M133" r:id="rId2" location="tab-0-1" display="tab-0-1" xr:uid="{AF35AF35-802E-463E-BE4D-FF16539D4970}"/>
    <hyperlink ref="E410" r:id="rId3" display="http://ec.europa.eu/eurostat/ramon/nomenclatures/index.cfm?TargetUrl=LST_CLS_DLD&amp;StrNom=PRD_2010&amp;StrLanguageCode=EN&amp;StrLayoutCode=HIERARCHIC" xr:uid="{4B9329A4-A5C4-48E1-99CE-C334AC5699D7}"/>
    <hyperlink ref="E506:M506" location="JUMP_D_III" display="For attributing emissions from cogeneration (CHP) to production of heat and electricity, the &quot;CHP tool&quot; in section D.III. has to be used." xr:uid="{C4734FC0-CDFC-4926-8C1A-34B1CA78FD5D}"/>
    <hyperlink ref="E437:M437" location="JUMP_K_III2" display="Upon entries made below, the attributable emissions are calculated in section K.III.2 of the summary sheet." xr:uid="{1C392BF3-DCC9-4759-93D0-316230D449B1}"/>
    <hyperlink ref="E435:M435" r:id="rId4" location="tab-0-1" display="tab-0-1" xr:uid="{A3A2D169-C08C-47EA-BD04-9F533E3BC83B}"/>
    <hyperlink ref="E712" r:id="rId5" display="http://ec.europa.eu/eurostat/ramon/nomenclatures/index.cfm?TargetUrl=LST_CLS_DLD&amp;StrNom=PRD_2010&amp;StrLanguageCode=EN&amp;StrLayoutCode=HIERARCHIC" xr:uid="{6AAA74B7-7040-427A-9DED-07F3ABC6AE16}"/>
    <hyperlink ref="E808:M808" location="JUMP_D_III" display="For attributing emissions from cogeneration (CHP) to production of heat and electricity, the &quot;CHP tool&quot; in section D.III. has to be used." xr:uid="{1F409AF1-3800-498E-8BBA-3238490FF70B}"/>
    <hyperlink ref="E739:M739" location="JUMP_K_III2" display="Upon entries made below, the attributable emissions are calculated in section K.III.2 of the summary sheet." xr:uid="{72E693FD-439C-4BD0-B11E-9A9B376CE5F4}"/>
    <hyperlink ref="E737:M737" r:id="rId6" location="tab-0-1" display="tab-0-1" xr:uid="{EFFEF873-090E-4763-8849-C23D0E43ACB3}"/>
    <hyperlink ref="E1014" r:id="rId7" display="http://ec.europa.eu/eurostat/ramon/nomenclatures/index.cfm?TargetUrl=LST_CLS_DLD&amp;StrNom=PRD_2010&amp;StrLanguageCode=EN&amp;StrLayoutCode=HIERARCHIC" xr:uid="{B6EA70DF-6479-44DA-8E47-604EF155C8F7}"/>
    <hyperlink ref="E1110:M1110" location="JUMP_D_III" display="For attributing emissions from cogeneration (CHP) to production of heat and electricity, the &quot;CHP tool&quot; in section D.III. has to be used." xr:uid="{6F258113-E43E-42B0-A933-55902218E924}"/>
    <hyperlink ref="E1041:M1041" location="JUMP_K_III2" display="Upon entries made below, the attributable emissions are calculated in section K.III.2 of the summary sheet." xr:uid="{D8EB98FC-8669-48E0-B578-00E055FF59DE}"/>
    <hyperlink ref="E1039:M1039" r:id="rId8" location="tab-0-1" display="tab-0-1" xr:uid="{311E2B41-DD6A-4AC1-87EA-55CE3406418D}"/>
    <hyperlink ref="E1316" r:id="rId9" display="http://ec.europa.eu/eurostat/ramon/nomenclatures/index.cfm?TargetUrl=LST_CLS_DLD&amp;StrNom=PRD_2010&amp;StrLanguageCode=EN&amp;StrLayoutCode=HIERARCHIC" xr:uid="{8BB8AFE0-8191-4902-8F49-C809AB327783}"/>
    <hyperlink ref="E1412:M1412" location="JUMP_D_III" display="For attributing emissions from cogeneration (CHP) to production of heat and electricity, the &quot;CHP tool&quot; in section D.III. has to be used." xr:uid="{7298FF50-4659-4BCB-9F95-C0E9C93B872F}"/>
    <hyperlink ref="E1343:M1343" location="JUMP_K_III2" display="Upon entries made below, the attributable emissions are calculated in section K.III.2 of the summary sheet." xr:uid="{5B85772D-795F-4094-8A24-51ED494A9AB2}"/>
    <hyperlink ref="E1341:M1341" r:id="rId10" location="tab-0-1" display="tab-0-1" xr:uid="{204D81AD-B3A3-4222-AE85-26C39F16D65C}"/>
    <hyperlink ref="E1618" r:id="rId11" display="http://ec.europa.eu/eurostat/ramon/nomenclatures/index.cfm?TargetUrl=LST_CLS_DLD&amp;StrNom=PRD_2010&amp;StrLanguageCode=EN&amp;StrLayoutCode=HIERARCHIC" xr:uid="{891A5076-1E22-4E28-9998-848F08BD2D3F}"/>
    <hyperlink ref="E1714:M1714" location="JUMP_D_III" display="For attributing emissions from cogeneration (CHP) to production of heat and electricity, the &quot;CHP tool&quot; in section D.III. has to be used." xr:uid="{518FAB1F-3C00-4239-8207-1CFE9EF3291E}"/>
    <hyperlink ref="E1645:M1645" location="JUMP_K_III2" display="Upon entries made below, the attributable emissions are calculated in section K.III.2 of the summary sheet." xr:uid="{A0F99FCF-CC3C-455B-8BD7-AE27EA223403}"/>
    <hyperlink ref="E1643:M1643" r:id="rId12" location="tab-0-1" display="tab-0-1" xr:uid="{CFB56DFC-0727-4D4C-957E-6EED04BFD80E}"/>
    <hyperlink ref="E1920" r:id="rId13" display="http://ec.europa.eu/eurostat/ramon/nomenclatures/index.cfm?TargetUrl=LST_CLS_DLD&amp;StrNom=PRD_2010&amp;StrLanguageCode=EN&amp;StrLayoutCode=HIERARCHIC" xr:uid="{C13FB312-4F49-4CCD-B982-4631474090AA}"/>
    <hyperlink ref="E2016:M2016" location="JUMP_D_III" display="For attributing emissions from cogeneration (CHP) to production of heat and electricity, the &quot;CHP tool&quot; in section D.III. has to be used." xr:uid="{BB079EC5-DA0B-4FED-9C07-3A427576313F}"/>
    <hyperlink ref="E1947:M1947" location="JUMP_K_III2" display="Upon entries made below, the attributable emissions are calculated in section K.III.2 of the summary sheet." xr:uid="{26F6108E-51A0-4731-86C4-5976D764A54B}"/>
    <hyperlink ref="E1945:M1945" r:id="rId14" location="tab-0-1" display="tab-0-1" xr:uid="{467FB165-6598-4807-ACEA-8E8C0D3129AF}"/>
    <hyperlink ref="E2222" r:id="rId15" display="http://ec.europa.eu/eurostat/ramon/nomenclatures/index.cfm?TargetUrl=LST_CLS_DLD&amp;StrNom=PRD_2010&amp;StrLanguageCode=EN&amp;StrLayoutCode=HIERARCHIC" xr:uid="{C6125391-1160-4D01-B7FF-23E8F587A64A}"/>
    <hyperlink ref="E2318:M2318" location="JUMP_D_III" display="For attributing emissions from cogeneration (CHP) to production of heat and electricity, the &quot;CHP tool&quot; in section D.III. has to be used." xr:uid="{DE03879C-1CD1-461A-83E9-C8B4042D3FA2}"/>
    <hyperlink ref="E2249:M2249" location="JUMP_K_III2" display="Upon entries made below, the attributable emissions are calculated in section K.III.2 of the summary sheet." xr:uid="{0921A8C0-1CAB-45C6-9BC0-D8644DE69D07}"/>
    <hyperlink ref="E2247:M2247" r:id="rId16" location="tab-0-1" display="tab-0-1" xr:uid="{11F2B38F-7D69-4C32-A0B8-7AC67EA2EB6E}"/>
    <hyperlink ref="E2524" r:id="rId17" display="http://ec.europa.eu/eurostat/ramon/nomenclatures/index.cfm?TargetUrl=LST_CLS_DLD&amp;StrNom=PRD_2010&amp;StrLanguageCode=EN&amp;StrLayoutCode=HIERARCHIC" xr:uid="{FF375A33-3D76-4554-BB5A-15443875AAD4}"/>
    <hyperlink ref="E2620:M2620" location="JUMP_D_III" display="For attributing emissions from cogeneration (CHP) to production of heat and electricity, the &quot;CHP tool&quot; in section D.III. has to be used." xr:uid="{D84281B2-BDD0-4048-BD0C-A6199A3E9255}"/>
    <hyperlink ref="E2551:M2551" location="JUMP_K_III2" display="Upon entries made below, the attributable emissions are calculated in section K.III.2 of the summary sheet." xr:uid="{F4434B0D-9D48-46A4-8DF5-6327092DF17D}"/>
    <hyperlink ref="E2549:M2549" r:id="rId18" location="tab-0-1" display="tab-0-1" xr:uid="{9C7B4A67-1522-43BD-A061-E5A20645359A}"/>
    <hyperlink ref="E2826" r:id="rId19" display="http://ec.europa.eu/eurostat/ramon/nomenclatures/index.cfm?TargetUrl=LST_CLS_DLD&amp;StrNom=PRD_2010&amp;StrLanguageCode=EN&amp;StrLayoutCode=HIERARCHIC" xr:uid="{7BCF18CC-8CC7-484B-B9FB-5C8E9E6E9258}"/>
    <hyperlink ref="E2922:M2922" location="JUMP_D_III" display="For attributing emissions from cogeneration (CHP) to production of heat and electricity, the &quot;CHP tool&quot; in section D.III. has to be used." xr:uid="{9A29000B-EC6D-42F1-BE9C-E1729BC48D37}"/>
    <hyperlink ref="E2853:M2853" location="JUMP_K_III2" display="Upon entries made below, the attributable emissions are calculated in section K.III.2 of the summary sheet." xr:uid="{6987345F-A9DA-4618-A2D1-5507D3BBE57F}"/>
    <hyperlink ref="E2851:M2851" r:id="rId20" location="tab-0-1" display="tab-0-1" xr:uid="{6D454471-0465-4E26-9C3E-92EBFAC84F81}"/>
  </hyperlinks>
  <pageMargins left="0.78740157480314965" right="0.78740157480314965" top="0.78740157480314965" bottom="0.78740157480314965" header="0.51181102362204722" footer="0.51181102362204722"/>
  <pageSetup paperSize="9" scale="48" fitToHeight="40" orientation="portrait" r:id="rId21"/>
  <headerFooter alignWithMargins="0">
    <oddHeader>&amp;L&amp;F; &amp;A&amp;R&amp;D; &amp;T</oddHeader>
    <oddFooter>&amp;C&amp;P / &amp;N</oddFooter>
  </headerFooter>
  <legacyDrawing r:id="rId2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4E0F67-7FE1-48C0-B9F7-C905588D5A32}">
  <sheetPr codeName="Tabelle9">
    <tabColor indexed="48"/>
    <pageSetUpPr fitToPage="1"/>
  </sheetPr>
  <dimension ref="A1:AM966"/>
  <sheetViews>
    <sheetView zoomScaleNormal="100" zoomScaleSheetLayoutView="85" workbookViewId="0">
      <pane ySplit="4" topLeftCell="A5" activePane="bottomLeft" state="frozen"/>
      <selection pane="bottomLeft" activeCell="B2" sqref="B2:D4"/>
    </sheetView>
  </sheetViews>
  <sheetFormatPr defaultColWidth="11.453125" defaultRowHeight="12.5" x14ac:dyDescent="0.25"/>
  <cols>
    <col min="1" max="1" width="5.453125" style="533" hidden="1" customWidth="1"/>
    <col min="2" max="2" width="2.7265625" style="533" customWidth="1"/>
    <col min="3" max="4" width="4.7265625" style="533" customWidth="1"/>
    <col min="5" max="5" width="30.7265625" style="533" customWidth="1"/>
    <col min="6" max="14" width="12.7265625" style="533" customWidth="1"/>
    <col min="15" max="15" width="4.54296875" style="533" customWidth="1"/>
    <col min="16" max="16" width="25.7265625" style="533" customWidth="1"/>
    <col min="17" max="25" width="12.7265625" style="533" hidden="1" customWidth="1"/>
    <col min="26" max="39" width="11.453125" style="533" hidden="1" customWidth="1"/>
    <col min="40" max="16384" width="11.453125" style="533"/>
  </cols>
  <sheetData>
    <row r="1" spans="1:39" s="2" customFormat="1" ht="13" hidden="1" thickBot="1" x14ac:dyDescent="0.3">
      <c r="A1" s="2" t="s">
        <v>346</v>
      </c>
      <c r="Q1" s="2" t="s">
        <v>346</v>
      </c>
      <c r="R1" s="2" t="s">
        <v>346</v>
      </c>
      <c r="S1" s="2" t="s">
        <v>346</v>
      </c>
      <c r="T1" s="2" t="s">
        <v>346</v>
      </c>
      <c r="U1" s="2" t="s">
        <v>346</v>
      </c>
      <c r="V1" s="2" t="s">
        <v>346</v>
      </c>
      <c r="W1" s="2" t="s">
        <v>346</v>
      </c>
      <c r="X1" s="2" t="s">
        <v>346</v>
      </c>
      <c r="Y1" s="2" t="s">
        <v>346</v>
      </c>
      <c r="Z1" s="2" t="s">
        <v>346</v>
      </c>
      <c r="AA1" s="2" t="s">
        <v>346</v>
      </c>
      <c r="AB1" s="2" t="s">
        <v>346</v>
      </c>
      <c r="AC1" s="2" t="s">
        <v>346</v>
      </c>
      <c r="AD1" s="2" t="s">
        <v>346</v>
      </c>
      <c r="AE1" s="349" t="s">
        <v>346</v>
      </c>
      <c r="AF1" s="349" t="s">
        <v>346</v>
      </c>
      <c r="AG1" s="349" t="s">
        <v>346</v>
      </c>
      <c r="AH1" s="349" t="s">
        <v>346</v>
      </c>
      <c r="AI1" s="349" t="s">
        <v>346</v>
      </c>
      <c r="AJ1" s="349" t="s">
        <v>346</v>
      </c>
      <c r="AK1" s="349" t="s">
        <v>346</v>
      </c>
      <c r="AL1" s="349" t="s">
        <v>346</v>
      </c>
      <c r="AM1" s="349" t="s">
        <v>346</v>
      </c>
    </row>
    <row r="2" spans="1:39" ht="13.5" thickBot="1" x14ac:dyDescent="0.35">
      <c r="A2" s="2"/>
      <c r="B2" s="2315" t="str">
        <f>Translations!$B$660</f>
        <v>G.</v>
      </c>
      <c r="C2" s="2316"/>
      <c r="D2" s="2317"/>
      <c r="E2" s="2330" t="str">
        <f>Translations!$B$2</f>
        <v>Navigeringsfält:</v>
      </c>
      <c r="F2" s="2331"/>
      <c r="G2" s="2329" t="str">
        <f>Translations!$B$16</f>
        <v>Innehållsförteckning</v>
      </c>
      <c r="H2" s="1936"/>
      <c r="I2" s="1936" t="str">
        <f>Translations!$B$17</f>
        <v>Föregående blad</v>
      </c>
      <c r="J2" s="1936"/>
      <c r="K2" s="1936" t="str">
        <f>Translations!$B$3</f>
        <v>Nästa blad</v>
      </c>
      <c r="L2" s="1936"/>
      <c r="M2" s="1936" t="str">
        <f>Translations!$B$4</f>
        <v>Sammanfattning</v>
      </c>
      <c r="N2" s="1936"/>
      <c r="O2" s="6"/>
      <c r="P2" s="2280" t="str">
        <f>Translations!$B$1362</f>
        <v>Kolumn för kommentarer 
(till exempel eventuella ändringar)</v>
      </c>
      <c r="Q2" s="7"/>
      <c r="R2" s="7"/>
      <c r="S2" s="7"/>
      <c r="T2" s="7"/>
      <c r="U2" s="7"/>
      <c r="V2" s="7"/>
      <c r="W2" s="7"/>
      <c r="X2" s="7"/>
      <c r="Y2" s="7"/>
      <c r="Z2" s="310"/>
      <c r="AA2" s="310"/>
      <c r="AB2" s="310"/>
      <c r="AC2" s="310"/>
      <c r="AD2" s="7"/>
      <c r="AE2" s="349"/>
      <c r="AF2" s="349"/>
      <c r="AG2" s="349"/>
      <c r="AH2" s="349"/>
      <c r="AI2" s="349"/>
      <c r="AJ2" s="349"/>
      <c r="AK2" s="349"/>
      <c r="AL2" s="349"/>
      <c r="AM2" s="349"/>
    </row>
    <row r="3" spans="1:39" ht="13.5" customHeight="1" thickBot="1" x14ac:dyDescent="0.3">
      <c r="A3" s="2"/>
      <c r="B3" s="2318"/>
      <c r="C3" s="2319"/>
      <c r="D3" s="2320"/>
      <c r="E3" s="1936" t="str">
        <f>Translations!$B$5</f>
        <v>Högst upp</v>
      </c>
      <c r="F3" s="2324"/>
      <c r="G3" s="2704" t="str">
        <f>IF(AND(CNTR_ExistSubInstEntries,INDEX(CNTR_FallBackSubInstRelevant,Q3)=FALSE),"",HYPERLINK("#JUMP_G"&amp;Q3,INDEX(EUconst_FallBackListNames,Q3)))</f>
        <v>Delanläggning med värmeriktmärke, KL</v>
      </c>
      <c r="H3" s="2705"/>
      <c r="I3" s="2704" t="str">
        <f>IF(AND(CNTR_ExistSubInstEntries,INDEX(CNTR_FallBackSubInstRelevant,S3)=FALSE),"",HYPERLINK("#JUMP_G"&amp;S3,INDEX(EUconst_FallBackListNames,S3)))</f>
        <v>Delanläggning med värmeriktmärke, ej KL</v>
      </c>
      <c r="J3" s="2705"/>
      <c r="K3" s="2704" t="str">
        <f>IF(AND(CNTR_ExistSubInstEntries,INDEX(CNTR_FallBackSubInstRelevant,U3)=FALSE),"",HYPERLINK("#JUMP_G"&amp;U3,INDEX(EUconst_FallBackListNames,U3)))</f>
        <v>Fjärrvärmedelanläggning</v>
      </c>
      <c r="L3" s="2705"/>
      <c r="M3" s="2704" t="str">
        <f>IF(AND(CNTR_ExistSubInstEntries,INDEX(CNTR_FallBackSubInstRelevant,W3)=FALSE),"",HYPERLINK("#JUMP_G"&amp;W3,INDEX(EUconst_FallBackListNames,W3)))</f>
        <v>Delanläggning med bränsleriktmärke, KL</v>
      </c>
      <c r="N3" s="2705"/>
      <c r="O3" s="6"/>
      <c r="P3" s="2281"/>
      <c r="Q3" s="1938">
        <v>1</v>
      </c>
      <c r="R3" s="1938"/>
      <c r="S3" s="1938">
        <v>2</v>
      </c>
      <c r="T3" s="1938"/>
      <c r="U3" s="1938">
        <v>3</v>
      </c>
      <c r="V3" s="1938" t="s">
        <v>1306</v>
      </c>
      <c r="W3" s="1938">
        <v>4</v>
      </c>
      <c r="X3" s="1938"/>
      <c r="Y3" s="7"/>
      <c r="Z3" s="7"/>
      <c r="AA3" s="7"/>
      <c r="AB3" s="7"/>
      <c r="AC3" s="7"/>
      <c r="AD3" s="7"/>
      <c r="AE3" s="349"/>
      <c r="AF3" s="349"/>
      <c r="AG3" s="349"/>
      <c r="AH3" s="349"/>
      <c r="AI3" s="349"/>
      <c r="AJ3" s="349"/>
      <c r="AK3" s="349"/>
      <c r="AL3" s="349"/>
      <c r="AM3" s="349"/>
    </row>
    <row r="4" spans="1:39" ht="13.5" customHeight="1" thickBot="1" x14ac:dyDescent="0.3">
      <c r="A4" s="2"/>
      <c r="B4" s="2321"/>
      <c r="C4" s="2322"/>
      <c r="D4" s="2323"/>
      <c r="E4" s="1936" t="str">
        <f>Translations!$B$6</f>
        <v>Längst ner</v>
      </c>
      <c r="F4" s="1936"/>
      <c r="G4" s="2704" t="str">
        <f>IF(AND(CNTR_ExistSubInstEntries,INDEX(CNTR_FallBackSubInstRelevant,Q4)=FALSE),"",HYPERLINK("#JUMP_G"&amp;Q4,INDEX(EUconst_FallBackListNames,Q4)))</f>
        <v>Delanläggning med bränsleriktmärke, ej KL</v>
      </c>
      <c r="H4" s="2705"/>
      <c r="I4" s="2704" t="str">
        <f>IF(AND(CNTR_ExistSubInstEntries,INDEX(CNTR_FallBackSubInstRelevant,S4)=FALSE),"",HYPERLINK("#JUMP_G"&amp;S4,INDEX(EUconst_FallBackListNames,S4)))</f>
        <v>Delanläggning med processutsläpp, KL</v>
      </c>
      <c r="J4" s="2705"/>
      <c r="K4" s="2704" t="str">
        <f>IF(AND(CNTR_ExistSubInstEntries,INDEX(CNTR_FallBackSubInstRelevant,U4)=FALSE),"",HYPERLINK("#JUMP_G"&amp;U4,INDEX(EUconst_FallBackListNames,U4)))</f>
        <v>Delanläggning med processutsläpp, ej KL</v>
      </c>
      <c r="L4" s="2705"/>
      <c r="M4" s="2704"/>
      <c r="N4" s="2705"/>
      <c r="O4" s="6"/>
      <c r="P4" s="2282"/>
      <c r="Q4" s="1938">
        <v>5</v>
      </c>
      <c r="R4" s="1938"/>
      <c r="S4" s="1938">
        <v>6</v>
      </c>
      <c r="T4" s="1938"/>
      <c r="U4" s="1938">
        <v>7</v>
      </c>
      <c r="V4" s="1938"/>
      <c r="W4" s="1938"/>
      <c r="X4" s="1938"/>
      <c r="Y4" s="7"/>
      <c r="Z4" s="7"/>
      <c r="AA4" s="7"/>
      <c r="AB4" s="7"/>
      <c r="AC4" s="7"/>
      <c r="AD4" s="7"/>
      <c r="AE4" s="349"/>
      <c r="AF4" s="349"/>
      <c r="AG4" s="349"/>
      <c r="AH4" s="349"/>
      <c r="AI4" s="349"/>
      <c r="AJ4" s="349"/>
      <c r="AK4" s="349"/>
      <c r="AL4" s="349"/>
      <c r="AM4" s="349"/>
    </row>
    <row r="5" spans="1:39" x14ac:dyDescent="0.25">
      <c r="A5" s="2"/>
      <c r="B5" s="3"/>
      <c r="C5" s="4"/>
      <c r="D5" s="3"/>
      <c r="E5" s="3"/>
      <c r="F5" s="5"/>
      <c r="G5" s="5"/>
      <c r="H5" s="5"/>
      <c r="I5" s="3"/>
      <c r="J5" s="3"/>
      <c r="K5" s="3"/>
      <c r="L5" s="3"/>
      <c r="M5" s="6"/>
      <c r="N5" s="6"/>
      <c r="O5" s="6"/>
      <c r="P5" s="6"/>
      <c r="Q5" s="7"/>
      <c r="R5" s="7"/>
      <c r="S5" s="7"/>
      <c r="T5" s="7"/>
      <c r="U5" s="7"/>
      <c r="V5" s="7"/>
      <c r="W5" s="7"/>
      <c r="X5" s="7"/>
      <c r="Y5" s="7"/>
      <c r="Z5" s="7"/>
      <c r="AA5" s="7"/>
      <c r="AB5" s="7"/>
      <c r="AC5" s="7"/>
      <c r="AD5" s="7"/>
      <c r="AE5" s="349"/>
      <c r="AF5" s="349"/>
      <c r="AG5" s="349"/>
      <c r="AH5" s="349"/>
      <c r="AI5" s="349"/>
      <c r="AJ5" s="349"/>
      <c r="AK5" s="349"/>
      <c r="AL5" s="349"/>
      <c r="AM5" s="349"/>
    </row>
    <row r="6" spans="1:39" ht="23.25" customHeight="1" x14ac:dyDescent="0.25">
      <c r="A6" s="2"/>
      <c r="B6" s="3"/>
      <c r="C6" s="8" t="s">
        <v>745</v>
      </c>
      <c r="D6" s="2004" t="str">
        <f>Translations!$B$661</f>
        <v>Bladet ”Fall-back” – DELANLÄGGNINGSDATA OM ”FALL-BACK”-DELANLÄGGNINGAR</v>
      </c>
      <c r="E6" s="1963"/>
      <c r="F6" s="1963"/>
      <c r="G6" s="1963"/>
      <c r="H6" s="1963"/>
      <c r="I6" s="1963"/>
      <c r="J6" s="1963"/>
      <c r="K6" s="1963"/>
      <c r="L6" s="1963"/>
      <c r="M6" s="1963"/>
      <c r="N6" s="1963"/>
      <c r="O6" s="6"/>
      <c r="P6" s="6"/>
      <c r="Q6" s="2"/>
      <c r="R6" s="2"/>
      <c r="S6" s="2"/>
      <c r="T6" s="2"/>
      <c r="U6" s="2"/>
      <c r="V6" s="2"/>
      <c r="W6" s="2"/>
      <c r="X6" s="2"/>
      <c r="Y6" s="2"/>
      <c r="Z6" s="2"/>
      <c r="AA6" s="2"/>
      <c r="AB6" s="2"/>
      <c r="AC6" s="2"/>
      <c r="AD6" s="2"/>
      <c r="AE6" s="349"/>
      <c r="AF6" s="349"/>
      <c r="AG6" s="349"/>
      <c r="AH6" s="349"/>
      <c r="AI6" s="349"/>
      <c r="AJ6" s="349"/>
      <c r="AK6" s="349"/>
      <c r="AL6" s="349"/>
      <c r="AM6" s="349"/>
    </row>
    <row r="7" spans="1:39" ht="5.15" customHeight="1" x14ac:dyDescent="0.25">
      <c r="A7" s="2"/>
      <c r="B7" s="3"/>
      <c r="C7" s="3"/>
      <c r="D7" s="3"/>
      <c r="E7" s="3"/>
      <c r="F7" s="3"/>
      <c r="G7" s="3"/>
      <c r="H7" s="3"/>
      <c r="I7" s="3"/>
      <c r="J7" s="3"/>
      <c r="K7" s="3"/>
      <c r="L7" s="3"/>
      <c r="M7" s="6"/>
      <c r="N7" s="6"/>
      <c r="O7" s="6"/>
      <c r="P7" s="6"/>
      <c r="Q7" s="310"/>
      <c r="R7" s="310"/>
      <c r="S7" s="310"/>
      <c r="T7" s="310"/>
      <c r="U7" s="310"/>
      <c r="V7" s="310"/>
      <c r="W7" s="310"/>
      <c r="X7" s="310"/>
      <c r="Y7" s="310"/>
      <c r="Z7" s="310"/>
      <c r="AA7" s="310"/>
      <c r="AB7" s="310"/>
      <c r="AC7" s="310"/>
      <c r="AD7" s="310"/>
      <c r="AE7" s="349"/>
      <c r="AF7" s="349"/>
      <c r="AG7" s="349"/>
      <c r="AH7" s="349"/>
      <c r="AI7" s="349"/>
      <c r="AJ7" s="349"/>
      <c r="AK7" s="349"/>
      <c r="AL7" s="349"/>
      <c r="AM7" s="349"/>
    </row>
    <row r="8" spans="1:39" ht="15" customHeight="1" x14ac:dyDescent="0.25">
      <c r="A8" s="2"/>
      <c r="B8" s="3"/>
      <c r="C8" s="3"/>
      <c r="D8" s="3"/>
      <c r="E8" s="2707" t="str">
        <f>Translations!$B$662</f>
        <v>Navigationspanelen ovan innehåller endast länkar till de delanläggningar som anges som ”relevanta” i avsnitt A.III.2.</v>
      </c>
      <c r="F8" s="2707"/>
      <c r="G8" s="2707"/>
      <c r="H8" s="2707"/>
      <c r="I8" s="2707"/>
      <c r="J8" s="2707"/>
      <c r="K8" s="2707"/>
      <c r="L8" s="2707"/>
      <c r="M8" s="2707"/>
      <c r="N8" s="6"/>
      <c r="O8" s="6"/>
      <c r="P8" s="6"/>
      <c r="Q8" s="310"/>
      <c r="R8" s="310"/>
      <c r="S8" s="310"/>
      <c r="T8" s="310"/>
      <c r="U8" s="310"/>
      <c r="V8" s="310"/>
      <c r="W8" s="310"/>
      <c r="X8" s="310"/>
      <c r="Y8" s="310"/>
      <c r="Z8" s="310"/>
      <c r="AA8" s="310"/>
      <c r="AB8" s="310"/>
      <c r="AC8" s="310"/>
      <c r="AD8" s="310"/>
      <c r="AE8" s="349"/>
      <c r="AF8" s="349"/>
      <c r="AG8" s="349"/>
      <c r="AH8" s="349"/>
      <c r="AI8" s="349"/>
      <c r="AJ8" s="349"/>
      <c r="AK8" s="349"/>
      <c r="AL8" s="349"/>
      <c r="AM8" s="349"/>
    </row>
    <row r="9" spans="1:39" ht="12.75" customHeight="1" thickBot="1" x14ac:dyDescent="0.3">
      <c r="A9" s="2"/>
      <c r="B9" s="3"/>
      <c r="C9" s="3"/>
      <c r="D9" s="3"/>
      <c r="E9" s="3"/>
      <c r="F9" s="3"/>
      <c r="G9" s="3"/>
      <c r="H9" s="3"/>
      <c r="I9" s="3"/>
      <c r="J9" s="3"/>
      <c r="K9" s="3"/>
      <c r="L9" s="3"/>
      <c r="M9" s="6"/>
      <c r="N9" s="6"/>
      <c r="O9" s="6"/>
      <c r="P9" s="6"/>
      <c r="Q9" s="2"/>
      <c r="R9" s="2"/>
      <c r="S9" s="2"/>
      <c r="T9" s="2"/>
      <c r="U9" s="2"/>
      <c r="V9" s="2"/>
      <c r="W9" s="2"/>
      <c r="X9" s="2"/>
      <c r="Y9" s="2"/>
      <c r="Z9" s="2"/>
      <c r="AA9" s="2"/>
      <c r="AB9" s="2"/>
      <c r="AC9" s="2"/>
      <c r="AD9" s="2"/>
      <c r="AE9" s="349"/>
      <c r="AF9" s="349"/>
      <c r="AG9" s="349"/>
      <c r="AH9" s="349"/>
      <c r="AI9" s="349"/>
      <c r="AJ9" s="349"/>
      <c r="AK9" s="349"/>
      <c r="AL9" s="349"/>
      <c r="AM9" s="349"/>
    </row>
    <row r="10" spans="1:39" ht="16" thickBot="1" x14ac:dyDescent="0.4">
      <c r="A10" s="2"/>
      <c r="B10" s="3"/>
      <c r="C10" s="11" t="s">
        <v>1108</v>
      </c>
      <c r="D10" s="1975" t="str">
        <f>Translations!$B$513</f>
        <v>Historiska verksamhetsnivåer och disaggregerade produktionsuppgifter</v>
      </c>
      <c r="E10" s="1975"/>
      <c r="F10" s="1975"/>
      <c r="G10" s="1975"/>
      <c r="H10" s="1975"/>
      <c r="I10" s="1975"/>
      <c r="J10" s="1975"/>
      <c r="K10" s="1975"/>
      <c r="L10" s="1975"/>
      <c r="M10" s="1975"/>
      <c r="N10" s="1975"/>
      <c r="O10" s="6"/>
      <c r="P10" s="6"/>
      <c r="Q10" s="2"/>
      <c r="R10" s="2"/>
      <c r="S10" s="2"/>
      <c r="T10" s="2"/>
      <c r="U10" s="2"/>
      <c r="V10" s="2"/>
      <c r="W10" s="2"/>
      <c r="X10" s="2"/>
      <c r="Y10" s="2"/>
      <c r="Z10" s="2"/>
      <c r="AA10" s="2"/>
      <c r="AB10" s="2"/>
      <c r="AC10" s="2"/>
      <c r="AD10" s="2"/>
      <c r="AE10" s="349"/>
      <c r="AF10" s="349"/>
      <c r="AG10" s="349"/>
      <c r="AH10" s="349"/>
      <c r="AI10" s="349"/>
      <c r="AJ10" s="349"/>
      <c r="AK10" s="349"/>
      <c r="AL10" s="296" t="s">
        <v>1133</v>
      </c>
      <c r="AM10" s="349"/>
    </row>
    <row r="11" spans="1:39" ht="5.15" customHeight="1" thickBot="1" x14ac:dyDescent="0.3">
      <c r="A11" s="2"/>
      <c r="B11" s="3"/>
      <c r="C11" s="3"/>
      <c r="D11" s="3"/>
      <c r="E11" s="3"/>
      <c r="F11" s="3"/>
      <c r="G11" s="3"/>
      <c r="H11" s="3"/>
      <c r="I11" s="3"/>
      <c r="J11" s="3"/>
      <c r="K11" s="3"/>
      <c r="L11" s="3"/>
      <c r="M11" s="6"/>
      <c r="N11" s="6"/>
      <c r="O11" s="6"/>
      <c r="P11" s="6"/>
      <c r="Q11" s="7"/>
      <c r="R11" s="7"/>
      <c r="S11" s="7"/>
      <c r="T11" s="7"/>
      <c r="U11" s="7"/>
      <c r="V11" s="7"/>
      <c r="W11" s="7"/>
      <c r="X11" s="7"/>
      <c r="Y11" s="7"/>
      <c r="Z11" s="2"/>
      <c r="AA11" s="2"/>
      <c r="AB11" s="2"/>
      <c r="AC11" s="2"/>
      <c r="AD11" s="2"/>
      <c r="AE11" s="349"/>
      <c r="AF11" s="349"/>
      <c r="AG11" s="349"/>
      <c r="AH11" s="349"/>
      <c r="AI11" s="349"/>
      <c r="AJ11" s="349"/>
      <c r="AK11" s="349"/>
      <c r="AL11" s="349"/>
      <c r="AM11" s="349"/>
    </row>
    <row r="12" spans="1:39" ht="14.5" thickBot="1" x14ac:dyDescent="0.35">
      <c r="A12" s="2"/>
      <c r="B12" s="3"/>
      <c r="C12" s="17">
        <v>1</v>
      </c>
      <c r="D12" s="2053" t="str">
        <f>EUconst_FBSubinst &amp; ":"</f>
        <v>”Fall-back”-delanläggning:</v>
      </c>
      <c r="E12" s="1963"/>
      <c r="F12" s="1963"/>
      <c r="G12" s="1963"/>
      <c r="H12" s="2060"/>
      <c r="I12" s="2090" t="str">
        <f>INDEX(EUconst_FallBackListNames,$C12)</f>
        <v>Delanläggning med värmeriktmärke, KL</v>
      </c>
      <c r="J12" s="2120"/>
      <c r="K12" s="2120"/>
      <c r="L12" s="2648"/>
      <c r="M12" s="2085" t="str">
        <f>IF(INDEX(CNTR_FallBackSubInstRelevant,C12)="","",IF(INDEX(CNTR_FallBackSubInstRelevant,C12),EUconst_Relevant,EUconst_NotRelevant))</f>
        <v/>
      </c>
      <c r="N12" s="2086"/>
      <c r="O12" s="6"/>
      <c r="P12" s="6"/>
      <c r="Q12" s="452">
        <f>C12</f>
        <v>1</v>
      </c>
      <c r="R12" s="2"/>
      <c r="S12" s="553" t="s">
        <v>608</v>
      </c>
      <c r="T12" s="979" t="str">
        <f>IF(M12&lt;&gt;EUconst_Relevant,"",MAX(INDEX(CNTR_SubInstStartDate,MATCH($I12,CNTR_SubInstListNames,0)),DATE(2005,1,1)))</f>
        <v/>
      </c>
      <c r="U12" s="343" t="s">
        <v>1873</v>
      </c>
      <c r="V12" s="663">
        <f>IF(ISNUMBER(T12),YEAR($T12-IF(YEAR(T12)&gt;=2022,0,1))+1,2005)</f>
        <v>2005</v>
      </c>
      <c r="W12" s="553" t="s">
        <v>1876</v>
      </c>
      <c r="X12" s="979" t="str">
        <f>IF(M12&lt;&gt;EUconst_Relevant,"",INDEX(CNTR_SubInstCessationDate,MATCH($I12,CNTR_SubInstListNames,0)))</f>
        <v/>
      </c>
      <c r="Y12" s="553" t="s">
        <v>1877</v>
      </c>
      <c r="Z12" s="663">
        <f>IF(SUM(X12)=0,2050,YEAR($X12))</f>
        <v>2050</v>
      </c>
      <c r="AA12" s="553" t="s">
        <v>2201</v>
      </c>
      <c r="AB12" s="663" t="b">
        <f>CNTR_ReportingYear&gt;V12</f>
        <v>1</v>
      </c>
      <c r="AC12" s="553" t="s">
        <v>1475</v>
      </c>
      <c r="AD12" s="555" t="b">
        <f>AND(CNTR_ExistSubInstEntries,M12=EUconst_NotRelevant)</f>
        <v>0</v>
      </c>
      <c r="AE12" s="349"/>
      <c r="AF12" s="349"/>
      <c r="AG12" s="349"/>
      <c r="AH12" s="349"/>
      <c r="AI12" s="349"/>
      <c r="AJ12" s="349"/>
      <c r="AK12" s="349"/>
      <c r="AL12" s="349"/>
      <c r="AM12" s="349"/>
    </row>
    <row r="13" spans="1:39" ht="12.75" customHeight="1" x14ac:dyDescent="0.25">
      <c r="A13" s="2"/>
      <c r="B13" s="19"/>
      <c r="C13" s="19"/>
      <c r="D13" s="19"/>
      <c r="E13" s="19"/>
      <c r="F13" s="19"/>
      <c r="G13" s="19"/>
      <c r="H13" s="45"/>
      <c r="I13" s="2683" t="str">
        <f>IF(M12&lt;&gt;EUconst_Relevant,"",IF(M12=EUconst_Relevant,HYPERLINK("",EUconst_MsgEnterThisSection),HYPERLINK(R13,EUconst_MsgGoToNextSubInst)))</f>
        <v/>
      </c>
      <c r="J13" s="2684"/>
      <c r="K13" s="2684"/>
      <c r="L13" s="2684"/>
      <c r="M13" s="2685"/>
      <c r="N13" s="2686"/>
      <c r="O13" s="6"/>
      <c r="P13" s="6"/>
      <c r="Q13" s="2" t="s">
        <v>484</v>
      </c>
      <c r="R13" s="394" t="str">
        <f>"#JUMP_G"&amp;Q12+1</f>
        <v>#JUMP_G2</v>
      </c>
      <c r="S13" s="2"/>
      <c r="T13" s="2"/>
      <c r="U13" s="2"/>
      <c r="V13" s="2"/>
      <c r="W13" s="2"/>
      <c r="X13" s="2"/>
      <c r="Y13" s="2"/>
      <c r="Z13" s="343"/>
      <c r="AA13" s="2"/>
      <c r="AB13" s="2"/>
      <c r="AC13" s="2"/>
      <c r="AD13" s="2"/>
      <c r="AE13" s="349"/>
      <c r="AF13" s="349"/>
      <c r="AG13" s="349"/>
      <c r="AH13" s="349"/>
      <c r="AI13" s="349"/>
      <c r="AJ13" s="349"/>
      <c r="AK13" s="349"/>
      <c r="AL13" s="349"/>
      <c r="AM13" s="349"/>
    </row>
    <row r="14" spans="1:39" ht="12.75" customHeight="1" x14ac:dyDescent="0.25">
      <c r="A14" s="2"/>
      <c r="B14" s="3"/>
      <c r="C14" s="3"/>
      <c r="D14" s="15"/>
      <c r="E14" s="2061" t="str">
        <f>Translations!$B$663</f>
        <v>Namnet på ”fall-back”-delanläggningen visas automatiskt på grundval av den sammanställda listan över möjliga ”fall-back”-anläggningar.</v>
      </c>
      <c r="F14" s="1963"/>
      <c r="G14" s="1963"/>
      <c r="H14" s="1963"/>
      <c r="I14" s="1963"/>
      <c r="J14" s="1963"/>
      <c r="K14" s="1963"/>
      <c r="L14" s="1963"/>
      <c r="M14" s="1963"/>
      <c r="N14" s="1963"/>
      <c r="O14" s="6"/>
      <c r="P14" s="6"/>
      <c r="Q14" s="7"/>
      <c r="R14" s="7"/>
      <c r="S14" s="2"/>
      <c r="T14" s="2"/>
      <c r="U14" s="2"/>
      <c r="V14" s="2"/>
      <c r="W14" s="2"/>
      <c r="X14" s="2"/>
      <c r="Y14" s="2"/>
      <c r="Z14" s="2"/>
      <c r="AA14" s="2"/>
      <c r="AB14" s="2"/>
      <c r="AC14" s="2"/>
      <c r="AD14" s="2"/>
      <c r="AE14" s="349"/>
      <c r="AF14" s="349"/>
      <c r="AG14" s="349"/>
      <c r="AH14" s="349"/>
      <c r="AI14" s="349"/>
      <c r="AJ14" s="349"/>
      <c r="AK14" s="349"/>
      <c r="AL14" s="349"/>
      <c r="AM14" s="349"/>
    </row>
    <row r="15" spans="1:39" ht="5.15" customHeight="1" x14ac:dyDescent="0.25">
      <c r="A15" s="2"/>
      <c r="B15" s="3"/>
      <c r="C15" s="3"/>
      <c r="D15" s="3"/>
      <c r="E15" s="3"/>
      <c r="F15" s="3"/>
      <c r="G15" s="3"/>
      <c r="H15" s="3"/>
      <c r="I15" s="3"/>
      <c r="J15" s="3"/>
      <c r="K15" s="3"/>
      <c r="L15" s="3"/>
      <c r="M15" s="6"/>
      <c r="N15" s="6"/>
      <c r="O15" s="6"/>
      <c r="P15" s="6"/>
      <c r="Q15" s="7"/>
      <c r="R15" s="7"/>
      <c r="S15" s="7"/>
      <c r="T15" s="7"/>
      <c r="U15" s="7"/>
      <c r="V15" s="7"/>
      <c r="W15" s="7"/>
      <c r="X15" s="7"/>
      <c r="Y15" s="7"/>
      <c r="Z15" s="2"/>
      <c r="AA15" s="2"/>
      <c r="AB15" s="2"/>
      <c r="AC15" s="2"/>
      <c r="AD15" s="2"/>
      <c r="AE15" s="349"/>
      <c r="AF15" s="349"/>
      <c r="AG15" s="349"/>
      <c r="AH15" s="349"/>
      <c r="AI15" s="349"/>
      <c r="AJ15" s="349"/>
      <c r="AK15" s="349"/>
      <c r="AL15" s="349"/>
      <c r="AM15" s="349"/>
    </row>
    <row r="16" spans="1:39" ht="12.75" customHeight="1" x14ac:dyDescent="0.25">
      <c r="A16" s="2"/>
      <c r="B16" s="3"/>
      <c r="C16" s="13"/>
      <c r="D16" s="13" t="s">
        <v>442</v>
      </c>
      <c r="E16" s="1943" t="str">
        <f>Translations!$B$1466</f>
        <v>Verksamhetsnivåer</v>
      </c>
      <c r="F16" s="1963"/>
      <c r="G16" s="1963"/>
      <c r="H16" s="1963"/>
      <c r="I16" s="1963"/>
      <c r="J16" s="1963"/>
      <c r="K16" s="1963"/>
      <c r="L16" s="1963"/>
      <c r="M16" s="1963"/>
      <c r="N16" s="1963"/>
      <c r="O16" s="6"/>
      <c r="P16" s="6"/>
      <c r="Q16" s="7"/>
      <c r="R16" s="7"/>
      <c r="S16" s="7"/>
      <c r="T16" s="7"/>
      <c r="U16" s="7"/>
      <c r="V16" s="7"/>
      <c r="W16" s="7"/>
      <c r="X16" s="7"/>
      <c r="Y16" s="7"/>
      <c r="Z16" s="2"/>
      <c r="AA16" s="2"/>
      <c r="AB16" s="343"/>
      <c r="AC16" s="2"/>
      <c r="AD16" s="2"/>
      <c r="AE16" s="349"/>
      <c r="AF16" s="349"/>
      <c r="AG16" s="349"/>
      <c r="AH16" s="349"/>
      <c r="AI16" s="349"/>
      <c r="AJ16" s="349"/>
      <c r="AK16" s="349"/>
      <c r="AL16" s="349"/>
      <c r="AM16" s="349"/>
    </row>
    <row r="17" spans="1:39" ht="12.75" customHeight="1" x14ac:dyDescent="0.25">
      <c r="A17" s="2"/>
      <c r="B17" s="3"/>
      <c r="C17" s="15"/>
      <c r="D17" s="15"/>
      <c r="E17" s="2682" t="str">
        <f>Translations!$B$664</f>
        <v>Följande uppgifter hämtas automatiskt från bladet "E_EnergyFlows", avsnitt E.II.r. Uppgifter måste därför matas in där.</v>
      </c>
      <c r="F17" s="2682"/>
      <c r="G17" s="2682"/>
      <c r="H17" s="2682"/>
      <c r="I17" s="2682"/>
      <c r="J17" s="2682"/>
      <c r="K17" s="2682"/>
      <c r="L17" s="2682"/>
      <c r="M17" s="2682"/>
      <c r="N17" s="2682"/>
      <c r="O17" s="6"/>
      <c r="P17" s="6"/>
      <c r="Q17" s="7"/>
      <c r="R17" s="2"/>
      <c r="S17" s="2"/>
      <c r="T17" s="2"/>
      <c r="U17" s="2"/>
      <c r="V17" s="2"/>
      <c r="W17" s="2"/>
      <c r="X17" s="2"/>
      <c r="Y17" s="2"/>
      <c r="Z17" s="2"/>
      <c r="AA17" s="2"/>
      <c r="AB17" s="2"/>
      <c r="AC17" s="2"/>
      <c r="AD17" s="2"/>
      <c r="AE17" s="349"/>
      <c r="AF17" s="349"/>
      <c r="AG17" s="349"/>
      <c r="AH17" s="349"/>
      <c r="AI17" s="349"/>
      <c r="AJ17" s="349"/>
      <c r="AK17" s="349"/>
      <c r="AL17" s="349"/>
      <c r="AM17" s="349"/>
    </row>
    <row r="18" spans="1:39" ht="12.75" customHeight="1" x14ac:dyDescent="0.25">
      <c r="A18" s="2"/>
      <c r="B18" s="3"/>
      <c r="C18" s="3"/>
      <c r="D18" s="15"/>
      <c r="E18" s="2095" t="str">
        <f>Translations!$B$1486</f>
        <v>Baserat på när start av drift inträffade enligt avsnitt B+C.I i bladet "B+C_SubInstallations" kommer den historiska verksamhetsnivån (HAL) antingen att baseras på värdena enligt de nationella genomförandeåtgärderna (visas under ii) eller det första hela kalenderårets drift för nya delanläggningar (visas under iv).</v>
      </c>
      <c r="F18" s="2706"/>
      <c r="G18" s="2706"/>
      <c r="H18" s="2706"/>
      <c r="I18" s="2706"/>
      <c r="J18" s="2706"/>
      <c r="K18" s="2706"/>
      <c r="L18" s="2706"/>
      <c r="M18" s="2706"/>
      <c r="N18" s="2706"/>
      <c r="O18" s="6"/>
      <c r="P18" s="6"/>
      <c r="Q18" s="7"/>
      <c r="R18" s="2"/>
      <c r="S18" s="2"/>
      <c r="T18" s="2"/>
      <c r="U18" s="2"/>
      <c r="V18" s="2"/>
      <c r="W18" s="2"/>
      <c r="X18" s="2"/>
      <c r="Y18" s="2"/>
      <c r="Z18" s="2"/>
      <c r="AA18" s="343"/>
      <c r="AB18" s="343"/>
      <c r="AC18" s="2"/>
      <c r="AD18" s="2"/>
      <c r="AE18" s="349"/>
      <c r="AF18" s="349"/>
      <c r="AG18" s="349"/>
      <c r="AH18" s="349"/>
      <c r="AI18" s="349"/>
      <c r="AJ18" s="349"/>
      <c r="AK18" s="349"/>
      <c r="AL18" s="349"/>
      <c r="AM18" s="349"/>
    </row>
    <row r="19" spans="1:39" ht="12.75" customHeight="1" thickBot="1" x14ac:dyDescent="0.3">
      <c r="A19" s="2"/>
      <c r="B19" s="19"/>
      <c r="C19" s="13"/>
      <c r="D19" s="13"/>
      <c r="E19" s="42" t="str">
        <f>Translations!$B$665</f>
        <v>Huvudsaklig verksamhetsnivå:</v>
      </c>
      <c r="F19" s="913"/>
      <c r="G19" s="30" t="str">
        <f>EUconst_Unit</f>
        <v>Enhet</v>
      </c>
      <c r="H19" s="320">
        <f t="shared" ref="H19:N19" si="0">H$950</f>
        <v>2019</v>
      </c>
      <c r="I19" s="342">
        <f t="shared" si="0"/>
        <v>2020</v>
      </c>
      <c r="J19" s="987">
        <f t="shared" si="0"/>
        <v>2021</v>
      </c>
      <c r="K19" s="320">
        <f t="shared" si="0"/>
        <v>2022</v>
      </c>
      <c r="L19" s="320">
        <f t="shared" si="0"/>
        <v>2023</v>
      </c>
      <c r="M19" s="320">
        <f t="shared" si="0"/>
        <v>2024</v>
      </c>
      <c r="N19" s="350">
        <f t="shared" si="0"/>
        <v>2025</v>
      </c>
      <c r="O19" s="6"/>
      <c r="P19" s="6"/>
      <c r="Q19" s="152" t="s">
        <v>594</v>
      </c>
      <c r="R19" s="2"/>
      <c r="S19" s="2"/>
      <c r="T19" s="1044">
        <f t="shared" ref="T19:Z19" si="1">H19</f>
        <v>2019</v>
      </c>
      <c r="U19" s="1044">
        <f t="shared" si="1"/>
        <v>2020</v>
      </c>
      <c r="V19" s="1044">
        <f t="shared" si="1"/>
        <v>2021</v>
      </c>
      <c r="W19" s="1044">
        <f t="shared" si="1"/>
        <v>2022</v>
      </c>
      <c r="X19" s="1044">
        <f t="shared" si="1"/>
        <v>2023</v>
      </c>
      <c r="Y19" s="1044">
        <f t="shared" si="1"/>
        <v>2024</v>
      </c>
      <c r="Z19" s="1044">
        <f t="shared" si="1"/>
        <v>2025</v>
      </c>
      <c r="AA19" s="343"/>
      <c r="AB19" s="343"/>
      <c r="AC19" s="2"/>
      <c r="AD19" s="2"/>
      <c r="AE19" s="349"/>
      <c r="AF19" s="349"/>
      <c r="AG19" s="349"/>
      <c r="AH19" s="349"/>
      <c r="AI19" s="349"/>
      <c r="AJ19" s="349"/>
      <c r="AK19" s="349"/>
      <c r="AL19" s="349"/>
      <c r="AM19" s="349"/>
    </row>
    <row r="20" spans="1:39" ht="12.75" customHeight="1" thickBot="1" x14ac:dyDescent="0.3">
      <c r="A20" s="2"/>
      <c r="B20" s="19"/>
      <c r="C20" s="19"/>
      <c r="D20" s="175" t="s">
        <v>8</v>
      </c>
      <c r="E20" s="2655" t="str">
        <f>I12</f>
        <v>Delanläggning med värmeriktmärke, KL</v>
      </c>
      <c r="F20" s="2655"/>
      <c r="G20" s="91" t="str">
        <f>INDEX(EUconst_FallBackListUnits,MATCH(E20,EUconst_FallBackListNames,0))</f>
        <v>TJ</v>
      </c>
      <c r="H20" s="258" t="str">
        <f>IF($M12&lt;&gt;EUconst_Relevant,"",IF(H19&gt;=CNTR_ReportingYear,"",IF(AND(H19&gt;=$V12-1,ISNUMBER(INDEX(E_EnergyFlows!H$400:H$406,MATCH($E20,E_EnergyFlows!$E$400:$E$406,0)))),INDEX(E_EnergyFlows!H$400:H$406,MATCH($E20,E_EnergyFlows!$E$400:$E$406,0)),0)))</f>
        <v/>
      </c>
      <c r="I20" s="695" t="str">
        <f>IF($M12&lt;&gt;EUconst_Relevant,"",IF(I19&gt;=CNTR_ReportingYear,"",IF(AND(I19&gt;=$V12-1,ISNUMBER(INDEX(E_EnergyFlows!I$400:I$406,MATCH($E20,E_EnergyFlows!$E$400:$E$406,0)))),INDEX(E_EnergyFlows!I$400:I$406,MATCH($E20,E_EnergyFlows!$E$400:$E$406,0)),0)))</f>
        <v/>
      </c>
      <c r="J20" s="696" t="str">
        <f>IF($M12&lt;&gt;EUconst_Relevant,"",IF(J19&gt;=CNTR_ReportingYear,"",IF(AND(J19&gt;=$V12-1,ISNUMBER(INDEX(E_EnergyFlows!J$400:J$406,MATCH($E20,E_EnergyFlows!$E$400:$E$406,0)))),INDEX(E_EnergyFlows!J$400:J$406,MATCH($E20,E_EnergyFlows!$E$400:$E$406,0)),0)))</f>
        <v/>
      </c>
      <c r="K20" s="258" t="str">
        <f>IF($M12&lt;&gt;EUconst_Relevant,"",IF(K19&gt;=CNTR_ReportingYear,"",IF(AND(K19&gt;=$V12-1,ISNUMBER(INDEX(E_EnergyFlows!K$400:K$406,MATCH($E20,E_EnergyFlows!$E$400:$E$406,0)))),INDEX(E_EnergyFlows!K$400:K$406,MATCH($E20,E_EnergyFlows!$E$400:$E$406,0)),0)))</f>
        <v/>
      </c>
      <c r="L20" s="258" t="str">
        <f>IF($M12&lt;&gt;EUconst_Relevant,"",IF(L19&gt;=CNTR_ReportingYear,"",IF(AND(L19&gt;=$V12-1,ISNUMBER(INDEX(E_EnergyFlows!L$400:L$406,MATCH($E20,E_EnergyFlows!$E$400:$E$406,0)))),INDEX(E_EnergyFlows!L$400:L$406,MATCH($E20,E_EnergyFlows!$E$400:$E$406,0)),0)))</f>
        <v/>
      </c>
      <c r="M20" s="258" t="str">
        <f>IF($M12&lt;&gt;EUconst_Relevant,"",IF(M19&gt;=CNTR_ReportingYear,"",IF(AND(M19&gt;=$V12-1,ISNUMBER(INDEX(E_EnergyFlows!M$400:M$406,MATCH($E20,E_EnergyFlows!$E$400:$E$406,0)))),INDEX(E_EnergyFlows!M$400:M$406,MATCH($E20,E_EnergyFlows!$E$400:$E$406,0)),0)))</f>
        <v/>
      </c>
      <c r="N20" s="258" t="str">
        <f>IF($M12&lt;&gt;EUconst_Relevant,"",IF(N19&gt;=CNTR_ReportingYear,"",IF(AND(N19&gt;=$V12-1,ISNUMBER(INDEX(E_EnergyFlows!N$400:N$406,MATCH($E20,E_EnergyFlows!$E$400:$E$406,0)))),INDEX(E_EnergyFlows!N$400:N$406,MATCH($E20,E_EnergyFlows!$E$400:$E$406,0)),0)))</f>
        <v/>
      </c>
      <c r="O20" s="918"/>
      <c r="P20" s="6"/>
      <c r="Q20" s="154" t="str">
        <f>EUconst_CNTR_HAL&amp;E20</f>
        <v>HAL_Delanläggning med värmeriktmärke, KL</v>
      </c>
      <c r="R20" s="2"/>
      <c r="S20" s="309" t="s">
        <v>1874</v>
      </c>
      <c r="T20" s="1126" t="b">
        <f t="shared" ref="T20:Z20" si="2">AND($M12=EUconst_Relevant,T19&lt;CNTR_ReportingYear,T19&gt;=$V12-1)</f>
        <v>0</v>
      </c>
      <c r="U20" s="1127" t="b">
        <f t="shared" si="2"/>
        <v>0</v>
      </c>
      <c r="V20" s="1127" t="b">
        <f t="shared" si="2"/>
        <v>0</v>
      </c>
      <c r="W20" s="1127" t="b">
        <f t="shared" si="2"/>
        <v>0</v>
      </c>
      <c r="X20" s="1127" t="b">
        <f t="shared" si="2"/>
        <v>0</v>
      </c>
      <c r="Y20" s="1127" t="b">
        <f t="shared" si="2"/>
        <v>0</v>
      </c>
      <c r="Z20" s="1128" t="b">
        <f t="shared" si="2"/>
        <v>0</v>
      </c>
      <c r="AA20" s="2"/>
      <c r="AB20" s="2"/>
      <c r="AC20" s="309"/>
      <c r="AD20" s="2"/>
      <c r="AE20" s="349"/>
      <c r="AF20" s="349"/>
      <c r="AG20" s="349"/>
      <c r="AH20" s="349"/>
      <c r="AI20" s="349"/>
      <c r="AJ20" s="349"/>
      <c r="AK20" s="553" t="s">
        <v>2242</v>
      </c>
      <c r="AL20" s="108" t="str">
        <f>IF(COUNTIFS(H19:N19,"&lt;"&amp;YEAR(SUM(T12)),H20:N20,"&gt;"&amp;0)&gt;0,EUconst_Error&amp;"FB"&amp;Q12,"")</f>
        <v/>
      </c>
      <c r="AM20" s="349"/>
    </row>
    <row r="21" spans="1:39" ht="5.15" customHeight="1" x14ac:dyDescent="0.25">
      <c r="A21" s="2"/>
      <c r="B21" s="178"/>
      <c r="C21" s="178"/>
      <c r="D21" s="15"/>
      <c r="E21" s="15"/>
      <c r="F21" s="15"/>
      <c r="G21" s="15"/>
      <c r="H21" s="15"/>
      <c r="I21" s="15"/>
      <c r="J21" s="15"/>
      <c r="K21" s="15"/>
      <c r="L21" s="15"/>
      <c r="M21" s="15"/>
      <c r="N21" s="15"/>
      <c r="O21" s="15"/>
      <c r="P21" s="6"/>
      <c r="Q21" s="343"/>
      <c r="R21" s="2"/>
      <c r="S21" s="343"/>
      <c r="T21" s="343"/>
      <c r="U21" s="2"/>
      <c r="V21" s="2"/>
      <c r="W21" s="2"/>
      <c r="X21" s="2"/>
      <c r="Y21" s="2"/>
      <c r="Z21" s="343"/>
      <c r="AA21" s="2"/>
      <c r="AB21" s="343"/>
      <c r="AC21" s="2"/>
      <c r="AD21" s="2"/>
      <c r="AE21" s="349"/>
      <c r="AF21" s="349"/>
      <c r="AG21" s="349"/>
      <c r="AH21" s="349"/>
      <c r="AI21" s="349"/>
      <c r="AJ21" s="349"/>
      <c r="AK21" s="349"/>
      <c r="AL21" s="349"/>
      <c r="AM21" s="349"/>
    </row>
    <row r="22" spans="1:39" ht="25.5" customHeight="1" x14ac:dyDescent="0.25">
      <c r="A22" s="2"/>
      <c r="B22" s="178"/>
      <c r="C22" s="178"/>
      <c r="D22" s="15"/>
      <c r="E22" s="2061" t="str">
        <f>Translations!$B$1487</f>
        <v>Baserat på värdena för historisk verksamhetsnivå (HAL) och värdena under punkt a) ovan bestäms de genomsnittliga verksamhetsnivåerna här. Tilldelningen kommer endast att ändras om alla följande tröskelvärden i artiklarna 5 och 6 i verksamhetsändringsförordningen överskrids:</v>
      </c>
      <c r="F22" s="1963"/>
      <c r="G22" s="1963"/>
      <c r="H22" s="1963"/>
      <c r="I22" s="1963"/>
      <c r="J22" s="1963"/>
      <c r="K22" s="1963"/>
      <c r="L22" s="1963"/>
      <c r="M22" s="1963"/>
      <c r="N22" s="1963"/>
      <c r="O22" s="15"/>
      <c r="P22" s="6"/>
      <c r="Q22" s="343"/>
      <c r="R22" s="2"/>
      <c r="S22" s="343"/>
      <c r="T22" s="343"/>
      <c r="U22" s="343"/>
      <c r="V22" s="2"/>
      <c r="W22" s="2"/>
      <c r="X22" s="2"/>
      <c r="Y22" s="2"/>
      <c r="Z22" s="2"/>
      <c r="AA22" s="2"/>
      <c r="AB22" s="2"/>
      <c r="AC22" s="2"/>
      <c r="AD22" s="2"/>
      <c r="AE22" s="2"/>
      <c r="AF22" s="2"/>
      <c r="AG22" s="2"/>
      <c r="AH22" s="2"/>
      <c r="AI22" s="2"/>
      <c r="AJ22" s="2"/>
      <c r="AK22" s="2"/>
      <c r="AL22" s="2"/>
      <c r="AM22" s="349"/>
    </row>
    <row r="23" spans="1:39" ht="12.75" customHeight="1" x14ac:dyDescent="0.25">
      <c r="A23" s="2"/>
      <c r="B23" s="178"/>
      <c r="C23" s="178"/>
      <c r="D23" s="15"/>
      <c r="E23" s="1102" t="s">
        <v>1112</v>
      </c>
      <c r="F23" s="2095" t="str">
        <f>Translations!$B$1470</f>
        <v>De relativa tröskelvärdena (15 % och 5 % för efterföljande ändringar) för de genomsnittliga verksamhetsnivåerna jämfört med HAL</v>
      </c>
      <c r="G23" s="2159"/>
      <c r="H23" s="2159"/>
      <c r="I23" s="2159"/>
      <c r="J23" s="2159"/>
      <c r="K23" s="2159"/>
      <c r="L23" s="2159"/>
      <c r="M23" s="2159"/>
      <c r="N23" s="2159"/>
      <c r="O23" s="15"/>
      <c r="P23" s="6"/>
      <c r="Q23" s="343"/>
      <c r="R23" s="2"/>
      <c r="S23" s="343"/>
      <c r="T23" s="343"/>
      <c r="U23" s="343"/>
      <c r="V23" s="2"/>
      <c r="W23" s="2"/>
      <c r="X23" s="2"/>
      <c r="Y23" s="2"/>
      <c r="Z23" s="2"/>
      <c r="AA23" s="2"/>
      <c r="AB23" s="2"/>
      <c r="AC23" s="2"/>
      <c r="AD23" s="2"/>
      <c r="AE23" s="2"/>
      <c r="AF23" s="2"/>
      <c r="AG23" s="2"/>
      <c r="AH23" s="2"/>
      <c r="AI23" s="2"/>
      <c r="AJ23" s="2"/>
      <c r="AK23" s="2"/>
      <c r="AL23" s="2"/>
      <c r="AM23" s="349"/>
    </row>
    <row r="24" spans="1:39" ht="12.75" customHeight="1" x14ac:dyDescent="0.25">
      <c r="A24" s="2"/>
      <c r="B24" s="178"/>
      <c r="C24" s="178"/>
      <c r="D24" s="15"/>
      <c r="E24" s="1102" t="s">
        <v>1112</v>
      </c>
      <c r="F24" s="2095" t="str">
        <f>Translations!$B$1471</f>
        <v>Det absoluta tröskelvärdet, dvs. en ändring skulle leda till en ändring av den preliminära tilldelningen på minst 100 utsläppsrätter</v>
      </c>
      <c r="G24" s="2159"/>
      <c r="H24" s="2159"/>
      <c r="I24" s="2159"/>
      <c r="J24" s="2159"/>
      <c r="K24" s="2159"/>
      <c r="L24" s="2159"/>
      <c r="M24" s="2159"/>
      <c r="N24" s="2159"/>
      <c r="O24" s="15"/>
      <c r="P24" s="6"/>
      <c r="Q24" s="343"/>
      <c r="R24" s="2"/>
      <c r="S24" s="343"/>
      <c r="T24" s="343"/>
      <c r="U24" s="343"/>
      <c r="V24" s="2"/>
      <c r="W24" s="2"/>
      <c r="X24" s="2"/>
      <c r="Y24" s="2"/>
      <c r="Z24" s="2"/>
      <c r="AA24" s="2"/>
      <c r="AB24" s="2"/>
      <c r="AC24" s="2"/>
      <c r="AD24" s="2"/>
      <c r="AE24" s="2"/>
      <c r="AF24" s="2"/>
      <c r="AG24" s="2"/>
      <c r="AH24" s="2"/>
      <c r="AI24" s="2"/>
      <c r="AJ24" s="2"/>
      <c r="AK24" s="2"/>
      <c r="AL24" s="2"/>
      <c r="AM24" s="349"/>
    </row>
    <row r="25" spans="1:39" ht="12.75" customHeight="1" thickBot="1" x14ac:dyDescent="0.3">
      <c r="A25" s="2"/>
      <c r="B25" s="178"/>
      <c r="C25" s="178"/>
      <c r="D25" s="15"/>
      <c r="E25" s="1102" t="s">
        <v>1112</v>
      </c>
      <c r="F25" s="2095" t="str">
        <f>Translations!$B$1488</f>
        <v>De ändrade verksamhetsnivåerna uppvägs inte av de ändringar av energieffektiviteten som fastställs i punkt b), b.1) och b.2) nedan.</v>
      </c>
      <c r="G25" s="2159"/>
      <c r="H25" s="2159"/>
      <c r="I25" s="2159"/>
      <c r="J25" s="2159"/>
      <c r="K25" s="2159"/>
      <c r="L25" s="2159"/>
      <c r="M25" s="2159"/>
      <c r="N25" s="2159"/>
      <c r="O25" s="15"/>
      <c r="P25" s="6"/>
      <c r="Q25" s="343"/>
      <c r="R25" s="2"/>
      <c r="S25" s="343"/>
      <c r="T25" s="343"/>
      <c r="U25" s="343"/>
      <c r="V25" s="2"/>
      <c r="W25" s="2"/>
      <c r="X25" s="2"/>
      <c r="Y25" s="2"/>
      <c r="Z25" s="2"/>
      <c r="AA25" s="2"/>
      <c r="AB25" s="2"/>
      <c r="AC25" s="2"/>
      <c r="AD25" s="2"/>
      <c r="AE25" s="2"/>
      <c r="AF25" s="2"/>
      <c r="AG25" s="2"/>
      <c r="AH25" s="2"/>
      <c r="AI25" s="2"/>
      <c r="AJ25" s="2"/>
      <c r="AK25" s="2"/>
      <c r="AL25" s="2"/>
      <c r="AM25" s="349"/>
    </row>
    <row r="26" spans="1:39" ht="5.15" customHeight="1" thickBot="1" x14ac:dyDescent="0.3">
      <c r="A26" s="2"/>
      <c r="B26" s="178"/>
      <c r="C26" s="178"/>
      <c r="D26" s="1238"/>
      <c r="E26" s="1278"/>
      <c r="F26" s="1239"/>
      <c r="G26" s="1279"/>
      <c r="H26" s="1279"/>
      <c r="I26" s="1279"/>
      <c r="J26" s="1279"/>
      <c r="K26" s="1279"/>
      <c r="L26" s="1279"/>
      <c r="M26" s="1279"/>
      <c r="N26" s="1280"/>
      <c r="O26" s="15"/>
      <c r="P26" s="6"/>
      <c r="Q26" s="343"/>
      <c r="R26" s="2"/>
      <c r="S26" s="343"/>
      <c r="T26" s="343"/>
      <c r="U26" s="343"/>
      <c r="V26" s="2"/>
      <c r="W26" s="2"/>
      <c r="X26" s="2"/>
      <c r="Y26" s="2"/>
      <c r="Z26" s="2"/>
      <c r="AA26" s="2"/>
      <c r="AB26" s="2"/>
      <c r="AC26" s="2"/>
      <c r="AD26" s="2"/>
      <c r="AE26" s="2"/>
      <c r="AF26" s="2"/>
      <c r="AG26" s="2"/>
      <c r="AH26" s="2"/>
      <c r="AI26" s="2"/>
      <c r="AJ26" s="2"/>
      <c r="AK26" s="2"/>
      <c r="AL26" s="2"/>
      <c r="AM26" s="349"/>
    </row>
    <row r="27" spans="1:39" ht="12.75" customHeight="1" x14ac:dyDescent="0.25">
      <c r="A27" s="2"/>
      <c r="B27" s="178"/>
      <c r="C27" s="178"/>
      <c r="D27" s="1242"/>
      <c r="E27" s="1243" t="str">
        <f>Translations!$B$1489</f>
        <v>Preliminär justering</v>
      </c>
      <c r="F27" s="1244"/>
      <c r="G27" s="1244"/>
      <c r="H27" s="1228" t="str">
        <f>EUconst_Unit</f>
        <v>Enhet</v>
      </c>
      <c r="I27" s="1229" t="str">
        <f>Translations!$B$1472</f>
        <v>HAL</v>
      </c>
      <c r="J27" s="1268">
        <f>J$950</f>
        <v>2021</v>
      </c>
      <c r="K27" s="1230">
        <f>K$950</f>
        <v>2022</v>
      </c>
      <c r="L27" s="1230">
        <f>L$950</f>
        <v>2023</v>
      </c>
      <c r="M27" s="1230">
        <f>M$950</f>
        <v>2024</v>
      </c>
      <c r="N27" s="1258">
        <f>N$950</f>
        <v>2025</v>
      </c>
      <c r="O27" s="15"/>
      <c r="P27" s="6"/>
      <c r="Q27" s="343"/>
      <c r="R27" s="2"/>
      <c r="S27" s="343"/>
      <c r="T27" s="343"/>
      <c r="U27" s="772"/>
      <c r="V27" s="1077">
        <f>J27</f>
        <v>2021</v>
      </c>
      <c r="W27" s="1077">
        <f>K27</f>
        <v>2022</v>
      </c>
      <c r="X27" s="1077">
        <f>L27</f>
        <v>2023</v>
      </c>
      <c r="Y27" s="1077">
        <f>M27</f>
        <v>2024</v>
      </c>
      <c r="Z27" s="1078">
        <f>N27</f>
        <v>2025</v>
      </c>
      <c r="AA27" s="2"/>
      <c r="AB27" s="343"/>
      <c r="AC27" s="2"/>
      <c r="AD27" s="2"/>
      <c r="AE27" s="349"/>
      <c r="AF27" s="349"/>
      <c r="AG27" s="349"/>
      <c r="AH27" s="349"/>
      <c r="AI27" s="349"/>
      <c r="AJ27" s="349"/>
      <c r="AK27" s="349"/>
      <c r="AL27" s="349"/>
      <c r="AM27" s="349"/>
    </row>
    <row r="28" spans="1:39" ht="12.75" customHeight="1" x14ac:dyDescent="0.25">
      <c r="A28" s="2"/>
      <c r="B28" s="178"/>
      <c r="C28" s="178"/>
      <c r="D28" s="1246" t="s">
        <v>9</v>
      </c>
      <c r="E28" s="1231" t="str">
        <f>Translations!$B$1473</f>
        <v>Genomsnittlig årlig verksamhetsnivå</v>
      </c>
      <c r="F28" s="1231"/>
      <c r="G28" s="1231"/>
      <c r="H28" s="1232" t="str">
        <f>G20</f>
        <v>TJ</v>
      </c>
      <c r="I28" s="1021" t="str">
        <f>IF(V12&gt;($J$950-3),EUconst_NA,INDEX('B+C_SubInstallations'!$I:$I,MATCH(Q28,'B+C_SubInstallations'!$T:$T,0)))</f>
        <v/>
      </c>
      <c r="J28" s="1022" t="str">
        <f>IF(AND(V28&gt;=3,CNTR_ReportingYear&gt;J27-1),AVERAGE(SUM(H20),SUM(I20)),"")</f>
        <v/>
      </c>
      <c r="K28" s="1023" t="str">
        <f>IF(AND(W28&gt;=3,CNTR_ReportingYear&gt;K27-1),AVERAGE(SUM(I20),SUM(J20)),"")</f>
        <v/>
      </c>
      <c r="L28" s="1023" t="str">
        <f>IF(AND(X28&gt;=3,CNTR_ReportingYear&gt;L27-1),AVERAGE(SUM(J20),SUM(K20)),"")</f>
        <v/>
      </c>
      <c r="M28" s="1023" t="str">
        <f>IF(AND(Y28&gt;=3,CNTR_ReportingYear&gt;M27-1),AVERAGE(SUM(K20),SUM(L20)),"")</f>
        <v/>
      </c>
      <c r="N28" s="1226" t="str">
        <f>IF(AND(Z28&gt;=3,CNTR_ReportingYear&gt;N27-1),AVERAGE(SUM(L20),SUM(M20)),"")</f>
        <v/>
      </c>
      <c r="O28" s="15"/>
      <c r="P28" s="6"/>
      <c r="Q28" s="1217" t="str">
        <f>EUconst_CNTR_HALinitial&amp;I12</f>
        <v>HALini_Delanläggning med värmeriktmärke, KL</v>
      </c>
      <c r="R28" s="2"/>
      <c r="S28" s="343"/>
      <c r="T28" s="343"/>
      <c r="U28" s="1079" t="s">
        <v>1850</v>
      </c>
      <c r="V28" s="9">
        <f>IF($M12&lt;&gt;EUconst_Relevant,0,V27-$V12+1)</f>
        <v>0</v>
      </c>
      <c r="W28" s="9">
        <f>IF($M12&lt;&gt;EUconst_Relevant,0,W27-$V12+1)</f>
        <v>0</v>
      </c>
      <c r="X28" s="9">
        <f>IF($M12&lt;&gt;EUconst_Relevant,0,X27-$V12+1)</f>
        <v>0</v>
      </c>
      <c r="Y28" s="9">
        <f>IF($M12&lt;&gt;EUconst_Relevant,0,Y27-$V12+1)</f>
        <v>0</v>
      </c>
      <c r="Z28" s="1089">
        <f>IF($M12&lt;&gt;EUconst_Relevant,0,Z27-$V12+1)</f>
        <v>0</v>
      </c>
      <c r="AA28" s="2"/>
      <c r="AB28" s="343"/>
      <c r="AC28" s="2"/>
      <c r="AD28" s="2"/>
      <c r="AE28" s="349"/>
      <c r="AF28" s="349"/>
      <c r="AG28" s="349"/>
      <c r="AH28" s="349"/>
      <c r="AI28" s="349"/>
      <c r="AJ28" s="349"/>
      <c r="AK28" s="349"/>
      <c r="AL28" s="349"/>
      <c r="AM28" s="349"/>
    </row>
    <row r="29" spans="1:39" ht="12.75" hidden="1" customHeight="1" x14ac:dyDescent="0.25">
      <c r="A29" s="343" t="s">
        <v>346</v>
      </c>
      <c r="B29" s="178"/>
      <c r="C29" s="178"/>
      <c r="D29" s="1246"/>
      <c r="E29" s="1231" t="s">
        <v>1848</v>
      </c>
      <c r="F29" s="1231"/>
      <c r="G29" s="1231"/>
      <c r="H29" s="1233"/>
      <c r="I29" s="1235"/>
      <c r="J29" s="1013" t="str">
        <f>IF(J28="","",IF($I31=0,IF(J28=0,0%,100%),J28/$I31-1))</f>
        <v/>
      </c>
      <c r="K29" s="938" t="str">
        <f>IF(K28="","",IF($I31=0,IF(K28=0,0%,100%),K28/$I31-1))</f>
        <v/>
      </c>
      <c r="L29" s="938" t="str">
        <f>IF(L28="","",IF($I31=0,IF(L28=0,0%,100%),L28/$I31-1))</f>
        <v/>
      </c>
      <c r="M29" s="938" t="str">
        <f>IF(M28="","",IF($I31=0,IF(M28=0,0%,100%),M28/$I31-1))</f>
        <v/>
      </c>
      <c r="N29" s="1223" t="str">
        <f>IF(N28="","",IF($I31=0,IF(N28=0,0%,100%),N28/$I31-1))</f>
        <v/>
      </c>
      <c r="O29" s="15"/>
      <c r="P29" s="6"/>
      <c r="Q29" s="165" t="str">
        <f>EUconst_CNTR_RelThreshold &amp;I12</f>
        <v>RelThresh_Delanläggning med värmeriktmärke, KL</v>
      </c>
      <c r="R29" s="2"/>
      <c r="S29" s="343"/>
      <c r="T29" s="343"/>
      <c r="U29" s="1079" t="s">
        <v>1855</v>
      </c>
      <c r="V29" s="603" t="str">
        <f>IF(J28="","",ABS(J29)&gt;15%)</f>
        <v/>
      </c>
      <c r="W29" s="603" t="str">
        <f>IF(K28="","",ABS(K29)&gt;15%)</f>
        <v/>
      </c>
      <c r="X29" s="603" t="str">
        <f>IF(L28="","",ABS(L29)&gt;15%)</f>
        <v/>
      </c>
      <c r="Y29" s="603" t="str">
        <f>IF(M28="","",ABS(M29)&gt;15%)</f>
        <v/>
      </c>
      <c r="Z29" s="1756" t="str">
        <f>IF(N28="","",ABS(N29)&gt;15%)</f>
        <v/>
      </c>
      <c r="AA29" s="2"/>
      <c r="AB29" s="343"/>
      <c r="AC29" s="2"/>
      <c r="AD29" s="2"/>
      <c r="AE29" s="349"/>
      <c r="AF29" s="349"/>
      <c r="AG29" s="349"/>
      <c r="AH29" s="349"/>
      <c r="AI29" s="349"/>
      <c r="AJ29" s="349"/>
      <c r="AK29" s="349"/>
      <c r="AL29" s="349"/>
      <c r="AM29" s="349"/>
    </row>
    <row r="30" spans="1:39" ht="12.75" customHeight="1" x14ac:dyDescent="0.25">
      <c r="A30" s="343"/>
      <c r="B30" s="178"/>
      <c r="C30" s="178"/>
      <c r="D30" s="1246" t="s">
        <v>10</v>
      </c>
      <c r="E30" s="1231" t="str">
        <f>Translations!$B$1474</f>
        <v>Preliminär justering (om relativa tröskelvärden överskrids)</v>
      </c>
      <c r="F30" s="1231"/>
      <c r="G30" s="1231"/>
      <c r="H30" s="1233"/>
      <c r="I30" s="1235"/>
      <c r="J30" s="992" t="str">
        <f>IF(J28="","",IF(V29=FALSE,0%,IF(V30,J29,I128)))</f>
        <v/>
      </c>
      <c r="K30" s="937" t="str">
        <f>IF(K28="","",IF(W29=FALSE,0%,IF(W30,K29,J128)))</f>
        <v/>
      </c>
      <c r="L30" s="937" t="str">
        <f>IF(L28="","",IF(X29=FALSE,0%,IF(X30,L29,K128)))</f>
        <v/>
      </c>
      <c r="M30" s="937" t="str">
        <f>IF(M28="","",IF(Y29=FALSE,0%,IF(Y30,M29,L128)))</f>
        <v/>
      </c>
      <c r="N30" s="1220" t="str">
        <f>IF(N28="","",IF(Z29=FALSE,0%,IF(Z30,N29,M128)))</f>
        <v/>
      </c>
      <c r="O30" s="15"/>
      <c r="P30" s="6"/>
      <c r="Q30" s="343"/>
      <c r="R30" s="2"/>
      <c r="S30" s="343"/>
      <c r="T30" s="343"/>
      <c r="U30" s="1079" t="s">
        <v>1856</v>
      </c>
      <c r="V30" s="603" t="str">
        <f>IF(J28="","",AND(V29,IF(SUM(I128)&lt;0,OR(SUM(J29)&lt;SUM(I128)-MOD(SUM(I128),5%),J29&gt;=SUM(I128)+5%-MOD(SUM(I128),5%)),OR(SUM(J29)&lt;=SUM(I128)-MOD(SUM(I128),5%),SUM(J29)&gt;SUM(I128)+5%-MOD(SUM(I128),5%)))))</f>
        <v/>
      </c>
      <c r="W30" s="603" t="str">
        <f>IF(K28="","",AND(W29,IF(SUM(J128)&lt;0,OR(SUM(K29)&lt;SUM(J128)-MOD(SUM(J128),5%),K29&gt;=SUM(J128)+5%-MOD(SUM(J128),5%)),OR(SUM(K29)&lt;=SUM(J128)-MOD(SUM(J128),5%),SUM(K29)&gt;SUM(J128)+5%-MOD(SUM(J128),5%)))))</f>
        <v/>
      </c>
      <c r="X30" s="603" t="str">
        <f>IF(L28="","",AND(X29,IF(SUM(K128)&lt;0,OR(SUM(L29)&lt;SUM(K128)-MOD(SUM(K128),5%),L29&gt;=SUM(K128)+5%-MOD(SUM(K128),5%)),OR(SUM(L29)&lt;=SUM(K128)-MOD(SUM(K128),5%),SUM(L29)&gt;SUM(K128)+5%-MOD(SUM(K128),5%)))))</f>
        <v/>
      </c>
      <c r="Y30" s="603" t="str">
        <f>IF(M28="","",AND(Y29,IF(SUM(L128)&lt;0,OR(SUM(M29)&lt;SUM(L128)-MOD(SUM(L128),5%),M29&gt;=SUM(L128)+5%-MOD(SUM(L128),5%)),OR(SUM(M29)&lt;=SUM(L128)-MOD(SUM(L128),5%),SUM(M29)&gt;SUM(L128)+5%-MOD(SUM(L128),5%)))))</f>
        <v/>
      </c>
      <c r="Z30" s="1756" t="str">
        <f>IF(N28="","",AND(Z29,IF(SUM(M128)&lt;0,OR(SUM(N29)&lt;SUM(M128)-MOD(SUM(M128),5%),N29&gt;=SUM(M128)+5%-MOD(SUM(M128),5%)),OR(SUM(N29)&lt;=SUM(M128)-MOD(SUM(M128),5%),SUM(N29)&gt;SUM(M128)+5%-MOD(SUM(M128),5%)))))</f>
        <v/>
      </c>
      <c r="AA30" s="2"/>
      <c r="AB30" s="343"/>
      <c r="AC30" s="2"/>
      <c r="AD30" s="2"/>
      <c r="AE30" s="349"/>
      <c r="AF30" s="349"/>
      <c r="AG30" s="349"/>
      <c r="AH30" s="349"/>
      <c r="AI30" s="349"/>
      <c r="AJ30" s="349"/>
      <c r="AK30" s="349"/>
      <c r="AL30" s="349"/>
      <c r="AM30" s="349"/>
    </row>
    <row r="31" spans="1:39" ht="12.75" customHeight="1" thickBot="1" x14ac:dyDescent="0.3">
      <c r="A31" s="343"/>
      <c r="B31" s="178"/>
      <c r="C31" s="178"/>
      <c r="D31" s="1246" t="s">
        <v>23</v>
      </c>
      <c r="E31" s="1231" t="str">
        <f>Translations!$B$1490</f>
        <v>Preliminär verksamhetsnivå</v>
      </c>
      <c r="F31" s="1231"/>
      <c r="G31" s="1231"/>
      <c r="H31" s="1232" t="str">
        <f>H28</f>
        <v>TJ</v>
      </c>
      <c r="I31" s="1021" t="str">
        <f>IF(M12&lt;&gt;EUconst_Relevant,"",IF(AB12=FALSE,EUconst_NA,IF(V12&gt;($J$950-3),INDEX(H20:N20,MATCH($V12,H19:N19,0)),I28)))</f>
        <v/>
      </c>
      <c r="J31" s="1022" t="str">
        <f>IF($M12&lt;&gt;EUconst_Relevant,"",IF(V28&lt;2,SUM(J20),IF(V28&lt;3,SUM(I20),IF(V31="",I31,V31))))</f>
        <v/>
      </c>
      <c r="K31" s="1023" t="str">
        <f>IF($M12&lt;&gt;EUconst_Relevant,"",IF(W28&lt;2,SUM(K20),IF(W28&lt;3,SUM(J20),IF(W31="",J31,W31))))</f>
        <v/>
      </c>
      <c r="L31" s="1023" t="str">
        <f>IF($M12&lt;&gt;EUconst_Relevant,"",IF(X28&lt;2,SUM(L20),IF(X28&lt;3,SUM(K20),IF(X31="",K31,X31))))</f>
        <v/>
      </c>
      <c r="M31" s="1023" t="str">
        <f>IF($M12&lt;&gt;EUconst_Relevant,"",IF(Y28&lt;2,SUM(M20),IF(Y28&lt;3,SUM(L20),IF(Y31="",L31,Y31))))</f>
        <v/>
      </c>
      <c r="N31" s="1226" t="str">
        <f>IF($M12&lt;&gt;EUconst_Relevant,"",IF(Z28&lt;2,SUM(N20),IF(Z28&lt;3,SUM(M20),IF(Z31="",M31,Z31))))</f>
        <v/>
      </c>
      <c r="O31" s="918"/>
      <c r="P31" s="6"/>
      <c r="Q31" s="165" t="str">
        <f>EUconst_CNTR_HALprelim&amp;I12</f>
        <v>HALprelim_Delanläggning med värmeriktmärke, KL</v>
      </c>
      <c r="R31" s="2"/>
      <c r="S31" s="343"/>
      <c r="T31" s="343"/>
      <c r="U31" s="1082" t="s">
        <v>1851</v>
      </c>
      <c r="V31" s="1091" t="str">
        <f>IF(J28="","",IF(CNTR_ReportingYear&lt;J27,I30,IF($I31=0,J28,$I31*(1+J30))))</f>
        <v/>
      </c>
      <c r="W31" s="1091" t="str">
        <f>IF(K28="","",IF(CNTR_ReportingYear&lt;K27,J30,IF($I31=0,K28,$I31*(1+K30))))</f>
        <v/>
      </c>
      <c r="X31" s="1091" t="str">
        <f>IF(L28="","",IF(CNTR_ReportingYear&lt;L27,K30,IF($I31=0,L28,$I31*(1+L30))))</f>
        <v/>
      </c>
      <c r="Y31" s="1091" t="str">
        <f>IF(M28="","",IF(CNTR_ReportingYear&lt;M27,L30,IF($I31=0,M28,$I31*(1+M30))))</f>
        <v/>
      </c>
      <c r="Z31" s="1092" t="str">
        <f>IF(N28="","",IF(CNTR_ReportingYear&lt;N27,M30,IF($I31=0,N28,$I31*(1+N30))))</f>
        <v/>
      </c>
      <c r="AA31" s="2"/>
      <c r="AB31" s="2"/>
      <c r="AC31" s="2"/>
      <c r="AD31" s="2"/>
      <c r="AE31" s="349"/>
      <c r="AF31" s="349"/>
      <c r="AG31" s="349"/>
      <c r="AH31" s="349"/>
      <c r="AI31" s="349"/>
      <c r="AJ31" s="349"/>
      <c r="AK31" s="349"/>
      <c r="AL31" s="349"/>
      <c r="AM31" s="349"/>
    </row>
    <row r="32" spans="1:39" ht="5.15" customHeight="1" thickBot="1" x14ac:dyDescent="0.3">
      <c r="A32" s="343"/>
      <c r="B32" s="19"/>
      <c r="C32" s="3"/>
      <c r="D32" s="1249"/>
      <c r="E32" s="1250"/>
      <c r="F32" s="1250"/>
      <c r="G32" s="1250"/>
      <c r="H32" s="1250"/>
      <c r="I32" s="1250"/>
      <c r="J32" s="1250"/>
      <c r="K32" s="1250"/>
      <c r="L32" s="1250"/>
      <c r="M32" s="1250"/>
      <c r="N32" s="1289"/>
      <c r="O32" s="6"/>
      <c r="P32" s="6"/>
      <c r="Q32" s="2"/>
      <c r="R32" s="2"/>
      <c r="S32" s="343"/>
      <c r="T32" s="343"/>
      <c r="U32" s="2"/>
      <c r="V32" s="2"/>
      <c r="W32" s="2"/>
      <c r="X32" s="2"/>
      <c r="Y32" s="2"/>
      <c r="Z32" s="343"/>
      <c r="AA32" s="343"/>
      <c r="AB32" s="343"/>
      <c r="AC32" s="2"/>
      <c r="AD32" s="2"/>
      <c r="AE32" s="349"/>
      <c r="AF32" s="349"/>
      <c r="AG32" s="349"/>
      <c r="AH32" s="349"/>
      <c r="AI32" s="349"/>
      <c r="AJ32" s="349"/>
      <c r="AK32" s="349"/>
      <c r="AL32" s="349"/>
      <c r="AM32" s="349"/>
    </row>
    <row r="33" spans="1:39" ht="5.15" customHeight="1" x14ac:dyDescent="0.25">
      <c r="A33" s="343"/>
      <c r="B33" s="19"/>
      <c r="C33" s="3"/>
      <c r="D33" s="3"/>
      <c r="E33" s="3"/>
      <c r="F33" s="3"/>
      <c r="G33" s="3"/>
      <c r="H33" s="3"/>
      <c r="I33" s="3"/>
      <c r="J33" s="3"/>
      <c r="K33" s="3"/>
      <c r="L33" s="3"/>
      <c r="M33" s="3"/>
      <c r="N33" s="3"/>
      <c r="O33" s="6"/>
      <c r="P33" s="6"/>
      <c r="Q33" s="2"/>
      <c r="R33" s="2"/>
      <c r="S33" s="343"/>
      <c r="T33" s="343"/>
      <c r="U33" s="2"/>
      <c r="V33" s="2"/>
      <c r="W33" s="2"/>
      <c r="X33" s="2"/>
      <c r="Y33" s="2"/>
      <c r="Z33" s="343"/>
      <c r="AA33" s="343"/>
      <c r="AB33" s="343"/>
      <c r="AC33" s="2"/>
      <c r="AD33" s="2"/>
      <c r="AE33" s="349"/>
      <c r="AF33" s="349"/>
      <c r="AG33" s="349"/>
      <c r="AH33" s="349"/>
      <c r="AI33" s="349"/>
      <c r="AJ33" s="349"/>
      <c r="AK33" s="349"/>
      <c r="AL33" s="349"/>
      <c r="AM33" s="349"/>
    </row>
    <row r="34" spans="1:39" ht="14" x14ac:dyDescent="0.3">
      <c r="A34" s="343"/>
      <c r="B34" s="19"/>
      <c r="C34" s="18"/>
      <c r="D34" s="2053" t="str">
        <f>Translations!$B$541</f>
        <v>Produktionsuppgifter</v>
      </c>
      <c r="E34" s="1963"/>
      <c r="F34" s="1963"/>
      <c r="G34" s="1963"/>
      <c r="H34" s="1963"/>
      <c r="I34" s="1963"/>
      <c r="J34" s="1963"/>
      <c r="K34" s="1963"/>
      <c r="L34" s="1963"/>
      <c r="M34" s="1963"/>
      <c r="N34" s="1963"/>
      <c r="O34" s="6"/>
      <c r="P34" s="6"/>
      <c r="Q34" s="2"/>
      <c r="R34" s="2"/>
      <c r="S34" s="2"/>
      <c r="T34" s="2"/>
      <c r="U34" s="2"/>
      <c r="V34" s="2"/>
      <c r="W34" s="2"/>
      <c r="X34" s="2"/>
      <c r="Y34" s="2"/>
      <c r="Z34" s="343"/>
      <c r="AA34" s="343"/>
      <c r="AB34" s="343"/>
      <c r="AC34" s="2"/>
      <c r="AD34" s="2"/>
      <c r="AE34" s="349"/>
      <c r="AF34" s="349"/>
      <c r="AG34" s="349"/>
      <c r="AH34" s="349"/>
      <c r="AI34" s="349"/>
      <c r="AJ34" s="349"/>
      <c r="AK34" s="349"/>
      <c r="AL34" s="349"/>
      <c r="AM34" s="349"/>
    </row>
    <row r="35" spans="1:39" ht="5.15" customHeight="1" x14ac:dyDescent="0.25">
      <c r="A35" s="343"/>
      <c r="B35" s="3"/>
      <c r="C35" s="3"/>
      <c r="D35" s="3"/>
      <c r="E35" s="3"/>
      <c r="F35" s="3"/>
      <c r="G35" s="3"/>
      <c r="H35" s="3"/>
      <c r="I35" s="3"/>
      <c r="J35" s="3"/>
      <c r="K35" s="3"/>
      <c r="L35" s="3"/>
      <c r="M35" s="3"/>
      <c r="N35" s="3"/>
      <c r="O35" s="6"/>
      <c r="P35" s="6"/>
      <c r="Q35" s="7"/>
      <c r="R35" s="7"/>
      <c r="S35" s="2"/>
      <c r="T35" s="2"/>
      <c r="U35" s="2"/>
      <c r="V35" s="2"/>
      <c r="W35" s="2"/>
      <c r="X35" s="2"/>
      <c r="Y35" s="2"/>
      <c r="Z35" s="343"/>
      <c r="AA35" s="343"/>
      <c r="AB35" s="343"/>
      <c r="AC35" s="2"/>
      <c r="AD35" s="2"/>
      <c r="AE35" s="349"/>
      <c r="AF35" s="349"/>
      <c r="AG35" s="349"/>
      <c r="AH35" s="349"/>
      <c r="AI35" s="349"/>
      <c r="AJ35" s="349"/>
      <c r="AK35" s="349"/>
      <c r="AL35" s="349"/>
      <c r="AM35" s="349"/>
    </row>
    <row r="36" spans="1:39" ht="12.75" customHeight="1" x14ac:dyDescent="0.25">
      <c r="A36" s="2"/>
      <c r="B36" s="3"/>
      <c r="C36" s="13"/>
      <c r="D36" s="13" t="s">
        <v>955</v>
      </c>
      <c r="E36" s="1943" t="str">
        <f>Translations!$B$666</f>
        <v>Identifiering av relevanta produkter eller tjänster med koppling till delanläggningen</v>
      </c>
      <c r="F36" s="1963"/>
      <c r="G36" s="1963"/>
      <c r="H36" s="1963"/>
      <c r="I36" s="1963"/>
      <c r="J36" s="1963"/>
      <c r="K36" s="1963"/>
      <c r="L36" s="1963"/>
      <c r="M36" s="1963"/>
      <c r="N36" s="1963"/>
      <c r="O36" s="6"/>
      <c r="P36" s="6"/>
      <c r="Q36" s="7"/>
      <c r="R36" s="2"/>
      <c r="S36" s="2"/>
      <c r="T36" s="2"/>
      <c r="U36" s="2"/>
      <c r="V36" s="2"/>
      <c r="W36" s="2"/>
      <c r="X36" s="2"/>
      <c r="Y36" s="2"/>
      <c r="Z36" s="2"/>
      <c r="AA36" s="2"/>
      <c r="AB36" s="343"/>
      <c r="AC36" s="2"/>
      <c r="AD36" s="2"/>
      <c r="AE36" s="349"/>
      <c r="AF36" s="349"/>
      <c r="AG36" s="349"/>
      <c r="AH36" s="349"/>
      <c r="AI36" s="349"/>
      <c r="AJ36" s="349"/>
      <c r="AK36" s="349"/>
      <c r="AL36" s="349"/>
      <c r="AM36" s="349"/>
    </row>
    <row r="37" spans="1:39" ht="12.75" customHeight="1" x14ac:dyDescent="0.25">
      <c r="A37" s="343"/>
      <c r="B37" s="3"/>
      <c r="C37" s="15"/>
      <c r="D37" s="15"/>
      <c r="E37" s="2061" t="str">
        <f>Translations!$B$667</f>
        <v>Var god ange vilka produktionsprocesser eller tjänster som är kopplade till delanläggningen. Detta kan innefatta följande:</v>
      </c>
      <c r="F37" s="1963"/>
      <c r="G37" s="1963"/>
      <c r="H37" s="1963"/>
      <c r="I37" s="1963"/>
      <c r="J37" s="1963"/>
      <c r="K37" s="1963"/>
      <c r="L37" s="1963"/>
      <c r="M37" s="1963"/>
      <c r="N37" s="1963"/>
      <c r="O37" s="6"/>
      <c r="P37" s="6"/>
      <c r="Q37" s="7"/>
      <c r="R37" s="7"/>
      <c r="S37" s="7"/>
      <c r="T37" s="7"/>
      <c r="U37" s="7"/>
      <c r="V37" s="7"/>
      <c r="W37" s="7"/>
      <c r="X37" s="7"/>
      <c r="Y37" s="7"/>
      <c r="Z37" s="7"/>
      <c r="AA37" s="7"/>
      <c r="AB37" s="343"/>
      <c r="AC37" s="2"/>
      <c r="AD37" s="2"/>
      <c r="AE37" s="349"/>
      <c r="AF37" s="349"/>
      <c r="AG37" s="349"/>
      <c r="AH37" s="349"/>
      <c r="AI37" s="349"/>
      <c r="AJ37" s="349"/>
      <c r="AK37" s="349"/>
      <c r="AL37" s="349"/>
      <c r="AM37" s="349"/>
    </row>
    <row r="38" spans="1:39" ht="12.75" customHeight="1" x14ac:dyDescent="0.25">
      <c r="A38" s="2"/>
      <c r="B38" s="3"/>
      <c r="C38" s="15"/>
      <c r="D38" s="15"/>
      <c r="E38" s="92" t="s">
        <v>1006</v>
      </c>
      <c r="F38" s="2061" t="str">
        <f>Translations!$B$668</f>
        <v>Produktion av varor som inte omfattas av produktriktmärken inom delanläggningen (var god ange produkttyper).</v>
      </c>
      <c r="G38" s="1963"/>
      <c r="H38" s="1963"/>
      <c r="I38" s="1963"/>
      <c r="J38" s="1963"/>
      <c r="K38" s="1963"/>
      <c r="L38" s="1963"/>
      <c r="M38" s="1963"/>
      <c r="N38" s="1963"/>
      <c r="O38" s="6"/>
      <c r="P38" s="6"/>
      <c r="Q38" s="7"/>
      <c r="R38" s="7"/>
      <c r="S38" s="7"/>
      <c r="T38" s="7"/>
      <c r="U38" s="7"/>
      <c r="V38" s="7"/>
      <c r="W38" s="7"/>
      <c r="X38" s="7"/>
      <c r="Y38" s="7"/>
      <c r="Z38" s="7"/>
      <c r="AA38" s="7"/>
      <c r="AB38" s="343"/>
      <c r="AC38" s="2"/>
      <c r="AD38" s="2"/>
      <c r="AE38" s="349"/>
      <c r="AF38" s="349"/>
      <c r="AG38" s="349"/>
      <c r="AH38" s="349"/>
      <c r="AI38" s="349"/>
      <c r="AJ38" s="349"/>
      <c r="AK38" s="349"/>
      <c r="AL38" s="349"/>
      <c r="AM38" s="349"/>
    </row>
    <row r="39" spans="1:39" ht="12.75" customHeight="1" x14ac:dyDescent="0.25">
      <c r="A39" s="2"/>
      <c r="B39" s="3"/>
      <c r="C39" s="15"/>
      <c r="D39" s="15"/>
      <c r="E39" s="92" t="s">
        <v>1006</v>
      </c>
      <c r="F39" s="2061" t="str">
        <f>Translations!$B$669</f>
        <v>Produktion av mekanisk energi, värmning eller kylning (alla användningssätt förutom elproduktion).</v>
      </c>
      <c r="G39" s="1963"/>
      <c r="H39" s="1963"/>
      <c r="I39" s="1963"/>
      <c r="J39" s="1963"/>
      <c r="K39" s="1963"/>
      <c r="L39" s="1963"/>
      <c r="M39" s="1963"/>
      <c r="N39" s="1963"/>
      <c r="O39" s="6"/>
      <c r="P39" s="6"/>
      <c r="Q39" s="7"/>
      <c r="R39" s="7"/>
      <c r="S39" s="7"/>
      <c r="T39" s="7"/>
      <c r="U39" s="7"/>
      <c r="V39" s="7"/>
      <c r="W39" s="7"/>
      <c r="X39" s="7"/>
      <c r="Y39" s="7"/>
      <c r="Z39" s="2"/>
      <c r="AA39" s="2"/>
      <c r="AB39" s="343"/>
      <c r="AC39" s="2"/>
      <c r="AD39" s="2"/>
      <c r="AE39" s="349"/>
      <c r="AF39" s="349"/>
      <c r="AG39" s="349"/>
      <c r="AH39" s="349"/>
      <c r="AI39" s="349"/>
      <c r="AJ39" s="349"/>
      <c r="AK39" s="349"/>
      <c r="AL39" s="349"/>
      <c r="AM39" s="349"/>
    </row>
    <row r="40" spans="1:39" ht="12.75" customHeight="1" x14ac:dyDescent="0.25">
      <c r="A40" s="2"/>
      <c r="B40" s="3"/>
      <c r="C40" s="15"/>
      <c r="D40" s="15"/>
      <c r="E40" s="92" t="s">
        <v>1006</v>
      </c>
      <c r="F40" s="2061" t="str">
        <f>Translations!$B$670</f>
        <v>Export av värme till anläggningar eller andra enheter (utom för fjärrvärme). I detta fall, var god ange värmeanvändningen vid anläggningen eller enheten, om denna är känd.</v>
      </c>
      <c r="G40" s="1963"/>
      <c r="H40" s="1963"/>
      <c r="I40" s="1963"/>
      <c r="J40" s="1963"/>
      <c r="K40" s="1963"/>
      <c r="L40" s="1963"/>
      <c r="M40" s="1963"/>
      <c r="N40" s="1963"/>
      <c r="O40" s="6"/>
      <c r="P40" s="6"/>
      <c r="Q40" s="7"/>
      <c r="R40" s="7"/>
      <c r="S40" s="7"/>
      <c r="T40" s="7"/>
      <c r="U40" s="7"/>
      <c r="V40" s="7"/>
      <c r="W40" s="7"/>
      <c r="X40" s="7"/>
      <c r="Y40" s="7"/>
      <c r="Z40" s="2"/>
      <c r="AA40" s="2"/>
      <c r="AB40" s="343"/>
      <c r="AC40" s="2"/>
      <c r="AD40" s="2"/>
      <c r="AE40" s="349"/>
      <c r="AF40" s="349"/>
      <c r="AG40" s="349"/>
      <c r="AH40" s="349"/>
      <c r="AI40" s="349"/>
      <c r="AJ40" s="349"/>
      <c r="AK40" s="349"/>
      <c r="AL40" s="349"/>
      <c r="AM40" s="349"/>
    </row>
    <row r="41" spans="1:39" ht="25.5" customHeight="1" x14ac:dyDescent="0.25">
      <c r="A41" s="2"/>
      <c r="B41" s="3"/>
      <c r="C41" s="15"/>
      <c r="D41" s="15"/>
      <c r="E41" s="2061" t="str">
        <f>Translations!$B$543</f>
        <v>Prodcom-koder ska anges i formatet ”nnnnnnnn”, dvs. utan punkter eller andra avgränsare. Endast om Prodcom-koder inte finns ska en Nace-kod på fyra siffror anges i formatet ”nnnn”.</v>
      </c>
      <c r="F41" s="1963"/>
      <c r="G41" s="1963"/>
      <c r="H41" s="1963"/>
      <c r="I41" s="1963"/>
      <c r="J41" s="1963"/>
      <c r="K41" s="1963"/>
      <c r="L41" s="1963"/>
      <c r="M41" s="1963"/>
      <c r="N41" s="1963"/>
      <c r="O41" s="6"/>
      <c r="P41" s="6"/>
      <c r="Q41" s="7"/>
      <c r="R41" s="2"/>
      <c r="S41" s="2"/>
      <c r="T41" s="2"/>
      <c r="U41" s="2"/>
      <c r="V41" s="2"/>
      <c r="W41" s="2"/>
      <c r="X41" s="2"/>
      <c r="Y41" s="2"/>
      <c r="Z41" s="2"/>
      <c r="AA41" s="2"/>
      <c r="AB41" s="343"/>
      <c r="AC41" s="2"/>
      <c r="AD41" s="2"/>
      <c r="AE41" s="349"/>
      <c r="AF41" s="349"/>
      <c r="AG41" s="349"/>
      <c r="AH41" s="349"/>
      <c r="AI41" s="349"/>
      <c r="AJ41" s="349"/>
      <c r="AK41" s="349"/>
      <c r="AL41" s="349"/>
      <c r="AM41" s="349"/>
    </row>
    <row r="42" spans="1:39" ht="12.75" customHeight="1" x14ac:dyDescent="0.25">
      <c r="A42" s="2"/>
      <c r="B42" s="3"/>
      <c r="C42" s="15"/>
      <c r="D42" s="15"/>
      <c r="E42" s="2061" t="str">
        <f>Translations!$B$544</f>
        <v>En förteckning över 2010 års Prodcom-koder finns här:</v>
      </c>
      <c r="F42" s="1963"/>
      <c r="G42" s="1963"/>
      <c r="H42" s="1963"/>
      <c r="I42" s="1963"/>
      <c r="J42" s="1963"/>
      <c r="K42" s="1963"/>
      <c r="L42" s="1963"/>
      <c r="M42" s="1963"/>
      <c r="N42" s="1963"/>
      <c r="O42" s="6"/>
      <c r="P42" s="6"/>
      <c r="Q42" s="7"/>
      <c r="R42" s="2"/>
      <c r="S42" s="2"/>
      <c r="T42" s="2"/>
      <c r="U42" s="2"/>
      <c r="V42" s="2"/>
      <c r="W42" s="2"/>
      <c r="X42" s="2"/>
      <c r="Y42" s="2"/>
      <c r="Z42" s="2"/>
      <c r="AA42" s="2"/>
      <c r="AB42" s="343"/>
      <c r="AC42" s="2"/>
      <c r="AD42" s="2"/>
      <c r="AE42" s="349"/>
      <c r="AF42" s="349"/>
      <c r="AG42" s="349"/>
      <c r="AH42" s="349"/>
      <c r="AI42" s="349"/>
      <c r="AJ42" s="349"/>
      <c r="AK42" s="349"/>
      <c r="AL42" s="349"/>
      <c r="AM42" s="349"/>
    </row>
    <row r="43" spans="1:39" ht="12.75" customHeight="1" x14ac:dyDescent="0.25">
      <c r="A43" s="2"/>
      <c r="B43" s="3"/>
      <c r="C43" s="15"/>
      <c r="D43" s="15"/>
      <c r="E43" s="2644" t="str">
        <f>Translations!$B$545</f>
        <v>http://ec.europa.eu/eurostat/ramon/nomenclatures/index.cfm?TargetUrl=LST_CLS_DLD&amp;StrNom=PRD_2010&amp;StrLanguageCode=EN&amp;StrLayoutCode=HIERARCHIC</v>
      </c>
      <c r="F43" s="2708"/>
      <c r="G43" s="2708"/>
      <c r="H43" s="2708"/>
      <c r="I43" s="2708"/>
      <c r="J43" s="2708"/>
      <c r="K43" s="2708"/>
      <c r="L43" s="2708"/>
      <c r="M43" s="2708"/>
      <c r="N43" s="2708"/>
      <c r="O43" s="6"/>
      <c r="P43" s="6"/>
      <c r="Q43" s="7"/>
      <c r="R43" s="2"/>
      <c r="S43" s="2"/>
      <c r="T43" s="2"/>
      <c r="U43" s="2"/>
      <c r="V43" s="2"/>
      <c r="W43" s="2"/>
      <c r="X43" s="2"/>
      <c r="Y43" s="2"/>
      <c r="Z43" s="2"/>
      <c r="AA43" s="2"/>
      <c r="AB43" s="343"/>
      <c r="AC43" s="2"/>
      <c r="AD43" s="2"/>
      <c r="AE43" s="349"/>
      <c r="AF43" s="349"/>
      <c r="AG43" s="349"/>
      <c r="AH43" s="349"/>
      <c r="AI43" s="349"/>
      <c r="AJ43" s="349"/>
      <c r="AK43" s="349"/>
      <c r="AL43" s="349"/>
      <c r="AM43" s="349"/>
    </row>
    <row r="44" spans="1:39" ht="12.75" customHeight="1" x14ac:dyDescent="0.25">
      <c r="A44" s="2"/>
      <c r="B44" s="3"/>
      <c r="C44" s="15"/>
      <c r="D44" s="15"/>
      <c r="E44" s="2061" t="str">
        <f>Translations!$B$671</f>
        <v>Nace-koder kan användas i stället för Prodcom-koder om flera liknande produkter inom samma Nace-grupp omfattas.</v>
      </c>
      <c r="F44" s="1963"/>
      <c r="G44" s="1963"/>
      <c r="H44" s="1963"/>
      <c r="I44" s="1963"/>
      <c r="J44" s="1963"/>
      <c r="K44" s="1963"/>
      <c r="L44" s="1963"/>
      <c r="M44" s="1963"/>
      <c r="N44" s="1963"/>
      <c r="O44" s="6"/>
      <c r="P44" s="6"/>
      <c r="Q44" s="7"/>
      <c r="R44" s="7"/>
      <c r="S44" s="7"/>
      <c r="T44" s="7"/>
      <c r="U44" s="7"/>
      <c r="V44" s="7"/>
      <c r="W44" s="7"/>
      <c r="X44" s="7"/>
      <c r="Y44" s="7"/>
      <c r="Z44" s="2"/>
      <c r="AA44" s="2"/>
      <c r="AB44" s="343"/>
      <c r="AC44" s="2"/>
      <c r="AD44" s="2"/>
      <c r="AE44" s="349"/>
      <c r="AF44" s="349"/>
      <c r="AG44" s="349"/>
      <c r="AH44" s="349"/>
      <c r="AI44" s="349"/>
      <c r="AJ44" s="349"/>
      <c r="AK44" s="349"/>
      <c r="AL44" s="349"/>
      <c r="AM44" s="349"/>
    </row>
    <row r="45" spans="1:39" ht="12.75" customHeight="1" x14ac:dyDescent="0.25">
      <c r="A45" s="2"/>
      <c r="B45" s="3"/>
      <c r="C45" s="15"/>
      <c r="D45" s="15"/>
      <c r="E45" s="2061" t="str">
        <f>Translations!$B$1491</f>
        <v>Om värmen exporteras kan den anslutna anläggning eller enhet som angetts i avsnitt A.V i bladet ”A_InstallationData” väljas.</v>
      </c>
      <c r="F45" s="1963"/>
      <c r="G45" s="1963"/>
      <c r="H45" s="1963"/>
      <c r="I45" s="1963"/>
      <c r="J45" s="1963"/>
      <c r="K45" s="1963"/>
      <c r="L45" s="1963"/>
      <c r="M45" s="1963"/>
      <c r="N45" s="1963"/>
      <c r="O45" s="6"/>
      <c r="P45" s="6"/>
      <c r="Q45" s="7"/>
      <c r="R45" s="7"/>
      <c r="S45" s="7"/>
      <c r="T45" s="7"/>
      <c r="U45" s="7"/>
      <c r="V45" s="7"/>
      <c r="W45" s="7"/>
      <c r="X45" s="7"/>
      <c r="Y45" s="7"/>
      <c r="Z45" s="2"/>
      <c r="AA45" s="2"/>
      <c r="AB45" s="343"/>
      <c r="AC45" s="2"/>
      <c r="AD45" s="2"/>
      <c r="AE45" s="349"/>
      <c r="AF45" s="349"/>
      <c r="AG45" s="349"/>
      <c r="AH45" s="349"/>
      <c r="AI45" s="349"/>
      <c r="AJ45" s="349"/>
      <c r="AK45" s="349"/>
      <c r="AL45" s="349"/>
      <c r="AM45" s="349"/>
    </row>
    <row r="46" spans="1:39" ht="5.15" customHeight="1" x14ac:dyDescent="0.25">
      <c r="A46" s="2"/>
      <c r="B46" s="3"/>
      <c r="C46" s="15"/>
      <c r="D46" s="15"/>
      <c r="E46" s="16"/>
      <c r="F46" s="16"/>
      <c r="G46" s="16"/>
      <c r="H46" s="16"/>
      <c r="I46" s="16"/>
      <c r="J46" s="20"/>
      <c r="K46" s="20"/>
      <c r="L46" s="20"/>
      <c r="M46" s="6"/>
      <c r="N46" s="6"/>
      <c r="O46" s="6"/>
      <c r="P46" s="6"/>
      <c r="Q46" s="7"/>
      <c r="R46" s="2"/>
      <c r="S46" s="2"/>
      <c r="T46" s="2"/>
      <c r="U46" s="2"/>
      <c r="V46" s="2"/>
      <c r="W46" s="2"/>
      <c r="X46" s="2"/>
      <c r="Y46" s="2"/>
      <c r="Z46" s="2"/>
      <c r="AA46" s="2"/>
      <c r="AB46" s="343"/>
      <c r="AC46" s="2"/>
      <c r="AD46" s="2"/>
      <c r="AE46" s="349"/>
      <c r="AF46" s="349"/>
      <c r="AG46" s="349"/>
      <c r="AH46" s="349"/>
      <c r="AI46" s="349"/>
      <c r="AJ46" s="349"/>
      <c r="AK46" s="349"/>
      <c r="AL46" s="349"/>
      <c r="AM46" s="349"/>
    </row>
    <row r="47" spans="1:39" ht="26" x14ac:dyDescent="0.25">
      <c r="A47" s="2"/>
      <c r="B47" s="19"/>
      <c r="C47" s="13"/>
      <c r="D47" s="38"/>
      <c r="E47" s="2694" t="str">
        <f>Translations!$B$672</f>
        <v>Användningstyp</v>
      </c>
      <c r="F47" s="2695"/>
      <c r="G47" s="2694" t="str">
        <f>Translations!$B$673</f>
        <v>Inom anläggningen eller för export?</v>
      </c>
      <c r="H47" s="2695"/>
      <c r="I47" s="2694" t="str">
        <f>Translations!$B$674</f>
        <v>Produktnamn eller annan värmeexport än ”fjärrvärme”</v>
      </c>
      <c r="J47" s="2000"/>
      <c r="K47" s="2000"/>
      <c r="L47" s="2695"/>
      <c r="M47" s="321" t="s">
        <v>1030</v>
      </c>
      <c r="N47" s="6"/>
      <c r="O47" s="6"/>
      <c r="P47" s="6"/>
      <c r="Q47" s="2"/>
      <c r="R47" s="2"/>
      <c r="S47" s="310" t="s">
        <v>2177</v>
      </c>
      <c r="T47" s="2"/>
      <c r="U47" s="2"/>
      <c r="V47" s="2"/>
      <c r="W47" s="2"/>
      <c r="X47" s="2"/>
      <c r="Y47" s="2"/>
      <c r="Z47" s="7"/>
      <c r="AA47" s="7"/>
      <c r="AB47" s="343"/>
      <c r="AC47" s="2"/>
      <c r="AD47" s="2"/>
      <c r="AE47" s="349"/>
      <c r="AF47" s="349"/>
      <c r="AG47" s="349"/>
      <c r="AH47" s="349"/>
      <c r="AI47" s="349"/>
      <c r="AJ47" s="349"/>
      <c r="AK47" s="349"/>
      <c r="AL47" s="349"/>
      <c r="AM47" s="349"/>
    </row>
    <row r="48" spans="1:39" ht="12.75" customHeight="1" x14ac:dyDescent="0.25">
      <c r="A48" s="2"/>
      <c r="B48" s="19"/>
      <c r="C48" s="45"/>
      <c r="D48" s="32">
        <v>1</v>
      </c>
      <c r="E48" s="2365"/>
      <c r="F48" s="2363"/>
      <c r="G48" s="2692"/>
      <c r="H48" s="2693"/>
      <c r="I48" s="2696"/>
      <c r="J48" s="2697"/>
      <c r="K48" s="2697"/>
      <c r="L48" s="2698"/>
      <c r="M48" s="1167"/>
      <c r="N48" s="6"/>
      <c r="O48" s="6"/>
      <c r="P48" s="1362"/>
      <c r="Q48" s="2"/>
      <c r="R48" s="553"/>
      <c r="S48" s="108" t="b">
        <f>TRUE</f>
        <v>1</v>
      </c>
      <c r="T48" s="1915" t="s">
        <v>2305</v>
      </c>
      <c r="U48" s="2"/>
      <c r="V48" s="2"/>
      <c r="W48" s="2"/>
      <c r="X48" s="2"/>
      <c r="Y48" s="2"/>
      <c r="Z48" s="2"/>
      <c r="AA48" s="2"/>
      <c r="AB48" s="343"/>
      <c r="AC48" s="2"/>
      <c r="AD48" s="2"/>
      <c r="AE48" s="349"/>
      <c r="AF48" s="349"/>
      <c r="AG48" s="349"/>
      <c r="AH48" s="349"/>
      <c r="AI48" s="349"/>
      <c r="AJ48" s="349"/>
      <c r="AK48" s="553" t="s">
        <v>2248</v>
      </c>
      <c r="AL48" s="663" t="str">
        <f>IF(AND($M12=EUconst_Relevant,COUNTA(E48:L48)&lt;3),EUconst_Error&amp;"FB"&amp;Q12,"")</f>
        <v/>
      </c>
      <c r="AM48" s="349"/>
    </row>
    <row r="49" spans="1:39" ht="12.75" customHeight="1" x14ac:dyDescent="0.25">
      <c r="A49" s="2"/>
      <c r="B49" s="19"/>
      <c r="C49" s="45"/>
      <c r="D49" s="33">
        <f>D48+1</f>
        <v>2</v>
      </c>
      <c r="E49" s="2195"/>
      <c r="F49" s="2194"/>
      <c r="G49" s="2690"/>
      <c r="H49" s="2691"/>
      <c r="I49" s="2687"/>
      <c r="J49" s="2688"/>
      <c r="K49" s="2688"/>
      <c r="L49" s="2689"/>
      <c r="M49" s="433"/>
      <c r="N49" s="6"/>
      <c r="O49" s="6"/>
      <c r="P49" s="1362"/>
      <c r="Q49" s="2"/>
      <c r="R49" s="2"/>
      <c r="S49" s="108" t="b">
        <f>TRUE</f>
        <v>1</v>
      </c>
      <c r="T49" s="2"/>
      <c r="U49" s="2"/>
      <c r="V49" s="2"/>
      <c r="W49" s="2"/>
      <c r="X49" s="2"/>
      <c r="Y49" s="2"/>
      <c r="Z49" s="2"/>
      <c r="AA49" s="2"/>
      <c r="AB49" s="343"/>
      <c r="AC49" s="2"/>
      <c r="AD49" s="2"/>
      <c r="AE49" s="349"/>
      <c r="AF49" s="349"/>
      <c r="AG49" s="349"/>
      <c r="AH49" s="349"/>
      <c r="AI49" s="349"/>
      <c r="AJ49" s="349"/>
      <c r="AK49" s="349"/>
      <c r="AL49" s="349"/>
      <c r="AM49" s="349"/>
    </row>
    <row r="50" spans="1:39" ht="12.75" customHeight="1" x14ac:dyDescent="0.25">
      <c r="A50" s="2"/>
      <c r="B50" s="19"/>
      <c r="C50" s="45"/>
      <c r="D50" s="33">
        <f t="shared" ref="D50:D57" si="3">D49+1</f>
        <v>3</v>
      </c>
      <c r="E50" s="2195"/>
      <c r="F50" s="2194"/>
      <c r="G50" s="2690"/>
      <c r="H50" s="2691"/>
      <c r="I50" s="2687"/>
      <c r="J50" s="2688"/>
      <c r="K50" s="2688"/>
      <c r="L50" s="2689"/>
      <c r="M50" s="433"/>
      <c r="N50" s="6"/>
      <c r="O50" s="6"/>
      <c r="P50" s="1362"/>
      <c r="Q50" s="2"/>
      <c r="R50" s="2"/>
      <c r="S50" s="108" t="b">
        <f>TRUE</f>
        <v>1</v>
      </c>
      <c r="T50" s="2"/>
      <c r="U50" s="2"/>
      <c r="V50" s="2"/>
      <c r="W50" s="2"/>
      <c r="X50" s="2"/>
      <c r="Y50" s="2"/>
      <c r="Z50" s="2"/>
      <c r="AA50" s="2"/>
      <c r="AB50" s="343"/>
      <c r="AC50" s="2"/>
      <c r="AD50" s="2"/>
      <c r="AE50" s="349"/>
      <c r="AF50" s="349"/>
      <c r="AG50" s="349"/>
      <c r="AH50" s="349"/>
      <c r="AI50" s="349"/>
      <c r="AJ50" s="349"/>
      <c r="AK50" s="349"/>
      <c r="AL50" s="349"/>
      <c r="AM50" s="349"/>
    </row>
    <row r="51" spans="1:39" ht="12.75" customHeight="1" x14ac:dyDescent="0.25">
      <c r="A51" s="2"/>
      <c r="B51" s="19"/>
      <c r="C51" s="45"/>
      <c r="D51" s="33">
        <f t="shared" si="3"/>
        <v>4</v>
      </c>
      <c r="E51" s="2195"/>
      <c r="F51" s="2194"/>
      <c r="G51" s="2690"/>
      <c r="H51" s="2691"/>
      <c r="I51" s="2687"/>
      <c r="J51" s="2688"/>
      <c r="K51" s="2688"/>
      <c r="L51" s="2689"/>
      <c r="M51" s="433"/>
      <c r="N51" s="6"/>
      <c r="O51" s="6"/>
      <c r="P51" s="1362"/>
      <c r="Q51" s="2"/>
      <c r="R51" s="2"/>
      <c r="S51" s="108" t="b">
        <f>TRUE</f>
        <v>1</v>
      </c>
      <c r="T51" s="2"/>
      <c r="U51" s="2"/>
      <c r="V51" s="2"/>
      <c r="W51" s="2"/>
      <c r="X51" s="2"/>
      <c r="Y51" s="2"/>
      <c r="Z51" s="2"/>
      <c r="AA51" s="2"/>
      <c r="AB51" s="343"/>
      <c r="AC51" s="2"/>
      <c r="AD51" s="2"/>
      <c r="AE51" s="349"/>
      <c r="AF51" s="349"/>
      <c r="AG51" s="349"/>
      <c r="AH51" s="349"/>
      <c r="AI51" s="349"/>
      <c r="AJ51" s="349"/>
      <c r="AK51" s="349"/>
      <c r="AL51" s="349"/>
      <c r="AM51" s="349"/>
    </row>
    <row r="52" spans="1:39" ht="12.75" customHeight="1" x14ac:dyDescent="0.25">
      <c r="A52" s="2"/>
      <c r="B52" s="19"/>
      <c r="C52" s="45"/>
      <c r="D52" s="33">
        <f t="shared" si="3"/>
        <v>5</v>
      </c>
      <c r="E52" s="2195"/>
      <c r="F52" s="2194"/>
      <c r="G52" s="2690"/>
      <c r="H52" s="2691"/>
      <c r="I52" s="2687"/>
      <c r="J52" s="2688"/>
      <c r="K52" s="2688"/>
      <c r="L52" s="2689"/>
      <c r="M52" s="433"/>
      <c r="N52" s="6"/>
      <c r="O52" s="6"/>
      <c r="P52" s="1362"/>
      <c r="Q52" s="2"/>
      <c r="R52" s="2"/>
      <c r="S52" s="108" t="b">
        <f>TRUE</f>
        <v>1</v>
      </c>
      <c r="T52" s="2"/>
      <c r="U52" s="2"/>
      <c r="V52" s="2"/>
      <c r="W52" s="2"/>
      <c r="X52" s="2"/>
      <c r="Y52" s="2"/>
      <c r="Z52" s="7"/>
      <c r="AA52" s="7"/>
      <c r="AB52" s="343"/>
      <c r="AC52" s="2"/>
      <c r="AD52" s="2"/>
      <c r="AE52" s="349"/>
      <c r="AF52" s="349"/>
      <c r="AG52" s="349"/>
      <c r="AH52" s="349"/>
      <c r="AI52" s="349"/>
      <c r="AJ52" s="349"/>
      <c r="AK52" s="349"/>
      <c r="AL52" s="349"/>
      <c r="AM52" s="349"/>
    </row>
    <row r="53" spans="1:39" ht="12.75" customHeight="1" x14ac:dyDescent="0.25">
      <c r="A53" s="2"/>
      <c r="B53" s="19"/>
      <c r="C53" s="45"/>
      <c r="D53" s="33">
        <f t="shared" si="3"/>
        <v>6</v>
      </c>
      <c r="E53" s="2195"/>
      <c r="F53" s="2194"/>
      <c r="G53" s="2690"/>
      <c r="H53" s="2691"/>
      <c r="I53" s="2269"/>
      <c r="J53" s="2688"/>
      <c r="K53" s="2688"/>
      <c r="L53" s="2689"/>
      <c r="M53" s="433"/>
      <c r="N53" s="6"/>
      <c r="O53" s="6"/>
      <c r="P53" s="1362"/>
      <c r="Q53" s="2"/>
      <c r="R53" s="2"/>
      <c r="S53" s="108" t="b">
        <f>TRUE</f>
        <v>1</v>
      </c>
      <c r="T53" s="2"/>
      <c r="U53" s="2"/>
      <c r="V53" s="2"/>
      <c r="W53" s="2"/>
      <c r="X53" s="2"/>
      <c r="Y53" s="2"/>
      <c r="Z53" s="2"/>
      <c r="AA53" s="2"/>
      <c r="AB53" s="343"/>
      <c r="AC53" s="2"/>
      <c r="AD53" s="2"/>
      <c r="AE53" s="349"/>
      <c r="AF53" s="349"/>
      <c r="AG53" s="349"/>
      <c r="AH53" s="349"/>
      <c r="AI53" s="349"/>
      <c r="AJ53" s="349"/>
      <c r="AK53" s="349"/>
      <c r="AL53" s="349"/>
      <c r="AM53" s="349"/>
    </row>
    <row r="54" spans="1:39" ht="12.75" customHeight="1" x14ac:dyDescent="0.25">
      <c r="A54" s="2"/>
      <c r="B54" s="19"/>
      <c r="C54" s="45"/>
      <c r="D54" s="33">
        <f t="shared" si="3"/>
        <v>7</v>
      </c>
      <c r="E54" s="2195"/>
      <c r="F54" s="2194"/>
      <c r="G54" s="2690"/>
      <c r="H54" s="2691"/>
      <c r="I54" s="2269"/>
      <c r="J54" s="2688"/>
      <c r="K54" s="2688"/>
      <c r="L54" s="2689"/>
      <c r="M54" s="433"/>
      <c r="N54" s="6"/>
      <c r="O54" s="6"/>
      <c r="P54" s="1362"/>
      <c r="Q54" s="2"/>
      <c r="R54" s="2"/>
      <c r="S54" s="108" t="b">
        <f>TRUE</f>
        <v>1</v>
      </c>
      <c r="T54" s="2"/>
      <c r="U54" s="2"/>
      <c r="V54" s="2"/>
      <c r="W54" s="2"/>
      <c r="X54" s="2"/>
      <c r="Y54" s="2"/>
      <c r="Z54" s="2"/>
      <c r="AA54" s="2"/>
      <c r="AB54" s="343"/>
      <c r="AC54" s="2"/>
      <c r="AD54" s="2"/>
      <c r="AE54" s="349"/>
      <c r="AF54" s="349"/>
      <c r="AG54" s="349"/>
      <c r="AH54" s="349"/>
      <c r="AI54" s="349"/>
      <c r="AJ54" s="349"/>
      <c r="AK54" s="349"/>
      <c r="AL54" s="349"/>
      <c r="AM54" s="349"/>
    </row>
    <row r="55" spans="1:39" ht="12.75" customHeight="1" x14ac:dyDescent="0.25">
      <c r="A55" s="2"/>
      <c r="B55" s="19"/>
      <c r="C55" s="45"/>
      <c r="D55" s="33">
        <f t="shared" si="3"/>
        <v>8</v>
      </c>
      <c r="E55" s="2195"/>
      <c r="F55" s="2194"/>
      <c r="G55" s="2690"/>
      <c r="H55" s="2691"/>
      <c r="I55" s="2269"/>
      <c r="J55" s="2688"/>
      <c r="K55" s="2688"/>
      <c r="L55" s="2689"/>
      <c r="M55" s="433"/>
      <c r="N55" s="6"/>
      <c r="O55" s="6"/>
      <c r="P55" s="1362"/>
      <c r="Q55" s="2"/>
      <c r="R55" s="2"/>
      <c r="S55" s="108" t="b">
        <f>TRUE</f>
        <v>1</v>
      </c>
      <c r="T55" s="2"/>
      <c r="U55" s="2"/>
      <c r="V55" s="2"/>
      <c r="W55" s="2"/>
      <c r="X55" s="2"/>
      <c r="Y55" s="2"/>
      <c r="Z55" s="2"/>
      <c r="AA55" s="2"/>
      <c r="AB55" s="343"/>
      <c r="AC55" s="2"/>
      <c r="AD55" s="2"/>
      <c r="AE55" s="349"/>
      <c r="AF55" s="349"/>
      <c r="AG55" s="349"/>
      <c r="AH55" s="349"/>
      <c r="AI55" s="349"/>
      <c r="AJ55" s="349"/>
      <c r="AK55" s="349"/>
      <c r="AL55" s="349"/>
      <c r="AM55" s="349"/>
    </row>
    <row r="56" spans="1:39" ht="12.75" customHeight="1" x14ac:dyDescent="0.25">
      <c r="A56" s="2"/>
      <c r="B56" s="19"/>
      <c r="C56" s="45"/>
      <c r="D56" s="33">
        <f t="shared" si="3"/>
        <v>9</v>
      </c>
      <c r="E56" s="2195"/>
      <c r="F56" s="2194"/>
      <c r="G56" s="2690"/>
      <c r="H56" s="2691"/>
      <c r="I56" s="2269"/>
      <c r="J56" s="2688"/>
      <c r="K56" s="2688"/>
      <c r="L56" s="2689"/>
      <c r="M56" s="433"/>
      <c r="N56" s="6"/>
      <c r="O56" s="6"/>
      <c r="P56" s="1362"/>
      <c r="Q56" s="2"/>
      <c r="R56" s="2"/>
      <c r="S56" s="108" t="b">
        <f>TRUE</f>
        <v>1</v>
      </c>
      <c r="T56" s="2"/>
      <c r="U56" s="2"/>
      <c r="V56" s="2"/>
      <c r="W56" s="2"/>
      <c r="X56" s="2"/>
      <c r="Y56" s="2"/>
      <c r="Z56" s="2"/>
      <c r="AA56" s="2"/>
      <c r="AB56" s="343"/>
      <c r="AC56" s="2"/>
      <c r="AD56" s="2"/>
      <c r="AE56" s="349"/>
      <c r="AF56" s="349"/>
      <c r="AG56" s="349"/>
      <c r="AH56" s="349"/>
      <c r="AI56" s="349"/>
      <c r="AJ56" s="349"/>
      <c r="AK56" s="349"/>
      <c r="AL56" s="349"/>
      <c r="AM56" s="349"/>
    </row>
    <row r="57" spans="1:39" ht="12.75" customHeight="1" x14ac:dyDescent="0.25">
      <c r="A57" s="2"/>
      <c r="B57" s="19"/>
      <c r="C57" s="45"/>
      <c r="D57" s="36">
        <f t="shared" si="3"/>
        <v>10</v>
      </c>
      <c r="E57" s="2266"/>
      <c r="F57" s="2267"/>
      <c r="G57" s="2715"/>
      <c r="H57" s="2716"/>
      <c r="I57" s="2369"/>
      <c r="J57" s="2718"/>
      <c r="K57" s="2718"/>
      <c r="L57" s="2719"/>
      <c r="M57" s="434"/>
      <c r="N57" s="6"/>
      <c r="O57" s="6"/>
      <c r="P57" s="1362"/>
      <c r="Q57" s="2"/>
      <c r="R57" s="2"/>
      <c r="S57" s="108" t="b">
        <f>TRUE</f>
        <v>1</v>
      </c>
      <c r="T57" s="2"/>
      <c r="U57" s="2"/>
      <c r="V57" s="2"/>
      <c r="W57" s="2"/>
      <c r="X57" s="2"/>
      <c r="Y57" s="2"/>
      <c r="Z57" s="7"/>
      <c r="AA57" s="7"/>
      <c r="AB57" s="343"/>
      <c r="AC57" s="2"/>
      <c r="AD57" s="2"/>
      <c r="AE57" s="349"/>
      <c r="AF57" s="349"/>
      <c r="AG57" s="349"/>
      <c r="AH57" s="349"/>
      <c r="AI57" s="349"/>
      <c r="AJ57" s="349"/>
      <c r="AK57" s="349"/>
      <c r="AL57" s="349"/>
      <c r="AM57" s="349"/>
    </row>
    <row r="58" spans="1:39" ht="5.15" customHeight="1" x14ac:dyDescent="0.25">
      <c r="A58" s="2"/>
      <c r="B58" s="3"/>
      <c r="C58" s="3"/>
      <c r="D58" s="3"/>
      <c r="E58" s="3"/>
      <c r="F58" s="3"/>
      <c r="G58" s="3"/>
      <c r="H58" s="3"/>
      <c r="I58" s="3"/>
      <c r="J58" s="3"/>
      <c r="K58" s="3"/>
      <c r="L58" s="3"/>
      <c r="M58" s="3"/>
      <c r="N58" s="3"/>
      <c r="O58" s="6"/>
      <c r="P58" s="6"/>
      <c r="Q58" s="7"/>
      <c r="R58" s="7"/>
      <c r="S58" s="2"/>
      <c r="T58" s="2"/>
      <c r="U58" s="2"/>
      <c r="V58" s="2"/>
      <c r="W58" s="2"/>
      <c r="X58" s="2"/>
      <c r="Y58" s="2"/>
      <c r="Z58" s="2"/>
      <c r="AA58" s="2"/>
      <c r="AB58" s="343"/>
      <c r="AC58" s="2"/>
      <c r="AD58" s="2"/>
      <c r="AE58" s="349"/>
      <c r="AF58" s="349"/>
      <c r="AG58" s="349"/>
      <c r="AH58" s="349"/>
      <c r="AI58" s="349"/>
      <c r="AJ58" s="349"/>
      <c r="AK58" s="349"/>
      <c r="AL58" s="349"/>
      <c r="AM58" s="349"/>
    </row>
    <row r="59" spans="1:39" ht="12.75" customHeight="1" x14ac:dyDescent="0.25">
      <c r="A59" s="2"/>
      <c r="B59" s="3"/>
      <c r="C59" s="13"/>
      <c r="D59" s="13"/>
      <c r="E59" s="1943" t="str">
        <f>Translations!$B$675</f>
        <v>Produktionsnivåer:</v>
      </c>
      <c r="F59" s="1963"/>
      <c r="G59" s="1963"/>
      <c r="H59" s="1963"/>
      <c r="I59" s="1963"/>
      <c r="J59" s="1963"/>
      <c r="K59" s="1963"/>
      <c r="L59" s="1963"/>
      <c r="M59" s="1963"/>
      <c r="N59" s="1963"/>
      <c r="O59" s="6"/>
      <c r="P59" s="6"/>
      <c r="Q59" s="7"/>
      <c r="R59" s="2"/>
      <c r="S59" s="2"/>
      <c r="T59" s="2"/>
      <c r="U59" s="2"/>
      <c r="V59" s="2"/>
      <c r="W59" s="2"/>
      <c r="X59" s="2"/>
      <c r="Y59" s="2"/>
      <c r="Z59" s="2"/>
      <c r="AA59" s="2"/>
      <c r="AB59" s="343"/>
      <c r="AC59" s="2"/>
      <c r="AD59" s="2"/>
      <c r="AE59" s="349"/>
      <c r="AF59" s="349"/>
      <c r="AG59" s="349"/>
      <c r="AH59" s="349"/>
      <c r="AI59" s="349"/>
      <c r="AJ59" s="349"/>
      <c r="AK59" s="349"/>
      <c r="AL59" s="349"/>
      <c r="AM59" s="349"/>
    </row>
    <row r="60" spans="1:39" ht="25.5" customHeight="1" x14ac:dyDescent="0.25">
      <c r="A60" s="2"/>
      <c r="B60" s="3"/>
      <c r="C60" s="13"/>
      <c r="D60" s="13"/>
      <c r="E60" s="2061" t="str">
        <f>Translations!$B$1492</f>
        <v>Observera att energieffektivitetsregeln endast kan tillämpas på fall där värme eller bränsle används för produktion av en specifik produkt. Därför kan regeln inte tillämpas om det inte går att tilldela en PRODCOM-kod till produkten.</v>
      </c>
      <c r="F60" s="1963"/>
      <c r="G60" s="1963"/>
      <c r="H60" s="1963"/>
      <c r="I60" s="1963"/>
      <c r="J60" s="1963"/>
      <c r="K60" s="1963"/>
      <c r="L60" s="1963"/>
      <c r="M60" s="1963"/>
      <c r="N60" s="1963"/>
      <c r="O60" s="6"/>
      <c r="P60" s="6"/>
      <c r="Q60" s="7"/>
      <c r="R60" s="2"/>
      <c r="S60" s="2"/>
      <c r="T60" s="2"/>
      <c r="U60" s="2"/>
      <c r="V60" s="2"/>
      <c r="W60" s="2"/>
      <c r="X60" s="2"/>
      <c r="Y60" s="2"/>
      <c r="Z60" s="2"/>
      <c r="AA60" s="2"/>
      <c r="AB60" s="343"/>
      <c r="AC60" s="2"/>
      <c r="AD60" s="2"/>
      <c r="AE60" s="349"/>
      <c r="AF60" s="349"/>
      <c r="AG60" s="349"/>
      <c r="AH60" s="349"/>
      <c r="AI60" s="349"/>
      <c r="AJ60" s="349"/>
      <c r="AK60" s="349"/>
      <c r="AL60" s="349"/>
      <c r="AM60" s="349"/>
    </row>
    <row r="61" spans="1:39" ht="25.5" customHeight="1" x14ac:dyDescent="0.25">
      <c r="A61" s="2"/>
      <c r="B61" s="3"/>
      <c r="C61" s="13"/>
      <c r="D61" s="13"/>
      <c r="E61" s="2061" t="str">
        <f>Translations!$B$1493</f>
        <v>Om ingen PRODCOM-kod kan tilldelas en produkt kan energieffektivitetsregeln därmed inte tillämpas, eftersom nedanstående effektivitet endast kan beräknas om alla ”produkter” är relaterade till samma enhet, vanligtvis ton.</v>
      </c>
      <c r="F61" s="1963"/>
      <c r="G61" s="1963"/>
      <c r="H61" s="1963"/>
      <c r="I61" s="1963"/>
      <c r="J61" s="1963"/>
      <c r="K61" s="1963"/>
      <c r="L61" s="1963"/>
      <c r="M61" s="1963"/>
      <c r="N61" s="1963"/>
      <c r="O61" s="6"/>
      <c r="P61" s="6"/>
      <c r="Q61" s="7"/>
      <c r="R61" s="2"/>
      <c r="S61" s="2"/>
      <c r="T61" s="2"/>
      <c r="U61" s="2"/>
      <c r="V61" s="2"/>
      <c r="W61" s="2"/>
      <c r="X61" s="2"/>
      <c r="Y61" s="2"/>
      <c r="Z61" s="2"/>
      <c r="AA61" s="2"/>
      <c r="AB61" s="343"/>
      <c r="AC61" s="2"/>
      <c r="AD61" s="2"/>
      <c r="AE61" s="349"/>
      <c r="AF61" s="349"/>
      <c r="AG61" s="349"/>
      <c r="AH61" s="349"/>
      <c r="AI61" s="349"/>
      <c r="AJ61" s="349"/>
      <c r="AK61" s="349"/>
      <c r="AL61" s="349"/>
      <c r="AM61" s="349"/>
    </row>
    <row r="62" spans="1:39" ht="12.75" customHeight="1" x14ac:dyDescent="0.25">
      <c r="A62" s="2"/>
      <c r="B62" s="3"/>
      <c r="C62" s="13"/>
      <c r="D62" s="13"/>
      <c r="E62" s="2061" t="str">
        <f>Translations!$B$1494</f>
        <v>Värdet för de nationella genomförandeåtgärderna (NIMs-värde) hänför sig till den genomsnittliga produktionen under referensperioden för NIMs (i likhet med historisk verksamhetsnivå) och är endast relevant för existerande delanläggningar inom befintliga anläggningar.</v>
      </c>
      <c r="F62" s="1963"/>
      <c r="G62" s="1963"/>
      <c r="H62" s="1963"/>
      <c r="I62" s="1963"/>
      <c r="J62" s="1963"/>
      <c r="K62" s="1963"/>
      <c r="L62" s="1963"/>
      <c r="M62" s="1963"/>
      <c r="N62" s="1963"/>
      <c r="O62" s="6"/>
      <c r="P62" s="6"/>
      <c r="Q62" s="7"/>
      <c r="R62" s="2"/>
      <c r="S62" s="2"/>
      <c r="T62" s="2"/>
      <c r="U62" s="2"/>
      <c r="V62" s="2"/>
      <c r="W62" s="2"/>
      <c r="X62" s="2"/>
      <c r="Y62" s="2"/>
      <c r="Z62" s="2"/>
      <c r="AA62" s="2"/>
      <c r="AB62" s="343"/>
      <c r="AC62" s="2"/>
      <c r="AD62" s="2"/>
      <c r="AE62" s="349"/>
      <c r="AF62" s="349"/>
      <c r="AG62" s="349"/>
      <c r="AH62" s="349"/>
      <c r="AI62" s="349"/>
      <c r="AJ62" s="349"/>
      <c r="AK62" s="349"/>
      <c r="AL62" s="349"/>
      <c r="AM62" s="349"/>
    </row>
    <row r="63" spans="1:39" ht="5.15" customHeight="1" x14ac:dyDescent="0.25">
      <c r="A63" s="2"/>
      <c r="B63" s="3"/>
      <c r="C63" s="15"/>
      <c r="D63" s="15"/>
      <c r="E63" s="16"/>
      <c r="F63" s="16"/>
      <c r="G63" s="16"/>
      <c r="H63" s="16"/>
      <c r="I63" s="16"/>
      <c r="J63" s="20"/>
      <c r="K63" s="20"/>
      <c r="L63" s="20"/>
      <c r="M63" s="6"/>
      <c r="N63" s="6"/>
      <c r="O63" s="6"/>
      <c r="P63" s="6"/>
      <c r="Q63" s="7"/>
      <c r="R63" s="2"/>
      <c r="S63" s="2"/>
      <c r="T63" s="2"/>
      <c r="U63" s="2"/>
      <c r="V63" s="2"/>
      <c r="W63" s="2"/>
      <c r="X63" s="2"/>
      <c r="Y63" s="2"/>
      <c r="Z63" s="2"/>
      <c r="AA63" s="2"/>
      <c r="AB63" s="343"/>
      <c r="AC63" s="2"/>
      <c r="AD63" s="2"/>
      <c r="AE63" s="349"/>
      <c r="AF63" s="349"/>
      <c r="AG63" s="349"/>
      <c r="AH63" s="349"/>
      <c r="AI63" s="349"/>
      <c r="AJ63" s="349"/>
      <c r="AK63" s="349"/>
      <c r="AL63" s="349"/>
      <c r="AM63" s="349"/>
    </row>
    <row r="64" spans="1:39" s="1195" customFormat="1" ht="25.5" customHeight="1" thickBot="1" x14ac:dyDescent="0.35">
      <c r="A64" s="1189"/>
      <c r="B64" s="1190"/>
      <c r="C64" s="1191"/>
      <c r="D64" s="1192"/>
      <c r="E64" s="866" t="str">
        <f>I47</f>
        <v>Produktnamn eller annan värmeexport än ”fjärrvärme”</v>
      </c>
      <c r="F64" s="1095" t="str">
        <f>EUconst_Unit</f>
        <v>Enhet</v>
      </c>
      <c r="G64" s="1204" t="str">
        <f>Translations!$B$1495</f>
        <v>NIMs-värde</v>
      </c>
      <c r="H64" s="1205">
        <f t="shared" ref="H64:N64" si="4">H$950</f>
        <v>2019</v>
      </c>
      <c r="I64" s="1204">
        <f t="shared" si="4"/>
        <v>2020</v>
      </c>
      <c r="J64" s="1205">
        <f t="shared" si="4"/>
        <v>2021</v>
      </c>
      <c r="K64" s="1193">
        <f t="shared" si="4"/>
        <v>2022</v>
      </c>
      <c r="L64" s="1193">
        <f t="shared" si="4"/>
        <v>2023</v>
      </c>
      <c r="M64" s="1193">
        <f t="shared" si="4"/>
        <v>2024</v>
      </c>
      <c r="N64" s="1193">
        <f t="shared" si="4"/>
        <v>2025</v>
      </c>
      <c r="O64" s="6"/>
      <c r="P64" s="6"/>
      <c r="Q64" s="1189"/>
      <c r="R64" s="1189"/>
      <c r="S64" s="1189"/>
      <c r="T64" s="1189"/>
      <c r="U64" s="1189"/>
      <c r="V64" s="1189"/>
      <c r="W64" s="1189"/>
      <c r="X64" s="1189"/>
      <c r="Y64" s="1189"/>
      <c r="Z64" s="1189"/>
      <c r="AA64" s="1189"/>
      <c r="AB64" s="7" t="s">
        <v>1846</v>
      </c>
      <c r="AC64" s="1189">
        <f t="shared" ref="AC64:AI64" si="5">H64</f>
        <v>2019</v>
      </c>
      <c r="AD64" s="1189">
        <f t="shared" si="5"/>
        <v>2020</v>
      </c>
      <c r="AE64" s="1189">
        <f t="shared" si="5"/>
        <v>2021</v>
      </c>
      <c r="AF64" s="1189">
        <f t="shared" si="5"/>
        <v>2022</v>
      </c>
      <c r="AG64" s="1189">
        <f t="shared" si="5"/>
        <v>2023</v>
      </c>
      <c r="AH64" s="1194">
        <f t="shared" si="5"/>
        <v>2024</v>
      </c>
      <c r="AI64" s="1194">
        <f t="shared" si="5"/>
        <v>2025</v>
      </c>
      <c r="AJ64" s="1194"/>
      <c r="AK64" s="1194"/>
      <c r="AL64" s="1194"/>
      <c r="AM64" s="1194"/>
    </row>
    <row r="65" spans="1:39" ht="12.75" customHeight="1" x14ac:dyDescent="0.25">
      <c r="A65" s="2"/>
      <c r="B65" s="19"/>
      <c r="C65" s="45"/>
      <c r="D65" s="32">
        <v>1</v>
      </c>
      <c r="E65" s="1037" t="str">
        <f t="shared" ref="E65:E74" si="6">IF(ISBLANK(I48),"",I48)</f>
        <v/>
      </c>
      <c r="F65" s="1524"/>
      <c r="G65" s="467"/>
      <c r="H65" s="1106"/>
      <c r="I65" s="467"/>
      <c r="J65" s="1106"/>
      <c r="K65" s="383"/>
      <c r="L65" s="383"/>
      <c r="M65" s="383"/>
      <c r="N65" s="383"/>
      <c r="O65" s="6"/>
      <c r="P65" s="1362"/>
      <c r="Q65" s="2"/>
      <c r="R65" s="2"/>
      <c r="S65" s="2"/>
      <c r="T65" s="2"/>
      <c r="U65" s="2"/>
      <c r="V65" s="2"/>
      <c r="W65" s="2"/>
      <c r="X65" s="2"/>
      <c r="Y65" s="2"/>
      <c r="Z65" s="672" t="s">
        <v>1899</v>
      </c>
      <c r="AA65" s="1705">
        <f>MAX(AC65:AI65)</f>
        <v>2</v>
      </c>
      <c r="AB65" s="1174">
        <f>IF(CNTR_ExistSubInstEntries,IF(OR($M12&lt;&gt;EUconst_Relevant,$V12&gt;2018,$E65=""),0,2),2)</f>
        <v>2</v>
      </c>
      <c r="AC65" s="1174">
        <f t="shared" ref="AC65:AI65" si="7">IF(CNTR_ExistSubInstEntries,IF(OR($M12&lt;&gt;EUconst_Relevant,AC64&gt;=CNTR_ReportingYear,AC64&lt;$V12-1,$E65=""),0,2),2)</f>
        <v>2</v>
      </c>
      <c r="AD65" s="1173">
        <f t="shared" si="7"/>
        <v>2</v>
      </c>
      <c r="AE65" s="1173">
        <f t="shared" si="7"/>
        <v>2</v>
      </c>
      <c r="AF65" s="1173">
        <f t="shared" si="7"/>
        <v>2</v>
      </c>
      <c r="AG65" s="1173">
        <f t="shared" si="7"/>
        <v>2</v>
      </c>
      <c r="AH65" s="1175">
        <f t="shared" si="7"/>
        <v>2</v>
      </c>
      <c r="AI65" s="1176">
        <f t="shared" si="7"/>
        <v>2</v>
      </c>
      <c r="AJ65" s="349"/>
      <c r="AK65" s="553" t="s">
        <v>2248</v>
      </c>
      <c r="AL65" s="663" t="str">
        <f>IF(AND(CNTR_ExistSubInstEntries,COUNTIFS(AB65:AI65,2,G65:N65,"")&gt;0),EUconst_Error&amp;"FB"&amp;Q12,"")</f>
        <v/>
      </c>
      <c r="AM65" s="349"/>
    </row>
    <row r="66" spans="1:39" ht="12.75" customHeight="1" x14ac:dyDescent="0.25">
      <c r="A66" s="2"/>
      <c r="B66" s="19"/>
      <c r="C66" s="45"/>
      <c r="D66" s="33">
        <f>D65+1</f>
        <v>2</v>
      </c>
      <c r="E66" s="1036" t="str">
        <f t="shared" si="6"/>
        <v/>
      </c>
      <c r="F66" s="1522" t="str">
        <f>IF(OR(F65="",E66=""),"",F65)</f>
        <v/>
      </c>
      <c r="G66" s="468"/>
      <c r="H66" s="1120"/>
      <c r="I66" s="468"/>
      <c r="J66" s="1120"/>
      <c r="K66" s="431"/>
      <c r="L66" s="431"/>
      <c r="M66" s="431"/>
      <c r="N66" s="431"/>
      <c r="O66" s="6"/>
      <c r="P66" s="1362"/>
      <c r="Q66" s="2"/>
      <c r="R66" s="2"/>
      <c r="S66" s="2"/>
      <c r="T66" s="2"/>
      <c r="U66" s="2"/>
      <c r="V66" s="2"/>
      <c r="W66" s="2"/>
      <c r="X66" s="2"/>
      <c r="Y66" s="2"/>
      <c r="Z66" s="2"/>
      <c r="AA66" s="1177">
        <f t="shared" ref="AA66:AA74" si="8">MAX(AC66:AI66)</f>
        <v>2</v>
      </c>
      <c r="AB66" s="935">
        <f>IF(CNTR_ExistSubInstEntries,IF(OR($M12&lt;&gt;EUconst_Relevant,$V12&gt;2018,$E66=""),0,2),2)</f>
        <v>2</v>
      </c>
      <c r="AC66" s="935">
        <f t="shared" ref="AC66:AI66" si="9">IF(CNTR_ExistSubInstEntries,IF(OR($M12&lt;&gt;EUconst_Relevant,AC64&gt;=CNTR_ReportingYear,AC64&lt;$V12-1,$E66=""),0,2),2)</f>
        <v>2</v>
      </c>
      <c r="AD66" s="935">
        <f t="shared" si="9"/>
        <v>2</v>
      </c>
      <c r="AE66" s="935">
        <f t="shared" si="9"/>
        <v>2</v>
      </c>
      <c r="AF66" s="935">
        <f t="shared" si="9"/>
        <v>2</v>
      </c>
      <c r="AG66" s="935">
        <f t="shared" si="9"/>
        <v>2</v>
      </c>
      <c r="AH66" s="1039">
        <f t="shared" si="9"/>
        <v>2</v>
      </c>
      <c r="AI66" s="1178">
        <f t="shared" si="9"/>
        <v>2</v>
      </c>
      <c r="AJ66" s="349"/>
      <c r="AK66" s="553" t="s">
        <v>2248</v>
      </c>
      <c r="AL66" s="663" t="str">
        <f>IF(AND(CNTR_ExistSubInstEntries,COUNTIFS(AB66:AI66,2,G66:N66,"")&gt;0),EUconst_Error&amp;"FB"&amp;Q12,"")</f>
        <v/>
      </c>
      <c r="AM66" s="349"/>
    </row>
    <row r="67" spans="1:39" ht="12.75" customHeight="1" x14ac:dyDescent="0.25">
      <c r="A67" s="2"/>
      <c r="B67" s="19"/>
      <c r="C67" s="45"/>
      <c r="D67" s="33">
        <f t="shared" ref="D67:D74" si="10">D66+1</f>
        <v>3</v>
      </c>
      <c r="E67" s="1036" t="str">
        <f t="shared" si="6"/>
        <v/>
      </c>
      <c r="F67" s="1522" t="str">
        <f t="shared" ref="F67:F74" si="11">IF(OR(F66="",E67=""),"",F66)</f>
        <v/>
      </c>
      <c r="G67" s="468"/>
      <c r="H67" s="1120"/>
      <c r="I67" s="468"/>
      <c r="J67" s="1120"/>
      <c r="K67" s="431"/>
      <c r="L67" s="431"/>
      <c r="M67" s="431"/>
      <c r="N67" s="431"/>
      <c r="O67" s="6"/>
      <c r="P67" s="1362"/>
      <c r="Q67" s="2"/>
      <c r="R67" s="2"/>
      <c r="S67" s="2"/>
      <c r="T67" s="2"/>
      <c r="U67" s="2"/>
      <c r="V67" s="2"/>
      <c r="W67" s="2"/>
      <c r="X67" s="2"/>
      <c r="Y67" s="2"/>
      <c r="Z67" s="2"/>
      <c r="AA67" s="1177">
        <f t="shared" si="8"/>
        <v>2</v>
      </c>
      <c r="AB67" s="935">
        <f>IF(CNTR_ExistSubInstEntries,IF(OR($M12&lt;&gt;EUconst_Relevant,$V12&gt;2018,$E67=""),0,2),2)</f>
        <v>2</v>
      </c>
      <c r="AC67" s="935">
        <f t="shared" ref="AC67:AI67" si="12">IF(CNTR_ExistSubInstEntries,IF(OR($M12&lt;&gt;EUconst_Relevant,AC64&gt;=CNTR_ReportingYear,AC64&lt;$V12-1,$E67=""),0,2),2)</f>
        <v>2</v>
      </c>
      <c r="AD67" s="935">
        <f t="shared" si="12"/>
        <v>2</v>
      </c>
      <c r="AE67" s="935">
        <f t="shared" si="12"/>
        <v>2</v>
      </c>
      <c r="AF67" s="935">
        <f t="shared" si="12"/>
        <v>2</v>
      </c>
      <c r="AG67" s="935">
        <f t="shared" si="12"/>
        <v>2</v>
      </c>
      <c r="AH67" s="1039">
        <f t="shared" si="12"/>
        <v>2</v>
      </c>
      <c r="AI67" s="1178">
        <f t="shared" si="12"/>
        <v>2</v>
      </c>
      <c r="AJ67" s="349"/>
      <c r="AK67" s="553" t="s">
        <v>2248</v>
      </c>
      <c r="AL67" s="663" t="str">
        <f>IF(AND(CNTR_ExistSubInstEntries,COUNTIFS(AB67:AI67,2,G67:N67,"")&gt;0),EUconst_Error&amp;"FB"&amp;Q12,"")</f>
        <v/>
      </c>
      <c r="AM67" s="349"/>
    </row>
    <row r="68" spans="1:39" ht="12.75" customHeight="1" x14ac:dyDescent="0.25">
      <c r="A68" s="2"/>
      <c r="B68" s="19"/>
      <c r="C68" s="45"/>
      <c r="D68" s="33">
        <f t="shared" si="10"/>
        <v>4</v>
      </c>
      <c r="E68" s="1036" t="str">
        <f t="shared" si="6"/>
        <v/>
      </c>
      <c r="F68" s="1522" t="str">
        <f t="shared" si="11"/>
        <v/>
      </c>
      <c r="G68" s="468"/>
      <c r="H68" s="1120"/>
      <c r="I68" s="468"/>
      <c r="J68" s="1120"/>
      <c r="K68" s="431"/>
      <c r="L68" s="431"/>
      <c r="M68" s="431"/>
      <c r="N68" s="431"/>
      <c r="O68" s="6"/>
      <c r="P68" s="1362"/>
      <c r="Q68" s="2"/>
      <c r="R68" s="2"/>
      <c r="S68" s="2"/>
      <c r="T68" s="2"/>
      <c r="U68" s="343"/>
      <c r="V68" s="343"/>
      <c r="W68" s="2"/>
      <c r="X68" s="2"/>
      <c r="Y68" s="2"/>
      <c r="Z68" s="2"/>
      <c r="AA68" s="1177">
        <f t="shared" si="8"/>
        <v>2</v>
      </c>
      <c r="AB68" s="935">
        <f>IF(CNTR_ExistSubInstEntries,IF(OR($M12&lt;&gt;EUconst_Relevant,$V12&gt;2018,$E68=""),0,2),2)</f>
        <v>2</v>
      </c>
      <c r="AC68" s="935">
        <f t="shared" ref="AC68:AI68" si="13">IF(CNTR_ExistSubInstEntries,IF(OR($M12&lt;&gt;EUconst_Relevant,AC64&gt;=CNTR_ReportingYear,AC64&lt;$V12-1,$E68=""),0,2),2)</f>
        <v>2</v>
      </c>
      <c r="AD68" s="935">
        <f t="shared" si="13"/>
        <v>2</v>
      </c>
      <c r="AE68" s="935">
        <f t="shared" si="13"/>
        <v>2</v>
      </c>
      <c r="AF68" s="935">
        <f t="shared" si="13"/>
        <v>2</v>
      </c>
      <c r="AG68" s="935">
        <f t="shared" si="13"/>
        <v>2</v>
      </c>
      <c r="AH68" s="1039">
        <f t="shared" si="13"/>
        <v>2</v>
      </c>
      <c r="AI68" s="1178">
        <f t="shared" si="13"/>
        <v>2</v>
      </c>
      <c r="AJ68" s="349"/>
      <c r="AK68" s="553" t="s">
        <v>2248</v>
      </c>
      <c r="AL68" s="663" t="str">
        <f>IF(AND(CNTR_ExistSubInstEntries,COUNTIFS(AB68:AI68,2,G68:N68,"")&gt;0),EUconst_Error&amp;"FB"&amp;Q12,"")</f>
        <v/>
      </c>
      <c r="AM68" s="349"/>
    </row>
    <row r="69" spans="1:39" ht="12.75" customHeight="1" x14ac:dyDescent="0.25">
      <c r="A69" s="2"/>
      <c r="B69" s="19"/>
      <c r="C69" s="45"/>
      <c r="D69" s="33">
        <f t="shared" si="10"/>
        <v>5</v>
      </c>
      <c r="E69" s="1036" t="str">
        <f t="shared" si="6"/>
        <v/>
      </c>
      <c r="F69" s="1522" t="str">
        <f t="shared" si="11"/>
        <v/>
      </c>
      <c r="G69" s="468"/>
      <c r="H69" s="1120"/>
      <c r="I69" s="468"/>
      <c r="J69" s="1120"/>
      <c r="K69" s="431"/>
      <c r="L69" s="431"/>
      <c r="M69" s="431"/>
      <c r="N69" s="431"/>
      <c r="O69" s="6"/>
      <c r="P69" s="1362"/>
      <c r="Q69" s="2"/>
      <c r="R69" s="2"/>
      <c r="S69" s="2"/>
      <c r="T69" s="2"/>
      <c r="U69" s="343"/>
      <c r="V69" s="2"/>
      <c r="W69" s="2"/>
      <c r="X69" s="2"/>
      <c r="Y69" s="2"/>
      <c r="Z69" s="2"/>
      <c r="AA69" s="1177">
        <f t="shared" si="8"/>
        <v>2</v>
      </c>
      <c r="AB69" s="935">
        <f>IF(CNTR_ExistSubInstEntries,IF(OR($M12&lt;&gt;EUconst_Relevant,$V12&gt;2018,$E69=""),0,2),2)</f>
        <v>2</v>
      </c>
      <c r="AC69" s="935">
        <f t="shared" ref="AC69:AI69" si="14">IF(CNTR_ExistSubInstEntries,IF(OR($M12&lt;&gt;EUconst_Relevant,AC64&gt;=CNTR_ReportingYear,AC64&lt;$V12-1,$E69=""),0,2),2)</f>
        <v>2</v>
      </c>
      <c r="AD69" s="935">
        <f t="shared" si="14"/>
        <v>2</v>
      </c>
      <c r="AE69" s="935">
        <f t="shared" si="14"/>
        <v>2</v>
      </c>
      <c r="AF69" s="935">
        <f t="shared" si="14"/>
        <v>2</v>
      </c>
      <c r="AG69" s="935">
        <f t="shared" si="14"/>
        <v>2</v>
      </c>
      <c r="AH69" s="1039">
        <f t="shared" si="14"/>
        <v>2</v>
      </c>
      <c r="AI69" s="1178">
        <f t="shared" si="14"/>
        <v>2</v>
      </c>
      <c r="AJ69" s="349"/>
      <c r="AK69" s="553" t="s">
        <v>2248</v>
      </c>
      <c r="AL69" s="663" t="str">
        <f>IF(AND(CNTR_ExistSubInstEntries,COUNTIFS(AB69:AI69,2,G69:N69,"")&gt;0),EUconst_Error&amp;"FB"&amp;Q12,"")</f>
        <v/>
      </c>
      <c r="AM69" s="349"/>
    </row>
    <row r="70" spans="1:39" ht="12.75" customHeight="1" x14ac:dyDescent="0.25">
      <c r="A70" s="2"/>
      <c r="B70" s="19"/>
      <c r="C70" s="45"/>
      <c r="D70" s="33">
        <f t="shared" si="10"/>
        <v>6</v>
      </c>
      <c r="E70" s="1036" t="str">
        <f t="shared" si="6"/>
        <v/>
      </c>
      <c r="F70" s="1522" t="str">
        <f t="shared" si="11"/>
        <v/>
      </c>
      <c r="G70" s="468"/>
      <c r="H70" s="1120"/>
      <c r="I70" s="468"/>
      <c r="J70" s="1120"/>
      <c r="K70" s="431"/>
      <c r="L70" s="431"/>
      <c r="M70" s="431"/>
      <c r="N70" s="431"/>
      <c r="O70" s="6"/>
      <c r="P70" s="1362"/>
      <c r="Q70" s="2"/>
      <c r="R70" s="2"/>
      <c r="S70" s="2"/>
      <c r="T70" s="2"/>
      <c r="U70" s="2"/>
      <c r="V70" s="2"/>
      <c r="W70" s="2"/>
      <c r="X70" s="2"/>
      <c r="Y70" s="2"/>
      <c r="Z70" s="2"/>
      <c r="AA70" s="1177">
        <f t="shared" si="8"/>
        <v>2</v>
      </c>
      <c r="AB70" s="935">
        <f>IF(CNTR_ExistSubInstEntries,IF(OR($M12&lt;&gt;EUconst_Relevant,$V12&gt;2018,$E70=""),0,2),2)</f>
        <v>2</v>
      </c>
      <c r="AC70" s="935">
        <f t="shared" ref="AC70:AI70" si="15">IF(CNTR_ExistSubInstEntries,IF(OR($M12&lt;&gt;EUconst_Relevant,AC64&gt;=CNTR_ReportingYear,AC64&lt;$V12-1,$E70=""),0,2),2)</f>
        <v>2</v>
      </c>
      <c r="AD70" s="935">
        <f t="shared" si="15"/>
        <v>2</v>
      </c>
      <c r="AE70" s="935">
        <f t="shared" si="15"/>
        <v>2</v>
      </c>
      <c r="AF70" s="935">
        <f t="shared" si="15"/>
        <v>2</v>
      </c>
      <c r="AG70" s="935">
        <f t="shared" si="15"/>
        <v>2</v>
      </c>
      <c r="AH70" s="1039">
        <f t="shared" si="15"/>
        <v>2</v>
      </c>
      <c r="AI70" s="1178">
        <f t="shared" si="15"/>
        <v>2</v>
      </c>
      <c r="AJ70" s="349"/>
      <c r="AK70" s="553" t="s">
        <v>2248</v>
      </c>
      <c r="AL70" s="663" t="str">
        <f>IF(AND(CNTR_ExistSubInstEntries,COUNTIFS(AB70:AI70,2,G70:N70,"")&gt;0),EUconst_Error&amp;"FB"&amp;Q12,"")</f>
        <v/>
      </c>
      <c r="AM70" s="349"/>
    </row>
    <row r="71" spans="1:39" ht="12.75" customHeight="1" x14ac:dyDescent="0.25">
      <c r="A71" s="2"/>
      <c r="B71" s="19"/>
      <c r="C71" s="45"/>
      <c r="D71" s="33">
        <f t="shared" si="10"/>
        <v>7</v>
      </c>
      <c r="E71" s="1036" t="str">
        <f t="shared" si="6"/>
        <v/>
      </c>
      <c r="F71" s="1522" t="str">
        <f t="shared" si="11"/>
        <v/>
      </c>
      <c r="G71" s="468"/>
      <c r="H71" s="1120"/>
      <c r="I71" s="468"/>
      <c r="J71" s="1120"/>
      <c r="K71" s="431"/>
      <c r="L71" s="431"/>
      <c r="M71" s="431"/>
      <c r="N71" s="431"/>
      <c r="O71" s="6"/>
      <c r="P71" s="1362"/>
      <c r="Q71" s="2"/>
      <c r="R71" s="2"/>
      <c r="S71" s="2"/>
      <c r="T71" s="2"/>
      <c r="U71" s="2"/>
      <c r="V71" s="2"/>
      <c r="W71" s="2"/>
      <c r="X71" s="2"/>
      <c r="Y71" s="2"/>
      <c r="Z71" s="2"/>
      <c r="AA71" s="1177">
        <f t="shared" si="8"/>
        <v>2</v>
      </c>
      <c r="AB71" s="935">
        <f>IF(CNTR_ExistSubInstEntries,IF(OR($M12&lt;&gt;EUconst_Relevant,$V12&gt;2018,$E71=""),0,2),2)</f>
        <v>2</v>
      </c>
      <c r="AC71" s="935">
        <f t="shared" ref="AC71:AI71" si="16">IF(CNTR_ExistSubInstEntries,IF(OR($M12&lt;&gt;EUconst_Relevant,AC64&gt;=CNTR_ReportingYear,AC64&lt;$V12-1,$E71=""),0,2),2)</f>
        <v>2</v>
      </c>
      <c r="AD71" s="935">
        <f t="shared" si="16"/>
        <v>2</v>
      </c>
      <c r="AE71" s="935">
        <f t="shared" si="16"/>
        <v>2</v>
      </c>
      <c r="AF71" s="935">
        <f t="shared" si="16"/>
        <v>2</v>
      </c>
      <c r="AG71" s="935">
        <f t="shared" si="16"/>
        <v>2</v>
      </c>
      <c r="AH71" s="1039">
        <f t="shared" si="16"/>
        <v>2</v>
      </c>
      <c r="AI71" s="1178">
        <f t="shared" si="16"/>
        <v>2</v>
      </c>
      <c r="AJ71" s="349"/>
      <c r="AK71" s="553" t="s">
        <v>2248</v>
      </c>
      <c r="AL71" s="663" t="str">
        <f>IF(AND(CNTR_ExistSubInstEntries,COUNTIFS(AB71:AI71,2,G71:N71,"")&gt;0),EUconst_Error&amp;"FB"&amp;Q12,"")</f>
        <v/>
      </c>
      <c r="AM71" s="349"/>
    </row>
    <row r="72" spans="1:39" ht="12.75" customHeight="1" x14ac:dyDescent="0.25">
      <c r="A72" s="2"/>
      <c r="B72" s="19"/>
      <c r="C72" s="45"/>
      <c r="D72" s="33">
        <f t="shared" si="10"/>
        <v>8</v>
      </c>
      <c r="E72" s="1036" t="str">
        <f t="shared" si="6"/>
        <v/>
      </c>
      <c r="F72" s="1522" t="str">
        <f t="shared" si="11"/>
        <v/>
      </c>
      <c r="G72" s="468"/>
      <c r="H72" s="1120"/>
      <c r="I72" s="468"/>
      <c r="J72" s="1120"/>
      <c r="K72" s="431"/>
      <c r="L72" s="431"/>
      <c r="M72" s="431"/>
      <c r="N72" s="431"/>
      <c r="O72" s="6"/>
      <c r="P72" s="1362"/>
      <c r="Q72" s="2"/>
      <c r="R72" s="2"/>
      <c r="S72" s="2"/>
      <c r="T72" s="2"/>
      <c r="U72" s="2"/>
      <c r="V72" s="2"/>
      <c r="W72" s="2"/>
      <c r="X72" s="2"/>
      <c r="Y72" s="2"/>
      <c r="Z72" s="2"/>
      <c r="AA72" s="1177">
        <f t="shared" si="8"/>
        <v>2</v>
      </c>
      <c r="AB72" s="935">
        <f>IF(CNTR_ExistSubInstEntries,IF(OR($M12&lt;&gt;EUconst_Relevant,$V12&gt;2018,$E72=""),0,2),2)</f>
        <v>2</v>
      </c>
      <c r="AC72" s="935">
        <f t="shared" ref="AC72:AI72" si="17">IF(CNTR_ExistSubInstEntries,IF(OR($M12&lt;&gt;EUconst_Relevant,AC64&gt;=CNTR_ReportingYear,AC64&lt;$V12-1,$E72=""),0,2),2)</f>
        <v>2</v>
      </c>
      <c r="AD72" s="935">
        <f t="shared" si="17"/>
        <v>2</v>
      </c>
      <c r="AE72" s="935">
        <f t="shared" si="17"/>
        <v>2</v>
      </c>
      <c r="AF72" s="935">
        <f t="shared" si="17"/>
        <v>2</v>
      </c>
      <c r="AG72" s="935">
        <f t="shared" si="17"/>
        <v>2</v>
      </c>
      <c r="AH72" s="1039">
        <f t="shared" si="17"/>
        <v>2</v>
      </c>
      <c r="AI72" s="1178">
        <f t="shared" si="17"/>
        <v>2</v>
      </c>
      <c r="AJ72" s="349"/>
      <c r="AK72" s="553" t="s">
        <v>2248</v>
      </c>
      <c r="AL72" s="663" t="str">
        <f>IF(AND(CNTR_ExistSubInstEntries,COUNTIFS(AB72:AI72,2,G72:N72,"")&gt;0),EUconst_Error&amp;"FB"&amp;Q12,"")</f>
        <v/>
      </c>
      <c r="AM72" s="349"/>
    </row>
    <row r="73" spans="1:39" ht="12.75" customHeight="1" x14ac:dyDescent="0.25">
      <c r="A73" s="2"/>
      <c r="B73" s="19"/>
      <c r="C73" s="45"/>
      <c r="D73" s="33">
        <f t="shared" si="10"/>
        <v>9</v>
      </c>
      <c r="E73" s="1036" t="str">
        <f t="shared" si="6"/>
        <v/>
      </c>
      <c r="F73" s="1522" t="str">
        <f t="shared" si="11"/>
        <v/>
      </c>
      <c r="G73" s="468"/>
      <c r="H73" s="1120"/>
      <c r="I73" s="468"/>
      <c r="J73" s="1120"/>
      <c r="K73" s="431"/>
      <c r="L73" s="431"/>
      <c r="M73" s="431"/>
      <c r="N73" s="431"/>
      <c r="O73" s="6"/>
      <c r="P73" s="1362"/>
      <c r="Q73" s="2"/>
      <c r="R73" s="2"/>
      <c r="S73" s="2"/>
      <c r="T73" s="2"/>
      <c r="U73" s="2"/>
      <c r="V73" s="2"/>
      <c r="W73" s="2"/>
      <c r="X73" s="2"/>
      <c r="Y73" s="2"/>
      <c r="Z73" s="2"/>
      <c r="AA73" s="1177">
        <f t="shared" si="8"/>
        <v>2</v>
      </c>
      <c r="AB73" s="935">
        <f>IF(CNTR_ExistSubInstEntries,IF(OR($M12&lt;&gt;EUconst_Relevant,$V12&gt;2018,$E73=""),0,2),2)</f>
        <v>2</v>
      </c>
      <c r="AC73" s="935">
        <f t="shared" ref="AC73:AI73" si="18">IF(CNTR_ExistSubInstEntries,IF(OR($M12&lt;&gt;EUconst_Relevant,AC64&gt;=CNTR_ReportingYear,AC64&lt;$V12-1,$E73=""),0,2),2)</f>
        <v>2</v>
      </c>
      <c r="AD73" s="935">
        <f t="shared" si="18"/>
        <v>2</v>
      </c>
      <c r="AE73" s="935">
        <f t="shared" si="18"/>
        <v>2</v>
      </c>
      <c r="AF73" s="935">
        <f t="shared" si="18"/>
        <v>2</v>
      </c>
      <c r="AG73" s="935">
        <f t="shared" si="18"/>
        <v>2</v>
      </c>
      <c r="AH73" s="1039">
        <f t="shared" si="18"/>
        <v>2</v>
      </c>
      <c r="AI73" s="1178">
        <f t="shared" si="18"/>
        <v>2</v>
      </c>
      <c r="AJ73" s="349"/>
      <c r="AK73" s="553" t="s">
        <v>2248</v>
      </c>
      <c r="AL73" s="663" t="str">
        <f>IF(AND(CNTR_ExistSubInstEntries,COUNTIFS(AB73:AI73,2,G73:N73,"")&gt;0),EUconst_Error&amp;"FB"&amp;Q12,"")</f>
        <v/>
      </c>
      <c r="AM73" s="349"/>
    </row>
    <row r="74" spans="1:39" ht="12.75" customHeight="1" thickBot="1" x14ac:dyDescent="0.3">
      <c r="A74" s="2"/>
      <c r="B74" s="19"/>
      <c r="C74" s="45"/>
      <c r="D74" s="36">
        <f t="shared" si="10"/>
        <v>10</v>
      </c>
      <c r="E74" s="1038" t="str">
        <f t="shared" si="6"/>
        <v/>
      </c>
      <c r="F74" s="1523" t="str">
        <f t="shared" si="11"/>
        <v/>
      </c>
      <c r="G74" s="469"/>
      <c r="H74" s="1112"/>
      <c r="I74" s="469"/>
      <c r="J74" s="1112"/>
      <c r="K74" s="357"/>
      <c r="L74" s="357"/>
      <c r="M74" s="357"/>
      <c r="N74" s="357"/>
      <c r="O74" s="6"/>
      <c r="P74" s="1362"/>
      <c r="Q74" s="2"/>
      <c r="R74" s="2"/>
      <c r="S74" s="2"/>
      <c r="T74" s="2"/>
      <c r="U74" s="2"/>
      <c r="V74" s="2"/>
      <c r="W74" s="2"/>
      <c r="X74" s="2"/>
      <c r="Y74" s="2"/>
      <c r="Z74" s="2"/>
      <c r="AA74" s="1179">
        <f t="shared" si="8"/>
        <v>2</v>
      </c>
      <c r="AB74" s="1180">
        <f>IF(CNTR_ExistSubInstEntries,IF(OR($M12&lt;&gt;EUconst_Relevant,$V12&gt;2018,$E74=""),0,2),2)</f>
        <v>2</v>
      </c>
      <c r="AC74" s="1180">
        <f t="shared" ref="AC74:AI74" si="19">IF(CNTR_ExistSubInstEntries,IF(OR($M12&lt;&gt;EUconst_Relevant,AC64&gt;=CNTR_ReportingYear,AC64&lt;$V12-1,$E74=""),0,2),2)</f>
        <v>2</v>
      </c>
      <c r="AD74" s="1180">
        <f t="shared" si="19"/>
        <v>2</v>
      </c>
      <c r="AE74" s="1180">
        <f t="shared" si="19"/>
        <v>2</v>
      </c>
      <c r="AF74" s="1180">
        <f t="shared" si="19"/>
        <v>2</v>
      </c>
      <c r="AG74" s="1180">
        <f t="shared" si="19"/>
        <v>2</v>
      </c>
      <c r="AH74" s="1181">
        <f t="shared" si="19"/>
        <v>2</v>
      </c>
      <c r="AI74" s="1182">
        <f t="shared" si="19"/>
        <v>2</v>
      </c>
      <c r="AJ74" s="349"/>
      <c r="AK74" s="553" t="s">
        <v>2248</v>
      </c>
      <c r="AL74" s="663" t="str">
        <f>IF(AND(CNTR_ExistSubInstEntries,COUNTIFS(AB74:AI74,2,G74:N74,"")&gt;0),EUconst_Error&amp;"FB"&amp;Q12,"")</f>
        <v/>
      </c>
      <c r="AM74" s="349"/>
    </row>
    <row r="75" spans="1:39" ht="12.75" customHeight="1" x14ac:dyDescent="0.25">
      <c r="A75" s="2"/>
      <c r="B75" s="19"/>
      <c r="C75" s="19"/>
      <c r="D75" s="90"/>
      <c r="E75" s="1026" t="str">
        <f>Translations!$B$548</f>
        <v>Summa av produktionsnivåer</v>
      </c>
      <c r="F75" s="1523" t="str">
        <f>IF(F65="","",F65)</f>
        <v/>
      </c>
      <c r="G75" s="281" t="str">
        <f>IF(COUNT(G65:G74)&gt;0,SUMIF($S48:$S57,TRUE,G65:G74),"")</f>
        <v/>
      </c>
      <c r="H75" s="1118" t="str">
        <f t="shared" ref="H75:N75" si="20">IF(COUNT(H65:H74)&gt;0,SUMIF($S48:$S57,TRUE,H65:H74),"")</f>
        <v/>
      </c>
      <c r="I75" s="281" t="str">
        <f t="shared" si="20"/>
        <v/>
      </c>
      <c r="J75" s="1118" t="str">
        <f t="shared" si="20"/>
        <v/>
      </c>
      <c r="K75" s="275" t="str">
        <f t="shared" si="20"/>
        <v/>
      </c>
      <c r="L75" s="275" t="str">
        <f t="shared" si="20"/>
        <v/>
      </c>
      <c r="M75" s="275" t="str">
        <f t="shared" si="20"/>
        <v/>
      </c>
      <c r="N75" s="275" t="str">
        <f t="shared" si="20"/>
        <v/>
      </c>
      <c r="O75" s="6"/>
      <c r="P75" s="6"/>
      <c r="Q75" s="2"/>
      <c r="R75" s="2"/>
      <c r="S75" s="2"/>
      <c r="T75" s="2"/>
      <c r="U75" s="2"/>
      <c r="V75" s="2"/>
      <c r="W75" s="2"/>
      <c r="X75" s="2"/>
      <c r="Y75" s="2"/>
      <c r="Z75" s="2"/>
      <c r="AA75" s="2"/>
      <c r="AB75" s="343"/>
      <c r="AC75" s="343"/>
      <c r="AD75" s="343"/>
      <c r="AE75" s="343"/>
      <c r="AF75" s="343"/>
      <c r="AG75" s="343"/>
      <c r="AH75" s="343"/>
      <c r="AI75" s="343"/>
      <c r="AJ75" s="349"/>
      <c r="AK75" s="349"/>
      <c r="AL75" s="349"/>
      <c r="AM75" s="349"/>
    </row>
    <row r="76" spans="1:39" ht="5.15" customHeight="1" x14ac:dyDescent="0.25">
      <c r="A76" s="2"/>
      <c r="B76" s="19"/>
      <c r="C76" s="3"/>
      <c r="D76" s="3"/>
      <c r="E76" s="3"/>
      <c r="F76" s="3"/>
      <c r="G76" s="3"/>
      <c r="H76" s="3"/>
      <c r="I76" s="3"/>
      <c r="J76" s="3"/>
      <c r="K76" s="3"/>
      <c r="L76" s="3"/>
      <c r="M76" s="3"/>
      <c r="N76" s="3"/>
      <c r="O76" s="6"/>
      <c r="P76" s="6"/>
      <c r="Q76" s="2"/>
      <c r="R76" s="2"/>
      <c r="S76" s="2"/>
      <c r="T76" s="2"/>
      <c r="U76" s="2"/>
      <c r="V76" s="2"/>
      <c r="W76" s="2"/>
      <c r="X76" s="2"/>
      <c r="Y76" s="2"/>
      <c r="Z76" s="343"/>
      <c r="AA76" s="343"/>
      <c r="AB76" s="343"/>
      <c r="AC76" s="2"/>
      <c r="AD76" s="2"/>
      <c r="AE76" s="349"/>
      <c r="AF76" s="349"/>
      <c r="AG76" s="349"/>
      <c r="AH76" s="349"/>
      <c r="AI76" s="349"/>
      <c r="AJ76" s="349"/>
      <c r="AK76" s="349"/>
      <c r="AL76" s="349"/>
      <c r="AM76" s="349"/>
    </row>
    <row r="77" spans="1:39" ht="12.75" customHeight="1" x14ac:dyDescent="0.25">
      <c r="A77" s="2"/>
      <c r="B77" s="19"/>
      <c r="C77" s="3"/>
      <c r="D77" s="13" t="s">
        <v>1914</v>
      </c>
      <c r="E77" s="1943" t="str">
        <f>Translations!$B$1496</f>
        <v>Energiförbrukning per produkt för fastställande av ändrad energieffektivitet</v>
      </c>
      <c r="F77" s="1963"/>
      <c r="G77" s="1963"/>
      <c r="H77" s="1963"/>
      <c r="I77" s="1963"/>
      <c r="J77" s="1963"/>
      <c r="K77" s="1963"/>
      <c r="L77" s="1963"/>
      <c r="M77" s="1963"/>
      <c r="N77" s="1963"/>
      <c r="O77" s="6"/>
      <c r="P77" s="6"/>
      <c r="Q77" s="7"/>
      <c r="R77" s="2"/>
      <c r="S77" s="715" t="s">
        <v>2206</v>
      </c>
      <c r="T77" s="390" t="str">
        <f>IF(M12&lt;&gt;EUconst_Relevant,"",IF(COUNTIF(J30:N30,"&gt;"&amp;15%)&gt;0,IF(MSconst_RequireEnEffDetails,2,1),1))</f>
        <v/>
      </c>
      <c r="U77" s="343" t="s">
        <v>2196</v>
      </c>
      <c r="V77" s="2"/>
      <c r="W77" s="2"/>
      <c r="X77" s="2"/>
      <c r="Y77" s="2"/>
      <c r="Z77" s="343"/>
      <c r="AA77" s="343"/>
      <c r="AB77" s="343"/>
      <c r="AC77" s="2"/>
      <c r="AD77" s="2"/>
      <c r="AE77" s="349"/>
      <c r="AF77" s="349"/>
      <c r="AG77" s="349"/>
      <c r="AH77" s="349"/>
      <c r="AI77" s="349"/>
      <c r="AJ77" s="349"/>
      <c r="AK77" s="349"/>
      <c r="AL77" s="349"/>
      <c r="AM77" s="349"/>
    </row>
    <row r="78" spans="1:39" ht="12.75" customHeight="1" x14ac:dyDescent="0.25">
      <c r="A78" s="2"/>
      <c r="B78" s="3"/>
      <c r="C78" s="15"/>
      <c r="D78" s="15"/>
      <c r="E78" s="2061" t="str">
        <f>Translations!$B$1497</f>
        <v>Ange den energiförbrukning som kan tillskrivas varje produkt under punkt b) ovan enligt metoderna som beskrivs i övervakningsmetodplanen.</v>
      </c>
      <c r="F78" s="1963"/>
      <c r="G78" s="1963"/>
      <c r="H78" s="1963"/>
      <c r="I78" s="1963"/>
      <c r="J78" s="1963"/>
      <c r="K78" s="1963"/>
      <c r="L78" s="1963"/>
      <c r="M78" s="1963"/>
      <c r="N78" s="1963"/>
      <c r="O78" s="6"/>
      <c r="P78" s="6"/>
      <c r="Q78" s="7"/>
      <c r="R78" s="7"/>
      <c r="S78" s="7"/>
      <c r="T78" s="7"/>
      <c r="U78" s="7"/>
      <c r="V78" s="7"/>
      <c r="W78" s="7"/>
      <c r="X78" s="7"/>
      <c r="Y78" s="7"/>
      <c r="Z78" s="2"/>
      <c r="AA78" s="2"/>
      <c r="AB78" s="343"/>
      <c r="AC78" s="2"/>
      <c r="AD78" s="2"/>
      <c r="AE78" s="349"/>
      <c r="AF78" s="349"/>
      <c r="AG78" s="349"/>
      <c r="AH78" s="349"/>
      <c r="AI78" s="349"/>
      <c r="AJ78" s="349"/>
      <c r="AK78" s="349"/>
      <c r="AL78" s="349"/>
      <c r="AM78" s="349"/>
    </row>
    <row r="79" spans="1:39" ht="12.75" customHeight="1" x14ac:dyDescent="0.25">
      <c r="A79" s="2"/>
      <c r="B79" s="19"/>
      <c r="C79" s="3"/>
      <c r="D79" s="3"/>
      <c r="E79" s="2070" t="str">
        <f>Translations!$B$1498</f>
        <v>Om den genomsnittliga årliga verksamhetsnivån har minskat med mer än 15 % kan du ange uppgifter här för att visa att denna minskning kan förklaras av förbättringar av energieffektiviteten.</v>
      </c>
      <c r="F79" s="2071"/>
      <c r="G79" s="2071"/>
      <c r="H79" s="2071"/>
      <c r="I79" s="2071"/>
      <c r="J79" s="2071"/>
      <c r="K79" s="2071"/>
      <c r="L79" s="2071"/>
      <c r="M79" s="2071"/>
      <c r="N79" s="2071"/>
      <c r="O79" s="6"/>
      <c r="P79" s="978"/>
      <c r="Q79" s="2"/>
      <c r="R79" s="2"/>
      <c r="S79" s="2"/>
      <c r="T79" s="2"/>
      <c r="U79" s="2"/>
      <c r="V79" s="2"/>
      <c r="W79" s="2"/>
      <c r="X79" s="2"/>
      <c r="Y79" s="2"/>
      <c r="Z79" s="343"/>
      <c r="AA79" s="343"/>
      <c r="AB79" s="343"/>
      <c r="AC79" s="343"/>
      <c r="AD79" s="2"/>
      <c r="AE79" s="349"/>
      <c r="AF79" s="349"/>
      <c r="AG79" s="349"/>
      <c r="AH79" s="349"/>
      <c r="AI79" s="349"/>
      <c r="AJ79" s="349"/>
      <c r="AK79" s="349"/>
      <c r="AL79" s="349"/>
      <c r="AM79" s="349"/>
    </row>
    <row r="80" spans="1:39" ht="12.75" customHeight="1" x14ac:dyDescent="0.25">
      <c r="A80" s="2"/>
      <c r="B80" s="19"/>
      <c r="C80" s="3"/>
      <c r="D80" s="3"/>
      <c r="E80" s="2070" t="str">
        <f>Translations!$B$1499</f>
        <v>Uppgifter här är endast obligatoriska för alla år om SAMTLIGA följande villkor uppfylls:</v>
      </c>
      <c r="F80" s="2071"/>
      <c r="G80" s="2071"/>
      <c r="H80" s="2071"/>
      <c r="I80" s="2071"/>
      <c r="J80" s="2071"/>
      <c r="K80" s="2071"/>
      <c r="L80" s="2071"/>
      <c r="M80" s="2071"/>
      <c r="N80" s="2071"/>
      <c r="O80" s="6"/>
      <c r="P80" s="6"/>
      <c r="Q80" s="2"/>
      <c r="R80" s="2"/>
      <c r="S80" s="2"/>
      <c r="T80" s="2"/>
      <c r="U80" s="2"/>
      <c r="V80" s="2"/>
      <c r="W80" s="2"/>
      <c r="X80" s="2"/>
      <c r="Y80" s="2"/>
      <c r="Z80" s="343"/>
      <c r="AA80" s="343"/>
      <c r="AB80" s="343"/>
      <c r="AC80" s="343"/>
      <c r="AD80" s="2"/>
      <c r="AE80" s="349"/>
      <c r="AF80" s="349"/>
      <c r="AG80" s="349"/>
      <c r="AH80" s="349"/>
      <c r="AI80" s="349"/>
      <c r="AJ80" s="349"/>
      <c r="AK80" s="349"/>
      <c r="AL80" s="349"/>
      <c r="AM80" s="349"/>
    </row>
    <row r="81" spans="1:39" ht="12.75" customHeight="1" x14ac:dyDescent="0.25">
      <c r="A81" s="2"/>
      <c r="B81" s="19"/>
      <c r="C81" s="3"/>
      <c r="D81" s="3"/>
      <c r="E81" s="486" t="s">
        <v>1112</v>
      </c>
      <c r="F81" s="2070" t="str">
        <f>Translations!$B$1500</f>
        <v>Den genomsnittliga årliga verksamhetsnivån enligt a) har ökat med mer än 15 % jämfört med den historiska verksamhetsnivån under något år.</v>
      </c>
      <c r="G81" s="2071"/>
      <c r="H81" s="2071"/>
      <c r="I81" s="2071"/>
      <c r="J81" s="2071"/>
      <c r="K81" s="2071"/>
      <c r="L81" s="2071"/>
      <c r="M81" s="2071"/>
      <c r="N81" s="2071"/>
      <c r="O81" s="6"/>
      <c r="P81" s="978"/>
      <c r="Q81" s="2"/>
      <c r="R81" s="2"/>
      <c r="S81" s="2"/>
      <c r="T81" s="2"/>
      <c r="U81" s="2"/>
      <c r="V81" s="2"/>
      <c r="W81" s="2"/>
      <c r="X81" s="2"/>
      <c r="Y81" s="2"/>
      <c r="Z81" s="343"/>
      <c r="AA81" s="343"/>
      <c r="AB81" s="343"/>
      <c r="AC81" s="343"/>
      <c r="AD81" s="2"/>
      <c r="AE81" s="349"/>
      <c r="AF81" s="349"/>
      <c r="AG81" s="349"/>
      <c r="AH81" s="349"/>
      <c r="AI81" s="349"/>
      <c r="AJ81" s="349"/>
      <c r="AK81" s="349"/>
      <c r="AL81" s="349"/>
      <c r="AM81" s="349"/>
    </row>
    <row r="82" spans="1:39" ht="12.75" customHeight="1" x14ac:dyDescent="0.25">
      <c r="A82" s="2"/>
      <c r="B82" s="19"/>
      <c r="C82" s="3"/>
      <c r="D82" s="3"/>
      <c r="E82" s="486" t="s">
        <v>1112</v>
      </c>
      <c r="F82" s="2070" t="str">
        <f>Translations!$B$1501</f>
        <v>Värmen används för ”produktion av varor” OCH ”inom anläggningen” enligt punkt b) ovan.</v>
      </c>
      <c r="G82" s="2071"/>
      <c r="H82" s="2071"/>
      <c r="I82" s="2071"/>
      <c r="J82" s="2071"/>
      <c r="K82" s="2071"/>
      <c r="L82" s="2071"/>
      <c r="M82" s="2071"/>
      <c r="N82" s="2071"/>
      <c r="O82" s="6"/>
      <c r="P82" s="978"/>
      <c r="Q82" s="2"/>
      <c r="R82" s="2"/>
      <c r="S82" s="2"/>
      <c r="T82" s="2"/>
      <c r="U82" s="2"/>
      <c r="V82" s="2"/>
      <c r="W82" s="2"/>
      <c r="X82" s="2"/>
      <c r="Y82" s="2"/>
      <c r="Z82" s="343"/>
      <c r="AA82" s="343"/>
      <c r="AB82" s="343"/>
      <c r="AC82" s="343"/>
      <c r="AD82" s="2"/>
      <c r="AE82" s="349"/>
      <c r="AF82" s="349"/>
      <c r="AG82" s="349"/>
      <c r="AH82" s="349"/>
      <c r="AI82" s="349"/>
      <c r="AJ82" s="349"/>
      <c r="AK82" s="349"/>
      <c r="AL82" s="349"/>
      <c r="AM82" s="349"/>
    </row>
    <row r="83" spans="1:39" ht="12.75" customHeight="1" x14ac:dyDescent="0.25">
      <c r="A83" s="2"/>
      <c r="B83" s="19"/>
      <c r="C83" s="3"/>
      <c r="D83" s="3"/>
      <c r="E83" s="486" t="s">
        <v>1112</v>
      </c>
      <c r="F83" s="2070" t="str">
        <f>Translations!$B$1502</f>
        <v>Medlemsstaten har valt att uppgifterna ska vara obligatoriska som standard om ovanstående villkor uppfylls.</v>
      </c>
      <c r="G83" s="2071"/>
      <c r="H83" s="2071"/>
      <c r="I83" s="2071"/>
      <c r="J83" s="2071"/>
      <c r="K83" s="2071"/>
      <c r="L83" s="2071"/>
      <c r="M83" s="2071"/>
      <c r="N83" s="2071"/>
      <c r="O83" s="6"/>
      <c r="P83" s="978"/>
      <c r="Q83" s="2"/>
      <c r="R83" s="2"/>
      <c r="S83" s="2"/>
      <c r="T83" s="2"/>
      <c r="U83" s="2"/>
      <c r="V83" s="2"/>
      <c r="W83" s="2"/>
      <c r="X83" s="2"/>
      <c r="Y83" s="2"/>
      <c r="Z83" s="343"/>
      <c r="AA83" s="343"/>
      <c r="AB83" s="343"/>
      <c r="AC83" s="343"/>
      <c r="AD83" s="2"/>
      <c r="AE83" s="349"/>
      <c r="AF83" s="349"/>
      <c r="AG83" s="349"/>
      <c r="AH83" s="349"/>
      <c r="AI83" s="349"/>
      <c r="AJ83" s="349"/>
      <c r="AK83" s="349"/>
      <c r="AL83" s="349"/>
      <c r="AM83" s="349"/>
    </row>
    <row r="84" spans="1:39" ht="12.75" customHeight="1" x14ac:dyDescent="0.25">
      <c r="A84" s="2"/>
      <c r="B84" s="19"/>
      <c r="C84" s="3"/>
      <c r="D84" s="3"/>
      <c r="E84" s="2061" t="str">
        <f>Translations!$B$1503</f>
        <v>Observera att uppgifterna i samtliga andra fall antingen inte är relevanta eller är valfria (indikeras) och kommer inte att tas i beaktande vid bedömningen av förbättrad energieffektivitet i följande steg nedan.</v>
      </c>
      <c r="F84" s="1963"/>
      <c r="G84" s="1963"/>
      <c r="H84" s="1963"/>
      <c r="I84" s="1963"/>
      <c r="J84" s="1963"/>
      <c r="K84" s="1963"/>
      <c r="L84" s="1963"/>
      <c r="M84" s="1963"/>
      <c r="N84" s="1963"/>
      <c r="O84" s="6"/>
      <c r="P84" s="978"/>
      <c r="Q84" s="2"/>
      <c r="R84" s="2"/>
      <c r="S84" s="2"/>
      <c r="T84" s="2"/>
      <c r="U84" s="2"/>
      <c r="V84" s="2"/>
      <c r="W84" s="2"/>
      <c r="X84" s="2"/>
      <c r="Y84" s="2"/>
      <c r="Z84" s="343"/>
      <c r="AA84" s="343"/>
      <c r="AB84" s="343"/>
      <c r="AC84" s="343"/>
      <c r="AD84" s="2"/>
      <c r="AE84" s="349"/>
      <c r="AF84" s="349"/>
      <c r="AG84" s="349"/>
      <c r="AH84" s="349"/>
      <c r="AI84" s="349"/>
      <c r="AJ84" s="349"/>
      <c r="AK84" s="349"/>
      <c r="AL84" s="349"/>
      <c r="AM84" s="349"/>
    </row>
    <row r="85" spans="1:39" ht="12.75" customHeight="1" x14ac:dyDescent="0.25">
      <c r="A85" s="2"/>
      <c r="B85" s="19"/>
      <c r="C85" s="3"/>
      <c r="D85" s="3"/>
      <c r="E85" s="2061" t="str">
        <f>Translations!$B$1504</f>
        <v>Ytterligare vägledning finns i avsnitt 6.1 i vägledningsdokument 7.</v>
      </c>
      <c r="F85" s="1963"/>
      <c r="G85" s="1963"/>
      <c r="H85" s="1963"/>
      <c r="I85" s="1963"/>
      <c r="J85" s="1963"/>
      <c r="K85" s="1963"/>
      <c r="L85" s="1963"/>
      <c r="M85" s="1963"/>
      <c r="N85" s="1963"/>
      <c r="O85" s="6"/>
      <c r="P85" s="978"/>
      <c r="Q85" s="2"/>
      <c r="R85" s="2"/>
      <c r="S85" s="2"/>
      <c r="T85" s="2"/>
      <c r="U85" s="2"/>
      <c r="V85" s="2"/>
      <c r="W85" s="2"/>
      <c r="X85" s="2"/>
      <c r="Y85" s="2"/>
      <c r="Z85" s="343"/>
      <c r="AA85" s="343"/>
      <c r="AB85" s="343"/>
      <c r="AC85" s="343"/>
      <c r="AD85" s="2"/>
      <c r="AE85" s="349"/>
      <c r="AF85" s="349"/>
      <c r="AG85" s="349"/>
      <c r="AH85" s="349"/>
      <c r="AI85" s="349"/>
      <c r="AJ85" s="349"/>
      <c r="AK85" s="349"/>
      <c r="AL85" s="349"/>
      <c r="AM85" s="349"/>
    </row>
    <row r="86" spans="1:39" ht="5.15" customHeight="1" x14ac:dyDescent="0.25">
      <c r="A86" s="2"/>
      <c r="B86" s="19"/>
      <c r="C86" s="3"/>
      <c r="D86" s="3"/>
      <c r="E86" s="2061"/>
      <c r="F86" s="1963"/>
      <c r="G86" s="1963"/>
      <c r="H86" s="1963"/>
      <c r="I86" s="1963"/>
      <c r="J86" s="1963"/>
      <c r="K86" s="1963"/>
      <c r="L86" s="1963"/>
      <c r="M86" s="1963"/>
      <c r="N86" s="1963"/>
      <c r="O86" s="6"/>
      <c r="P86" s="978"/>
      <c r="Q86" s="2"/>
      <c r="R86" s="2"/>
      <c r="S86" s="2"/>
      <c r="T86" s="2"/>
      <c r="U86" s="2"/>
      <c r="V86" s="2"/>
      <c r="W86" s="2"/>
      <c r="X86" s="2"/>
      <c r="Y86" s="2"/>
      <c r="Z86" s="343"/>
      <c r="AA86" s="343"/>
      <c r="AB86" s="343"/>
      <c r="AC86" s="343"/>
      <c r="AD86" s="2"/>
      <c r="AE86" s="349"/>
      <c r="AF86" s="349"/>
      <c r="AG86" s="349"/>
      <c r="AH86" s="349"/>
      <c r="AI86" s="349"/>
      <c r="AJ86" s="349"/>
      <c r="AK86" s="349"/>
      <c r="AL86" s="349"/>
      <c r="AM86" s="349"/>
    </row>
    <row r="87" spans="1:39" s="1195" customFormat="1" ht="25.5" customHeight="1" thickBot="1" x14ac:dyDescent="0.35">
      <c r="A87" s="1189"/>
      <c r="B87" s="1190"/>
      <c r="C87" s="1191"/>
      <c r="D87" s="1192"/>
      <c r="E87" s="866" t="str">
        <f t="shared" ref="E87:E97" si="21">E64</f>
        <v>Produktnamn eller annan värmeexport än ”fjärrvärme”</v>
      </c>
      <c r="F87" s="1095" t="str">
        <f>EUconst_Unit</f>
        <v>Enhet</v>
      </c>
      <c r="G87" s="1204" t="str">
        <f>Translations!$B$1495</f>
        <v>NIMs-värde</v>
      </c>
      <c r="H87" s="1205">
        <f t="shared" ref="H87:N87" si="22">H$950</f>
        <v>2019</v>
      </c>
      <c r="I87" s="1204">
        <f t="shared" si="22"/>
        <v>2020</v>
      </c>
      <c r="J87" s="1205">
        <f t="shared" si="22"/>
        <v>2021</v>
      </c>
      <c r="K87" s="1193">
        <f t="shared" si="22"/>
        <v>2022</v>
      </c>
      <c r="L87" s="1193">
        <f t="shared" si="22"/>
        <v>2023</v>
      </c>
      <c r="M87" s="1193">
        <f t="shared" si="22"/>
        <v>2024</v>
      </c>
      <c r="N87" s="1193">
        <f t="shared" si="22"/>
        <v>2025</v>
      </c>
      <c r="O87" s="6"/>
      <c r="P87" s="978"/>
      <c r="Q87" s="1189"/>
      <c r="R87" s="1189"/>
      <c r="S87" s="7" t="s">
        <v>1875</v>
      </c>
      <c r="T87" s="1189">
        <f t="shared" ref="T87:Z87" si="23">H87</f>
        <v>2019</v>
      </c>
      <c r="U87" s="1189">
        <f t="shared" si="23"/>
        <v>2020</v>
      </c>
      <c r="V87" s="1189">
        <f t="shared" si="23"/>
        <v>2021</v>
      </c>
      <c r="W87" s="1189">
        <f t="shared" si="23"/>
        <v>2022</v>
      </c>
      <c r="X87" s="1189">
        <f t="shared" si="23"/>
        <v>2023</v>
      </c>
      <c r="Y87" s="1189">
        <f t="shared" si="23"/>
        <v>2024</v>
      </c>
      <c r="Z87" s="1189">
        <f t="shared" si="23"/>
        <v>2025</v>
      </c>
      <c r="AA87" s="1189"/>
      <c r="AB87" s="7" t="s">
        <v>1846</v>
      </c>
      <c r="AC87" s="1189">
        <f t="shared" ref="AC87:AI87" si="24">H87</f>
        <v>2019</v>
      </c>
      <c r="AD87" s="1189">
        <f t="shared" si="24"/>
        <v>2020</v>
      </c>
      <c r="AE87" s="1189">
        <f t="shared" si="24"/>
        <v>2021</v>
      </c>
      <c r="AF87" s="1189">
        <f t="shared" si="24"/>
        <v>2022</v>
      </c>
      <c r="AG87" s="1189">
        <f t="shared" si="24"/>
        <v>2023</v>
      </c>
      <c r="AH87" s="1194">
        <f t="shared" si="24"/>
        <v>2024</v>
      </c>
      <c r="AI87" s="1194">
        <f t="shared" si="24"/>
        <v>2025</v>
      </c>
      <c r="AJ87" s="1194"/>
      <c r="AK87" s="1194"/>
      <c r="AL87" s="1194"/>
      <c r="AM87" s="1194"/>
    </row>
    <row r="88" spans="1:39" ht="12.75" customHeight="1" x14ac:dyDescent="0.25">
      <c r="A88" s="2"/>
      <c r="B88" s="19"/>
      <c r="C88" s="45"/>
      <c r="D88" s="32">
        <v>1</v>
      </c>
      <c r="E88" s="1037" t="str">
        <f t="shared" si="21"/>
        <v/>
      </c>
      <c r="F88" s="549" t="str">
        <f t="shared" ref="F88:F99" si="25">EUconst_TJ</f>
        <v>TJ</v>
      </c>
      <c r="G88" s="1292"/>
      <c r="H88" s="1106"/>
      <c r="I88" s="467"/>
      <c r="J88" s="1106"/>
      <c r="K88" s="383"/>
      <c r="L88" s="383"/>
      <c r="M88" s="383"/>
      <c r="N88" s="383"/>
      <c r="O88" s="6"/>
      <c r="P88" s="1362"/>
      <c r="Q88" s="2"/>
      <c r="R88" s="2"/>
      <c r="S88" s="1186" t="str">
        <f>IF($M12&lt;&gt;EUconst_Relevant,"",
IF($V12&gt;($J$950-3),
              IF(INDEX(H65:N65,MATCH($V12,$T87:$Z87,0))=0,0,INDEX(H88:N88,MATCH($V12,$T87:$Z87,0))/INDEX(H65:N65,MATCH($V12,$T87:$Z87,0))),
                             IF(ISNUMBER(G65),
                                            IF(OR(G65=0,$S48=FALSE),0,G88/G65),"")))</f>
        <v/>
      </c>
      <c r="T88" s="1908" t="str">
        <f>IF($E65="","",IF($S48=FALSE,0,IF(SUM($S88)=0,SUM(H88),SUM(H65)*SUM($S88))))</f>
        <v/>
      </c>
      <c r="U88" s="1908" t="str">
        <f t="shared" ref="U88:Z88" si="26">IF($E65="","",IF($S48=FALSE,0,IF(SUM($S88)=0,SUM(I88),SUM(I65)*SUM($S88))))</f>
        <v/>
      </c>
      <c r="V88" s="1908" t="str">
        <f t="shared" si="26"/>
        <v/>
      </c>
      <c r="W88" s="1908" t="str">
        <f t="shared" si="26"/>
        <v/>
      </c>
      <c r="X88" s="1908" t="str">
        <f t="shared" si="26"/>
        <v/>
      </c>
      <c r="Y88" s="1908" t="str">
        <f t="shared" si="26"/>
        <v/>
      </c>
      <c r="Z88" s="1909" t="str">
        <f t="shared" si="26"/>
        <v/>
      </c>
      <c r="AA88" s="1185" t="s">
        <v>1899</v>
      </c>
      <c r="AB88" s="1172">
        <f>AC88</f>
        <v>2</v>
      </c>
      <c r="AC88" s="1174">
        <f>IF(CNTR_ExistSubInstEntries,IF(OR($M12&lt;&gt;EUconst_Relevant,AC87&gt;=CNTR_ReportingYear,AC87&lt;V12-1,$E88=""),0,IF(AND($T77=2,$S48),2,1)),2)</f>
        <v>2</v>
      </c>
      <c r="AD88" s="1173">
        <f>IF(CNTR_ExistSubInstEntries,IF(OR($M12&lt;&gt;EUconst_Relevant,AD87&gt;=CNTR_ReportingYear,AD87&lt;V12-1,$E88=""),0,IF(AND($T77=2,$S48),2,1)),2)</f>
        <v>2</v>
      </c>
      <c r="AE88" s="1173">
        <f>IF(CNTR_ExistSubInstEntries,IF(OR($M12&lt;&gt;EUconst_Relevant,AE87&gt;=CNTR_ReportingYear,AE87&lt;V12-1,$E88=""),0,IF(AND($T77=2,$S48),2,1)),2)</f>
        <v>2</v>
      </c>
      <c r="AF88" s="1173">
        <f>IF(CNTR_ExistSubInstEntries,IF(OR($M12&lt;&gt;EUconst_Relevant,AF87&gt;=CNTR_ReportingYear,AF87&lt;V12-1,$E88=""),0,IF(AND($T77=2,$S48),2,1)),2)</f>
        <v>2</v>
      </c>
      <c r="AG88" s="1173">
        <f>IF(CNTR_ExistSubInstEntries,IF(OR($M12&lt;&gt;EUconst_Relevant,AG87&gt;=CNTR_ReportingYear,AG87&lt;V12-1,$E88=""),0,IF(AND($T77=2,$S48),2,1)),2)</f>
        <v>2</v>
      </c>
      <c r="AH88" s="1175">
        <f>IF(CNTR_ExistSubInstEntries,IF(OR($M12&lt;&gt;EUconst_Relevant,AH87&gt;=CNTR_ReportingYear,AH87&lt;V12-1,$E88=""),0,IF(AND($T77=2,$S48),2,1)),2)</f>
        <v>2</v>
      </c>
      <c r="AI88" s="1176">
        <f>IF(CNTR_ExistSubInstEntries,IF(OR($M12&lt;&gt;EUconst_Relevant,AI87&gt;=CNTR_ReportingYear,AI87&lt;V12-1,$E88=""),0,IF(AND($T77=2,$S48),2,1)),2)</f>
        <v>2</v>
      </c>
      <c r="AJ88" s="349"/>
      <c r="AK88" s="553" t="s">
        <v>2248</v>
      </c>
      <c r="AL88" s="663" t="str">
        <f>IF(AND(CNTR_ExistSubInstEntries,COUNTIFS(AB88:AI88,2,G88:N88,"")&gt;0),EUconst_Error&amp;"FB"&amp;Q12,"")</f>
        <v/>
      </c>
      <c r="AM88" s="349"/>
    </row>
    <row r="89" spans="1:39" ht="12.75" customHeight="1" x14ac:dyDescent="0.25">
      <c r="A89" s="2"/>
      <c r="B89" s="19"/>
      <c r="C89" s="45"/>
      <c r="D89" s="33">
        <f>D88+1</f>
        <v>2</v>
      </c>
      <c r="E89" s="1036" t="str">
        <f t="shared" si="21"/>
        <v/>
      </c>
      <c r="F89" s="550" t="str">
        <f t="shared" si="25"/>
        <v>TJ</v>
      </c>
      <c r="G89" s="1291"/>
      <c r="H89" s="1120"/>
      <c r="I89" s="468"/>
      <c r="J89" s="1120"/>
      <c r="K89" s="431"/>
      <c r="L89" s="431"/>
      <c r="M89" s="431"/>
      <c r="N89" s="431"/>
      <c r="O89" s="6"/>
      <c r="P89" s="1362"/>
      <c r="Q89" s="2"/>
      <c r="R89" s="2"/>
      <c r="S89" s="1187" t="str">
        <f>IF($M12&lt;&gt;EUconst_Relevant,"",
IF($V12&gt;($J$950-3),
              IF(INDEX(H66:N66,MATCH($V12,$T87:$Z87,0))=0,0,INDEX(H89:N89,MATCH($V12,$T87:$Z87,0))/INDEX(H66:N66,MATCH($V12,$T87:$Z87,0))),
                             IF(ISNUMBER(G66),
                                            IF(OR(G66=0,$S49=FALSE),0,G89/G66),"")))</f>
        <v/>
      </c>
      <c r="T89" s="1910" t="str">
        <f t="shared" ref="T89:Z89" si="27">IF($E66="","",IF($S49=FALSE,0,IF(SUM($S89)=0,SUM(H89),SUM(H66)*SUM($S89))))</f>
        <v/>
      </c>
      <c r="U89" s="1910" t="str">
        <f t="shared" si="27"/>
        <v/>
      </c>
      <c r="V89" s="1910" t="str">
        <f t="shared" si="27"/>
        <v/>
      </c>
      <c r="W89" s="1910" t="str">
        <f t="shared" si="27"/>
        <v/>
      </c>
      <c r="X89" s="1910" t="str">
        <f t="shared" si="27"/>
        <v/>
      </c>
      <c r="Y89" s="1910" t="str">
        <f t="shared" si="27"/>
        <v/>
      </c>
      <c r="Z89" s="1911" t="str">
        <f t="shared" si="27"/>
        <v/>
      </c>
      <c r="AA89" s="2"/>
      <c r="AB89" s="1177">
        <f t="shared" ref="AB89:AB97" si="28">AC89</f>
        <v>2</v>
      </c>
      <c r="AC89" s="935">
        <f>IF(CNTR_ExistSubInstEntries,IF(OR($M12&lt;&gt;EUconst_Relevant,AC87&gt;=CNTR_ReportingYear,AC87&lt;V12-1,$E89=""),0,IF(AND($T77=2,$S49),2,1)),2)</f>
        <v>2</v>
      </c>
      <c r="AD89" s="935">
        <f>IF(CNTR_ExistSubInstEntries,IF(OR($M12&lt;&gt;EUconst_Relevant,AD87&gt;=CNTR_ReportingYear,AD87&lt;V12-1,$E89=""),0,IF(AND($T77=2,$S49),2,1)),2)</f>
        <v>2</v>
      </c>
      <c r="AE89" s="935">
        <f>IF(CNTR_ExistSubInstEntries,IF(OR($M12&lt;&gt;EUconst_Relevant,AE87&gt;=CNTR_ReportingYear,AE87&lt;V12-1,$E89=""),0,IF(AND($T77=2,$S49),2,1)),2)</f>
        <v>2</v>
      </c>
      <c r="AF89" s="935">
        <f>IF(CNTR_ExistSubInstEntries,IF(OR($M12&lt;&gt;EUconst_Relevant,AF87&gt;=CNTR_ReportingYear,AF87&lt;V12-1,$E89=""),0,IF(AND($T77=2,$S49),2,1)),2)</f>
        <v>2</v>
      </c>
      <c r="AG89" s="935">
        <f>IF(CNTR_ExistSubInstEntries,IF(OR($M12&lt;&gt;EUconst_Relevant,AG87&gt;=CNTR_ReportingYear,AG87&lt;V12-1,$E89=""),0,IF(AND($T77=2,$S49),2,1)),2)</f>
        <v>2</v>
      </c>
      <c r="AH89" s="935">
        <f>IF(CNTR_ExistSubInstEntries,IF(OR($M12&lt;&gt;EUconst_Relevant,AH87&gt;=CNTR_ReportingYear,AH87&lt;V12-1,$E89=""),0,IF(AND($T77=2,$S49),2,1)),2)</f>
        <v>2</v>
      </c>
      <c r="AI89" s="1183">
        <f>IF(CNTR_ExistSubInstEntries,IF(OR($M12&lt;&gt;EUconst_Relevant,AI87&gt;=CNTR_ReportingYear,AI87&lt;V12-1,$E89=""),0,IF(AND($T77=2,$S49),2,1)),2)</f>
        <v>2</v>
      </c>
      <c r="AJ89" s="349"/>
      <c r="AK89" s="553" t="s">
        <v>2248</v>
      </c>
      <c r="AL89" s="663" t="str">
        <f>IF(AND(CNTR_ExistSubInstEntries,COUNTIFS(AB89:AI89,2,G89:N89,"")&gt;0),EUconst_Error&amp;"FB"&amp;Q12,"")</f>
        <v/>
      </c>
      <c r="AM89" s="349"/>
    </row>
    <row r="90" spans="1:39" ht="12.75" customHeight="1" x14ac:dyDescent="0.25">
      <c r="A90" s="2"/>
      <c r="B90" s="19"/>
      <c r="C90" s="45"/>
      <c r="D90" s="33">
        <f t="shared" ref="D90:D97" si="29">D89+1</f>
        <v>3</v>
      </c>
      <c r="E90" s="1036" t="str">
        <f t="shared" si="21"/>
        <v/>
      </c>
      <c r="F90" s="550" t="str">
        <f t="shared" si="25"/>
        <v>TJ</v>
      </c>
      <c r="G90" s="468"/>
      <c r="H90" s="1120"/>
      <c r="I90" s="468"/>
      <c r="J90" s="1120"/>
      <c r="K90" s="431"/>
      <c r="L90" s="431"/>
      <c r="M90" s="431"/>
      <c r="N90" s="431"/>
      <c r="O90" s="6"/>
      <c r="P90" s="1362"/>
      <c r="Q90" s="2"/>
      <c r="R90" s="2"/>
      <c r="S90" s="1187" t="str">
        <f>IF($M12&lt;&gt;EUconst_Relevant,"",
IF($V12&gt;($J$950-3),
              IF(INDEX(H67:N67,MATCH($V12,$T87:$Z87,0))=0,0,INDEX(H90:N90,MATCH($V12,$T87:$Z87,0))/INDEX(H67:N67,MATCH($V12,$T87:$Z87,0))),
                             IF(ISNUMBER(G67),
                                            IF(OR(G67=0,$S50=FALSE),0,G90/G67),"")))</f>
        <v/>
      </c>
      <c r="T90" s="1910" t="str">
        <f t="shared" ref="T90:Z90" si="30">IF($E67="","",IF($S50=FALSE,0,IF(SUM($S90)=0,SUM(H90),SUM(H67)*SUM($S90))))</f>
        <v/>
      </c>
      <c r="U90" s="1910" t="str">
        <f t="shared" si="30"/>
        <v/>
      </c>
      <c r="V90" s="1910" t="str">
        <f t="shared" si="30"/>
        <v/>
      </c>
      <c r="W90" s="1910" t="str">
        <f t="shared" si="30"/>
        <v/>
      </c>
      <c r="X90" s="1910" t="str">
        <f t="shared" si="30"/>
        <v/>
      </c>
      <c r="Y90" s="1910" t="str">
        <f t="shared" si="30"/>
        <v/>
      </c>
      <c r="Z90" s="1911" t="str">
        <f t="shared" si="30"/>
        <v/>
      </c>
      <c r="AA90" s="2"/>
      <c r="AB90" s="1177">
        <f t="shared" si="28"/>
        <v>2</v>
      </c>
      <c r="AC90" s="935">
        <f>IF(CNTR_ExistSubInstEntries,IF(OR($M12&lt;&gt;EUconst_Relevant,AC87&gt;=CNTR_ReportingYear,AC87&lt;V12-1,$E90=""),0,IF(AND($T77=2,$S50),2,1)),2)</f>
        <v>2</v>
      </c>
      <c r="AD90" s="935">
        <f>IF(CNTR_ExistSubInstEntries,IF(OR($M12&lt;&gt;EUconst_Relevant,AD87&gt;=CNTR_ReportingYear,AD87&lt;V12-1,$E90=""),0,IF(AND($T77=2,$S50),2,1)),2)</f>
        <v>2</v>
      </c>
      <c r="AE90" s="935">
        <f>IF(CNTR_ExistSubInstEntries,IF(OR($M12&lt;&gt;EUconst_Relevant,AE87&gt;=CNTR_ReportingYear,AE87&lt;V12-1,$E90=""),0,IF(AND($T77=2,$S50),2,1)),2)</f>
        <v>2</v>
      </c>
      <c r="AF90" s="935">
        <f>IF(CNTR_ExistSubInstEntries,IF(OR($M12&lt;&gt;EUconst_Relevant,AF87&gt;=CNTR_ReportingYear,AF87&lt;V12-1,$E90=""),0,IF(AND($T77=2,$S50),2,1)),2)</f>
        <v>2</v>
      </c>
      <c r="AG90" s="935">
        <f>IF(CNTR_ExistSubInstEntries,IF(OR($M12&lt;&gt;EUconst_Relevant,AG87&gt;=CNTR_ReportingYear,AG87&lt;V12-1,$E90=""),0,IF(AND($T77=2,$S50),2,1)),2)</f>
        <v>2</v>
      </c>
      <c r="AH90" s="935">
        <f>IF(CNTR_ExistSubInstEntries,IF(OR($M12&lt;&gt;EUconst_Relevant,AH87&gt;=CNTR_ReportingYear,AH87&lt;V12-1,$E90=""),0,IF(AND($T77=2,$S50),2,1)),2)</f>
        <v>2</v>
      </c>
      <c r="AI90" s="1183">
        <f>IF(CNTR_ExistSubInstEntries,IF(OR($M12&lt;&gt;EUconst_Relevant,AI87&gt;=CNTR_ReportingYear,AI87&lt;V12-1,$E90=""),0,IF(AND($T77=2,$S50),2,1)),2)</f>
        <v>2</v>
      </c>
      <c r="AJ90" s="349"/>
      <c r="AK90" s="553" t="s">
        <v>2248</v>
      </c>
      <c r="AL90" s="663" t="str">
        <f>IF(AND(CNTR_ExistSubInstEntries,COUNTIFS(AB90:AI90,2,G90:N90,"")&gt;0),EUconst_Error&amp;"FB"&amp;Q12,"")</f>
        <v/>
      </c>
      <c r="AM90" s="349"/>
    </row>
    <row r="91" spans="1:39" ht="12.75" customHeight="1" x14ac:dyDescent="0.25">
      <c r="A91" s="2"/>
      <c r="B91" s="19"/>
      <c r="C91" s="45"/>
      <c r="D91" s="33">
        <f t="shared" si="29"/>
        <v>4</v>
      </c>
      <c r="E91" s="1036" t="str">
        <f t="shared" si="21"/>
        <v/>
      </c>
      <c r="F91" s="550" t="str">
        <f t="shared" si="25"/>
        <v>TJ</v>
      </c>
      <c r="G91" s="468"/>
      <c r="H91" s="1120"/>
      <c r="I91" s="468"/>
      <c r="J91" s="1120"/>
      <c r="K91" s="431"/>
      <c r="L91" s="431"/>
      <c r="M91" s="431"/>
      <c r="N91" s="431"/>
      <c r="O91" s="6"/>
      <c r="P91" s="1362"/>
      <c r="Q91" s="2"/>
      <c r="R91" s="2"/>
      <c r="S91" s="1187" t="str">
        <f>IF($M12&lt;&gt;EUconst_Relevant,"",
IF($V12&gt;($J$950-3),
              IF(INDEX(H68:N68,MATCH($V12,$T87:$Z87,0))=0,0,INDEX(H91:N91,MATCH($V12,$T87:$Z87,0))/INDEX(H68:N68,MATCH($V12,$T87:$Z87,0))),
                             IF(ISNUMBER(G68),
                                            IF(OR(G68=0,$S51=FALSE),0,G91/G68),"")))</f>
        <v/>
      </c>
      <c r="T91" s="1910" t="str">
        <f t="shared" ref="T91:Z91" si="31">IF($E68="","",IF($S51=FALSE,0,IF(SUM($S91)=0,SUM(H91),SUM(H68)*SUM($S91))))</f>
        <v/>
      </c>
      <c r="U91" s="1910" t="str">
        <f t="shared" si="31"/>
        <v/>
      </c>
      <c r="V91" s="1910" t="str">
        <f t="shared" si="31"/>
        <v/>
      </c>
      <c r="W91" s="1910" t="str">
        <f t="shared" si="31"/>
        <v/>
      </c>
      <c r="X91" s="1910" t="str">
        <f t="shared" si="31"/>
        <v/>
      </c>
      <c r="Y91" s="1910" t="str">
        <f t="shared" si="31"/>
        <v/>
      </c>
      <c r="Z91" s="1911" t="str">
        <f t="shared" si="31"/>
        <v/>
      </c>
      <c r="AA91" s="2"/>
      <c r="AB91" s="1177">
        <f t="shared" si="28"/>
        <v>2</v>
      </c>
      <c r="AC91" s="935">
        <f>IF(CNTR_ExistSubInstEntries,IF(OR($M12&lt;&gt;EUconst_Relevant,AC87&gt;=CNTR_ReportingYear,AC87&lt;V12-1,$E91=""),0,IF(AND($T77=2,$S51),2,1)),2)</f>
        <v>2</v>
      </c>
      <c r="AD91" s="935">
        <f>IF(CNTR_ExistSubInstEntries,IF(OR($M12&lt;&gt;EUconst_Relevant,AD87&gt;=CNTR_ReportingYear,AD87&lt;V12-1,$E91=""),0,IF(AND($T77=2,$S51),2,1)),2)</f>
        <v>2</v>
      </c>
      <c r="AE91" s="935">
        <f>IF(CNTR_ExistSubInstEntries,IF(OR($M12&lt;&gt;EUconst_Relevant,AE87&gt;=CNTR_ReportingYear,AE87&lt;V12-1,$E91=""),0,IF(AND($T77=2,$S51),2,1)),2)</f>
        <v>2</v>
      </c>
      <c r="AF91" s="935">
        <f>IF(CNTR_ExistSubInstEntries,IF(OR($M12&lt;&gt;EUconst_Relevant,AF87&gt;=CNTR_ReportingYear,AF87&lt;V12-1,$E91=""),0,IF(AND($T77=2,$S51),2,1)),2)</f>
        <v>2</v>
      </c>
      <c r="AG91" s="935">
        <f>IF(CNTR_ExistSubInstEntries,IF(OR($M12&lt;&gt;EUconst_Relevant,AG87&gt;=CNTR_ReportingYear,AG87&lt;V12-1,$E91=""),0,IF(AND($T77=2,$S51),2,1)),2)</f>
        <v>2</v>
      </c>
      <c r="AH91" s="935">
        <f>IF(CNTR_ExistSubInstEntries,IF(OR($M12&lt;&gt;EUconst_Relevant,AH87&gt;=CNTR_ReportingYear,AH87&lt;V12-1,$E91=""),0,IF(AND($T77=2,$S51),2,1)),2)</f>
        <v>2</v>
      </c>
      <c r="AI91" s="1183">
        <f>IF(CNTR_ExistSubInstEntries,IF(OR($M12&lt;&gt;EUconst_Relevant,AI87&gt;=CNTR_ReportingYear,AI87&lt;V12-1,$E91=""),0,IF(AND($T77=2,$S51),2,1)),2)</f>
        <v>2</v>
      </c>
      <c r="AJ91" s="349"/>
      <c r="AK91" s="553" t="s">
        <v>2248</v>
      </c>
      <c r="AL91" s="663" t="str">
        <f>IF(AND(CNTR_ExistSubInstEntries,COUNTIFS(AB91:AI91,2,G91:N91,"")&gt;0),EUconst_Error&amp;"FB"&amp;Q12,"")</f>
        <v/>
      </c>
      <c r="AM91" s="349"/>
    </row>
    <row r="92" spans="1:39" ht="12.75" customHeight="1" x14ac:dyDescent="0.25">
      <c r="A92" s="2"/>
      <c r="B92" s="19"/>
      <c r="C92" s="45"/>
      <c r="D92" s="33">
        <f t="shared" si="29"/>
        <v>5</v>
      </c>
      <c r="E92" s="1036" t="str">
        <f t="shared" si="21"/>
        <v/>
      </c>
      <c r="F92" s="550" t="str">
        <f t="shared" si="25"/>
        <v>TJ</v>
      </c>
      <c r="G92" s="468"/>
      <c r="H92" s="1120"/>
      <c r="I92" s="468"/>
      <c r="J92" s="1120"/>
      <c r="K92" s="431"/>
      <c r="L92" s="431"/>
      <c r="M92" s="431"/>
      <c r="N92" s="431"/>
      <c r="O92" s="6"/>
      <c r="P92" s="1362"/>
      <c r="Q92" s="2"/>
      <c r="R92" s="2"/>
      <c r="S92" s="1187" t="str">
        <f>IF($M12&lt;&gt;EUconst_Relevant,"",
IF($V12&gt;($J$950-3),
              IF(INDEX(H69:N69,MATCH($V12,$T87:$Z87,0))=0,0,INDEX(H92:N92,MATCH($V12,$T87:$Z87,0))/INDEX(H69:N69,MATCH($V12,$T87:$Z87,0))),
                             IF(ISNUMBER(G69),
                                            IF(OR(G69=0,$S52=FALSE),0,G92/G69),"")))</f>
        <v/>
      </c>
      <c r="T92" s="1910" t="str">
        <f t="shared" ref="T92:Z92" si="32">IF($E69="","",IF($S52=FALSE,0,IF(SUM($S92)=0,SUM(H92),SUM(H69)*SUM($S92))))</f>
        <v/>
      </c>
      <c r="U92" s="1910" t="str">
        <f t="shared" si="32"/>
        <v/>
      </c>
      <c r="V92" s="1910" t="str">
        <f t="shared" si="32"/>
        <v/>
      </c>
      <c r="W92" s="1910" t="str">
        <f t="shared" si="32"/>
        <v/>
      </c>
      <c r="X92" s="1910" t="str">
        <f t="shared" si="32"/>
        <v/>
      </c>
      <c r="Y92" s="1910" t="str">
        <f t="shared" si="32"/>
        <v/>
      </c>
      <c r="Z92" s="1911" t="str">
        <f t="shared" si="32"/>
        <v/>
      </c>
      <c r="AA92" s="2"/>
      <c r="AB92" s="1177">
        <f t="shared" si="28"/>
        <v>2</v>
      </c>
      <c r="AC92" s="935">
        <f>IF(CNTR_ExistSubInstEntries,IF(OR($M12&lt;&gt;EUconst_Relevant,AC87&gt;=CNTR_ReportingYear,AC87&lt;V12-1,$E92=""),0,IF(AND($T77=2,$S52),2,1)),2)</f>
        <v>2</v>
      </c>
      <c r="AD92" s="935">
        <f>IF(CNTR_ExistSubInstEntries,IF(OR($M12&lt;&gt;EUconst_Relevant,AD87&gt;=CNTR_ReportingYear,AD87&lt;V12-1,$E92=""),0,IF(AND($T77=2,$S52),2,1)),2)</f>
        <v>2</v>
      </c>
      <c r="AE92" s="935">
        <f>IF(CNTR_ExistSubInstEntries,IF(OR($M12&lt;&gt;EUconst_Relevant,AE87&gt;=CNTR_ReportingYear,AE87&lt;V12-1,$E92=""),0,IF(AND($T77=2,$S52),2,1)),2)</f>
        <v>2</v>
      </c>
      <c r="AF92" s="935">
        <f>IF(CNTR_ExistSubInstEntries,IF(OR($M12&lt;&gt;EUconst_Relevant,AF87&gt;=CNTR_ReportingYear,AF87&lt;V12-1,$E92=""),0,IF(AND($T77=2,$S52),2,1)),2)</f>
        <v>2</v>
      </c>
      <c r="AG92" s="935">
        <f>IF(CNTR_ExistSubInstEntries,IF(OR($M12&lt;&gt;EUconst_Relevant,AG87&gt;=CNTR_ReportingYear,AG87&lt;V12-1,$E92=""),0,IF(AND($T77=2,$S52),2,1)),2)</f>
        <v>2</v>
      </c>
      <c r="AH92" s="935">
        <f>IF(CNTR_ExistSubInstEntries,IF(OR($M12&lt;&gt;EUconst_Relevant,AH87&gt;=CNTR_ReportingYear,AH87&lt;V12-1,$E92=""),0,IF(AND($T77=2,$S52),2,1)),2)</f>
        <v>2</v>
      </c>
      <c r="AI92" s="1183">
        <f>IF(CNTR_ExistSubInstEntries,IF(OR($M12&lt;&gt;EUconst_Relevant,AI87&gt;=CNTR_ReportingYear,AI87&lt;V12-1,$E92=""),0,IF(AND($T77=2,$S52),2,1)),2)</f>
        <v>2</v>
      </c>
      <c r="AJ92" s="349"/>
      <c r="AK92" s="553" t="s">
        <v>2248</v>
      </c>
      <c r="AL92" s="663" t="str">
        <f>IF(AND(CNTR_ExistSubInstEntries,COUNTIFS(AB92:AI92,2,G92:N92,"")&gt;0),EUconst_Error&amp;"FB"&amp;Q12,"")</f>
        <v/>
      </c>
      <c r="AM92" s="349"/>
    </row>
    <row r="93" spans="1:39" ht="12.75" customHeight="1" x14ac:dyDescent="0.25">
      <c r="A93" s="2"/>
      <c r="B93" s="19"/>
      <c r="C93" s="45"/>
      <c r="D93" s="33">
        <f t="shared" si="29"/>
        <v>6</v>
      </c>
      <c r="E93" s="1036" t="str">
        <f t="shared" si="21"/>
        <v/>
      </c>
      <c r="F93" s="550" t="str">
        <f t="shared" si="25"/>
        <v>TJ</v>
      </c>
      <c r="G93" s="468"/>
      <c r="H93" s="1120"/>
      <c r="I93" s="468"/>
      <c r="J93" s="1120"/>
      <c r="K93" s="431"/>
      <c r="L93" s="431"/>
      <c r="M93" s="431"/>
      <c r="N93" s="431"/>
      <c r="O93" s="6"/>
      <c r="P93" s="1362"/>
      <c r="Q93" s="2"/>
      <c r="R93" s="2"/>
      <c r="S93" s="1187" t="str">
        <f>IF($M12&lt;&gt;EUconst_Relevant,"",
IF($V12&gt;($J$950-3),
              IF(INDEX(H70:N70,MATCH($V12,$T87:$Z87,0))=0,0,INDEX(H93:N93,MATCH($V12,$T87:$Z87,0))/INDEX(H70:N70,MATCH($V12,$T87:$Z87,0))),
                             IF(ISNUMBER(G70),
                                            IF(OR(G70=0,$S53=FALSE),0,G93/G70),"")))</f>
        <v/>
      </c>
      <c r="T93" s="1910" t="str">
        <f t="shared" ref="T93:Z93" si="33">IF($E70="","",IF($S53=FALSE,0,IF(SUM($S93)=0,SUM(H93),SUM(H70)*SUM($S93))))</f>
        <v/>
      </c>
      <c r="U93" s="1910" t="str">
        <f t="shared" si="33"/>
        <v/>
      </c>
      <c r="V93" s="1910" t="str">
        <f t="shared" si="33"/>
        <v/>
      </c>
      <c r="W93" s="1910" t="str">
        <f t="shared" si="33"/>
        <v/>
      </c>
      <c r="X93" s="1910" t="str">
        <f t="shared" si="33"/>
        <v/>
      </c>
      <c r="Y93" s="1910" t="str">
        <f t="shared" si="33"/>
        <v/>
      </c>
      <c r="Z93" s="1911" t="str">
        <f t="shared" si="33"/>
        <v/>
      </c>
      <c r="AA93" s="2"/>
      <c r="AB93" s="1177">
        <f t="shared" si="28"/>
        <v>2</v>
      </c>
      <c r="AC93" s="935">
        <f>IF(CNTR_ExistSubInstEntries,IF(OR($M12&lt;&gt;EUconst_Relevant,AC87&gt;=CNTR_ReportingYear,AC87&lt;V12-1,$E93=""),0,IF(AND($T77=2,$S53),2,1)),2)</f>
        <v>2</v>
      </c>
      <c r="AD93" s="935">
        <f>IF(CNTR_ExistSubInstEntries,IF(OR($M12&lt;&gt;EUconst_Relevant,AD87&gt;=CNTR_ReportingYear,AD87&lt;V12-1,$E93=""),0,IF(AND($T77=2,$S53),2,1)),2)</f>
        <v>2</v>
      </c>
      <c r="AE93" s="935">
        <f>IF(CNTR_ExistSubInstEntries,IF(OR($M12&lt;&gt;EUconst_Relevant,AE87&gt;=CNTR_ReportingYear,AE87&lt;V12-1,$E93=""),0,IF(AND($T77=2,$S53),2,1)),2)</f>
        <v>2</v>
      </c>
      <c r="AF93" s="935">
        <f>IF(CNTR_ExistSubInstEntries,IF(OR($M12&lt;&gt;EUconst_Relevant,AF87&gt;=CNTR_ReportingYear,AF87&lt;V12-1,$E93=""),0,IF(AND($T77=2,$S53),2,1)),2)</f>
        <v>2</v>
      </c>
      <c r="AG93" s="935">
        <f>IF(CNTR_ExistSubInstEntries,IF(OR($M12&lt;&gt;EUconst_Relevant,AG87&gt;=CNTR_ReportingYear,AG87&lt;V12-1,$E93=""),0,IF(AND($T77=2,$S53),2,1)),2)</f>
        <v>2</v>
      </c>
      <c r="AH93" s="935">
        <f>IF(CNTR_ExistSubInstEntries,IF(OR($M12&lt;&gt;EUconst_Relevant,AH87&gt;=CNTR_ReportingYear,AH87&lt;V12-1,$E93=""),0,IF(AND($T77=2,$S53),2,1)),2)</f>
        <v>2</v>
      </c>
      <c r="AI93" s="1183">
        <f>IF(CNTR_ExistSubInstEntries,IF(OR($M12&lt;&gt;EUconst_Relevant,AI87&gt;=CNTR_ReportingYear,AI87&lt;V12-1,$E93=""),0,IF(AND($T77=2,$S53),2,1)),2)</f>
        <v>2</v>
      </c>
      <c r="AJ93" s="349"/>
      <c r="AK93" s="553" t="s">
        <v>2248</v>
      </c>
      <c r="AL93" s="663" t="str">
        <f>IF(AND(CNTR_ExistSubInstEntries,COUNTIFS(AB93:AI93,2,G93:N93,"")&gt;0),EUconst_Error&amp;"FB"&amp;Q12,"")</f>
        <v/>
      </c>
      <c r="AM93" s="349"/>
    </row>
    <row r="94" spans="1:39" ht="12.75" customHeight="1" x14ac:dyDescent="0.25">
      <c r="A94" s="2"/>
      <c r="B94" s="19"/>
      <c r="C94" s="45"/>
      <c r="D94" s="33">
        <f t="shared" si="29"/>
        <v>7</v>
      </c>
      <c r="E94" s="1036" t="str">
        <f t="shared" si="21"/>
        <v/>
      </c>
      <c r="F94" s="550" t="str">
        <f t="shared" si="25"/>
        <v>TJ</v>
      </c>
      <c r="G94" s="468"/>
      <c r="H94" s="1120"/>
      <c r="I94" s="468"/>
      <c r="J94" s="1120"/>
      <c r="K94" s="431"/>
      <c r="L94" s="431"/>
      <c r="M94" s="431"/>
      <c r="N94" s="431"/>
      <c r="O94" s="6"/>
      <c r="P94" s="1362"/>
      <c r="Q94" s="2"/>
      <c r="R94" s="2"/>
      <c r="S94" s="1187" t="str">
        <f>IF($M12&lt;&gt;EUconst_Relevant,"",
IF($V12&gt;($J$950-3),
              IF(INDEX(H71:N71,MATCH($V12,$T87:$Z87,0))=0,0,INDEX(H94:N94,MATCH($V12,$T87:$Z87,0))/INDEX(H71:N71,MATCH($V12,$T87:$Z87,0))),
                             IF(ISNUMBER(G71),
                                            IF(OR(G71=0,$S54=FALSE),0,G94/G71),"")))</f>
        <v/>
      </c>
      <c r="T94" s="1910" t="str">
        <f t="shared" ref="T94:Z94" si="34">IF($E71="","",IF($S54=FALSE,0,IF(SUM($S94)=0,SUM(H94),SUM(H71)*SUM($S94))))</f>
        <v/>
      </c>
      <c r="U94" s="1910" t="str">
        <f t="shared" si="34"/>
        <v/>
      </c>
      <c r="V94" s="1910" t="str">
        <f t="shared" si="34"/>
        <v/>
      </c>
      <c r="W94" s="1910" t="str">
        <f t="shared" si="34"/>
        <v/>
      </c>
      <c r="X94" s="1910" t="str">
        <f t="shared" si="34"/>
        <v/>
      </c>
      <c r="Y94" s="1910" t="str">
        <f t="shared" si="34"/>
        <v/>
      </c>
      <c r="Z94" s="1911" t="str">
        <f t="shared" si="34"/>
        <v/>
      </c>
      <c r="AA94" s="2"/>
      <c r="AB94" s="1177">
        <f t="shared" si="28"/>
        <v>2</v>
      </c>
      <c r="AC94" s="935">
        <f>IF(CNTR_ExistSubInstEntries,IF(OR($M12&lt;&gt;EUconst_Relevant,AC87&gt;=CNTR_ReportingYear,AC87&lt;V12-1,$E94=""),0,IF(AND($T77=2,$S54),2,1)),2)</f>
        <v>2</v>
      </c>
      <c r="AD94" s="935">
        <f>IF(CNTR_ExistSubInstEntries,IF(OR($M12&lt;&gt;EUconst_Relevant,AD87&gt;=CNTR_ReportingYear,AD87&lt;V12-1,$E94=""),0,IF(AND($T77=2,$S54),2,1)),2)</f>
        <v>2</v>
      </c>
      <c r="AE94" s="935">
        <f>IF(CNTR_ExistSubInstEntries,IF(OR($M12&lt;&gt;EUconst_Relevant,AE87&gt;=CNTR_ReportingYear,AE87&lt;V12-1,$E94=""),0,IF(AND($T77=2,$S54),2,1)),2)</f>
        <v>2</v>
      </c>
      <c r="AF94" s="935">
        <f>IF(CNTR_ExistSubInstEntries,IF(OR($M12&lt;&gt;EUconst_Relevant,AF87&gt;=CNTR_ReportingYear,AF87&lt;V12-1,$E94=""),0,IF(AND($T77=2,$S54),2,1)),2)</f>
        <v>2</v>
      </c>
      <c r="AG94" s="935">
        <f>IF(CNTR_ExistSubInstEntries,IF(OR($M12&lt;&gt;EUconst_Relevant,AG87&gt;=CNTR_ReportingYear,AG87&lt;V12-1,$E94=""),0,IF(AND($T77=2,$S54),2,1)),2)</f>
        <v>2</v>
      </c>
      <c r="AH94" s="935">
        <f>IF(CNTR_ExistSubInstEntries,IF(OR($M12&lt;&gt;EUconst_Relevant,AH87&gt;=CNTR_ReportingYear,AH87&lt;V12-1,$E94=""),0,IF(AND($T77=2,$S54),2,1)),2)</f>
        <v>2</v>
      </c>
      <c r="AI94" s="1183">
        <f>IF(CNTR_ExistSubInstEntries,IF(OR($M12&lt;&gt;EUconst_Relevant,AI87&gt;=CNTR_ReportingYear,AI87&lt;V12-1,$E94=""),0,IF(AND($T77=2,$S54),2,1)),2)</f>
        <v>2</v>
      </c>
      <c r="AJ94" s="349"/>
      <c r="AK94" s="553" t="s">
        <v>2248</v>
      </c>
      <c r="AL94" s="663" t="str">
        <f>IF(AND(CNTR_ExistSubInstEntries,COUNTIFS(AB94:AI94,2,G94:N94,"")&gt;0),EUconst_Error&amp;"FB"&amp;Q12,"")</f>
        <v/>
      </c>
      <c r="AM94" s="349"/>
    </row>
    <row r="95" spans="1:39" ht="12.75" customHeight="1" x14ac:dyDescent="0.25">
      <c r="A95" s="2"/>
      <c r="B95" s="19"/>
      <c r="C95" s="45"/>
      <c r="D95" s="33">
        <f t="shared" si="29"/>
        <v>8</v>
      </c>
      <c r="E95" s="1036" t="str">
        <f t="shared" si="21"/>
        <v/>
      </c>
      <c r="F95" s="550" t="str">
        <f t="shared" si="25"/>
        <v>TJ</v>
      </c>
      <c r="G95" s="468"/>
      <c r="H95" s="1120"/>
      <c r="I95" s="468"/>
      <c r="J95" s="1120"/>
      <c r="K95" s="431"/>
      <c r="L95" s="431"/>
      <c r="M95" s="431"/>
      <c r="N95" s="431"/>
      <c r="O95" s="6"/>
      <c r="P95" s="1362"/>
      <c r="Q95" s="2"/>
      <c r="R95" s="2"/>
      <c r="S95" s="1187" t="str">
        <f>IF($M12&lt;&gt;EUconst_Relevant,"",
IF($V12&gt;($J$950-3),
              IF(INDEX(H72:N72,MATCH($V12,$T87:$Z87,0))=0,0,INDEX(H95:N95,MATCH($V12,$T87:$Z87,0))/INDEX(H72:N72,MATCH($V12,$T87:$Z87,0))),
                             IF(ISNUMBER(G72),
                                            IF(OR(G72=0,$S55=FALSE),0,G95/G72),"")))</f>
        <v/>
      </c>
      <c r="T95" s="1910" t="str">
        <f t="shared" ref="T95:Z95" si="35">IF($E72="","",IF($S55=FALSE,0,IF(SUM($S95)=0,SUM(H95),SUM(H72)*SUM($S95))))</f>
        <v/>
      </c>
      <c r="U95" s="1910" t="str">
        <f t="shared" si="35"/>
        <v/>
      </c>
      <c r="V95" s="1910" t="str">
        <f t="shared" si="35"/>
        <v/>
      </c>
      <c r="W95" s="1910" t="str">
        <f t="shared" si="35"/>
        <v/>
      </c>
      <c r="X95" s="1910" t="str">
        <f t="shared" si="35"/>
        <v/>
      </c>
      <c r="Y95" s="1910" t="str">
        <f t="shared" si="35"/>
        <v/>
      </c>
      <c r="Z95" s="1911" t="str">
        <f t="shared" si="35"/>
        <v/>
      </c>
      <c r="AA95" s="2"/>
      <c r="AB95" s="1177">
        <f t="shared" si="28"/>
        <v>2</v>
      </c>
      <c r="AC95" s="935">
        <f>IF(CNTR_ExistSubInstEntries,IF(OR($M12&lt;&gt;EUconst_Relevant,AC87&gt;=CNTR_ReportingYear,AC87&lt;V12-1,$E95=""),0,IF(AND($T77=2,$S55),2,1)),2)</f>
        <v>2</v>
      </c>
      <c r="AD95" s="935">
        <f>IF(CNTR_ExistSubInstEntries,IF(OR($M12&lt;&gt;EUconst_Relevant,AD87&gt;=CNTR_ReportingYear,AD87&lt;V12-1,$E95=""),0,IF(AND($T77=2,$S55),2,1)),2)</f>
        <v>2</v>
      </c>
      <c r="AE95" s="935">
        <f>IF(CNTR_ExistSubInstEntries,IF(OR($M12&lt;&gt;EUconst_Relevant,AE87&gt;=CNTR_ReportingYear,AE87&lt;V12-1,$E95=""),0,IF(AND($T77=2,$S55),2,1)),2)</f>
        <v>2</v>
      </c>
      <c r="AF95" s="935">
        <f>IF(CNTR_ExistSubInstEntries,IF(OR($M12&lt;&gt;EUconst_Relevant,AF87&gt;=CNTR_ReportingYear,AF87&lt;V12-1,$E95=""),0,IF(AND($T77=2,$S55),2,1)),2)</f>
        <v>2</v>
      </c>
      <c r="AG95" s="935">
        <f>IF(CNTR_ExistSubInstEntries,IF(OR($M12&lt;&gt;EUconst_Relevant,AG87&gt;=CNTR_ReportingYear,AG87&lt;V12-1,$E95=""),0,IF(AND($T77=2,$S55),2,1)),2)</f>
        <v>2</v>
      </c>
      <c r="AH95" s="935">
        <f>IF(CNTR_ExistSubInstEntries,IF(OR($M12&lt;&gt;EUconst_Relevant,AH87&gt;=CNTR_ReportingYear,AH87&lt;V12-1,$E95=""),0,IF(AND($T77=2,$S55),2,1)),2)</f>
        <v>2</v>
      </c>
      <c r="AI95" s="1183">
        <f>IF(CNTR_ExistSubInstEntries,IF(OR($M12&lt;&gt;EUconst_Relevant,AI87&gt;=CNTR_ReportingYear,AI87&lt;V12-1,$E95=""),0,IF(AND($T77=2,$S55),2,1)),2)</f>
        <v>2</v>
      </c>
      <c r="AJ95" s="349"/>
      <c r="AK95" s="553" t="s">
        <v>2248</v>
      </c>
      <c r="AL95" s="663" t="str">
        <f>IF(AND(CNTR_ExistSubInstEntries,COUNTIFS(AB95:AI95,2,G95:N95,"")&gt;0),EUconst_Error&amp;"FB"&amp;Q12,"")</f>
        <v/>
      </c>
      <c r="AM95" s="349"/>
    </row>
    <row r="96" spans="1:39" ht="12.75" customHeight="1" x14ac:dyDescent="0.25">
      <c r="A96" s="2"/>
      <c r="B96" s="19"/>
      <c r="C96" s="45"/>
      <c r="D96" s="33">
        <f t="shared" si="29"/>
        <v>9</v>
      </c>
      <c r="E96" s="1036" t="str">
        <f t="shared" si="21"/>
        <v/>
      </c>
      <c r="F96" s="550" t="str">
        <f t="shared" si="25"/>
        <v>TJ</v>
      </c>
      <c r="G96" s="468"/>
      <c r="H96" s="1120"/>
      <c r="I96" s="468"/>
      <c r="J96" s="1120"/>
      <c r="K96" s="431"/>
      <c r="L96" s="431"/>
      <c r="M96" s="431"/>
      <c r="N96" s="431"/>
      <c r="O96" s="6"/>
      <c r="P96" s="1362"/>
      <c r="Q96" s="2"/>
      <c r="R96" s="2"/>
      <c r="S96" s="1187" t="str">
        <f>IF($M12&lt;&gt;EUconst_Relevant,"",
IF($V12&gt;($J$950-3),
              IF(INDEX(H73:N73,MATCH($V12,$T87:$Z87,0))=0,0,INDEX(H96:N96,MATCH($V12,$T87:$Z87,0))/INDEX(H73:N73,MATCH($V12,$T87:$Z87,0))),
                             IF(ISNUMBER(G73),
                                            IF(OR(G73=0,$S56=FALSE),0,G96/G73),"")))</f>
        <v/>
      </c>
      <c r="T96" s="1910" t="str">
        <f t="shared" ref="T96:Z96" si="36">IF($E73="","",IF($S56=FALSE,0,IF(SUM($S96)=0,SUM(H96),SUM(H73)*SUM($S96))))</f>
        <v/>
      </c>
      <c r="U96" s="1910" t="str">
        <f t="shared" si="36"/>
        <v/>
      </c>
      <c r="V96" s="1910" t="str">
        <f t="shared" si="36"/>
        <v/>
      </c>
      <c r="W96" s="1910" t="str">
        <f t="shared" si="36"/>
        <v/>
      </c>
      <c r="X96" s="1910" t="str">
        <f t="shared" si="36"/>
        <v/>
      </c>
      <c r="Y96" s="1910" t="str">
        <f t="shared" si="36"/>
        <v/>
      </c>
      <c r="Z96" s="1911" t="str">
        <f t="shared" si="36"/>
        <v/>
      </c>
      <c r="AA96" s="2"/>
      <c r="AB96" s="1177">
        <f t="shared" si="28"/>
        <v>2</v>
      </c>
      <c r="AC96" s="935">
        <f>IF(CNTR_ExistSubInstEntries,IF(OR($M12&lt;&gt;EUconst_Relevant,AC87&gt;=CNTR_ReportingYear,AC87&lt;V12-1,$E96=""),0,IF(AND($T77=2,$S56),2,1)),2)</f>
        <v>2</v>
      </c>
      <c r="AD96" s="935">
        <f>IF(CNTR_ExistSubInstEntries,IF(OR($M12&lt;&gt;EUconst_Relevant,AD87&gt;=CNTR_ReportingYear,AD87&lt;V12-1,$E96=""),0,IF(AND($T77=2,$S56),2,1)),2)</f>
        <v>2</v>
      </c>
      <c r="AE96" s="935">
        <f>IF(CNTR_ExistSubInstEntries,IF(OR($M12&lt;&gt;EUconst_Relevant,AE87&gt;=CNTR_ReportingYear,AE87&lt;V12-1,$E96=""),0,IF(AND($T77=2,$S56),2,1)),2)</f>
        <v>2</v>
      </c>
      <c r="AF96" s="935">
        <f>IF(CNTR_ExistSubInstEntries,IF(OR($M12&lt;&gt;EUconst_Relevant,AF87&gt;=CNTR_ReportingYear,AF87&lt;V12-1,$E96=""),0,IF(AND($T77=2,$S56),2,1)),2)</f>
        <v>2</v>
      </c>
      <c r="AG96" s="935">
        <f>IF(CNTR_ExistSubInstEntries,IF(OR($M12&lt;&gt;EUconst_Relevant,AG87&gt;=CNTR_ReportingYear,AG87&lt;V12-1,$E96=""),0,IF(AND($T77=2,$S56),2,1)),2)</f>
        <v>2</v>
      </c>
      <c r="AH96" s="935">
        <f>IF(CNTR_ExistSubInstEntries,IF(OR($M12&lt;&gt;EUconst_Relevant,AH87&gt;=CNTR_ReportingYear,AH87&lt;V12-1,$E96=""),0,IF(AND($T77=2,$S56),2,1)),2)</f>
        <v>2</v>
      </c>
      <c r="AI96" s="1183">
        <f>IF(CNTR_ExistSubInstEntries,IF(OR($M12&lt;&gt;EUconst_Relevant,AI87&gt;=CNTR_ReportingYear,AI87&lt;V12-1,$E96=""),0,IF(AND($T77=2,$S56),2,1)),2)</f>
        <v>2</v>
      </c>
      <c r="AJ96" s="349"/>
      <c r="AK96" s="553" t="s">
        <v>2248</v>
      </c>
      <c r="AL96" s="663" t="str">
        <f>IF(AND(CNTR_ExistSubInstEntries,COUNTIFS(AB96:AI96,2,G96:N96,"")&gt;0),EUconst_Error&amp;"FB"&amp;Q12,"")</f>
        <v/>
      </c>
      <c r="AM96" s="349"/>
    </row>
    <row r="97" spans="1:39" ht="12.75" customHeight="1" thickBot="1" x14ac:dyDescent="0.3">
      <c r="A97" s="2"/>
      <c r="B97" s="19"/>
      <c r="C97" s="45"/>
      <c r="D97" s="36">
        <f t="shared" si="29"/>
        <v>10</v>
      </c>
      <c r="E97" s="1038" t="str">
        <f t="shared" si="21"/>
        <v/>
      </c>
      <c r="F97" s="551" t="str">
        <f t="shared" si="25"/>
        <v>TJ</v>
      </c>
      <c r="G97" s="469"/>
      <c r="H97" s="1112"/>
      <c r="I97" s="469"/>
      <c r="J97" s="1112"/>
      <c r="K97" s="357"/>
      <c r="L97" s="357"/>
      <c r="M97" s="357"/>
      <c r="N97" s="357"/>
      <c r="O97" s="6"/>
      <c r="P97" s="1362"/>
      <c r="Q97" s="2"/>
      <c r="R97" s="2"/>
      <c r="S97" s="1188" t="str">
        <f>IF($M12&lt;&gt;EUconst_Relevant,"",
IF($V12&gt;($J$950-3),
              IF(INDEX(H74:N74,MATCH($V12,$T87:$Z87,0))=0,0,INDEX(H97:N97,MATCH($V12,$T87:$Z87,0))/INDEX(H74:N74,MATCH($V12,$T87:$Z87,0))),
                             IF(ISNUMBER(G74),
                                            IF(OR(G74=0,$S57=FALSE),0,G97/G74),"")))</f>
        <v/>
      </c>
      <c r="T97" s="1912" t="str">
        <f t="shared" ref="T97:Z97" si="37">IF($E74="","",IF($S57=FALSE,0,IF(SUM($S97)=0,SUM(H97),SUM(H74)*SUM($S97))))</f>
        <v/>
      </c>
      <c r="U97" s="1912" t="str">
        <f t="shared" si="37"/>
        <v/>
      </c>
      <c r="V97" s="1912" t="str">
        <f t="shared" si="37"/>
        <v/>
      </c>
      <c r="W97" s="1912" t="str">
        <f t="shared" si="37"/>
        <v/>
      </c>
      <c r="X97" s="1912" t="str">
        <f t="shared" si="37"/>
        <v/>
      </c>
      <c r="Y97" s="1912" t="str">
        <f t="shared" si="37"/>
        <v/>
      </c>
      <c r="Z97" s="1913" t="str">
        <f t="shared" si="37"/>
        <v/>
      </c>
      <c r="AA97" s="2"/>
      <c r="AB97" s="1179">
        <f t="shared" si="28"/>
        <v>2</v>
      </c>
      <c r="AC97" s="1180">
        <f>IF(CNTR_ExistSubInstEntries,IF(OR($M12&lt;&gt;EUconst_Relevant,AC87&gt;=CNTR_ReportingYear,AC87&lt;V12-1,$E97=""),0,IF(AND($T77=2,$S57),2,1)),2)</f>
        <v>2</v>
      </c>
      <c r="AD97" s="1180">
        <f>IF(CNTR_ExistSubInstEntries,IF(OR($M12&lt;&gt;EUconst_Relevant,AD87&gt;=CNTR_ReportingYear,AD87&lt;V12-1,$E97=""),0,IF(AND($T77=2,$S57),2,1)),2)</f>
        <v>2</v>
      </c>
      <c r="AE97" s="1180">
        <f>IF(CNTR_ExistSubInstEntries,IF(OR($M12&lt;&gt;EUconst_Relevant,AE87&gt;=CNTR_ReportingYear,AE87&lt;V12-1,$E97=""),0,IF(AND($T77=2,$S57),2,1)),2)</f>
        <v>2</v>
      </c>
      <c r="AF97" s="1180">
        <f>IF(CNTR_ExistSubInstEntries,IF(OR($M12&lt;&gt;EUconst_Relevant,AF87&gt;=CNTR_ReportingYear,AF87&lt;V12-1,$E97=""),0,IF(AND($T77=2,$S57),2,1)),2)</f>
        <v>2</v>
      </c>
      <c r="AG97" s="1180">
        <f>IF(CNTR_ExistSubInstEntries,IF(OR($M12&lt;&gt;EUconst_Relevant,AG87&gt;=CNTR_ReportingYear,AG87&lt;V12-1,$E97=""),0,IF(AND($T77=2,$S57),2,1)),2)</f>
        <v>2</v>
      </c>
      <c r="AH97" s="1180">
        <f>IF(CNTR_ExistSubInstEntries,IF(OR($M12&lt;&gt;EUconst_Relevant,AH87&gt;=CNTR_ReportingYear,AH87&lt;V12-1,$E97=""),0,IF(AND($T77=2,$S57),2,1)),2)</f>
        <v>2</v>
      </c>
      <c r="AI97" s="1184">
        <f>IF(CNTR_ExistSubInstEntries,IF(OR($M12&lt;&gt;EUconst_Relevant,AI87&gt;=CNTR_ReportingYear,AI87&lt;V12-1,$E97=""),0,IF(AND($T77=2,$S57),2,1)),2)</f>
        <v>2</v>
      </c>
      <c r="AJ97" s="349"/>
      <c r="AK97" s="553" t="s">
        <v>2248</v>
      </c>
      <c r="AL97" s="663" t="str">
        <f>IF(AND(CNTR_ExistSubInstEntries,COUNTIFS(AB97:AI97,2,G97:N97,"")&gt;0),EUconst_Error&amp;"FB"&amp;Q12,"")</f>
        <v/>
      </c>
      <c r="AM97" s="349"/>
    </row>
    <row r="98" spans="1:39" ht="12.75" customHeight="1" thickBot="1" x14ac:dyDescent="0.3">
      <c r="A98" s="2"/>
      <c r="B98" s="19"/>
      <c r="C98" s="19"/>
      <c r="D98" s="90"/>
      <c r="E98" s="1135" t="str">
        <f>Translations!$B$1505</f>
        <v>Summa förbrukning</v>
      </c>
      <c r="F98" s="551" t="str">
        <f t="shared" si="25"/>
        <v>TJ</v>
      </c>
      <c r="G98" s="281" t="str">
        <f t="shared" ref="G98:N98" si="38">IF(COUNT(G88:G97)&gt;0,SUMIF($S48:$S57,TRUE,G88:G97),"")</f>
        <v/>
      </c>
      <c r="H98" s="1118" t="str">
        <f t="shared" si="38"/>
        <v/>
      </c>
      <c r="I98" s="281" t="str">
        <f t="shared" si="38"/>
        <v/>
      </c>
      <c r="J98" s="1118" t="str">
        <f t="shared" si="38"/>
        <v/>
      </c>
      <c r="K98" s="275" t="str">
        <f t="shared" si="38"/>
        <v/>
      </c>
      <c r="L98" s="275" t="str">
        <f t="shared" si="38"/>
        <v/>
      </c>
      <c r="M98" s="275" t="str">
        <f t="shared" si="38"/>
        <v/>
      </c>
      <c r="N98" s="275" t="str">
        <f t="shared" si="38"/>
        <v/>
      </c>
      <c r="O98" s="6"/>
      <c r="P98" s="6"/>
      <c r="Q98" s="2"/>
      <c r="R98" s="2"/>
      <c r="S98" s="1914" t="str">
        <f>IF(AND(SUM(S88:S97)&gt;0,G104=""),INDEX(H98:N98,MATCH($V12,T87:Z87,0))/INDEX(H75:N75,MATCH($V12,T87:Z87,0)),G104)</f>
        <v/>
      </c>
      <c r="T98" s="2"/>
      <c r="U98" s="2"/>
      <c r="V98" s="2"/>
      <c r="W98" s="2"/>
      <c r="X98" s="2"/>
      <c r="Y98" s="2"/>
      <c r="Z98" s="2"/>
      <c r="AA98" s="2"/>
      <c r="AB98" s="343"/>
      <c r="AC98" s="2"/>
      <c r="AD98" s="2"/>
      <c r="AE98" s="349"/>
      <c r="AF98" s="349"/>
      <c r="AG98" s="349"/>
      <c r="AH98" s="349"/>
      <c r="AI98" s="349"/>
      <c r="AJ98" s="349"/>
      <c r="AK98" s="349"/>
      <c r="AL98" s="349"/>
      <c r="AM98" s="349"/>
    </row>
    <row r="99" spans="1:39" ht="12.75" customHeight="1" x14ac:dyDescent="0.25">
      <c r="A99" s="2"/>
      <c r="B99" s="19"/>
      <c r="C99" s="19"/>
      <c r="D99" s="1203"/>
      <c r="E99" s="931" t="str">
        <f>Translations!$B$1506</f>
        <v>Andel av a)</v>
      </c>
      <c r="F99" s="633" t="str">
        <f t="shared" si="25"/>
        <v>TJ</v>
      </c>
      <c r="G99" s="1649" t="str">
        <f>IF(COUNT(I28,G98)=2,IF(I28=0,EUconst_NA,G98/I28),"")</f>
        <v/>
      </c>
      <c r="H99" s="1650" t="str">
        <f t="shared" ref="H99:N99" si="39">IF(COUNT(H20,H98)=2,IF(H20=0,EUconst_NA,H98/H20),"")</f>
        <v/>
      </c>
      <c r="I99" s="1651" t="str">
        <f t="shared" si="39"/>
        <v/>
      </c>
      <c r="J99" s="1650" t="str">
        <f t="shared" si="39"/>
        <v/>
      </c>
      <c r="K99" s="1652" t="str">
        <f t="shared" si="39"/>
        <v/>
      </c>
      <c r="L99" s="1652" t="str">
        <f t="shared" si="39"/>
        <v/>
      </c>
      <c r="M99" s="1652" t="str">
        <f t="shared" si="39"/>
        <v/>
      </c>
      <c r="N99" s="1652" t="str">
        <f t="shared" si="39"/>
        <v/>
      </c>
      <c r="O99" s="6"/>
      <c r="P99" s="6"/>
      <c r="Q99" s="2"/>
      <c r="R99" s="2"/>
      <c r="S99" s="2"/>
      <c r="T99" s="2"/>
      <c r="U99" s="2"/>
      <c r="V99" s="2"/>
      <c r="W99" s="2"/>
      <c r="X99" s="2"/>
      <c r="Y99" s="2"/>
      <c r="Z99" s="2"/>
      <c r="AA99" s="2"/>
      <c r="AB99" s="343"/>
      <c r="AC99" s="2"/>
      <c r="AD99" s="2"/>
      <c r="AE99" s="349"/>
      <c r="AF99" s="349"/>
      <c r="AG99" s="349"/>
      <c r="AH99" s="349"/>
      <c r="AI99" s="349"/>
      <c r="AJ99" s="349"/>
      <c r="AK99" s="349"/>
      <c r="AL99" s="349"/>
      <c r="AM99" s="349"/>
    </row>
    <row r="100" spans="1:39" ht="14.25" customHeight="1" x14ac:dyDescent="0.25">
      <c r="A100" s="2"/>
      <c r="B100" s="19"/>
      <c r="C100" s="3"/>
      <c r="D100" s="3"/>
      <c r="E100" s="3"/>
      <c r="F100" s="3"/>
      <c r="G100" s="3"/>
      <c r="H100" s="3"/>
      <c r="I100" s="3"/>
      <c r="J100" s="3"/>
      <c r="K100" s="3"/>
      <c r="L100" s="3"/>
      <c r="M100" s="3"/>
      <c r="N100" s="3"/>
      <c r="O100" s="6"/>
      <c r="P100" s="6"/>
      <c r="Q100" s="2"/>
      <c r="R100" s="2"/>
      <c r="S100" s="2"/>
      <c r="T100" s="2"/>
      <c r="U100" s="2"/>
      <c r="V100" s="2"/>
      <c r="W100" s="2"/>
      <c r="X100" s="2"/>
      <c r="Y100" s="2"/>
      <c r="Z100" s="343"/>
      <c r="AA100" s="343"/>
      <c r="AB100" s="343"/>
      <c r="AC100" s="2"/>
      <c r="AD100" s="2"/>
      <c r="AE100" s="349"/>
      <c r="AF100" s="349"/>
      <c r="AG100" s="349"/>
      <c r="AH100" s="349"/>
      <c r="AI100" s="349"/>
      <c r="AJ100" s="349"/>
      <c r="AK100" s="349"/>
      <c r="AL100" s="349"/>
      <c r="AM100" s="349"/>
    </row>
    <row r="101" spans="1:39" ht="12.75" customHeight="1" x14ac:dyDescent="0.25">
      <c r="A101" s="2"/>
      <c r="B101" s="3"/>
      <c r="C101" s="13"/>
      <c r="D101" s="13" t="s">
        <v>1920</v>
      </c>
      <c r="E101" s="1943" t="str">
        <f>Translations!$B$1507</f>
        <v>Specifik energiförbrukning</v>
      </c>
      <c r="F101" s="1963"/>
      <c r="G101" s="1963"/>
      <c r="H101" s="1963"/>
      <c r="I101" s="1963"/>
      <c r="J101" s="1963"/>
      <c r="K101" s="1963"/>
      <c r="L101" s="1963"/>
      <c r="M101" s="1963"/>
      <c r="N101" s="1963"/>
      <c r="O101" s="6"/>
      <c r="P101" s="6"/>
      <c r="Q101" s="7"/>
      <c r="R101" s="2"/>
      <c r="S101" s="2"/>
      <c r="T101" s="2"/>
      <c r="U101" s="2"/>
      <c r="V101" s="2"/>
      <c r="W101" s="2"/>
      <c r="X101" s="2"/>
      <c r="Y101" s="2"/>
      <c r="Z101" s="2"/>
      <c r="AA101" s="2"/>
      <c r="AB101" s="343"/>
      <c r="AC101" s="2"/>
      <c r="AD101" s="2"/>
      <c r="AE101" s="349"/>
      <c r="AF101" s="349"/>
      <c r="AG101" s="349"/>
      <c r="AH101" s="349"/>
      <c r="AI101" s="349"/>
      <c r="AJ101" s="349"/>
      <c r="AK101" s="349"/>
      <c r="AL101" s="349"/>
      <c r="AM101" s="349"/>
    </row>
    <row r="102" spans="1:39" ht="12.75" customHeight="1" x14ac:dyDescent="0.25">
      <c r="A102" s="2"/>
      <c r="B102" s="19"/>
      <c r="C102" s="3"/>
      <c r="D102" s="3"/>
      <c r="E102" s="2061" t="str">
        <f>Translations!$B$1508</f>
        <v>Den specifika energiförbrukningen fastställs i enlighet med avsnitt 6.1 i vägledningsdokument 7 för värden som uppfyller kriterierna under punkt b.1 ovan.</v>
      </c>
      <c r="F102" s="1963"/>
      <c r="G102" s="1963"/>
      <c r="H102" s="1963"/>
      <c r="I102" s="1963"/>
      <c r="J102" s="1963"/>
      <c r="K102" s="1963"/>
      <c r="L102" s="1963"/>
      <c r="M102" s="1963"/>
      <c r="N102" s="1963"/>
      <c r="O102" s="6"/>
      <c r="P102" s="6"/>
      <c r="Q102" s="2"/>
      <c r="R102" s="2"/>
      <c r="S102" s="2"/>
      <c r="T102" s="2"/>
      <c r="U102" s="2"/>
      <c r="V102" s="2"/>
      <c r="W102" s="2"/>
      <c r="X102" s="2"/>
      <c r="Y102" s="2"/>
      <c r="Z102" s="343"/>
      <c r="AA102" s="343"/>
      <c r="AB102" s="343"/>
      <c r="AC102" s="2"/>
      <c r="AD102" s="2"/>
      <c r="AE102" s="349"/>
      <c r="AF102" s="349"/>
      <c r="AG102" s="349"/>
      <c r="AH102" s="349"/>
      <c r="AI102" s="349"/>
      <c r="AJ102" s="349"/>
      <c r="AK102" s="349"/>
      <c r="AL102" s="349"/>
      <c r="AM102" s="349"/>
    </row>
    <row r="103" spans="1:39" s="1195" customFormat="1" ht="12.75" customHeight="1" x14ac:dyDescent="0.3">
      <c r="A103" s="1189"/>
      <c r="B103" s="1190"/>
      <c r="C103" s="1190"/>
      <c r="D103" s="1191"/>
      <c r="E103" s="1093"/>
      <c r="F103" s="1095" t="str">
        <f>EUconst_Unit</f>
        <v>Enhet</v>
      </c>
      <c r="G103" s="1204" t="str">
        <f>Translations!$B$1495</f>
        <v>NIMs-värde</v>
      </c>
      <c r="H103" s="1193">
        <f t="shared" ref="H103:N103" si="40">H$950</f>
        <v>2019</v>
      </c>
      <c r="I103" s="1204">
        <f t="shared" si="40"/>
        <v>2020</v>
      </c>
      <c r="J103" s="1205">
        <f t="shared" si="40"/>
        <v>2021</v>
      </c>
      <c r="K103" s="1193">
        <f t="shared" si="40"/>
        <v>2022</v>
      </c>
      <c r="L103" s="1193">
        <f t="shared" si="40"/>
        <v>2023</v>
      </c>
      <c r="M103" s="1193">
        <f t="shared" si="40"/>
        <v>2024</v>
      </c>
      <c r="N103" s="1193">
        <f t="shared" si="40"/>
        <v>2025</v>
      </c>
      <c r="O103" s="978"/>
      <c r="P103" s="6"/>
      <c r="Q103" s="1189"/>
      <c r="R103" s="1189"/>
      <c r="S103" s="1189"/>
      <c r="T103" s="1189" t="str">
        <f t="shared" ref="T103:Z103" si="41">IF($E70="","",IF($S53=FALSE,0,IF($S93=0,SUM(H93),SUM(H70)*SUM($S93))))</f>
        <v/>
      </c>
      <c r="U103" s="1189" t="str">
        <f t="shared" si="41"/>
        <v/>
      </c>
      <c r="V103" s="1189" t="str">
        <f t="shared" si="41"/>
        <v/>
      </c>
      <c r="W103" s="1189" t="str">
        <f t="shared" si="41"/>
        <v/>
      </c>
      <c r="X103" s="1189" t="str">
        <f t="shared" si="41"/>
        <v/>
      </c>
      <c r="Y103" s="1189" t="str">
        <f t="shared" si="41"/>
        <v/>
      </c>
      <c r="Z103" s="1189" t="str">
        <f t="shared" si="41"/>
        <v/>
      </c>
      <c r="AA103" s="711"/>
      <c r="AB103" s="7"/>
      <c r="AC103" s="1189"/>
      <c r="AD103" s="1189"/>
      <c r="AE103" s="1189"/>
      <c r="AF103" s="1189"/>
      <c r="AG103" s="1189"/>
      <c r="AH103" s="1189"/>
      <c r="AI103" s="1189"/>
      <c r="AJ103" s="1189"/>
      <c r="AK103" s="1189"/>
      <c r="AL103" s="1189"/>
      <c r="AM103" s="1194"/>
    </row>
    <row r="104" spans="1:39" ht="25.5" customHeight="1" x14ac:dyDescent="0.25">
      <c r="A104" s="2"/>
      <c r="B104" s="19"/>
      <c r="C104" s="19"/>
      <c r="D104" s="175"/>
      <c r="E104" s="931" t="str">
        <f>Translations!$B$1507</f>
        <v>Specifik energiförbrukning</v>
      </c>
      <c r="F104" s="1654" t="str">
        <f>EUconst_TJ &amp; " / " &amp; IF(F75="",EUconst_Unit,F75)</f>
        <v>TJ / Enhet</v>
      </c>
      <c r="G104" s="1532" t="str">
        <f>IF(AND(SUM(G98)&gt;0,V12&lt;=$H$950),SUMPRODUCT(S88:S97,G88:G97)/G98,"")</f>
        <v/>
      </c>
      <c r="H104" s="1533" t="str">
        <f>IF(SUM(H98)&gt;0,$S98*H98/SUM(T88:T97),"")</f>
        <v/>
      </c>
      <c r="I104" s="1534" t="str">
        <f t="shared" ref="I104:N104" si="42">IF(SUM(I98)&gt;0,$S98*I98/SUM(U88:U97),"")</f>
        <v/>
      </c>
      <c r="J104" s="1535" t="str">
        <f t="shared" si="42"/>
        <v/>
      </c>
      <c r="K104" s="1536" t="str">
        <f t="shared" si="42"/>
        <v/>
      </c>
      <c r="L104" s="1536" t="str">
        <f t="shared" si="42"/>
        <v/>
      </c>
      <c r="M104" s="1536" t="str">
        <f t="shared" si="42"/>
        <v/>
      </c>
      <c r="N104" s="1536" t="str">
        <f t="shared" si="42"/>
        <v/>
      </c>
      <c r="O104" s="918"/>
      <c r="P104" s="6"/>
      <c r="Q104" s="165" t="str">
        <f>EUconst_CNTR_EnEff&amp;I12</f>
        <v>EnEff_Delanläggning med värmeriktmärke, KL</v>
      </c>
      <c r="R104" s="2"/>
      <c r="S104" s="2"/>
      <c r="T104" s="2"/>
      <c r="U104" s="2"/>
      <c r="V104" s="2"/>
      <c r="W104" s="2"/>
      <c r="X104" s="2"/>
      <c r="Y104" s="2"/>
      <c r="Z104" s="2"/>
      <c r="AA104" s="2"/>
      <c r="AB104" s="343"/>
      <c r="AC104" s="2"/>
      <c r="AD104" s="2"/>
      <c r="AE104" s="2"/>
      <c r="AF104" s="2"/>
      <c r="AG104" s="2"/>
      <c r="AH104" s="2"/>
      <c r="AI104" s="2"/>
      <c r="AJ104" s="2"/>
      <c r="AK104" s="2"/>
      <c r="AL104" s="2"/>
      <c r="AM104" s="349"/>
    </row>
    <row r="105" spans="1:39" ht="5.15" customHeight="1" thickBot="1" x14ac:dyDescent="0.3">
      <c r="A105" s="2"/>
      <c r="B105" s="19"/>
      <c r="C105" s="19"/>
      <c r="D105" s="19"/>
      <c r="E105" s="19"/>
      <c r="F105" s="19"/>
      <c r="G105" s="19"/>
      <c r="H105" s="19"/>
      <c r="I105" s="99"/>
      <c r="J105" s="19"/>
      <c r="K105" s="19"/>
      <c r="L105" s="19"/>
      <c r="M105" s="19"/>
      <c r="N105" s="19"/>
      <c r="O105" s="15"/>
      <c r="P105" s="6"/>
      <c r="Q105" s="130"/>
      <c r="R105" s="2"/>
      <c r="S105" s="343"/>
      <c r="T105" s="343"/>
      <c r="U105" s="2"/>
      <c r="V105" s="2"/>
      <c r="W105" s="2"/>
      <c r="X105" s="2"/>
      <c r="Y105" s="2"/>
      <c r="Z105" s="2"/>
      <c r="AA105" s="2"/>
      <c r="AB105" s="343"/>
      <c r="AC105" s="2"/>
      <c r="AD105" s="2"/>
      <c r="AE105" s="2"/>
      <c r="AF105" s="2"/>
      <c r="AG105" s="2"/>
      <c r="AH105" s="2"/>
      <c r="AI105" s="2"/>
      <c r="AJ105" s="2"/>
      <c r="AK105" s="2"/>
      <c r="AL105" s="2"/>
      <c r="AM105" s="349"/>
    </row>
    <row r="106" spans="1:39" ht="5.15" customHeight="1" thickBot="1" x14ac:dyDescent="0.3">
      <c r="A106" s="2"/>
      <c r="B106" s="19"/>
      <c r="C106" s="19"/>
      <c r="D106" s="1285"/>
      <c r="E106" s="1286"/>
      <c r="F106" s="1286"/>
      <c r="G106" s="1286"/>
      <c r="H106" s="1286"/>
      <c r="I106" s="1287"/>
      <c r="J106" s="1286"/>
      <c r="K106" s="1286"/>
      <c r="L106" s="1286"/>
      <c r="M106" s="1286"/>
      <c r="N106" s="1288"/>
      <c r="O106" s="15"/>
      <c r="P106" s="6"/>
      <c r="Q106" s="130"/>
      <c r="R106" s="2"/>
      <c r="S106" s="343"/>
      <c r="T106" s="343"/>
      <c r="U106" s="2"/>
      <c r="V106" s="2"/>
      <c r="W106" s="2"/>
      <c r="X106" s="2"/>
      <c r="Y106" s="2"/>
      <c r="Z106" s="2"/>
      <c r="AA106" s="2"/>
      <c r="AB106" s="343"/>
      <c r="AC106" s="2"/>
      <c r="AD106" s="2"/>
      <c r="AE106" s="2"/>
      <c r="AF106" s="2"/>
      <c r="AG106" s="2"/>
      <c r="AH106" s="2"/>
      <c r="AI106" s="2"/>
      <c r="AJ106" s="2"/>
      <c r="AK106" s="2"/>
      <c r="AL106" s="2"/>
      <c r="AM106" s="349"/>
    </row>
    <row r="107" spans="1:39" ht="12.75" customHeight="1" x14ac:dyDescent="0.25">
      <c r="A107" s="343"/>
      <c r="B107" s="178"/>
      <c r="C107" s="19"/>
      <c r="D107" s="1242"/>
      <c r="E107" s="1243" t="str">
        <f>Translations!$B$1509</f>
        <v>Justeringar: Effektivitetsförbättringar</v>
      </c>
      <c r="F107" s="1244"/>
      <c r="G107" s="1244"/>
      <c r="H107" s="1228" t="str">
        <f>EUconst_Unit</f>
        <v>Enhet</v>
      </c>
      <c r="I107" s="1229" t="str">
        <f>Translations!$B$1510</f>
        <v>Basvärde</v>
      </c>
      <c r="J107" s="1268">
        <f>J$950</f>
        <v>2021</v>
      </c>
      <c r="K107" s="1230">
        <f>K$950</f>
        <v>2022</v>
      </c>
      <c r="L107" s="1230">
        <f>L$950</f>
        <v>2023</v>
      </c>
      <c r="M107" s="1230">
        <f>M$950</f>
        <v>2024</v>
      </c>
      <c r="N107" s="1245">
        <f>N$950</f>
        <v>2025</v>
      </c>
      <c r="O107" s="15"/>
      <c r="P107" s="6"/>
      <c r="Q107" s="343"/>
      <c r="R107" s="2"/>
      <c r="S107" s="2"/>
      <c r="T107" s="2"/>
      <c r="U107" s="772"/>
      <c r="V107" s="1077">
        <f>J107</f>
        <v>2021</v>
      </c>
      <c r="W107" s="1077">
        <f>K107</f>
        <v>2022</v>
      </c>
      <c r="X107" s="1077">
        <f>L107</f>
        <v>2023</v>
      </c>
      <c r="Y107" s="1077">
        <f>M107</f>
        <v>2024</v>
      </c>
      <c r="Z107" s="1078">
        <f>N107</f>
        <v>2025</v>
      </c>
      <c r="AA107" s="2"/>
      <c r="AB107" s="343"/>
      <c r="AC107" s="2"/>
      <c r="AD107" s="2"/>
      <c r="AE107" s="2"/>
      <c r="AF107" s="2"/>
      <c r="AG107" s="2"/>
      <c r="AH107" s="2"/>
      <c r="AI107" s="2"/>
      <c r="AJ107" s="2"/>
      <c r="AK107" s="2"/>
      <c r="AL107" s="2"/>
      <c r="AM107" s="349"/>
    </row>
    <row r="108" spans="1:39" ht="12.75" customHeight="1" x14ac:dyDescent="0.25">
      <c r="A108" s="343"/>
      <c r="B108" s="178"/>
      <c r="C108" s="19"/>
      <c r="D108" s="1246" t="s">
        <v>9</v>
      </c>
      <c r="E108" s="2712" t="str">
        <f>Translations!$B$1511</f>
        <v>Genomsnittlig årlig effektivitet</v>
      </c>
      <c r="F108" s="2712"/>
      <c r="G108" s="2712"/>
      <c r="H108" s="1777" t="str">
        <f>F104</f>
        <v>TJ / Enhet</v>
      </c>
      <c r="I108" s="1129" t="str">
        <f>IF(M12&lt;&gt;EUconst_Relevant,"",IF(V12&gt;($J$950-3),INDEX(H104:N104,MATCH($V12,H103:N103,0)),G104))</f>
        <v/>
      </c>
      <c r="J108" s="1012" t="str">
        <f>IF(AND(V108&gt;=3,COUNT(H104:I104)=2),IF(CNTR_ReportingYear&gt;J103-1,AVERAGE(H104:I104),""),"")</f>
        <v/>
      </c>
      <c r="K108" s="927" t="str">
        <f>IF(AND(W108&gt;=3,COUNT(I104:J104)=2),IF(CNTR_ReportingYear&gt;K103-1,AVERAGE(I104:J104),""),"")</f>
        <v/>
      </c>
      <c r="L108" s="927" t="str">
        <f>IF(AND(X108&gt;=3,COUNT(J104:K104)=2),IF(CNTR_ReportingYear&gt;L103-1,AVERAGE(J104:K104),""),"")</f>
        <v/>
      </c>
      <c r="M108" s="927" t="str">
        <f>IF(AND(Y108&gt;=3,COUNT(K104:L104)=2),IF(CNTR_ReportingYear&gt;M103-1,AVERAGE(K104:L104),""),"")</f>
        <v/>
      </c>
      <c r="N108" s="1222" t="str">
        <f>IF(AND(Z108&gt;=3,COUNT(L104:M104)=2),IF(CNTR_ReportingYear&gt;N103-1,AVERAGE(L104:M104),""),"")</f>
        <v/>
      </c>
      <c r="O108" s="15"/>
      <c r="P108" s="6"/>
      <c r="Q108" s="1217" t="str">
        <f>EUconst_CNTR_EnEffInitial &amp; I12</f>
        <v>EnEffIni_Delanläggning med värmeriktmärke, KL</v>
      </c>
      <c r="R108" s="2"/>
      <c r="S108" s="2"/>
      <c r="T108" s="2"/>
      <c r="U108" s="1079" t="s">
        <v>1850</v>
      </c>
      <c r="V108" s="9">
        <f>V28</f>
        <v>0</v>
      </c>
      <c r="W108" s="9">
        <f>W28</f>
        <v>0</v>
      </c>
      <c r="X108" s="9">
        <f>X28</f>
        <v>0</v>
      </c>
      <c r="Y108" s="9">
        <f>Y28</f>
        <v>0</v>
      </c>
      <c r="Z108" s="1089">
        <f>Z28</f>
        <v>0</v>
      </c>
      <c r="AA108" s="2"/>
      <c r="AB108" s="343"/>
      <c r="AC108" s="2"/>
      <c r="AD108" s="2"/>
      <c r="AE108" s="2"/>
      <c r="AF108" s="2"/>
      <c r="AG108" s="2"/>
      <c r="AH108" s="2"/>
      <c r="AI108" s="2"/>
      <c r="AJ108" s="2"/>
      <c r="AK108" s="2"/>
      <c r="AL108" s="2"/>
      <c r="AM108" s="349"/>
    </row>
    <row r="109" spans="1:39" ht="12.75" customHeight="1" x14ac:dyDescent="0.25">
      <c r="A109" s="343"/>
      <c r="B109" s="178"/>
      <c r="C109" s="19"/>
      <c r="D109" s="1246" t="s">
        <v>10</v>
      </c>
      <c r="E109" s="2712" t="str">
        <f>Translations!$B$1512</f>
        <v>Effektivitetsförbättringar jämfört med basvärde</v>
      </c>
      <c r="F109" s="2717"/>
      <c r="G109" s="2717"/>
      <c r="H109" s="2717"/>
      <c r="I109" s="2720"/>
      <c r="J109" s="1013" t="str">
        <f>IF(J108="","",IF(SUM($I108)=0,IF(J108=0,0%,100%),1-J108/$I108))</f>
        <v/>
      </c>
      <c r="K109" s="938" t="str">
        <f>IF(K108="","",IF(SUM($I108)=0,IF(K108=0,0%,100%),1-K108/$I108))</f>
        <v/>
      </c>
      <c r="L109" s="938" t="str">
        <f>IF(L108="","",IF(SUM($I108)=0,IF(L108=0,0%,100%),1-L108/$I108))</f>
        <v/>
      </c>
      <c r="M109" s="938" t="str">
        <f>IF(M108="","",IF(SUM($I108)=0,IF(M108=0,0%,100%),1-M108/$I108))</f>
        <v/>
      </c>
      <c r="N109" s="1223" t="str">
        <f>IF(N108="","",IF(SUM($I108)=0,IF(N108=0,0%,100%),1-N108/$I108))</f>
        <v/>
      </c>
      <c r="O109" s="15"/>
      <c r="P109" s="6"/>
      <c r="Q109" s="165" t="str">
        <f>EUconst_CNTR_EnEffPct&amp;I12</f>
        <v>EnEffPct_Delanläggning med värmeriktmärke, KL</v>
      </c>
      <c r="R109" s="2"/>
      <c r="S109" s="2"/>
      <c r="T109" s="2"/>
      <c r="U109" s="1079" t="s">
        <v>1855</v>
      </c>
      <c r="V109" s="603" t="str">
        <f>IF(J108="","",J109&gt;15%)</f>
        <v/>
      </c>
      <c r="W109" s="603" t="str">
        <f>IF(K108="","",K109&gt;15%)</f>
        <v/>
      </c>
      <c r="X109" s="603" t="str">
        <f>IF(L108="","",L109&gt;15%)</f>
        <v/>
      </c>
      <c r="Y109" s="603" t="str">
        <f>IF(M108="","",M109&gt;15%)</f>
        <v/>
      </c>
      <c r="Z109" s="1756" t="str">
        <f>IF(N108="","",N109&gt;15%)</f>
        <v/>
      </c>
      <c r="AA109" s="2"/>
      <c r="AB109" s="343"/>
      <c r="AC109" s="2"/>
      <c r="AD109" s="2"/>
      <c r="AE109" s="2"/>
      <c r="AF109" s="2"/>
      <c r="AG109" s="2"/>
      <c r="AH109" s="2"/>
      <c r="AI109" s="2"/>
      <c r="AJ109" s="2"/>
      <c r="AK109" s="2"/>
      <c r="AL109" s="2"/>
      <c r="AM109" s="349"/>
    </row>
    <row r="110" spans="1:39" ht="5.15" customHeight="1" x14ac:dyDescent="0.25">
      <c r="A110" s="343"/>
      <c r="B110" s="178"/>
      <c r="C110" s="19"/>
      <c r="D110" s="1242"/>
      <c r="E110" s="1244"/>
      <c r="F110" s="1244"/>
      <c r="G110" s="1244"/>
      <c r="H110" s="1244"/>
      <c r="I110" s="1244"/>
      <c r="J110" s="1244"/>
      <c r="K110" s="1244"/>
      <c r="L110" s="1244"/>
      <c r="M110" s="1244"/>
      <c r="N110" s="1248"/>
      <c r="O110" s="15"/>
      <c r="P110" s="6"/>
      <c r="Q110" s="343"/>
      <c r="R110" s="2"/>
      <c r="S110" s="2"/>
      <c r="T110" s="2"/>
      <c r="U110" s="1086"/>
      <c r="V110" s="936"/>
      <c r="W110" s="936"/>
      <c r="X110" s="936"/>
      <c r="Y110" s="936"/>
      <c r="Z110" s="1090"/>
      <c r="AA110" s="2"/>
      <c r="AB110" s="343"/>
      <c r="AC110" s="2"/>
      <c r="AD110" s="2"/>
      <c r="AE110" s="349"/>
      <c r="AF110" s="349"/>
      <c r="AG110" s="349"/>
      <c r="AH110" s="349"/>
      <c r="AI110" s="349"/>
      <c r="AJ110" s="349"/>
      <c r="AK110" s="349"/>
      <c r="AL110" s="349"/>
      <c r="AM110" s="349"/>
    </row>
    <row r="111" spans="1:39" ht="12.75" customHeight="1" x14ac:dyDescent="0.25">
      <c r="A111" s="2"/>
      <c r="B111" s="178"/>
      <c r="C111" s="19"/>
      <c r="D111" s="1290" t="s">
        <v>1983</v>
      </c>
      <c r="E111" s="2709" t="str">
        <f>Translations!$B$1513</f>
        <v>Justeringar: Absolut tröskelvärde</v>
      </c>
      <c r="F111" s="2710"/>
      <c r="G111" s="2710"/>
      <c r="H111" s="2710"/>
      <c r="I111" s="2710"/>
      <c r="J111" s="2710"/>
      <c r="K111" s="2710"/>
      <c r="L111" s="2710"/>
      <c r="M111" s="2710"/>
      <c r="N111" s="2711"/>
      <c r="O111" s="15"/>
      <c r="P111" s="6"/>
      <c r="Q111" s="343"/>
      <c r="R111" s="2"/>
      <c r="S111" s="2"/>
      <c r="T111" s="2"/>
      <c r="U111" s="1086"/>
      <c r="V111" s="343"/>
      <c r="W111" s="2"/>
      <c r="X111" s="2"/>
      <c r="Y111" s="2"/>
      <c r="Z111" s="228"/>
      <c r="AA111" s="2"/>
      <c r="AB111" s="343"/>
      <c r="AC111" s="2"/>
      <c r="AD111" s="2"/>
      <c r="AE111" s="349"/>
      <c r="AF111" s="349"/>
      <c r="AG111" s="349"/>
      <c r="AH111" s="349"/>
      <c r="AI111" s="349"/>
      <c r="AJ111" s="349"/>
      <c r="AK111" s="349"/>
      <c r="AL111" s="349"/>
      <c r="AM111" s="349"/>
    </row>
    <row r="112" spans="1:39" ht="12.75" customHeight="1" x14ac:dyDescent="0.25">
      <c r="A112" s="2"/>
      <c r="B112" s="178"/>
      <c r="C112" s="19"/>
      <c r="D112" s="1242"/>
      <c r="E112" s="1234" t="str">
        <f>Translations!$B$1514</f>
        <v>Absolut tröskelvärde</v>
      </c>
      <c r="F112" s="1234"/>
      <c r="G112" s="1234"/>
      <c r="H112" s="1234"/>
      <c r="I112" s="1234"/>
      <c r="J112" s="1268">
        <f>J$950</f>
        <v>2021</v>
      </c>
      <c r="K112" s="1230">
        <f>K$950</f>
        <v>2022</v>
      </c>
      <c r="L112" s="1230">
        <f>L$950</f>
        <v>2023</v>
      </c>
      <c r="M112" s="1230">
        <f>M$950</f>
        <v>2024</v>
      </c>
      <c r="N112" s="1245">
        <f>N$950</f>
        <v>2025</v>
      </c>
      <c r="O112" s="15"/>
      <c r="P112" s="6"/>
      <c r="Q112" s="343"/>
      <c r="R112" s="2"/>
      <c r="S112" s="2"/>
      <c r="T112" s="2"/>
      <c r="U112" s="1086"/>
      <c r="V112" s="2"/>
      <c r="W112" s="2"/>
      <c r="X112" s="2"/>
      <c r="Y112" s="2"/>
      <c r="Z112" s="228"/>
      <c r="AA112" s="2"/>
      <c r="AB112" s="343"/>
      <c r="AC112" s="2"/>
      <c r="AD112" s="2"/>
      <c r="AE112" s="349"/>
      <c r="AF112" s="349"/>
      <c r="AG112" s="349"/>
      <c r="AH112" s="349"/>
      <c r="AI112" s="349"/>
      <c r="AJ112" s="349"/>
      <c r="AK112" s="349"/>
      <c r="AL112" s="349"/>
      <c r="AM112" s="349"/>
    </row>
    <row r="113" spans="1:39" ht="12.75" customHeight="1" x14ac:dyDescent="0.25">
      <c r="A113" s="343"/>
      <c r="B113" s="178"/>
      <c r="C113" s="19"/>
      <c r="D113" s="1242"/>
      <c r="E113" s="2712" t="str">
        <f>Translations!$B$1476</f>
        <v>&gt;= 100 utsläppsrätter kriterium uppnått?</v>
      </c>
      <c r="F113" s="2712"/>
      <c r="G113" s="2712"/>
      <c r="H113" s="2712"/>
      <c r="I113" s="2714"/>
      <c r="J113" s="994" t="str">
        <f>IF($M12&lt;&gt;EUconst_Relevant,"",INDEX(K_Summary!J:J,MATCH($Q113,K_Summary!$P:$P,0)))</f>
        <v/>
      </c>
      <c r="K113" s="912" t="str">
        <f>IF($M12&lt;&gt;EUconst_Relevant,"",INDEX(K_Summary!K:K,MATCH($Q113,K_Summary!$P:$P,0)))</f>
        <v/>
      </c>
      <c r="L113" s="912" t="str">
        <f>IF($M12&lt;&gt;EUconst_Relevant,"",INDEX(K_Summary!L:L,MATCH($Q113,K_Summary!$P:$P,0)))</f>
        <v/>
      </c>
      <c r="M113" s="912" t="str">
        <f>IF($M12&lt;&gt;EUconst_Relevant,"",INDEX(K_Summary!M:M,MATCH($Q113,K_Summary!$P:$P,0)))</f>
        <v/>
      </c>
      <c r="N113" s="1221" t="str">
        <f>IF($M12&lt;&gt;EUconst_Relevant,"",INDEX(K_Summary!N:N,MATCH($Q113,K_Summary!$P:$P,0)))</f>
        <v/>
      </c>
      <c r="O113" s="15"/>
      <c r="P113" s="6"/>
      <c r="Q113" s="165" t="str">
        <f>EUconst_CNTR_100EUA_ActivityLevel&amp;I12</f>
        <v>EUA100AL_Delanläggning med värmeriktmärke, KL</v>
      </c>
      <c r="R113" s="2"/>
      <c r="S113" s="2"/>
      <c r="T113" s="2"/>
      <c r="U113" s="1086"/>
      <c r="V113" s="2"/>
      <c r="W113" s="2"/>
      <c r="X113" s="2"/>
      <c r="Y113" s="2"/>
      <c r="Z113" s="228"/>
      <c r="AA113" s="2"/>
      <c r="AB113" s="343"/>
      <c r="AC113" s="2"/>
      <c r="AD113" s="2"/>
      <c r="AE113" s="349"/>
      <c r="AF113" s="349"/>
      <c r="AG113" s="349"/>
      <c r="AH113" s="349"/>
      <c r="AI113" s="349"/>
      <c r="AJ113" s="349"/>
      <c r="AK113" s="349"/>
      <c r="AL113" s="349"/>
      <c r="AM113" s="349"/>
    </row>
    <row r="114" spans="1:39" ht="5.15" customHeight="1" x14ac:dyDescent="0.25">
      <c r="A114" s="343"/>
      <c r="B114" s="178"/>
      <c r="C114" s="19"/>
      <c r="D114" s="1242"/>
      <c r="E114" s="1244"/>
      <c r="F114" s="1244"/>
      <c r="G114" s="1244"/>
      <c r="H114" s="1244"/>
      <c r="I114" s="1244"/>
      <c r="J114" s="1244"/>
      <c r="K114" s="1244"/>
      <c r="L114" s="1244"/>
      <c r="M114" s="1244"/>
      <c r="N114" s="1248"/>
      <c r="O114" s="15"/>
      <c r="P114" s="6"/>
      <c r="Q114" s="343"/>
      <c r="R114" s="2"/>
      <c r="S114" s="2"/>
      <c r="T114" s="2"/>
      <c r="U114" s="1086"/>
      <c r="V114" s="343"/>
      <c r="W114" s="2"/>
      <c r="X114" s="2"/>
      <c r="Y114" s="2"/>
      <c r="Z114" s="228"/>
      <c r="AA114" s="2"/>
      <c r="AB114" s="343"/>
      <c r="AC114" s="2"/>
      <c r="AD114" s="2"/>
      <c r="AE114" s="349"/>
      <c r="AF114" s="349"/>
      <c r="AG114" s="349"/>
      <c r="AH114" s="349"/>
      <c r="AI114" s="349"/>
      <c r="AJ114" s="349"/>
      <c r="AK114" s="349"/>
      <c r="AL114" s="349"/>
      <c r="AM114" s="349"/>
    </row>
    <row r="115" spans="1:39" ht="12.75" customHeight="1" x14ac:dyDescent="0.25">
      <c r="A115" s="2"/>
      <c r="B115" s="178"/>
      <c r="C115" s="19"/>
      <c r="D115" s="1290" t="s">
        <v>1984</v>
      </c>
      <c r="E115" s="2709" t="str">
        <f>Translations!$B$1515</f>
        <v>Bestämning av justering av faktisk verksamhetsnivå inklusive effektivitetsändringar</v>
      </c>
      <c r="F115" s="2710"/>
      <c r="G115" s="2710"/>
      <c r="H115" s="2710"/>
      <c r="I115" s="2710"/>
      <c r="J115" s="2710"/>
      <c r="K115" s="2710"/>
      <c r="L115" s="2710"/>
      <c r="M115" s="2710"/>
      <c r="N115" s="2711"/>
      <c r="O115" s="15"/>
      <c r="P115" s="6"/>
      <c r="Q115" s="343"/>
      <c r="R115" s="2"/>
      <c r="S115" s="2"/>
      <c r="T115" s="2"/>
      <c r="U115" s="1086"/>
      <c r="V115" s="343"/>
      <c r="W115" s="2"/>
      <c r="X115" s="2"/>
      <c r="Y115" s="2"/>
      <c r="Z115" s="228"/>
      <c r="AA115" s="2"/>
      <c r="AB115" s="343"/>
      <c r="AC115" s="2"/>
      <c r="AD115" s="2"/>
      <c r="AE115" s="349"/>
      <c r="AF115" s="349"/>
      <c r="AG115" s="349"/>
      <c r="AH115" s="349"/>
      <c r="AI115" s="349"/>
      <c r="AJ115" s="349"/>
      <c r="AK115" s="349"/>
      <c r="AL115" s="349"/>
      <c r="AM115" s="349"/>
    </row>
    <row r="116" spans="1:39" ht="12.75" customHeight="1" x14ac:dyDescent="0.25">
      <c r="A116" s="2"/>
      <c r="B116" s="178"/>
      <c r="C116" s="19"/>
      <c r="D116" s="1242"/>
      <c r="E116" s="1234" t="str">
        <f>Translations!$B$1475</f>
        <v>Faktisk justering (grund för följande år)</v>
      </c>
      <c r="F116" s="1234"/>
      <c r="G116" s="1234"/>
      <c r="H116" s="1234"/>
      <c r="I116" s="1234"/>
      <c r="J116" s="1268">
        <f>J$950</f>
        <v>2021</v>
      </c>
      <c r="K116" s="1230">
        <f>K$950</f>
        <v>2022</v>
      </c>
      <c r="L116" s="1230">
        <f>L$950</f>
        <v>2023</v>
      </c>
      <c r="M116" s="1230">
        <f>M$950</f>
        <v>2024</v>
      </c>
      <c r="N116" s="1245">
        <f>N$950</f>
        <v>2025</v>
      </c>
      <c r="O116" s="15"/>
      <c r="P116" s="6"/>
      <c r="Q116" s="343"/>
      <c r="R116" s="2"/>
      <c r="S116" s="2"/>
      <c r="T116" s="2"/>
      <c r="U116" s="584"/>
      <c r="V116" s="2"/>
      <c r="W116" s="2"/>
      <c r="X116" s="2"/>
      <c r="Y116" s="2"/>
      <c r="Z116" s="228"/>
      <c r="AA116" s="2"/>
      <c r="AB116" s="343"/>
      <c r="AC116" s="2"/>
      <c r="AD116" s="2"/>
      <c r="AE116" s="349"/>
      <c r="AF116" s="349"/>
      <c r="AG116" s="349"/>
      <c r="AH116" s="349"/>
      <c r="AI116" s="349"/>
      <c r="AJ116" s="349"/>
      <c r="AK116" s="349"/>
      <c r="AL116" s="349"/>
      <c r="AM116" s="349"/>
    </row>
    <row r="117" spans="1:39" ht="12.75" customHeight="1" x14ac:dyDescent="0.25">
      <c r="A117" s="2"/>
      <c r="B117" s="178"/>
      <c r="C117" s="19"/>
      <c r="D117" s="1246" t="s">
        <v>8</v>
      </c>
      <c r="E117" s="2712" t="str">
        <f>Translations!$B$1516</f>
        <v>Behövs godkännande från behörig myndighet?</v>
      </c>
      <c r="F117" s="2712"/>
      <c r="G117" s="2712"/>
      <c r="H117" s="2712"/>
      <c r="I117" s="2714"/>
      <c r="J117" s="994" t="str">
        <f>IF($M12&lt;&gt;EUconst_Relevant,"",AND(J113,OR(AND(SUM(J29)&lt;-15%,SUM(J109)&gt;15%),AND(SUM(J29)&gt;15%,SUM(J109&lt;-15%)))))</f>
        <v/>
      </c>
      <c r="K117" s="912" t="str">
        <f>IF($M12&lt;&gt;EUconst_Relevant,"",AND(K113,OR(AND(SUM(K29)&lt;-15%,SUM(K109)&gt;15%),AND(SUM(K29)&gt;15%,SUM(K109&lt;-15%)))))</f>
        <v/>
      </c>
      <c r="L117" s="912" t="str">
        <f>IF($M12&lt;&gt;EUconst_Relevant,"",AND(L113,OR(AND(SUM(L29)&lt;-15%,SUM(L109)&gt;15%),AND(SUM(L29)&gt;15%,SUM(L109&lt;-15%)))))</f>
        <v/>
      </c>
      <c r="M117" s="912" t="str">
        <f>IF($M12&lt;&gt;EUconst_Relevant,"",AND(M113,OR(AND(SUM(M29)&lt;-15%,SUM(M109)&gt;15%),AND(SUM(M29)&gt;15%,SUM(M109&lt;-15%)))))</f>
        <v/>
      </c>
      <c r="N117" s="1221" t="str">
        <f>IF($M12&lt;&gt;EUconst_Relevant,"",AND(N113,OR(AND(SUM(N29)&lt;-15%,SUM(N109)&gt;15%),AND(SUM(N29)&gt;15%,SUM(N109&lt;-15%)))))</f>
        <v/>
      </c>
      <c r="O117" s="15"/>
      <c r="P117" s="6"/>
      <c r="Q117" s="165" t="str">
        <f>EUconst_CNTR_CARejectionRelevant&amp;I12</f>
        <v>CARejectRel_Delanläggning med värmeriktmärke, KL</v>
      </c>
      <c r="R117" s="2"/>
      <c r="S117" s="2"/>
      <c r="T117" s="2"/>
      <c r="U117" s="1086"/>
      <c r="V117" s="343"/>
      <c r="W117" s="2"/>
      <c r="X117" s="2"/>
      <c r="Y117" s="2"/>
      <c r="Z117" s="228"/>
      <c r="AA117" s="2"/>
      <c r="AB117" s="343"/>
      <c r="AC117" s="2"/>
      <c r="AD117" s="2"/>
      <c r="AE117" s="349"/>
      <c r="AF117" s="349"/>
      <c r="AG117" s="349"/>
      <c r="AH117" s="349"/>
      <c r="AI117" s="349"/>
      <c r="AJ117" s="349"/>
      <c r="AK117" s="349"/>
      <c r="AL117" s="349"/>
      <c r="AM117" s="349"/>
    </row>
    <row r="118" spans="1:39" ht="25.5" customHeight="1" x14ac:dyDescent="0.25">
      <c r="A118" s="2"/>
      <c r="B118" s="19"/>
      <c r="C118" s="19"/>
      <c r="D118" s="1256"/>
      <c r="E118" s="2713" t="str">
        <f>Translations!$B$1517</f>
        <v>Om ”SANT” visas här har antingen den genomsnittliga verksamhetsnivån minskat med 15 % jämfört med den historiska verksamhetsnivån samtidigt som energieffektiviteten har ökat med mer än 15 %, eller tvärtom. Om detta är fallet bedömer den behöriga myndigheten (se ii nedan) huruvida tilldelningen ska justeras.</v>
      </c>
      <c r="F118" s="2710"/>
      <c r="G118" s="2710"/>
      <c r="H118" s="2710"/>
      <c r="I118" s="2710"/>
      <c r="J118" s="2710"/>
      <c r="K118" s="2710"/>
      <c r="L118" s="2710"/>
      <c r="M118" s="2710"/>
      <c r="N118" s="2711"/>
      <c r="O118" s="15"/>
      <c r="P118" s="6"/>
      <c r="Q118" s="2"/>
      <c r="R118" s="2"/>
      <c r="S118" s="2"/>
      <c r="T118" s="2"/>
      <c r="U118" s="1086"/>
      <c r="V118" s="2"/>
      <c r="W118" s="2"/>
      <c r="X118" s="2"/>
      <c r="Y118" s="2"/>
      <c r="Z118" s="228"/>
      <c r="AA118" s="343"/>
      <c r="AB118" s="343"/>
      <c r="AC118" s="2"/>
      <c r="AD118" s="2"/>
      <c r="AE118" s="349"/>
      <c r="AF118" s="349"/>
      <c r="AG118" s="349"/>
      <c r="AH118" s="349"/>
      <c r="AI118" s="349"/>
      <c r="AJ118" s="349"/>
      <c r="AK118" s="349"/>
      <c r="AL118" s="349"/>
      <c r="AM118" s="349"/>
    </row>
    <row r="119" spans="1:39" ht="12.75" customHeight="1" x14ac:dyDescent="0.25">
      <c r="A119" s="2"/>
      <c r="B119" s="19"/>
      <c r="C119" s="19"/>
      <c r="D119" s="1256"/>
      <c r="E119" s="2713" t="str">
        <f>Translations!$B$1518</f>
        <v>Detta beslut bygger på huruvida det kan bevisas att ändringarna av verksamhetsnivån kan förklaras av den ändrade energieffektiviteten.</v>
      </c>
      <c r="F119" s="2710"/>
      <c r="G119" s="2710"/>
      <c r="H119" s="2710"/>
      <c r="I119" s="2710"/>
      <c r="J119" s="2710"/>
      <c r="K119" s="2710"/>
      <c r="L119" s="2710"/>
      <c r="M119" s="2710"/>
      <c r="N119" s="2711"/>
      <c r="O119" s="15"/>
      <c r="P119" s="6"/>
      <c r="Q119" s="2"/>
      <c r="R119" s="2"/>
      <c r="S119" s="2"/>
      <c r="T119" s="2"/>
      <c r="U119" s="1086"/>
      <c r="V119" s="2"/>
      <c r="W119" s="2"/>
      <c r="X119" s="2"/>
      <c r="Y119" s="2"/>
      <c r="Z119" s="228"/>
      <c r="AA119" s="343"/>
      <c r="AB119" s="343"/>
      <c r="AC119" s="2"/>
      <c r="AD119" s="2"/>
      <c r="AE119" s="349"/>
      <c r="AF119" s="349"/>
      <c r="AG119" s="349"/>
      <c r="AH119" s="349"/>
      <c r="AI119" s="349"/>
      <c r="AJ119" s="349"/>
      <c r="AK119" s="349"/>
      <c r="AL119" s="349"/>
      <c r="AM119" s="349"/>
    </row>
    <row r="120" spans="1:39" ht="5.15" customHeight="1" x14ac:dyDescent="0.25">
      <c r="A120" s="2"/>
      <c r="B120" s="178"/>
      <c r="C120" s="19"/>
      <c r="D120" s="1246"/>
      <c r="E120" s="1244"/>
      <c r="F120" s="1244"/>
      <c r="G120" s="1244"/>
      <c r="H120" s="1244"/>
      <c r="I120" s="1244"/>
      <c r="J120" s="1244"/>
      <c r="K120" s="1244"/>
      <c r="L120" s="1244"/>
      <c r="M120" s="1244"/>
      <c r="N120" s="1248"/>
      <c r="O120" s="15"/>
      <c r="P120" s="6"/>
      <c r="Q120" s="343"/>
      <c r="R120" s="2"/>
      <c r="S120" s="2"/>
      <c r="T120" s="2"/>
      <c r="U120" s="1086"/>
      <c r="V120" s="343"/>
      <c r="W120" s="2"/>
      <c r="X120" s="2"/>
      <c r="Y120" s="2"/>
      <c r="Z120" s="228"/>
      <c r="AA120" s="2"/>
      <c r="AB120" s="343"/>
      <c r="AC120" s="2"/>
      <c r="AD120" s="2"/>
      <c r="AE120" s="349"/>
      <c r="AF120" s="349"/>
      <c r="AG120" s="349"/>
      <c r="AH120" s="349"/>
      <c r="AI120" s="349"/>
      <c r="AJ120" s="349"/>
      <c r="AK120" s="349"/>
      <c r="AL120" s="349"/>
      <c r="AM120" s="349"/>
    </row>
    <row r="121" spans="1:39" ht="12.75" customHeight="1" x14ac:dyDescent="0.25">
      <c r="A121" s="2"/>
      <c r="B121" s="178"/>
      <c r="C121" s="19"/>
      <c r="D121" s="1246" t="s">
        <v>9</v>
      </c>
      <c r="E121" s="2712" t="str">
        <f>Translations!$B$1519</f>
        <v>Behörig myndighet avslår justeringen?</v>
      </c>
      <c r="F121" s="2717"/>
      <c r="G121" s="2717"/>
      <c r="H121" s="2717"/>
      <c r="I121" s="2720"/>
      <c r="J121" s="1725" t="b">
        <v>0</v>
      </c>
      <c r="K121" s="1726" t="b">
        <v>0</v>
      </c>
      <c r="L121" s="1726" t="b">
        <v>0</v>
      </c>
      <c r="M121" s="1726" t="b">
        <v>0</v>
      </c>
      <c r="N121" s="1727" t="b">
        <v>0</v>
      </c>
      <c r="O121" s="15"/>
      <c r="P121" s="1362"/>
      <c r="Q121" s="165" t="str">
        <f>EUconst_CNTR_CARejection &amp; I12</f>
        <v>CAReject_Delanläggning med värmeriktmärke, KL</v>
      </c>
      <c r="R121" s="2"/>
      <c r="S121" s="2"/>
      <c r="T121" s="2"/>
      <c r="U121" s="1086"/>
      <c r="V121" s="343"/>
      <c r="W121" s="2"/>
      <c r="X121" s="2"/>
      <c r="Y121" s="2"/>
      <c r="Z121" s="228"/>
      <c r="AA121" s="2"/>
      <c r="AB121" s="2"/>
      <c r="AC121" s="2"/>
      <c r="AD121" s="343" t="s">
        <v>1213</v>
      </c>
      <c r="AE121" s="1528" t="b">
        <f>AND($M12=EUconst_Relevant,J117=FALSE)</f>
        <v>0</v>
      </c>
      <c r="AF121" s="165" t="b">
        <f>AND($M12=EUconst_Relevant,K117=FALSE)</f>
        <v>0</v>
      </c>
      <c r="AG121" s="165" t="b">
        <f>AND($M12=EUconst_Relevant,L117=FALSE)</f>
        <v>0</v>
      </c>
      <c r="AH121" s="165" t="b">
        <f>AND($M12=EUconst_Relevant,M117=FALSE)</f>
        <v>0</v>
      </c>
      <c r="AI121" s="165" t="b">
        <f>AND($M12=EUconst_Relevant,N117=FALSE)</f>
        <v>0</v>
      </c>
      <c r="AJ121" s="349"/>
      <c r="AK121" s="349"/>
      <c r="AL121" s="349"/>
      <c r="AM121" s="349"/>
    </row>
    <row r="122" spans="1:39" ht="12.75" customHeight="1" x14ac:dyDescent="0.25">
      <c r="A122" s="2"/>
      <c r="B122" s="19"/>
      <c r="C122" s="19"/>
      <c r="D122" s="1256"/>
      <c r="E122" s="2722" t="str">
        <f>Translations!$B$1520</f>
        <v>VIKTIG ANMÄRKNING: Det här avsnittet är reserverat för den behöriga myndigheten, och du ska endast fylla i det om den behöriga myndigheten har anvisat detta.</v>
      </c>
      <c r="F122" s="2709"/>
      <c r="G122" s="2709"/>
      <c r="H122" s="2709"/>
      <c r="I122" s="2709"/>
      <c r="J122" s="2709"/>
      <c r="K122" s="2709"/>
      <c r="L122" s="2709"/>
      <c r="M122" s="2709"/>
      <c r="N122" s="2723"/>
      <c r="O122" s="15"/>
      <c r="P122" s="6"/>
      <c r="Q122" s="2"/>
      <c r="R122" s="2"/>
      <c r="S122" s="2"/>
      <c r="T122" s="2"/>
      <c r="U122" s="1086"/>
      <c r="V122" s="2"/>
      <c r="W122" s="2"/>
      <c r="X122" s="2"/>
      <c r="Y122" s="2"/>
      <c r="Z122" s="228"/>
      <c r="AA122" s="343"/>
      <c r="AB122" s="343"/>
      <c r="AC122" s="2"/>
      <c r="AD122" s="2"/>
      <c r="AE122" s="349"/>
      <c r="AF122" s="349"/>
      <c r="AG122" s="349"/>
      <c r="AH122" s="349"/>
      <c r="AI122" s="349"/>
      <c r="AJ122" s="349"/>
      <c r="AK122" s="349"/>
      <c r="AL122" s="349"/>
      <c r="AM122" s="349"/>
    </row>
    <row r="123" spans="1:39" ht="12.75" customHeight="1" x14ac:dyDescent="0.25">
      <c r="A123" s="2"/>
      <c r="B123" s="19"/>
      <c r="C123" s="19"/>
      <c r="D123" s="1256"/>
      <c r="E123" s="2713" t="str">
        <f>Translations!$B$1521</f>
        <v>Enligt artikel 6.1 och 6.2 kan den behöriga myndigheten avslå justering av gratis tilldelning. Välj SANT här för att avslå en eventuell justering i förekommande fall.</v>
      </c>
      <c r="F123" s="2710"/>
      <c r="G123" s="2710"/>
      <c r="H123" s="2710"/>
      <c r="I123" s="2710"/>
      <c r="J123" s="2710"/>
      <c r="K123" s="2710"/>
      <c r="L123" s="2710"/>
      <c r="M123" s="2710"/>
      <c r="N123" s="2711"/>
      <c r="O123" s="15"/>
      <c r="P123" s="6"/>
      <c r="Q123" s="2"/>
      <c r="R123" s="2"/>
      <c r="S123" s="2"/>
      <c r="T123" s="2"/>
      <c r="U123" s="1086"/>
      <c r="V123" s="2"/>
      <c r="W123" s="2"/>
      <c r="X123" s="2"/>
      <c r="Y123" s="2"/>
      <c r="Z123" s="228"/>
      <c r="AA123" s="343"/>
      <c r="AB123" s="343"/>
      <c r="AC123" s="2"/>
      <c r="AD123" s="2"/>
      <c r="AE123" s="349"/>
      <c r="AF123" s="349"/>
      <c r="AG123" s="349"/>
      <c r="AH123" s="349"/>
      <c r="AI123" s="349"/>
      <c r="AJ123" s="349"/>
      <c r="AK123" s="349"/>
      <c r="AL123" s="349"/>
      <c r="AM123" s="349"/>
    </row>
    <row r="124" spans="1:39" ht="25.5" customHeight="1" x14ac:dyDescent="0.25">
      <c r="A124" s="2"/>
      <c r="B124" s="19"/>
      <c r="C124" s="19"/>
      <c r="D124" s="1256"/>
      <c r="E124" s="2713" t="str">
        <f>Translations!$B$1522</f>
        <v>Som standard kommer tomma fält här att behandlas som icke-avslag (dvs. FALSKT) för att utföra de följande beräkningarna i mallen. Du kan därför fortsätta med inlämningen av rapporten. Den behöriga myndigheten kan fatta ett beslut vid ett senare tillfälle som leder till att mallen måste lämnas in på nytt.</v>
      </c>
      <c r="F124" s="2710"/>
      <c r="G124" s="2710"/>
      <c r="H124" s="2710"/>
      <c r="I124" s="2710"/>
      <c r="J124" s="2710"/>
      <c r="K124" s="2710"/>
      <c r="L124" s="2710"/>
      <c r="M124" s="2710"/>
      <c r="N124" s="2711"/>
      <c r="O124" s="15"/>
      <c r="P124" s="6"/>
      <c r="Q124" s="2"/>
      <c r="R124" s="2"/>
      <c r="S124" s="2"/>
      <c r="T124" s="2"/>
      <c r="U124" s="1086"/>
      <c r="V124" s="2"/>
      <c r="W124" s="2"/>
      <c r="X124" s="2"/>
      <c r="Y124" s="2"/>
      <c r="Z124" s="228"/>
      <c r="AA124" s="343"/>
      <c r="AB124" s="343"/>
      <c r="AC124" s="2"/>
      <c r="AD124" s="2"/>
      <c r="AE124" s="349"/>
      <c r="AF124" s="349"/>
      <c r="AG124" s="349"/>
      <c r="AH124" s="349"/>
      <c r="AI124" s="349"/>
      <c r="AJ124" s="349"/>
      <c r="AK124" s="349"/>
      <c r="AL124" s="349"/>
      <c r="AM124" s="349"/>
    </row>
    <row r="125" spans="1:39" ht="5.15" customHeight="1" x14ac:dyDescent="0.25">
      <c r="A125" s="2"/>
      <c r="B125" s="178"/>
      <c r="C125" s="19"/>
      <c r="D125" s="1242"/>
      <c r="E125" s="1244"/>
      <c r="F125" s="1244"/>
      <c r="G125" s="1244"/>
      <c r="H125" s="1244"/>
      <c r="I125" s="1244"/>
      <c r="J125" s="1244"/>
      <c r="K125" s="1244"/>
      <c r="L125" s="1244"/>
      <c r="M125" s="1244"/>
      <c r="N125" s="1248"/>
      <c r="O125" s="15"/>
      <c r="P125" s="6"/>
      <c r="Q125" s="343"/>
      <c r="R125" s="2"/>
      <c r="S125" s="2"/>
      <c r="T125" s="2"/>
      <c r="U125" s="1086"/>
      <c r="V125" s="343"/>
      <c r="W125" s="2"/>
      <c r="X125" s="2"/>
      <c r="Y125" s="2"/>
      <c r="Z125" s="228"/>
      <c r="AA125" s="2"/>
      <c r="AB125" s="343"/>
      <c r="AC125" s="2"/>
      <c r="AD125" s="2"/>
      <c r="AE125" s="349"/>
      <c r="AF125" s="349"/>
      <c r="AG125" s="349"/>
      <c r="AH125" s="349"/>
      <c r="AI125" s="349"/>
      <c r="AJ125" s="349"/>
      <c r="AK125" s="349"/>
      <c r="AL125" s="349"/>
      <c r="AM125" s="349"/>
    </row>
    <row r="126" spans="1:39" ht="12.75" customHeight="1" x14ac:dyDescent="0.25">
      <c r="A126" s="2"/>
      <c r="B126" s="178"/>
      <c r="C126" s="19"/>
      <c r="D126" s="1290" t="s">
        <v>2146</v>
      </c>
      <c r="E126" s="2709" t="str">
        <f>Translations!$B$1515</f>
        <v>Bestämning av justering av faktisk verksamhetsnivå inklusive effektivitetsändringar</v>
      </c>
      <c r="F126" s="2710"/>
      <c r="G126" s="2710"/>
      <c r="H126" s="2710"/>
      <c r="I126" s="2710"/>
      <c r="J126" s="2710"/>
      <c r="K126" s="2710"/>
      <c r="L126" s="2710"/>
      <c r="M126" s="2710"/>
      <c r="N126" s="2711"/>
      <c r="O126" s="15"/>
      <c r="P126" s="6"/>
      <c r="Q126" s="343"/>
      <c r="R126" s="2"/>
      <c r="S126" s="2"/>
      <c r="T126" s="2"/>
      <c r="U126" s="1086"/>
      <c r="V126" s="343"/>
      <c r="W126" s="2"/>
      <c r="X126" s="2"/>
      <c r="Y126" s="2"/>
      <c r="Z126" s="228"/>
      <c r="AA126" s="2"/>
      <c r="AB126" s="343"/>
      <c r="AC126" s="2"/>
      <c r="AD126" s="2"/>
      <c r="AE126" s="349"/>
      <c r="AF126" s="349"/>
      <c r="AG126" s="349"/>
      <c r="AH126" s="349"/>
      <c r="AI126" s="349"/>
      <c r="AJ126" s="349"/>
      <c r="AK126" s="349"/>
      <c r="AL126" s="349"/>
      <c r="AM126" s="349"/>
    </row>
    <row r="127" spans="1:39" ht="12.75" customHeight="1" thickBot="1" x14ac:dyDescent="0.3">
      <c r="A127" s="2"/>
      <c r="B127" s="19"/>
      <c r="C127" s="19"/>
      <c r="D127" s="1256"/>
      <c r="E127" s="2713" t="str">
        <f>Translations!$B$1523</f>
        <v>Detta är det slutgiltiga resultatet som tar hänsyn till eventuella ändringar av energieffektiviteten samt den behöriga myndighetens beslut, i förekommande fall.</v>
      </c>
      <c r="F127" s="2710"/>
      <c r="G127" s="2710"/>
      <c r="H127" s="2710"/>
      <c r="I127" s="2710"/>
      <c r="J127" s="2710"/>
      <c r="K127" s="2710"/>
      <c r="L127" s="2710"/>
      <c r="M127" s="2710"/>
      <c r="N127" s="2711"/>
      <c r="O127" s="6"/>
      <c r="P127" s="6"/>
      <c r="Q127" s="2"/>
      <c r="R127" s="2"/>
      <c r="S127" s="2"/>
      <c r="T127" s="2"/>
      <c r="U127" s="1086"/>
      <c r="V127" s="2"/>
      <c r="W127" s="2"/>
      <c r="X127" s="2"/>
      <c r="Y127" s="2"/>
      <c r="Z127" s="228"/>
      <c r="AA127" s="343"/>
      <c r="AB127" s="343"/>
      <c r="AC127" s="2"/>
      <c r="AD127" s="2"/>
      <c r="AE127" s="349"/>
      <c r="AF127" s="349"/>
      <c r="AG127" s="349"/>
      <c r="AH127" s="349"/>
      <c r="AI127" s="349"/>
      <c r="AJ127" s="349"/>
      <c r="AK127" s="349"/>
      <c r="AL127" s="349"/>
      <c r="AM127" s="349"/>
    </row>
    <row r="128" spans="1:39" ht="12.75" customHeight="1" thickBot="1" x14ac:dyDescent="0.3">
      <c r="A128" s="2"/>
      <c r="B128" s="178"/>
      <c r="C128" s="19"/>
      <c r="D128" s="1246"/>
      <c r="E128" s="2712" t="str">
        <f>Translations!$B$1477</f>
        <v>Faktisk justering (om alla tröskelvärden överskrids)</v>
      </c>
      <c r="F128" s="2712"/>
      <c r="G128" s="2712"/>
      <c r="H128" s="2712"/>
      <c r="I128" s="1697"/>
      <c r="J128" s="1099" t="str">
        <f>IF(J113="","",IF(J116&gt;$Z12,-100%,IF(OR(AND(J113,J117=FALSE),AND(J117,J121=FALSE),V108&lt;1),J30,IF(J121=TRUE,0%,I128))))</f>
        <v/>
      </c>
      <c r="K128" s="1100" t="str">
        <f>IF(K113="","",IF(K116&gt;$Z12,-100%,IF(OR(AND(K113,K117=FALSE),AND(K117,K121=FALSE),W108&lt;1),K30,IF(K121=TRUE,0%,J128))))</f>
        <v/>
      </c>
      <c r="L128" s="1100" t="str">
        <f>IF(L113="","",IF(L116&gt;$Z12,-100%,IF(OR(AND(L113,L117=FALSE),AND(L117,L121=FALSE),X108&lt;1),L30,IF(L121=TRUE,0%,K128))))</f>
        <v/>
      </c>
      <c r="M128" s="1100" t="str">
        <f>IF(M113="","",IF(M116&gt;$Z12,-100%,IF(OR(AND(M113,M117=FALSE),AND(M117,M121=FALSE),Y108&lt;1),M30,IF(M121=TRUE,0%,L128))))</f>
        <v/>
      </c>
      <c r="N128" s="1101" t="str">
        <f>IF(N113="","",IF(N116&gt;$Z12,-100%,IF(OR(AND(N113,N117=FALSE),AND(N117,N121=FALSE),Z108&lt;1),N30,IF(N121=TRUE,0%,M128))))</f>
        <v/>
      </c>
      <c r="O128" s="15"/>
      <c r="P128" s="6"/>
      <c r="Q128" s="165" t="str">
        <f>EUconst_CNTR_HALAdjPct &amp; I12</f>
        <v>HALAdjPct_Delanläggning med värmeriktmärke, KL</v>
      </c>
      <c r="R128" s="2"/>
      <c r="S128" s="2"/>
      <c r="T128" s="2"/>
      <c r="U128" s="1086" t="s">
        <v>1858</v>
      </c>
      <c r="V128" s="1068">
        <f>J112</f>
        <v>2021</v>
      </c>
      <c r="W128" s="1068">
        <f>K112</f>
        <v>2022</v>
      </c>
      <c r="X128" s="1068">
        <f>L112</f>
        <v>2023</v>
      </c>
      <c r="Y128" s="1068">
        <f>M112</f>
        <v>2024</v>
      </c>
      <c r="Z128" s="1087">
        <f>N112</f>
        <v>2025</v>
      </c>
      <c r="AA128" s="2"/>
      <c r="AB128" s="343"/>
      <c r="AC128" s="2"/>
      <c r="AD128" s="2"/>
      <c r="AE128" s="349"/>
      <c r="AF128" s="349"/>
      <c r="AG128" s="349"/>
      <c r="AH128" s="349"/>
      <c r="AI128" s="349"/>
      <c r="AJ128" s="349"/>
      <c r="AK128" s="349"/>
      <c r="AL128" s="349"/>
      <c r="AM128" s="349"/>
    </row>
    <row r="129" spans="1:39" ht="12.75" customHeight="1" thickBot="1" x14ac:dyDescent="0.3">
      <c r="A129" s="343"/>
      <c r="B129" s="178"/>
      <c r="C129" s="19"/>
      <c r="D129" s="1242"/>
      <c r="E129" s="2712" t="str">
        <f>Translations!$B$1524</f>
        <v>Faktisk verksamhetsnivå</v>
      </c>
      <c r="F129" s="2717"/>
      <c r="G129" s="2717"/>
      <c r="H129" s="917" t="str">
        <f>H28</f>
        <v>TJ</v>
      </c>
      <c r="I129" s="1021" t="str">
        <f>I31</f>
        <v/>
      </c>
      <c r="J129" s="735" t="str">
        <f>IF($M12&lt;&gt;EUconst_Relevant,"",IF(OR(J128="",$I129=0,$I129=EUconst_NA),IF(OR(J113=TRUE,J116&lt;=$V12),J31,SUM(I129)),$I129*(1+SUM(J128))))</f>
        <v/>
      </c>
      <c r="K129" s="736" t="str">
        <f>IF($M12&lt;&gt;EUconst_Relevant,"",IF(OR(K128="",$I129=0,$I129=EUconst_NA),IF(OR(K113=TRUE,K116&lt;=$V12),K31,SUM(J129)),$I129*(1+SUM(K128))))</f>
        <v/>
      </c>
      <c r="L129" s="736" t="str">
        <f>IF($M12&lt;&gt;EUconst_Relevant,"",IF(OR(L128="",$I129=0,$I129=EUconst_NA),IF(OR(L113=TRUE,L116&lt;=$V12),L31,SUM(K129)),$I129*(1+SUM(L128))))</f>
        <v/>
      </c>
      <c r="M129" s="736" t="str">
        <f>IF($M12&lt;&gt;EUconst_Relevant,"",IF(OR(M128="",$I129=0,$I129=EUconst_NA),IF(OR(M113=TRUE,M116&lt;=$V12),M31,SUM(L129)),$I129*(1+SUM(M128))))</f>
        <v/>
      </c>
      <c r="N129" s="737" t="str">
        <f>IF($M12&lt;&gt;EUconst_Relevant,"",IF(OR(N128="",$I129=0,$I129=EUconst_NA),IF(OR(N113=TRUE,N116&lt;=$V12),N31,SUM(M129)),$I129*(1+SUM(N128))))</f>
        <v/>
      </c>
      <c r="O129" s="15"/>
      <c r="P129" s="6"/>
      <c r="Q129" s="165" t="str">
        <f>EUconst_CNTR_HALfinal&amp;I12</f>
        <v>HALfinal_Delanläggning med värmeriktmärke, KL</v>
      </c>
      <c r="R129" s="2"/>
      <c r="S129" s="2"/>
      <c r="T129" s="2"/>
      <c r="U129" s="1085" t="b">
        <v>0</v>
      </c>
      <c r="V129" s="1757" t="b">
        <f>IF(J113=TRUE,V29,U129)</f>
        <v>0</v>
      </c>
      <c r="W129" s="1757" t="b">
        <f>IF(K113=TRUE,W29,V129)</f>
        <v>0</v>
      </c>
      <c r="X129" s="1757" t="b">
        <f>IF(L113=TRUE,X29,W129)</f>
        <v>0</v>
      </c>
      <c r="Y129" s="1757" t="b">
        <f>IF(M113=TRUE,Y29,X129)</f>
        <v>0</v>
      </c>
      <c r="Z129" s="1758" t="b">
        <f>IF(N113=TRUE,Z29,Y129)</f>
        <v>0</v>
      </c>
      <c r="AA129" s="2"/>
      <c r="AB129" s="2"/>
      <c r="AC129" s="2"/>
      <c r="AD129" s="2"/>
      <c r="AE129" s="349"/>
      <c r="AF129" s="349"/>
      <c r="AG129" s="349"/>
      <c r="AH129" s="349"/>
      <c r="AI129" s="349"/>
      <c r="AJ129" s="349"/>
      <c r="AK129" s="553" t="s">
        <v>2242</v>
      </c>
      <c r="AL129" s="108" t="str">
        <f>IF(OR(ISERROR(J129),ISERROR(K129),ISERROR(L129),ISERROR(M129),ISERROR(N129)),EUconst_Error&amp;"FB"&amp; Q12,"")</f>
        <v/>
      </c>
      <c r="AM129" s="349"/>
    </row>
    <row r="130" spans="1:39" ht="5.15" customHeight="1" thickBot="1" x14ac:dyDescent="0.3">
      <c r="A130" s="2"/>
      <c r="B130" s="19"/>
      <c r="C130" s="19"/>
      <c r="D130" s="1274"/>
      <c r="E130" s="1275"/>
      <c r="F130" s="1275"/>
      <c r="G130" s="1275"/>
      <c r="H130" s="1275"/>
      <c r="I130" s="1275"/>
      <c r="J130" s="1275"/>
      <c r="K130" s="1275"/>
      <c r="L130" s="1275"/>
      <c r="M130" s="1275"/>
      <c r="N130" s="1277"/>
      <c r="O130" s="6"/>
      <c r="P130" s="6"/>
      <c r="Q130" s="2"/>
      <c r="R130" s="2"/>
      <c r="S130" s="2"/>
      <c r="T130" s="2"/>
      <c r="U130" s="2"/>
      <c r="V130" s="2"/>
      <c r="W130" s="2"/>
      <c r="X130" s="2"/>
      <c r="Y130" s="2"/>
      <c r="Z130" s="2"/>
      <c r="AA130" s="2"/>
      <c r="AB130" s="343"/>
      <c r="AC130" s="2"/>
      <c r="AD130" s="2"/>
      <c r="AE130" s="349"/>
      <c r="AF130" s="349"/>
      <c r="AG130" s="349"/>
      <c r="AH130" s="349"/>
      <c r="AI130" s="349"/>
      <c r="AJ130" s="349"/>
      <c r="AK130" s="349"/>
      <c r="AL130" s="349"/>
      <c r="AM130" s="349"/>
    </row>
    <row r="131" spans="1:39" ht="12.75" customHeight="1" thickBot="1" x14ac:dyDescent="0.3">
      <c r="A131" s="2"/>
      <c r="B131" s="19"/>
      <c r="C131" s="19"/>
      <c r="D131" s="19"/>
      <c r="E131" s="19"/>
      <c r="F131" s="19"/>
      <c r="G131" s="19"/>
      <c r="H131" s="19"/>
      <c r="I131" s="19"/>
      <c r="J131" s="19"/>
      <c r="K131" s="19"/>
      <c r="L131" s="19"/>
      <c r="M131" s="19"/>
      <c r="N131" s="19"/>
      <c r="O131" s="6"/>
      <c r="P131" s="6"/>
      <c r="Q131" s="2"/>
      <c r="R131" s="2"/>
      <c r="S131" s="2"/>
      <c r="T131" s="2"/>
      <c r="U131" s="2"/>
      <c r="V131" s="2"/>
      <c r="W131" s="2"/>
      <c r="X131" s="2"/>
      <c r="Y131" s="2"/>
      <c r="Z131" s="2"/>
      <c r="AA131" s="2"/>
      <c r="AB131" s="343"/>
      <c r="AC131" s="2"/>
      <c r="AD131" s="2"/>
      <c r="AE131" s="349"/>
      <c r="AF131" s="349"/>
      <c r="AG131" s="349"/>
      <c r="AH131" s="349"/>
      <c r="AI131" s="349"/>
      <c r="AJ131" s="349"/>
      <c r="AK131" s="349"/>
      <c r="AL131" s="349"/>
      <c r="AM131" s="349"/>
    </row>
    <row r="132" spans="1:39" ht="5.15" customHeight="1" x14ac:dyDescent="0.25">
      <c r="A132" s="2"/>
      <c r="B132" s="3"/>
      <c r="C132" s="366"/>
      <c r="D132" s="367"/>
      <c r="E132" s="367"/>
      <c r="F132" s="367"/>
      <c r="G132" s="367"/>
      <c r="H132" s="367"/>
      <c r="I132" s="367"/>
      <c r="J132" s="367"/>
      <c r="K132" s="367"/>
      <c r="L132" s="367"/>
      <c r="M132" s="368"/>
      <c r="N132" s="369"/>
      <c r="O132" s="6"/>
      <c r="P132" s="6"/>
      <c r="Q132" s="7"/>
      <c r="R132" s="2"/>
      <c r="S132" s="7"/>
      <c r="T132" s="7"/>
      <c r="U132" s="2"/>
      <c r="V132" s="2"/>
      <c r="W132" s="2"/>
      <c r="X132" s="2"/>
      <c r="Y132" s="2"/>
      <c r="Z132" s="2"/>
      <c r="AA132" s="2"/>
      <c r="AB132" s="343"/>
      <c r="AC132" s="2"/>
      <c r="AD132" s="2"/>
      <c r="AE132" s="349"/>
      <c r="AF132" s="349"/>
      <c r="AG132" s="349"/>
      <c r="AH132" s="349"/>
      <c r="AI132" s="349"/>
      <c r="AJ132" s="349"/>
      <c r="AK132" s="349"/>
      <c r="AL132" s="349"/>
      <c r="AM132" s="349"/>
    </row>
    <row r="133" spans="1:39" ht="15" customHeight="1" x14ac:dyDescent="0.25">
      <c r="A133" s="2"/>
      <c r="B133" s="19"/>
      <c r="C133" s="370"/>
      <c r="D133" s="2645" t="str">
        <f>Translations!$B$549</f>
        <v>Uppgifter som krävs för att fastställa den riktmärkesrelaterade förbättringsfaktorn enligt artikel 10a.2 i ETS-direktivet</v>
      </c>
      <c r="E133" s="2635"/>
      <c r="F133" s="2635"/>
      <c r="G133" s="2635"/>
      <c r="H133" s="2635"/>
      <c r="I133" s="2635"/>
      <c r="J133" s="2635"/>
      <c r="K133" s="2635"/>
      <c r="L133" s="2635"/>
      <c r="M133" s="2635"/>
      <c r="N133" s="2636"/>
      <c r="O133" s="6"/>
      <c r="P133" s="6"/>
      <c r="Q133" s="2"/>
      <c r="R133" s="2"/>
      <c r="S133" s="7"/>
      <c r="T133" s="7"/>
      <c r="U133" s="2"/>
      <c r="V133" s="2"/>
      <c r="W133" s="2"/>
      <c r="X133" s="2"/>
      <c r="Y133" s="2"/>
      <c r="Z133" s="2"/>
      <c r="AA133" s="2"/>
      <c r="AB133" s="343"/>
      <c r="AC133" s="2"/>
      <c r="AD133" s="2"/>
      <c r="AE133" s="349"/>
      <c r="AF133" s="349"/>
      <c r="AG133" s="349"/>
      <c r="AH133" s="349"/>
      <c r="AI133" s="349"/>
      <c r="AJ133" s="349"/>
      <c r="AK133" s="349"/>
      <c r="AL133" s="349"/>
      <c r="AM133" s="349"/>
    </row>
    <row r="134" spans="1:39" ht="5.15" customHeight="1" x14ac:dyDescent="0.25">
      <c r="A134" s="2"/>
      <c r="B134" s="19"/>
      <c r="C134" s="371"/>
      <c r="D134" s="360"/>
      <c r="E134" s="360"/>
      <c r="F134" s="360"/>
      <c r="G134" s="360"/>
      <c r="H134" s="360"/>
      <c r="I134" s="360"/>
      <c r="J134" s="360"/>
      <c r="K134" s="360"/>
      <c r="L134" s="360"/>
      <c r="M134" s="360"/>
      <c r="N134" s="372"/>
      <c r="O134" s="6"/>
      <c r="P134" s="6"/>
      <c r="Q134" s="2"/>
      <c r="R134" s="2"/>
      <c r="S134" s="7"/>
      <c r="T134" s="7"/>
      <c r="U134" s="2"/>
      <c r="V134" s="2"/>
      <c r="W134" s="2"/>
      <c r="X134" s="2"/>
      <c r="Y134" s="2"/>
      <c r="Z134" s="2"/>
      <c r="AA134" s="2"/>
      <c r="AB134" s="343"/>
      <c r="AC134" s="2"/>
      <c r="AD134" s="2"/>
      <c r="AE134" s="349"/>
      <c r="AF134" s="349"/>
      <c r="AG134" s="349"/>
      <c r="AH134" s="349"/>
      <c r="AI134" s="349"/>
      <c r="AJ134" s="349"/>
      <c r="AK134" s="349"/>
      <c r="AL134" s="349"/>
      <c r="AM134" s="349"/>
    </row>
    <row r="135" spans="1:39" ht="15" customHeight="1" x14ac:dyDescent="0.25">
      <c r="A135" s="2"/>
      <c r="B135" s="19"/>
      <c r="C135" s="371"/>
      <c r="D135" s="2646" t="str">
        <f>EUconst_FBSubinst &amp; ":"</f>
        <v>”Fall-back”-delanläggning:</v>
      </c>
      <c r="E135" s="2642"/>
      <c r="F135" s="2642"/>
      <c r="G135" s="2642"/>
      <c r="H135" s="2647"/>
      <c r="I135" s="2090" t="str">
        <f>I12</f>
        <v>Delanläggning med värmeriktmärke, KL</v>
      </c>
      <c r="J135" s="2120"/>
      <c r="K135" s="2120"/>
      <c r="L135" s="2120"/>
      <c r="M135" s="2120"/>
      <c r="N135" s="2648"/>
      <c r="O135" s="6"/>
      <c r="P135" s="6"/>
      <c r="Q135" s="2"/>
      <c r="R135" s="2"/>
      <c r="S135" s="7"/>
      <c r="T135" s="7"/>
      <c r="U135" s="2"/>
      <c r="V135" s="2"/>
      <c r="W135" s="2"/>
      <c r="X135" s="2"/>
      <c r="Y135" s="2"/>
      <c r="Z135" s="2"/>
      <c r="AA135" s="2"/>
      <c r="AB135" s="343"/>
      <c r="AC135" s="2"/>
      <c r="AD135" s="2"/>
      <c r="AE135" s="349"/>
      <c r="AF135" s="349"/>
      <c r="AG135" s="349"/>
      <c r="AH135" s="349"/>
      <c r="AI135" s="349"/>
      <c r="AJ135" s="349"/>
      <c r="AK135" s="349"/>
      <c r="AL135" s="349"/>
      <c r="AM135" s="349"/>
    </row>
    <row r="136" spans="1:39" ht="5.15" customHeight="1" x14ac:dyDescent="0.25">
      <c r="A136" s="2"/>
      <c r="B136" s="19"/>
      <c r="C136" s="371"/>
      <c r="D136" s="360"/>
      <c r="E136" s="360"/>
      <c r="F136" s="360"/>
      <c r="G136" s="360"/>
      <c r="H136" s="360"/>
      <c r="I136" s="360"/>
      <c r="J136" s="360"/>
      <c r="K136" s="360"/>
      <c r="L136" s="360"/>
      <c r="M136" s="360"/>
      <c r="N136" s="372"/>
      <c r="O136" s="6"/>
      <c r="P136" s="6"/>
      <c r="Q136" s="2"/>
      <c r="R136" s="2"/>
      <c r="S136" s="7"/>
      <c r="T136" s="7"/>
      <c r="U136" s="2"/>
      <c r="V136" s="2"/>
      <c r="W136" s="2"/>
      <c r="X136" s="2"/>
      <c r="Y136" s="2"/>
      <c r="Z136" s="2"/>
      <c r="AA136" s="2"/>
      <c r="AB136" s="343"/>
      <c r="AC136" s="2"/>
      <c r="AD136" s="2"/>
      <c r="AE136" s="349"/>
      <c r="AF136" s="349"/>
      <c r="AG136" s="349"/>
      <c r="AH136" s="349"/>
      <c r="AI136" s="349"/>
      <c r="AJ136" s="349"/>
      <c r="AK136" s="349"/>
      <c r="AL136" s="349"/>
      <c r="AM136" s="349"/>
    </row>
    <row r="137" spans="1:39" ht="30" customHeight="1" x14ac:dyDescent="0.25">
      <c r="A137" s="2"/>
      <c r="B137" s="3"/>
      <c r="C137" s="370"/>
      <c r="D137" s="359"/>
      <c r="E137" s="2707" t="str">
        <f>Translations!$B$550</f>
        <v>Detta underavsnitt avser tillskrivning av utsläpp från bränsle-/materialmängder, utsläppskällor, import och export av mätbar värme och restgaser inklusive värmeförluster i enlighet med avsnitt 10 i bilaga VII till FAR.</v>
      </c>
      <c r="F137" s="2707"/>
      <c r="G137" s="2707"/>
      <c r="H137" s="2707"/>
      <c r="I137" s="2707"/>
      <c r="J137" s="2707"/>
      <c r="K137" s="2707"/>
      <c r="L137" s="2707"/>
      <c r="M137" s="2707"/>
      <c r="N137" s="418"/>
      <c r="O137" s="6"/>
      <c r="P137" s="6"/>
      <c r="Q137" s="7"/>
      <c r="R137" s="2"/>
      <c r="S137" s="2"/>
      <c r="T137" s="2"/>
      <c r="U137" s="2"/>
      <c r="V137" s="2"/>
      <c r="W137" s="2"/>
      <c r="X137" s="2"/>
      <c r="Y137" s="2"/>
      <c r="Z137" s="2"/>
      <c r="AA137" s="2"/>
      <c r="AB137" s="343"/>
      <c r="AC137" s="2"/>
      <c r="AD137" s="2"/>
      <c r="AE137" s="349"/>
      <c r="AF137" s="349"/>
      <c r="AG137" s="349"/>
      <c r="AH137" s="349"/>
      <c r="AI137" s="349"/>
      <c r="AJ137" s="349"/>
      <c r="AK137" s="349"/>
      <c r="AL137" s="349"/>
      <c r="AM137" s="349"/>
    </row>
    <row r="138" spans="1:39" ht="30" customHeight="1" x14ac:dyDescent="0.25">
      <c r="A138" s="2"/>
      <c r="B138" s="178"/>
      <c r="C138" s="779"/>
      <c r="D138" s="780"/>
      <c r="E138" s="2649" t="str">
        <f>Translations!$B$551</f>
        <v xml:space="preserve">Var god notera att även om viss vägledning ges för varje punkt nedan bör ytterligare information inhämtas från vägledning 5 (”Monitoring and Reporting in relation to the FAR”), som också innehåller exempel. </v>
      </c>
      <c r="F138" s="2649"/>
      <c r="G138" s="2649"/>
      <c r="H138" s="2649"/>
      <c r="I138" s="2649"/>
      <c r="J138" s="2649"/>
      <c r="K138" s="2649"/>
      <c r="L138" s="2649"/>
      <c r="M138" s="2649"/>
      <c r="N138" s="535"/>
      <c r="O138" s="6"/>
      <c r="P138" s="6"/>
      <c r="Q138" s="343"/>
      <c r="R138" s="2"/>
      <c r="S138" s="2"/>
      <c r="T138" s="2"/>
      <c r="U138" s="2"/>
      <c r="V138" s="2"/>
      <c r="W138" s="2"/>
      <c r="X138" s="2"/>
      <c r="Y138" s="2"/>
      <c r="Z138" s="2"/>
      <c r="AA138" s="2"/>
      <c r="AB138" s="343"/>
      <c r="AC138" s="2"/>
      <c r="AD138" s="2"/>
      <c r="AE138" s="349"/>
      <c r="AF138" s="349"/>
      <c r="AG138" s="349"/>
      <c r="AH138" s="349"/>
      <c r="AI138" s="349"/>
      <c r="AJ138" s="349"/>
      <c r="AK138" s="349"/>
      <c r="AL138" s="349"/>
      <c r="AM138" s="349"/>
    </row>
    <row r="139" spans="1:39" ht="12.75" customHeight="1" x14ac:dyDescent="0.25">
      <c r="A139" s="2"/>
      <c r="B139" s="178"/>
      <c r="C139" s="779"/>
      <c r="D139" s="780"/>
      <c r="E139" s="2649" t="str">
        <f>Translations!$B$552</f>
        <v xml:space="preserve">Vägledningen kan laddas ner via följande länk: </v>
      </c>
      <c r="F139" s="1960"/>
      <c r="G139" s="1960"/>
      <c r="H139" s="1960"/>
      <c r="I139" s="1960"/>
      <c r="J139" s="1960"/>
      <c r="K139" s="1960"/>
      <c r="L139" s="1960"/>
      <c r="M139" s="1960"/>
      <c r="N139" s="535"/>
      <c r="O139" s="6"/>
      <c r="P139" s="6"/>
      <c r="Q139" s="343"/>
      <c r="R139" s="2"/>
      <c r="S139" s="2"/>
      <c r="T139" s="2"/>
      <c r="U139" s="2"/>
      <c r="V139" s="2"/>
      <c r="W139" s="2"/>
      <c r="X139" s="2"/>
      <c r="Y139" s="2"/>
      <c r="Z139" s="2"/>
      <c r="AA139" s="2"/>
      <c r="AB139" s="343"/>
      <c r="AC139" s="2"/>
      <c r="AD139" s="2"/>
      <c r="AE139" s="349"/>
      <c r="AF139" s="349"/>
      <c r="AG139" s="349"/>
      <c r="AH139" s="349"/>
      <c r="AI139" s="349"/>
      <c r="AJ139" s="349"/>
      <c r="AK139" s="349"/>
      <c r="AL139" s="349"/>
      <c r="AM139" s="349"/>
    </row>
    <row r="140" spans="1:39" ht="15" customHeight="1" x14ac:dyDescent="0.25">
      <c r="A140" s="2"/>
      <c r="B140" s="178"/>
      <c r="C140" s="779"/>
      <c r="D140" s="780"/>
      <c r="E140" s="2651" t="str">
        <f>Translations!$B$553</f>
        <v>https://ec.europa.eu/clima/policies/ets/allowances_en#tab-0-1</v>
      </c>
      <c r="F140" s="2651"/>
      <c r="G140" s="2651"/>
      <c r="H140" s="2651"/>
      <c r="I140" s="2651"/>
      <c r="J140" s="2651"/>
      <c r="K140" s="2651"/>
      <c r="L140" s="2651"/>
      <c r="M140" s="2651"/>
      <c r="N140" s="535"/>
      <c r="O140" s="6"/>
      <c r="P140" s="6"/>
      <c r="Q140" s="343"/>
      <c r="R140" s="2"/>
      <c r="S140" s="2"/>
      <c r="T140" s="2"/>
      <c r="U140" s="2"/>
      <c r="V140" s="2"/>
      <c r="W140" s="2"/>
      <c r="X140" s="2"/>
      <c r="Y140" s="2"/>
      <c r="Z140" s="2"/>
      <c r="AA140" s="2"/>
      <c r="AB140" s="343"/>
      <c r="AC140" s="2"/>
      <c r="AD140" s="2"/>
      <c r="AE140" s="349"/>
      <c r="AF140" s="349"/>
      <c r="AG140" s="349"/>
      <c r="AH140" s="349"/>
      <c r="AI140" s="349"/>
      <c r="AJ140" s="349"/>
      <c r="AK140" s="349"/>
      <c r="AL140" s="349"/>
      <c r="AM140" s="349"/>
    </row>
    <row r="141" spans="1:39" ht="15" customHeight="1" x14ac:dyDescent="0.25">
      <c r="A141" s="2"/>
      <c r="B141" s="3"/>
      <c r="C141" s="370"/>
      <c r="D141" s="359"/>
      <c r="E141" s="2633" t="str">
        <f>Translations!$B$554</f>
        <v>Utifrån de uppgifter som anges nedan beräknas de tillskrivna utsläppen i avsnitt K.III.2 i det sammanfattande bladet "K_Summary".</v>
      </c>
      <c r="F141" s="2633"/>
      <c r="G141" s="2633"/>
      <c r="H141" s="2633"/>
      <c r="I141" s="2633"/>
      <c r="J141" s="2633"/>
      <c r="K141" s="2633"/>
      <c r="L141" s="2633"/>
      <c r="M141" s="2633"/>
      <c r="N141" s="418"/>
      <c r="O141" s="6"/>
      <c r="P141" s="6"/>
      <c r="Q141" s="7"/>
      <c r="R141" s="2"/>
      <c r="S141" s="2"/>
      <c r="T141" s="2"/>
      <c r="U141" s="2"/>
      <c r="V141" s="2"/>
      <c r="W141" s="2"/>
      <c r="X141" s="2"/>
      <c r="Y141" s="2"/>
      <c r="Z141" s="2"/>
      <c r="AA141" s="2"/>
      <c r="AB141" s="343"/>
      <c r="AC141" s="2"/>
      <c r="AD141" s="2"/>
      <c r="AE141" s="349"/>
      <c r="AF141" s="349"/>
      <c r="AG141" s="349"/>
      <c r="AH141" s="349"/>
      <c r="AI141" s="349"/>
      <c r="AJ141" s="349"/>
      <c r="AK141" s="349"/>
      <c r="AL141" s="349"/>
      <c r="AM141" s="349"/>
    </row>
    <row r="142" spans="1:39" ht="5.15" customHeight="1" x14ac:dyDescent="0.25">
      <c r="A142" s="2"/>
      <c r="B142" s="19"/>
      <c r="C142" s="371"/>
      <c r="D142" s="360"/>
      <c r="E142" s="360"/>
      <c r="F142" s="360"/>
      <c r="G142" s="360"/>
      <c r="H142" s="360"/>
      <c r="I142" s="360"/>
      <c r="J142" s="360"/>
      <c r="K142" s="360"/>
      <c r="L142" s="360"/>
      <c r="M142" s="360"/>
      <c r="N142" s="372"/>
      <c r="O142" s="6"/>
      <c r="P142" s="6"/>
      <c r="Q142" s="2"/>
      <c r="R142" s="2"/>
      <c r="S142" s="7"/>
      <c r="T142" s="7"/>
      <c r="U142" s="2"/>
      <c r="V142" s="2"/>
      <c r="W142" s="2"/>
      <c r="X142" s="2"/>
      <c r="Y142" s="2"/>
      <c r="Z142" s="2"/>
      <c r="AA142" s="2"/>
      <c r="AB142" s="343"/>
      <c r="AC142" s="2"/>
      <c r="AD142" s="2"/>
      <c r="AE142" s="349"/>
      <c r="AF142" s="349"/>
      <c r="AG142" s="349"/>
      <c r="AH142" s="349"/>
      <c r="AI142" s="349"/>
      <c r="AJ142" s="349"/>
      <c r="AK142" s="349"/>
      <c r="AL142" s="349"/>
      <c r="AM142" s="349"/>
    </row>
    <row r="143" spans="1:39" ht="12.75" customHeight="1" x14ac:dyDescent="0.25">
      <c r="A143" s="2"/>
      <c r="B143" s="3"/>
      <c r="C143" s="370"/>
      <c r="D143" s="373" t="s">
        <v>55</v>
      </c>
      <c r="E143" s="2634" t="str">
        <f>Translations!$B$676</f>
        <v>Utsläpp som direkt kan tillskrivas (DirEm*) delanläggningen</v>
      </c>
      <c r="F143" s="2635"/>
      <c r="G143" s="2635"/>
      <c r="H143" s="2635"/>
      <c r="I143" s="2635"/>
      <c r="J143" s="2635"/>
      <c r="K143" s="2635"/>
      <c r="L143" s="2635"/>
      <c r="M143" s="2635"/>
      <c r="N143" s="2636"/>
      <c r="O143" s="6"/>
      <c r="P143" s="6"/>
      <c r="Q143" s="7"/>
      <c r="R143" s="2"/>
      <c r="S143" s="7"/>
      <c r="T143" s="7"/>
      <c r="U143" s="2"/>
      <c r="V143" s="2"/>
      <c r="W143" s="2"/>
      <c r="X143" s="2"/>
      <c r="Y143" s="2"/>
      <c r="Z143" s="2"/>
      <c r="AA143" s="2"/>
      <c r="AB143" s="343"/>
      <c r="AC143" s="2"/>
      <c r="AD143" s="2"/>
      <c r="AE143" s="349"/>
      <c r="AF143" s="349"/>
      <c r="AG143" s="349"/>
      <c r="AH143" s="349"/>
      <c r="AI143" s="349"/>
      <c r="AJ143" s="349"/>
      <c r="AK143" s="349"/>
      <c r="AL143" s="349"/>
      <c r="AM143" s="349"/>
    </row>
    <row r="144" spans="1:39" ht="12.75" customHeight="1" x14ac:dyDescent="0.25">
      <c r="A144" s="2"/>
      <c r="B144" s="3"/>
      <c r="C144" s="370"/>
      <c r="D144" s="373"/>
      <c r="E144" s="2680" t="str">
        <f>Translations!$B$556</f>
        <v>De uppgifter som anges här påverkar de utsläpp som kan tillskrivas i enlighet med avsnitt 10.1.1 i bilaga VII till FAR.</v>
      </c>
      <c r="F144" s="2680"/>
      <c r="G144" s="2680"/>
      <c r="H144" s="2680"/>
      <c r="I144" s="2680"/>
      <c r="J144" s="2680"/>
      <c r="K144" s="2680"/>
      <c r="L144" s="2680"/>
      <c r="M144" s="2680"/>
      <c r="N144" s="2681"/>
      <c r="O144" s="6"/>
      <c r="P144" s="6"/>
      <c r="Q144" s="7"/>
      <c r="R144" s="2"/>
      <c r="S144" s="7"/>
      <c r="T144" s="7"/>
      <c r="U144" s="2"/>
      <c r="V144" s="2"/>
      <c r="W144" s="2"/>
      <c r="X144" s="2"/>
      <c r="Y144" s="2"/>
      <c r="Z144" s="2"/>
      <c r="AA144" s="2"/>
      <c r="AB144" s="343"/>
      <c r="AC144" s="2"/>
      <c r="AD144" s="2"/>
      <c r="AE144" s="349"/>
      <c r="AF144" s="349"/>
      <c r="AG144" s="349"/>
      <c r="AH144" s="349"/>
      <c r="AI144" s="349"/>
      <c r="AJ144" s="349"/>
      <c r="AK144" s="349"/>
      <c r="AL144" s="349"/>
      <c r="AM144" s="349"/>
    </row>
    <row r="145" spans="1:39" ht="12.75" customHeight="1" x14ac:dyDescent="0.25">
      <c r="A145" s="2"/>
      <c r="B145" s="3"/>
      <c r="C145" s="370"/>
      <c r="D145" s="359"/>
      <c r="E145" s="2639" t="str">
        <f>Translations!$B$677</f>
        <v>Var god ange de direkta utsläppen med hänsyn tagen till följande bestämmelser:</v>
      </c>
      <c r="F145" s="2639"/>
      <c r="G145" s="2639"/>
      <c r="H145" s="2639"/>
      <c r="I145" s="2639"/>
      <c r="J145" s="2639"/>
      <c r="K145" s="2639"/>
      <c r="L145" s="2639"/>
      <c r="M145" s="2639"/>
      <c r="N145" s="2640"/>
      <c r="O145" s="6"/>
      <c r="P145" s="6"/>
      <c r="Q145" s="7"/>
      <c r="R145" s="2"/>
      <c r="S145" s="7"/>
      <c r="T145" s="2"/>
      <c r="U145" s="2"/>
      <c r="V145" s="2"/>
      <c r="W145" s="2"/>
      <c r="X145" s="2"/>
      <c r="Y145" s="2"/>
      <c r="Z145" s="2"/>
      <c r="AA145" s="2"/>
      <c r="AB145" s="343"/>
      <c r="AC145" s="2"/>
      <c r="AD145" s="2"/>
      <c r="AE145" s="349"/>
      <c r="AF145" s="349"/>
      <c r="AG145" s="349"/>
      <c r="AH145" s="349"/>
      <c r="AI145" s="349"/>
      <c r="AJ145" s="349"/>
      <c r="AK145" s="349"/>
      <c r="AL145" s="349"/>
      <c r="AM145" s="349"/>
    </row>
    <row r="146" spans="1:39" ht="25.5" customHeight="1" x14ac:dyDescent="0.25">
      <c r="A146" s="2"/>
      <c r="B146" s="3"/>
      <c r="C146" s="370"/>
      <c r="D146" s="359"/>
      <c r="E146" s="1140" t="s">
        <v>1112</v>
      </c>
      <c r="F146" s="2641" t="str">
        <f>Translations!$B$678</f>
        <v>Direkta utsläpp övervakas enligt den övervakningsplan som ska godkännas enligt M&amp;R-förordningen, dvs. med hänsyn tagen till de utsläpp som fastställts utifrån beräkningsbaserade metoder (med hjälp av bränsle-/materialmängder), mätbaserade metoder (Cems) och nivålösa metoder (”alternativa övervakningsmetoder”/”fall-back”)</v>
      </c>
      <c r="G146" s="2641"/>
      <c r="H146" s="2641"/>
      <c r="I146" s="2641"/>
      <c r="J146" s="2641"/>
      <c r="K146" s="2641"/>
      <c r="L146" s="2641"/>
      <c r="M146" s="2641"/>
      <c r="N146" s="2721"/>
      <c r="O146" s="6"/>
      <c r="P146" s="6"/>
      <c r="Q146" s="7"/>
      <c r="R146" s="2"/>
      <c r="S146" s="7"/>
      <c r="T146" s="2"/>
      <c r="U146" s="2"/>
      <c r="V146" s="2"/>
      <c r="W146" s="2"/>
      <c r="X146" s="2"/>
      <c r="Y146" s="2"/>
      <c r="Z146" s="2"/>
      <c r="AA146" s="2"/>
      <c r="AB146" s="343"/>
      <c r="AC146" s="2"/>
      <c r="AD146" s="2"/>
      <c r="AE146" s="349"/>
      <c r="AF146" s="349"/>
      <c r="AG146" s="349"/>
      <c r="AH146" s="349"/>
      <c r="AI146" s="349"/>
      <c r="AJ146" s="349"/>
      <c r="AK146" s="349"/>
      <c r="AL146" s="349"/>
      <c r="AM146" s="349"/>
    </row>
    <row r="147" spans="1:39" ht="38.25" customHeight="1" x14ac:dyDescent="0.25">
      <c r="A147" s="2"/>
      <c r="B147" s="178"/>
      <c r="C147" s="779"/>
      <c r="D147" s="780"/>
      <c r="E147" s="1140"/>
      <c r="F147" s="2610" t="str">
        <f>Translations!$B$679</f>
        <v>I flera situationer är dock ”direkta utsläpp” i detta avsnitt inte identiska med de som ska rapporteras enligt M&amp;R-förordningen. Sådana situationer är bland annat när bränsle-/materialmängder används för produktion av mätbar värme, restgaser osv. Fyll därför i avsnitten nedan genom att följa instruktionerna noggrant för att undvika dubbelräkning eller utelämnanden.</v>
      </c>
      <c r="G147" s="1960"/>
      <c r="H147" s="1960"/>
      <c r="I147" s="1960"/>
      <c r="J147" s="1960"/>
      <c r="K147" s="1960"/>
      <c r="L147" s="1960"/>
      <c r="M147" s="1960"/>
      <c r="N147" s="2597"/>
      <c r="O147" s="6"/>
      <c r="P147" s="6"/>
      <c r="Q147" s="343"/>
      <c r="R147" s="2"/>
      <c r="S147" s="343"/>
      <c r="T147" s="2"/>
      <c r="U147" s="2"/>
      <c r="V147" s="2"/>
      <c r="W147" s="2"/>
      <c r="X147" s="2"/>
      <c r="Y147" s="2"/>
      <c r="Z147" s="2"/>
      <c r="AA147" s="2"/>
      <c r="AB147" s="343"/>
      <c r="AC147" s="2"/>
      <c r="AD147" s="2"/>
      <c r="AE147" s="349"/>
      <c r="AF147" s="349"/>
      <c r="AG147" s="349"/>
      <c r="AH147" s="349"/>
      <c r="AI147" s="349"/>
      <c r="AJ147" s="349"/>
      <c r="AK147" s="349"/>
      <c r="AL147" s="349"/>
      <c r="AM147" s="349"/>
    </row>
    <row r="148" spans="1:39" ht="12.75" customHeight="1" x14ac:dyDescent="0.25">
      <c r="A148" s="2"/>
      <c r="B148" s="3"/>
      <c r="C148" s="370"/>
      <c r="D148" s="359"/>
      <c r="E148" s="1140" t="s">
        <v>1112</v>
      </c>
      <c r="F148" s="2641" t="str">
        <f>Translations!$B$680</f>
        <v xml:space="preserve">Mätbar värme: om värmen enbart produceras för delanläggningen kan utsläppen tillskrivas direkt här via bränslets utsläpp. </v>
      </c>
      <c r="G148" s="2641"/>
      <c r="H148" s="2641"/>
      <c r="I148" s="2641"/>
      <c r="J148" s="2641"/>
      <c r="K148" s="2641"/>
      <c r="L148" s="2641"/>
      <c r="M148" s="2641"/>
      <c r="N148" s="2721"/>
      <c r="O148" s="6"/>
      <c r="P148" s="6"/>
      <c r="Q148" s="7"/>
      <c r="R148" s="2"/>
      <c r="S148" s="7"/>
      <c r="T148" s="2"/>
      <c r="U148" s="2"/>
      <c r="V148" s="2"/>
      <c r="W148" s="2"/>
      <c r="X148" s="2"/>
      <c r="Y148" s="2"/>
      <c r="Z148" s="2"/>
      <c r="AA148" s="2"/>
      <c r="AB148" s="343"/>
      <c r="AC148" s="2"/>
      <c r="AD148" s="2"/>
      <c r="AE148" s="349"/>
      <c r="AF148" s="349"/>
      <c r="AG148" s="349"/>
      <c r="AH148" s="349"/>
      <c r="AI148" s="349"/>
      <c r="AJ148" s="349"/>
      <c r="AK148" s="349"/>
      <c r="AL148" s="349"/>
      <c r="AM148" s="349"/>
    </row>
    <row r="149" spans="1:39" ht="26.15" customHeight="1" x14ac:dyDescent="0.25">
      <c r="A149" s="2"/>
      <c r="B149" s="3"/>
      <c r="C149" s="370"/>
      <c r="D149" s="359"/>
      <c r="E149" s="1140"/>
      <c r="F149" s="2641" t="str">
        <f>Translations!$B$681</f>
        <v>I samtliga fall där bränslen används för att producera mätbar värme som förbrukas vid mer än en delanläggning (t.ex. en energicentral vid anläggningen eller ett mer komplext ångnätverk med flera värmeproducerande enheter) bör bränslena inte räknas med i delanläggningens direkta utsläpp utan tas med i punkt f.i nedan.</v>
      </c>
      <c r="G149" s="2641"/>
      <c r="H149" s="2641"/>
      <c r="I149" s="2641"/>
      <c r="J149" s="2641"/>
      <c r="K149" s="2641"/>
      <c r="L149" s="2641"/>
      <c r="M149" s="2641"/>
      <c r="N149" s="2721"/>
      <c r="O149" s="6"/>
      <c r="P149" s="6"/>
      <c r="Q149" s="7"/>
      <c r="R149" s="2"/>
      <c r="S149" s="7"/>
      <c r="T149" s="2"/>
      <c r="U149" s="2"/>
      <c r="V149" s="2"/>
      <c r="W149" s="2"/>
      <c r="X149" s="2"/>
      <c r="Y149" s="2"/>
      <c r="Z149" s="2"/>
      <c r="AA149" s="2"/>
      <c r="AB149" s="343"/>
      <c r="AC149" s="2"/>
      <c r="AD149" s="2"/>
      <c r="AE149" s="349"/>
      <c r="AF149" s="349"/>
      <c r="AG149" s="349"/>
      <c r="AH149" s="349"/>
      <c r="AI149" s="349"/>
      <c r="AJ149" s="349"/>
      <c r="AK149" s="349"/>
      <c r="AL149" s="349"/>
      <c r="AM149" s="349"/>
    </row>
    <row r="150" spans="1:39" ht="25.5" customHeight="1" thickBot="1" x14ac:dyDescent="0.3">
      <c r="A150" s="2"/>
      <c r="B150" s="3"/>
      <c r="C150" s="370"/>
      <c r="D150" s="359"/>
      <c r="E150" s="1140" t="s">
        <v>1112</v>
      </c>
      <c r="F150" s="2641" t="str">
        <f>Translations!$B$682</f>
        <v>Restgaser: utsläpp i samband med mätbar värme som produceras från restgaser från andra anläggningar eller delanläggningar och används i denna delanläggning bör inte tas med här utan i punkt f.xiii nedan.</v>
      </c>
      <c r="G150" s="2642"/>
      <c r="H150" s="2642"/>
      <c r="I150" s="2642"/>
      <c r="J150" s="2642"/>
      <c r="K150" s="2642"/>
      <c r="L150" s="2642"/>
      <c r="M150" s="2642"/>
      <c r="N150" s="2643"/>
      <c r="O150" s="6"/>
      <c r="P150" s="6"/>
      <c r="Q150" s="7"/>
      <c r="R150" s="2"/>
      <c r="S150" s="7"/>
      <c r="T150" s="2"/>
      <c r="U150" s="2"/>
      <c r="V150" s="2"/>
      <c r="W150" s="2"/>
      <c r="X150" s="2"/>
      <c r="Y150" s="2"/>
      <c r="Z150" s="2"/>
      <c r="AA150" s="2"/>
      <c r="AB150" s="343"/>
      <c r="AC150" s="2"/>
      <c r="AD150" s="2"/>
      <c r="AE150" s="349"/>
      <c r="AF150" s="349"/>
      <c r="AG150" s="349"/>
      <c r="AH150" s="349"/>
      <c r="AI150" s="349"/>
      <c r="AJ150" s="349"/>
      <c r="AK150" s="349"/>
      <c r="AL150" s="349"/>
      <c r="AM150" s="349"/>
    </row>
    <row r="151" spans="1:39" ht="12.75" customHeight="1" thickBot="1" x14ac:dyDescent="0.3">
      <c r="A151" s="2"/>
      <c r="B151" s="3"/>
      <c r="C151" s="370"/>
      <c r="D151" s="373"/>
      <c r="E151" s="1716" t="str">
        <f>Translations!$B$531</f>
        <v>Totala direkta utsläpp</v>
      </c>
      <c r="F151" s="1717"/>
      <c r="G151" s="361" t="str">
        <f>EUconst_Unit</f>
        <v>Enhet</v>
      </c>
      <c r="H151" s="362">
        <f t="shared" ref="H151:N151" si="43">H$950</f>
        <v>2019</v>
      </c>
      <c r="I151" s="362">
        <f t="shared" si="43"/>
        <v>2020</v>
      </c>
      <c r="J151" s="362">
        <f t="shared" si="43"/>
        <v>2021</v>
      </c>
      <c r="K151" s="362">
        <f t="shared" si="43"/>
        <v>2022</v>
      </c>
      <c r="L151" s="362">
        <f t="shared" si="43"/>
        <v>2023</v>
      </c>
      <c r="M151" s="362">
        <f t="shared" si="43"/>
        <v>2024</v>
      </c>
      <c r="N151" s="1141">
        <f t="shared" si="43"/>
        <v>2025</v>
      </c>
      <c r="O151" s="6"/>
      <c r="P151" s="6"/>
      <c r="Q151" s="7"/>
      <c r="R151" s="2"/>
      <c r="S151" s="608"/>
      <c r="T151" s="609">
        <f t="shared" ref="T151:Z151" si="44">H151</f>
        <v>2019</v>
      </c>
      <c r="U151" s="609">
        <f t="shared" si="44"/>
        <v>2020</v>
      </c>
      <c r="V151" s="609">
        <f t="shared" si="44"/>
        <v>2021</v>
      </c>
      <c r="W151" s="609">
        <f t="shared" si="44"/>
        <v>2022</v>
      </c>
      <c r="X151" s="609">
        <f t="shared" si="44"/>
        <v>2023</v>
      </c>
      <c r="Y151" s="609">
        <f t="shared" si="44"/>
        <v>2024</v>
      </c>
      <c r="Z151" s="610">
        <f t="shared" si="44"/>
        <v>2025</v>
      </c>
      <c r="AA151" s="2"/>
      <c r="AB151" s="2"/>
      <c r="AC151" s="1044">
        <f>H$950</f>
        <v>2019</v>
      </c>
      <c r="AD151" s="1044">
        <f t="shared" ref="AD151:AI151" si="45">I$950</f>
        <v>2020</v>
      </c>
      <c r="AE151" s="1044">
        <f t="shared" si="45"/>
        <v>2021</v>
      </c>
      <c r="AF151" s="1044">
        <f t="shared" si="45"/>
        <v>2022</v>
      </c>
      <c r="AG151" s="1044">
        <f t="shared" si="45"/>
        <v>2023</v>
      </c>
      <c r="AH151" s="1044">
        <f t="shared" si="45"/>
        <v>2024</v>
      </c>
      <c r="AI151" s="1044">
        <f t="shared" si="45"/>
        <v>2025</v>
      </c>
      <c r="AJ151" s="349"/>
      <c r="AK151" s="349"/>
      <c r="AL151" s="349"/>
      <c r="AM151" s="349"/>
    </row>
    <row r="152" spans="1:39" ht="12.75" customHeight="1" thickBot="1" x14ac:dyDescent="0.35">
      <c r="A152" s="2"/>
      <c r="B152" s="3"/>
      <c r="C152" s="370"/>
      <c r="D152" s="359"/>
      <c r="E152" s="2617" t="str">
        <f>I12</f>
        <v>Delanläggning med värmeriktmärke, KL</v>
      </c>
      <c r="F152" s="2617"/>
      <c r="G152" s="363" t="str">
        <f>EUconst_tCO2epa</f>
        <v>t CO2e/år</v>
      </c>
      <c r="H152" s="1529"/>
      <c r="I152" s="1529"/>
      <c r="J152" s="1529"/>
      <c r="K152" s="1529"/>
      <c r="L152" s="1529"/>
      <c r="M152" s="1529"/>
      <c r="N152" s="1530"/>
      <c r="O152" s="6"/>
      <c r="P152" s="1362"/>
      <c r="Q152" s="298" t="str">
        <f>EUconst_CNTR_Emissions &amp; I12</f>
        <v>DirEmissions_Delanläggning med värmeriktmärke, KL</v>
      </c>
      <c r="R152" s="2"/>
      <c r="S152" s="611" t="str">
        <f>EUconst_CNTR_AttributedEmissions &amp; I12</f>
        <v>AttrEmissions_Delanläggning med värmeriktmärke, KL</v>
      </c>
      <c r="T152" s="111" t="str">
        <f t="shared" ref="T152:Z152" si="46">IF(T20,SUM(H152),"")</f>
        <v/>
      </c>
      <c r="U152" s="111" t="str">
        <f t="shared" si="46"/>
        <v/>
      </c>
      <c r="V152" s="111" t="str">
        <f t="shared" si="46"/>
        <v/>
      </c>
      <c r="W152" s="111" t="str">
        <f t="shared" si="46"/>
        <v/>
      </c>
      <c r="X152" s="111" t="str">
        <f t="shared" si="46"/>
        <v/>
      </c>
      <c r="Y152" s="111" t="str">
        <f t="shared" si="46"/>
        <v/>
      </c>
      <c r="Z152" s="112" t="str">
        <f t="shared" si="46"/>
        <v/>
      </c>
      <c r="AA152" s="2"/>
      <c r="AB152" s="672" t="s">
        <v>782</v>
      </c>
      <c r="AC152" s="1755" t="b">
        <f t="shared" ref="AC152:AI152" si="47">IF(CNTR_ExistSubInstEntries,OR($M12&lt;&gt;EUconst_Relevant,AC151&gt;=CNTR_ReportingYear,AC151&lt;$V12-1),FALSE)</f>
        <v>0</v>
      </c>
      <c r="AD152" s="1042" t="b">
        <f t="shared" si="47"/>
        <v>0</v>
      </c>
      <c r="AE152" s="1042" t="b">
        <f t="shared" si="47"/>
        <v>0</v>
      </c>
      <c r="AF152" s="1042" t="b">
        <f t="shared" si="47"/>
        <v>0</v>
      </c>
      <c r="AG152" s="1042" t="b">
        <f t="shared" si="47"/>
        <v>0</v>
      </c>
      <c r="AH152" s="1042" t="b">
        <f t="shared" si="47"/>
        <v>0</v>
      </c>
      <c r="AI152" s="1043" t="b">
        <f t="shared" si="47"/>
        <v>0</v>
      </c>
      <c r="AJ152" s="349"/>
      <c r="AK152" s="553" t="s">
        <v>2248</v>
      </c>
      <c r="AL152" s="663" t="str">
        <f>IF(AND(CNTR_ExistSubInstEntries,COUNTIFS(AC152:AI152,2,H152:N152,"")&gt;0),EUconst_Error&amp;"FB"&amp;Q12,"")</f>
        <v/>
      </c>
      <c r="AM152" s="349"/>
    </row>
    <row r="153" spans="1:39" ht="5.15" customHeight="1" x14ac:dyDescent="0.25">
      <c r="A153" s="2"/>
      <c r="B153" s="3"/>
      <c r="C153" s="370"/>
      <c r="D153" s="359"/>
      <c r="E153" s="359"/>
      <c r="F153" s="359"/>
      <c r="G153" s="359"/>
      <c r="H153" s="359"/>
      <c r="I153" s="359"/>
      <c r="J153" s="359"/>
      <c r="K153" s="359"/>
      <c r="L153" s="359"/>
      <c r="M153" s="375"/>
      <c r="N153" s="374"/>
      <c r="O153" s="6"/>
      <c r="P153" s="6"/>
      <c r="Q153" s="7"/>
      <c r="R153" s="2"/>
      <c r="S153" s="7"/>
      <c r="T153" s="2"/>
      <c r="U153" s="2"/>
      <c r="V153" s="2"/>
      <c r="W153" s="2"/>
      <c r="X153" s="2"/>
      <c r="Y153" s="2"/>
      <c r="Z153" s="2"/>
      <c r="AA153" s="2"/>
      <c r="AB153" s="343"/>
      <c r="AC153" s="2"/>
      <c r="AD153" s="2"/>
      <c r="AE153" s="349"/>
      <c r="AF153" s="349"/>
      <c r="AG153" s="349"/>
      <c r="AH153" s="349"/>
      <c r="AI153" s="349"/>
      <c r="AJ153" s="349"/>
      <c r="AK153" s="349"/>
      <c r="AL153" s="349"/>
      <c r="AM153" s="349"/>
    </row>
    <row r="154" spans="1:39" ht="12.75" customHeight="1" x14ac:dyDescent="0.25">
      <c r="A154" s="2"/>
      <c r="B154" s="3"/>
      <c r="C154" s="370"/>
      <c r="D154" s="373" t="s">
        <v>960</v>
      </c>
      <c r="E154" s="2614" t="str">
        <f>Translations!$B$566</f>
        <v>Insatsbränsle till delanläggningen och relevant emissionsfaktor</v>
      </c>
      <c r="F154" s="2614"/>
      <c r="G154" s="2614"/>
      <c r="H154" s="2614"/>
      <c r="I154" s="2614"/>
      <c r="J154" s="2614"/>
      <c r="K154" s="2614"/>
      <c r="L154" s="2614"/>
      <c r="M154" s="2614"/>
      <c r="N154" s="2724"/>
      <c r="O154" s="6"/>
      <c r="P154" s="6"/>
      <c r="Q154" s="2"/>
      <c r="R154" s="2"/>
      <c r="S154" s="7"/>
      <c r="T154" s="2"/>
      <c r="U154" s="2"/>
      <c r="V154" s="2"/>
      <c r="W154" s="2"/>
      <c r="X154" s="2"/>
      <c r="Y154" s="2"/>
      <c r="Z154" s="2"/>
      <c r="AA154" s="2"/>
      <c r="AB154" s="343"/>
      <c r="AC154" s="2"/>
      <c r="AD154" s="2"/>
      <c r="AE154" s="349"/>
      <c r="AF154" s="349"/>
      <c r="AG154" s="349"/>
      <c r="AH154" s="349"/>
      <c r="AI154" s="349"/>
      <c r="AJ154" s="349"/>
      <c r="AK154" s="349"/>
      <c r="AL154" s="349"/>
      <c r="AM154" s="349"/>
    </row>
    <row r="155" spans="1:39" ht="12.75" customHeight="1" x14ac:dyDescent="0.25">
      <c r="A155" s="2"/>
      <c r="B155" s="3"/>
      <c r="C155" s="370"/>
      <c r="D155" s="359"/>
      <c r="E155" s="2641" t="str">
        <f>Translations!$B$683</f>
        <v>Såsom krävs i avsnitt 2.4 a i bilaga IV till FAR, var god ange det totala insatsbränslet och en motsvarande viktad emissionsfaktor med hänsyn tagen till respektive bränsles energiinnehåll.</v>
      </c>
      <c r="F155" s="2635"/>
      <c r="G155" s="2635"/>
      <c r="H155" s="2635"/>
      <c r="I155" s="2635"/>
      <c r="J155" s="2635"/>
      <c r="K155" s="2635"/>
      <c r="L155" s="2635"/>
      <c r="M155" s="2635"/>
      <c r="N155" s="2636"/>
      <c r="O155" s="6"/>
      <c r="P155" s="6"/>
      <c r="Q155" s="7"/>
      <c r="R155" s="7"/>
      <c r="S155" s="7"/>
      <c r="T155" s="2"/>
      <c r="U155" s="2"/>
      <c r="V155" s="2"/>
      <c r="W155" s="2"/>
      <c r="X155" s="2"/>
      <c r="Y155" s="2"/>
      <c r="Z155" s="2"/>
      <c r="AA155" s="2"/>
      <c r="AB155" s="343"/>
      <c r="AC155" s="2"/>
      <c r="AD155" s="2"/>
      <c r="AE155" s="349"/>
      <c r="AF155" s="349"/>
      <c r="AG155" s="349"/>
      <c r="AH155" s="349"/>
      <c r="AI155" s="349"/>
      <c r="AJ155" s="349"/>
      <c r="AK155" s="349"/>
      <c r="AL155" s="349"/>
      <c r="AM155" s="349"/>
    </row>
    <row r="156" spans="1:39" ht="25.5" customHeight="1" x14ac:dyDescent="0.25">
      <c r="A156" s="2"/>
      <c r="B156" s="3"/>
      <c r="C156" s="370"/>
      <c r="D156" s="359"/>
      <c r="E156" s="2641" t="str">
        <f>Translations!$B$684</f>
        <v>Med ”bränsle” avses varje bränsle-/materialmängd enligt M&amp;R-förordningen som är brännbar och för vilken ett effektivt värmevärde kan fastställas. Den viktade emissionsfaktorn motsvarar de ackumulerade bränsleutsläppen, inklusive bränslen som används för att producera mätbar värme, delat med det totala energiinnehållet.</v>
      </c>
      <c r="F156" s="2635"/>
      <c r="G156" s="2635"/>
      <c r="H156" s="2635"/>
      <c r="I156" s="2635"/>
      <c r="J156" s="2635"/>
      <c r="K156" s="2635"/>
      <c r="L156" s="2635"/>
      <c r="M156" s="2635"/>
      <c r="N156" s="2636"/>
      <c r="O156" s="6"/>
      <c r="P156" s="6"/>
      <c r="Q156" s="7"/>
      <c r="R156" s="2"/>
      <c r="S156" s="7"/>
      <c r="T156" s="2"/>
      <c r="U156" s="2"/>
      <c r="V156" s="2"/>
      <c r="W156" s="2"/>
      <c r="X156" s="2"/>
      <c r="Y156" s="2"/>
      <c r="Z156" s="2"/>
      <c r="AA156" s="2"/>
      <c r="AB156" s="343"/>
      <c r="AC156" s="2"/>
      <c r="AD156" s="2"/>
      <c r="AE156" s="349"/>
      <c r="AF156" s="349"/>
      <c r="AG156" s="349"/>
      <c r="AH156" s="349"/>
      <c r="AI156" s="349"/>
      <c r="AJ156" s="349"/>
      <c r="AK156" s="349"/>
      <c r="AL156" s="349"/>
      <c r="AM156" s="349"/>
    </row>
    <row r="157" spans="1:39" ht="12.75" customHeight="1" x14ac:dyDescent="0.25">
      <c r="A157" s="2"/>
      <c r="B157" s="3"/>
      <c r="C157" s="370"/>
      <c r="D157" s="359"/>
      <c r="E157" s="2641" t="str">
        <f>Translations!$B$569</f>
        <v>Den viktade emissionsfaktorn bör dessutom innefatta utsläpp från motsvarande rökgasrening, i tillämpliga fall.</v>
      </c>
      <c r="F157" s="2635"/>
      <c r="G157" s="2635"/>
      <c r="H157" s="2635"/>
      <c r="I157" s="2635"/>
      <c r="J157" s="2635"/>
      <c r="K157" s="2635"/>
      <c r="L157" s="2635"/>
      <c r="M157" s="2635"/>
      <c r="N157" s="2636"/>
      <c r="O157" s="6"/>
      <c r="P157" s="6"/>
      <c r="Q157" s="7"/>
      <c r="R157" s="2"/>
      <c r="S157" s="7"/>
      <c r="T157" s="2"/>
      <c r="U157" s="2"/>
      <c r="V157" s="2"/>
      <c r="W157" s="2"/>
      <c r="X157" s="2"/>
      <c r="Y157" s="2"/>
      <c r="Z157" s="2"/>
      <c r="AA157" s="2"/>
      <c r="AB157" s="343"/>
      <c r="AC157" s="2"/>
      <c r="AD157" s="2"/>
      <c r="AE157" s="349"/>
      <c r="AF157" s="349"/>
      <c r="AG157" s="349"/>
      <c r="AH157" s="349"/>
      <c r="AI157" s="349"/>
      <c r="AJ157" s="349"/>
      <c r="AK157" s="349"/>
      <c r="AL157" s="349"/>
      <c r="AM157" s="349"/>
    </row>
    <row r="158" spans="1:39" ht="12.75" customHeight="1" x14ac:dyDescent="0.25">
      <c r="A158" s="2"/>
      <c r="B158" s="3"/>
      <c r="C158" s="370"/>
      <c r="D158" s="359"/>
      <c r="E158" s="2641" t="str">
        <f>Translations!$B$685</f>
        <v>Insatsbränsle från restgaser innefattar motsvarande insatsenergi för att producera mätbar värme som används vid delanläggningen.</v>
      </c>
      <c r="F158" s="2635"/>
      <c r="G158" s="2635"/>
      <c r="H158" s="2635"/>
      <c r="I158" s="2635"/>
      <c r="J158" s="2635"/>
      <c r="K158" s="2635"/>
      <c r="L158" s="2635"/>
      <c r="M158" s="2635"/>
      <c r="N158" s="2636"/>
      <c r="O158" s="6"/>
      <c r="P158" s="6"/>
      <c r="Q158" s="7"/>
      <c r="R158" s="2"/>
      <c r="S158" s="7"/>
      <c r="T158" s="2"/>
      <c r="U158" s="2"/>
      <c r="V158" s="2"/>
      <c r="W158" s="2"/>
      <c r="X158" s="2"/>
      <c r="Y158" s="2"/>
      <c r="Z158" s="2"/>
      <c r="AA158" s="2"/>
      <c r="AB158" s="343"/>
      <c r="AC158" s="2"/>
      <c r="AD158" s="2"/>
      <c r="AE158" s="349"/>
      <c r="AF158" s="349"/>
      <c r="AG158" s="349"/>
      <c r="AH158" s="349"/>
      <c r="AI158" s="349"/>
      <c r="AJ158" s="349"/>
      <c r="AK158" s="349"/>
      <c r="AL158" s="349"/>
      <c r="AM158" s="349"/>
    </row>
    <row r="159" spans="1:39" ht="12.75" customHeight="1" x14ac:dyDescent="0.25">
      <c r="A159" s="2"/>
      <c r="B159" s="3"/>
      <c r="C159" s="370"/>
      <c r="D159" s="359"/>
      <c r="E159" s="2641" t="str">
        <f>Translations!$B$686</f>
        <v>De värden som anges här används för att beräkna restgasbalansen i avsnitt E.III.h.</v>
      </c>
      <c r="F159" s="2635"/>
      <c r="G159" s="2635"/>
      <c r="H159" s="2635"/>
      <c r="I159" s="2635"/>
      <c r="J159" s="2635"/>
      <c r="K159" s="2635"/>
      <c r="L159" s="2635"/>
      <c r="M159" s="2635"/>
      <c r="N159" s="2636"/>
      <c r="O159" s="6"/>
      <c r="P159" s="6"/>
      <c r="Q159" s="7"/>
      <c r="R159" s="2"/>
      <c r="S159" s="7"/>
      <c r="T159" s="2"/>
      <c r="U159" s="2"/>
      <c r="V159" s="2"/>
      <c r="W159" s="2"/>
      <c r="X159" s="2"/>
      <c r="Y159" s="2"/>
      <c r="Z159" s="2"/>
      <c r="AA159" s="2"/>
      <c r="AB159" s="343"/>
      <c r="AC159" s="2"/>
      <c r="AD159" s="2"/>
      <c r="AE159" s="349"/>
      <c r="AF159" s="349"/>
      <c r="AG159" s="349"/>
      <c r="AH159" s="349"/>
      <c r="AI159" s="349"/>
      <c r="AJ159" s="349"/>
      <c r="AK159" s="349"/>
      <c r="AL159" s="349"/>
      <c r="AM159" s="349"/>
    </row>
    <row r="160" spans="1:39" ht="12.75" customHeight="1" x14ac:dyDescent="0.25">
      <c r="A160" s="2"/>
      <c r="B160" s="3"/>
      <c r="C160" s="370"/>
      <c r="D160" s="359"/>
      <c r="E160" s="2637" t="str">
        <f>Translations!$B$570</f>
        <v>De uppgifter som anges här används bara för konsekvenskontroll och har ingen direkt inverkan på vare sig de utsläpp som kan tillskrivas eller tilldelningen.</v>
      </c>
      <c r="F160" s="2634"/>
      <c r="G160" s="2634"/>
      <c r="H160" s="2634"/>
      <c r="I160" s="2634"/>
      <c r="J160" s="2634"/>
      <c r="K160" s="2634"/>
      <c r="L160" s="2634"/>
      <c r="M160" s="2634"/>
      <c r="N160" s="2638"/>
      <c r="O160" s="6"/>
      <c r="P160" s="6"/>
      <c r="Q160" s="7"/>
      <c r="R160" s="2"/>
      <c r="S160" s="7"/>
      <c r="T160" s="2"/>
      <c r="U160" s="2"/>
      <c r="V160" s="2"/>
      <c r="W160" s="2"/>
      <c r="X160" s="2"/>
      <c r="Y160" s="2"/>
      <c r="Z160" s="2"/>
      <c r="AA160" s="2"/>
      <c r="AB160" s="343"/>
      <c r="AC160" s="2"/>
      <c r="AD160" s="2"/>
      <c r="AE160" s="349"/>
      <c r="AF160" s="349"/>
      <c r="AG160" s="349"/>
      <c r="AH160" s="349"/>
      <c r="AI160" s="349"/>
      <c r="AJ160" s="349"/>
      <c r="AK160" s="349"/>
      <c r="AL160" s="349"/>
      <c r="AM160" s="349"/>
    </row>
    <row r="161" spans="1:39" ht="12.75" customHeight="1" x14ac:dyDescent="0.25">
      <c r="A161" s="2"/>
      <c r="B161" s="3"/>
      <c r="C161" s="370"/>
      <c r="D161" s="373"/>
      <c r="E161" s="1716"/>
      <c r="F161" s="1717"/>
      <c r="G161" s="361" t="str">
        <f>EUconst_Unit</f>
        <v>Enhet</v>
      </c>
      <c r="H161" s="362">
        <f t="shared" ref="H161:N161" si="48">H$950</f>
        <v>2019</v>
      </c>
      <c r="I161" s="362">
        <f t="shared" si="48"/>
        <v>2020</v>
      </c>
      <c r="J161" s="362">
        <f t="shared" si="48"/>
        <v>2021</v>
      </c>
      <c r="K161" s="362">
        <f t="shared" si="48"/>
        <v>2022</v>
      </c>
      <c r="L161" s="362">
        <f t="shared" si="48"/>
        <v>2023</v>
      </c>
      <c r="M161" s="362">
        <f t="shared" si="48"/>
        <v>2024</v>
      </c>
      <c r="N161" s="1141">
        <f t="shared" si="48"/>
        <v>2025</v>
      </c>
      <c r="O161" s="6"/>
      <c r="P161" s="6"/>
      <c r="Q161" s="7"/>
      <c r="R161" s="2"/>
      <c r="S161" s="7"/>
      <c r="T161" s="2"/>
      <c r="U161" s="2"/>
      <c r="V161" s="2"/>
      <c r="W161" s="2"/>
      <c r="X161" s="2"/>
      <c r="Y161" s="2"/>
      <c r="Z161" s="2"/>
      <c r="AA161" s="2"/>
      <c r="AB161" s="2"/>
      <c r="AC161" s="1531">
        <f t="shared" ref="AC161:AI161" si="49">H$950</f>
        <v>2019</v>
      </c>
      <c r="AD161" s="1531">
        <f t="shared" si="49"/>
        <v>2020</v>
      </c>
      <c r="AE161" s="1531">
        <f t="shared" si="49"/>
        <v>2021</v>
      </c>
      <c r="AF161" s="1531">
        <f t="shared" si="49"/>
        <v>2022</v>
      </c>
      <c r="AG161" s="1531">
        <f t="shared" si="49"/>
        <v>2023</v>
      </c>
      <c r="AH161" s="1531">
        <f t="shared" si="49"/>
        <v>2024</v>
      </c>
      <c r="AI161" s="1531">
        <f t="shared" si="49"/>
        <v>2025</v>
      </c>
      <c r="AJ161" s="349"/>
      <c r="AK161" s="349"/>
      <c r="AL161" s="349"/>
      <c r="AM161" s="349"/>
    </row>
    <row r="162" spans="1:39" ht="12.75" customHeight="1" x14ac:dyDescent="0.25">
      <c r="A162" s="2"/>
      <c r="B162" s="3"/>
      <c r="C162" s="370"/>
      <c r="D162" s="376" t="s">
        <v>8</v>
      </c>
      <c r="E162" s="2613" t="str">
        <f>Translations!$B$687</f>
        <v>Totalt insatsbränsle</v>
      </c>
      <c r="F162" s="1997"/>
      <c r="G162" s="364" t="str">
        <f>EUconst_TJpa</f>
        <v>TJ / år</v>
      </c>
      <c r="H162" s="582"/>
      <c r="I162" s="582"/>
      <c r="J162" s="582"/>
      <c r="K162" s="582"/>
      <c r="L162" s="582"/>
      <c r="M162" s="582"/>
      <c r="N162" s="1146"/>
      <c r="O162" s="6"/>
      <c r="P162" s="1362"/>
      <c r="Q162" s="298" t="str">
        <f>EUconst_CNTR_FuelInput &amp; I12</f>
        <v>FuelInput_Delanläggning med värmeriktmärke, KL</v>
      </c>
      <c r="R162" s="2"/>
      <c r="S162" s="7"/>
      <c r="T162" s="2"/>
      <c r="U162" s="2"/>
      <c r="V162" s="2"/>
      <c r="W162" s="2"/>
      <c r="X162" s="2"/>
      <c r="Y162" s="2"/>
      <c r="Z162" s="2"/>
      <c r="AA162" s="2"/>
      <c r="AB162" s="672" t="s">
        <v>782</v>
      </c>
      <c r="AC162" s="108" t="b">
        <f>AC152</f>
        <v>0</v>
      </c>
      <c r="AD162" s="108" t="b">
        <f t="shared" ref="AD162:AI162" si="50">AD152</f>
        <v>0</v>
      </c>
      <c r="AE162" s="108" t="b">
        <f t="shared" si="50"/>
        <v>0</v>
      </c>
      <c r="AF162" s="108" t="b">
        <f t="shared" si="50"/>
        <v>0</v>
      </c>
      <c r="AG162" s="108" t="b">
        <f t="shared" si="50"/>
        <v>0</v>
      </c>
      <c r="AH162" s="108" t="b">
        <f t="shared" si="50"/>
        <v>0</v>
      </c>
      <c r="AI162" s="108" t="b">
        <f t="shared" si="50"/>
        <v>0</v>
      </c>
      <c r="AJ162" s="349"/>
      <c r="AK162" s="349"/>
      <c r="AL162" s="663" t="str">
        <f>IF(AND(CNTR_ExistSubInstEntries,COUNTIFS(AC162:AI162,2,H162:N162,"")&gt;0),EUconst_Error&amp;"FB"&amp;Q12,"")</f>
        <v/>
      </c>
      <c r="AM162" s="349"/>
    </row>
    <row r="163" spans="1:39" ht="12.75" customHeight="1" x14ac:dyDescent="0.25">
      <c r="A163" s="2"/>
      <c r="B163" s="3"/>
      <c r="C163" s="370"/>
      <c r="D163" s="376" t="s">
        <v>9</v>
      </c>
      <c r="E163" s="2613" t="str">
        <f>Translations!$B$572</f>
        <v>Viktad emissionsfaktor</v>
      </c>
      <c r="F163" s="1997"/>
      <c r="G163" s="449" t="str">
        <f>EUconst_tCO2pTJ</f>
        <v>t CO2 / TJ</v>
      </c>
      <c r="H163" s="747"/>
      <c r="I163" s="747"/>
      <c r="J163" s="747"/>
      <c r="K163" s="747"/>
      <c r="L163" s="747"/>
      <c r="M163" s="747"/>
      <c r="N163" s="1297"/>
      <c r="O163" s="6"/>
      <c r="P163" s="1362"/>
      <c r="Q163" s="298" t="str">
        <f>EUconst_CNTR_FuelEF &amp; I12</f>
        <v>FuelEF_Delanläggning med värmeriktmärke, KL</v>
      </c>
      <c r="R163" s="2"/>
      <c r="S163" s="7"/>
      <c r="T163" s="2"/>
      <c r="U163" s="2"/>
      <c r="V163" s="2"/>
      <c r="W163" s="2"/>
      <c r="X163" s="2"/>
      <c r="Y163" s="2"/>
      <c r="Z163" s="2"/>
      <c r="AA163" s="2"/>
      <c r="AB163" s="343"/>
      <c r="AC163" s="108" t="b">
        <f>AC162</f>
        <v>0</v>
      </c>
      <c r="AD163" s="108" t="b">
        <f t="shared" ref="AD163:AI163" si="51">AD162</f>
        <v>0</v>
      </c>
      <c r="AE163" s="108" t="b">
        <f t="shared" si="51"/>
        <v>0</v>
      </c>
      <c r="AF163" s="108" t="b">
        <f t="shared" si="51"/>
        <v>0</v>
      </c>
      <c r="AG163" s="108" t="b">
        <f t="shared" si="51"/>
        <v>0</v>
      </c>
      <c r="AH163" s="108" t="b">
        <f t="shared" si="51"/>
        <v>0</v>
      </c>
      <c r="AI163" s="108" t="b">
        <f t="shared" si="51"/>
        <v>0</v>
      </c>
      <c r="AJ163" s="349"/>
      <c r="AK163" s="349"/>
      <c r="AL163" s="663" t="str">
        <f>IF(AND(CNTR_ExistSubInstEntries,COUNTIFS(AC163:AI163,2,H163:N163,"")&gt;0),EUconst_Error&amp;"FB"&amp;Q12,"")</f>
        <v/>
      </c>
      <c r="AM163" s="349"/>
    </row>
    <row r="164" spans="1:39" ht="5.15" customHeight="1" x14ac:dyDescent="0.25">
      <c r="A164" s="2"/>
      <c r="B164" s="3"/>
      <c r="C164" s="370"/>
      <c r="D164" s="359"/>
      <c r="E164" s="359"/>
      <c r="F164" s="359"/>
      <c r="G164" s="359"/>
      <c r="H164" s="359"/>
      <c r="I164" s="359"/>
      <c r="J164" s="359"/>
      <c r="K164" s="359"/>
      <c r="L164" s="359"/>
      <c r="M164" s="359"/>
      <c r="N164" s="1150"/>
      <c r="O164" s="6"/>
      <c r="P164" s="6"/>
      <c r="Q164" s="7"/>
      <c r="R164" s="2"/>
      <c r="S164" s="7"/>
      <c r="T164" s="2"/>
      <c r="U164" s="2"/>
      <c r="V164" s="2"/>
      <c r="W164" s="2"/>
      <c r="X164" s="2"/>
      <c r="Y164" s="2"/>
      <c r="Z164" s="2"/>
      <c r="AA164" s="2"/>
      <c r="AB164" s="343"/>
      <c r="AC164" s="2"/>
      <c r="AD164" s="2"/>
      <c r="AE164" s="2"/>
      <c r="AF164" s="2"/>
      <c r="AG164" s="2"/>
      <c r="AH164" s="2"/>
      <c r="AI164" s="2"/>
      <c r="AJ164" s="349"/>
      <c r="AK164" s="349"/>
      <c r="AL164" s="349"/>
      <c r="AM164" s="349"/>
    </row>
    <row r="165" spans="1:39" ht="12.75" customHeight="1" x14ac:dyDescent="0.25">
      <c r="A165" s="2"/>
      <c r="B165" s="3"/>
      <c r="C165" s="370"/>
      <c r="D165" s="376" t="s">
        <v>10</v>
      </c>
      <c r="E165" s="2613" t="str">
        <f>Translations!$B$688</f>
        <v>Insatsbränsle från restgaser</v>
      </c>
      <c r="F165" s="1997"/>
      <c r="G165" s="364" t="str">
        <f>EUconst_TJpa</f>
        <v>TJ / år</v>
      </c>
      <c r="H165" s="582"/>
      <c r="I165" s="582"/>
      <c r="J165" s="582"/>
      <c r="K165" s="582"/>
      <c r="L165" s="582"/>
      <c r="M165" s="582"/>
      <c r="N165" s="1146"/>
      <c r="O165" s="6"/>
      <c r="P165" s="1362"/>
      <c r="Q165" s="355" t="str">
        <f>EUconst_CNTR_WGConsumed &amp; I12</f>
        <v>WasteGasCons_Delanläggning med värmeriktmärke, KL</v>
      </c>
      <c r="R165" s="2"/>
      <c r="S165" s="7"/>
      <c r="T165" s="2"/>
      <c r="U165" s="2"/>
      <c r="V165" s="2"/>
      <c r="W165" s="2"/>
      <c r="X165" s="2"/>
      <c r="Y165" s="2"/>
      <c r="Z165" s="2"/>
      <c r="AA165" s="2"/>
      <c r="AB165" s="343"/>
      <c r="AC165" s="108" t="b">
        <f>AC162</f>
        <v>0</v>
      </c>
      <c r="AD165" s="108" t="b">
        <f t="shared" ref="AD165:AI165" si="52">AD162</f>
        <v>0</v>
      </c>
      <c r="AE165" s="108" t="b">
        <f t="shared" si="52"/>
        <v>0</v>
      </c>
      <c r="AF165" s="108" t="b">
        <f t="shared" si="52"/>
        <v>0</v>
      </c>
      <c r="AG165" s="108" t="b">
        <f t="shared" si="52"/>
        <v>0</v>
      </c>
      <c r="AH165" s="108" t="b">
        <f t="shared" si="52"/>
        <v>0</v>
      </c>
      <c r="AI165" s="108" t="b">
        <f t="shared" si="52"/>
        <v>0</v>
      </c>
      <c r="AJ165" s="349"/>
      <c r="AK165" s="349"/>
      <c r="AL165" s="663" t="str">
        <f>IF(AND(CNTR_ExistSubInstEntries,COUNTIFS(AC165:AI165,2,H165:N165,"")&gt;0),EUconst_Error&amp;"FB"&amp;Q12,"")</f>
        <v/>
      </c>
      <c r="AM165" s="349"/>
    </row>
    <row r="166" spans="1:39" ht="12.75" customHeight="1" x14ac:dyDescent="0.25">
      <c r="A166" s="2"/>
      <c r="B166" s="3"/>
      <c r="C166" s="370"/>
      <c r="D166" s="376" t="s">
        <v>23</v>
      </c>
      <c r="E166" s="2613" t="str">
        <f>Translations!$B$689</f>
        <v>Särskild utsläppsfaktor (restgas)</v>
      </c>
      <c r="F166" s="1997"/>
      <c r="G166" s="449" t="str">
        <f>EUconst_tCO2pTJ</f>
        <v>t CO2 / TJ</v>
      </c>
      <c r="H166" s="747"/>
      <c r="I166" s="747"/>
      <c r="J166" s="747"/>
      <c r="K166" s="747"/>
      <c r="L166" s="747"/>
      <c r="M166" s="747"/>
      <c r="N166" s="1297"/>
      <c r="O166" s="6"/>
      <c r="P166" s="1362"/>
      <c r="Q166" s="298" t="str">
        <f>EUconst_CNTR_WGConsumedEF &amp; I12</f>
        <v>WasteGasConsEF_Delanläggning med värmeriktmärke, KL</v>
      </c>
      <c r="R166" s="2"/>
      <c r="S166" s="7"/>
      <c r="T166" s="2"/>
      <c r="U166" s="2"/>
      <c r="V166" s="2"/>
      <c r="W166" s="2"/>
      <c r="X166" s="2"/>
      <c r="Y166" s="2"/>
      <c r="Z166" s="2"/>
      <c r="AA166" s="2"/>
      <c r="AB166" s="343"/>
      <c r="AC166" s="108" t="b">
        <f>AC163</f>
        <v>0</v>
      </c>
      <c r="AD166" s="108" t="b">
        <f t="shared" ref="AD166:AI166" si="53">AD163</f>
        <v>0</v>
      </c>
      <c r="AE166" s="108" t="b">
        <f t="shared" si="53"/>
        <v>0</v>
      </c>
      <c r="AF166" s="108" t="b">
        <f t="shared" si="53"/>
        <v>0</v>
      </c>
      <c r="AG166" s="108" t="b">
        <f t="shared" si="53"/>
        <v>0</v>
      </c>
      <c r="AH166" s="108" t="b">
        <f t="shared" si="53"/>
        <v>0</v>
      </c>
      <c r="AI166" s="108" t="b">
        <f t="shared" si="53"/>
        <v>0</v>
      </c>
      <c r="AJ166" s="349"/>
      <c r="AK166" s="349"/>
      <c r="AL166" s="663" t="str">
        <f>IF(AND(CNTR_ExistSubInstEntries,COUNTIFS(AC166:AI166,2,H166:N166,"")&gt;0),EUconst_Error&amp;"FB"&amp;Q12,"")</f>
        <v/>
      </c>
      <c r="AM166" s="349"/>
    </row>
    <row r="167" spans="1:39" ht="5.15" customHeight="1" x14ac:dyDescent="0.25">
      <c r="A167" s="2"/>
      <c r="B167" s="19"/>
      <c r="C167" s="371"/>
      <c r="D167" s="360"/>
      <c r="E167" s="360"/>
      <c r="F167" s="360"/>
      <c r="G167" s="360"/>
      <c r="H167" s="360"/>
      <c r="I167" s="360"/>
      <c r="J167" s="360"/>
      <c r="K167" s="360"/>
      <c r="L167" s="360"/>
      <c r="M167" s="360"/>
      <c r="N167" s="372"/>
      <c r="O167" s="6"/>
      <c r="P167" s="6"/>
      <c r="Q167" s="2"/>
      <c r="R167" s="2"/>
      <c r="S167" s="7"/>
      <c r="T167" s="7"/>
      <c r="U167" s="7"/>
      <c r="V167" s="7"/>
      <c r="W167" s="2"/>
      <c r="X167" s="2"/>
      <c r="Y167" s="2"/>
      <c r="Z167" s="2"/>
      <c r="AA167" s="2"/>
      <c r="AB167" s="343"/>
      <c r="AC167" s="2"/>
      <c r="AD167" s="2"/>
      <c r="AE167" s="2"/>
      <c r="AF167" s="2"/>
      <c r="AG167" s="2"/>
      <c r="AH167" s="2"/>
      <c r="AI167" s="2"/>
      <c r="AJ167" s="349"/>
      <c r="AK167" s="349"/>
      <c r="AL167" s="349"/>
      <c r="AM167" s="349"/>
    </row>
    <row r="168" spans="1:39" ht="12.75" customHeight="1" x14ac:dyDescent="0.25">
      <c r="A168" s="2"/>
      <c r="B168" s="3"/>
      <c r="C168" s="370"/>
      <c r="D168" s="373" t="s">
        <v>65</v>
      </c>
      <c r="E168" s="2634" t="str">
        <f>Translations!$B$380</f>
        <v>Producerad mätbar värme</v>
      </c>
      <c r="F168" s="2635"/>
      <c r="G168" s="2635"/>
      <c r="H168" s="2635"/>
      <c r="I168" s="2635"/>
      <c r="J168" s="2635"/>
      <c r="K168" s="2635"/>
      <c r="L168" s="2635"/>
      <c r="M168" s="2635"/>
      <c r="N168" s="2636"/>
      <c r="O168" s="6"/>
      <c r="P168" s="6"/>
      <c r="Q168" s="7"/>
      <c r="R168" s="2"/>
      <c r="S168" s="7"/>
      <c r="T168" s="7"/>
      <c r="U168" s="7"/>
      <c r="V168" s="7"/>
      <c r="W168" s="2"/>
      <c r="X168" s="2"/>
      <c r="Y168" s="2"/>
      <c r="Z168" s="2"/>
      <c r="AA168" s="2"/>
      <c r="AB168" s="343"/>
      <c r="AC168" s="2"/>
      <c r="AD168" s="2"/>
      <c r="AE168" s="2"/>
      <c r="AF168" s="2"/>
      <c r="AG168" s="2"/>
      <c r="AH168" s="2"/>
      <c r="AI168" s="2"/>
      <c r="AJ168" s="349"/>
      <c r="AK168" s="349"/>
      <c r="AL168" s="349"/>
      <c r="AM168" s="349"/>
    </row>
    <row r="169" spans="1:39" ht="12.75" customHeight="1" x14ac:dyDescent="0.25">
      <c r="A169" s="2"/>
      <c r="B169" s="3"/>
      <c r="C169" s="370"/>
      <c r="D169" s="359"/>
      <c r="E169" s="2639" t="str">
        <f>Translations!$B$690</f>
        <v xml:space="preserve">Var god ange producerad mätbar värme i enlighet med avsnitt 3.2 a i bilaga IV till FAR. </v>
      </c>
      <c r="F169" s="2639"/>
      <c r="G169" s="2639"/>
      <c r="H169" s="2639"/>
      <c r="I169" s="2639"/>
      <c r="J169" s="2639"/>
      <c r="K169" s="2639"/>
      <c r="L169" s="2639"/>
      <c r="M169" s="2639"/>
      <c r="N169" s="2640"/>
      <c r="O169" s="6"/>
      <c r="P169" s="6"/>
      <c r="Q169" s="7"/>
      <c r="R169" s="2"/>
      <c r="S169" s="7"/>
      <c r="T169" s="2"/>
      <c r="U169" s="2"/>
      <c r="V169" s="2"/>
      <c r="W169" s="2"/>
      <c r="X169" s="2"/>
      <c r="Y169" s="2"/>
      <c r="Z169" s="2"/>
      <c r="AA169" s="2"/>
      <c r="AB169" s="343"/>
      <c r="AC169" s="2"/>
      <c r="AD169" s="2"/>
      <c r="AE169" s="2"/>
      <c r="AF169" s="2"/>
      <c r="AG169" s="2"/>
      <c r="AH169" s="2"/>
      <c r="AI169" s="2"/>
      <c r="AJ169" s="349"/>
      <c r="AK169" s="349"/>
      <c r="AL169" s="349"/>
      <c r="AM169" s="349"/>
    </row>
    <row r="170" spans="1:39" ht="25.5" customHeight="1" x14ac:dyDescent="0.25">
      <c r="A170" s="2"/>
      <c r="B170" s="3"/>
      <c r="C170" s="370"/>
      <c r="D170" s="359"/>
      <c r="E170" s="2639" t="str">
        <f>Translations!$B$691</f>
        <v>Detta värde skiljer sig vanligtvis från delanläggningens verksamhetsnivå enligt punkt a ovan, eftersom det innefattar värmeförluster utöver de nettomängder mätbar värme som förbrukas av eller exporteras till andra enheter utanför ETS och inte innefattar värmeimport, som ska anges i punkt f nedan.</v>
      </c>
      <c r="F170" s="2639"/>
      <c r="G170" s="2639"/>
      <c r="H170" s="2639"/>
      <c r="I170" s="2639"/>
      <c r="J170" s="2639"/>
      <c r="K170" s="2639"/>
      <c r="L170" s="2639"/>
      <c r="M170" s="2639"/>
      <c r="N170" s="2640"/>
      <c r="O170" s="6"/>
      <c r="P170" s="6"/>
      <c r="Q170" s="7"/>
      <c r="R170" s="2"/>
      <c r="S170" s="7"/>
      <c r="T170" s="7"/>
      <c r="U170" s="7"/>
      <c r="V170" s="7"/>
      <c r="W170" s="7"/>
      <c r="X170" s="7"/>
      <c r="Y170" s="7"/>
      <c r="Z170" s="7"/>
      <c r="AA170" s="2"/>
      <c r="AB170" s="343"/>
      <c r="AC170" s="2"/>
      <c r="AD170" s="2"/>
      <c r="AE170" s="2"/>
      <c r="AF170" s="2"/>
      <c r="AG170" s="2"/>
      <c r="AH170" s="2"/>
      <c r="AI170" s="2"/>
      <c r="AJ170" s="349"/>
      <c r="AK170" s="349"/>
      <c r="AL170" s="349"/>
      <c r="AM170" s="349"/>
    </row>
    <row r="171" spans="1:39" ht="12.75" customHeight="1" x14ac:dyDescent="0.25">
      <c r="A171" s="2"/>
      <c r="B171" s="3"/>
      <c r="C171" s="370"/>
      <c r="D171" s="373"/>
      <c r="E171" s="2605" t="str">
        <f>Translations!$B$380</f>
        <v>Producerad mätbar värme</v>
      </c>
      <c r="F171" s="2605"/>
      <c r="G171" s="361" t="str">
        <f>EUconst_Unit</f>
        <v>Enhet</v>
      </c>
      <c r="H171" s="362">
        <f t="shared" ref="H171:N171" si="54">H$950</f>
        <v>2019</v>
      </c>
      <c r="I171" s="362">
        <f t="shared" si="54"/>
        <v>2020</v>
      </c>
      <c r="J171" s="362">
        <f t="shared" si="54"/>
        <v>2021</v>
      </c>
      <c r="K171" s="362">
        <f t="shared" si="54"/>
        <v>2022</v>
      </c>
      <c r="L171" s="362">
        <f t="shared" si="54"/>
        <v>2023</v>
      </c>
      <c r="M171" s="362">
        <f t="shared" si="54"/>
        <v>2024</v>
      </c>
      <c r="N171" s="1141">
        <f t="shared" si="54"/>
        <v>2025</v>
      </c>
      <c r="O171" s="6"/>
      <c r="P171" s="6"/>
      <c r="Q171" s="7"/>
      <c r="R171" s="2"/>
      <c r="S171" s="7"/>
      <c r="T171" s="7"/>
      <c r="U171" s="7"/>
      <c r="V171" s="7"/>
      <c r="W171" s="7"/>
      <c r="X171" s="7"/>
      <c r="Y171" s="7"/>
      <c r="Z171" s="7"/>
      <c r="AA171" s="2"/>
      <c r="AB171" s="343"/>
      <c r="AC171" s="1531">
        <f t="shared" ref="AC171:AI171" si="55">H$950</f>
        <v>2019</v>
      </c>
      <c r="AD171" s="1531">
        <f t="shared" si="55"/>
        <v>2020</v>
      </c>
      <c r="AE171" s="1531">
        <f t="shared" si="55"/>
        <v>2021</v>
      </c>
      <c r="AF171" s="1531">
        <f t="shared" si="55"/>
        <v>2022</v>
      </c>
      <c r="AG171" s="1531">
        <f t="shared" si="55"/>
        <v>2023</v>
      </c>
      <c r="AH171" s="1531">
        <f t="shared" si="55"/>
        <v>2024</v>
      </c>
      <c r="AI171" s="1531">
        <f t="shared" si="55"/>
        <v>2025</v>
      </c>
      <c r="AJ171" s="349"/>
      <c r="AK171" s="349"/>
      <c r="AL171" s="349"/>
      <c r="AM171" s="349"/>
    </row>
    <row r="172" spans="1:39" ht="12.75" customHeight="1" x14ac:dyDescent="0.25">
      <c r="A172" s="2"/>
      <c r="B172" s="3"/>
      <c r="C172" s="370"/>
      <c r="D172" s="359"/>
      <c r="E172" s="2617" t="str">
        <f>E152</f>
        <v>Delanläggning med värmeriktmärke, KL</v>
      </c>
      <c r="F172" s="1997"/>
      <c r="G172" s="363" t="str">
        <f>EUconst_TJpa</f>
        <v>TJ / år</v>
      </c>
      <c r="H172" s="1529"/>
      <c r="I172" s="1529"/>
      <c r="J172" s="1529"/>
      <c r="K172" s="1529"/>
      <c r="L172" s="1529"/>
      <c r="M172" s="1529"/>
      <c r="N172" s="1530"/>
      <c r="O172" s="6"/>
      <c r="P172" s="1362"/>
      <c r="Q172" s="298" t="str">
        <f>EUconst_CNTR_HeatProduced &amp; I12</f>
        <v>HeatProd_Delanläggning med värmeriktmärke, KL</v>
      </c>
      <c r="R172" s="2"/>
      <c r="S172" s="7"/>
      <c r="T172" s="7"/>
      <c r="U172" s="7"/>
      <c r="V172" s="7"/>
      <c r="W172" s="7"/>
      <c r="X172" s="7"/>
      <c r="Y172" s="7"/>
      <c r="Z172" s="7"/>
      <c r="AA172" s="2"/>
      <c r="AB172" s="672" t="s">
        <v>782</v>
      </c>
      <c r="AC172" s="108" t="b">
        <f>AC152</f>
        <v>0</v>
      </c>
      <c r="AD172" s="108" t="b">
        <f t="shared" ref="AD172:AI172" si="56">AD152</f>
        <v>0</v>
      </c>
      <c r="AE172" s="108" t="b">
        <f t="shared" si="56"/>
        <v>0</v>
      </c>
      <c r="AF172" s="108" t="b">
        <f t="shared" si="56"/>
        <v>0</v>
      </c>
      <c r="AG172" s="108" t="b">
        <f t="shared" si="56"/>
        <v>0</v>
      </c>
      <c r="AH172" s="108" t="b">
        <f t="shared" si="56"/>
        <v>0</v>
      </c>
      <c r="AI172" s="108" t="b">
        <f t="shared" si="56"/>
        <v>0</v>
      </c>
      <c r="AJ172" s="349"/>
      <c r="AK172" s="349"/>
      <c r="AL172" s="663" t="str">
        <f>IF(AND(CNTR_ExistSubInstEntries,COUNTIFS(AC172:AI172,2,H172:N172,"")&gt;0),EUconst_Error&amp;"FB"&amp;Q12,"")</f>
        <v/>
      </c>
      <c r="AM172" s="349"/>
    </row>
    <row r="173" spans="1:39" ht="5.15" customHeight="1" x14ac:dyDescent="0.25">
      <c r="A173" s="2"/>
      <c r="B173" s="3"/>
      <c r="C173" s="370"/>
      <c r="D173" s="359"/>
      <c r="E173" s="359"/>
      <c r="F173" s="359"/>
      <c r="G173" s="359"/>
      <c r="H173" s="359"/>
      <c r="I173" s="359"/>
      <c r="J173" s="359"/>
      <c r="K173" s="359"/>
      <c r="L173" s="359"/>
      <c r="M173" s="375"/>
      <c r="N173" s="374"/>
      <c r="O173" s="6"/>
      <c r="P173" s="6"/>
      <c r="Q173" s="7"/>
      <c r="R173" s="2"/>
      <c r="S173" s="7"/>
      <c r="T173" s="2"/>
      <c r="U173" s="2"/>
      <c r="V173" s="2"/>
      <c r="W173" s="2"/>
      <c r="X173" s="2"/>
      <c r="Y173" s="2"/>
      <c r="Z173" s="2"/>
      <c r="AA173" s="2"/>
      <c r="AB173" s="343"/>
      <c r="AC173" s="2"/>
      <c r="AD173" s="2"/>
      <c r="AE173" s="2"/>
      <c r="AF173" s="2"/>
      <c r="AG173" s="2"/>
      <c r="AH173" s="2"/>
      <c r="AI173" s="2"/>
      <c r="AJ173" s="349"/>
      <c r="AK173" s="349"/>
      <c r="AL173" s="349"/>
      <c r="AM173" s="349"/>
    </row>
    <row r="174" spans="1:39" ht="12.75" customHeight="1" x14ac:dyDescent="0.25">
      <c r="A174" s="2"/>
      <c r="B174" s="3"/>
      <c r="C174" s="370"/>
      <c r="D174" s="373" t="s">
        <v>66</v>
      </c>
      <c r="E174" s="2634" t="str">
        <f>Translations!$B$692</f>
        <v>Importerad mätbar värme</v>
      </c>
      <c r="F174" s="2635"/>
      <c r="G174" s="2635"/>
      <c r="H174" s="2635"/>
      <c r="I174" s="2635"/>
      <c r="J174" s="2635"/>
      <c r="K174" s="2635"/>
      <c r="L174" s="2635"/>
      <c r="M174" s="2635"/>
      <c r="N174" s="2636"/>
      <c r="O174" s="6"/>
      <c r="P174" s="6"/>
      <c r="Q174" s="7"/>
      <c r="R174" s="2"/>
      <c r="S174" s="7"/>
      <c r="T174" s="2"/>
      <c r="U174" s="2"/>
      <c r="V174" s="2"/>
      <c r="W174" s="2"/>
      <c r="X174" s="2"/>
      <c r="Y174" s="2"/>
      <c r="Z174" s="2"/>
      <c r="AA174" s="2"/>
      <c r="AB174" s="343"/>
      <c r="AC174" s="2"/>
      <c r="AD174" s="2"/>
      <c r="AE174" s="2"/>
      <c r="AF174" s="2"/>
      <c r="AG174" s="2"/>
      <c r="AH174" s="2"/>
      <c r="AI174" s="2"/>
      <c r="AJ174" s="349"/>
      <c r="AK174" s="349"/>
      <c r="AL174" s="349"/>
      <c r="AM174" s="349"/>
    </row>
    <row r="175" spans="1:39" ht="12.75" customHeight="1" x14ac:dyDescent="0.25">
      <c r="A175" s="2"/>
      <c r="B175" s="3"/>
      <c r="C175" s="370"/>
      <c r="D175" s="373"/>
      <c r="E175" s="2637" t="str">
        <f>Translations!$B$598</f>
        <v>De uppgifter som anges här påverkar de utsläpp som kan tillskrivas i enlighet med avsnitt 10.1.2 och 10.1.3 i bilaga VII till FAR.</v>
      </c>
      <c r="F175" s="2634"/>
      <c r="G175" s="2634"/>
      <c r="H175" s="2634"/>
      <c r="I175" s="2634"/>
      <c r="J175" s="2634"/>
      <c r="K175" s="2634"/>
      <c r="L175" s="2634"/>
      <c r="M175" s="2634"/>
      <c r="N175" s="2638"/>
      <c r="O175" s="6"/>
      <c r="P175" s="6"/>
      <c r="Q175" s="7"/>
      <c r="R175" s="2"/>
      <c r="S175" s="7"/>
      <c r="T175" s="2"/>
      <c r="U175" s="2"/>
      <c r="V175" s="2"/>
      <c r="W175" s="2"/>
      <c r="X175" s="2"/>
      <c r="Y175" s="2"/>
      <c r="Z175" s="2"/>
      <c r="AA175" s="2"/>
      <c r="AB175" s="343"/>
      <c r="AC175" s="2"/>
      <c r="AD175" s="2"/>
      <c r="AE175" s="2"/>
      <c r="AF175" s="2"/>
      <c r="AG175" s="2"/>
      <c r="AH175" s="2"/>
      <c r="AI175" s="2"/>
      <c r="AJ175" s="349"/>
      <c r="AK175" s="349"/>
      <c r="AL175" s="349"/>
      <c r="AM175" s="349"/>
    </row>
    <row r="176" spans="1:39" ht="12.75" customHeight="1" x14ac:dyDescent="0.25">
      <c r="A176" s="2"/>
      <c r="B176" s="3"/>
      <c r="C176" s="370"/>
      <c r="D176" s="359"/>
      <c r="E176" s="2641" t="str">
        <f>Translations!$B$693</f>
        <v>Var god ange den mängd mätbar värme som importeras från var och en av följande källor:</v>
      </c>
      <c r="F176" s="2635"/>
      <c r="G176" s="2635"/>
      <c r="H176" s="2635"/>
      <c r="I176" s="2635"/>
      <c r="J176" s="2635"/>
      <c r="K176" s="2635"/>
      <c r="L176" s="2635"/>
      <c r="M176" s="2635"/>
      <c r="N176" s="2636"/>
      <c r="O176" s="6"/>
      <c r="P176" s="6"/>
      <c r="Q176" s="7"/>
      <c r="R176" s="2"/>
      <c r="S176" s="7"/>
      <c r="T176" s="2"/>
      <c r="U176" s="2"/>
      <c r="V176" s="2"/>
      <c r="W176" s="2"/>
      <c r="X176" s="2"/>
      <c r="Y176" s="2"/>
      <c r="Z176" s="2"/>
      <c r="AA176" s="2"/>
      <c r="AB176" s="343"/>
      <c r="AC176" s="2"/>
      <c r="AD176" s="2"/>
      <c r="AE176" s="2"/>
      <c r="AF176" s="2"/>
      <c r="AG176" s="2"/>
      <c r="AH176" s="2"/>
      <c r="AI176" s="2"/>
      <c r="AJ176" s="349"/>
      <c r="AK176" s="349"/>
      <c r="AL176" s="349"/>
      <c r="AM176" s="349"/>
    </row>
    <row r="177" spans="1:39" ht="38.9" customHeight="1" x14ac:dyDescent="0.25">
      <c r="A177" s="2"/>
      <c r="B177" s="3"/>
      <c r="C177" s="370"/>
      <c r="D177" s="359"/>
      <c r="E177" s="1140" t="s">
        <v>1112</v>
      </c>
      <c r="F177" s="2641" t="str">
        <f>Translations!$B$694</f>
        <v>Importerad nettovärme (andra källor): detta innefattar värme som importerats från andra anläggningar eller, om mätbar värme förbrukas vid mer än en delanläggning, den värme som produceras på platsen och förbrukas vid delanläggningen. Mätbar värme som importeras från någon delanläggning med produktriktmärke, massaframställning, mätbar värme som återvinns från delanläggningar med bränsleriktmärke eller från restgaser bör inte tas med här, eftersom separata inmatningsfält finns för sådana mängder.</v>
      </c>
      <c r="G177" s="2642"/>
      <c r="H177" s="2642"/>
      <c r="I177" s="2642"/>
      <c r="J177" s="2642"/>
      <c r="K177" s="2642"/>
      <c r="L177" s="2642"/>
      <c r="M177" s="2642"/>
      <c r="N177" s="2643"/>
      <c r="O177" s="6"/>
      <c r="P177" s="6"/>
      <c r="Q177" s="7"/>
      <c r="R177" s="2"/>
      <c r="S177" s="7"/>
      <c r="T177" s="2"/>
      <c r="U177" s="2"/>
      <c r="V177" s="2"/>
      <c r="W177" s="2"/>
      <c r="X177" s="2"/>
      <c r="Y177" s="2"/>
      <c r="Z177" s="2"/>
      <c r="AA177" s="2"/>
      <c r="AB177" s="343"/>
      <c r="AC177" s="2"/>
      <c r="AD177" s="2"/>
      <c r="AE177" s="2"/>
      <c r="AF177" s="2"/>
      <c r="AG177" s="2"/>
      <c r="AH177" s="2"/>
      <c r="AI177" s="2"/>
      <c r="AJ177" s="349"/>
      <c r="AK177" s="349"/>
      <c r="AL177" s="349"/>
      <c r="AM177" s="349"/>
    </row>
    <row r="178" spans="1:39" ht="25.5" customHeight="1" x14ac:dyDescent="0.25">
      <c r="A178" s="2"/>
      <c r="B178" s="3"/>
      <c r="C178" s="370"/>
      <c r="D178" s="359"/>
      <c r="E178" s="1140" t="s">
        <v>1112</v>
      </c>
      <c r="F178" s="2641" t="str">
        <f>Translations!$B$695</f>
        <v>Värme från produktriktmärke Detta innefattar mätbar värme som exporteras från delanläggningar med produktriktmärke med undantag för mätbar värme från delanläggningar med massaframställning eller produktion av salpetersyra.</v>
      </c>
      <c r="G178" s="2642"/>
      <c r="H178" s="2642"/>
      <c r="I178" s="2642"/>
      <c r="J178" s="2642"/>
      <c r="K178" s="2642"/>
      <c r="L178" s="2642"/>
      <c r="M178" s="2642"/>
      <c r="N178" s="2643"/>
      <c r="O178" s="6"/>
      <c r="P178" s="6"/>
      <c r="Q178" s="7"/>
      <c r="R178" s="2"/>
      <c r="S178" s="7"/>
      <c r="T178" s="2"/>
      <c r="U178" s="2"/>
      <c r="V178" s="2"/>
      <c r="W178" s="2"/>
      <c r="X178" s="2"/>
      <c r="Y178" s="2"/>
      <c r="Z178" s="2"/>
      <c r="AA178" s="2"/>
      <c r="AB178" s="343"/>
      <c r="AC178" s="2"/>
      <c r="AD178" s="2"/>
      <c r="AE178" s="2"/>
      <c r="AF178" s="2"/>
      <c r="AG178" s="2"/>
      <c r="AH178" s="2"/>
      <c r="AI178" s="2"/>
      <c r="AJ178" s="349"/>
      <c r="AK178" s="349"/>
      <c r="AL178" s="349"/>
      <c r="AM178" s="349"/>
    </row>
    <row r="179" spans="1:39" ht="12.75" customHeight="1" x14ac:dyDescent="0.25">
      <c r="A179" s="2"/>
      <c r="B179" s="3"/>
      <c r="C179" s="370"/>
      <c r="D179" s="359"/>
      <c r="E179" s="1140" t="s">
        <v>1112</v>
      </c>
      <c r="F179" s="2641" t="str">
        <f>Translations!$B$696</f>
        <v>Värme från massa: detta innefattar värme som importeras från delanläggningar med massaframställning.</v>
      </c>
      <c r="G179" s="2642"/>
      <c r="H179" s="2642"/>
      <c r="I179" s="2642"/>
      <c r="J179" s="2642"/>
      <c r="K179" s="2642"/>
      <c r="L179" s="2642"/>
      <c r="M179" s="2642"/>
      <c r="N179" s="2643"/>
      <c r="O179" s="6"/>
      <c r="P179" s="6"/>
      <c r="Q179" s="7"/>
      <c r="R179" s="2"/>
      <c r="S179" s="7"/>
      <c r="T179" s="2"/>
      <c r="U179" s="2"/>
      <c r="V179" s="2"/>
      <c r="W179" s="2"/>
      <c r="X179" s="2"/>
      <c r="Y179" s="2"/>
      <c r="Z179" s="2"/>
      <c r="AA179" s="2"/>
      <c r="AB179" s="343"/>
      <c r="AC179" s="2"/>
      <c r="AD179" s="2"/>
      <c r="AE179" s="2"/>
      <c r="AF179" s="2"/>
      <c r="AG179" s="2"/>
      <c r="AH179" s="2"/>
      <c r="AI179" s="2"/>
      <c r="AJ179" s="349"/>
      <c r="AK179" s="349"/>
      <c r="AL179" s="349"/>
      <c r="AM179" s="349"/>
    </row>
    <row r="180" spans="1:39" ht="12.75" customHeight="1" x14ac:dyDescent="0.25">
      <c r="A180" s="2"/>
      <c r="B180" s="3"/>
      <c r="C180" s="370"/>
      <c r="D180" s="359"/>
      <c r="E180" s="1140" t="s">
        <v>1112</v>
      </c>
      <c r="F180" s="2641" t="str">
        <f>Translations!$B$697</f>
        <v>Värme från bränsleriktmärke: detta innefattar mätbar värme som återvinns från spillvärme från delanläggningar med bränsleriktmärke.</v>
      </c>
      <c r="G180" s="2642"/>
      <c r="H180" s="2642"/>
      <c r="I180" s="2642"/>
      <c r="J180" s="2642"/>
      <c r="K180" s="2642"/>
      <c r="L180" s="2642"/>
      <c r="M180" s="2642"/>
      <c r="N180" s="2643"/>
      <c r="O180" s="6"/>
      <c r="P180" s="6"/>
      <c r="Q180" s="7"/>
      <c r="R180" s="2"/>
      <c r="S180" s="7"/>
      <c r="T180" s="2"/>
      <c r="U180" s="2"/>
      <c r="V180" s="2"/>
      <c r="W180" s="2"/>
      <c r="X180" s="2"/>
      <c r="Y180" s="2"/>
      <c r="Z180" s="2"/>
      <c r="AA180" s="2"/>
      <c r="AB180" s="343"/>
      <c r="AC180" s="2"/>
      <c r="AD180" s="2"/>
      <c r="AE180" s="2"/>
      <c r="AF180" s="2"/>
      <c r="AG180" s="2"/>
      <c r="AH180" s="2"/>
      <c r="AI180" s="2"/>
      <c r="AJ180" s="349"/>
      <c r="AK180" s="349"/>
      <c r="AL180" s="349"/>
      <c r="AM180" s="349"/>
    </row>
    <row r="181" spans="1:39" ht="12.75" customHeight="1" x14ac:dyDescent="0.25">
      <c r="A181" s="2"/>
      <c r="B181" s="3"/>
      <c r="C181" s="370"/>
      <c r="D181" s="359"/>
      <c r="E181" s="1140" t="s">
        <v>1112</v>
      </c>
      <c r="F181" s="2641" t="str">
        <f>Translations!$B$698</f>
        <v>Värme från restgaser: detta innefattar mätbar värme som produceras från restgaser.</v>
      </c>
      <c r="G181" s="2642"/>
      <c r="H181" s="2642"/>
      <c r="I181" s="2642"/>
      <c r="J181" s="2642"/>
      <c r="K181" s="2642"/>
      <c r="L181" s="2642"/>
      <c r="M181" s="2642"/>
      <c r="N181" s="2643"/>
      <c r="O181" s="6"/>
      <c r="P181" s="6"/>
      <c r="Q181" s="7"/>
      <c r="R181" s="2"/>
      <c r="S181" s="7"/>
      <c r="T181" s="2"/>
      <c r="U181" s="2"/>
      <c r="V181" s="2"/>
      <c r="W181" s="2"/>
      <c r="X181" s="2"/>
      <c r="Y181" s="2"/>
      <c r="Z181" s="2"/>
      <c r="AA181" s="2"/>
      <c r="AB181" s="343"/>
      <c r="AC181" s="2"/>
      <c r="AD181" s="2"/>
      <c r="AE181" s="2"/>
      <c r="AF181" s="2"/>
      <c r="AG181" s="2"/>
      <c r="AH181" s="2"/>
      <c r="AI181" s="2"/>
      <c r="AJ181" s="349"/>
      <c r="AK181" s="349"/>
      <c r="AL181" s="349"/>
      <c r="AM181" s="349"/>
    </row>
    <row r="182" spans="1:39" ht="12.75" customHeight="1" x14ac:dyDescent="0.25">
      <c r="A182" s="2"/>
      <c r="B182" s="3"/>
      <c r="C182" s="370"/>
      <c r="D182" s="359"/>
      <c r="E182" s="2639" t="str">
        <f>Translations!$B$699</f>
        <v>Här ska inte eventuell värmeimport från ”icke-berättigande” källor anges, dvs. anläggningar som inte omfattas av ETS-systemet eller värme som produceras vid delanläggningar för salpetersyra.</v>
      </c>
      <c r="F182" s="1960"/>
      <c r="G182" s="1960"/>
      <c r="H182" s="1960"/>
      <c r="I182" s="1960"/>
      <c r="J182" s="1960"/>
      <c r="K182" s="1960"/>
      <c r="L182" s="1960"/>
      <c r="M182" s="1960"/>
      <c r="N182" s="2597"/>
      <c r="O182" s="6"/>
      <c r="P182" s="6"/>
      <c r="Q182" s="7"/>
      <c r="R182" s="2"/>
      <c r="S182" s="7"/>
      <c r="T182" s="2"/>
      <c r="U182" s="2"/>
      <c r="V182" s="2"/>
      <c r="W182" s="2"/>
      <c r="X182" s="2"/>
      <c r="Y182" s="2"/>
      <c r="Z182" s="2"/>
      <c r="AA182" s="2"/>
      <c r="AB182" s="343"/>
      <c r="AC182" s="2"/>
      <c r="AD182" s="2"/>
      <c r="AE182" s="2"/>
      <c r="AF182" s="2"/>
      <c r="AG182" s="2"/>
      <c r="AH182" s="2"/>
      <c r="AI182" s="2"/>
      <c r="AJ182" s="349"/>
      <c r="AK182" s="349"/>
      <c r="AL182" s="349"/>
      <c r="AM182" s="349"/>
    </row>
    <row r="183" spans="1:39" ht="12.75" customHeight="1" x14ac:dyDescent="0.25">
      <c r="A183" s="2"/>
      <c r="B183" s="3"/>
      <c r="C183" s="370"/>
      <c r="D183" s="359"/>
      <c r="E183" s="2641" t="str">
        <f>Translations!$B$700</f>
        <v>De särskilda emissionsfaktorerna för värmen bör vara förenliga med bestämmelserna i avsnitten 8 och 10 i bilaga VII till FAR, särskilt avsnitt 10.1.2 och 10.1.3 i denna.</v>
      </c>
      <c r="F183" s="2635"/>
      <c r="G183" s="2635"/>
      <c r="H183" s="2635"/>
      <c r="I183" s="2635"/>
      <c r="J183" s="2635"/>
      <c r="K183" s="2635"/>
      <c r="L183" s="2635"/>
      <c r="M183" s="2635"/>
      <c r="N183" s="2636"/>
      <c r="O183" s="6"/>
      <c r="P183" s="6"/>
      <c r="Q183" s="7"/>
      <c r="R183" s="2"/>
      <c r="S183" s="7"/>
      <c r="T183" s="2"/>
      <c r="U183" s="2"/>
      <c r="V183" s="2"/>
      <c r="W183" s="2"/>
      <c r="X183" s="2"/>
      <c r="Y183" s="2"/>
      <c r="Z183" s="2"/>
      <c r="AA183" s="2"/>
      <c r="AB183" s="343"/>
      <c r="AC183" s="2"/>
      <c r="AD183" s="2"/>
      <c r="AE183" s="2"/>
      <c r="AF183" s="2"/>
      <c r="AG183" s="2"/>
      <c r="AH183" s="2"/>
      <c r="AI183" s="2"/>
      <c r="AJ183" s="349"/>
      <c r="AK183" s="349"/>
      <c r="AL183" s="349"/>
      <c r="AM183" s="349"/>
    </row>
    <row r="184" spans="1:39" ht="12.75" customHeight="1" x14ac:dyDescent="0.25">
      <c r="A184" s="2"/>
      <c r="B184" s="3"/>
      <c r="C184" s="370"/>
      <c r="D184" s="359"/>
      <c r="E184" s="2622" t="str">
        <f>Translations!$B$658</f>
        <v>Kraftvärmeverktyget i avsnitt D.III i bladet "D_Emissions" måste användas för att tillskriva utsläpp från kraftvärme till produktion av mätbar värme.</v>
      </c>
      <c r="F184" s="2622"/>
      <c r="G184" s="2622"/>
      <c r="H184" s="2622"/>
      <c r="I184" s="2622"/>
      <c r="J184" s="2622"/>
      <c r="K184" s="2622"/>
      <c r="L184" s="2622"/>
      <c r="M184" s="2622"/>
      <c r="N184" s="1810"/>
      <c r="O184" s="6"/>
      <c r="P184" s="6"/>
      <c r="Q184" s="7"/>
      <c r="R184" s="2"/>
      <c r="S184" s="2"/>
      <c r="T184" s="2"/>
      <c r="U184" s="2"/>
      <c r="V184" s="2"/>
      <c r="W184" s="2"/>
      <c r="X184" s="2"/>
      <c r="Y184" s="2"/>
      <c r="Z184" s="2"/>
      <c r="AA184" s="2"/>
      <c r="AB184" s="2"/>
      <c r="AC184" s="2"/>
      <c r="AD184" s="2"/>
      <c r="AE184" s="2"/>
      <c r="AF184" s="2"/>
      <c r="AG184" s="2"/>
      <c r="AH184" s="2"/>
      <c r="AI184" s="2"/>
      <c r="AJ184" s="349"/>
      <c r="AK184" s="349"/>
      <c r="AL184" s="349"/>
      <c r="AM184" s="349"/>
    </row>
    <row r="185" spans="1:39" ht="12.75" customHeight="1" x14ac:dyDescent="0.25">
      <c r="A185" s="2"/>
      <c r="B185" s="3"/>
      <c r="C185" s="370"/>
      <c r="D185" s="359"/>
      <c r="E185" s="2605" t="str">
        <f>Translations!$B$701</f>
        <v>Importerad nettovärme (andra källor)</v>
      </c>
      <c r="F185" s="2497"/>
      <c r="G185" s="361" t="str">
        <f>EUconst_Unit</f>
        <v>Enhet</v>
      </c>
      <c r="H185" s="362">
        <f t="shared" ref="H185:N185" si="57">H$950</f>
        <v>2019</v>
      </c>
      <c r="I185" s="362">
        <f t="shared" si="57"/>
        <v>2020</v>
      </c>
      <c r="J185" s="362">
        <f t="shared" si="57"/>
        <v>2021</v>
      </c>
      <c r="K185" s="362">
        <f t="shared" si="57"/>
        <v>2022</v>
      </c>
      <c r="L185" s="362">
        <f t="shared" si="57"/>
        <v>2023</v>
      </c>
      <c r="M185" s="362">
        <f t="shared" si="57"/>
        <v>2024</v>
      </c>
      <c r="N185" s="1141">
        <f t="shared" si="57"/>
        <v>2025</v>
      </c>
      <c r="O185" s="6"/>
      <c r="P185" s="6"/>
      <c r="Q185" s="7"/>
      <c r="R185" s="2"/>
      <c r="S185" s="7"/>
      <c r="T185" s="40">
        <f t="shared" ref="T185:Z185" si="58">H185</f>
        <v>2019</v>
      </c>
      <c r="U185" s="40">
        <f t="shared" si="58"/>
        <v>2020</v>
      </c>
      <c r="V185" s="40">
        <f t="shared" si="58"/>
        <v>2021</v>
      </c>
      <c r="W185" s="40">
        <f t="shared" si="58"/>
        <v>2022</v>
      </c>
      <c r="X185" s="40">
        <f t="shared" si="58"/>
        <v>2023</v>
      </c>
      <c r="Y185" s="40">
        <f t="shared" si="58"/>
        <v>2024</v>
      </c>
      <c r="Z185" s="40">
        <f t="shared" si="58"/>
        <v>2025</v>
      </c>
      <c r="AA185" s="2"/>
      <c r="AB185" s="2"/>
      <c r="AC185" s="1531">
        <f t="shared" ref="AC185:AI185" si="59">H$950</f>
        <v>2019</v>
      </c>
      <c r="AD185" s="1531">
        <f t="shared" si="59"/>
        <v>2020</v>
      </c>
      <c r="AE185" s="1531">
        <f t="shared" si="59"/>
        <v>2021</v>
      </c>
      <c r="AF185" s="1531">
        <f t="shared" si="59"/>
        <v>2022</v>
      </c>
      <c r="AG185" s="1531">
        <f t="shared" si="59"/>
        <v>2023</v>
      </c>
      <c r="AH185" s="1531">
        <f t="shared" si="59"/>
        <v>2024</v>
      </c>
      <c r="AI185" s="1531">
        <f t="shared" si="59"/>
        <v>2025</v>
      </c>
      <c r="AJ185" s="349"/>
      <c r="AK185" s="349"/>
      <c r="AL185" s="349"/>
      <c r="AM185" s="349"/>
    </row>
    <row r="186" spans="1:39" ht="12.75" customHeight="1" x14ac:dyDescent="0.25">
      <c r="A186" s="2"/>
      <c r="B186" s="3"/>
      <c r="C186" s="370"/>
      <c r="D186" s="376" t="s">
        <v>8</v>
      </c>
      <c r="E186" s="2613" t="str">
        <f>Translations!$B$604</f>
        <v>Nettomängd importerad värme</v>
      </c>
      <c r="F186" s="1997"/>
      <c r="G186" s="364" t="str">
        <f>EUconst_TJpa</f>
        <v>TJ / år</v>
      </c>
      <c r="H186" s="582"/>
      <c r="I186" s="582"/>
      <c r="J186" s="582"/>
      <c r="K186" s="582"/>
      <c r="L186" s="582"/>
      <c r="M186" s="582"/>
      <c r="N186" s="1146"/>
      <c r="O186" s="6"/>
      <c r="P186" s="1362"/>
      <c r="Q186" s="298" t="str">
        <f>EUconst_CNTR_HeatImport &amp; I12</f>
        <v>HeatIm_Delanläggning med värmeriktmärke, KL</v>
      </c>
      <c r="R186" s="2"/>
      <c r="S186" s="1749" t="str">
        <f>EUconst_ERR_AttrEmBMapplied &amp; $I12</f>
        <v>ERR_AttrEmBM_Delanläggning med värmeriktmärke, KL</v>
      </c>
      <c r="T186" s="108">
        <f t="shared" ref="T186:Z186" si="60">IF(AND(H186&lt;&gt;0,H187="",EUconst_StatusOfDataCollection=FALSE),1,0)</f>
        <v>0</v>
      </c>
      <c r="U186" s="108">
        <f t="shared" si="60"/>
        <v>0</v>
      </c>
      <c r="V186" s="108">
        <f t="shared" si="60"/>
        <v>0</v>
      </c>
      <c r="W186" s="108">
        <f t="shared" si="60"/>
        <v>0</v>
      </c>
      <c r="X186" s="108">
        <f t="shared" si="60"/>
        <v>0</v>
      </c>
      <c r="Y186" s="108">
        <f t="shared" si="60"/>
        <v>0</v>
      </c>
      <c r="Z186" s="108">
        <f t="shared" si="60"/>
        <v>0</v>
      </c>
      <c r="AA186" s="2"/>
      <c r="AB186" s="672" t="s">
        <v>782</v>
      </c>
      <c r="AC186" s="108" t="b">
        <f>AC162</f>
        <v>0</v>
      </c>
      <c r="AD186" s="108" t="b">
        <f t="shared" ref="AD186:AI186" si="61">AD162</f>
        <v>0</v>
      </c>
      <c r="AE186" s="108" t="b">
        <f t="shared" si="61"/>
        <v>0</v>
      </c>
      <c r="AF186" s="108" t="b">
        <f t="shared" si="61"/>
        <v>0</v>
      </c>
      <c r="AG186" s="108" t="b">
        <f t="shared" si="61"/>
        <v>0</v>
      </c>
      <c r="AH186" s="108" t="b">
        <f t="shared" si="61"/>
        <v>0</v>
      </c>
      <c r="AI186" s="108" t="b">
        <f t="shared" si="61"/>
        <v>0</v>
      </c>
      <c r="AJ186" s="349"/>
      <c r="AK186" s="349"/>
      <c r="AL186" s="663" t="str">
        <f>IF(AND(CNTR_ExistSubInstEntries,COUNTIFS(AC186:AI186,2,H186:N186,"")&gt;0),EUconst_Error&amp;"FB"&amp;Q12,"")</f>
        <v/>
      </c>
      <c r="AM186" s="349"/>
    </row>
    <row r="187" spans="1:39" ht="12.75" customHeight="1" x14ac:dyDescent="0.3">
      <c r="A187" s="2"/>
      <c r="B187" s="3"/>
      <c r="C187" s="370"/>
      <c r="D187" s="376" t="s">
        <v>9</v>
      </c>
      <c r="E187" s="2613" t="str">
        <f>Translations!$B$605</f>
        <v>Särskild emissionsfaktor (importerad värme)</v>
      </c>
      <c r="F187" s="1997"/>
      <c r="G187" s="364" t="str">
        <f>EUconst_tCO2pTJ</f>
        <v>t CO2 / TJ</v>
      </c>
      <c r="H187" s="582"/>
      <c r="I187" s="582"/>
      <c r="J187" s="582"/>
      <c r="K187" s="582"/>
      <c r="L187" s="582"/>
      <c r="M187" s="582"/>
      <c r="N187" s="1146"/>
      <c r="O187" s="6"/>
      <c r="P187" s="1362"/>
      <c r="Q187" s="298" t="str">
        <f>EUconst_CNTR_HeatImportEF &amp; I12</f>
        <v>HeatImEF_Delanläggning med värmeriktmärke, KL</v>
      </c>
      <c r="R187" s="2"/>
      <c r="S187" s="665" t="str">
        <f>EUconst_CNTR_AttributedEmissions &amp; $I12</f>
        <v>AttrEmissions_Delanläggning med värmeriktmärke, KL</v>
      </c>
      <c r="T187" s="108" t="str">
        <f t="shared" ref="T187:Z187" si="62">IF(T20,SUM(H186)*IF(ISNUMBER(H187),H187,EUconst_HeatBMvalue),"")</f>
        <v/>
      </c>
      <c r="U187" s="108" t="str">
        <f t="shared" si="62"/>
        <v/>
      </c>
      <c r="V187" s="108" t="str">
        <f t="shared" si="62"/>
        <v/>
      </c>
      <c r="W187" s="108" t="str">
        <f t="shared" si="62"/>
        <v/>
      </c>
      <c r="X187" s="108" t="str">
        <f t="shared" si="62"/>
        <v/>
      </c>
      <c r="Y187" s="108" t="str">
        <f t="shared" si="62"/>
        <v/>
      </c>
      <c r="Z187" s="108" t="str">
        <f t="shared" si="62"/>
        <v/>
      </c>
      <c r="AA187" s="2"/>
      <c r="AB187" s="2"/>
      <c r="AC187" s="108" t="b">
        <f>AC163</f>
        <v>0</v>
      </c>
      <c r="AD187" s="108" t="b">
        <f t="shared" ref="AD187:AI187" si="63">AD163</f>
        <v>0</v>
      </c>
      <c r="AE187" s="108" t="b">
        <f t="shared" si="63"/>
        <v>0</v>
      </c>
      <c r="AF187" s="108" t="b">
        <f t="shared" si="63"/>
        <v>0</v>
      </c>
      <c r="AG187" s="108" t="b">
        <f t="shared" si="63"/>
        <v>0</v>
      </c>
      <c r="AH187" s="108" t="b">
        <f t="shared" si="63"/>
        <v>0</v>
      </c>
      <c r="AI187" s="108" t="b">
        <f t="shared" si="63"/>
        <v>0</v>
      </c>
      <c r="AJ187" s="349"/>
      <c r="AK187" s="349"/>
      <c r="AL187" s="663" t="str">
        <f>IF(AND(CNTR_ExistSubInstEntries,COUNTIFS(AC187:AI187,2,H187:N187,"")&gt;0),EUconst_Error&amp;"FB"&amp;Q12,"")</f>
        <v/>
      </c>
      <c r="AM187" s="349"/>
    </row>
    <row r="188" spans="1:39" ht="5.15" customHeight="1" x14ac:dyDescent="0.25">
      <c r="A188" s="2"/>
      <c r="B188" s="3"/>
      <c r="C188" s="370"/>
      <c r="D188" s="359"/>
      <c r="E188" s="359"/>
      <c r="F188" s="359"/>
      <c r="G188" s="359"/>
      <c r="H188" s="359"/>
      <c r="I188" s="359"/>
      <c r="J188" s="359"/>
      <c r="K188" s="359"/>
      <c r="L188" s="359"/>
      <c r="M188" s="359"/>
      <c r="N188" s="374"/>
      <c r="O188" s="6"/>
      <c r="P188" s="6"/>
      <c r="Q188" s="7"/>
      <c r="R188" s="2"/>
      <c r="S188" s="7"/>
      <c r="T188" s="2"/>
      <c r="U188" s="2"/>
      <c r="V188" s="2"/>
      <c r="W188" s="2"/>
      <c r="X188" s="2"/>
      <c r="Y188" s="2"/>
      <c r="Z188" s="2"/>
      <c r="AA188" s="2"/>
      <c r="AB188" s="2"/>
      <c r="AC188" s="2"/>
      <c r="AD188" s="2"/>
      <c r="AE188" s="2"/>
      <c r="AF188" s="2"/>
      <c r="AG188" s="2"/>
      <c r="AH188" s="2"/>
      <c r="AI188" s="2"/>
      <c r="AJ188" s="349"/>
      <c r="AK188" s="349"/>
      <c r="AL188" s="349"/>
      <c r="AM188" s="349"/>
    </row>
    <row r="189" spans="1:39" ht="12.75" customHeight="1" x14ac:dyDescent="0.25">
      <c r="A189" s="2"/>
      <c r="B189" s="3"/>
      <c r="C189" s="370"/>
      <c r="D189" s="359"/>
      <c r="E189" s="2605" t="str">
        <f>Translations!$B$702</f>
        <v>Värme från produktriktmärke</v>
      </c>
      <c r="F189" s="2497"/>
      <c r="G189" s="361" t="str">
        <f>EUconst_Unit</f>
        <v>Enhet</v>
      </c>
      <c r="H189" s="362">
        <f t="shared" ref="H189:N189" si="64">H$950</f>
        <v>2019</v>
      </c>
      <c r="I189" s="362">
        <f t="shared" si="64"/>
        <v>2020</v>
      </c>
      <c r="J189" s="362">
        <f t="shared" si="64"/>
        <v>2021</v>
      </c>
      <c r="K189" s="362">
        <f t="shared" si="64"/>
        <v>2022</v>
      </c>
      <c r="L189" s="362">
        <f t="shared" si="64"/>
        <v>2023</v>
      </c>
      <c r="M189" s="362">
        <f t="shared" si="64"/>
        <v>2024</v>
      </c>
      <c r="N189" s="1141">
        <f t="shared" si="64"/>
        <v>2025</v>
      </c>
      <c r="O189" s="6"/>
      <c r="P189" s="6"/>
      <c r="Q189" s="7"/>
      <c r="R189" s="2"/>
      <c r="S189" s="7"/>
      <c r="T189" s="40">
        <f t="shared" ref="T189:Y189" si="65">H189</f>
        <v>2019</v>
      </c>
      <c r="U189" s="40">
        <f t="shared" si="65"/>
        <v>2020</v>
      </c>
      <c r="V189" s="40">
        <f t="shared" si="65"/>
        <v>2021</v>
      </c>
      <c r="W189" s="40">
        <f t="shared" si="65"/>
        <v>2022</v>
      </c>
      <c r="X189" s="40">
        <f t="shared" si="65"/>
        <v>2023</v>
      </c>
      <c r="Y189" s="40">
        <f t="shared" si="65"/>
        <v>2024</v>
      </c>
      <c r="Z189" s="40">
        <f>N189</f>
        <v>2025</v>
      </c>
      <c r="AA189" s="2"/>
      <c r="AB189" s="343"/>
      <c r="AC189" s="1531">
        <f t="shared" ref="AC189:AI189" si="66">H$950</f>
        <v>2019</v>
      </c>
      <c r="AD189" s="1531">
        <f t="shared" si="66"/>
        <v>2020</v>
      </c>
      <c r="AE189" s="1531">
        <f t="shared" si="66"/>
        <v>2021</v>
      </c>
      <c r="AF189" s="1531">
        <f t="shared" si="66"/>
        <v>2022</v>
      </c>
      <c r="AG189" s="1531">
        <f t="shared" si="66"/>
        <v>2023</v>
      </c>
      <c r="AH189" s="1531">
        <f t="shared" si="66"/>
        <v>2024</v>
      </c>
      <c r="AI189" s="1531">
        <f t="shared" si="66"/>
        <v>2025</v>
      </c>
      <c r="AJ189" s="349"/>
      <c r="AK189" s="349"/>
      <c r="AL189" s="349"/>
      <c r="AM189" s="349"/>
    </row>
    <row r="190" spans="1:39" ht="12.75" customHeight="1" x14ac:dyDescent="0.25">
      <c r="A190" s="2"/>
      <c r="B190" s="3"/>
      <c r="C190" s="370"/>
      <c r="D190" s="376" t="s">
        <v>23</v>
      </c>
      <c r="E190" s="2613" t="str">
        <f>Translations!$B$604</f>
        <v>Nettomängd importerad värme</v>
      </c>
      <c r="F190" s="1997"/>
      <c r="G190" s="364" t="str">
        <f>EUconst_TJpa</f>
        <v>TJ / år</v>
      </c>
      <c r="H190" s="582"/>
      <c r="I190" s="582"/>
      <c r="J190" s="582"/>
      <c r="K190" s="582"/>
      <c r="L190" s="582"/>
      <c r="M190" s="582"/>
      <c r="N190" s="1146"/>
      <c r="O190" s="6"/>
      <c r="P190" s="1362"/>
      <c r="Q190" s="298" t="str">
        <f>EUconst_CNTR_HeatImportProduct &amp; I12</f>
        <v>HeatImProd_Delanläggning med värmeriktmärke, KL</v>
      </c>
      <c r="R190" s="2"/>
      <c r="S190" s="1749" t="str">
        <f>EUconst_ERR_AttrEmBMapplied &amp; $I12</f>
        <v>ERR_AttrEmBM_Delanläggning med värmeriktmärke, KL</v>
      </c>
      <c r="T190" s="108">
        <f t="shared" ref="T190:Z190" si="67">IF(AND(H190&lt;&gt;0,H191="",EUconst_StatusOfDataCollection=FALSE),1,0)</f>
        <v>0</v>
      </c>
      <c r="U190" s="108">
        <f t="shared" si="67"/>
        <v>0</v>
      </c>
      <c r="V190" s="108">
        <f t="shared" si="67"/>
        <v>0</v>
      </c>
      <c r="W190" s="108">
        <f t="shared" si="67"/>
        <v>0</v>
      </c>
      <c r="X190" s="108">
        <f t="shared" si="67"/>
        <v>0</v>
      </c>
      <c r="Y190" s="108">
        <f t="shared" si="67"/>
        <v>0</v>
      </c>
      <c r="Z190" s="108">
        <f t="shared" si="67"/>
        <v>0</v>
      </c>
      <c r="AA190" s="2"/>
      <c r="AB190" s="672" t="s">
        <v>782</v>
      </c>
      <c r="AC190" s="108" t="b">
        <f>AC186</f>
        <v>0</v>
      </c>
      <c r="AD190" s="108" t="b">
        <f t="shared" ref="AD190:AI190" si="68">AD186</f>
        <v>0</v>
      </c>
      <c r="AE190" s="108" t="b">
        <f t="shared" si="68"/>
        <v>0</v>
      </c>
      <c r="AF190" s="108" t="b">
        <f t="shared" si="68"/>
        <v>0</v>
      </c>
      <c r="AG190" s="108" t="b">
        <f t="shared" si="68"/>
        <v>0</v>
      </c>
      <c r="AH190" s="108" t="b">
        <f t="shared" si="68"/>
        <v>0</v>
      </c>
      <c r="AI190" s="108" t="b">
        <f t="shared" si="68"/>
        <v>0</v>
      </c>
      <c r="AJ190" s="349"/>
      <c r="AK190" s="349"/>
      <c r="AL190" s="663" t="str">
        <f>IF(AND(CNTR_ExistSubInstEntries,COUNTIFS(AC190:AI190,2,H190:N190,"")&gt;0),EUconst_Error&amp;"FB"&amp;Q12,"")</f>
        <v/>
      </c>
      <c r="AM190" s="349"/>
    </row>
    <row r="191" spans="1:39" ht="12.75" customHeight="1" x14ac:dyDescent="0.3">
      <c r="A191" s="2"/>
      <c r="B191" s="3"/>
      <c r="C191" s="370"/>
      <c r="D191" s="376" t="s">
        <v>859</v>
      </c>
      <c r="E191" s="2613" t="str">
        <f>Translations!$B$703</f>
        <v>Särskild emissionsfaktor (från produktriktmärke)</v>
      </c>
      <c r="F191" s="1997"/>
      <c r="G191" s="364" t="str">
        <f>EUconst_tCO2pTJ</f>
        <v>t CO2 / TJ</v>
      </c>
      <c r="H191" s="582"/>
      <c r="I191" s="582"/>
      <c r="J191" s="582"/>
      <c r="K191" s="582"/>
      <c r="L191" s="582"/>
      <c r="M191" s="582"/>
      <c r="N191" s="1146"/>
      <c r="O191" s="6"/>
      <c r="P191" s="1362"/>
      <c r="Q191" s="298" t="str">
        <f>EUconst_CNTR_HeatImportProductEF &amp; I12</f>
        <v>HeatImProdEF_Delanläggning med värmeriktmärke, KL</v>
      </c>
      <c r="R191" s="2"/>
      <c r="S191" s="665" t="str">
        <f>EUconst_CNTR_AttributedEmissions &amp; $I12</f>
        <v>AttrEmissions_Delanläggning med värmeriktmärke, KL</v>
      </c>
      <c r="T191" s="108" t="str">
        <f t="shared" ref="T191:Z191" si="69">IF(T20,SUM(H190)*IF(ISNUMBER(H191),H191,EUconst_HeatBMvalue),"")</f>
        <v/>
      </c>
      <c r="U191" s="108" t="str">
        <f t="shared" si="69"/>
        <v/>
      </c>
      <c r="V191" s="108" t="str">
        <f t="shared" si="69"/>
        <v/>
      </c>
      <c r="W191" s="108" t="str">
        <f t="shared" si="69"/>
        <v/>
      </c>
      <c r="X191" s="108" t="str">
        <f t="shared" si="69"/>
        <v/>
      </c>
      <c r="Y191" s="108" t="str">
        <f t="shared" si="69"/>
        <v/>
      </c>
      <c r="Z191" s="108" t="str">
        <f t="shared" si="69"/>
        <v/>
      </c>
      <c r="AA191" s="2"/>
      <c r="AB191" s="343"/>
      <c r="AC191" s="108" t="b">
        <f>AC187</f>
        <v>0</v>
      </c>
      <c r="AD191" s="108" t="b">
        <f t="shared" ref="AD191:AI191" si="70">AD187</f>
        <v>0</v>
      </c>
      <c r="AE191" s="108" t="b">
        <f t="shared" si="70"/>
        <v>0</v>
      </c>
      <c r="AF191" s="108" t="b">
        <f t="shared" si="70"/>
        <v>0</v>
      </c>
      <c r="AG191" s="108" t="b">
        <f t="shared" si="70"/>
        <v>0</v>
      </c>
      <c r="AH191" s="108" t="b">
        <f t="shared" si="70"/>
        <v>0</v>
      </c>
      <c r="AI191" s="108" t="b">
        <f t="shared" si="70"/>
        <v>0</v>
      </c>
      <c r="AJ191" s="349"/>
      <c r="AK191" s="349"/>
      <c r="AL191" s="663" t="str">
        <f>IF(AND(CNTR_ExistSubInstEntries,COUNTIFS(AC191:AI191,2,H191:N191,"")&gt;0),EUconst_Error&amp;"FB"&amp;Q12,"")</f>
        <v/>
      </c>
      <c r="AM191" s="349"/>
    </row>
    <row r="192" spans="1:39" ht="5.15" customHeight="1" x14ac:dyDescent="0.25">
      <c r="A192" s="2"/>
      <c r="B192" s="3"/>
      <c r="C192" s="370"/>
      <c r="D192" s="359"/>
      <c r="E192" s="359"/>
      <c r="F192" s="359"/>
      <c r="G192" s="359"/>
      <c r="H192" s="359"/>
      <c r="I192" s="359"/>
      <c r="J192" s="359"/>
      <c r="K192" s="359"/>
      <c r="L192" s="359"/>
      <c r="M192" s="359"/>
      <c r="N192" s="374"/>
      <c r="O192" s="6"/>
      <c r="P192" s="6"/>
      <c r="Q192" s="7"/>
      <c r="R192" s="2"/>
      <c r="S192" s="7"/>
      <c r="T192" s="2"/>
      <c r="U192" s="2"/>
      <c r="V192" s="2"/>
      <c r="W192" s="2"/>
      <c r="X192" s="2"/>
      <c r="Y192" s="2"/>
      <c r="Z192" s="2"/>
      <c r="AA192" s="2"/>
      <c r="AB192" s="343"/>
      <c r="AC192" s="2"/>
      <c r="AD192" s="2"/>
      <c r="AE192" s="2"/>
      <c r="AF192" s="2"/>
      <c r="AG192" s="2"/>
      <c r="AH192" s="2"/>
      <c r="AI192" s="2"/>
      <c r="AJ192" s="349"/>
      <c r="AK192" s="349"/>
      <c r="AL192" s="349"/>
      <c r="AM192" s="349"/>
    </row>
    <row r="193" spans="1:39" ht="12.75" customHeight="1" x14ac:dyDescent="0.25">
      <c r="A193" s="2"/>
      <c r="B193" s="3"/>
      <c r="C193" s="370"/>
      <c r="D193" s="359"/>
      <c r="E193" s="2605" t="str">
        <f>Translations!$B$704</f>
        <v>Värme från massa</v>
      </c>
      <c r="F193" s="2497"/>
      <c r="G193" s="361" t="str">
        <f>EUconst_Unit</f>
        <v>Enhet</v>
      </c>
      <c r="H193" s="362">
        <f t="shared" ref="H193:N193" si="71">H$950</f>
        <v>2019</v>
      </c>
      <c r="I193" s="362">
        <f t="shared" si="71"/>
        <v>2020</v>
      </c>
      <c r="J193" s="362">
        <f t="shared" si="71"/>
        <v>2021</v>
      </c>
      <c r="K193" s="362">
        <f t="shared" si="71"/>
        <v>2022</v>
      </c>
      <c r="L193" s="362">
        <f t="shared" si="71"/>
        <v>2023</v>
      </c>
      <c r="M193" s="362">
        <f t="shared" si="71"/>
        <v>2024</v>
      </c>
      <c r="N193" s="1141">
        <f t="shared" si="71"/>
        <v>2025</v>
      </c>
      <c r="O193" s="6"/>
      <c r="P193" s="6"/>
      <c r="Q193" s="7"/>
      <c r="R193" s="2"/>
      <c r="S193" s="7"/>
      <c r="T193" s="40">
        <f t="shared" ref="T193:Y193" si="72">H193</f>
        <v>2019</v>
      </c>
      <c r="U193" s="40">
        <f t="shared" si="72"/>
        <v>2020</v>
      </c>
      <c r="V193" s="40">
        <f t="shared" si="72"/>
        <v>2021</v>
      </c>
      <c r="W193" s="40">
        <f t="shared" si="72"/>
        <v>2022</v>
      </c>
      <c r="X193" s="40">
        <f t="shared" si="72"/>
        <v>2023</v>
      </c>
      <c r="Y193" s="40">
        <f t="shared" si="72"/>
        <v>2024</v>
      </c>
      <c r="Z193" s="40">
        <f>N193</f>
        <v>2025</v>
      </c>
      <c r="AA193" s="2"/>
      <c r="AB193" s="343"/>
      <c r="AC193" s="1531">
        <f t="shared" ref="AC193:AI193" si="73">H$950</f>
        <v>2019</v>
      </c>
      <c r="AD193" s="1531">
        <f t="shared" si="73"/>
        <v>2020</v>
      </c>
      <c r="AE193" s="1531">
        <f t="shared" si="73"/>
        <v>2021</v>
      </c>
      <c r="AF193" s="1531">
        <f t="shared" si="73"/>
        <v>2022</v>
      </c>
      <c r="AG193" s="1531">
        <f t="shared" si="73"/>
        <v>2023</v>
      </c>
      <c r="AH193" s="1531">
        <f t="shared" si="73"/>
        <v>2024</v>
      </c>
      <c r="AI193" s="1531">
        <f t="shared" si="73"/>
        <v>2025</v>
      </c>
      <c r="AJ193" s="349"/>
      <c r="AK193" s="349"/>
      <c r="AL193" s="349"/>
      <c r="AM193" s="349"/>
    </row>
    <row r="194" spans="1:39" ht="12.75" customHeight="1" x14ac:dyDescent="0.25">
      <c r="A194" s="2"/>
      <c r="B194" s="3"/>
      <c r="C194" s="370"/>
      <c r="D194" s="376" t="s">
        <v>861</v>
      </c>
      <c r="E194" s="2613" t="str">
        <f>Translations!$B$604</f>
        <v>Nettomängd importerad värme</v>
      </c>
      <c r="F194" s="1997"/>
      <c r="G194" s="364" t="str">
        <f>EUconst_TJpa</f>
        <v>TJ / år</v>
      </c>
      <c r="H194" s="582"/>
      <c r="I194" s="582"/>
      <c r="J194" s="582"/>
      <c r="K194" s="582"/>
      <c r="L194" s="582"/>
      <c r="M194" s="582"/>
      <c r="N194" s="1146"/>
      <c r="O194" s="6"/>
      <c r="P194" s="1362"/>
      <c r="Q194" s="298" t="str">
        <f>EUconst_CNTR_HeatImportPulp &amp; I12</f>
        <v>HeatImPulp_Delanläggning med värmeriktmärke, KL</v>
      </c>
      <c r="R194" s="2"/>
      <c r="S194" s="1749" t="str">
        <f>EUconst_ERR_AttrEmBMapplied &amp; $I12</f>
        <v>ERR_AttrEmBM_Delanläggning med värmeriktmärke, KL</v>
      </c>
      <c r="T194" s="108">
        <f t="shared" ref="T194:Z194" si="74">IF(AND(H194&lt;&gt;0,H195="",EUconst_StatusOfDataCollection=FALSE),1,0)</f>
        <v>0</v>
      </c>
      <c r="U194" s="108">
        <f t="shared" si="74"/>
        <v>0</v>
      </c>
      <c r="V194" s="108">
        <f t="shared" si="74"/>
        <v>0</v>
      </c>
      <c r="W194" s="108">
        <f t="shared" si="74"/>
        <v>0</v>
      </c>
      <c r="X194" s="108">
        <f t="shared" si="74"/>
        <v>0</v>
      </c>
      <c r="Y194" s="108">
        <f t="shared" si="74"/>
        <v>0</v>
      </c>
      <c r="Z194" s="108">
        <f t="shared" si="74"/>
        <v>0</v>
      </c>
      <c r="AA194" s="2"/>
      <c r="AB194" s="672" t="s">
        <v>782</v>
      </c>
      <c r="AC194" s="108" t="b">
        <f>AC190</f>
        <v>0</v>
      </c>
      <c r="AD194" s="108" t="b">
        <f t="shared" ref="AD194:AI194" si="75">AD190</f>
        <v>0</v>
      </c>
      <c r="AE194" s="108" t="b">
        <f t="shared" si="75"/>
        <v>0</v>
      </c>
      <c r="AF194" s="108" t="b">
        <f t="shared" si="75"/>
        <v>0</v>
      </c>
      <c r="AG194" s="108" t="b">
        <f t="shared" si="75"/>
        <v>0</v>
      </c>
      <c r="AH194" s="108" t="b">
        <f t="shared" si="75"/>
        <v>0</v>
      </c>
      <c r="AI194" s="108" t="b">
        <f t="shared" si="75"/>
        <v>0</v>
      </c>
      <c r="AJ194" s="349"/>
      <c r="AK194" s="349"/>
      <c r="AL194" s="663" t="str">
        <f>IF(AND(CNTR_ExistSubInstEntries,COUNTIFS(AC194:AI194,2,H194:N194,"")&gt;0),EUconst_Error&amp;"FB"&amp;Q12,"")</f>
        <v/>
      </c>
      <c r="AM194" s="349"/>
    </row>
    <row r="195" spans="1:39" ht="12.75" customHeight="1" x14ac:dyDescent="0.3">
      <c r="A195" s="2"/>
      <c r="B195" s="3"/>
      <c r="C195" s="370"/>
      <c r="D195" s="376" t="s">
        <v>862</v>
      </c>
      <c r="E195" s="2613" t="str">
        <f>Translations!$B$705</f>
        <v>Särskild emissionsfaktor (från massa)</v>
      </c>
      <c r="F195" s="1997"/>
      <c r="G195" s="364" t="str">
        <f>EUconst_tCO2pTJ</f>
        <v>t CO2 / TJ</v>
      </c>
      <c r="H195" s="582"/>
      <c r="I195" s="582"/>
      <c r="J195" s="582"/>
      <c r="K195" s="582"/>
      <c r="L195" s="582"/>
      <c r="M195" s="582"/>
      <c r="N195" s="1146"/>
      <c r="O195" s="6"/>
      <c r="P195" s="1362"/>
      <c r="Q195" s="298" t="str">
        <f>EUconst_CNTR_HeatImportPulpEF &amp; I12</f>
        <v>HeatImPulpEF_Delanläggning med värmeriktmärke, KL</v>
      </c>
      <c r="R195" s="2"/>
      <c r="S195" s="665" t="str">
        <f>EUconst_CNTR_AttributedEmissions &amp; $I12</f>
        <v>AttrEmissions_Delanläggning med värmeriktmärke, KL</v>
      </c>
      <c r="T195" s="108" t="str">
        <f t="shared" ref="T195:Z195" si="76">IF(T20,SUM(H194)*IF(ISNUMBER(H195),H195,EUconst_HeatBMvalue),"")</f>
        <v/>
      </c>
      <c r="U195" s="108" t="str">
        <f t="shared" si="76"/>
        <v/>
      </c>
      <c r="V195" s="108" t="str">
        <f t="shared" si="76"/>
        <v/>
      </c>
      <c r="W195" s="108" t="str">
        <f t="shared" si="76"/>
        <v/>
      </c>
      <c r="X195" s="108" t="str">
        <f t="shared" si="76"/>
        <v/>
      </c>
      <c r="Y195" s="108" t="str">
        <f t="shared" si="76"/>
        <v/>
      </c>
      <c r="Z195" s="108" t="str">
        <f t="shared" si="76"/>
        <v/>
      </c>
      <c r="AA195" s="2"/>
      <c r="AB195" s="343"/>
      <c r="AC195" s="108" t="b">
        <f>AC191</f>
        <v>0</v>
      </c>
      <c r="AD195" s="108" t="b">
        <f t="shared" ref="AD195:AI195" si="77">AD191</f>
        <v>0</v>
      </c>
      <c r="AE195" s="108" t="b">
        <f t="shared" si="77"/>
        <v>0</v>
      </c>
      <c r="AF195" s="108" t="b">
        <f t="shared" si="77"/>
        <v>0</v>
      </c>
      <c r="AG195" s="108" t="b">
        <f t="shared" si="77"/>
        <v>0</v>
      </c>
      <c r="AH195" s="108" t="b">
        <f t="shared" si="77"/>
        <v>0</v>
      </c>
      <c r="AI195" s="108" t="b">
        <f t="shared" si="77"/>
        <v>0</v>
      </c>
      <c r="AJ195" s="349"/>
      <c r="AK195" s="349"/>
      <c r="AL195" s="663" t="str">
        <f>IF(AND(CNTR_ExistSubInstEntries,COUNTIFS(AC195:AI195,2,H195:N195,"")&gt;0),EUconst_Error&amp;"FB"&amp;Q12,"")</f>
        <v/>
      </c>
      <c r="AM195" s="349"/>
    </row>
    <row r="196" spans="1:39" ht="5.15" customHeight="1" x14ac:dyDescent="0.25">
      <c r="A196" s="2"/>
      <c r="B196" s="3"/>
      <c r="C196" s="370"/>
      <c r="D196" s="359"/>
      <c r="E196" s="359"/>
      <c r="F196" s="359"/>
      <c r="G196" s="359"/>
      <c r="H196" s="359"/>
      <c r="I196" s="359"/>
      <c r="J196" s="359"/>
      <c r="K196" s="359"/>
      <c r="L196" s="359"/>
      <c r="M196" s="359"/>
      <c r="N196" s="374"/>
      <c r="O196" s="6"/>
      <c r="P196" s="6"/>
      <c r="Q196" s="7"/>
      <c r="R196" s="2"/>
      <c r="S196" s="7"/>
      <c r="T196" s="2"/>
      <c r="U196" s="2"/>
      <c r="V196" s="2"/>
      <c r="W196" s="2"/>
      <c r="X196" s="2"/>
      <c r="Y196" s="2"/>
      <c r="Z196" s="2"/>
      <c r="AA196" s="2"/>
      <c r="AB196" s="343"/>
      <c r="AC196" s="2"/>
      <c r="AD196" s="2"/>
      <c r="AE196" s="2"/>
      <c r="AF196" s="2"/>
      <c r="AG196" s="2"/>
      <c r="AH196" s="2"/>
      <c r="AI196" s="2"/>
      <c r="AJ196" s="349"/>
      <c r="AK196" s="349"/>
      <c r="AL196" s="349"/>
      <c r="AM196" s="349"/>
    </row>
    <row r="197" spans="1:39" ht="12.75" customHeight="1" x14ac:dyDescent="0.25">
      <c r="A197" s="2"/>
      <c r="B197" s="3"/>
      <c r="C197" s="370"/>
      <c r="D197" s="359"/>
      <c r="E197" s="2605" t="str">
        <f>Translations!$B$706</f>
        <v>Värme från bränsleriktmärke</v>
      </c>
      <c r="F197" s="2497"/>
      <c r="G197" s="361" t="str">
        <f>EUconst_Unit</f>
        <v>Enhet</v>
      </c>
      <c r="H197" s="362">
        <f t="shared" ref="H197:N197" si="78">H$950</f>
        <v>2019</v>
      </c>
      <c r="I197" s="362">
        <f t="shared" si="78"/>
        <v>2020</v>
      </c>
      <c r="J197" s="362">
        <f t="shared" si="78"/>
        <v>2021</v>
      </c>
      <c r="K197" s="362">
        <f t="shared" si="78"/>
        <v>2022</v>
      </c>
      <c r="L197" s="362">
        <f t="shared" si="78"/>
        <v>2023</v>
      </c>
      <c r="M197" s="362">
        <f t="shared" si="78"/>
        <v>2024</v>
      </c>
      <c r="N197" s="1141">
        <f t="shared" si="78"/>
        <v>2025</v>
      </c>
      <c r="O197" s="6"/>
      <c r="P197" s="6"/>
      <c r="Q197" s="7"/>
      <c r="R197" s="2"/>
      <c r="S197" s="7"/>
      <c r="T197" s="40">
        <f t="shared" ref="T197:Y197" si="79">H197</f>
        <v>2019</v>
      </c>
      <c r="U197" s="40">
        <f t="shared" si="79"/>
        <v>2020</v>
      </c>
      <c r="V197" s="40">
        <f t="shared" si="79"/>
        <v>2021</v>
      </c>
      <c r="W197" s="40">
        <f t="shared" si="79"/>
        <v>2022</v>
      </c>
      <c r="X197" s="40">
        <f t="shared" si="79"/>
        <v>2023</v>
      </c>
      <c r="Y197" s="40">
        <f t="shared" si="79"/>
        <v>2024</v>
      </c>
      <c r="Z197" s="40">
        <f>N197</f>
        <v>2025</v>
      </c>
      <c r="AA197" s="2"/>
      <c r="AB197" s="343"/>
      <c r="AC197" s="1531">
        <f t="shared" ref="AC197:AI197" si="80">H$950</f>
        <v>2019</v>
      </c>
      <c r="AD197" s="1531">
        <f t="shared" si="80"/>
        <v>2020</v>
      </c>
      <c r="AE197" s="1531">
        <f t="shared" si="80"/>
        <v>2021</v>
      </c>
      <c r="AF197" s="1531">
        <f t="shared" si="80"/>
        <v>2022</v>
      </c>
      <c r="AG197" s="1531">
        <f t="shared" si="80"/>
        <v>2023</v>
      </c>
      <c r="AH197" s="1531">
        <f t="shared" si="80"/>
        <v>2024</v>
      </c>
      <c r="AI197" s="1531">
        <f t="shared" si="80"/>
        <v>2025</v>
      </c>
      <c r="AJ197" s="349"/>
      <c r="AK197" s="349"/>
      <c r="AL197" s="349"/>
      <c r="AM197" s="349"/>
    </row>
    <row r="198" spans="1:39" ht="12.75" customHeight="1" x14ac:dyDescent="0.25">
      <c r="A198" s="2"/>
      <c r="B198" s="3"/>
      <c r="C198" s="370"/>
      <c r="D198" s="376" t="s">
        <v>72</v>
      </c>
      <c r="E198" s="2613" t="str">
        <f>Translations!$B$604</f>
        <v>Nettomängd importerad värme</v>
      </c>
      <c r="F198" s="1997"/>
      <c r="G198" s="364" t="str">
        <f>EUconst_TJpa</f>
        <v>TJ / år</v>
      </c>
      <c r="H198" s="582"/>
      <c r="I198" s="582"/>
      <c r="J198" s="582"/>
      <c r="K198" s="582"/>
      <c r="L198" s="582"/>
      <c r="M198" s="582"/>
      <c r="N198" s="1146"/>
      <c r="O198" s="6"/>
      <c r="P198" s="1362"/>
      <c r="Q198" s="298" t="str">
        <f>EUconst_CNTR_HeatImportFuel &amp; I12</f>
        <v>HeatImFuel_Delanläggning med värmeriktmärke, KL</v>
      </c>
      <c r="R198" s="2"/>
      <c r="S198" s="1749" t="str">
        <f>EUconst_ERR_AttrEmBMapplied &amp; $I12</f>
        <v>ERR_AttrEmBM_Delanläggning med värmeriktmärke, KL</v>
      </c>
      <c r="T198" s="108">
        <f t="shared" ref="T198:Z198" si="81">IF(AND(H198&lt;&gt;0,H199="",EUconst_StatusOfDataCollection=FALSE),1,0)</f>
        <v>0</v>
      </c>
      <c r="U198" s="108">
        <f t="shared" si="81"/>
        <v>0</v>
      </c>
      <c r="V198" s="108">
        <f t="shared" si="81"/>
        <v>0</v>
      </c>
      <c r="W198" s="108">
        <f t="shared" si="81"/>
        <v>0</v>
      </c>
      <c r="X198" s="108">
        <f t="shared" si="81"/>
        <v>0</v>
      </c>
      <c r="Y198" s="108">
        <f t="shared" si="81"/>
        <v>0</v>
      </c>
      <c r="Z198" s="108">
        <f t="shared" si="81"/>
        <v>0</v>
      </c>
      <c r="AA198" s="2"/>
      <c r="AB198" s="672" t="s">
        <v>782</v>
      </c>
      <c r="AC198" s="108" t="b">
        <f>AC194</f>
        <v>0</v>
      </c>
      <c r="AD198" s="108" t="b">
        <f t="shared" ref="AD198:AI198" si="82">AD194</f>
        <v>0</v>
      </c>
      <c r="AE198" s="108" t="b">
        <f t="shared" si="82"/>
        <v>0</v>
      </c>
      <c r="AF198" s="108" t="b">
        <f t="shared" si="82"/>
        <v>0</v>
      </c>
      <c r="AG198" s="108" t="b">
        <f t="shared" si="82"/>
        <v>0</v>
      </c>
      <c r="AH198" s="108" t="b">
        <f t="shared" si="82"/>
        <v>0</v>
      </c>
      <c r="AI198" s="108" t="b">
        <f t="shared" si="82"/>
        <v>0</v>
      </c>
      <c r="AJ198" s="349"/>
      <c r="AK198" s="349"/>
      <c r="AL198" s="663" t="str">
        <f>IF(AND(CNTR_ExistSubInstEntries,COUNTIFS(AC198:AI198,2,H198:N198,"")&gt;0),EUconst_Error&amp;"FB"&amp;Q12,"")</f>
        <v/>
      </c>
      <c r="AM198" s="349"/>
    </row>
    <row r="199" spans="1:39" ht="12.75" customHeight="1" x14ac:dyDescent="0.3">
      <c r="A199" s="2"/>
      <c r="B199" s="3"/>
      <c r="C199" s="370"/>
      <c r="D199" s="376" t="s">
        <v>73</v>
      </c>
      <c r="E199" s="2613" t="str">
        <f>Translations!$B$707</f>
        <v>Särskild emissionsfaktor (från bränsleriktmärke)</v>
      </c>
      <c r="F199" s="1997"/>
      <c r="G199" s="364" t="str">
        <f>EUconst_tCO2pTJ</f>
        <v>t CO2 / TJ</v>
      </c>
      <c r="H199" s="582"/>
      <c r="I199" s="582"/>
      <c r="J199" s="582"/>
      <c r="K199" s="582"/>
      <c r="L199" s="582"/>
      <c r="M199" s="582"/>
      <c r="N199" s="1146"/>
      <c r="O199" s="6"/>
      <c r="P199" s="1362"/>
      <c r="Q199" s="298" t="str">
        <f>EUconst_CNTR_HeatImportFuelEF &amp; I12</f>
        <v>HeatImFuelEF_Delanläggning med värmeriktmärke, KL</v>
      </c>
      <c r="R199" s="2"/>
      <c r="S199" s="665" t="str">
        <f>EUconst_CNTR_AttributedEmissions &amp; $I12</f>
        <v>AttrEmissions_Delanläggning med värmeriktmärke, KL</v>
      </c>
      <c r="T199" s="108" t="str">
        <f t="shared" ref="T199:Z199" si="83">IF(T20,SUM(H198)*IF(ISNUMBER(H199),H199,EUconst_HeatBMvalue),"")</f>
        <v/>
      </c>
      <c r="U199" s="108" t="str">
        <f t="shared" si="83"/>
        <v/>
      </c>
      <c r="V199" s="108" t="str">
        <f t="shared" si="83"/>
        <v/>
      </c>
      <c r="W199" s="108" t="str">
        <f t="shared" si="83"/>
        <v/>
      </c>
      <c r="X199" s="108" t="str">
        <f t="shared" si="83"/>
        <v/>
      </c>
      <c r="Y199" s="108" t="str">
        <f t="shared" si="83"/>
        <v/>
      </c>
      <c r="Z199" s="108" t="str">
        <f t="shared" si="83"/>
        <v/>
      </c>
      <c r="AA199" s="2"/>
      <c r="AB199" s="343"/>
      <c r="AC199" s="108" t="b">
        <f>AC195</f>
        <v>0</v>
      </c>
      <c r="AD199" s="108" t="b">
        <f t="shared" ref="AD199:AI199" si="84">AD195</f>
        <v>0</v>
      </c>
      <c r="AE199" s="108" t="b">
        <f t="shared" si="84"/>
        <v>0</v>
      </c>
      <c r="AF199" s="108" t="b">
        <f t="shared" si="84"/>
        <v>0</v>
      </c>
      <c r="AG199" s="108" t="b">
        <f t="shared" si="84"/>
        <v>0</v>
      </c>
      <c r="AH199" s="108" t="b">
        <f t="shared" si="84"/>
        <v>0</v>
      </c>
      <c r="AI199" s="108" t="b">
        <f t="shared" si="84"/>
        <v>0</v>
      </c>
      <c r="AJ199" s="349"/>
      <c r="AK199" s="349"/>
      <c r="AL199" s="663" t="str">
        <f>IF(AND(CNTR_ExistSubInstEntries,COUNTIFS(AC199:AI199,2,H199:N199,"")&gt;0),EUconst_Error&amp;"FB"&amp;Q12,"")</f>
        <v/>
      </c>
      <c r="AM199" s="349"/>
    </row>
    <row r="200" spans="1:39" ht="5.15" customHeight="1" x14ac:dyDescent="0.25">
      <c r="A200" s="2"/>
      <c r="B200" s="3"/>
      <c r="C200" s="370"/>
      <c r="D200" s="359"/>
      <c r="E200" s="359"/>
      <c r="F200" s="359"/>
      <c r="G200" s="359"/>
      <c r="H200" s="359"/>
      <c r="I200" s="359"/>
      <c r="J200" s="359"/>
      <c r="K200" s="359"/>
      <c r="L200" s="359"/>
      <c r="M200" s="359"/>
      <c r="N200" s="374"/>
      <c r="O200" s="6"/>
      <c r="P200" s="6"/>
      <c r="Q200" s="7"/>
      <c r="R200" s="2"/>
      <c r="S200" s="7"/>
      <c r="T200" s="2"/>
      <c r="U200" s="2"/>
      <c r="V200" s="2"/>
      <c r="W200" s="2"/>
      <c r="X200" s="2"/>
      <c r="Y200" s="2"/>
      <c r="Z200" s="2"/>
      <c r="AA200" s="2"/>
      <c r="AB200" s="343"/>
      <c r="AC200" s="2"/>
      <c r="AD200" s="2"/>
      <c r="AE200" s="2"/>
      <c r="AF200" s="2"/>
      <c r="AG200" s="2"/>
      <c r="AH200" s="2"/>
      <c r="AI200" s="2"/>
      <c r="AJ200" s="349"/>
      <c r="AK200" s="349"/>
      <c r="AL200" s="349"/>
      <c r="AM200" s="349"/>
    </row>
    <row r="201" spans="1:39" ht="12.75" customHeight="1" x14ac:dyDescent="0.25">
      <c r="A201" s="2"/>
      <c r="B201" s="3"/>
      <c r="C201" s="370"/>
      <c r="D201" s="359"/>
      <c r="E201" s="2605" t="str">
        <f>Translations!$B$708</f>
        <v>Värme från restgaser</v>
      </c>
      <c r="F201" s="2497"/>
      <c r="G201" s="361" t="str">
        <f>EUconst_Unit</f>
        <v>Enhet</v>
      </c>
      <c r="H201" s="362">
        <f t="shared" ref="H201:N201" si="85">H$950</f>
        <v>2019</v>
      </c>
      <c r="I201" s="362">
        <f t="shared" si="85"/>
        <v>2020</v>
      </c>
      <c r="J201" s="362">
        <f t="shared" si="85"/>
        <v>2021</v>
      </c>
      <c r="K201" s="362">
        <f t="shared" si="85"/>
        <v>2022</v>
      </c>
      <c r="L201" s="362">
        <f t="shared" si="85"/>
        <v>2023</v>
      </c>
      <c r="M201" s="362">
        <f t="shared" si="85"/>
        <v>2024</v>
      </c>
      <c r="N201" s="1141">
        <f t="shared" si="85"/>
        <v>2025</v>
      </c>
      <c r="O201" s="6"/>
      <c r="P201" s="6"/>
      <c r="Q201" s="7"/>
      <c r="R201" s="2"/>
      <c r="S201" s="7"/>
      <c r="T201" s="40">
        <f t="shared" ref="T201:Y201" si="86">H201</f>
        <v>2019</v>
      </c>
      <c r="U201" s="40">
        <f t="shared" si="86"/>
        <v>2020</v>
      </c>
      <c r="V201" s="40">
        <f t="shared" si="86"/>
        <v>2021</v>
      </c>
      <c r="W201" s="40">
        <f t="shared" si="86"/>
        <v>2022</v>
      </c>
      <c r="X201" s="40">
        <f t="shared" si="86"/>
        <v>2023</v>
      </c>
      <c r="Y201" s="40">
        <f t="shared" si="86"/>
        <v>2024</v>
      </c>
      <c r="Z201" s="40">
        <f>N201</f>
        <v>2025</v>
      </c>
      <c r="AA201" s="2"/>
      <c r="AB201" s="343"/>
      <c r="AC201" s="1531">
        <f t="shared" ref="AC201:AI201" si="87">H$950</f>
        <v>2019</v>
      </c>
      <c r="AD201" s="1531">
        <f t="shared" si="87"/>
        <v>2020</v>
      </c>
      <c r="AE201" s="1531">
        <f t="shared" si="87"/>
        <v>2021</v>
      </c>
      <c r="AF201" s="1531">
        <f t="shared" si="87"/>
        <v>2022</v>
      </c>
      <c r="AG201" s="1531">
        <f t="shared" si="87"/>
        <v>2023</v>
      </c>
      <c r="AH201" s="1531">
        <f t="shared" si="87"/>
        <v>2024</v>
      </c>
      <c r="AI201" s="1531">
        <f t="shared" si="87"/>
        <v>2025</v>
      </c>
      <c r="AJ201" s="349"/>
      <c r="AK201" s="349"/>
      <c r="AL201" s="349"/>
      <c r="AM201" s="349"/>
    </row>
    <row r="202" spans="1:39" ht="12.75" customHeight="1" x14ac:dyDescent="0.25">
      <c r="A202" s="2"/>
      <c r="B202" s="3"/>
      <c r="C202" s="370"/>
      <c r="D202" s="376" t="s">
        <v>1201</v>
      </c>
      <c r="E202" s="2613" t="str">
        <f>Translations!$B$604</f>
        <v>Nettomängd importerad värme</v>
      </c>
      <c r="F202" s="1997"/>
      <c r="G202" s="364" t="str">
        <f>EUconst_TJpa</f>
        <v>TJ / år</v>
      </c>
      <c r="H202" s="582"/>
      <c r="I202" s="582"/>
      <c r="J202" s="582"/>
      <c r="K202" s="582"/>
      <c r="L202" s="582"/>
      <c r="M202" s="582"/>
      <c r="N202" s="1146"/>
      <c r="O202" s="6"/>
      <c r="P202" s="1362"/>
      <c r="Q202" s="298" t="str">
        <f>EUconst_CNTR_WGImport &amp; I12</f>
        <v>WasteGasIm_Delanläggning med värmeriktmärke, KL</v>
      </c>
      <c r="R202" s="2"/>
      <c r="S202" s="1749" t="str">
        <f>EUconst_ERR_AttrEmBMapplied &amp; $I12</f>
        <v>ERR_AttrEmBM_Delanläggning med värmeriktmärke, KL</v>
      </c>
      <c r="T202" s="108">
        <f t="shared" ref="T202:Z202" si="88">IF(AND(H202&lt;&gt;0,EUconst_StatusOfDataCollection=FALSE),1,0)</f>
        <v>0</v>
      </c>
      <c r="U202" s="108">
        <f t="shared" si="88"/>
        <v>0</v>
      </c>
      <c r="V202" s="108">
        <f t="shared" si="88"/>
        <v>0</v>
      </c>
      <c r="W202" s="108">
        <f t="shared" si="88"/>
        <v>0</v>
      </c>
      <c r="X202" s="108">
        <f t="shared" si="88"/>
        <v>0</v>
      </c>
      <c r="Y202" s="108">
        <f t="shared" si="88"/>
        <v>0</v>
      </c>
      <c r="Z202" s="108">
        <f t="shared" si="88"/>
        <v>0</v>
      </c>
      <c r="AA202" s="2"/>
      <c r="AB202" s="672" t="s">
        <v>782</v>
      </c>
      <c r="AC202" s="108" t="b">
        <f>AC198</f>
        <v>0</v>
      </c>
      <c r="AD202" s="108" t="b">
        <f t="shared" ref="AD202:AI202" si="89">AD198</f>
        <v>0</v>
      </c>
      <c r="AE202" s="108" t="b">
        <f t="shared" si="89"/>
        <v>0</v>
      </c>
      <c r="AF202" s="108" t="b">
        <f t="shared" si="89"/>
        <v>0</v>
      </c>
      <c r="AG202" s="108" t="b">
        <f t="shared" si="89"/>
        <v>0</v>
      </c>
      <c r="AH202" s="108" t="b">
        <f t="shared" si="89"/>
        <v>0</v>
      </c>
      <c r="AI202" s="108" t="b">
        <f t="shared" si="89"/>
        <v>0</v>
      </c>
      <c r="AJ202" s="349"/>
      <c r="AK202" s="349"/>
      <c r="AL202" s="663" t="str">
        <f>IF(AND(CNTR_ExistSubInstEntries,COUNTIFS(AC202:AI202,2,H202:N202,"")&gt;0),EUconst_Error&amp;"FB"&amp;Q12,"")</f>
        <v/>
      </c>
      <c r="AM202" s="349"/>
    </row>
    <row r="203" spans="1:39" ht="12.75" customHeight="1" x14ac:dyDescent="0.3">
      <c r="A203" s="2"/>
      <c r="B203" s="3"/>
      <c r="C203" s="370"/>
      <c r="D203" s="376" t="s">
        <v>1202</v>
      </c>
      <c r="E203" s="2613" t="str">
        <f>Translations!$B$709</f>
        <v>Särskild emissionsfaktor (från restgas)</v>
      </c>
      <c r="F203" s="1997"/>
      <c r="G203" s="364" t="str">
        <f>EUconst_tCO2pTJ</f>
        <v>t CO2 / TJ</v>
      </c>
      <c r="H203" s="582"/>
      <c r="I203" s="582"/>
      <c r="J203" s="582"/>
      <c r="K203" s="582"/>
      <c r="L203" s="582"/>
      <c r="M203" s="582"/>
      <c r="N203" s="1146"/>
      <c r="O203" s="6"/>
      <c r="P203" s="1362"/>
      <c r="Q203" s="298" t="str">
        <f>EUconst_CNTR_WGImportEF &amp; I12</f>
        <v>WasteGasImEF_Delanläggning med värmeriktmärke, KL</v>
      </c>
      <c r="R203" s="2"/>
      <c r="S203" s="665" t="str">
        <f>EUconst_CNTR_AttributedEmissions &amp; $I12</f>
        <v>AttrEmissions_Delanläggning med värmeriktmärke, KL</v>
      </c>
      <c r="T203" s="108" t="str">
        <f t="shared" ref="T203:Z203" si="90">IF(T20,SUM(H202)*IF(ISNUMBER(H203),H203,EUconst_HeatBMvalue),"")</f>
        <v/>
      </c>
      <c r="U203" s="108" t="str">
        <f t="shared" si="90"/>
        <v/>
      </c>
      <c r="V203" s="108" t="str">
        <f t="shared" si="90"/>
        <v/>
      </c>
      <c r="W203" s="108" t="str">
        <f t="shared" si="90"/>
        <v/>
      </c>
      <c r="X203" s="108" t="str">
        <f t="shared" si="90"/>
        <v/>
      </c>
      <c r="Y203" s="108" t="str">
        <f t="shared" si="90"/>
        <v/>
      </c>
      <c r="Z203" s="108" t="str">
        <f t="shared" si="90"/>
        <v/>
      </c>
      <c r="AA203" s="2"/>
      <c r="AB203" s="2"/>
      <c r="AC203" s="108" t="b">
        <f>AC199</f>
        <v>0</v>
      </c>
      <c r="AD203" s="108" t="b">
        <f t="shared" ref="AD203:AI203" si="91">AD199</f>
        <v>0</v>
      </c>
      <c r="AE203" s="108" t="b">
        <f t="shared" si="91"/>
        <v>0</v>
      </c>
      <c r="AF203" s="108" t="b">
        <f t="shared" si="91"/>
        <v>0</v>
      </c>
      <c r="AG203" s="108" t="b">
        <f t="shared" si="91"/>
        <v>0</v>
      </c>
      <c r="AH203" s="108" t="b">
        <f t="shared" si="91"/>
        <v>0</v>
      </c>
      <c r="AI203" s="108" t="b">
        <f t="shared" si="91"/>
        <v>0</v>
      </c>
      <c r="AJ203" s="349"/>
      <c r="AK203" s="349"/>
      <c r="AL203" s="663" t="str">
        <f>IF(AND(CNTR_ExistSubInstEntries,COUNTIFS(AC203:AI203,2,H203:N203,"")&gt;0),EUconst_Error&amp;"FB"&amp;Q12,"")</f>
        <v/>
      </c>
      <c r="AM203" s="349"/>
    </row>
    <row r="204" spans="1:39" ht="5.15" customHeight="1" x14ac:dyDescent="0.25">
      <c r="A204" s="2"/>
      <c r="B204" s="3"/>
      <c r="C204" s="370"/>
      <c r="D204" s="359"/>
      <c r="E204" s="359"/>
      <c r="F204" s="359"/>
      <c r="G204" s="359"/>
      <c r="H204" s="359"/>
      <c r="I204" s="359"/>
      <c r="J204" s="359"/>
      <c r="K204" s="359"/>
      <c r="L204" s="359"/>
      <c r="M204" s="359"/>
      <c r="N204" s="374"/>
      <c r="O204" s="6"/>
      <c r="P204" s="6"/>
      <c r="Q204" s="7"/>
      <c r="R204" s="2"/>
      <c r="S204" s="7"/>
      <c r="T204" s="7"/>
      <c r="U204" s="2"/>
      <c r="V204" s="2"/>
      <c r="W204" s="2"/>
      <c r="X204" s="2"/>
      <c r="Y204" s="2"/>
      <c r="Z204" s="2"/>
      <c r="AA204" s="2"/>
      <c r="AB204" s="2"/>
      <c r="AC204" s="2"/>
      <c r="AD204" s="2"/>
      <c r="AE204" s="349"/>
      <c r="AF204" s="349"/>
      <c r="AG204" s="349"/>
      <c r="AH204" s="349"/>
      <c r="AI204" s="349"/>
      <c r="AJ204" s="349"/>
      <c r="AK204" s="349"/>
      <c r="AL204" s="349"/>
      <c r="AM204" s="349"/>
    </row>
    <row r="205" spans="1:39" ht="12.75" customHeight="1" x14ac:dyDescent="0.25">
      <c r="A205" s="2"/>
      <c r="B205" s="3"/>
      <c r="C205" s="370"/>
      <c r="D205" s="376" t="s">
        <v>1204</v>
      </c>
      <c r="E205" s="2613" t="str">
        <f>Translations!$B$710</f>
        <v>Total importerad nettovärme</v>
      </c>
      <c r="F205" s="1997"/>
      <c r="G205" s="364" t="str">
        <f>EUconst_TJpa</f>
        <v>TJ / år</v>
      </c>
      <c r="H205" s="351" t="str">
        <f t="shared" ref="H205:N205" si="92">IF(COUNT(H186,H190,H194,H198,H202)&gt;0,SUM(H186,H190,H194,H198,H202),"")</f>
        <v/>
      </c>
      <c r="I205" s="351" t="str">
        <f t="shared" si="92"/>
        <v/>
      </c>
      <c r="J205" s="351" t="str">
        <f t="shared" si="92"/>
        <v/>
      </c>
      <c r="K205" s="351" t="str">
        <f t="shared" si="92"/>
        <v/>
      </c>
      <c r="L205" s="351" t="str">
        <f t="shared" si="92"/>
        <v/>
      </c>
      <c r="M205" s="351" t="str">
        <f t="shared" si="92"/>
        <v/>
      </c>
      <c r="N205" s="1148" t="str">
        <f t="shared" si="92"/>
        <v/>
      </c>
      <c r="O205" s="6"/>
      <c r="P205" s="6"/>
      <c r="Q205" s="2"/>
      <c r="R205" s="2"/>
      <c r="S205" s="7"/>
      <c r="T205" s="7"/>
      <c r="U205" s="2"/>
      <c r="V205" s="2"/>
      <c r="W205" s="2"/>
      <c r="X205" s="2"/>
      <c r="Y205" s="2"/>
      <c r="Z205" s="2"/>
      <c r="AA205" s="2"/>
      <c r="AB205" s="2"/>
      <c r="AC205" s="2"/>
      <c r="AD205" s="2"/>
      <c r="AE205" s="349"/>
      <c r="AF205" s="349"/>
      <c r="AG205" s="349"/>
      <c r="AH205" s="349"/>
      <c r="AI205" s="349"/>
      <c r="AJ205" s="349"/>
      <c r="AK205" s="349"/>
      <c r="AL205" s="349"/>
      <c r="AM205" s="349"/>
    </row>
    <row r="206" spans="1:39" ht="12.75" customHeight="1" thickBot="1" x14ac:dyDescent="0.3">
      <c r="A206" s="2"/>
      <c r="B206" s="3"/>
      <c r="C206" s="377"/>
      <c r="D206" s="378"/>
      <c r="E206" s="378"/>
      <c r="F206" s="378"/>
      <c r="G206" s="378"/>
      <c r="H206" s="378"/>
      <c r="I206" s="378"/>
      <c r="J206" s="378"/>
      <c r="K206" s="378"/>
      <c r="L206" s="378"/>
      <c r="M206" s="379"/>
      <c r="N206" s="380"/>
      <c r="O206" s="6"/>
      <c r="P206" s="6"/>
      <c r="Q206" s="7"/>
      <c r="R206" s="2"/>
      <c r="S206" s="7"/>
      <c r="T206" s="2"/>
      <c r="U206" s="2"/>
      <c r="V206" s="2"/>
      <c r="W206" s="2"/>
      <c r="X206" s="2"/>
      <c r="Y206" s="2"/>
      <c r="Z206" s="2"/>
      <c r="AA206" s="2"/>
      <c r="AB206" s="2"/>
      <c r="AC206" s="2"/>
      <c r="AD206" s="2"/>
      <c r="AE206" s="349"/>
      <c r="AF206" s="349"/>
      <c r="AG206" s="349"/>
      <c r="AH206" s="349"/>
      <c r="AI206" s="349"/>
      <c r="AJ206" s="349"/>
      <c r="AK206" s="349"/>
      <c r="AL206" s="349"/>
      <c r="AM206" s="349"/>
    </row>
    <row r="207" spans="1:39" ht="25.5" customHeight="1" thickBot="1" x14ac:dyDescent="0.3">
      <c r="A207" s="2"/>
      <c r="B207" s="19"/>
      <c r="C207" s="19"/>
      <c r="D207" s="19"/>
      <c r="E207" s="19"/>
      <c r="F207" s="19"/>
      <c r="G207" s="19"/>
      <c r="H207" s="19"/>
      <c r="I207" s="19"/>
      <c r="J207" s="19"/>
      <c r="K207" s="19"/>
      <c r="L207" s="19"/>
      <c r="M207" s="19"/>
      <c r="N207" s="19"/>
      <c r="O207" s="6"/>
      <c r="P207" s="6"/>
      <c r="Q207" s="2"/>
      <c r="R207" s="2"/>
      <c r="S207" s="2"/>
      <c r="T207" s="2"/>
      <c r="U207" s="2"/>
      <c r="V207" s="2"/>
      <c r="W207" s="2"/>
      <c r="X207" s="2"/>
      <c r="Y207" s="2"/>
      <c r="Z207" s="2"/>
      <c r="AA207" s="2"/>
      <c r="AB207" s="2"/>
      <c r="AC207" s="2"/>
      <c r="AD207" s="2"/>
      <c r="AE207" s="349"/>
      <c r="AF207" s="349"/>
      <c r="AG207" s="349"/>
      <c r="AH207" s="349"/>
      <c r="AI207" s="349"/>
      <c r="AJ207" s="349"/>
      <c r="AK207" s="349"/>
      <c r="AL207" s="349"/>
      <c r="AM207" s="349"/>
    </row>
    <row r="208" spans="1:39" ht="5.15" customHeight="1" thickBot="1" x14ac:dyDescent="0.3">
      <c r="A208" s="343"/>
      <c r="B208" s="3"/>
      <c r="C208" s="230"/>
      <c r="D208" s="230"/>
      <c r="E208" s="230"/>
      <c r="F208" s="230"/>
      <c r="G208" s="230"/>
      <c r="H208" s="230"/>
      <c r="I208" s="230"/>
      <c r="J208" s="230"/>
      <c r="K208" s="230"/>
      <c r="L208" s="230"/>
      <c r="M208" s="230"/>
      <c r="N208" s="230"/>
      <c r="O208" s="6"/>
      <c r="P208" s="6"/>
      <c r="Q208" s="1767"/>
      <c r="R208" s="1767"/>
      <c r="S208" s="1767"/>
      <c r="T208" s="1767"/>
      <c r="U208" s="1767"/>
      <c r="V208" s="1767"/>
      <c r="W208" s="1767"/>
      <c r="X208" s="1767"/>
      <c r="Y208" s="1767"/>
      <c r="Z208" s="1767"/>
      <c r="AA208" s="1767"/>
      <c r="AB208" s="1767"/>
      <c r="AC208" s="1767"/>
      <c r="AD208" s="1767"/>
      <c r="AE208" s="1767"/>
      <c r="AF208" s="1767"/>
      <c r="AG208" s="1767"/>
      <c r="AH208" s="1767"/>
      <c r="AI208" s="1767"/>
      <c r="AJ208" s="1767"/>
      <c r="AK208" s="1767"/>
      <c r="AL208" s="1767"/>
      <c r="AM208" s="1767"/>
    </row>
    <row r="209" spans="1:39" ht="14.5" thickBot="1" x14ac:dyDescent="0.35">
      <c r="A209" s="2"/>
      <c r="B209" s="3"/>
      <c r="C209" s="17">
        <f>C12+1</f>
        <v>2</v>
      </c>
      <c r="D209" s="2053" t="str">
        <f>EUconst_FBSubinst &amp; ":"</f>
        <v>”Fall-back”-delanläggning:</v>
      </c>
      <c r="E209" s="1963"/>
      <c r="F209" s="1963"/>
      <c r="G209" s="1963"/>
      <c r="H209" s="2060"/>
      <c r="I209" s="2090" t="str">
        <f>INDEX(EUconst_FallBackListNames,$C209)</f>
        <v>Delanläggning med värmeriktmärke, ej KL</v>
      </c>
      <c r="J209" s="2120"/>
      <c r="K209" s="2120"/>
      <c r="L209" s="2648"/>
      <c r="M209" s="2085" t="str">
        <f>IF(INDEX(CNTR_FallBackSubInstRelevant,C209)="","",IF(INDEX(CNTR_FallBackSubInstRelevant,C209),EUconst_Relevant,EUconst_NotRelevant))</f>
        <v/>
      </c>
      <c r="N209" s="2086"/>
      <c r="O209" s="6"/>
      <c r="P209" s="6"/>
      <c r="Q209" s="452">
        <f>C209</f>
        <v>2</v>
      </c>
      <c r="R209" s="2"/>
      <c r="S209" s="553" t="s">
        <v>608</v>
      </c>
      <c r="T209" s="979" t="str">
        <f>IF(M209&lt;&gt;EUconst_Relevant,"",MAX(INDEX(CNTR_SubInstStartDate,MATCH($I209,CNTR_SubInstListNames,0)),DATE(2005,1,1)))</f>
        <v/>
      </c>
      <c r="U209" s="343" t="s">
        <v>1873</v>
      </c>
      <c r="V209" s="663">
        <f>IF(ISNUMBER(T209),YEAR($T209-IF(YEAR(T209)&gt;=2022,0,1))+1,2005)</f>
        <v>2005</v>
      </c>
      <c r="W209" s="553" t="s">
        <v>1876</v>
      </c>
      <c r="X209" s="979" t="str">
        <f>IF(M209&lt;&gt;EUconst_Relevant,"",INDEX(CNTR_SubInstCessationDate,MATCH($I209,CNTR_SubInstListNames,0)))</f>
        <v/>
      </c>
      <c r="Y209" s="553" t="s">
        <v>1877</v>
      </c>
      <c r="Z209" s="663">
        <f>IF(SUM(X209)=0,2050,YEAR($X209))</f>
        <v>2050</v>
      </c>
      <c r="AA209" s="553" t="s">
        <v>2201</v>
      </c>
      <c r="AB209" s="663" t="b">
        <f>CNTR_ReportingYear&gt;V209</f>
        <v>1</v>
      </c>
      <c r="AC209" s="553" t="s">
        <v>1475</v>
      </c>
      <c r="AD209" s="555" t="b">
        <f>AND(CNTR_ExistSubInstEntries,M209=EUconst_NotRelevant)</f>
        <v>0</v>
      </c>
      <c r="AE209" s="349"/>
      <c r="AF209" s="349"/>
      <c r="AG209" s="349"/>
      <c r="AH209" s="349"/>
      <c r="AI209" s="349"/>
      <c r="AJ209" s="349"/>
      <c r="AK209" s="349"/>
      <c r="AL209" s="349"/>
      <c r="AM209" s="349"/>
    </row>
    <row r="210" spans="1:39" ht="12.75" customHeight="1" x14ac:dyDescent="0.25">
      <c r="A210" s="2"/>
      <c r="B210" s="19"/>
      <c r="C210" s="19"/>
      <c r="D210" s="19"/>
      <c r="E210" s="19"/>
      <c r="F210" s="19"/>
      <c r="G210" s="19"/>
      <c r="H210" s="45"/>
      <c r="I210" s="2683" t="str">
        <f>IF(M209&lt;&gt;EUconst_Relevant,"",IF(M209=EUconst_Relevant,HYPERLINK("",EUconst_MsgEnterThisSection),HYPERLINK(R210,EUconst_MsgGoToNextSubInst)))</f>
        <v/>
      </c>
      <c r="J210" s="2684"/>
      <c r="K210" s="2684"/>
      <c r="L210" s="2684"/>
      <c r="M210" s="2685"/>
      <c r="N210" s="2686"/>
      <c r="O210" s="6"/>
      <c r="P210" s="6"/>
      <c r="Q210" s="2" t="s">
        <v>484</v>
      </c>
      <c r="R210" s="394" t="str">
        <f>"#JUMP_G"&amp;Q209+1</f>
        <v>#JUMP_G3</v>
      </c>
      <c r="S210" s="2"/>
      <c r="T210" s="2"/>
      <c r="U210" s="2"/>
      <c r="V210" s="2"/>
      <c r="W210" s="2"/>
      <c r="X210" s="2"/>
      <c r="Y210" s="2"/>
      <c r="Z210" s="343"/>
      <c r="AA210" s="2"/>
      <c r="AB210" s="2"/>
      <c r="AC210" s="2"/>
      <c r="AD210" s="2"/>
      <c r="AE210" s="349"/>
      <c r="AF210" s="349"/>
      <c r="AG210" s="349"/>
      <c r="AH210" s="349"/>
      <c r="AI210" s="349"/>
      <c r="AJ210" s="349"/>
      <c r="AK210" s="349"/>
      <c r="AL210" s="349"/>
      <c r="AM210" s="349"/>
    </row>
    <row r="211" spans="1:39" ht="12.75" customHeight="1" x14ac:dyDescent="0.25">
      <c r="A211" s="2"/>
      <c r="B211" s="3"/>
      <c r="C211" s="3"/>
      <c r="D211" s="15"/>
      <c r="E211" s="2061" t="str">
        <f>Translations!$B$663</f>
        <v>Namnet på ”fall-back”-delanläggningen visas automatiskt på grundval av den sammanställda listan över möjliga ”fall-back”-anläggningar.</v>
      </c>
      <c r="F211" s="1963"/>
      <c r="G211" s="1963"/>
      <c r="H211" s="1963"/>
      <c r="I211" s="1963"/>
      <c r="J211" s="1963"/>
      <c r="K211" s="1963"/>
      <c r="L211" s="1963"/>
      <c r="M211" s="1963"/>
      <c r="N211" s="1963"/>
      <c r="O211" s="6"/>
      <c r="P211" s="6"/>
      <c r="Q211" s="7"/>
      <c r="R211" s="7"/>
      <c r="S211" s="2"/>
      <c r="T211" s="2"/>
      <c r="U211" s="2"/>
      <c r="V211" s="2"/>
      <c r="W211" s="2"/>
      <c r="X211" s="2"/>
      <c r="Y211" s="2"/>
      <c r="Z211" s="2"/>
      <c r="AA211" s="2"/>
      <c r="AB211" s="2"/>
      <c r="AC211" s="2"/>
      <c r="AD211" s="2"/>
      <c r="AE211" s="349"/>
      <c r="AF211" s="349"/>
      <c r="AG211" s="349"/>
      <c r="AH211" s="349"/>
      <c r="AI211" s="349"/>
      <c r="AJ211" s="349"/>
      <c r="AK211" s="349"/>
      <c r="AL211" s="349"/>
      <c r="AM211" s="349"/>
    </row>
    <row r="212" spans="1:39" ht="5.15" customHeight="1" x14ac:dyDescent="0.25">
      <c r="A212" s="2"/>
      <c r="B212" s="3"/>
      <c r="C212" s="3"/>
      <c r="D212" s="3"/>
      <c r="E212" s="3"/>
      <c r="F212" s="3"/>
      <c r="G212" s="3"/>
      <c r="H212" s="3"/>
      <c r="I212" s="3"/>
      <c r="J212" s="3"/>
      <c r="K212" s="3"/>
      <c r="L212" s="3"/>
      <c r="M212" s="6"/>
      <c r="N212" s="6"/>
      <c r="O212" s="6"/>
      <c r="P212" s="6"/>
      <c r="Q212" s="7"/>
      <c r="R212" s="7"/>
      <c r="S212" s="7"/>
      <c r="T212" s="7"/>
      <c r="U212" s="7"/>
      <c r="V212" s="7"/>
      <c r="W212" s="7"/>
      <c r="X212" s="7"/>
      <c r="Y212" s="7"/>
      <c r="Z212" s="2"/>
      <c r="AA212" s="2"/>
      <c r="AB212" s="2"/>
      <c r="AC212" s="2"/>
      <c r="AD212" s="2"/>
      <c r="AE212" s="349"/>
      <c r="AF212" s="349"/>
      <c r="AG212" s="349"/>
      <c r="AH212" s="349"/>
      <c r="AI212" s="349"/>
      <c r="AJ212" s="349"/>
      <c r="AK212" s="349"/>
      <c r="AL212" s="349"/>
      <c r="AM212" s="349"/>
    </row>
    <row r="213" spans="1:39" ht="12.75" customHeight="1" x14ac:dyDescent="0.25">
      <c r="A213" s="2"/>
      <c r="B213" s="3"/>
      <c r="C213" s="13"/>
      <c r="D213" s="13" t="s">
        <v>442</v>
      </c>
      <c r="E213" s="1943" t="str">
        <f>Translations!$B$1466</f>
        <v>Verksamhetsnivåer</v>
      </c>
      <c r="F213" s="1963"/>
      <c r="G213" s="1963"/>
      <c r="H213" s="1963"/>
      <c r="I213" s="1963"/>
      <c r="J213" s="1963"/>
      <c r="K213" s="1963"/>
      <c r="L213" s="1963"/>
      <c r="M213" s="1963"/>
      <c r="N213" s="1963"/>
      <c r="O213" s="6"/>
      <c r="P213" s="6"/>
      <c r="Q213" s="7"/>
      <c r="R213" s="7"/>
      <c r="S213" s="7"/>
      <c r="T213" s="7"/>
      <c r="U213" s="7"/>
      <c r="V213" s="7"/>
      <c r="W213" s="7"/>
      <c r="X213" s="7"/>
      <c r="Y213" s="7"/>
      <c r="Z213" s="2"/>
      <c r="AA213" s="2"/>
      <c r="AB213" s="343"/>
      <c r="AC213" s="2"/>
      <c r="AD213" s="2"/>
      <c r="AE213" s="349"/>
      <c r="AF213" s="349"/>
      <c r="AG213" s="349"/>
      <c r="AH213" s="349"/>
      <c r="AI213" s="349"/>
      <c r="AJ213" s="349"/>
      <c r="AK213" s="349"/>
      <c r="AL213" s="349"/>
      <c r="AM213" s="349"/>
    </row>
    <row r="214" spans="1:39" ht="12.75" customHeight="1" x14ac:dyDescent="0.25">
      <c r="A214" s="2"/>
      <c r="B214" s="3"/>
      <c r="C214" s="15"/>
      <c r="D214" s="15"/>
      <c r="E214" s="2682" t="str">
        <f>Translations!$B$664</f>
        <v>Följande uppgifter hämtas automatiskt från bladet "E_EnergyFlows", avsnitt E.II.r. Uppgifter måste därför matas in där.</v>
      </c>
      <c r="F214" s="2682"/>
      <c r="G214" s="2682"/>
      <c r="H214" s="2682"/>
      <c r="I214" s="2682"/>
      <c r="J214" s="2682"/>
      <c r="K214" s="2682"/>
      <c r="L214" s="2682"/>
      <c r="M214" s="2682"/>
      <c r="N214" s="2682"/>
      <c r="O214" s="6"/>
      <c r="P214" s="6"/>
      <c r="Q214" s="7"/>
      <c r="R214" s="2"/>
      <c r="S214" s="2"/>
      <c r="T214" s="2"/>
      <c r="U214" s="2"/>
      <c r="V214" s="2"/>
      <c r="W214" s="2"/>
      <c r="X214" s="2"/>
      <c r="Y214" s="2"/>
      <c r="Z214" s="2"/>
      <c r="AA214" s="2"/>
      <c r="AB214" s="2"/>
      <c r="AC214" s="2"/>
      <c r="AD214" s="2"/>
      <c r="AE214" s="349"/>
      <c r="AF214" s="349"/>
      <c r="AG214" s="349"/>
      <c r="AH214" s="349"/>
      <c r="AI214" s="349"/>
      <c r="AJ214" s="349"/>
      <c r="AK214" s="349"/>
      <c r="AL214" s="349"/>
      <c r="AM214" s="349"/>
    </row>
    <row r="215" spans="1:39" ht="12.75" customHeight="1" x14ac:dyDescent="0.25">
      <c r="A215" s="2"/>
      <c r="B215" s="3"/>
      <c r="C215" s="3"/>
      <c r="D215" s="15"/>
      <c r="E215" s="2095" t="str">
        <f>Translations!$B$1486</f>
        <v>Baserat på när start av drift inträffade enligt avsnitt B+C.I i bladet "B+C_SubInstallations" kommer den historiska verksamhetsnivån (HAL) antingen att baseras på värdena enligt de nationella genomförandeåtgärderna (visas under ii) eller det första hela kalenderårets drift för nya delanläggningar (visas under iv).</v>
      </c>
      <c r="F215" s="2706"/>
      <c r="G215" s="2706"/>
      <c r="H215" s="2706"/>
      <c r="I215" s="2706"/>
      <c r="J215" s="2706"/>
      <c r="K215" s="2706"/>
      <c r="L215" s="2706"/>
      <c r="M215" s="2706"/>
      <c r="N215" s="2706"/>
      <c r="O215" s="6"/>
      <c r="P215" s="6"/>
      <c r="Q215" s="7"/>
      <c r="R215" s="2"/>
      <c r="S215" s="2"/>
      <c r="T215" s="2"/>
      <c r="U215" s="2"/>
      <c r="V215" s="2"/>
      <c r="W215" s="2"/>
      <c r="X215" s="2"/>
      <c r="Y215" s="2"/>
      <c r="Z215" s="2"/>
      <c r="AA215" s="343"/>
      <c r="AB215" s="343"/>
      <c r="AC215" s="2"/>
      <c r="AD215" s="2"/>
      <c r="AE215" s="349"/>
      <c r="AF215" s="349"/>
      <c r="AG215" s="349"/>
      <c r="AH215" s="349"/>
      <c r="AI215" s="349"/>
      <c r="AJ215" s="349"/>
      <c r="AK215" s="349"/>
      <c r="AL215" s="349"/>
      <c r="AM215" s="349"/>
    </row>
    <row r="216" spans="1:39" ht="12.75" customHeight="1" thickBot="1" x14ac:dyDescent="0.3">
      <c r="A216" s="2"/>
      <c r="B216" s="19"/>
      <c r="C216" s="13"/>
      <c r="D216" s="13"/>
      <c r="E216" s="42" t="str">
        <f>Translations!$B$665</f>
        <v>Huvudsaklig verksamhetsnivå:</v>
      </c>
      <c r="F216" s="913"/>
      <c r="G216" s="30" t="str">
        <f>EUconst_Unit</f>
        <v>Enhet</v>
      </c>
      <c r="H216" s="320">
        <f t="shared" ref="H216:N216" si="93">H$950</f>
        <v>2019</v>
      </c>
      <c r="I216" s="342">
        <f t="shared" si="93"/>
        <v>2020</v>
      </c>
      <c r="J216" s="987">
        <f t="shared" si="93"/>
        <v>2021</v>
      </c>
      <c r="K216" s="320">
        <f t="shared" si="93"/>
        <v>2022</v>
      </c>
      <c r="L216" s="320">
        <f t="shared" si="93"/>
        <v>2023</v>
      </c>
      <c r="M216" s="320">
        <f t="shared" si="93"/>
        <v>2024</v>
      </c>
      <c r="N216" s="350">
        <f t="shared" si="93"/>
        <v>2025</v>
      </c>
      <c r="O216" s="6"/>
      <c r="P216" s="6"/>
      <c r="Q216" s="152" t="s">
        <v>594</v>
      </c>
      <c r="R216" s="2"/>
      <c r="S216" s="2"/>
      <c r="T216" s="1044">
        <f t="shared" ref="T216:Z216" si="94">H216</f>
        <v>2019</v>
      </c>
      <c r="U216" s="1044">
        <f t="shared" si="94"/>
        <v>2020</v>
      </c>
      <c r="V216" s="1044">
        <f t="shared" si="94"/>
        <v>2021</v>
      </c>
      <c r="W216" s="1044">
        <f t="shared" si="94"/>
        <v>2022</v>
      </c>
      <c r="X216" s="1044">
        <f t="shared" si="94"/>
        <v>2023</v>
      </c>
      <c r="Y216" s="1044">
        <f t="shared" si="94"/>
        <v>2024</v>
      </c>
      <c r="Z216" s="1044">
        <f t="shared" si="94"/>
        <v>2025</v>
      </c>
      <c r="AA216" s="343"/>
      <c r="AB216" s="343"/>
      <c r="AC216" s="2"/>
      <c r="AD216" s="2"/>
      <c r="AE216" s="349"/>
      <c r="AF216" s="349"/>
      <c r="AG216" s="349"/>
      <c r="AH216" s="349"/>
      <c r="AI216" s="349"/>
      <c r="AJ216" s="349"/>
      <c r="AK216" s="349"/>
      <c r="AL216" s="349"/>
      <c r="AM216" s="349"/>
    </row>
    <row r="217" spans="1:39" ht="12.75" customHeight="1" thickBot="1" x14ac:dyDescent="0.3">
      <c r="A217" s="2"/>
      <c r="B217" s="19"/>
      <c r="C217" s="19"/>
      <c r="D217" s="175" t="s">
        <v>8</v>
      </c>
      <c r="E217" s="2655" t="str">
        <f>I209</f>
        <v>Delanläggning med värmeriktmärke, ej KL</v>
      </c>
      <c r="F217" s="2655"/>
      <c r="G217" s="91" t="str">
        <f>INDEX(EUconst_FallBackListUnits,MATCH(E217,EUconst_FallBackListNames,0))</f>
        <v>TJ</v>
      </c>
      <c r="H217" s="258" t="str">
        <f>IF($M209&lt;&gt;EUconst_Relevant,"",IF(H216&gt;=CNTR_ReportingYear,"",IF(AND(H216&gt;=$V209-1,ISNUMBER(INDEX(E_EnergyFlows!H$400:H$406,MATCH($E217,E_EnergyFlows!$E$400:$E$406,0)))),INDEX(E_EnergyFlows!H$400:H$406,MATCH($E217,E_EnergyFlows!$E$400:$E$406,0)),0)))</f>
        <v/>
      </c>
      <c r="I217" s="695" t="str">
        <f>IF($M209&lt;&gt;EUconst_Relevant,"",IF(I216&gt;=CNTR_ReportingYear,"",IF(AND(I216&gt;=$V209-1,ISNUMBER(INDEX(E_EnergyFlows!I$400:I$406,MATCH($E217,E_EnergyFlows!$E$400:$E$406,0)))),INDEX(E_EnergyFlows!I$400:I$406,MATCH($E217,E_EnergyFlows!$E$400:$E$406,0)),0)))</f>
        <v/>
      </c>
      <c r="J217" s="696" t="str">
        <f>IF($M209&lt;&gt;EUconst_Relevant,"",IF(J216&gt;=CNTR_ReportingYear,"",IF(AND(J216&gt;=$V209-1,ISNUMBER(INDEX(E_EnergyFlows!J$400:J$406,MATCH($E217,E_EnergyFlows!$E$400:$E$406,0)))),INDEX(E_EnergyFlows!J$400:J$406,MATCH($E217,E_EnergyFlows!$E$400:$E$406,0)),0)))</f>
        <v/>
      </c>
      <c r="K217" s="258" t="str">
        <f>IF($M209&lt;&gt;EUconst_Relevant,"",IF(K216&gt;=CNTR_ReportingYear,"",IF(AND(K216&gt;=$V209-1,ISNUMBER(INDEX(E_EnergyFlows!K$400:K$406,MATCH($E217,E_EnergyFlows!$E$400:$E$406,0)))),INDEX(E_EnergyFlows!K$400:K$406,MATCH($E217,E_EnergyFlows!$E$400:$E$406,0)),0)))</f>
        <v/>
      </c>
      <c r="L217" s="258" t="str">
        <f>IF($M209&lt;&gt;EUconst_Relevant,"",IF(L216&gt;=CNTR_ReportingYear,"",IF(AND(L216&gt;=$V209-1,ISNUMBER(INDEX(E_EnergyFlows!L$400:L$406,MATCH($E217,E_EnergyFlows!$E$400:$E$406,0)))),INDEX(E_EnergyFlows!L$400:L$406,MATCH($E217,E_EnergyFlows!$E$400:$E$406,0)),0)))</f>
        <v/>
      </c>
      <c r="M217" s="258" t="str">
        <f>IF($M209&lt;&gt;EUconst_Relevant,"",IF(M216&gt;=CNTR_ReportingYear,"",IF(AND(M216&gt;=$V209-1,ISNUMBER(INDEX(E_EnergyFlows!M$400:M$406,MATCH($E217,E_EnergyFlows!$E$400:$E$406,0)))),INDEX(E_EnergyFlows!M$400:M$406,MATCH($E217,E_EnergyFlows!$E$400:$E$406,0)),0)))</f>
        <v/>
      </c>
      <c r="N217" s="258" t="str">
        <f>IF($M209&lt;&gt;EUconst_Relevant,"",IF(N216&gt;=CNTR_ReportingYear,"",IF(AND(N216&gt;=$V209-1,ISNUMBER(INDEX(E_EnergyFlows!N$400:N$406,MATCH($E217,E_EnergyFlows!$E$400:$E$406,0)))),INDEX(E_EnergyFlows!N$400:N$406,MATCH($E217,E_EnergyFlows!$E$400:$E$406,0)),0)))</f>
        <v/>
      </c>
      <c r="O217" s="918"/>
      <c r="P217" s="6"/>
      <c r="Q217" s="154" t="str">
        <f>EUconst_CNTR_HAL&amp;E217</f>
        <v>HAL_Delanläggning med värmeriktmärke, ej KL</v>
      </c>
      <c r="R217" s="2"/>
      <c r="S217" s="309" t="s">
        <v>1874</v>
      </c>
      <c r="T217" s="1126" t="b">
        <f t="shared" ref="T217:Z217" si="95">AND($M209=EUconst_Relevant,T216&lt;CNTR_ReportingYear,T216&gt;=$V209-1)</f>
        <v>0</v>
      </c>
      <c r="U217" s="1127" t="b">
        <f t="shared" si="95"/>
        <v>0</v>
      </c>
      <c r="V217" s="1127" t="b">
        <f t="shared" si="95"/>
        <v>0</v>
      </c>
      <c r="W217" s="1127" t="b">
        <f t="shared" si="95"/>
        <v>0</v>
      </c>
      <c r="X217" s="1127" t="b">
        <f t="shared" si="95"/>
        <v>0</v>
      </c>
      <c r="Y217" s="1127" t="b">
        <f t="shared" si="95"/>
        <v>0</v>
      </c>
      <c r="Z217" s="1128" t="b">
        <f t="shared" si="95"/>
        <v>0</v>
      </c>
      <c r="AA217" s="2"/>
      <c r="AB217" s="2"/>
      <c r="AC217" s="309"/>
      <c r="AD217" s="2"/>
      <c r="AE217" s="349"/>
      <c r="AF217" s="349"/>
      <c r="AG217" s="349"/>
      <c r="AH217" s="349"/>
      <c r="AI217" s="349"/>
      <c r="AJ217" s="349"/>
      <c r="AK217" s="553" t="s">
        <v>2242</v>
      </c>
      <c r="AL217" s="108" t="str">
        <f>IF(COUNTIFS(H216:N216,"&lt;"&amp;YEAR(SUM(T209)),H217:N217,"&gt;"&amp;0)&gt;0,EUconst_Error&amp;"FB"&amp;Q209,"")</f>
        <v/>
      </c>
      <c r="AM217" s="349"/>
    </row>
    <row r="218" spans="1:39" ht="5.15" customHeight="1" x14ac:dyDescent="0.25">
      <c r="A218" s="2"/>
      <c r="B218" s="178"/>
      <c r="C218" s="178"/>
      <c r="D218" s="15"/>
      <c r="E218" s="15"/>
      <c r="F218" s="15"/>
      <c r="G218" s="15"/>
      <c r="H218" s="15"/>
      <c r="I218" s="15"/>
      <c r="J218" s="15"/>
      <c r="K218" s="15"/>
      <c r="L218" s="15"/>
      <c r="M218" s="15"/>
      <c r="N218" s="15"/>
      <c r="O218" s="15"/>
      <c r="P218" s="6"/>
      <c r="Q218" s="343"/>
      <c r="R218" s="2"/>
      <c r="S218" s="343"/>
      <c r="T218" s="343"/>
      <c r="U218" s="2"/>
      <c r="V218" s="2"/>
      <c r="W218" s="2"/>
      <c r="X218" s="2"/>
      <c r="Y218" s="2"/>
      <c r="Z218" s="343"/>
      <c r="AA218" s="2"/>
      <c r="AB218" s="343"/>
      <c r="AC218" s="2"/>
      <c r="AD218" s="2"/>
      <c r="AE218" s="349"/>
      <c r="AF218" s="349"/>
      <c r="AG218" s="349"/>
      <c r="AH218" s="349"/>
      <c r="AI218" s="349"/>
      <c r="AJ218" s="349"/>
      <c r="AK218" s="349"/>
      <c r="AL218" s="349"/>
      <c r="AM218" s="349"/>
    </row>
    <row r="219" spans="1:39" ht="25.5" customHeight="1" x14ac:dyDescent="0.25">
      <c r="A219" s="2"/>
      <c r="B219" s="178"/>
      <c r="C219" s="178"/>
      <c r="D219" s="15"/>
      <c r="E219" s="2061" t="str">
        <f>Translations!$B$1487</f>
        <v>Baserat på värdena för historisk verksamhetsnivå (HAL) och värdena under punkt a) ovan bestäms de genomsnittliga verksamhetsnivåerna här. Tilldelningen kommer endast att ändras om alla följande tröskelvärden i artiklarna 5 och 6 i verksamhetsändringsförordningen överskrids:</v>
      </c>
      <c r="F219" s="1963"/>
      <c r="G219" s="1963"/>
      <c r="H219" s="1963"/>
      <c r="I219" s="1963"/>
      <c r="J219" s="1963"/>
      <c r="K219" s="1963"/>
      <c r="L219" s="1963"/>
      <c r="M219" s="1963"/>
      <c r="N219" s="1963"/>
      <c r="O219" s="15"/>
      <c r="P219" s="6"/>
      <c r="Q219" s="343"/>
      <c r="R219" s="2"/>
      <c r="S219" s="343"/>
      <c r="T219" s="343"/>
      <c r="U219" s="343"/>
      <c r="V219" s="2"/>
      <c r="W219" s="2"/>
      <c r="X219" s="2"/>
      <c r="Y219" s="2"/>
      <c r="Z219" s="2"/>
      <c r="AA219" s="2"/>
      <c r="AB219" s="2"/>
      <c r="AC219" s="2"/>
      <c r="AD219" s="2"/>
      <c r="AE219" s="2"/>
      <c r="AF219" s="2"/>
      <c r="AG219" s="2"/>
      <c r="AH219" s="2"/>
      <c r="AI219" s="2"/>
      <c r="AJ219" s="2"/>
      <c r="AK219" s="2"/>
      <c r="AL219" s="2"/>
      <c r="AM219" s="349"/>
    </row>
    <row r="220" spans="1:39" ht="12.75" customHeight="1" x14ac:dyDescent="0.25">
      <c r="A220" s="2"/>
      <c r="B220" s="178"/>
      <c r="C220" s="178"/>
      <c r="D220" s="15"/>
      <c r="E220" s="1102" t="s">
        <v>1112</v>
      </c>
      <c r="F220" s="2095" t="str">
        <f>Translations!$B$1470</f>
        <v>De relativa tröskelvärdena (15 % och 5 % för efterföljande ändringar) för de genomsnittliga verksamhetsnivåerna jämfört med HAL</v>
      </c>
      <c r="G220" s="2159"/>
      <c r="H220" s="2159"/>
      <c r="I220" s="2159"/>
      <c r="J220" s="2159"/>
      <c r="K220" s="2159"/>
      <c r="L220" s="2159"/>
      <c r="M220" s="2159"/>
      <c r="N220" s="2159"/>
      <c r="O220" s="15"/>
      <c r="P220" s="6"/>
      <c r="Q220" s="343"/>
      <c r="R220" s="2"/>
      <c r="S220" s="343"/>
      <c r="T220" s="343"/>
      <c r="U220" s="343"/>
      <c r="V220" s="2"/>
      <c r="W220" s="2"/>
      <c r="X220" s="2"/>
      <c r="Y220" s="2"/>
      <c r="Z220" s="2"/>
      <c r="AA220" s="2"/>
      <c r="AB220" s="2"/>
      <c r="AC220" s="2"/>
      <c r="AD220" s="2"/>
      <c r="AE220" s="2"/>
      <c r="AF220" s="2"/>
      <c r="AG220" s="2"/>
      <c r="AH220" s="2"/>
      <c r="AI220" s="2"/>
      <c r="AJ220" s="2"/>
      <c r="AK220" s="2"/>
      <c r="AL220" s="2"/>
      <c r="AM220" s="349"/>
    </row>
    <row r="221" spans="1:39" ht="12.75" customHeight="1" x14ac:dyDescent="0.25">
      <c r="A221" s="2"/>
      <c r="B221" s="178"/>
      <c r="C221" s="178"/>
      <c r="D221" s="15"/>
      <c r="E221" s="1102" t="s">
        <v>1112</v>
      </c>
      <c r="F221" s="2095" t="str">
        <f>Translations!$B$1471</f>
        <v>Det absoluta tröskelvärdet, dvs. en ändring skulle leda till en ändring av den preliminära tilldelningen på minst 100 utsläppsrätter</v>
      </c>
      <c r="G221" s="2159"/>
      <c r="H221" s="2159"/>
      <c r="I221" s="2159"/>
      <c r="J221" s="2159"/>
      <c r="K221" s="2159"/>
      <c r="L221" s="2159"/>
      <c r="M221" s="2159"/>
      <c r="N221" s="2159"/>
      <c r="O221" s="15"/>
      <c r="P221" s="6"/>
      <c r="Q221" s="343"/>
      <c r="R221" s="2"/>
      <c r="S221" s="343"/>
      <c r="T221" s="343"/>
      <c r="U221" s="343"/>
      <c r="V221" s="2"/>
      <c r="W221" s="2"/>
      <c r="X221" s="2"/>
      <c r="Y221" s="2"/>
      <c r="Z221" s="2"/>
      <c r="AA221" s="2"/>
      <c r="AB221" s="2"/>
      <c r="AC221" s="2"/>
      <c r="AD221" s="2"/>
      <c r="AE221" s="2"/>
      <c r="AF221" s="2"/>
      <c r="AG221" s="2"/>
      <c r="AH221" s="2"/>
      <c r="AI221" s="2"/>
      <c r="AJ221" s="2"/>
      <c r="AK221" s="2"/>
      <c r="AL221" s="2"/>
      <c r="AM221" s="349"/>
    </row>
    <row r="222" spans="1:39" ht="12.75" customHeight="1" thickBot="1" x14ac:dyDescent="0.3">
      <c r="A222" s="2"/>
      <c r="B222" s="178"/>
      <c r="C222" s="178"/>
      <c r="D222" s="15"/>
      <c r="E222" s="1102" t="s">
        <v>1112</v>
      </c>
      <c r="F222" s="2095" t="str">
        <f>Translations!$B$1488</f>
        <v>De ändrade verksamhetsnivåerna uppvägs inte av de ändringar av energieffektiviteten som fastställs i punkt b), b.1) och b.2) nedan.</v>
      </c>
      <c r="G222" s="2159"/>
      <c r="H222" s="2159"/>
      <c r="I222" s="2159"/>
      <c r="J222" s="2159"/>
      <c r="K222" s="2159"/>
      <c r="L222" s="2159"/>
      <c r="M222" s="2159"/>
      <c r="N222" s="2159"/>
      <c r="O222" s="15"/>
      <c r="P222" s="6"/>
      <c r="Q222" s="343"/>
      <c r="R222" s="2"/>
      <c r="S222" s="343"/>
      <c r="T222" s="343"/>
      <c r="U222" s="343"/>
      <c r="V222" s="2"/>
      <c r="W222" s="2"/>
      <c r="X222" s="2"/>
      <c r="Y222" s="2"/>
      <c r="Z222" s="2"/>
      <c r="AA222" s="2"/>
      <c r="AB222" s="2"/>
      <c r="AC222" s="2"/>
      <c r="AD222" s="2"/>
      <c r="AE222" s="2"/>
      <c r="AF222" s="2"/>
      <c r="AG222" s="2"/>
      <c r="AH222" s="2"/>
      <c r="AI222" s="2"/>
      <c r="AJ222" s="2"/>
      <c r="AK222" s="2"/>
      <c r="AL222" s="2"/>
      <c r="AM222" s="349"/>
    </row>
    <row r="223" spans="1:39" ht="5.15" customHeight="1" thickBot="1" x14ac:dyDescent="0.3">
      <c r="A223" s="2"/>
      <c r="B223" s="178"/>
      <c r="C223" s="178"/>
      <c r="D223" s="1238"/>
      <c r="E223" s="1278"/>
      <c r="F223" s="1239"/>
      <c r="G223" s="1279"/>
      <c r="H223" s="1279"/>
      <c r="I223" s="1279"/>
      <c r="J223" s="1279"/>
      <c r="K223" s="1279"/>
      <c r="L223" s="1279"/>
      <c r="M223" s="1279"/>
      <c r="N223" s="1280"/>
      <c r="O223" s="15"/>
      <c r="P223" s="6"/>
      <c r="Q223" s="343"/>
      <c r="R223" s="2"/>
      <c r="S223" s="343"/>
      <c r="T223" s="343"/>
      <c r="U223" s="343"/>
      <c r="V223" s="2"/>
      <c r="W223" s="2"/>
      <c r="X223" s="2"/>
      <c r="Y223" s="2"/>
      <c r="Z223" s="2"/>
      <c r="AA223" s="2"/>
      <c r="AB223" s="2"/>
      <c r="AC223" s="2"/>
      <c r="AD223" s="2"/>
      <c r="AE223" s="2"/>
      <c r="AF223" s="2"/>
      <c r="AG223" s="2"/>
      <c r="AH223" s="2"/>
      <c r="AI223" s="2"/>
      <c r="AJ223" s="2"/>
      <c r="AK223" s="2"/>
      <c r="AL223" s="2"/>
      <c r="AM223" s="349"/>
    </row>
    <row r="224" spans="1:39" ht="12.75" customHeight="1" x14ac:dyDescent="0.25">
      <c r="A224" s="2"/>
      <c r="B224" s="178"/>
      <c r="C224" s="178"/>
      <c r="D224" s="1242"/>
      <c r="E224" s="1243" t="str">
        <f>Translations!$B$1489</f>
        <v>Preliminär justering</v>
      </c>
      <c r="F224" s="1244"/>
      <c r="G224" s="1244"/>
      <c r="H224" s="1228" t="str">
        <f>EUconst_Unit</f>
        <v>Enhet</v>
      </c>
      <c r="I224" s="1229" t="str">
        <f>Translations!$B$1472</f>
        <v>HAL</v>
      </c>
      <c r="J224" s="1268">
        <f>J$950</f>
        <v>2021</v>
      </c>
      <c r="K224" s="1230">
        <f>K$950</f>
        <v>2022</v>
      </c>
      <c r="L224" s="1230">
        <f>L$950</f>
        <v>2023</v>
      </c>
      <c r="M224" s="1230">
        <f>M$950</f>
        <v>2024</v>
      </c>
      <c r="N224" s="1258">
        <f>N$950</f>
        <v>2025</v>
      </c>
      <c r="O224" s="15"/>
      <c r="P224" s="6"/>
      <c r="Q224" s="343"/>
      <c r="R224" s="2"/>
      <c r="S224" s="343"/>
      <c r="T224" s="343"/>
      <c r="U224" s="772"/>
      <c r="V224" s="1077">
        <f>J224</f>
        <v>2021</v>
      </c>
      <c r="W224" s="1077">
        <f>K224</f>
        <v>2022</v>
      </c>
      <c r="X224" s="1077">
        <f>L224</f>
        <v>2023</v>
      </c>
      <c r="Y224" s="1077">
        <f>M224</f>
        <v>2024</v>
      </c>
      <c r="Z224" s="1078">
        <f>N224</f>
        <v>2025</v>
      </c>
      <c r="AA224" s="2"/>
      <c r="AB224" s="343"/>
      <c r="AC224" s="2"/>
      <c r="AD224" s="2"/>
      <c r="AE224" s="349"/>
      <c r="AF224" s="349"/>
      <c r="AG224" s="349"/>
      <c r="AH224" s="349"/>
      <c r="AI224" s="349"/>
      <c r="AJ224" s="349"/>
      <c r="AK224" s="349"/>
      <c r="AL224" s="349"/>
      <c r="AM224" s="349"/>
    </row>
    <row r="225" spans="1:39" ht="12.75" customHeight="1" x14ac:dyDescent="0.25">
      <c r="A225" s="2"/>
      <c r="B225" s="178"/>
      <c r="C225" s="178"/>
      <c r="D225" s="1246" t="s">
        <v>9</v>
      </c>
      <c r="E225" s="1231" t="str">
        <f>Translations!$B$1473</f>
        <v>Genomsnittlig årlig verksamhetsnivå</v>
      </c>
      <c r="F225" s="1231"/>
      <c r="G225" s="1231"/>
      <c r="H225" s="1232" t="str">
        <f>G217</f>
        <v>TJ</v>
      </c>
      <c r="I225" s="1021" t="str">
        <f>IF(V209&gt;($J$950-3),EUconst_NA,INDEX('B+C_SubInstallations'!$I:$I,MATCH(Q225,'B+C_SubInstallations'!$T:$T,0)))</f>
        <v/>
      </c>
      <c r="J225" s="1022" t="str">
        <f>IF(AND(V225&gt;=3,CNTR_ReportingYear&gt;J224-1),AVERAGE(SUM(H217),SUM(I217)),"")</f>
        <v/>
      </c>
      <c r="K225" s="1023" t="str">
        <f>IF(AND(W225&gt;=3,CNTR_ReportingYear&gt;K224-1),AVERAGE(SUM(I217),SUM(J217)),"")</f>
        <v/>
      </c>
      <c r="L225" s="1023" t="str">
        <f>IF(AND(X225&gt;=3,CNTR_ReportingYear&gt;L224-1),AVERAGE(SUM(J217),SUM(K217)),"")</f>
        <v/>
      </c>
      <c r="M225" s="1023" t="str">
        <f>IF(AND(Y225&gt;=3,CNTR_ReportingYear&gt;M224-1),AVERAGE(SUM(K217),SUM(L217)),"")</f>
        <v/>
      </c>
      <c r="N225" s="1226" t="str">
        <f>IF(AND(Z225&gt;=3,CNTR_ReportingYear&gt;N224-1),AVERAGE(SUM(L217),SUM(M217)),"")</f>
        <v/>
      </c>
      <c r="O225" s="15"/>
      <c r="P225" s="6"/>
      <c r="Q225" s="1217" t="str">
        <f>EUconst_CNTR_HALinitial&amp;I209</f>
        <v>HALini_Delanläggning med värmeriktmärke, ej KL</v>
      </c>
      <c r="R225" s="2"/>
      <c r="S225" s="343"/>
      <c r="T225" s="343"/>
      <c r="U225" s="1079" t="s">
        <v>1850</v>
      </c>
      <c r="V225" s="9">
        <f>IF($M209&lt;&gt;EUconst_Relevant,0,V224-$V209+1)</f>
        <v>0</v>
      </c>
      <c r="W225" s="9">
        <f>IF($M209&lt;&gt;EUconst_Relevant,0,W224-$V209+1)</f>
        <v>0</v>
      </c>
      <c r="X225" s="9">
        <f>IF($M209&lt;&gt;EUconst_Relevant,0,X224-$V209+1)</f>
        <v>0</v>
      </c>
      <c r="Y225" s="9">
        <f>IF($M209&lt;&gt;EUconst_Relevant,0,Y224-$V209+1)</f>
        <v>0</v>
      </c>
      <c r="Z225" s="1089">
        <f>IF($M209&lt;&gt;EUconst_Relevant,0,Z224-$V209+1)</f>
        <v>0</v>
      </c>
      <c r="AA225" s="2"/>
      <c r="AB225" s="343"/>
      <c r="AC225" s="2"/>
      <c r="AD225" s="2"/>
      <c r="AE225" s="349"/>
      <c r="AF225" s="349"/>
      <c r="AG225" s="349"/>
      <c r="AH225" s="349"/>
      <c r="AI225" s="349"/>
      <c r="AJ225" s="349"/>
      <c r="AK225" s="349"/>
      <c r="AL225" s="349"/>
      <c r="AM225" s="349"/>
    </row>
    <row r="226" spans="1:39" ht="12.75" hidden="1" customHeight="1" x14ac:dyDescent="0.25">
      <c r="A226" s="343" t="s">
        <v>346</v>
      </c>
      <c r="B226" s="178"/>
      <c r="C226" s="178"/>
      <c r="D226" s="1246"/>
      <c r="E226" s="1231" t="s">
        <v>1848</v>
      </c>
      <c r="F226" s="1231"/>
      <c r="G226" s="1231"/>
      <c r="H226" s="1233"/>
      <c r="I226" s="1235"/>
      <c r="J226" s="1013" t="str">
        <f>IF(J225="","",IF($I228=0,IF(J225=0,0%,100%),J225/$I228-1))</f>
        <v/>
      </c>
      <c r="K226" s="938" t="str">
        <f>IF(K225="","",IF($I228=0,IF(K225=0,0%,100%),K225/$I228-1))</f>
        <v/>
      </c>
      <c r="L226" s="938" t="str">
        <f>IF(L225="","",IF($I228=0,IF(L225=0,0%,100%),L225/$I228-1))</f>
        <v/>
      </c>
      <c r="M226" s="938" t="str">
        <f>IF(M225="","",IF($I228=0,IF(M225=0,0%,100%),M225/$I228-1))</f>
        <v/>
      </c>
      <c r="N226" s="1223" t="str">
        <f>IF(N225="","",IF($I228=0,IF(N225=0,0%,100%),N225/$I228-1))</f>
        <v/>
      </c>
      <c r="O226" s="15"/>
      <c r="P226" s="6"/>
      <c r="Q226" s="165" t="str">
        <f>EUconst_CNTR_RelThreshold &amp;I209</f>
        <v>RelThresh_Delanläggning med värmeriktmärke, ej KL</v>
      </c>
      <c r="R226" s="2"/>
      <c r="S226" s="343"/>
      <c r="T226" s="343"/>
      <c r="U226" s="1079" t="s">
        <v>1855</v>
      </c>
      <c r="V226" s="603" t="str">
        <f>IF(J225="","",ABS(J226)&gt;15%)</f>
        <v/>
      </c>
      <c r="W226" s="603" t="str">
        <f>IF(K225="","",ABS(K226)&gt;15%)</f>
        <v/>
      </c>
      <c r="X226" s="603" t="str">
        <f>IF(L225="","",ABS(L226)&gt;15%)</f>
        <v/>
      </c>
      <c r="Y226" s="603" t="str">
        <f>IF(M225="","",ABS(M226)&gt;15%)</f>
        <v/>
      </c>
      <c r="Z226" s="1756" t="str">
        <f>IF(N225="","",ABS(N226)&gt;15%)</f>
        <v/>
      </c>
      <c r="AA226" s="2"/>
      <c r="AB226" s="343"/>
      <c r="AC226" s="2"/>
      <c r="AD226" s="2"/>
      <c r="AE226" s="349"/>
      <c r="AF226" s="349"/>
      <c r="AG226" s="349"/>
      <c r="AH226" s="349"/>
      <c r="AI226" s="349"/>
      <c r="AJ226" s="349"/>
      <c r="AK226" s="349"/>
      <c r="AL226" s="349"/>
      <c r="AM226" s="349"/>
    </row>
    <row r="227" spans="1:39" ht="12.75" customHeight="1" x14ac:dyDescent="0.25">
      <c r="A227" s="343"/>
      <c r="B227" s="178"/>
      <c r="C227" s="178"/>
      <c r="D227" s="1246" t="s">
        <v>10</v>
      </c>
      <c r="E227" s="1231" t="str">
        <f>Translations!$B$1474</f>
        <v>Preliminär justering (om relativa tröskelvärden överskrids)</v>
      </c>
      <c r="F227" s="1231"/>
      <c r="G227" s="1231"/>
      <c r="H227" s="1233"/>
      <c r="I227" s="1235"/>
      <c r="J227" s="992" t="str">
        <f>IF(J225="","",IF(V226=FALSE,0%,IF(V227,J226,I325)))</f>
        <v/>
      </c>
      <c r="K227" s="937" t="str">
        <f>IF(K225="","",IF(W226=FALSE,0%,IF(W227,K226,J325)))</f>
        <v/>
      </c>
      <c r="L227" s="937" t="str">
        <f>IF(L225="","",IF(X226=FALSE,0%,IF(X227,L226,K325)))</f>
        <v/>
      </c>
      <c r="M227" s="937" t="str">
        <f>IF(M225="","",IF(Y226=FALSE,0%,IF(Y227,M226,L325)))</f>
        <v/>
      </c>
      <c r="N227" s="1220" t="str">
        <f>IF(N225="","",IF(Z226=FALSE,0%,IF(Z227,N226,M325)))</f>
        <v/>
      </c>
      <c r="O227" s="15"/>
      <c r="P227" s="6"/>
      <c r="Q227" s="343"/>
      <c r="R227" s="2"/>
      <c r="S227" s="343"/>
      <c r="T227" s="343"/>
      <c r="U227" s="1079" t="s">
        <v>1856</v>
      </c>
      <c r="V227" s="603" t="str">
        <f>IF(J225="","",AND(V226,IF(SUM(I325)&lt;0,OR(SUM(J226)&lt;SUM(I325)-MOD(SUM(I325),5%),J226&gt;=SUM(I325)+5%-MOD(SUM(I325),5%)),OR(SUM(J226)&lt;=SUM(I325)-MOD(SUM(I325),5%),SUM(J226)&gt;SUM(I325)+5%-MOD(SUM(I325),5%)))))</f>
        <v/>
      </c>
      <c r="W227" s="603" t="str">
        <f>IF(K225="","",AND(W226,IF(SUM(J325)&lt;0,OR(SUM(K226)&lt;SUM(J325)-MOD(SUM(J325),5%),K226&gt;=SUM(J325)+5%-MOD(SUM(J325),5%)),OR(SUM(K226)&lt;=SUM(J325)-MOD(SUM(J325),5%),SUM(K226)&gt;SUM(J325)+5%-MOD(SUM(J325),5%)))))</f>
        <v/>
      </c>
      <c r="X227" s="603" t="str">
        <f>IF(L225="","",AND(X226,IF(SUM(K325)&lt;0,OR(SUM(L226)&lt;SUM(K325)-MOD(SUM(K325),5%),L226&gt;=SUM(K325)+5%-MOD(SUM(K325),5%)),OR(SUM(L226)&lt;=SUM(K325)-MOD(SUM(K325),5%),SUM(L226)&gt;SUM(K325)+5%-MOD(SUM(K325),5%)))))</f>
        <v/>
      </c>
      <c r="Y227" s="603" t="str">
        <f>IF(M225="","",AND(Y226,IF(SUM(L325)&lt;0,OR(SUM(M226)&lt;SUM(L325)-MOD(SUM(L325),5%),M226&gt;=SUM(L325)+5%-MOD(SUM(L325),5%)),OR(SUM(M226)&lt;=SUM(L325)-MOD(SUM(L325),5%),SUM(M226)&gt;SUM(L325)+5%-MOD(SUM(L325),5%)))))</f>
        <v/>
      </c>
      <c r="Z227" s="1756" t="str">
        <f>IF(N225="","",AND(Z226,IF(SUM(M325)&lt;0,OR(SUM(N226)&lt;SUM(M325)-MOD(SUM(M325),5%),N226&gt;=SUM(M325)+5%-MOD(SUM(M325),5%)),OR(SUM(N226)&lt;=SUM(M325)-MOD(SUM(M325),5%),SUM(N226)&gt;SUM(M325)+5%-MOD(SUM(M325),5%)))))</f>
        <v/>
      </c>
      <c r="AA227" s="2"/>
      <c r="AB227" s="343"/>
      <c r="AC227" s="2"/>
      <c r="AD227" s="2"/>
      <c r="AE227" s="349"/>
      <c r="AF227" s="349"/>
      <c r="AG227" s="349"/>
      <c r="AH227" s="349"/>
      <c r="AI227" s="349"/>
      <c r="AJ227" s="349"/>
      <c r="AK227" s="349"/>
      <c r="AL227" s="349"/>
      <c r="AM227" s="349"/>
    </row>
    <row r="228" spans="1:39" ht="12.75" customHeight="1" thickBot="1" x14ac:dyDescent="0.3">
      <c r="A228" s="343"/>
      <c r="B228" s="178"/>
      <c r="C228" s="178"/>
      <c r="D228" s="1246" t="s">
        <v>23</v>
      </c>
      <c r="E228" s="1231" t="str">
        <f>Translations!$B$1490</f>
        <v>Preliminär verksamhetsnivå</v>
      </c>
      <c r="F228" s="1231"/>
      <c r="G228" s="1231"/>
      <c r="H228" s="1232" t="str">
        <f>H225</f>
        <v>TJ</v>
      </c>
      <c r="I228" s="1021" t="str">
        <f>IF(M209&lt;&gt;EUconst_Relevant,"",IF(AB209=FALSE,EUconst_NA,IF(V209&gt;($J$950-3),INDEX(H217:N217,MATCH($V209,H216:N216,0)),I225)))</f>
        <v/>
      </c>
      <c r="J228" s="1022" t="str">
        <f>IF($M209&lt;&gt;EUconst_Relevant,"",IF(V225&lt;2,SUM(J217),IF(V225&lt;3,SUM(I217),IF(V228="",I228,V228))))</f>
        <v/>
      </c>
      <c r="K228" s="1023" t="str">
        <f>IF($M209&lt;&gt;EUconst_Relevant,"",IF(W225&lt;2,SUM(K217),IF(W225&lt;3,SUM(J217),IF(W228="",J228,W228))))</f>
        <v/>
      </c>
      <c r="L228" s="1023" t="str">
        <f>IF($M209&lt;&gt;EUconst_Relevant,"",IF(X225&lt;2,SUM(L217),IF(X225&lt;3,SUM(K217),IF(X228="",K228,X228))))</f>
        <v/>
      </c>
      <c r="M228" s="1023" t="str">
        <f>IF($M209&lt;&gt;EUconst_Relevant,"",IF(Y225&lt;2,SUM(M217),IF(Y225&lt;3,SUM(L217),IF(Y228="",L228,Y228))))</f>
        <v/>
      </c>
      <c r="N228" s="1226" t="str">
        <f>IF($M209&lt;&gt;EUconst_Relevant,"",IF(Z225&lt;2,SUM(N217),IF(Z225&lt;3,SUM(M217),IF(Z228="",M228,Z228))))</f>
        <v/>
      </c>
      <c r="O228" s="918"/>
      <c r="P228" s="6"/>
      <c r="Q228" s="165" t="str">
        <f>EUconst_CNTR_HALprelim&amp;I209</f>
        <v>HALprelim_Delanläggning med värmeriktmärke, ej KL</v>
      </c>
      <c r="R228" s="2"/>
      <c r="S228" s="343"/>
      <c r="T228" s="343"/>
      <c r="U228" s="1082" t="s">
        <v>1851</v>
      </c>
      <c r="V228" s="1091" t="str">
        <f>IF(J225="","",IF(CNTR_ReportingYear&lt;J224,I227,IF($I228=0,J225,$I228*(1+J227))))</f>
        <v/>
      </c>
      <c r="W228" s="1091" t="str">
        <f>IF(K225="","",IF(CNTR_ReportingYear&lt;K224,J227,IF($I228=0,K225,$I228*(1+K227))))</f>
        <v/>
      </c>
      <c r="X228" s="1091" t="str">
        <f>IF(L225="","",IF(CNTR_ReportingYear&lt;L224,K227,IF($I228=0,L225,$I228*(1+L227))))</f>
        <v/>
      </c>
      <c r="Y228" s="1091" t="str">
        <f>IF(M225="","",IF(CNTR_ReportingYear&lt;M224,L227,IF($I228=0,M225,$I228*(1+M227))))</f>
        <v/>
      </c>
      <c r="Z228" s="1092" t="str">
        <f>IF(N225="","",IF(CNTR_ReportingYear&lt;N224,M227,IF($I228=0,N225,$I228*(1+N227))))</f>
        <v/>
      </c>
      <c r="AA228" s="2"/>
      <c r="AB228" s="2"/>
      <c r="AC228" s="2"/>
      <c r="AD228" s="2"/>
      <c r="AE228" s="349"/>
      <c r="AF228" s="349"/>
      <c r="AG228" s="349"/>
      <c r="AH228" s="349"/>
      <c r="AI228" s="349"/>
      <c r="AJ228" s="349"/>
      <c r="AK228" s="349"/>
      <c r="AL228" s="349"/>
      <c r="AM228" s="349"/>
    </row>
    <row r="229" spans="1:39" ht="5.15" customHeight="1" thickBot="1" x14ac:dyDescent="0.3">
      <c r="A229" s="343"/>
      <c r="B229" s="19"/>
      <c r="C229" s="3"/>
      <c r="D229" s="1249"/>
      <c r="E229" s="1250"/>
      <c r="F229" s="1250"/>
      <c r="G229" s="1250"/>
      <c r="H229" s="1250"/>
      <c r="I229" s="1250"/>
      <c r="J229" s="1250"/>
      <c r="K229" s="1250"/>
      <c r="L229" s="1250"/>
      <c r="M229" s="1250"/>
      <c r="N229" s="1289"/>
      <c r="O229" s="6"/>
      <c r="P229" s="6"/>
      <c r="Q229" s="2"/>
      <c r="R229" s="2"/>
      <c r="S229" s="343"/>
      <c r="T229" s="343"/>
      <c r="U229" s="2"/>
      <c r="V229" s="2"/>
      <c r="W229" s="2"/>
      <c r="X229" s="2"/>
      <c r="Y229" s="2"/>
      <c r="Z229" s="343"/>
      <c r="AA229" s="343"/>
      <c r="AB229" s="343"/>
      <c r="AC229" s="2"/>
      <c r="AD229" s="2"/>
      <c r="AE229" s="349"/>
      <c r="AF229" s="349"/>
      <c r="AG229" s="349"/>
      <c r="AH229" s="349"/>
      <c r="AI229" s="349"/>
      <c r="AJ229" s="349"/>
      <c r="AK229" s="349"/>
      <c r="AL229" s="349"/>
      <c r="AM229" s="349"/>
    </row>
    <row r="230" spans="1:39" ht="5.15" customHeight="1" x14ac:dyDescent="0.25">
      <c r="A230" s="343"/>
      <c r="B230" s="19"/>
      <c r="C230" s="3"/>
      <c r="D230" s="3"/>
      <c r="E230" s="3"/>
      <c r="F230" s="3"/>
      <c r="G230" s="3"/>
      <c r="H230" s="3"/>
      <c r="I230" s="3"/>
      <c r="J230" s="3"/>
      <c r="K230" s="3"/>
      <c r="L230" s="3"/>
      <c r="M230" s="3"/>
      <c r="N230" s="3"/>
      <c r="O230" s="6"/>
      <c r="P230" s="6"/>
      <c r="Q230" s="2"/>
      <c r="R230" s="2"/>
      <c r="S230" s="343"/>
      <c r="T230" s="343"/>
      <c r="U230" s="2"/>
      <c r="V230" s="2"/>
      <c r="W230" s="2"/>
      <c r="X230" s="2"/>
      <c r="Y230" s="2"/>
      <c r="Z230" s="343"/>
      <c r="AA230" s="343"/>
      <c r="AB230" s="343"/>
      <c r="AC230" s="2"/>
      <c r="AD230" s="2"/>
      <c r="AE230" s="349"/>
      <c r="AF230" s="349"/>
      <c r="AG230" s="349"/>
      <c r="AH230" s="349"/>
      <c r="AI230" s="349"/>
      <c r="AJ230" s="349"/>
      <c r="AK230" s="349"/>
      <c r="AL230" s="349"/>
      <c r="AM230" s="349"/>
    </row>
    <row r="231" spans="1:39" ht="14" x14ac:dyDescent="0.3">
      <c r="A231" s="343"/>
      <c r="B231" s="19"/>
      <c r="C231" s="18"/>
      <c r="D231" s="2053" t="str">
        <f>Translations!$B$541</f>
        <v>Produktionsuppgifter</v>
      </c>
      <c r="E231" s="1963"/>
      <c r="F231" s="1963"/>
      <c r="G231" s="1963"/>
      <c r="H231" s="1963"/>
      <c r="I231" s="1963"/>
      <c r="J231" s="1963"/>
      <c r="K231" s="1963"/>
      <c r="L231" s="1963"/>
      <c r="M231" s="1963"/>
      <c r="N231" s="1963"/>
      <c r="O231" s="6"/>
      <c r="P231" s="6"/>
      <c r="Q231" s="2"/>
      <c r="R231" s="2"/>
      <c r="S231" s="2"/>
      <c r="T231" s="2"/>
      <c r="U231" s="2"/>
      <c r="V231" s="2"/>
      <c r="W231" s="2"/>
      <c r="X231" s="2"/>
      <c r="Y231" s="2"/>
      <c r="Z231" s="343"/>
      <c r="AA231" s="343"/>
      <c r="AB231" s="343"/>
      <c r="AC231" s="2"/>
      <c r="AD231" s="2"/>
      <c r="AE231" s="349"/>
      <c r="AF231" s="349"/>
      <c r="AG231" s="349"/>
      <c r="AH231" s="349"/>
      <c r="AI231" s="349"/>
      <c r="AJ231" s="349"/>
      <c r="AK231" s="349"/>
      <c r="AL231" s="349"/>
      <c r="AM231" s="349"/>
    </row>
    <row r="232" spans="1:39" ht="5.15" customHeight="1" x14ac:dyDescent="0.25">
      <c r="A232" s="343"/>
      <c r="B232" s="3"/>
      <c r="C232" s="3"/>
      <c r="D232" s="3"/>
      <c r="E232" s="3"/>
      <c r="F232" s="3"/>
      <c r="G232" s="3"/>
      <c r="H232" s="3"/>
      <c r="I232" s="3"/>
      <c r="J232" s="3"/>
      <c r="K232" s="3"/>
      <c r="L232" s="3"/>
      <c r="M232" s="3"/>
      <c r="N232" s="3"/>
      <c r="O232" s="6"/>
      <c r="P232" s="6"/>
      <c r="Q232" s="7"/>
      <c r="R232" s="7"/>
      <c r="S232" s="2"/>
      <c r="T232" s="2"/>
      <c r="U232" s="2"/>
      <c r="V232" s="2"/>
      <c r="W232" s="2"/>
      <c r="X232" s="2"/>
      <c r="Y232" s="2"/>
      <c r="Z232" s="343"/>
      <c r="AA232" s="343"/>
      <c r="AB232" s="343"/>
      <c r="AC232" s="2"/>
      <c r="AD232" s="2"/>
      <c r="AE232" s="349"/>
      <c r="AF232" s="349"/>
      <c r="AG232" s="349"/>
      <c r="AH232" s="349"/>
      <c r="AI232" s="349"/>
      <c r="AJ232" s="349"/>
      <c r="AK232" s="349"/>
      <c r="AL232" s="349"/>
      <c r="AM232" s="349"/>
    </row>
    <row r="233" spans="1:39" ht="12.75" customHeight="1" x14ac:dyDescent="0.25">
      <c r="A233" s="2"/>
      <c r="B233" s="3"/>
      <c r="C233" s="13"/>
      <c r="D233" s="13" t="s">
        <v>955</v>
      </c>
      <c r="E233" s="1943" t="str">
        <f>Translations!$B$666</f>
        <v>Identifiering av relevanta produkter eller tjänster med koppling till delanläggningen</v>
      </c>
      <c r="F233" s="1963"/>
      <c r="G233" s="1963"/>
      <c r="H233" s="1963"/>
      <c r="I233" s="1963"/>
      <c r="J233" s="1963"/>
      <c r="K233" s="1963"/>
      <c r="L233" s="1963"/>
      <c r="M233" s="1963"/>
      <c r="N233" s="1963"/>
      <c r="O233" s="6"/>
      <c r="P233" s="6"/>
      <c r="Q233" s="7"/>
      <c r="R233" s="2"/>
      <c r="S233" s="2"/>
      <c r="T233" s="2"/>
      <c r="U233" s="2"/>
      <c r="V233" s="2"/>
      <c r="W233" s="2"/>
      <c r="X233" s="2"/>
      <c r="Y233" s="2"/>
      <c r="Z233" s="2"/>
      <c r="AA233" s="2"/>
      <c r="AB233" s="343"/>
      <c r="AC233" s="2"/>
      <c r="AD233" s="2"/>
      <c r="AE233" s="349"/>
      <c r="AF233" s="349"/>
      <c r="AG233" s="349"/>
      <c r="AH233" s="349"/>
      <c r="AI233" s="349"/>
      <c r="AJ233" s="349"/>
      <c r="AK233" s="349"/>
      <c r="AL233" s="349"/>
      <c r="AM233" s="349"/>
    </row>
    <row r="234" spans="1:39" ht="12.75" customHeight="1" x14ac:dyDescent="0.25">
      <c r="A234" s="343"/>
      <c r="B234" s="3"/>
      <c r="C234" s="15"/>
      <c r="D234" s="15"/>
      <c r="E234" s="2061" t="str">
        <f>Translations!$B$667</f>
        <v>Var god ange vilka produktionsprocesser eller tjänster som är kopplade till delanläggningen. Detta kan innefatta följande:</v>
      </c>
      <c r="F234" s="1963"/>
      <c r="G234" s="1963"/>
      <c r="H234" s="1963"/>
      <c r="I234" s="1963"/>
      <c r="J234" s="1963"/>
      <c r="K234" s="1963"/>
      <c r="L234" s="1963"/>
      <c r="M234" s="1963"/>
      <c r="N234" s="1963"/>
      <c r="O234" s="6"/>
      <c r="P234" s="6"/>
      <c r="Q234" s="7"/>
      <c r="R234" s="7"/>
      <c r="S234" s="7"/>
      <c r="T234" s="7"/>
      <c r="U234" s="7"/>
      <c r="V234" s="7"/>
      <c r="W234" s="7"/>
      <c r="X234" s="7"/>
      <c r="Y234" s="7"/>
      <c r="Z234" s="7"/>
      <c r="AA234" s="7"/>
      <c r="AB234" s="343"/>
      <c r="AC234" s="2"/>
      <c r="AD234" s="2"/>
      <c r="AE234" s="349"/>
      <c r="AF234" s="349"/>
      <c r="AG234" s="349"/>
      <c r="AH234" s="349"/>
      <c r="AI234" s="349"/>
      <c r="AJ234" s="349"/>
      <c r="AK234" s="349"/>
      <c r="AL234" s="349"/>
      <c r="AM234" s="349"/>
    </row>
    <row r="235" spans="1:39" ht="12.75" customHeight="1" x14ac:dyDescent="0.25">
      <c r="A235" s="2"/>
      <c r="B235" s="3"/>
      <c r="C235" s="15"/>
      <c r="D235" s="15"/>
      <c r="E235" s="92" t="s">
        <v>1006</v>
      </c>
      <c r="F235" s="2061" t="str">
        <f>Translations!$B$668</f>
        <v>Produktion av varor som inte omfattas av produktriktmärken inom delanläggningen (var god ange produkttyper).</v>
      </c>
      <c r="G235" s="1963"/>
      <c r="H235" s="1963"/>
      <c r="I235" s="1963"/>
      <c r="J235" s="1963"/>
      <c r="K235" s="1963"/>
      <c r="L235" s="1963"/>
      <c r="M235" s="1963"/>
      <c r="N235" s="1963"/>
      <c r="O235" s="6"/>
      <c r="P235" s="6"/>
      <c r="Q235" s="7"/>
      <c r="R235" s="7"/>
      <c r="S235" s="7"/>
      <c r="T235" s="7"/>
      <c r="U235" s="7"/>
      <c r="V235" s="7"/>
      <c r="W235" s="7"/>
      <c r="X235" s="7"/>
      <c r="Y235" s="7"/>
      <c r="Z235" s="7"/>
      <c r="AA235" s="7"/>
      <c r="AB235" s="343"/>
      <c r="AC235" s="2"/>
      <c r="AD235" s="2"/>
      <c r="AE235" s="349"/>
      <c r="AF235" s="349"/>
      <c r="AG235" s="349"/>
      <c r="AH235" s="349"/>
      <c r="AI235" s="349"/>
      <c r="AJ235" s="349"/>
      <c r="AK235" s="349"/>
      <c r="AL235" s="349"/>
      <c r="AM235" s="349"/>
    </row>
    <row r="236" spans="1:39" ht="12.75" customHeight="1" x14ac:dyDescent="0.25">
      <c r="A236" s="2"/>
      <c r="B236" s="3"/>
      <c r="C236" s="15"/>
      <c r="D236" s="15"/>
      <c r="E236" s="92" t="s">
        <v>1006</v>
      </c>
      <c r="F236" s="2061" t="str">
        <f>Translations!$B$669</f>
        <v>Produktion av mekanisk energi, värmning eller kylning (alla användningssätt förutom elproduktion).</v>
      </c>
      <c r="G236" s="1963"/>
      <c r="H236" s="1963"/>
      <c r="I236" s="1963"/>
      <c r="J236" s="1963"/>
      <c r="K236" s="1963"/>
      <c r="L236" s="1963"/>
      <c r="M236" s="1963"/>
      <c r="N236" s="1963"/>
      <c r="O236" s="6"/>
      <c r="P236" s="6"/>
      <c r="Q236" s="7"/>
      <c r="R236" s="7"/>
      <c r="S236" s="7"/>
      <c r="T236" s="7"/>
      <c r="U236" s="7"/>
      <c r="V236" s="7"/>
      <c r="W236" s="7"/>
      <c r="X236" s="7"/>
      <c r="Y236" s="7"/>
      <c r="Z236" s="2"/>
      <c r="AA236" s="2"/>
      <c r="AB236" s="343"/>
      <c r="AC236" s="2"/>
      <c r="AD236" s="2"/>
      <c r="AE236" s="349"/>
      <c r="AF236" s="349"/>
      <c r="AG236" s="349"/>
      <c r="AH236" s="349"/>
      <c r="AI236" s="349"/>
      <c r="AJ236" s="349"/>
      <c r="AK236" s="349"/>
      <c r="AL236" s="349"/>
      <c r="AM236" s="349"/>
    </row>
    <row r="237" spans="1:39" ht="12.75" customHeight="1" x14ac:dyDescent="0.25">
      <c r="A237" s="2"/>
      <c r="B237" s="3"/>
      <c r="C237" s="15"/>
      <c r="D237" s="15"/>
      <c r="E237" s="92" t="s">
        <v>1006</v>
      </c>
      <c r="F237" s="2061" t="str">
        <f>Translations!$B$670</f>
        <v>Export av värme till anläggningar eller andra enheter (utom för fjärrvärme). I detta fall, var god ange värmeanvändningen vid anläggningen eller enheten, om denna är känd.</v>
      </c>
      <c r="G237" s="1963"/>
      <c r="H237" s="1963"/>
      <c r="I237" s="1963"/>
      <c r="J237" s="1963"/>
      <c r="K237" s="1963"/>
      <c r="L237" s="1963"/>
      <c r="M237" s="1963"/>
      <c r="N237" s="1963"/>
      <c r="O237" s="6"/>
      <c r="P237" s="6"/>
      <c r="Q237" s="7"/>
      <c r="R237" s="7"/>
      <c r="S237" s="7"/>
      <c r="T237" s="7"/>
      <c r="U237" s="7"/>
      <c r="V237" s="7"/>
      <c r="W237" s="7"/>
      <c r="X237" s="7"/>
      <c r="Y237" s="7"/>
      <c r="Z237" s="2"/>
      <c r="AA237" s="2"/>
      <c r="AB237" s="343"/>
      <c r="AC237" s="2"/>
      <c r="AD237" s="2"/>
      <c r="AE237" s="349"/>
      <c r="AF237" s="349"/>
      <c r="AG237" s="349"/>
      <c r="AH237" s="349"/>
      <c r="AI237" s="349"/>
      <c r="AJ237" s="349"/>
      <c r="AK237" s="349"/>
      <c r="AL237" s="349"/>
      <c r="AM237" s="349"/>
    </row>
    <row r="238" spans="1:39" ht="25.5" customHeight="1" x14ac:dyDescent="0.25">
      <c r="A238" s="2"/>
      <c r="B238" s="3"/>
      <c r="C238" s="15"/>
      <c r="D238" s="15"/>
      <c r="E238" s="2061" t="str">
        <f>Translations!$B$543</f>
        <v>Prodcom-koder ska anges i formatet ”nnnnnnnn”, dvs. utan punkter eller andra avgränsare. Endast om Prodcom-koder inte finns ska en Nace-kod på fyra siffror anges i formatet ”nnnn”.</v>
      </c>
      <c r="F238" s="1963"/>
      <c r="G238" s="1963"/>
      <c r="H238" s="1963"/>
      <c r="I238" s="1963"/>
      <c r="J238" s="1963"/>
      <c r="K238" s="1963"/>
      <c r="L238" s="1963"/>
      <c r="M238" s="1963"/>
      <c r="N238" s="1963"/>
      <c r="O238" s="6"/>
      <c r="P238" s="6"/>
      <c r="Q238" s="7"/>
      <c r="R238" s="2"/>
      <c r="S238" s="2"/>
      <c r="T238" s="2"/>
      <c r="U238" s="2"/>
      <c r="V238" s="2"/>
      <c r="W238" s="2"/>
      <c r="X238" s="2"/>
      <c r="Y238" s="2"/>
      <c r="Z238" s="2"/>
      <c r="AA238" s="2"/>
      <c r="AB238" s="343"/>
      <c r="AC238" s="2"/>
      <c r="AD238" s="2"/>
      <c r="AE238" s="349"/>
      <c r="AF238" s="349"/>
      <c r="AG238" s="349"/>
      <c r="AH238" s="349"/>
      <c r="AI238" s="349"/>
      <c r="AJ238" s="349"/>
      <c r="AK238" s="349"/>
      <c r="AL238" s="349"/>
      <c r="AM238" s="349"/>
    </row>
    <row r="239" spans="1:39" ht="12.75" customHeight="1" x14ac:dyDescent="0.25">
      <c r="A239" s="2"/>
      <c r="B239" s="3"/>
      <c r="C239" s="15"/>
      <c r="D239" s="15"/>
      <c r="E239" s="2061" t="str">
        <f>Translations!$B$544</f>
        <v>En förteckning över 2010 års Prodcom-koder finns här:</v>
      </c>
      <c r="F239" s="1963"/>
      <c r="G239" s="1963"/>
      <c r="H239" s="1963"/>
      <c r="I239" s="1963"/>
      <c r="J239" s="1963"/>
      <c r="K239" s="1963"/>
      <c r="L239" s="1963"/>
      <c r="M239" s="1963"/>
      <c r="N239" s="1963"/>
      <c r="O239" s="6"/>
      <c r="P239" s="6"/>
      <c r="Q239" s="7"/>
      <c r="R239" s="2"/>
      <c r="S239" s="2"/>
      <c r="T239" s="2"/>
      <c r="U239" s="2"/>
      <c r="V239" s="2"/>
      <c r="W239" s="2"/>
      <c r="X239" s="2"/>
      <c r="Y239" s="2"/>
      <c r="Z239" s="2"/>
      <c r="AA239" s="2"/>
      <c r="AB239" s="343"/>
      <c r="AC239" s="2"/>
      <c r="AD239" s="2"/>
      <c r="AE239" s="349"/>
      <c r="AF239" s="349"/>
      <c r="AG239" s="349"/>
      <c r="AH239" s="349"/>
      <c r="AI239" s="349"/>
      <c r="AJ239" s="349"/>
      <c r="AK239" s="349"/>
      <c r="AL239" s="349"/>
      <c r="AM239" s="349"/>
    </row>
    <row r="240" spans="1:39" ht="12.75" customHeight="1" x14ac:dyDescent="0.25">
      <c r="A240" s="2"/>
      <c r="B240" s="3"/>
      <c r="C240" s="15"/>
      <c r="D240" s="15"/>
      <c r="E240" s="2644" t="str">
        <f>Translations!$B$545</f>
        <v>http://ec.europa.eu/eurostat/ramon/nomenclatures/index.cfm?TargetUrl=LST_CLS_DLD&amp;StrNom=PRD_2010&amp;StrLanguageCode=EN&amp;StrLayoutCode=HIERARCHIC</v>
      </c>
      <c r="F240" s="2708"/>
      <c r="G240" s="2708"/>
      <c r="H240" s="2708"/>
      <c r="I240" s="2708"/>
      <c r="J240" s="2708"/>
      <c r="K240" s="2708"/>
      <c r="L240" s="2708"/>
      <c r="M240" s="2708"/>
      <c r="N240" s="2708"/>
      <c r="O240" s="6"/>
      <c r="P240" s="6"/>
      <c r="Q240" s="7"/>
      <c r="R240" s="2"/>
      <c r="S240" s="2"/>
      <c r="T240" s="2"/>
      <c r="U240" s="2"/>
      <c r="V240" s="2"/>
      <c r="W240" s="2"/>
      <c r="X240" s="2"/>
      <c r="Y240" s="2"/>
      <c r="Z240" s="2"/>
      <c r="AA240" s="2"/>
      <c r="AB240" s="343"/>
      <c r="AC240" s="2"/>
      <c r="AD240" s="2"/>
      <c r="AE240" s="349"/>
      <c r="AF240" s="349"/>
      <c r="AG240" s="349"/>
      <c r="AH240" s="349"/>
      <c r="AI240" s="349"/>
      <c r="AJ240" s="349"/>
      <c r="AK240" s="349"/>
      <c r="AL240" s="349"/>
      <c r="AM240" s="349"/>
    </row>
    <row r="241" spans="1:39" ht="12.75" customHeight="1" x14ac:dyDescent="0.25">
      <c r="A241" s="2"/>
      <c r="B241" s="3"/>
      <c r="C241" s="15"/>
      <c r="D241" s="15"/>
      <c r="E241" s="2061" t="str">
        <f>Translations!$B$671</f>
        <v>Nace-koder kan användas i stället för Prodcom-koder om flera liknande produkter inom samma Nace-grupp omfattas.</v>
      </c>
      <c r="F241" s="1963"/>
      <c r="G241" s="1963"/>
      <c r="H241" s="1963"/>
      <c r="I241" s="1963"/>
      <c r="J241" s="1963"/>
      <c r="K241" s="1963"/>
      <c r="L241" s="1963"/>
      <c r="M241" s="1963"/>
      <c r="N241" s="1963"/>
      <c r="O241" s="6"/>
      <c r="P241" s="6"/>
      <c r="Q241" s="7"/>
      <c r="R241" s="7"/>
      <c r="S241" s="7"/>
      <c r="T241" s="7"/>
      <c r="U241" s="7"/>
      <c r="V241" s="7"/>
      <c r="W241" s="7"/>
      <c r="X241" s="7"/>
      <c r="Y241" s="7"/>
      <c r="Z241" s="2"/>
      <c r="AA241" s="2"/>
      <c r="AB241" s="343"/>
      <c r="AC241" s="2"/>
      <c r="AD241" s="2"/>
      <c r="AE241" s="349"/>
      <c r="AF241" s="349"/>
      <c r="AG241" s="349"/>
      <c r="AH241" s="349"/>
      <c r="AI241" s="349"/>
      <c r="AJ241" s="349"/>
      <c r="AK241" s="349"/>
      <c r="AL241" s="349"/>
      <c r="AM241" s="349"/>
    </row>
    <row r="242" spans="1:39" ht="12.75" customHeight="1" x14ac:dyDescent="0.25">
      <c r="A242" s="2"/>
      <c r="B242" s="3"/>
      <c r="C242" s="15"/>
      <c r="D242" s="15"/>
      <c r="E242" s="2061" t="str">
        <f>Translations!$B$1491</f>
        <v>Om värmen exporteras kan den anslutna anläggning eller enhet som angetts i avsnitt A.V i bladet ”A_InstallationData” väljas.</v>
      </c>
      <c r="F242" s="1963"/>
      <c r="G242" s="1963"/>
      <c r="H242" s="1963"/>
      <c r="I242" s="1963"/>
      <c r="J242" s="1963"/>
      <c r="K242" s="1963"/>
      <c r="L242" s="1963"/>
      <c r="M242" s="1963"/>
      <c r="N242" s="1963"/>
      <c r="O242" s="6"/>
      <c r="P242" s="6"/>
      <c r="Q242" s="7"/>
      <c r="R242" s="7"/>
      <c r="S242" s="7"/>
      <c r="T242" s="7"/>
      <c r="U242" s="7"/>
      <c r="V242" s="7"/>
      <c r="W242" s="7"/>
      <c r="X242" s="7"/>
      <c r="Y242" s="7"/>
      <c r="Z242" s="2"/>
      <c r="AA242" s="2"/>
      <c r="AB242" s="343"/>
      <c r="AC242" s="2"/>
      <c r="AD242" s="2"/>
      <c r="AE242" s="349"/>
      <c r="AF242" s="349"/>
      <c r="AG242" s="349"/>
      <c r="AH242" s="349"/>
      <c r="AI242" s="349"/>
      <c r="AJ242" s="349"/>
      <c r="AK242" s="349"/>
      <c r="AL242" s="349"/>
      <c r="AM242" s="349"/>
    </row>
    <row r="243" spans="1:39" ht="5.15" customHeight="1" x14ac:dyDescent="0.25">
      <c r="A243" s="2"/>
      <c r="B243" s="3"/>
      <c r="C243" s="15"/>
      <c r="D243" s="15"/>
      <c r="E243" s="16"/>
      <c r="F243" s="16"/>
      <c r="G243" s="16"/>
      <c r="H243" s="16"/>
      <c r="I243" s="16"/>
      <c r="J243" s="20"/>
      <c r="K243" s="20"/>
      <c r="L243" s="20"/>
      <c r="M243" s="6"/>
      <c r="N243" s="6"/>
      <c r="O243" s="6"/>
      <c r="P243" s="6"/>
      <c r="Q243" s="7"/>
      <c r="R243" s="2"/>
      <c r="S243" s="2"/>
      <c r="T243" s="2"/>
      <c r="U243" s="2"/>
      <c r="V243" s="2"/>
      <c r="W243" s="2"/>
      <c r="X243" s="2"/>
      <c r="Y243" s="2"/>
      <c r="Z243" s="2"/>
      <c r="AA243" s="2"/>
      <c r="AB243" s="343"/>
      <c r="AC243" s="2"/>
      <c r="AD243" s="2"/>
      <c r="AE243" s="349"/>
      <c r="AF243" s="349"/>
      <c r="AG243" s="349"/>
      <c r="AH243" s="349"/>
      <c r="AI243" s="349"/>
      <c r="AJ243" s="349"/>
      <c r="AK243" s="349"/>
      <c r="AL243" s="349"/>
      <c r="AM243" s="349"/>
    </row>
    <row r="244" spans="1:39" ht="26" x14ac:dyDescent="0.25">
      <c r="A244" s="2"/>
      <c r="B244" s="19"/>
      <c r="C244" s="13"/>
      <c r="D244" s="38"/>
      <c r="E244" s="2694" t="str">
        <f>Translations!$B$672</f>
        <v>Användningstyp</v>
      </c>
      <c r="F244" s="2695"/>
      <c r="G244" s="2694" t="str">
        <f>Translations!$B$673</f>
        <v>Inom anläggningen eller för export?</v>
      </c>
      <c r="H244" s="2695"/>
      <c r="I244" s="2694" t="str">
        <f>Translations!$B$674</f>
        <v>Produktnamn eller annan värmeexport än ”fjärrvärme”</v>
      </c>
      <c r="J244" s="2000"/>
      <c r="K244" s="2000"/>
      <c r="L244" s="2695"/>
      <c r="M244" s="321" t="s">
        <v>1030</v>
      </c>
      <c r="N244" s="6"/>
      <c r="O244" s="6"/>
      <c r="P244" s="6"/>
      <c r="Q244" s="2"/>
      <c r="R244" s="2"/>
      <c r="S244" s="310" t="s">
        <v>2177</v>
      </c>
      <c r="T244" s="2"/>
      <c r="U244" s="2"/>
      <c r="V244" s="2"/>
      <c r="W244" s="2"/>
      <c r="X244" s="2"/>
      <c r="Y244" s="2"/>
      <c r="Z244" s="7"/>
      <c r="AA244" s="7"/>
      <c r="AB244" s="343"/>
      <c r="AC244" s="2"/>
      <c r="AD244" s="2"/>
      <c r="AE244" s="349"/>
      <c r="AF244" s="349"/>
      <c r="AG244" s="349"/>
      <c r="AH244" s="349"/>
      <c r="AI244" s="349"/>
      <c r="AJ244" s="349"/>
      <c r="AK244" s="349"/>
      <c r="AL244" s="349"/>
      <c r="AM244" s="349"/>
    </row>
    <row r="245" spans="1:39" ht="12.75" customHeight="1" x14ac:dyDescent="0.25">
      <c r="A245" s="2"/>
      <c r="B245" s="19"/>
      <c r="C245" s="45"/>
      <c r="D245" s="32">
        <v>1</v>
      </c>
      <c r="E245" s="2365"/>
      <c r="F245" s="2363"/>
      <c r="G245" s="2692"/>
      <c r="H245" s="2693"/>
      <c r="I245" s="2696"/>
      <c r="J245" s="2697"/>
      <c r="K245" s="2697"/>
      <c r="L245" s="2698"/>
      <c r="M245" s="1167"/>
      <c r="N245" s="6"/>
      <c r="O245" s="6"/>
      <c r="P245" s="1362"/>
      <c r="Q245" s="2"/>
      <c r="R245" s="553"/>
      <c r="S245" s="108" t="b">
        <f>TRUE</f>
        <v>1</v>
      </c>
      <c r="T245" s="1915" t="s">
        <v>2305</v>
      </c>
      <c r="U245" s="2"/>
      <c r="V245" s="2"/>
      <c r="W245" s="2"/>
      <c r="X245" s="2"/>
      <c r="Y245" s="2"/>
      <c r="Z245" s="2"/>
      <c r="AA245" s="2"/>
      <c r="AB245" s="343"/>
      <c r="AC245" s="2"/>
      <c r="AD245" s="2"/>
      <c r="AE245" s="349"/>
      <c r="AF245" s="349"/>
      <c r="AG245" s="349"/>
      <c r="AH245" s="349"/>
      <c r="AI245" s="349"/>
      <c r="AJ245" s="349"/>
      <c r="AK245" s="553" t="s">
        <v>2248</v>
      </c>
      <c r="AL245" s="663" t="str">
        <f>IF(AND($M209=EUconst_Relevant,COUNTA(E245:L245)&lt;3),EUconst_Error&amp;"FB"&amp;Q209,"")</f>
        <v/>
      </c>
      <c r="AM245" s="349"/>
    </row>
    <row r="246" spans="1:39" ht="12.75" customHeight="1" x14ac:dyDescent="0.25">
      <c r="A246" s="2"/>
      <c r="B246" s="19"/>
      <c r="C246" s="45"/>
      <c r="D246" s="33">
        <f>D245+1</f>
        <v>2</v>
      </c>
      <c r="E246" s="2195"/>
      <c r="F246" s="2194"/>
      <c r="G246" s="2690"/>
      <c r="H246" s="2691"/>
      <c r="I246" s="2687"/>
      <c r="J246" s="2688"/>
      <c r="K246" s="2688"/>
      <c r="L246" s="2689"/>
      <c r="M246" s="433"/>
      <c r="N246" s="6"/>
      <c r="O246" s="6"/>
      <c r="P246" s="1362"/>
      <c r="Q246" s="2"/>
      <c r="R246" s="2"/>
      <c r="S246" s="108" t="b">
        <f>TRUE</f>
        <v>1</v>
      </c>
      <c r="T246" s="2"/>
      <c r="U246" s="2"/>
      <c r="V246" s="2"/>
      <c r="W246" s="2"/>
      <c r="X246" s="2"/>
      <c r="Y246" s="2"/>
      <c r="Z246" s="2"/>
      <c r="AA246" s="2"/>
      <c r="AB246" s="343"/>
      <c r="AC246" s="2"/>
      <c r="AD246" s="2"/>
      <c r="AE246" s="349"/>
      <c r="AF246" s="349"/>
      <c r="AG246" s="349"/>
      <c r="AH246" s="349"/>
      <c r="AI246" s="349"/>
      <c r="AJ246" s="349"/>
      <c r="AK246" s="349"/>
      <c r="AL246" s="349"/>
      <c r="AM246" s="349"/>
    </row>
    <row r="247" spans="1:39" ht="12.75" customHeight="1" x14ac:dyDescent="0.25">
      <c r="A247" s="2"/>
      <c r="B247" s="19"/>
      <c r="C247" s="45"/>
      <c r="D247" s="33">
        <f t="shared" ref="D247:D254" si="96">D246+1</f>
        <v>3</v>
      </c>
      <c r="E247" s="2195"/>
      <c r="F247" s="2194"/>
      <c r="G247" s="2690"/>
      <c r="H247" s="2691"/>
      <c r="I247" s="2687"/>
      <c r="J247" s="2688"/>
      <c r="K247" s="2688"/>
      <c r="L247" s="2689"/>
      <c r="M247" s="433"/>
      <c r="N247" s="6"/>
      <c r="O247" s="6"/>
      <c r="P247" s="1362"/>
      <c r="Q247" s="2"/>
      <c r="R247" s="2"/>
      <c r="S247" s="108" t="b">
        <f>TRUE</f>
        <v>1</v>
      </c>
      <c r="T247" s="2"/>
      <c r="U247" s="2"/>
      <c r="V247" s="2"/>
      <c r="W247" s="2"/>
      <c r="X247" s="2"/>
      <c r="Y247" s="2"/>
      <c r="Z247" s="2"/>
      <c r="AA247" s="2"/>
      <c r="AB247" s="343"/>
      <c r="AC247" s="2"/>
      <c r="AD247" s="2"/>
      <c r="AE247" s="349"/>
      <c r="AF247" s="349"/>
      <c r="AG247" s="349"/>
      <c r="AH247" s="349"/>
      <c r="AI247" s="349"/>
      <c r="AJ247" s="349"/>
      <c r="AK247" s="349"/>
      <c r="AL247" s="349"/>
      <c r="AM247" s="349"/>
    </row>
    <row r="248" spans="1:39" ht="12.75" customHeight="1" x14ac:dyDescent="0.25">
      <c r="A248" s="2"/>
      <c r="B248" s="19"/>
      <c r="C248" s="45"/>
      <c r="D248" s="33">
        <f t="shared" si="96"/>
        <v>4</v>
      </c>
      <c r="E248" s="2195"/>
      <c r="F248" s="2194"/>
      <c r="G248" s="2690"/>
      <c r="H248" s="2691"/>
      <c r="I248" s="2687"/>
      <c r="J248" s="2688"/>
      <c r="K248" s="2688"/>
      <c r="L248" s="2689"/>
      <c r="M248" s="433"/>
      <c r="N248" s="6"/>
      <c r="O248" s="6"/>
      <c r="P248" s="1362"/>
      <c r="Q248" s="2"/>
      <c r="R248" s="2"/>
      <c r="S248" s="108" t="b">
        <f>TRUE</f>
        <v>1</v>
      </c>
      <c r="T248" s="2"/>
      <c r="U248" s="2"/>
      <c r="V248" s="2"/>
      <c r="W248" s="2"/>
      <c r="X248" s="2"/>
      <c r="Y248" s="2"/>
      <c r="Z248" s="2"/>
      <c r="AA248" s="2"/>
      <c r="AB248" s="343"/>
      <c r="AC248" s="2"/>
      <c r="AD248" s="2"/>
      <c r="AE248" s="349"/>
      <c r="AF248" s="349"/>
      <c r="AG248" s="349"/>
      <c r="AH248" s="349"/>
      <c r="AI248" s="349"/>
      <c r="AJ248" s="349"/>
      <c r="AK248" s="349"/>
      <c r="AL248" s="349"/>
      <c r="AM248" s="349"/>
    </row>
    <row r="249" spans="1:39" ht="12.75" customHeight="1" x14ac:dyDescent="0.25">
      <c r="A249" s="2"/>
      <c r="B249" s="19"/>
      <c r="C249" s="45"/>
      <c r="D249" s="33">
        <f t="shared" si="96"/>
        <v>5</v>
      </c>
      <c r="E249" s="2195"/>
      <c r="F249" s="2194"/>
      <c r="G249" s="2690"/>
      <c r="H249" s="2691"/>
      <c r="I249" s="2269"/>
      <c r="J249" s="2688"/>
      <c r="K249" s="2688"/>
      <c r="L249" s="2689"/>
      <c r="M249" s="433"/>
      <c r="N249" s="6"/>
      <c r="O249" s="6"/>
      <c r="P249" s="1362"/>
      <c r="Q249" s="2"/>
      <c r="R249" s="2"/>
      <c r="S249" s="108" t="b">
        <f>TRUE</f>
        <v>1</v>
      </c>
      <c r="T249" s="2"/>
      <c r="U249" s="2"/>
      <c r="V249" s="2"/>
      <c r="W249" s="2"/>
      <c r="X249" s="2"/>
      <c r="Y249" s="2"/>
      <c r="Z249" s="7"/>
      <c r="AA249" s="7"/>
      <c r="AB249" s="343"/>
      <c r="AC249" s="2"/>
      <c r="AD249" s="2"/>
      <c r="AE249" s="349"/>
      <c r="AF249" s="349"/>
      <c r="AG249" s="349"/>
      <c r="AH249" s="349"/>
      <c r="AI249" s="349"/>
      <c r="AJ249" s="349"/>
      <c r="AK249" s="349"/>
      <c r="AL249" s="349"/>
      <c r="AM249" s="349"/>
    </row>
    <row r="250" spans="1:39" ht="12.75" customHeight="1" x14ac:dyDescent="0.25">
      <c r="A250" s="2"/>
      <c r="B250" s="19"/>
      <c r="C250" s="45"/>
      <c r="D250" s="33">
        <f t="shared" si="96"/>
        <v>6</v>
      </c>
      <c r="E250" s="2195"/>
      <c r="F250" s="2194"/>
      <c r="G250" s="2690"/>
      <c r="H250" s="2691"/>
      <c r="I250" s="2269"/>
      <c r="J250" s="2688"/>
      <c r="K250" s="2688"/>
      <c r="L250" s="2689"/>
      <c r="M250" s="433"/>
      <c r="N250" s="6"/>
      <c r="O250" s="6"/>
      <c r="P250" s="1362"/>
      <c r="Q250" s="2"/>
      <c r="R250" s="2"/>
      <c r="S250" s="108" t="b">
        <f>TRUE</f>
        <v>1</v>
      </c>
      <c r="T250" s="2"/>
      <c r="U250" s="2"/>
      <c r="V250" s="2"/>
      <c r="W250" s="2"/>
      <c r="X250" s="2"/>
      <c r="Y250" s="2"/>
      <c r="Z250" s="2"/>
      <c r="AA250" s="2"/>
      <c r="AB250" s="343"/>
      <c r="AC250" s="2"/>
      <c r="AD250" s="2"/>
      <c r="AE250" s="349"/>
      <c r="AF250" s="349"/>
      <c r="AG250" s="349"/>
      <c r="AH250" s="349"/>
      <c r="AI250" s="349"/>
      <c r="AJ250" s="349"/>
      <c r="AK250" s="349"/>
      <c r="AL250" s="349"/>
      <c r="AM250" s="349"/>
    </row>
    <row r="251" spans="1:39" ht="12.75" customHeight="1" x14ac:dyDescent="0.25">
      <c r="A251" s="2"/>
      <c r="B251" s="19"/>
      <c r="C251" s="45"/>
      <c r="D251" s="33">
        <f t="shared" si="96"/>
        <v>7</v>
      </c>
      <c r="E251" s="2195"/>
      <c r="F251" s="2194"/>
      <c r="G251" s="2690"/>
      <c r="H251" s="2691"/>
      <c r="I251" s="2269"/>
      <c r="J251" s="2688"/>
      <c r="K251" s="2688"/>
      <c r="L251" s="2689"/>
      <c r="M251" s="433"/>
      <c r="N251" s="6"/>
      <c r="O251" s="6"/>
      <c r="P251" s="1362"/>
      <c r="Q251" s="2"/>
      <c r="R251" s="2"/>
      <c r="S251" s="108" t="b">
        <f>TRUE</f>
        <v>1</v>
      </c>
      <c r="T251" s="2"/>
      <c r="U251" s="2"/>
      <c r="V251" s="2"/>
      <c r="W251" s="2"/>
      <c r="X251" s="2"/>
      <c r="Y251" s="2"/>
      <c r="Z251" s="2"/>
      <c r="AA251" s="2"/>
      <c r="AB251" s="343"/>
      <c r="AC251" s="2"/>
      <c r="AD251" s="2"/>
      <c r="AE251" s="349"/>
      <c r="AF251" s="349"/>
      <c r="AG251" s="349"/>
      <c r="AH251" s="349"/>
      <c r="AI251" s="349"/>
      <c r="AJ251" s="349"/>
      <c r="AK251" s="349"/>
      <c r="AL251" s="349"/>
      <c r="AM251" s="349"/>
    </row>
    <row r="252" spans="1:39" ht="12.75" customHeight="1" x14ac:dyDescent="0.25">
      <c r="A252" s="2"/>
      <c r="B252" s="19"/>
      <c r="C252" s="45"/>
      <c r="D252" s="33">
        <f t="shared" si="96"/>
        <v>8</v>
      </c>
      <c r="E252" s="2195"/>
      <c r="F252" s="2194"/>
      <c r="G252" s="2690"/>
      <c r="H252" s="2691"/>
      <c r="I252" s="2269"/>
      <c r="J252" s="2688"/>
      <c r="K252" s="2688"/>
      <c r="L252" s="2689"/>
      <c r="M252" s="433"/>
      <c r="N252" s="6"/>
      <c r="O252" s="6"/>
      <c r="P252" s="1362"/>
      <c r="Q252" s="2"/>
      <c r="R252" s="2"/>
      <c r="S252" s="108" t="b">
        <f>TRUE</f>
        <v>1</v>
      </c>
      <c r="T252" s="2"/>
      <c r="U252" s="2"/>
      <c r="V252" s="2"/>
      <c r="W252" s="2"/>
      <c r="X252" s="2"/>
      <c r="Y252" s="2"/>
      <c r="Z252" s="2"/>
      <c r="AA252" s="2"/>
      <c r="AB252" s="343"/>
      <c r="AC252" s="2"/>
      <c r="AD252" s="2"/>
      <c r="AE252" s="349"/>
      <c r="AF252" s="349"/>
      <c r="AG252" s="349"/>
      <c r="AH252" s="349"/>
      <c r="AI252" s="349"/>
      <c r="AJ252" s="349"/>
      <c r="AK252" s="349"/>
      <c r="AL252" s="349"/>
      <c r="AM252" s="349"/>
    </row>
    <row r="253" spans="1:39" ht="12.75" customHeight="1" x14ac:dyDescent="0.25">
      <c r="A253" s="2"/>
      <c r="B253" s="19"/>
      <c r="C253" s="45"/>
      <c r="D253" s="33">
        <f t="shared" si="96"/>
        <v>9</v>
      </c>
      <c r="E253" s="2195"/>
      <c r="F253" s="2194"/>
      <c r="G253" s="2690"/>
      <c r="H253" s="2691"/>
      <c r="I253" s="2269"/>
      <c r="J253" s="2688"/>
      <c r="K253" s="2688"/>
      <c r="L253" s="2689"/>
      <c r="M253" s="433"/>
      <c r="N253" s="6"/>
      <c r="O253" s="6"/>
      <c r="P253" s="1362"/>
      <c r="Q253" s="2"/>
      <c r="R253" s="2"/>
      <c r="S253" s="108" t="b">
        <f>TRUE</f>
        <v>1</v>
      </c>
      <c r="T253" s="2"/>
      <c r="U253" s="2"/>
      <c r="V253" s="2"/>
      <c r="W253" s="2"/>
      <c r="X253" s="2"/>
      <c r="Y253" s="2"/>
      <c r="Z253" s="2"/>
      <c r="AA253" s="2"/>
      <c r="AB253" s="343"/>
      <c r="AC253" s="2"/>
      <c r="AD253" s="2"/>
      <c r="AE253" s="349"/>
      <c r="AF253" s="349"/>
      <c r="AG253" s="349"/>
      <c r="AH253" s="349"/>
      <c r="AI253" s="349"/>
      <c r="AJ253" s="349"/>
      <c r="AK253" s="349"/>
      <c r="AL253" s="349"/>
      <c r="AM253" s="349"/>
    </row>
    <row r="254" spans="1:39" ht="12.75" customHeight="1" x14ac:dyDescent="0.25">
      <c r="A254" s="2"/>
      <c r="B254" s="19"/>
      <c r="C254" s="45"/>
      <c r="D254" s="36">
        <f t="shared" si="96"/>
        <v>10</v>
      </c>
      <c r="E254" s="2266"/>
      <c r="F254" s="2267"/>
      <c r="G254" s="2715"/>
      <c r="H254" s="2716"/>
      <c r="I254" s="2369"/>
      <c r="J254" s="2718"/>
      <c r="K254" s="2718"/>
      <c r="L254" s="2719"/>
      <c r="M254" s="434"/>
      <c r="N254" s="6"/>
      <c r="O254" s="6"/>
      <c r="P254" s="1362"/>
      <c r="Q254" s="2"/>
      <c r="R254" s="2"/>
      <c r="S254" s="108" t="b">
        <f>TRUE</f>
        <v>1</v>
      </c>
      <c r="T254" s="2"/>
      <c r="U254" s="2"/>
      <c r="V254" s="2"/>
      <c r="W254" s="2"/>
      <c r="X254" s="2"/>
      <c r="Y254" s="2"/>
      <c r="Z254" s="7"/>
      <c r="AA254" s="7"/>
      <c r="AB254" s="343"/>
      <c r="AC254" s="2"/>
      <c r="AD254" s="2"/>
      <c r="AE254" s="349"/>
      <c r="AF254" s="349"/>
      <c r="AG254" s="349"/>
      <c r="AH254" s="349"/>
      <c r="AI254" s="349"/>
      <c r="AJ254" s="349"/>
      <c r="AK254" s="349"/>
      <c r="AL254" s="349"/>
      <c r="AM254" s="349"/>
    </row>
    <row r="255" spans="1:39" ht="5.15" customHeight="1" x14ac:dyDescent="0.25">
      <c r="A255" s="2"/>
      <c r="B255" s="3"/>
      <c r="C255" s="3"/>
      <c r="D255" s="3"/>
      <c r="E255" s="3"/>
      <c r="F255" s="3"/>
      <c r="G255" s="3"/>
      <c r="H255" s="3"/>
      <c r="I255" s="3"/>
      <c r="J255" s="3"/>
      <c r="K255" s="3"/>
      <c r="L255" s="3"/>
      <c r="M255" s="3"/>
      <c r="N255" s="3"/>
      <c r="O255" s="6"/>
      <c r="P255" s="6"/>
      <c r="Q255" s="7"/>
      <c r="R255" s="7"/>
      <c r="S255" s="2"/>
      <c r="T255" s="2"/>
      <c r="U255" s="2"/>
      <c r="V255" s="2"/>
      <c r="W255" s="2"/>
      <c r="X255" s="2"/>
      <c r="Y255" s="2"/>
      <c r="Z255" s="2"/>
      <c r="AA255" s="2"/>
      <c r="AB255" s="343"/>
      <c r="AC255" s="2"/>
      <c r="AD255" s="2"/>
      <c r="AE255" s="349"/>
      <c r="AF255" s="349"/>
      <c r="AG255" s="349"/>
      <c r="AH255" s="349"/>
      <c r="AI255" s="349"/>
      <c r="AJ255" s="349"/>
      <c r="AK255" s="349"/>
      <c r="AL255" s="349"/>
      <c r="AM255" s="349"/>
    </row>
    <row r="256" spans="1:39" ht="12.75" customHeight="1" x14ac:dyDescent="0.25">
      <c r="A256" s="2"/>
      <c r="B256" s="3"/>
      <c r="C256" s="13"/>
      <c r="D256" s="13"/>
      <c r="E256" s="1943" t="str">
        <f>Translations!$B$675</f>
        <v>Produktionsnivåer:</v>
      </c>
      <c r="F256" s="1963"/>
      <c r="G256" s="1963"/>
      <c r="H256" s="1963"/>
      <c r="I256" s="1963"/>
      <c r="J256" s="1963"/>
      <c r="K256" s="1963"/>
      <c r="L256" s="1963"/>
      <c r="M256" s="1963"/>
      <c r="N256" s="1963"/>
      <c r="O256" s="6"/>
      <c r="P256" s="6"/>
      <c r="Q256" s="7"/>
      <c r="R256" s="2"/>
      <c r="S256" s="2"/>
      <c r="T256" s="2"/>
      <c r="U256" s="2"/>
      <c r="V256" s="2"/>
      <c r="W256" s="2"/>
      <c r="X256" s="2"/>
      <c r="Y256" s="2"/>
      <c r="Z256" s="2"/>
      <c r="AA256" s="2"/>
      <c r="AB256" s="343"/>
      <c r="AC256" s="2"/>
      <c r="AD256" s="2"/>
      <c r="AE256" s="349"/>
      <c r="AF256" s="349"/>
      <c r="AG256" s="349"/>
      <c r="AH256" s="349"/>
      <c r="AI256" s="349"/>
      <c r="AJ256" s="349"/>
      <c r="AK256" s="349"/>
      <c r="AL256" s="349"/>
      <c r="AM256" s="349"/>
    </row>
    <row r="257" spans="1:39" ht="25.5" customHeight="1" x14ac:dyDescent="0.25">
      <c r="A257" s="2"/>
      <c r="B257" s="3"/>
      <c r="C257" s="13"/>
      <c r="D257" s="13"/>
      <c r="E257" s="2061" t="str">
        <f>Translations!$B$1492</f>
        <v>Observera att energieffektivitetsregeln endast kan tillämpas på fall där värme eller bränsle används för produktion av en specifik produkt. Därför kan regeln inte tillämpas om det inte går att tilldela en PRODCOM-kod till produkten.</v>
      </c>
      <c r="F257" s="1963"/>
      <c r="G257" s="1963"/>
      <c r="H257" s="1963"/>
      <c r="I257" s="1963"/>
      <c r="J257" s="1963"/>
      <c r="K257" s="1963"/>
      <c r="L257" s="1963"/>
      <c r="M257" s="1963"/>
      <c r="N257" s="1963"/>
      <c r="O257" s="6"/>
      <c r="P257" s="6"/>
      <c r="Q257" s="7"/>
      <c r="R257" s="2"/>
      <c r="S257" s="2"/>
      <c r="T257" s="2"/>
      <c r="U257" s="2"/>
      <c r="V257" s="2"/>
      <c r="W257" s="2"/>
      <c r="X257" s="2"/>
      <c r="Y257" s="2"/>
      <c r="Z257" s="2"/>
      <c r="AA257" s="2"/>
      <c r="AB257" s="343"/>
      <c r="AC257" s="2"/>
      <c r="AD257" s="2"/>
      <c r="AE257" s="349"/>
      <c r="AF257" s="349"/>
      <c r="AG257" s="349"/>
      <c r="AH257" s="349"/>
      <c r="AI257" s="349"/>
      <c r="AJ257" s="349"/>
      <c r="AK257" s="349"/>
      <c r="AL257" s="349"/>
      <c r="AM257" s="349"/>
    </row>
    <row r="258" spans="1:39" ht="25.5" customHeight="1" x14ac:dyDescent="0.25">
      <c r="A258" s="2"/>
      <c r="B258" s="3"/>
      <c r="C258" s="13"/>
      <c r="D258" s="13"/>
      <c r="E258" s="2061" t="str">
        <f>Translations!$B$1493</f>
        <v>Om ingen PRODCOM-kod kan tilldelas en produkt kan energieffektivitetsregeln därmed inte tillämpas, eftersom nedanstående effektivitet endast kan beräknas om alla ”produkter” är relaterade till samma enhet, vanligtvis ton.</v>
      </c>
      <c r="F258" s="1963"/>
      <c r="G258" s="1963"/>
      <c r="H258" s="1963"/>
      <c r="I258" s="1963"/>
      <c r="J258" s="1963"/>
      <c r="K258" s="1963"/>
      <c r="L258" s="1963"/>
      <c r="M258" s="1963"/>
      <c r="N258" s="1963"/>
      <c r="O258" s="6"/>
      <c r="P258" s="6"/>
      <c r="Q258" s="7"/>
      <c r="R258" s="2"/>
      <c r="S258" s="2"/>
      <c r="T258" s="2"/>
      <c r="U258" s="2"/>
      <c r="V258" s="2"/>
      <c r="W258" s="2"/>
      <c r="X258" s="2"/>
      <c r="Y258" s="2"/>
      <c r="Z258" s="2"/>
      <c r="AA258" s="2"/>
      <c r="AB258" s="343"/>
      <c r="AC258" s="2"/>
      <c r="AD258" s="2"/>
      <c r="AE258" s="349"/>
      <c r="AF258" s="349"/>
      <c r="AG258" s="349"/>
      <c r="AH258" s="349"/>
      <c r="AI258" s="349"/>
      <c r="AJ258" s="349"/>
      <c r="AK258" s="349"/>
      <c r="AL258" s="349"/>
      <c r="AM258" s="349"/>
    </row>
    <row r="259" spans="1:39" ht="12.75" customHeight="1" x14ac:dyDescent="0.25">
      <c r="A259" s="2"/>
      <c r="B259" s="3"/>
      <c r="C259" s="13"/>
      <c r="D259" s="13"/>
      <c r="E259" s="2061" t="str">
        <f>Translations!$B$1494</f>
        <v>Värdet för de nationella genomförandeåtgärderna (NIMs-värde) hänför sig till den genomsnittliga produktionen under referensperioden för NIMs (i likhet med historisk verksamhetsnivå) och är endast relevant för existerande delanläggningar inom befintliga anläggningar.</v>
      </c>
      <c r="F259" s="1963"/>
      <c r="G259" s="1963"/>
      <c r="H259" s="1963"/>
      <c r="I259" s="1963"/>
      <c r="J259" s="1963"/>
      <c r="K259" s="1963"/>
      <c r="L259" s="1963"/>
      <c r="M259" s="1963"/>
      <c r="N259" s="1963"/>
      <c r="O259" s="6"/>
      <c r="P259" s="6"/>
      <c r="Q259" s="7"/>
      <c r="R259" s="2"/>
      <c r="S259" s="2"/>
      <c r="T259" s="2"/>
      <c r="U259" s="2"/>
      <c r="V259" s="2"/>
      <c r="W259" s="2"/>
      <c r="X259" s="2"/>
      <c r="Y259" s="2"/>
      <c r="Z259" s="2"/>
      <c r="AA259" s="2"/>
      <c r="AB259" s="343"/>
      <c r="AC259" s="2"/>
      <c r="AD259" s="2"/>
      <c r="AE259" s="349"/>
      <c r="AF259" s="349"/>
      <c r="AG259" s="349"/>
      <c r="AH259" s="349"/>
      <c r="AI259" s="349"/>
      <c r="AJ259" s="349"/>
      <c r="AK259" s="349"/>
      <c r="AL259" s="349"/>
      <c r="AM259" s="349"/>
    </row>
    <row r="260" spans="1:39" ht="5.15" customHeight="1" x14ac:dyDescent="0.25">
      <c r="A260" s="2"/>
      <c r="B260" s="3"/>
      <c r="C260" s="15"/>
      <c r="D260" s="15"/>
      <c r="E260" s="16"/>
      <c r="F260" s="16"/>
      <c r="G260" s="16"/>
      <c r="H260" s="16"/>
      <c r="I260" s="16"/>
      <c r="J260" s="20"/>
      <c r="K260" s="20"/>
      <c r="L260" s="20"/>
      <c r="M260" s="6"/>
      <c r="N260" s="6"/>
      <c r="O260" s="6"/>
      <c r="P260" s="6"/>
      <c r="Q260" s="7"/>
      <c r="R260" s="2"/>
      <c r="S260" s="2"/>
      <c r="T260" s="2"/>
      <c r="U260" s="2"/>
      <c r="V260" s="2"/>
      <c r="W260" s="2"/>
      <c r="X260" s="2"/>
      <c r="Y260" s="2"/>
      <c r="Z260" s="2"/>
      <c r="AA260" s="2"/>
      <c r="AB260" s="343"/>
      <c r="AC260" s="2"/>
      <c r="AD260" s="2"/>
      <c r="AE260" s="349"/>
      <c r="AF260" s="349"/>
      <c r="AG260" s="349"/>
      <c r="AH260" s="349"/>
      <c r="AI260" s="349"/>
      <c r="AJ260" s="349"/>
      <c r="AK260" s="349"/>
      <c r="AL260" s="349"/>
      <c r="AM260" s="349"/>
    </row>
    <row r="261" spans="1:39" s="1195" customFormat="1" ht="25.5" customHeight="1" thickBot="1" x14ac:dyDescent="0.35">
      <c r="A261" s="1189"/>
      <c r="B261" s="1190"/>
      <c r="C261" s="1191"/>
      <c r="D261" s="1192"/>
      <c r="E261" s="866" t="str">
        <f>I244</f>
        <v>Produktnamn eller annan värmeexport än ”fjärrvärme”</v>
      </c>
      <c r="F261" s="1095" t="str">
        <f>EUconst_Unit</f>
        <v>Enhet</v>
      </c>
      <c r="G261" s="1204" t="str">
        <f>Translations!$B$1495</f>
        <v>NIMs-värde</v>
      </c>
      <c r="H261" s="1205">
        <f t="shared" ref="H261:N261" si="97">H$950</f>
        <v>2019</v>
      </c>
      <c r="I261" s="1204">
        <f t="shared" si="97"/>
        <v>2020</v>
      </c>
      <c r="J261" s="1205">
        <f t="shared" si="97"/>
        <v>2021</v>
      </c>
      <c r="K261" s="1193">
        <f t="shared" si="97"/>
        <v>2022</v>
      </c>
      <c r="L261" s="1193">
        <f t="shared" si="97"/>
        <v>2023</v>
      </c>
      <c r="M261" s="1193">
        <f t="shared" si="97"/>
        <v>2024</v>
      </c>
      <c r="N261" s="1193">
        <f t="shared" si="97"/>
        <v>2025</v>
      </c>
      <c r="O261" s="6"/>
      <c r="P261" s="6"/>
      <c r="Q261" s="1189"/>
      <c r="R261" s="1189"/>
      <c r="S261" s="1189"/>
      <c r="T261" s="1189"/>
      <c r="U261" s="1189"/>
      <c r="V261" s="1189"/>
      <c r="W261" s="1189"/>
      <c r="X261" s="1189"/>
      <c r="Y261" s="1189"/>
      <c r="Z261" s="1189"/>
      <c r="AA261" s="1189"/>
      <c r="AB261" s="7" t="s">
        <v>1846</v>
      </c>
      <c r="AC261" s="1189">
        <f t="shared" ref="AC261:AI261" si="98">H261</f>
        <v>2019</v>
      </c>
      <c r="AD261" s="1189">
        <f t="shared" si="98"/>
        <v>2020</v>
      </c>
      <c r="AE261" s="1189">
        <f t="shared" si="98"/>
        <v>2021</v>
      </c>
      <c r="AF261" s="1189">
        <f t="shared" si="98"/>
        <v>2022</v>
      </c>
      <c r="AG261" s="1189">
        <f t="shared" si="98"/>
        <v>2023</v>
      </c>
      <c r="AH261" s="1194">
        <f t="shared" si="98"/>
        <v>2024</v>
      </c>
      <c r="AI261" s="1194">
        <f t="shared" si="98"/>
        <v>2025</v>
      </c>
      <c r="AJ261" s="1194"/>
      <c r="AK261" s="1194"/>
      <c r="AL261" s="1194"/>
      <c r="AM261" s="1194"/>
    </row>
    <row r="262" spans="1:39" ht="12.75" customHeight="1" x14ac:dyDescent="0.25">
      <c r="A262" s="2"/>
      <c r="B262" s="19"/>
      <c r="C262" s="45"/>
      <c r="D262" s="32">
        <v>1</v>
      </c>
      <c r="E262" s="1037" t="str">
        <f t="shared" ref="E262:E271" si="99">IF(ISBLANK(I245),"",I245)</f>
        <v/>
      </c>
      <c r="F262" s="1524"/>
      <c r="G262" s="467"/>
      <c r="H262" s="1106"/>
      <c r="I262" s="467"/>
      <c r="J262" s="1106"/>
      <c r="K262" s="383"/>
      <c r="L262" s="383"/>
      <c r="M262" s="383"/>
      <c r="N262" s="383"/>
      <c r="O262" s="6"/>
      <c r="P262" s="1362"/>
      <c r="Q262" s="2"/>
      <c r="R262" s="2"/>
      <c r="S262" s="2"/>
      <c r="T262" s="2"/>
      <c r="U262" s="2"/>
      <c r="V262" s="2"/>
      <c r="W262" s="2"/>
      <c r="X262" s="2"/>
      <c r="Y262" s="2"/>
      <c r="Z262" s="672" t="s">
        <v>1899</v>
      </c>
      <c r="AA262" s="1705">
        <f>MAX(AC262:AI262)</f>
        <v>2</v>
      </c>
      <c r="AB262" s="1174">
        <f>IF(CNTR_ExistSubInstEntries,IF(OR($M209&lt;&gt;EUconst_Relevant,$V209&gt;2018,$E262=""),0,2),2)</f>
        <v>2</v>
      </c>
      <c r="AC262" s="1174">
        <f t="shared" ref="AC262:AI262" si="100">IF(CNTR_ExistSubInstEntries,IF(OR($M209&lt;&gt;EUconst_Relevant,AC261&gt;=CNTR_ReportingYear,AC261&lt;$V209-1,$E262=""),0,2),2)</f>
        <v>2</v>
      </c>
      <c r="AD262" s="1173">
        <f t="shared" si="100"/>
        <v>2</v>
      </c>
      <c r="AE262" s="1173">
        <f t="shared" si="100"/>
        <v>2</v>
      </c>
      <c r="AF262" s="1173">
        <f t="shared" si="100"/>
        <v>2</v>
      </c>
      <c r="AG262" s="1173">
        <f t="shared" si="100"/>
        <v>2</v>
      </c>
      <c r="AH262" s="1175">
        <f t="shared" si="100"/>
        <v>2</v>
      </c>
      <c r="AI262" s="1176">
        <f t="shared" si="100"/>
        <v>2</v>
      </c>
      <c r="AJ262" s="349"/>
      <c r="AK262" s="553" t="s">
        <v>2248</v>
      </c>
      <c r="AL262" s="663" t="str">
        <f>IF(AND(CNTR_ExistSubInstEntries,COUNTIFS(AB262:AI262,2,G262:N262,"")&gt;0),EUconst_Error&amp;"FB"&amp;Q209,"")</f>
        <v/>
      </c>
      <c r="AM262" s="349"/>
    </row>
    <row r="263" spans="1:39" ht="12.75" customHeight="1" x14ac:dyDescent="0.25">
      <c r="A263" s="2"/>
      <c r="B263" s="19"/>
      <c r="C263" s="45"/>
      <c r="D263" s="33">
        <f>D262+1</f>
        <v>2</v>
      </c>
      <c r="E263" s="1036" t="str">
        <f t="shared" si="99"/>
        <v/>
      </c>
      <c r="F263" s="1522" t="str">
        <f>IF(OR(F262="",E263=""),"",F262)</f>
        <v/>
      </c>
      <c r="G263" s="468"/>
      <c r="H263" s="1120"/>
      <c r="I263" s="468"/>
      <c r="J263" s="1120"/>
      <c r="K263" s="431"/>
      <c r="L263" s="431"/>
      <c r="M263" s="431"/>
      <c r="N263" s="431"/>
      <c r="O263" s="6"/>
      <c r="P263" s="1362"/>
      <c r="Q263" s="2"/>
      <c r="R263" s="2"/>
      <c r="S263" s="2"/>
      <c r="T263" s="2"/>
      <c r="U263" s="2"/>
      <c r="V263" s="2"/>
      <c r="W263" s="2"/>
      <c r="X263" s="2"/>
      <c r="Y263" s="2"/>
      <c r="Z263" s="2"/>
      <c r="AA263" s="1177">
        <f t="shared" ref="AA263:AA271" si="101">MAX(AC263:AI263)</f>
        <v>2</v>
      </c>
      <c r="AB263" s="935">
        <f>IF(CNTR_ExistSubInstEntries,IF(OR($M209&lt;&gt;EUconst_Relevant,$V209&gt;2018,$E263=""),0,2),2)</f>
        <v>2</v>
      </c>
      <c r="AC263" s="935">
        <f t="shared" ref="AC263:AI263" si="102">IF(CNTR_ExistSubInstEntries,IF(OR($M209&lt;&gt;EUconst_Relevant,AC261&gt;=CNTR_ReportingYear,AC261&lt;$V209-1,$E263=""),0,2),2)</f>
        <v>2</v>
      </c>
      <c r="AD263" s="935">
        <f t="shared" si="102"/>
        <v>2</v>
      </c>
      <c r="AE263" s="935">
        <f t="shared" si="102"/>
        <v>2</v>
      </c>
      <c r="AF263" s="935">
        <f t="shared" si="102"/>
        <v>2</v>
      </c>
      <c r="AG263" s="935">
        <f t="shared" si="102"/>
        <v>2</v>
      </c>
      <c r="AH263" s="1039">
        <f t="shared" si="102"/>
        <v>2</v>
      </c>
      <c r="AI263" s="1178">
        <f t="shared" si="102"/>
        <v>2</v>
      </c>
      <c r="AJ263" s="349"/>
      <c r="AK263" s="553" t="s">
        <v>2248</v>
      </c>
      <c r="AL263" s="663" t="str">
        <f>IF(AND(CNTR_ExistSubInstEntries,COUNTIFS(AB263:AI263,2,G263:N263,"")&gt;0),EUconst_Error&amp;"FB"&amp;Q209,"")</f>
        <v/>
      </c>
      <c r="AM263" s="349"/>
    </row>
    <row r="264" spans="1:39" ht="12.75" customHeight="1" x14ac:dyDescent="0.25">
      <c r="A264" s="2"/>
      <c r="B264" s="19"/>
      <c r="C264" s="45"/>
      <c r="D264" s="33">
        <f t="shared" ref="D264:D271" si="103">D263+1</f>
        <v>3</v>
      </c>
      <c r="E264" s="1036" t="str">
        <f t="shared" si="99"/>
        <v/>
      </c>
      <c r="F264" s="1522" t="str">
        <f t="shared" ref="F264:F271" si="104">IF(OR(F263="",E264=""),"",F263)</f>
        <v/>
      </c>
      <c r="G264" s="468"/>
      <c r="H264" s="1120"/>
      <c r="I264" s="468"/>
      <c r="J264" s="1120"/>
      <c r="K264" s="431"/>
      <c r="L264" s="431"/>
      <c r="M264" s="431"/>
      <c r="N264" s="431"/>
      <c r="O264" s="6"/>
      <c r="P264" s="1362"/>
      <c r="Q264" s="2"/>
      <c r="R264" s="2"/>
      <c r="S264" s="2"/>
      <c r="T264" s="2"/>
      <c r="U264" s="2"/>
      <c r="V264" s="2"/>
      <c r="W264" s="2"/>
      <c r="X264" s="2"/>
      <c r="Y264" s="2"/>
      <c r="Z264" s="2"/>
      <c r="AA264" s="1177">
        <f t="shared" si="101"/>
        <v>2</v>
      </c>
      <c r="AB264" s="935">
        <f>IF(CNTR_ExistSubInstEntries,IF(OR($M209&lt;&gt;EUconst_Relevant,$V209&gt;2018,$E264=""),0,2),2)</f>
        <v>2</v>
      </c>
      <c r="AC264" s="935">
        <f t="shared" ref="AC264:AI264" si="105">IF(CNTR_ExistSubInstEntries,IF(OR($M209&lt;&gt;EUconst_Relevant,AC261&gt;=CNTR_ReportingYear,AC261&lt;$V209-1,$E264=""),0,2),2)</f>
        <v>2</v>
      </c>
      <c r="AD264" s="935">
        <f t="shared" si="105"/>
        <v>2</v>
      </c>
      <c r="AE264" s="935">
        <f t="shared" si="105"/>
        <v>2</v>
      </c>
      <c r="AF264" s="935">
        <f t="shared" si="105"/>
        <v>2</v>
      </c>
      <c r="AG264" s="935">
        <f t="shared" si="105"/>
        <v>2</v>
      </c>
      <c r="AH264" s="1039">
        <f t="shared" si="105"/>
        <v>2</v>
      </c>
      <c r="AI264" s="1178">
        <f t="shared" si="105"/>
        <v>2</v>
      </c>
      <c r="AJ264" s="349"/>
      <c r="AK264" s="553" t="s">
        <v>2248</v>
      </c>
      <c r="AL264" s="663" t="str">
        <f>IF(AND(CNTR_ExistSubInstEntries,COUNTIFS(AB264:AI264,2,G264:N264,"")&gt;0),EUconst_Error&amp;"FB"&amp;Q209,"")</f>
        <v/>
      </c>
      <c r="AM264" s="349"/>
    </row>
    <row r="265" spans="1:39" ht="12.75" customHeight="1" x14ac:dyDescent="0.25">
      <c r="A265" s="2"/>
      <c r="B265" s="19"/>
      <c r="C265" s="45"/>
      <c r="D265" s="33">
        <f t="shared" si="103"/>
        <v>4</v>
      </c>
      <c r="E265" s="1036" t="str">
        <f t="shared" si="99"/>
        <v/>
      </c>
      <c r="F265" s="1522" t="str">
        <f t="shared" si="104"/>
        <v/>
      </c>
      <c r="G265" s="468"/>
      <c r="H265" s="1120"/>
      <c r="I265" s="468"/>
      <c r="J265" s="1120"/>
      <c r="K265" s="431"/>
      <c r="L265" s="431"/>
      <c r="M265" s="431"/>
      <c r="N265" s="431"/>
      <c r="O265" s="6"/>
      <c r="P265" s="1362"/>
      <c r="Q265" s="2"/>
      <c r="R265" s="2"/>
      <c r="S265" s="2"/>
      <c r="T265" s="2"/>
      <c r="U265" s="343"/>
      <c r="V265" s="343"/>
      <c r="W265" s="2"/>
      <c r="X265" s="2"/>
      <c r="Y265" s="2"/>
      <c r="Z265" s="2"/>
      <c r="AA265" s="1177">
        <f t="shared" si="101"/>
        <v>2</v>
      </c>
      <c r="AB265" s="935">
        <f>IF(CNTR_ExistSubInstEntries,IF(OR($M209&lt;&gt;EUconst_Relevant,$V209&gt;2018,$E265=""),0,2),2)</f>
        <v>2</v>
      </c>
      <c r="AC265" s="935">
        <f t="shared" ref="AC265:AI265" si="106">IF(CNTR_ExistSubInstEntries,IF(OR($M209&lt;&gt;EUconst_Relevant,AC261&gt;=CNTR_ReportingYear,AC261&lt;$V209-1,$E265=""),0,2),2)</f>
        <v>2</v>
      </c>
      <c r="AD265" s="935">
        <f t="shared" si="106"/>
        <v>2</v>
      </c>
      <c r="AE265" s="935">
        <f t="shared" si="106"/>
        <v>2</v>
      </c>
      <c r="AF265" s="935">
        <f t="shared" si="106"/>
        <v>2</v>
      </c>
      <c r="AG265" s="935">
        <f t="shared" si="106"/>
        <v>2</v>
      </c>
      <c r="AH265" s="1039">
        <f t="shared" si="106"/>
        <v>2</v>
      </c>
      <c r="AI265" s="1178">
        <f t="shared" si="106"/>
        <v>2</v>
      </c>
      <c r="AJ265" s="349"/>
      <c r="AK265" s="553" t="s">
        <v>2248</v>
      </c>
      <c r="AL265" s="663" t="str">
        <f>IF(AND(CNTR_ExistSubInstEntries,COUNTIFS(AB265:AI265,2,G265:N265,"")&gt;0),EUconst_Error&amp;"FB"&amp;Q209,"")</f>
        <v/>
      </c>
      <c r="AM265" s="349"/>
    </row>
    <row r="266" spans="1:39" ht="12.75" customHeight="1" x14ac:dyDescent="0.25">
      <c r="A266" s="2"/>
      <c r="B266" s="19"/>
      <c r="C266" s="45"/>
      <c r="D266" s="33">
        <f t="shared" si="103"/>
        <v>5</v>
      </c>
      <c r="E266" s="1036" t="str">
        <f t="shared" si="99"/>
        <v/>
      </c>
      <c r="F266" s="1522" t="str">
        <f t="shared" si="104"/>
        <v/>
      </c>
      <c r="G266" s="468"/>
      <c r="H266" s="1120"/>
      <c r="I266" s="468"/>
      <c r="J266" s="1743"/>
      <c r="K266" s="431"/>
      <c r="L266" s="431"/>
      <c r="M266" s="431"/>
      <c r="N266" s="431"/>
      <c r="O266" s="6"/>
      <c r="P266" s="1362"/>
      <c r="Q266" s="2"/>
      <c r="R266" s="2"/>
      <c r="S266" s="2"/>
      <c r="T266" s="2"/>
      <c r="U266" s="343"/>
      <c r="V266" s="2"/>
      <c r="W266" s="2"/>
      <c r="X266" s="2"/>
      <c r="Y266" s="2"/>
      <c r="Z266" s="2"/>
      <c r="AA266" s="1177">
        <f t="shared" si="101"/>
        <v>2</v>
      </c>
      <c r="AB266" s="935">
        <f>IF(CNTR_ExistSubInstEntries,IF(OR($M209&lt;&gt;EUconst_Relevant,$V209&gt;2018,$E266=""),0,2),2)</f>
        <v>2</v>
      </c>
      <c r="AC266" s="935">
        <f t="shared" ref="AC266:AI266" si="107">IF(CNTR_ExistSubInstEntries,IF(OR($M209&lt;&gt;EUconst_Relevant,AC261&gt;=CNTR_ReportingYear,AC261&lt;$V209-1,$E266=""),0,2),2)</f>
        <v>2</v>
      </c>
      <c r="AD266" s="935">
        <f t="shared" si="107"/>
        <v>2</v>
      </c>
      <c r="AE266" s="935">
        <f t="shared" si="107"/>
        <v>2</v>
      </c>
      <c r="AF266" s="935">
        <f t="shared" si="107"/>
        <v>2</v>
      </c>
      <c r="AG266" s="935">
        <f t="shared" si="107"/>
        <v>2</v>
      </c>
      <c r="AH266" s="1039">
        <f t="shared" si="107"/>
        <v>2</v>
      </c>
      <c r="AI266" s="1178">
        <f t="shared" si="107"/>
        <v>2</v>
      </c>
      <c r="AJ266" s="349"/>
      <c r="AK266" s="553" t="s">
        <v>2248</v>
      </c>
      <c r="AL266" s="663" t="str">
        <f>IF(AND(CNTR_ExistSubInstEntries,COUNTIFS(AB266:AI266,2,G266:N266,"")&gt;0),EUconst_Error&amp;"FB"&amp;Q209,"")</f>
        <v/>
      </c>
      <c r="AM266" s="349"/>
    </row>
    <row r="267" spans="1:39" ht="12.75" customHeight="1" x14ac:dyDescent="0.25">
      <c r="A267" s="2"/>
      <c r="B267" s="19"/>
      <c r="C267" s="45"/>
      <c r="D267" s="33">
        <f t="shared" si="103"/>
        <v>6</v>
      </c>
      <c r="E267" s="1036" t="str">
        <f t="shared" si="99"/>
        <v/>
      </c>
      <c r="F267" s="1522" t="str">
        <f t="shared" si="104"/>
        <v/>
      </c>
      <c r="G267" s="468"/>
      <c r="H267" s="1120"/>
      <c r="I267" s="468"/>
      <c r="J267" s="1120"/>
      <c r="K267" s="431"/>
      <c r="L267" s="431"/>
      <c r="M267" s="431"/>
      <c r="N267" s="431"/>
      <c r="O267" s="6"/>
      <c r="P267" s="1362"/>
      <c r="Q267" s="2"/>
      <c r="R267" s="2"/>
      <c r="S267" s="2"/>
      <c r="T267" s="2"/>
      <c r="U267" s="2"/>
      <c r="V267" s="2"/>
      <c r="W267" s="2"/>
      <c r="X267" s="2"/>
      <c r="Y267" s="2"/>
      <c r="Z267" s="2"/>
      <c r="AA267" s="1177">
        <f t="shared" si="101"/>
        <v>2</v>
      </c>
      <c r="AB267" s="935">
        <f>IF(CNTR_ExistSubInstEntries,IF(OR($M209&lt;&gt;EUconst_Relevant,$V209&gt;2018,$E267=""),0,2),2)</f>
        <v>2</v>
      </c>
      <c r="AC267" s="935">
        <f t="shared" ref="AC267:AI267" si="108">IF(CNTR_ExistSubInstEntries,IF(OR($M209&lt;&gt;EUconst_Relevant,AC261&gt;=CNTR_ReportingYear,AC261&lt;$V209-1,$E267=""),0,2),2)</f>
        <v>2</v>
      </c>
      <c r="AD267" s="935">
        <f t="shared" si="108"/>
        <v>2</v>
      </c>
      <c r="AE267" s="935">
        <f t="shared" si="108"/>
        <v>2</v>
      </c>
      <c r="AF267" s="935">
        <f t="shared" si="108"/>
        <v>2</v>
      </c>
      <c r="AG267" s="935">
        <f t="shared" si="108"/>
        <v>2</v>
      </c>
      <c r="AH267" s="1039">
        <f t="shared" si="108"/>
        <v>2</v>
      </c>
      <c r="AI267" s="1178">
        <f t="shared" si="108"/>
        <v>2</v>
      </c>
      <c r="AJ267" s="349"/>
      <c r="AK267" s="553" t="s">
        <v>2248</v>
      </c>
      <c r="AL267" s="663" t="str">
        <f>IF(AND(CNTR_ExistSubInstEntries,COUNTIFS(AB267:AI267,2,G267:N267,"")&gt;0),EUconst_Error&amp;"FB"&amp;Q209,"")</f>
        <v/>
      </c>
      <c r="AM267" s="349"/>
    </row>
    <row r="268" spans="1:39" ht="12.75" customHeight="1" x14ac:dyDescent="0.25">
      <c r="A268" s="2"/>
      <c r="B268" s="19"/>
      <c r="C268" s="45"/>
      <c r="D268" s="33">
        <f t="shared" si="103"/>
        <v>7</v>
      </c>
      <c r="E268" s="1036" t="str">
        <f t="shared" si="99"/>
        <v/>
      </c>
      <c r="F268" s="1522" t="str">
        <f t="shared" si="104"/>
        <v/>
      </c>
      <c r="G268" s="468"/>
      <c r="H268" s="1120"/>
      <c r="I268" s="468"/>
      <c r="J268" s="1120"/>
      <c r="K268" s="431"/>
      <c r="L268" s="431"/>
      <c r="M268" s="431"/>
      <c r="N268" s="431"/>
      <c r="O268" s="6"/>
      <c r="P268" s="1362"/>
      <c r="Q268" s="2"/>
      <c r="R268" s="2"/>
      <c r="S268" s="2"/>
      <c r="T268" s="2"/>
      <c r="U268" s="2"/>
      <c r="V268" s="2"/>
      <c r="W268" s="2"/>
      <c r="X268" s="2"/>
      <c r="Y268" s="2"/>
      <c r="Z268" s="2"/>
      <c r="AA268" s="1177">
        <f t="shared" si="101"/>
        <v>2</v>
      </c>
      <c r="AB268" s="935">
        <f>IF(CNTR_ExistSubInstEntries,IF(OR($M209&lt;&gt;EUconst_Relevant,$V209&gt;2018,$E268=""),0,2),2)</f>
        <v>2</v>
      </c>
      <c r="AC268" s="935">
        <f t="shared" ref="AC268:AI268" si="109">IF(CNTR_ExistSubInstEntries,IF(OR($M209&lt;&gt;EUconst_Relevant,AC261&gt;=CNTR_ReportingYear,AC261&lt;$V209-1,$E268=""),0,2),2)</f>
        <v>2</v>
      </c>
      <c r="AD268" s="935">
        <f t="shared" si="109"/>
        <v>2</v>
      </c>
      <c r="AE268" s="935">
        <f t="shared" si="109"/>
        <v>2</v>
      </c>
      <c r="AF268" s="935">
        <f t="shared" si="109"/>
        <v>2</v>
      </c>
      <c r="AG268" s="935">
        <f t="shared" si="109"/>
        <v>2</v>
      </c>
      <c r="AH268" s="1039">
        <f t="shared" si="109"/>
        <v>2</v>
      </c>
      <c r="AI268" s="1178">
        <f t="shared" si="109"/>
        <v>2</v>
      </c>
      <c r="AJ268" s="349"/>
      <c r="AK268" s="553" t="s">
        <v>2248</v>
      </c>
      <c r="AL268" s="663" t="str">
        <f>IF(AND(CNTR_ExistSubInstEntries,COUNTIFS(AB268:AI268,2,G268:N268,"")&gt;0),EUconst_Error&amp;"FB"&amp;Q209,"")</f>
        <v/>
      </c>
      <c r="AM268" s="349"/>
    </row>
    <row r="269" spans="1:39" ht="12.75" customHeight="1" x14ac:dyDescent="0.25">
      <c r="A269" s="2"/>
      <c r="B269" s="19"/>
      <c r="C269" s="45"/>
      <c r="D269" s="33">
        <f t="shared" si="103"/>
        <v>8</v>
      </c>
      <c r="E269" s="1036" t="str">
        <f t="shared" si="99"/>
        <v/>
      </c>
      <c r="F269" s="1522" t="str">
        <f t="shared" si="104"/>
        <v/>
      </c>
      <c r="G269" s="468"/>
      <c r="H269" s="1120"/>
      <c r="I269" s="468"/>
      <c r="J269" s="1120"/>
      <c r="K269" s="431"/>
      <c r="L269" s="431"/>
      <c r="M269" s="431"/>
      <c r="N269" s="431"/>
      <c r="O269" s="6"/>
      <c r="P269" s="1362"/>
      <c r="Q269" s="2"/>
      <c r="R269" s="2"/>
      <c r="S269" s="2"/>
      <c r="T269" s="2"/>
      <c r="U269" s="2"/>
      <c r="V269" s="2"/>
      <c r="W269" s="2"/>
      <c r="X269" s="2"/>
      <c r="Y269" s="2"/>
      <c r="Z269" s="2"/>
      <c r="AA269" s="1177">
        <f t="shared" si="101"/>
        <v>2</v>
      </c>
      <c r="AB269" s="935">
        <f>IF(CNTR_ExistSubInstEntries,IF(OR($M209&lt;&gt;EUconst_Relevant,$V209&gt;2018,$E269=""),0,2),2)</f>
        <v>2</v>
      </c>
      <c r="AC269" s="935">
        <f t="shared" ref="AC269:AI269" si="110">IF(CNTR_ExistSubInstEntries,IF(OR($M209&lt;&gt;EUconst_Relevant,AC261&gt;=CNTR_ReportingYear,AC261&lt;$V209-1,$E269=""),0,2),2)</f>
        <v>2</v>
      </c>
      <c r="AD269" s="935">
        <f t="shared" si="110"/>
        <v>2</v>
      </c>
      <c r="AE269" s="935">
        <f t="shared" si="110"/>
        <v>2</v>
      </c>
      <c r="AF269" s="935">
        <f t="shared" si="110"/>
        <v>2</v>
      </c>
      <c r="AG269" s="935">
        <f t="shared" si="110"/>
        <v>2</v>
      </c>
      <c r="AH269" s="1039">
        <f t="shared" si="110"/>
        <v>2</v>
      </c>
      <c r="AI269" s="1178">
        <f t="shared" si="110"/>
        <v>2</v>
      </c>
      <c r="AJ269" s="349"/>
      <c r="AK269" s="553" t="s">
        <v>2248</v>
      </c>
      <c r="AL269" s="663" t="str">
        <f>IF(AND(CNTR_ExistSubInstEntries,COUNTIFS(AB269:AI269,2,G269:N269,"")&gt;0),EUconst_Error&amp;"FB"&amp;Q209,"")</f>
        <v/>
      </c>
      <c r="AM269" s="349"/>
    </row>
    <row r="270" spans="1:39" ht="12.75" customHeight="1" x14ac:dyDescent="0.25">
      <c r="A270" s="2"/>
      <c r="B270" s="19"/>
      <c r="C270" s="45"/>
      <c r="D270" s="33">
        <f t="shared" si="103"/>
        <v>9</v>
      </c>
      <c r="E270" s="1036" t="str">
        <f t="shared" si="99"/>
        <v/>
      </c>
      <c r="F270" s="1522" t="str">
        <f t="shared" si="104"/>
        <v/>
      </c>
      <c r="G270" s="468"/>
      <c r="H270" s="1120"/>
      <c r="I270" s="468"/>
      <c r="J270" s="1120"/>
      <c r="K270" s="431"/>
      <c r="L270" s="431"/>
      <c r="M270" s="431"/>
      <c r="N270" s="431"/>
      <c r="O270" s="6"/>
      <c r="P270" s="1362"/>
      <c r="Q270" s="2"/>
      <c r="R270" s="2"/>
      <c r="S270" s="2"/>
      <c r="T270" s="2"/>
      <c r="U270" s="2"/>
      <c r="V270" s="2"/>
      <c r="W270" s="2"/>
      <c r="X270" s="2"/>
      <c r="Y270" s="2"/>
      <c r="Z270" s="2"/>
      <c r="AA270" s="1177">
        <f t="shared" si="101"/>
        <v>2</v>
      </c>
      <c r="AB270" s="935">
        <f>IF(CNTR_ExistSubInstEntries,IF(OR($M209&lt;&gt;EUconst_Relevant,$V209&gt;2018,$E270=""),0,2),2)</f>
        <v>2</v>
      </c>
      <c r="AC270" s="935">
        <f t="shared" ref="AC270:AI270" si="111">IF(CNTR_ExistSubInstEntries,IF(OR($M209&lt;&gt;EUconst_Relevant,AC261&gt;=CNTR_ReportingYear,AC261&lt;$V209-1,$E270=""),0,2),2)</f>
        <v>2</v>
      </c>
      <c r="AD270" s="935">
        <f t="shared" si="111"/>
        <v>2</v>
      </c>
      <c r="AE270" s="935">
        <f t="shared" si="111"/>
        <v>2</v>
      </c>
      <c r="AF270" s="935">
        <f t="shared" si="111"/>
        <v>2</v>
      </c>
      <c r="AG270" s="935">
        <f t="shared" si="111"/>
        <v>2</v>
      </c>
      <c r="AH270" s="1039">
        <f t="shared" si="111"/>
        <v>2</v>
      </c>
      <c r="AI270" s="1178">
        <f t="shared" si="111"/>
        <v>2</v>
      </c>
      <c r="AJ270" s="349"/>
      <c r="AK270" s="553" t="s">
        <v>2248</v>
      </c>
      <c r="AL270" s="663" t="str">
        <f>IF(AND(CNTR_ExistSubInstEntries,COUNTIFS(AB270:AI270,2,G270:N270,"")&gt;0),EUconst_Error&amp;"FB"&amp;Q209,"")</f>
        <v/>
      </c>
      <c r="AM270" s="349"/>
    </row>
    <row r="271" spans="1:39" ht="12.75" customHeight="1" thickBot="1" x14ac:dyDescent="0.3">
      <c r="A271" s="2"/>
      <c r="B271" s="19"/>
      <c r="C271" s="45"/>
      <c r="D271" s="36">
        <f t="shared" si="103"/>
        <v>10</v>
      </c>
      <c r="E271" s="1038" t="str">
        <f t="shared" si="99"/>
        <v/>
      </c>
      <c r="F271" s="1523" t="str">
        <f t="shared" si="104"/>
        <v/>
      </c>
      <c r="G271" s="469"/>
      <c r="H271" s="1112"/>
      <c r="I271" s="469"/>
      <c r="J271" s="1112"/>
      <c r="K271" s="357"/>
      <c r="L271" s="357"/>
      <c r="M271" s="357"/>
      <c r="N271" s="357"/>
      <c r="O271" s="6"/>
      <c r="P271" s="1362"/>
      <c r="Q271" s="2"/>
      <c r="R271" s="2"/>
      <c r="S271" s="2"/>
      <c r="T271" s="2"/>
      <c r="U271" s="2"/>
      <c r="V271" s="2"/>
      <c r="W271" s="2"/>
      <c r="X271" s="2"/>
      <c r="Y271" s="2"/>
      <c r="Z271" s="2"/>
      <c r="AA271" s="1179">
        <f t="shared" si="101"/>
        <v>2</v>
      </c>
      <c r="AB271" s="1180">
        <f>IF(CNTR_ExistSubInstEntries,IF(OR($M209&lt;&gt;EUconst_Relevant,$V209&gt;2018,$E271=""),0,2),2)</f>
        <v>2</v>
      </c>
      <c r="AC271" s="1180">
        <f t="shared" ref="AC271:AI271" si="112">IF(CNTR_ExistSubInstEntries,IF(OR($M209&lt;&gt;EUconst_Relevant,AC261&gt;=CNTR_ReportingYear,AC261&lt;$V209-1,$E271=""),0,2),2)</f>
        <v>2</v>
      </c>
      <c r="AD271" s="1180">
        <f t="shared" si="112"/>
        <v>2</v>
      </c>
      <c r="AE271" s="1180">
        <f t="shared" si="112"/>
        <v>2</v>
      </c>
      <c r="AF271" s="1180">
        <f t="shared" si="112"/>
        <v>2</v>
      </c>
      <c r="AG271" s="1180">
        <f t="shared" si="112"/>
        <v>2</v>
      </c>
      <c r="AH271" s="1181">
        <f t="shared" si="112"/>
        <v>2</v>
      </c>
      <c r="AI271" s="1182">
        <f t="shared" si="112"/>
        <v>2</v>
      </c>
      <c r="AJ271" s="349"/>
      <c r="AK271" s="553" t="s">
        <v>2248</v>
      </c>
      <c r="AL271" s="663" t="str">
        <f>IF(AND(CNTR_ExistSubInstEntries,COUNTIFS(AB271:AI271,2,G271:N271,"")&gt;0),EUconst_Error&amp;"FB"&amp;Q209,"")</f>
        <v/>
      </c>
      <c r="AM271" s="349"/>
    </row>
    <row r="272" spans="1:39" ht="12.75" customHeight="1" x14ac:dyDescent="0.25">
      <c r="A272" s="2"/>
      <c r="B272" s="19"/>
      <c r="C272" s="19"/>
      <c r="D272" s="90"/>
      <c r="E272" s="1026" t="str">
        <f>Translations!$B$548</f>
        <v>Summa av produktionsnivåer</v>
      </c>
      <c r="F272" s="1523" t="str">
        <f>IF(F262="","",F262)</f>
        <v/>
      </c>
      <c r="G272" s="281" t="str">
        <f>IF(COUNT(G262:G271)&gt;0,SUMIF($S245:$S254,TRUE,G262:G271),"")</f>
        <v/>
      </c>
      <c r="H272" s="1118" t="str">
        <f t="shared" ref="H272:N272" si="113">IF(COUNT(H262:H271)&gt;0,SUMIF($S245:$S254,TRUE,H262:H271),"")</f>
        <v/>
      </c>
      <c r="I272" s="281" t="str">
        <f t="shared" si="113"/>
        <v/>
      </c>
      <c r="J272" s="1118" t="str">
        <f t="shared" si="113"/>
        <v/>
      </c>
      <c r="K272" s="275" t="str">
        <f t="shared" si="113"/>
        <v/>
      </c>
      <c r="L272" s="275" t="str">
        <f t="shared" si="113"/>
        <v/>
      </c>
      <c r="M272" s="275" t="str">
        <f t="shared" si="113"/>
        <v/>
      </c>
      <c r="N272" s="275" t="str">
        <f t="shared" si="113"/>
        <v/>
      </c>
      <c r="O272" s="6"/>
      <c r="P272" s="6"/>
      <c r="Q272" s="2"/>
      <c r="R272" s="2"/>
      <c r="S272" s="2"/>
      <c r="T272" s="2"/>
      <c r="U272" s="2"/>
      <c r="V272" s="2"/>
      <c r="W272" s="2"/>
      <c r="X272" s="2"/>
      <c r="Y272" s="2"/>
      <c r="Z272" s="2"/>
      <c r="AA272" s="2"/>
      <c r="AB272" s="343"/>
      <c r="AC272" s="343"/>
      <c r="AD272" s="343"/>
      <c r="AE272" s="343"/>
      <c r="AF272" s="343"/>
      <c r="AG272" s="343"/>
      <c r="AH272" s="343"/>
      <c r="AI272" s="343"/>
      <c r="AJ272" s="349"/>
      <c r="AK272" s="349"/>
      <c r="AL272" s="349"/>
      <c r="AM272" s="349"/>
    </row>
    <row r="273" spans="1:39" ht="5.15" customHeight="1" x14ac:dyDescent="0.25">
      <c r="A273" s="2"/>
      <c r="B273" s="19"/>
      <c r="C273" s="3"/>
      <c r="D273" s="3"/>
      <c r="E273" s="3"/>
      <c r="F273" s="3"/>
      <c r="G273" s="3"/>
      <c r="H273" s="3"/>
      <c r="I273" s="3"/>
      <c r="J273" s="3"/>
      <c r="K273" s="3"/>
      <c r="L273" s="3"/>
      <c r="M273" s="3"/>
      <c r="N273" s="3"/>
      <c r="O273" s="6"/>
      <c r="P273" s="6"/>
      <c r="Q273" s="2"/>
      <c r="R273" s="2"/>
      <c r="S273" s="2"/>
      <c r="T273" s="2"/>
      <c r="U273" s="2"/>
      <c r="V273" s="2"/>
      <c r="W273" s="2"/>
      <c r="X273" s="2"/>
      <c r="Y273" s="2"/>
      <c r="Z273" s="343"/>
      <c r="AA273" s="343"/>
      <c r="AB273" s="343"/>
      <c r="AC273" s="2"/>
      <c r="AD273" s="2"/>
      <c r="AE273" s="349"/>
      <c r="AF273" s="349"/>
      <c r="AG273" s="349"/>
      <c r="AH273" s="349"/>
      <c r="AI273" s="349"/>
      <c r="AJ273" s="349"/>
      <c r="AK273" s="349"/>
      <c r="AL273" s="349"/>
      <c r="AM273" s="349"/>
    </row>
    <row r="274" spans="1:39" ht="12.75" customHeight="1" x14ac:dyDescent="0.25">
      <c r="A274" s="2"/>
      <c r="B274" s="19"/>
      <c r="C274" s="3"/>
      <c r="D274" s="13" t="s">
        <v>1914</v>
      </c>
      <c r="E274" s="1943" t="str">
        <f>Translations!$B$1496</f>
        <v>Energiförbrukning per produkt för fastställande av ändrad energieffektivitet</v>
      </c>
      <c r="F274" s="1963"/>
      <c r="G274" s="1963"/>
      <c r="H274" s="1963"/>
      <c r="I274" s="1963"/>
      <c r="J274" s="1963"/>
      <c r="K274" s="1963"/>
      <c r="L274" s="1963"/>
      <c r="M274" s="1963"/>
      <c r="N274" s="1963"/>
      <c r="O274" s="6"/>
      <c r="P274" s="6"/>
      <c r="Q274" s="7"/>
      <c r="R274" s="2"/>
      <c r="S274" s="715" t="s">
        <v>2206</v>
      </c>
      <c r="T274" s="390" t="str">
        <f>IF(M209&lt;&gt;EUconst_Relevant,"",IF(COUNTIF(J227:N227,"&gt;"&amp;15%)&gt;0,IF(MSconst_RequireEnEffDetails,2,1),1))</f>
        <v/>
      </c>
      <c r="U274" s="343" t="s">
        <v>2196</v>
      </c>
      <c r="V274" s="2"/>
      <c r="W274" s="2"/>
      <c r="X274" s="2"/>
      <c r="Y274" s="2"/>
      <c r="Z274" s="343"/>
      <c r="AA274" s="343"/>
      <c r="AB274" s="343"/>
      <c r="AC274" s="2"/>
      <c r="AD274" s="2"/>
      <c r="AE274" s="349"/>
      <c r="AF274" s="349"/>
      <c r="AG274" s="349"/>
      <c r="AH274" s="349"/>
      <c r="AI274" s="349"/>
      <c r="AJ274" s="349"/>
      <c r="AK274" s="349"/>
      <c r="AL274" s="349"/>
      <c r="AM274" s="349"/>
    </row>
    <row r="275" spans="1:39" ht="12.75" customHeight="1" x14ac:dyDescent="0.25">
      <c r="A275" s="2"/>
      <c r="B275" s="3"/>
      <c r="C275" s="15"/>
      <c r="D275" s="15"/>
      <c r="E275" s="2061" t="str">
        <f>Translations!$B$1497</f>
        <v>Ange den energiförbrukning som kan tillskrivas varje produkt under punkt b) ovan enligt metoderna som beskrivs i övervakningsmetodplanen.</v>
      </c>
      <c r="F275" s="1963"/>
      <c r="G275" s="1963"/>
      <c r="H275" s="1963"/>
      <c r="I275" s="1963"/>
      <c r="J275" s="1963"/>
      <c r="K275" s="1963"/>
      <c r="L275" s="1963"/>
      <c r="M275" s="1963"/>
      <c r="N275" s="1963"/>
      <c r="O275" s="6"/>
      <c r="P275" s="6"/>
      <c r="Q275" s="7"/>
      <c r="R275" s="7"/>
      <c r="S275" s="7"/>
      <c r="T275" s="7"/>
      <c r="U275" s="7"/>
      <c r="V275" s="7"/>
      <c r="W275" s="7"/>
      <c r="X275" s="7"/>
      <c r="Y275" s="7"/>
      <c r="Z275" s="2"/>
      <c r="AA275" s="2"/>
      <c r="AB275" s="343"/>
      <c r="AC275" s="2"/>
      <c r="AD275" s="2"/>
      <c r="AE275" s="349"/>
      <c r="AF275" s="349"/>
      <c r="AG275" s="349"/>
      <c r="AH275" s="349"/>
      <c r="AI275" s="349"/>
      <c r="AJ275" s="349"/>
      <c r="AK275" s="349"/>
      <c r="AL275" s="349"/>
      <c r="AM275" s="349"/>
    </row>
    <row r="276" spans="1:39" ht="12.75" customHeight="1" x14ac:dyDescent="0.25">
      <c r="A276" s="2"/>
      <c r="B276" s="19"/>
      <c r="C276" s="3"/>
      <c r="D276" s="3"/>
      <c r="E276" s="2070" t="str">
        <f>Translations!$B$1498</f>
        <v>Om den genomsnittliga årliga verksamhetsnivån har minskat med mer än 15 % kan du ange uppgifter här för att visa att denna minskning kan förklaras av förbättringar av energieffektiviteten.</v>
      </c>
      <c r="F276" s="2071"/>
      <c r="G276" s="2071"/>
      <c r="H276" s="2071"/>
      <c r="I276" s="2071"/>
      <c r="J276" s="2071"/>
      <c r="K276" s="2071"/>
      <c r="L276" s="2071"/>
      <c r="M276" s="2071"/>
      <c r="N276" s="2071"/>
      <c r="O276" s="6"/>
      <c r="P276" s="978"/>
      <c r="Q276" s="2"/>
      <c r="R276" s="2"/>
      <c r="S276" s="2"/>
      <c r="T276" s="2"/>
      <c r="U276" s="2"/>
      <c r="V276" s="2"/>
      <c r="W276" s="2"/>
      <c r="X276" s="2"/>
      <c r="Y276" s="2"/>
      <c r="Z276" s="343"/>
      <c r="AA276" s="343"/>
      <c r="AB276" s="343"/>
      <c r="AC276" s="343"/>
      <c r="AD276" s="2"/>
      <c r="AE276" s="349"/>
      <c r="AF276" s="349"/>
      <c r="AG276" s="349"/>
      <c r="AH276" s="349"/>
      <c r="AI276" s="349"/>
      <c r="AJ276" s="349"/>
      <c r="AK276" s="349"/>
      <c r="AL276" s="349"/>
      <c r="AM276" s="349"/>
    </row>
    <row r="277" spans="1:39" ht="12.75" customHeight="1" x14ac:dyDescent="0.25">
      <c r="A277" s="2"/>
      <c r="B277" s="19"/>
      <c r="C277" s="3"/>
      <c r="D277" s="3"/>
      <c r="E277" s="2070" t="str">
        <f>Translations!$B$1499</f>
        <v>Uppgifter här är endast obligatoriska för alla år om SAMTLIGA följande villkor uppfylls:</v>
      </c>
      <c r="F277" s="2071"/>
      <c r="G277" s="2071"/>
      <c r="H277" s="2071"/>
      <c r="I277" s="2071"/>
      <c r="J277" s="2071"/>
      <c r="K277" s="2071"/>
      <c r="L277" s="2071"/>
      <c r="M277" s="2071"/>
      <c r="N277" s="2071"/>
      <c r="O277" s="6"/>
      <c r="P277" s="6"/>
      <c r="Q277" s="2"/>
      <c r="R277" s="2"/>
      <c r="S277" s="2"/>
      <c r="T277" s="2"/>
      <c r="U277" s="2"/>
      <c r="V277" s="2"/>
      <c r="W277" s="2"/>
      <c r="X277" s="2"/>
      <c r="Y277" s="2"/>
      <c r="Z277" s="343"/>
      <c r="AA277" s="343"/>
      <c r="AB277" s="343"/>
      <c r="AC277" s="343"/>
      <c r="AD277" s="2"/>
      <c r="AE277" s="349"/>
      <c r="AF277" s="349"/>
      <c r="AG277" s="349"/>
      <c r="AH277" s="349"/>
      <c r="AI277" s="349"/>
      <c r="AJ277" s="349"/>
      <c r="AK277" s="349"/>
      <c r="AL277" s="349"/>
      <c r="AM277" s="349"/>
    </row>
    <row r="278" spans="1:39" ht="12.75" customHeight="1" x14ac:dyDescent="0.25">
      <c r="A278" s="2"/>
      <c r="B278" s="19"/>
      <c r="C278" s="3"/>
      <c r="D278" s="3"/>
      <c r="E278" s="486" t="s">
        <v>1112</v>
      </c>
      <c r="F278" s="2070" t="str">
        <f>Translations!$B$1500</f>
        <v>Den genomsnittliga årliga verksamhetsnivån enligt a) har ökat med mer än 15 % jämfört med den historiska verksamhetsnivån under något år.</v>
      </c>
      <c r="G278" s="2071"/>
      <c r="H278" s="2071"/>
      <c r="I278" s="2071"/>
      <c r="J278" s="2071"/>
      <c r="K278" s="2071"/>
      <c r="L278" s="2071"/>
      <c r="M278" s="2071"/>
      <c r="N278" s="2071"/>
      <c r="O278" s="6"/>
      <c r="P278" s="978"/>
      <c r="Q278" s="2"/>
      <c r="R278" s="2"/>
      <c r="S278" s="2"/>
      <c r="T278" s="2"/>
      <c r="U278" s="2"/>
      <c r="V278" s="2"/>
      <c r="W278" s="2"/>
      <c r="X278" s="2"/>
      <c r="Y278" s="2"/>
      <c r="Z278" s="343"/>
      <c r="AA278" s="343"/>
      <c r="AB278" s="343"/>
      <c r="AC278" s="343"/>
      <c r="AD278" s="2"/>
      <c r="AE278" s="349"/>
      <c r="AF278" s="349"/>
      <c r="AG278" s="349"/>
      <c r="AH278" s="349"/>
      <c r="AI278" s="349"/>
      <c r="AJ278" s="349"/>
      <c r="AK278" s="349"/>
      <c r="AL278" s="349"/>
      <c r="AM278" s="349"/>
    </row>
    <row r="279" spans="1:39" ht="12.75" customHeight="1" x14ac:dyDescent="0.25">
      <c r="A279" s="2"/>
      <c r="B279" s="19"/>
      <c r="C279" s="3"/>
      <c r="D279" s="3"/>
      <c r="E279" s="486" t="s">
        <v>1112</v>
      </c>
      <c r="F279" s="2070" t="str">
        <f>Translations!$B$1501</f>
        <v>Värmen används för ”produktion av varor” OCH ”inom anläggningen” enligt punkt b) ovan.</v>
      </c>
      <c r="G279" s="2071"/>
      <c r="H279" s="2071"/>
      <c r="I279" s="2071"/>
      <c r="J279" s="2071"/>
      <c r="K279" s="2071"/>
      <c r="L279" s="2071"/>
      <c r="M279" s="2071"/>
      <c r="N279" s="2071"/>
      <c r="O279" s="6"/>
      <c r="P279" s="978"/>
      <c r="Q279" s="2"/>
      <c r="R279" s="2"/>
      <c r="S279" s="2"/>
      <c r="T279" s="2"/>
      <c r="U279" s="2"/>
      <c r="V279" s="2"/>
      <c r="W279" s="2"/>
      <c r="X279" s="2"/>
      <c r="Y279" s="2"/>
      <c r="Z279" s="343"/>
      <c r="AA279" s="343"/>
      <c r="AB279" s="343"/>
      <c r="AC279" s="343"/>
      <c r="AD279" s="2"/>
      <c r="AE279" s="349"/>
      <c r="AF279" s="349"/>
      <c r="AG279" s="349"/>
      <c r="AH279" s="349"/>
      <c r="AI279" s="349"/>
      <c r="AJ279" s="349"/>
      <c r="AK279" s="349"/>
      <c r="AL279" s="349"/>
      <c r="AM279" s="349"/>
    </row>
    <row r="280" spans="1:39" ht="12.75" customHeight="1" x14ac:dyDescent="0.25">
      <c r="A280" s="2"/>
      <c r="B280" s="19"/>
      <c r="C280" s="3"/>
      <c r="D280" s="3"/>
      <c r="E280" s="486" t="s">
        <v>1112</v>
      </c>
      <c r="F280" s="2070" t="str">
        <f>Translations!$B$1502</f>
        <v>Medlemsstaten har valt att uppgifterna ska vara obligatoriska som standard om ovanstående villkor uppfylls.</v>
      </c>
      <c r="G280" s="2071"/>
      <c r="H280" s="2071"/>
      <c r="I280" s="2071"/>
      <c r="J280" s="2071"/>
      <c r="K280" s="2071"/>
      <c r="L280" s="2071"/>
      <c r="M280" s="2071"/>
      <c r="N280" s="2071"/>
      <c r="O280" s="6"/>
      <c r="P280" s="978"/>
      <c r="Q280" s="2"/>
      <c r="R280" s="2"/>
      <c r="S280" s="2"/>
      <c r="T280" s="2"/>
      <c r="U280" s="2"/>
      <c r="V280" s="2"/>
      <c r="W280" s="2"/>
      <c r="X280" s="2"/>
      <c r="Y280" s="2"/>
      <c r="Z280" s="343"/>
      <c r="AA280" s="343"/>
      <c r="AB280" s="343"/>
      <c r="AC280" s="343"/>
      <c r="AD280" s="2"/>
      <c r="AE280" s="349"/>
      <c r="AF280" s="349"/>
      <c r="AG280" s="349"/>
      <c r="AH280" s="349"/>
      <c r="AI280" s="349"/>
      <c r="AJ280" s="349"/>
      <c r="AK280" s="349"/>
      <c r="AL280" s="349"/>
      <c r="AM280" s="349"/>
    </row>
    <row r="281" spans="1:39" ht="12.75" customHeight="1" x14ac:dyDescent="0.25">
      <c r="A281" s="2"/>
      <c r="B281" s="19"/>
      <c r="C281" s="3"/>
      <c r="D281" s="3"/>
      <c r="E281" s="2061" t="str">
        <f>Translations!$B$1503</f>
        <v>Observera att uppgifterna i samtliga andra fall antingen inte är relevanta eller är valfria (indikeras) och kommer inte att tas i beaktande vid bedömningen av förbättrad energieffektivitet i följande steg nedan.</v>
      </c>
      <c r="F281" s="1963"/>
      <c r="G281" s="1963"/>
      <c r="H281" s="1963"/>
      <c r="I281" s="1963"/>
      <c r="J281" s="1963"/>
      <c r="K281" s="1963"/>
      <c r="L281" s="1963"/>
      <c r="M281" s="1963"/>
      <c r="N281" s="1963"/>
      <c r="O281" s="6"/>
      <c r="P281" s="978"/>
      <c r="Q281" s="2"/>
      <c r="R281" s="2"/>
      <c r="S281" s="2"/>
      <c r="T281" s="2"/>
      <c r="U281" s="2"/>
      <c r="V281" s="2"/>
      <c r="W281" s="2"/>
      <c r="X281" s="2"/>
      <c r="Y281" s="2"/>
      <c r="Z281" s="343"/>
      <c r="AA281" s="343"/>
      <c r="AB281" s="343"/>
      <c r="AC281" s="343"/>
      <c r="AD281" s="2"/>
      <c r="AE281" s="349"/>
      <c r="AF281" s="349"/>
      <c r="AG281" s="349"/>
      <c r="AH281" s="349"/>
      <c r="AI281" s="349"/>
      <c r="AJ281" s="349"/>
      <c r="AK281" s="349"/>
      <c r="AL281" s="349"/>
      <c r="AM281" s="349"/>
    </row>
    <row r="282" spans="1:39" ht="12.75" customHeight="1" x14ac:dyDescent="0.25">
      <c r="A282" s="2"/>
      <c r="B282" s="19"/>
      <c r="C282" s="3"/>
      <c r="D282" s="3"/>
      <c r="E282" s="2061" t="str">
        <f>Translations!$B$1504</f>
        <v>Ytterligare vägledning finns i avsnitt 6.1 i vägledningsdokument 7.</v>
      </c>
      <c r="F282" s="1963"/>
      <c r="G282" s="1963"/>
      <c r="H282" s="1963"/>
      <c r="I282" s="1963"/>
      <c r="J282" s="1963"/>
      <c r="K282" s="1963"/>
      <c r="L282" s="1963"/>
      <c r="M282" s="1963"/>
      <c r="N282" s="1963"/>
      <c r="O282" s="6"/>
      <c r="P282" s="978"/>
      <c r="Q282" s="2"/>
      <c r="R282" s="2"/>
      <c r="S282" s="2"/>
      <c r="T282" s="2"/>
      <c r="U282" s="2"/>
      <c r="V282" s="2"/>
      <c r="W282" s="2"/>
      <c r="X282" s="2"/>
      <c r="Y282" s="2"/>
      <c r="Z282" s="343"/>
      <c r="AA282" s="343"/>
      <c r="AB282" s="343"/>
      <c r="AC282" s="343"/>
      <c r="AD282" s="2"/>
      <c r="AE282" s="349"/>
      <c r="AF282" s="349"/>
      <c r="AG282" s="349"/>
      <c r="AH282" s="349"/>
      <c r="AI282" s="349"/>
      <c r="AJ282" s="349"/>
      <c r="AK282" s="349"/>
      <c r="AL282" s="349"/>
      <c r="AM282" s="349"/>
    </row>
    <row r="283" spans="1:39" ht="5.15" customHeight="1" x14ac:dyDescent="0.25">
      <c r="A283" s="2"/>
      <c r="B283" s="19"/>
      <c r="C283" s="3"/>
      <c r="D283" s="3"/>
      <c r="E283" s="2061"/>
      <c r="F283" s="1963"/>
      <c r="G283" s="1963"/>
      <c r="H283" s="1963"/>
      <c r="I283" s="1963"/>
      <c r="J283" s="1963"/>
      <c r="K283" s="1963"/>
      <c r="L283" s="1963"/>
      <c r="M283" s="1963"/>
      <c r="N283" s="1963"/>
      <c r="O283" s="6"/>
      <c r="P283" s="978"/>
      <c r="Q283" s="2"/>
      <c r="R283" s="2"/>
      <c r="S283" s="2"/>
      <c r="T283" s="2"/>
      <c r="U283" s="2"/>
      <c r="V283" s="2"/>
      <c r="W283" s="2"/>
      <c r="X283" s="2"/>
      <c r="Y283" s="2"/>
      <c r="Z283" s="343"/>
      <c r="AA283" s="343"/>
      <c r="AB283" s="343"/>
      <c r="AC283" s="343"/>
      <c r="AD283" s="2"/>
      <c r="AE283" s="349"/>
      <c r="AF283" s="349"/>
      <c r="AG283" s="349"/>
      <c r="AH283" s="349"/>
      <c r="AI283" s="349"/>
      <c r="AJ283" s="349"/>
      <c r="AK283" s="349"/>
      <c r="AL283" s="349"/>
      <c r="AM283" s="349"/>
    </row>
    <row r="284" spans="1:39" s="1195" customFormat="1" ht="25.5" customHeight="1" thickBot="1" x14ac:dyDescent="0.35">
      <c r="A284" s="1189"/>
      <c r="B284" s="1190"/>
      <c r="C284" s="1191"/>
      <c r="D284" s="1192"/>
      <c r="E284" s="866" t="str">
        <f t="shared" ref="E284:E294" si="114">E261</f>
        <v>Produktnamn eller annan värmeexport än ”fjärrvärme”</v>
      </c>
      <c r="F284" s="1095" t="str">
        <f>EUconst_Unit</f>
        <v>Enhet</v>
      </c>
      <c r="G284" s="1204" t="str">
        <f>Translations!$B$1495</f>
        <v>NIMs-värde</v>
      </c>
      <c r="H284" s="1205">
        <f t="shared" ref="H284:N284" si="115">H$950</f>
        <v>2019</v>
      </c>
      <c r="I284" s="1204">
        <f t="shared" si="115"/>
        <v>2020</v>
      </c>
      <c r="J284" s="1205">
        <f t="shared" si="115"/>
        <v>2021</v>
      </c>
      <c r="K284" s="1193">
        <f t="shared" si="115"/>
        <v>2022</v>
      </c>
      <c r="L284" s="1193">
        <f t="shared" si="115"/>
        <v>2023</v>
      </c>
      <c r="M284" s="1193">
        <f t="shared" si="115"/>
        <v>2024</v>
      </c>
      <c r="N284" s="1193">
        <f t="shared" si="115"/>
        <v>2025</v>
      </c>
      <c r="O284" s="6"/>
      <c r="P284" s="978"/>
      <c r="Q284" s="1189"/>
      <c r="R284" s="1189"/>
      <c r="S284" s="7" t="s">
        <v>1875</v>
      </c>
      <c r="T284" s="1189">
        <f t="shared" ref="T284:Z284" si="116">H284</f>
        <v>2019</v>
      </c>
      <c r="U284" s="1189">
        <f t="shared" si="116"/>
        <v>2020</v>
      </c>
      <c r="V284" s="1189">
        <f t="shared" si="116"/>
        <v>2021</v>
      </c>
      <c r="W284" s="1189">
        <f t="shared" si="116"/>
        <v>2022</v>
      </c>
      <c r="X284" s="1189">
        <f t="shared" si="116"/>
        <v>2023</v>
      </c>
      <c r="Y284" s="1189">
        <f t="shared" si="116"/>
        <v>2024</v>
      </c>
      <c r="Z284" s="1189">
        <f t="shared" si="116"/>
        <v>2025</v>
      </c>
      <c r="AA284" s="1189"/>
      <c r="AB284" s="7" t="s">
        <v>1846</v>
      </c>
      <c r="AC284" s="1189">
        <f t="shared" ref="AC284:AI284" si="117">H284</f>
        <v>2019</v>
      </c>
      <c r="AD284" s="1189">
        <f t="shared" si="117"/>
        <v>2020</v>
      </c>
      <c r="AE284" s="1189">
        <f t="shared" si="117"/>
        <v>2021</v>
      </c>
      <c r="AF284" s="1189">
        <f t="shared" si="117"/>
        <v>2022</v>
      </c>
      <c r="AG284" s="1189">
        <f t="shared" si="117"/>
        <v>2023</v>
      </c>
      <c r="AH284" s="1194">
        <f t="shared" si="117"/>
        <v>2024</v>
      </c>
      <c r="AI284" s="1194">
        <f t="shared" si="117"/>
        <v>2025</v>
      </c>
      <c r="AJ284" s="1194"/>
      <c r="AK284" s="1194"/>
      <c r="AL284" s="1194"/>
      <c r="AM284" s="1194"/>
    </row>
    <row r="285" spans="1:39" ht="12.75" customHeight="1" x14ac:dyDescent="0.25">
      <c r="A285" s="2"/>
      <c r="B285" s="19"/>
      <c r="C285" s="45"/>
      <c r="D285" s="32">
        <v>1</v>
      </c>
      <c r="E285" s="1037" t="str">
        <f t="shared" si="114"/>
        <v/>
      </c>
      <c r="F285" s="549" t="str">
        <f t="shared" ref="F285:F296" si="118">EUconst_TJ</f>
        <v>TJ</v>
      </c>
      <c r="G285" s="1292"/>
      <c r="H285" s="1106"/>
      <c r="I285" s="467"/>
      <c r="J285" s="1106"/>
      <c r="K285" s="383"/>
      <c r="L285" s="383"/>
      <c r="M285" s="383"/>
      <c r="N285" s="383"/>
      <c r="O285" s="6"/>
      <c r="P285" s="1362"/>
      <c r="Q285" s="2"/>
      <c r="R285" s="2"/>
      <c r="S285" s="1186" t="str">
        <f>IF($M209&lt;&gt;EUconst_Relevant,"",
IF($V209&gt;($J$950-3),
              IF(INDEX(H262:N262,MATCH($V209,$T284:$Z284,0))=0,0,INDEX(H285:N285,MATCH($V209,$T284:$Z284,0))/INDEX(H262:N262,MATCH($V209,$T284:$Z284,0))),
                             IF(ISNUMBER(G262),
                                            IF(OR(G262=0,$S245=FALSE),0,G285/G262),"")))</f>
        <v/>
      </c>
      <c r="T285" s="1908" t="str">
        <f>IF($E262="","",IF($S245=FALSE,0,IF(SUM($S285)=0,SUM(H285),SUM(H262)*SUM($S285))))</f>
        <v/>
      </c>
      <c r="U285" s="1908" t="str">
        <f t="shared" ref="U285:U294" si="119">IF($E262="","",IF($S245=FALSE,0,IF(SUM($S285)=0,SUM(I285),SUM(I262)*SUM($S285))))</f>
        <v/>
      </c>
      <c r="V285" s="1908" t="str">
        <f t="shared" ref="V285:V294" si="120">IF($E262="","",IF($S245=FALSE,0,IF(SUM($S285)=0,SUM(J285),SUM(J262)*SUM($S285))))</f>
        <v/>
      </c>
      <c r="W285" s="1908" t="str">
        <f t="shared" ref="W285:W294" si="121">IF($E262="","",IF($S245=FALSE,0,IF(SUM($S285)=0,SUM(K285),SUM(K262)*SUM($S285))))</f>
        <v/>
      </c>
      <c r="X285" s="1908" t="str">
        <f t="shared" ref="X285:X294" si="122">IF($E262="","",IF($S245=FALSE,0,IF(SUM($S285)=0,SUM(L285),SUM(L262)*SUM($S285))))</f>
        <v/>
      </c>
      <c r="Y285" s="1908" t="str">
        <f t="shared" ref="Y285:Y294" si="123">IF($E262="","",IF($S245=FALSE,0,IF(SUM($S285)=0,SUM(M285),SUM(M262)*SUM($S285))))</f>
        <v/>
      </c>
      <c r="Z285" s="1909" t="str">
        <f t="shared" ref="Z285:Z294" si="124">IF($E262="","",IF($S245=FALSE,0,IF(SUM($S285)=0,SUM(N285),SUM(N262)*SUM($S285))))</f>
        <v/>
      </c>
      <c r="AA285" s="1185" t="s">
        <v>1899</v>
      </c>
      <c r="AB285" s="1172">
        <f>AC285</f>
        <v>2</v>
      </c>
      <c r="AC285" s="1174">
        <f>IF(CNTR_ExistSubInstEntries,IF(OR($M209&lt;&gt;EUconst_Relevant,AC284&gt;=CNTR_ReportingYear,AC284&lt;V209-1,$E285=""),0,IF(AND($T274=2,$S245),2,1)),2)</f>
        <v>2</v>
      </c>
      <c r="AD285" s="1173">
        <f>IF(CNTR_ExistSubInstEntries,IF(OR($M209&lt;&gt;EUconst_Relevant,AD284&gt;=CNTR_ReportingYear,AD284&lt;V209-1,$E285=""),0,IF(AND($T274=2,$S245),2,1)),2)</f>
        <v>2</v>
      </c>
      <c r="AE285" s="1173">
        <f>IF(CNTR_ExistSubInstEntries,IF(OR($M209&lt;&gt;EUconst_Relevant,AE284&gt;=CNTR_ReportingYear,AE284&lt;V209-1,$E285=""),0,IF(AND($T274=2,$S245),2,1)),2)</f>
        <v>2</v>
      </c>
      <c r="AF285" s="1173">
        <f>IF(CNTR_ExistSubInstEntries,IF(OR($M209&lt;&gt;EUconst_Relevant,AF284&gt;=CNTR_ReportingYear,AF284&lt;V209-1,$E285=""),0,IF(AND($T274=2,$S245),2,1)),2)</f>
        <v>2</v>
      </c>
      <c r="AG285" s="1173">
        <f>IF(CNTR_ExistSubInstEntries,IF(OR($M209&lt;&gt;EUconst_Relevant,AG284&gt;=CNTR_ReportingYear,AG284&lt;V209-1,$E285=""),0,IF(AND($T274=2,$S245),2,1)),2)</f>
        <v>2</v>
      </c>
      <c r="AH285" s="1175">
        <f>IF(CNTR_ExistSubInstEntries,IF(OR($M209&lt;&gt;EUconst_Relevant,AH284&gt;=CNTR_ReportingYear,AH284&lt;V209-1,$E285=""),0,IF(AND($T274=2,$S245),2,1)),2)</f>
        <v>2</v>
      </c>
      <c r="AI285" s="1176">
        <f>IF(CNTR_ExistSubInstEntries,IF(OR($M209&lt;&gt;EUconst_Relevant,AI284&gt;=CNTR_ReportingYear,AI284&lt;V209-1,$E285=""),0,IF(AND($T274=2,$S245),2,1)),2)</f>
        <v>2</v>
      </c>
      <c r="AJ285" s="349"/>
      <c r="AK285" s="553" t="s">
        <v>2248</v>
      </c>
      <c r="AL285" s="663" t="str">
        <f>IF(AND(CNTR_ExistSubInstEntries,COUNTIFS(AB285:AI285,2,G285:N285,"")&gt;0),EUconst_Error&amp;"FB"&amp;Q209,"")</f>
        <v/>
      </c>
      <c r="AM285" s="349"/>
    </row>
    <row r="286" spans="1:39" ht="12.75" customHeight="1" x14ac:dyDescent="0.25">
      <c r="A286" s="2"/>
      <c r="B286" s="19"/>
      <c r="C286" s="45"/>
      <c r="D286" s="33">
        <f>D285+1</f>
        <v>2</v>
      </c>
      <c r="E286" s="1036" t="str">
        <f t="shared" si="114"/>
        <v/>
      </c>
      <c r="F286" s="550" t="str">
        <f t="shared" si="118"/>
        <v>TJ</v>
      </c>
      <c r="G286" s="1291"/>
      <c r="H286" s="1120"/>
      <c r="I286" s="468"/>
      <c r="J286" s="1120"/>
      <c r="K286" s="431"/>
      <c r="L286" s="431"/>
      <c r="M286" s="431"/>
      <c r="N286" s="431"/>
      <c r="O286" s="6"/>
      <c r="P286" s="1362"/>
      <c r="Q286" s="2"/>
      <c r="R286" s="2"/>
      <c r="S286" s="1187" t="str">
        <f>IF($M209&lt;&gt;EUconst_Relevant,"",
IF($V209&gt;($J$950-3),
              IF(INDEX(H263:N263,MATCH($V209,$T284:$Z284,0))=0,0,INDEX(H286:N286,MATCH($V209,$T284:$Z284,0))/INDEX(H263:N263,MATCH($V209,$T284:$Z284,0))),
                             IF(ISNUMBER(G263),
                                            IF(OR(G263=0,$S246=FALSE),0,G286/G263),"")))</f>
        <v/>
      </c>
      <c r="T286" s="1910" t="str">
        <f t="shared" ref="T286:T294" si="125">IF($E263="","",IF($S246=FALSE,0,IF(SUM($S286)=0,SUM(H286),SUM(H263)*SUM($S286))))</f>
        <v/>
      </c>
      <c r="U286" s="1910" t="str">
        <f t="shared" si="119"/>
        <v/>
      </c>
      <c r="V286" s="1910" t="str">
        <f t="shared" si="120"/>
        <v/>
      </c>
      <c r="W286" s="1910" t="str">
        <f t="shared" si="121"/>
        <v/>
      </c>
      <c r="X286" s="1910" t="str">
        <f t="shared" si="122"/>
        <v/>
      </c>
      <c r="Y286" s="1910" t="str">
        <f t="shared" si="123"/>
        <v/>
      </c>
      <c r="Z286" s="1911" t="str">
        <f t="shared" si="124"/>
        <v/>
      </c>
      <c r="AA286" s="2"/>
      <c r="AB286" s="1177">
        <f t="shared" ref="AB286:AB294" si="126">AC286</f>
        <v>2</v>
      </c>
      <c r="AC286" s="935">
        <f>IF(CNTR_ExistSubInstEntries,IF(OR($M209&lt;&gt;EUconst_Relevant,AC284&gt;=CNTR_ReportingYear,AC284&lt;V209-1,$E286=""),0,IF(AND($T274=2,$S246),2,1)),2)</f>
        <v>2</v>
      </c>
      <c r="AD286" s="935">
        <f>IF(CNTR_ExistSubInstEntries,IF(OR($M209&lt;&gt;EUconst_Relevant,AD284&gt;=CNTR_ReportingYear,AD284&lt;V209-1,$E286=""),0,IF(AND($T274=2,$S246),2,1)),2)</f>
        <v>2</v>
      </c>
      <c r="AE286" s="935">
        <f>IF(CNTR_ExistSubInstEntries,IF(OR($M209&lt;&gt;EUconst_Relevant,AE284&gt;=CNTR_ReportingYear,AE284&lt;V209-1,$E286=""),0,IF(AND($T274=2,$S246),2,1)),2)</f>
        <v>2</v>
      </c>
      <c r="AF286" s="935">
        <f>IF(CNTR_ExistSubInstEntries,IF(OR($M209&lt;&gt;EUconst_Relevant,AF284&gt;=CNTR_ReportingYear,AF284&lt;V209-1,$E286=""),0,IF(AND($T274=2,$S246),2,1)),2)</f>
        <v>2</v>
      </c>
      <c r="AG286" s="935">
        <f>IF(CNTR_ExistSubInstEntries,IF(OR($M209&lt;&gt;EUconst_Relevant,AG284&gt;=CNTR_ReportingYear,AG284&lt;V209-1,$E286=""),0,IF(AND($T274=2,$S246),2,1)),2)</f>
        <v>2</v>
      </c>
      <c r="AH286" s="935">
        <f>IF(CNTR_ExistSubInstEntries,IF(OR($M209&lt;&gt;EUconst_Relevant,AH284&gt;=CNTR_ReportingYear,AH284&lt;V209-1,$E286=""),0,IF(AND($T274=2,$S246),2,1)),2)</f>
        <v>2</v>
      </c>
      <c r="AI286" s="1183">
        <f>IF(CNTR_ExistSubInstEntries,IF(OR($M209&lt;&gt;EUconst_Relevant,AI284&gt;=CNTR_ReportingYear,AI284&lt;V209-1,$E286=""),0,IF(AND($T274=2,$S246),2,1)),2)</f>
        <v>2</v>
      </c>
      <c r="AJ286" s="349"/>
      <c r="AK286" s="553" t="s">
        <v>2248</v>
      </c>
      <c r="AL286" s="663" t="str">
        <f>IF(AND(CNTR_ExistSubInstEntries,COUNTIFS(AB286:AI286,2,G286:N286,"")&gt;0),EUconst_Error&amp;"FB"&amp;Q209,"")</f>
        <v/>
      </c>
      <c r="AM286" s="349"/>
    </row>
    <row r="287" spans="1:39" ht="12.75" customHeight="1" x14ac:dyDescent="0.25">
      <c r="A287" s="2"/>
      <c r="B287" s="19"/>
      <c r="C287" s="45"/>
      <c r="D287" s="33">
        <f t="shared" ref="D287:D294" si="127">D286+1</f>
        <v>3</v>
      </c>
      <c r="E287" s="1036" t="str">
        <f t="shared" si="114"/>
        <v/>
      </c>
      <c r="F287" s="550" t="str">
        <f t="shared" si="118"/>
        <v>TJ</v>
      </c>
      <c r="G287" s="468"/>
      <c r="H287" s="1120"/>
      <c r="I287" s="468"/>
      <c r="J287" s="1120"/>
      <c r="K287" s="431"/>
      <c r="L287" s="431"/>
      <c r="M287" s="431"/>
      <c r="N287" s="431"/>
      <c r="O287" s="6"/>
      <c r="P287" s="1362"/>
      <c r="Q287" s="2"/>
      <c r="R287" s="2"/>
      <c r="S287" s="1187" t="str">
        <f>IF($M209&lt;&gt;EUconst_Relevant,"",
IF($V209&gt;($J$950-3),
              IF(INDEX(H264:N264,MATCH($V209,$T284:$Z284,0))=0,0,INDEX(H287:N287,MATCH($V209,$T284:$Z284,0))/INDEX(H264:N264,MATCH($V209,$T284:$Z284,0))),
                             IF(ISNUMBER(G264),
                                            IF(OR(G264=0,$S247=FALSE),0,G287/G264),"")))</f>
        <v/>
      </c>
      <c r="T287" s="1910" t="str">
        <f t="shared" si="125"/>
        <v/>
      </c>
      <c r="U287" s="1910" t="str">
        <f t="shared" si="119"/>
        <v/>
      </c>
      <c r="V287" s="1910" t="str">
        <f t="shared" si="120"/>
        <v/>
      </c>
      <c r="W287" s="1910" t="str">
        <f t="shared" si="121"/>
        <v/>
      </c>
      <c r="X287" s="1910" t="str">
        <f t="shared" si="122"/>
        <v/>
      </c>
      <c r="Y287" s="1910" t="str">
        <f t="shared" si="123"/>
        <v/>
      </c>
      <c r="Z287" s="1911" t="str">
        <f t="shared" si="124"/>
        <v/>
      </c>
      <c r="AA287" s="2"/>
      <c r="AB287" s="1177">
        <f t="shared" si="126"/>
        <v>2</v>
      </c>
      <c r="AC287" s="935">
        <f>IF(CNTR_ExistSubInstEntries,IF(OR($M209&lt;&gt;EUconst_Relevant,AC284&gt;=CNTR_ReportingYear,AC284&lt;V209-1,$E287=""),0,IF(AND($T274=2,$S247),2,1)),2)</f>
        <v>2</v>
      </c>
      <c r="AD287" s="935">
        <f>IF(CNTR_ExistSubInstEntries,IF(OR($M209&lt;&gt;EUconst_Relevant,AD284&gt;=CNTR_ReportingYear,AD284&lt;V209-1,$E287=""),0,IF(AND($T274=2,$S247),2,1)),2)</f>
        <v>2</v>
      </c>
      <c r="AE287" s="935">
        <f>IF(CNTR_ExistSubInstEntries,IF(OR($M209&lt;&gt;EUconst_Relevant,AE284&gt;=CNTR_ReportingYear,AE284&lt;V209-1,$E287=""),0,IF(AND($T274=2,$S247),2,1)),2)</f>
        <v>2</v>
      </c>
      <c r="AF287" s="935">
        <f>IF(CNTR_ExistSubInstEntries,IF(OR($M209&lt;&gt;EUconst_Relevant,AF284&gt;=CNTR_ReportingYear,AF284&lt;V209-1,$E287=""),0,IF(AND($T274=2,$S247),2,1)),2)</f>
        <v>2</v>
      </c>
      <c r="AG287" s="935">
        <f>IF(CNTR_ExistSubInstEntries,IF(OR($M209&lt;&gt;EUconst_Relevant,AG284&gt;=CNTR_ReportingYear,AG284&lt;V209-1,$E287=""),0,IF(AND($T274=2,$S247),2,1)),2)</f>
        <v>2</v>
      </c>
      <c r="AH287" s="935">
        <f>IF(CNTR_ExistSubInstEntries,IF(OR($M209&lt;&gt;EUconst_Relevant,AH284&gt;=CNTR_ReportingYear,AH284&lt;V209-1,$E287=""),0,IF(AND($T274=2,$S247),2,1)),2)</f>
        <v>2</v>
      </c>
      <c r="AI287" s="1183">
        <f>IF(CNTR_ExistSubInstEntries,IF(OR($M209&lt;&gt;EUconst_Relevant,AI284&gt;=CNTR_ReportingYear,AI284&lt;V209-1,$E287=""),0,IF(AND($T274=2,$S247),2,1)),2)</f>
        <v>2</v>
      </c>
      <c r="AJ287" s="349"/>
      <c r="AK287" s="553" t="s">
        <v>2248</v>
      </c>
      <c r="AL287" s="663" t="str">
        <f>IF(AND(CNTR_ExistSubInstEntries,COUNTIFS(AB287:AI287,2,G287:N287,"")&gt;0),EUconst_Error&amp;"FB"&amp;Q209,"")</f>
        <v/>
      </c>
      <c r="AM287" s="349"/>
    </row>
    <row r="288" spans="1:39" ht="12.75" customHeight="1" x14ac:dyDescent="0.25">
      <c r="A288" s="2"/>
      <c r="B288" s="19"/>
      <c r="C288" s="45"/>
      <c r="D288" s="33">
        <f t="shared" si="127"/>
        <v>4</v>
      </c>
      <c r="E288" s="1036" t="str">
        <f t="shared" si="114"/>
        <v/>
      </c>
      <c r="F288" s="550" t="str">
        <f t="shared" si="118"/>
        <v>TJ</v>
      </c>
      <c r="G288" s="468"/>
      <c r="H288" s="1120"/>
      <c r="I288" s="468"/>
      <c r="J288" s="1120"/>
      <c r="K288" s="431"/>
      <c r="L288" s="431"/>
      <c r="M288" s="431"/>
      <c r="N288" s="431"/>
      <c r="O288" s="6"/>
      <c r="P288" s="1362"/>
      <c r="Q288" s="2"/>
      <c r="R288" s="2"/>
      <c r="S288" s="1187" t="str">
        <f>IF($M209&lt;&gt;EUconst_Relevant,"",
IF($V209&gt;($J$950-3),
              IF(INDEX(H265:N265,MATCH($V209,$T284:$Z284,0))=0,0,INDEX(H288:N288,MATCH($V209,$T284:$Z284,0))/INDEX(H265:N265,MATCH($V209,$T284:$Z284,0))),
                             IF(ISNUMBER(G265),
                                            IF(OR(G265=0,$S248=FALSE),0,G288/G265),"")))</f>
        <v/>
      </c>
      <c r="T288" s="1910" t="str">
        <f t="shared" si="125"/>
        <v/>
      </c>
      <c r="U288" s="1910" t="str">
        <f t="shared" si="119"/>
        <v/>
      </c>
      <c r="V288" s="1910" t="str">
        <f t="shared" si="120"/>
        <v/>
      </c>
      <c r="W288" s="1910" t="str">
        <f t="shared" si="121"/>
        <v/>
      </c>
      <c r="X288" s="1910" t="str">
        <f t="shared" si="122"/>
        <v/>
      </c>
      <c r="Y288" s="1910" t="str">
        <f t="shared" si="123"/>
        <v/>
      </c>
      <c r="Z288" s="1911" t="str">
        <f t="shared" si="124"/>
        <v/>
      </c>
      <c r="AA288" s="2"/>
      <c r="AB288" s="1177">
        <f t="shared" si="126"/>
        <v>2</v>
      </c>
      <c r="AC288" s="935">
        <f>IF(CNTR_ExistSubInstEntries,IF(OR($M209&lt;&gt;EUconst_Relevant,AC284&gt;=CNTR_ReportingYear,AC284&lt;V209-1,$E288=""),0,IF(AND($T274=2,$S248),2,1)),2)</f>
        <v>2</v>
      </c>
      <c r="AD288" s="935">
        <f>IF(CNTR_ExistSubInstEntries,IF(OR($M209&lt;&gt;EUconst_Relevant,AD284&gt;=CNTR_ReportingYear,AD284&lt;V209-1,$E288=""),0,IF(AND($T274=2,$S248),2,1)),2)</f>
        <v>2</v>
      </c>
      <c r="AE288" s="935">
        <f>IF(CNTR_ExistSubInstEntries,IF(OR($M209&lt;&gt;EUconst_Relevant,AE284&gt;=CNTR_ReportingYear,AE284&lt;V209-1,$E288=""),0,IF(AND($T274=2,$S248),2,1)),2)</f>
        <v>2</v>
      </c>
      <c r="AF288" s="935">
        <f>IF(CNTR_ExistSubInstEntries,IF(OR($M209&lt;&gt;EUconst_Relevant,AF284&gt;=CNTR_ReportingYear,AF284&lt;V209-1,$E288=""),0,IF(AND($T274=2,$S248),2,1)),2)</f>
        <v>2</v>
      </c>
      <c r="AG288" s="935">
        <f>IF(CNTR_ExistSubInstEntries,IF(OR($M209&lt;&gt;EUconst_Relevant,AG284&gt;=CNTR_ReportingYear,AG284&lt;V209-1,$E288=""),0,IF(AND($T274=2,$S248),2,1)),2)</f>
        <v>2</v>
      </c>
      <c r="AH288" s="935">
        <f>IF(CNTR_ExistSubInstEntries,IF(OR($M209&lt;&gt;EUconst_Relevant,AH284&gt;=CNTR_ReportingYear,AH284&lt;V209-1,$E288=""),0,IF(AND($T274=2,$S248),2,1)),2)</f>
        <v>2</v>
      </c>
      <c r="AI288" s="1183">
        <f>IF(CNTR_ExistSubInstEntries,IF(OR($M209&lt;&gt;EUconst_Relevant,AI284&gt;=CNTR_ReportingYear,AI284&lt;V209-1,$E288=""),0,IF(AND($T274=2,$S248),2,1)),2)</f>
        <v>2</v>
      </c>
      <c r="AJ288" s="349"/>
      <c r="AK288" s="553" t="s">
        <v>2248</v>
      </c>
      <c r="AL288" s="663" t="str">
        <f>IF(AND(CNTR_ExistSubInstEntries,COUNTIFS(AB288:AI288,2,G288:N288,"")&gt;0),EUconst_Error&amp;"FB"&amp;Q209,"")</f>
        <v/>
      </c>
      <c r="AM288" s="349"/>
    </row>
    <row r="289" spans="1:39" ht="12.75" customHeight="1" x14ac:dyDescent="0.25">
      <c r="A289" s="2"/>
      <c r="B289" s="19"/>
      <c r="C289" s="45"/>
      <c r="D289" s="33">
        <f t="shared" si="127"/>
        <v>5</v>
      </c>
      <c r="E289" s="1036" t="str">
        <f t="shared" si="114"/>
        <v/>
      </c>
      <c r="F289" s="550" t="str">
        <f t="shared" si="118"/>
        <v>TJ</v>
      </c>
      <c r="G289" s="468"/>
      <c r="H289" s="1120"/>
      <c r="I289" s="468"/>
      <c r="J289" s="1120"/>
      <c r="K289" s="431"/>
      <c r="L289" s="431"/>
      <c r="M289" s="431"/>
      <c r="N289" s="431"/>
      <c r="O289" s="6"/>
      <c r="P289" s="1362"/>
      <c r="Q289" s="2"/>
      <c r="R289" s="2"/>
      <c r="S289" s="1187" t="str">
        <f>IF($M209&lt;&gt;EUconst_Relevant,"",
IF($V209&gt;($J$950-3),
              IF(INDEX(H266:N266,MATCH($V209,$T284:$Z284,0))=0,0,INDEX(H289:N289,MATCH($V209,$T284:$Z284,0))/INDEX(H266:N266,MATCH($V209,$T284:$Z284,0))),
                             IF(ISNUMBER(G266),
                                            IF(OR(G266=0,$S249=FALSE),0,G289/G266),"")))</f>
        <v/>
      </c>
      <c r="T289" s="1910" t="str">
        <f t="shared" si="125"/>
        <v/>
      </c>
      <c r="U289" s="1910" t="str">
        <f t="shared" si="119"/>
        <v/>
      </c>
      <c r="V289" s="1910" t="str">
        <f t="shared" si="120"/>
        <v/>
      </c>
      <c r="W289" s="1910" t="str">
        <f t="shared" si="121"/>
        <v/>
      </c>
      <c r="X289" s="1910" t="str">
        <f t="shared" si="122"/>
        <v/>
      </c>
      <c r="Y289" s="1910" t="str">
        <f t="shared" si="123"/>
        <v/>
      </c>
      <c r="Z289" s="1911" t="str">
        <f t="shared" si="124"/>
        <v/>
      </c>
      <c r="AA289" s="2"/>
      <c r="AB289" s="1177">
        <f t="shared" si="126"/>
        <v>2</v>
      </c>
      <c r="AC289" s="935">
        <f>IF(CNTR_ExistSubInstEntries,IF(OR($M209&lt;&gt;EUconst_Relevant,AC284&gt;=CNTR_ReportingYear,AC284&lt;V209-1,$E289=""),0,IF(AND($T274=2,$S249),2,1)),2)</f>
        <v>2</v>
      </c>
      <c r="AD289" s="935">
        <f>IF(CNTR_ExistSubInstEntries,IF(OR($M209&lt;&gt;EUconst_Relevant,AD284&gt;=CNTR_ReportingYear,AD284&lt;V209-1,$E289=""),0,IF(AND($T274=2,$S249),2,1)),2)</f>
        <v>2</v>
      </c>
      <c r="AE289" s="935">
        <f>IF(CNTR_ExistSubInstEntries,IF(OR($M209&lt;&gt;EUconst_Relevant,AE284&gt;=CNTR_ReportingYear,AE284&lt;V209-1,$E289=""),0,IF(AND($T274=2,$S249),2,1)),2)</f>
        <v>2</v>
      </c>
      <c r="AF289" s="935">
        <f>IF(CNTR_ExistSubInstEntries,IF(OR($M209&lt;&gt;EUconst_Relevant,AF284&gt;=CNTR_ReportingYear,AF284&lt;V209-1,$E289=""),0,IF(AND($T274=2,$S249),2,1)),2)</f>
        <v>2</v>
      </c>
      <c r="AG289" s="935">
        <f>IF(CNTR_ExistSubInstEntries,IF(OR($M209&lt;&gt;EUconst_Relevant,AG284&gt;=CNTR_ReportingYear,AG284&lt;V209-1,$E289=""),0,IF(AND($T274=2,$S249),2,1)),2)</f>
        <v>2</v>
      </c>
      <c r="AH289" s="935">
        <f>IF(CNTR_ExistSubInstEntries,IF(OR($M209&lt;&gt;EUconst_Relevant,AH284&gt;=CNTR_ReportingYear,AH284&lt;V209-1,$E289=""),0,IF(AND($T274=2,$S249),2,1)),2)</f>
        <v>2</v>
      </c>
      <c r="AI289" s="1183">
        <f>IF(CNTR_ExistSubInstEntries,IF(OR($M209&lt;&gt;EUconst_Relevant,AI284&gt;=CNTR_ReportingYear,AI284&lt;V209-1,$E289=""),0,IF(AND($T274=2,$S249),2,1)),2)</f>
        <v>2</v>
      </c>
      <c r="AJ289" s="349"/>
      <c r="AK289" s="553" t="s">
        <v>2248</v>
      </c>
      <c r="AL289" s="663" t="str">
        <f>IF(AND(CNTR_ExistSubInstEntries,COUNTIFS(AB289:AI289,2,G289:N289,"")&gt;0),EUconst_Error&amp;"FB"&amp;Q209,"")</f>
        <v/>
      </c>
      <c r="AM289" s="349"/>
    </row>
    <row r="290" spans="1:39" ht="12.75" customHeight="1" x14ac:dyDescent="0.25">
      <c r="A290" s="2"/>
      <c r="B290" s="19"/>
      <c r="C290" s="45"/>
      <c r="D290" s="33">
        <f t="shared" si="127"/>
        <v>6</v>
      </c>
      <c r="E290" s="1036" t="str">
        <f t="shared" si="114"/>
        <v/>
      </c>
      <c r="F290" s="550" t="str">
        <f t="shared" si="118"/>
        <v>TJ</v>
      </c>
      <c r="G290" s="468"/>
      <c r="H290" s="1120"/>
      <c r="I290" s="468"/>
      <c r="J290" s="1120"/>
      <c r="K290" s="431"/>
      <c r="L290" s="431"/>
      <c r="M290" s="431"/>
      <c r="N290" s="431"/>
      <c r="O290" s="6"/>
      <c r="P290" s="1362"/>
      <c r="Q290" s="2"/>
      <c r="R290" s="2"/>
      <c r="S290" s="1187" t="str">
        <f>IF($M209&lt;&gt;EUconst_Relevant,"",
IF($V209&gt;($J$950-3),
              IF(INDEX(H267:N267,MATCH($V209,$T284:$Z284,0))=0,0,INDEX(H290:N290,MATCH($V209,$T284:$Z284,0))/INDEX(H267:N267,MATCH($V209,$T284:$Z284,0))),
                             IF(ISNUMBER(G267),
                                            IF(OR(G267=0,$S250=FALSE),0,G290/G267),"")))</f>
        <v/>
      </c>
      <c r="T290" s="1910" t="str">
        <f t="shared" si="125"/>
        <v/>
      </c>
      <c r="U290" s="1910" t="str">
        <f t="shared" si="119"/>
        <v/>
      </c>
      <c r="V290" s="1910" t="str">
        <f t="shared" si="120"/>
        <v/>
      </c>
      <c r="W290" s="1910" t="str">
        <f t="shared" si="121"/>
        <v/>
      </c>
      <c r="X290" s="1910" t="str">
        <f t="shared" si="122"/>
        <v/>
      </c>
      <c r="Y290" s="1910" t="str">
        <f t="shared" si="123"/>
        <v/>
      </c>
      <c r="Z290" s="1911" t="str">
        <f t="shared" si="124"/>
        <v/>
      </c>
      <c r="AA290" s="2"/>
      <c r="AB290" s="1177">
        <f t="shared" si="126"/>
        <v>2</v>
      </c>
      <c r="AC290" s="935">
        <f>IF(CNTR_ExistSubInstEntries,IF(OR($M209&lt;&gt;EUconst_Relevant,AC284&gt;=CNTR_ReportingYear,AC284&lt;V209-1,$E290=""),0,IF(AND($T274=2,$S250),2,1)),2)</f>
        <v>2</v>
      </c>
      <c r="AD290" s="935">
        <f>IF(CNTR_ExistSubInstEntries,IF(OR($M209&lt;&gt;EUconst_Relevant,AD284&gt;=CNTR_ReportingYear,AD284&lt;V209-1,$E290=""),0,IF(AND($T274=2,$S250),2,1)),2)</f>
        <v>2</v>
      </c>
      <c r="AE290" s="935">
        <f>IF(CNTR_ExistSubInstEntries,IF(OR($M209&lt;&gt;EUconst_Relevant,AE284&gt;=CNTR_ReportingYear,AE284&lt;V209-1,$E290=""),0,IF(AND($T274=2,$S250),2,1)),2)</f>
        <v>2</v>
      </c>
      <c r="AF290" s="935">
        <f>IF(CNTR_ExistSubInstEntries,IF(OR($M209&lt;&gt;EUconst_Relevant,AF284&gt;=CNTR_ReportingYear,AF284&lt;V209-1,$E290=""),0,IF(AND($T274=2,$S250),2,1)),2)</f>
        <v>2</v>
      </c>
      <c r="AG290" s="935">
        <f>IF(CNTR_ExistSubInstEntries,IF(OR($M209&lt;&gt;EUconst_Relevant,AG284&gt;=CNTR_ReportingYear,AG284&lt;V209-1,$E290=""),0,IF(AND($T274=2,$S250),2,1)),2)</f>
        <v>2</v>
      </c>
      <c r="AH290" s="935">
        <f>IF(CNTR_ExistSubInstEntries,IF(OR($M209&lt;&gt;EUconst_Relevant,AH284&gt;=CNTR_ReportingYear,AH284&lt;V209-1,$E290=""),0,IF(AND($T274=2,$S250),2,1)),2)</f>
        <v>2</v>
      </c>
      <c r="AI290" s="1183">
        <f>IF(CNTR_ExistSubInstEntries,IF(OR($M209&lt;&gt;EUconst_Relevant,AI284&gt;=CNTR_ReportingYear,AI284&lt;V209-1,$E290=""),0,IF(AND($T274=2,$S250),2,1)),2)</f>
        <v>2</v>
      </c>
      <c r="AJ290" s="349"/>
      <c r="AK290" s="553" t="s">
        <v>2248</v>
      </c>
      <c r="AL290" s="663" t="str">
        <f>IF(AND(CNTR_ExistSubInstEntries,COUNTIFS(AB290:AI290,2,G290:N290,"")&gt;0),EUconst_Error&amp;"FB"&amp;Q209,"")</f>
        <v/>
      </c>
      <c r="AM290" s="349"/>
    </row>
    <row r="291" spans="1:39" ht="12.75" customHeight="1" x14ac:dyDescent="0.25">
      <c r="A291" s="2"/>
      <c r="B291" s="19"/>
      <c r="C291" s="45"/>
      <c r="D291" s="33">
        <f t="shared" si="127"/>
        <v>7</v>
      </c>
      <c r="E291" s="1036" t="str">
        <f t="shared" si="114"/>
        <v/>
      </c>
      <c r="F291" s="550" t="str">
        <f t="shared" si="118"/>
        <v>TJ</v>
      </c>
      <c r="G291" s="468"/>
      <c r="H291" s="1120"/>
      <c r="I291" s="468"/>
      <c r="J291" s="1120"/>
      <c r="K291" s="431"/>
      <c r="L291" s="431"/>
      <c r="M291" s="431"/>
      <c r="N291" s="431"/>
      <c r="O291" s="6"/>
      <c r="P291" s="1362"/>
      <c r="Q291" s="2"/>
      <c r="R291" s="2"/>
      <c r="S291" s="1187" t="str">
        <f>IF($M209&lt;&gt;EUconst_Relevant,"",
IF($V209&gt;($J$950-3),
              IF(INDEX(H268:N268,MATCH($V209,$T284:$Z284,0))=0,0,INDEX(H291:N291,MATCH($V209,$T284:$Z284,0))/INDEX(H268:N268,MATCH($V209,$T284:$Z284,0))),
                             IF(ISNUMBER(G268),
                                            IF(OR(G268=0,$S251=FALSE),0,G291/G268),"")))</f>
        <v/>
      </c>
      <c r="T291" s="1910" t="str">
        <f t="shared" si="125"/>
        <v/>
      </c>
      <c r="U291" s="1910" t="str">
        <f t="shared" si="119"/>
        <v/>
      </c>
      <c r="V291" s="1910" t="str">
        <f t="shared" si="120"/>
        <v/>
      </c>
      <c r="W291" s="1910" t="str">
        <f t="shared" si="121"/>
        <v/>
      </c>
      <c r="X291" s="1910" t="str">
        <f t="shared" si="122"/>
        <v/>
      </c>
      <c r="Y291" s="1910" t="str">
        <f t="shared" si="123"/>
        <v/>
      </c>
      <c r="Z291" s="1911" t="str">
        <f t="shared" si="124"/>
        <v/>
      </c>
      <c r="AA291" s="2"/>
      <c r="AB291" s="1177">
        <f t="shared" si="126"/>
        <v>2</v>
      </c>
      <c r="AC291" s="935">
        <f>IF(CNTR_ExistSubInstEntries,IF(OR($M209&lt;&gt;EUconst_Relevant,AC284&gt;=CNTR_ReportingYear,AC284&lt;V209-1,$E291=""),0,IF(AND($T274=2,$S251),2,1)),2)</f>
        <v>2</v>
      </c>
      <c r="AD291" s="935">
        <f>IF(CNTR_ExistSubInstEntries,IF(OR($M209&lt;&gt;EUconst_Relevant,AD284&gt;=CNTR_ReportingYear,AD284&lt;V209-1,$E291=""),0,IF(AND($T274=2,$S251),2,1)),2)</f>
        <v>2</v>
      </c>
      <c r="AE291" s="935">
        <f>IF(CNTR_ExistSubInstEntries,IF(OR($M209&lt;&gt;EUconst_Relevant,AE284&gt;=CNTR_ReportingYear,AE284&lt;V209-1,$E291=""),0,IF(AND($T274=2,$S251),2,1)),2)</f>
        <v>2</v>
      </c>
      <c r="AF291" s="935">
        <f>IF(CNTR_ExistSubInstEntries,IF(OR($M209&lt;&gt;EUconst_Relevant,AF284&gt;=CNTR_ReportingYear,AF284&lt;V209-1,$E291=""),0,IF(AND($T274=2,$S251),2,1)),2)</f>
        <v>2</v>
      </c>
      <c r="AG291" s="935">
        <f>IF(CNTR_ExistSubInstEntries,IF(OR($M209&lt;&gt;EUconst_Relevant,AG284&gt;=CNTR_ReportingYear,AG284&lt;V209-1,$E291=""),0,IF(AND($T274=2,$S251),2,1)),2)</f>
        <v>2</v>
      </c>
      <c r="AH291" s="935">
        <f>IF(CNTR_ExistSubInstEntries,IF(OR($M209&lt;&gt;EUconst_Relevant,AH284&gt;=CNTR_ReportingYear,AH284&lt;V209-1,$E291=""),0,IF(AND($T274=2,$S251),2,1)),2)</f>
        <v>2</v>
      </c>
      <c r="AI291" s="1183">
        <f>IF(CNTR_ExistSubInstEntries,IF(OR($M209&lt;&gt;EUconst_Relevant,AI284&gt;=CNTR_ReportingYear,AI284&lt;V209-1,$E291=""),0,IF(AND($T274=2,$S251),2,1)),2)</f>
        <v>2</v>
      </c>
      <c r="AJ291" s="349"/>
      <c r="AK291" s="553" t="s">
        <v>2248</v>
      </c>
      <c r="AL291" s="663" t="str">
        <f>IF(AND(CNTR_ExistSubInstEntries,COUNTIFS(AB291:AI291,2,G291:N291,"")&gt;0),EUconst_Error&amp;"FB"&amp;Q209,"")</f>
        <v/>
      </c>
      <c r="AM291" s="349"/>
    </row>
    <row r="292" spans="1:39" ht="12.75" customHeight="1" x14ac:dyDescent="0.25">
      <c r="A292" s="2"/>
      <c r="B292" s="19"/>
      <c r="C292" s="45"/>
      <c r="D292" s="33">
        <f t="shared" si="127"/>
        <v>8</v>
      </c>
      <c r="E292" s="1036" t="str">
        <f t="shared" si="114"/>
        <v/>
      </c>
      <c r="F292" s="550" t="str">
        <f t="shared" si="118"/>
        <v>TJ</v>
      </c>
      <c r="G292" s="468"/>
      <c r="H292" s="1120"/>
      <c r="I292" s="468"/>
      <c r="J292" s="1120"/>
      <c r="K292" s="431"/>
      <c r="L292" s="431"/>
      <c r="M292" s="431"/>
      <c r="N292" s="431"/>
      <c r="O292" s="6"/>
      <c r="P292" s="1362"/>
      <c r="Q292" s="2"/>
      <c r="R292" s="2"/>
      <c r="S292" s="1187" t="str">
        <f>IF($M209&lt;&gt;EUconst_Relevant,"",
IF($V209&gt;($J$950-3),
              IF(INDEX(H269:N269,MATCH($V209,$T284:$Z284,0))=0,0,INDEX(H292:N292,MATCH($V209,$T284:$Z284,0))/INDEX(H269:N269,MATCH($V209,$T284:$Z284,0))),
                             IF(ISNUMBER(G269),
                                            IF(OR(G269=0,$S252=FALSE),0,G292/G269),"")))</f>
        <v/>
      </c>
      <c r="T292" s="1910" t="str">
        <f t="shared" si="125"/>
        <v/>
      </c>
      <c r="U292" s="1910" t="str">
        <f t="shared" si="119"/>
        <v/>
      </c>
      <c r="V292" s="1910" t="str">
        <f t="shared" si="120"/>
        <v/>
      </c>
      <c r="W292" s="1910" t="str">
        <f t="shared" si="121"/>
        <v/>
      </c>
      <c r="X292" s="1910" t="str">
        <f t="shared" si="122"/>
        <v/>
      </c>
      <c r="Y292" s="1910" t="str">
        <f t="shared" si="123"/>
        <v/>
      </c>
      <c r="Z292" s="1911" t="str">
        <f t="shared" si="124"/>
        <v/>
      </c>
      <c r="AA292" s="2"/>
      <c r="AB292" s="1177">
        <f t="shared" si="126"/>
        <v>2</v>
      </c>
      <c r="AC292" s="935">
        <f>IF(CNTR_ExistSubInstEntries,IF(OR($M209&lt;&gt;EUconst_Relevant,AC284&gt;=CNTR_ReportingYear,AC284&lt;V209-1,$E292=""),0,IF(AND($T274=2,$S252),2,1)),2)</f>
        <v>2</v>
      </c>
      <c r="AD292" s="935">
        <f>IF(CNTR_ExistSubInstEntries,IF(OR($M209&lt;&gt;EUconst_Relevant,AD284&gt;=CNTR_ReportingYear,AD284&lt;V209-1,$E292=""),0,IF(AND($T274=2,$S252),2,1)),2)</f>
        <v>2</v>
      </c>
      <c r="AE292" s="935">
        <f>IF(CNTR_ExistSubInstEntries,IF(OR($M209&lt;&gt;EUconst_Relevant,AE284&gt;=CNTR_ReportingYear,AE284&lt;V209-1,$E292=""),0,IF(AND($T274=2,$S252),2,1)),2)</f>
        <v>2</v>
      </c>
      <c r="AF292" s="935">
        <f>IF(CNTR_ExistSubInstEntries,IF(OR($M209&lt;&gt;EUconst_Relevant,AF284&gt;=CNTR_ReportingYear,AF284&lt;V209-1,$E292=""),0,IF(AND($T274=2,$S252),2,1)),2)</f>
        <v>2</v>
      </c>
      <c r="AG292" s="935">
        <f>IF(CNTR_ExistSubInstEntries,IF(OR($M209&lt;&gt;EUconst_Relevant,AG284&gt;=CNTR_ReportingYear,AG284&lt;V209-1,$E292=""),0,IF(AND($T274=2,$S252),2,1)),2)</f>
        <v>2</v>
      </c>
      <c r="AH292" s="935">
        <f>IF(CNTR_ExistSubInstEntries,IF(OR($M209&lt;&gt;EUconst_Relevant,AH284&gt;=CNTR_ReportingYear,AH284&lt;V209-1,$E292=""),0,IF(AND($T274=2,$S252),2,1)),2)</f>
        <v>2</v>
      </c>
      <c r="AI292" s="1183">
        <f>IF(CNTR_ExistSubInstEntries,IF(OR($M209&lt;&gt;EUconst_Relevant,AI284&gt;=CNTR_ReportingYear,AI284&lt;V209-1,$E292=""),0,IF(AND($T274=2,$S252),2,1)),2)</f>
        <v>2</v>
      </c>
      <c r="AJ292" s="349"/>
      <c r="AK292" s="553" t="s">
        <v>2248</v>
      </c>
      <c r="AL292" s="663" t="str">
        <f>IF(AND(CNTR_ExistSubInstEntries,COUNTIFS(AB292:AI292,2,G292:N292,"")&gt;0),EUconst_Error&amp;"FB"&amp;Q209,"")</f>
        <v/>
      </c>
      <c r="AM292" s="349"/>
    </row>
    <row r="293" spans="1:39" ht="12.75" customHeight="1" x14ac:dyDescent="0.25">
      <c r="A293" s="2"/>
      <c r="B293" s="19"/>
      <c r="C293" s="45"/>
      <c r="D293" s="33">
        <f t="shared" si="127"/>
        <v>9</v>
      </c>
      <c r="E293" s="1036" t="str">
        <f t="shared" si="114"/>
        <v/>
      </c>
      <c r="F293" s="550" t="str">
        <f t="shared" si="118"/>
        <v>TJ</v>
      </c>
      <c r="G293" s="468"/>
      <c r="H293" s="1120"/>
      <c r="I293" s="468"/>
      <c r="J293" s="1120"/>
      <c r="K293" s="431"/>
      <c r="L293" s="431"/>
      <c r="M293" s="431"/>
      <c r="N293" s="431"/>
      <c r="O293" s="6"/>
      <c r="P293" s="1362"/>
      <c r="Q293" s="2"/>
      <c r="R293" s="2"/>
      <c r="S293" s="1187" t="str">
        <f>IF($M209&lt;&gt;EUconst_Relevant,"",
IF($V209&gt;($J$950-3),
              IF(INDEX(H270:N270,MATCH($V209,$T284:$Z284,0))=0,0,INDEX(H293:N293,MATCH($V209,$T284:$Z284,0))/INDEX(H270:N270,MATCH($V209,$T284:$Z284,0))),
                             IF(ISNUMBER(G270),
                                            IF(OR(G270=0,$S253=FALSE),0,G293/G270),"")))</f>
        <v/>
      </c>
      <c r="T293" s="1910" t="str">
        <f t="shared" si="125"/>
        <v/>
      </c>
      <c r="U293" s="1910" t="str">
        <f t="shared" si="119"/>
        <v/>
      </c>
      <c r="V293" s="1910" t="str">
        <f t="shared" si="120"/>
        <v/>
      </c>
      <c r="W293" s="1910" t="str">
        <f t="shared" si="121"/>
        <v/>
      </c>
      <c r="X293" s="1910" t="str">
        <f t="shared" si="122"/>
        <v/>
      </c>
      <c r="Y293" s="1910" t="str">
        <f t="shared" si="123"/>
        <v/>
      </c>
      <c r="Z293" s="1911" t="str">
        <f t="shared" si="124"/>
        <v/>
      </c>
      <c r="AA293" s="2"/>
      <c r="AB293" s="1177">
        <f t="shared" si="126"/>
        <v>2</v>
      </c>
      <c r="AC293" s="935">
        <f>IF(CNTR_ExistSubInstEntries,IF(OR($M209&lt;&gt;EUconst_Relevant,AC284&gt;=CNTR_ReportingYear,AC284&lt;V209-1,$E293=""),0,IF(AND($T274=2,$S253),2,1)),2)</f>
        <v>2</v>
      </c>
      <c r="AD293" s="935">
        <f>IF(CNTR_ExistSubInstEntries,IF(OR($M209&lt;&gt;EUconst_Relevant,AD284&gt;=CNTR_ReportingYear,AD284&lt;V209-1,$E293=""),0,IF(AND($T274=2,$S253),2,1)),2)</f>
        <v>2</v>
      </c>
      <c r="AE293" s="935">
        <f>IF(CNTR_ExistSubInstEntries,IF(OR($M209&lt;&gt;EUconst_Relevant,AE284&gt;=CNTR_ReportingYear,AE284&lt;V209-1,$E293=""),0,IF(AND($T274=2,$S253),2,1)),2)</f>
        <v>2</v>
      </c>
      <c r="AF293" s="935">
        <f>IF(CNTR_ExistSubInstEntries,IF(OR($M209&lt;&gt;EUconst_Relevant,AF284&gt;=CNTR_ReportingYear,AF284&lt;V209-1,$E293=""),0,IF(AND($T274=2,$S253),2,1)),2)</f>
        <v>2</v>
      </c>
      <c r="AG293" s="935">
        <f>IF(CNTR_ExistSubInstEntries,IF(OR($M209&lt;&gt;EUconst_Relevant,AG284&gt;=CNTR_ReportingYear,AG284&lt;V209-1,$E293=""),0,IF(AND($T274=2,$S253),2,1)),2)</f>
        <v>2</v>
      </c>
      <c r="AH293" s="935">
        <f>IF(CNTR_ExistSubInstEntries,IF(OR($M209&lt;&gt;EUconst_Relevant,AH284&gt;=CNTR_ReportingYear,AH284&lt;V209-1,$E293=""),0,IF(AND($T274=2,$S253),2,1)),2)</f>
        <v>2</v>
      </c>
      <c r="AI293" s="1183">
        <f>IF(CNTR_ExistSubInstEntries,IF(OR($M209&lt;&gt;EUconst_Relevant,AI284&gt;=CNTR_ReportingYear,AI284&lt;V209-1,$E293=""),0,IF(AND($T274=2,$S253),2,1)),2)</f>
        <v>2</v>
      </c>
      <c r="AJ293" s="349"/>
      <c r="AK293" s="553" t="s">
        <v>2248</v>
      </c>
      <c r="AL293" s="663" t="str">
        <f>IF(AND(CNTR_ExistSubInstEntries,COUNTIFS(AB293:AI293,2,G293:N293,"")&gt;0),EUconst_Error&amp;"FB"&amp;Q209,"")</f>
        <v/>
      </c>
      <c r="AM293" s="349"/>
    </row>
    <row r="294" spans="1:39" ht="12.75" customHeight="1" thickBot="1" x14ac:dyDescent="0.3">
      <c r="A294" s="2"/>
      <c r="B294" s="19"/>
      <c r="C294" s="45"/>
      <c r="D294" s="36">
        <f t="shared" si="127"/>
        <v>10</v>
      </c>
      <c r="E294" s="1038" t="str">
        <f t="shared" si="114"/>
        <v/>
      </c>
      <c r="F294" s="551" t="str">
        <f t="shared" si="118"/>
        <v>TJ</v>
      </c>
      <c r="G294" s="469"/>
      <c r="H294" s="1112"/>
      <c r="I294" s="469"/>
      <c r="J294" s="1112"/>
      <c r="K294" s="357"/>
      <c r="L294" s="357"/>
      <c r="M294" s="357"/>
      <c r="N294" s="357"/>
      <c r="O294" s="6"/>
      <c r="P294" s="1362"/>
      <c r="Q294" s="2"/>
      <c r="R294" s="2"/>
      <c r="S294" s="1188" t="str">
        <f>IF($M209&lt;&gt;EUconst_Relevant,"",
IF($V209&gt;($J$950-3),
              IF(INDEX(H271:N271,MATCH($V209,$T284:$Z284,0))=0,0,INDEX(H294:N294,MATCH($V209,$T284:$Z284,0))/INDEX(H271:N271,MATCH($V209,$T284:$Z284,0))),
                             IF(ISNUMBER(G271),
                                            IF(OR(G271=0,$S254=FALSE),0,G294/G271),"")))</f>
        <v/>
      </c>
      <c r="T294" s="1912" t="str">
        <f t="shared" si="125"/>
        <v/>
      </c>
      <c r="U294" s="1912" t="str">
        <f t="shared" si="119"/>
        <v/>
      </c>
      <c r="V294" s="1912" t="str">
        <f t="shared" si="120"/>
        <v/>
      </c>
      <c r="W294" s="1912" t="str">
        <f t="shared" si="121"/>
        <v/>
      </c>
      <c r="X294" s="1912" t="str">
        <f t="shared" si="122"/>
        <v/>
      </c>
      <c r="Y294" s="1912" t="str">
        <f t="shared" si="123"/>
        <v/>
      </c>
      <c r="Z294" s="1913" t="str">
        <f t="shared" si="124"/>
        <v/>
      </c>
      <c r="AA294" s="2"/>
      <c r="AB294" s="1179">
        <f t="shared" si="126"/>
        <v>2</v>
      </c>
      <c r="AC294" s="1180">
        <f>IF(CNTR_ExistSubInstEntries,IF(OR($M209&lt;&gt;EUconst_Relevant,AC284&gt;=CNTR_ReportingYear,AC284&lt;V209-1,$E294=""),0,IF(AND($T274=2,$S254),2,1)),2)</f>
        <v>2</v>
      </c>
      <c r="AD294" s="1180">
        <f>IF(CNTR_ExistSubInstEntries,IF(OR($M209&lt;&gt;EUconst_Relevant,AD284&gt;=CNTR_ReportingYear,AD284&lt;V209-1,$E294=""),0,IF(AND($T274=2,$S254),2,1)),2)</f>
        <v>2</v>
      </c>
      <c r="AE294" s="1180">
        <f>IF(CNTR_ExistSubInstEntries,IF(OR($M209&lt;&gt;EUconst_Relevant,AE284&gt;=CNTR_ReportingYear,AE284&lt;V209-1,$E294=""),0,IF(AND($T274=2,$S254),2,1)),2)</f>
        <v>2</v>
      </c>
      <c r="AF294" s="1180">
        <f>IF(CNTR_ExistSubInstEntries,IF(OR($M209&lt;&gt;EUconst_Relevant,AF284&gt;=CNTR_ReportingYear,AF284&lt;V209-1,$E294=""),0,IF(AND($T274=2,$S254),2,1)),2)</f>
        <v>2</v>
      </c>
      <c r="AG294" s="1180">
        <f>IF(CNTR_ExistSubInstEntries,IF(OR($M209&lt;&gt;EUconst_Relevant,AG284&gt;=CNTR_ReportingYear,AG284&lt;V209-1,$E294=""),0,IF(AND($T274=2,$S254),2,1)),2)</f>
        <v>2</v>
      </c>
      <c r="AH294" s="1180">
        <f>IF(CNTR_ExistSubInstEntries,IF(OR($M209&lt;&gt;EUconst_Relevant,AH284&gt;=CNTR_ReportingYear,AH284&lt;V209-1,$E294=""),0,IF(AND($T274=2,$S254),2,1)),2)</f>
        <v>2</v>
      </c>
      <c r="AI294" s="1184">
        <f>IF(CNTR_ExistSubInstEntries,IF(OR($M209&lt;&gt;EUconst_Relevant,AI284&gt;=CNTR_ReportingYear,AI284&lt;V209-1,$E294=""),0,IF(AND($T274=2,$S254),2,1)),2)</f>
        <v>2</v>
      </c>
      <c r="AJ294" s="349"/>
      <c r="AK294" s="553" t="s">
        <v>2248</v>
      </c>
      <c r="AL294" s="663" t="str">
        <f>IF(AND(CNTR_ExistSubInstEntries,COUNTIFS(AB294:AI294,2,G294:N294,"")&gt;0),EUconst_Error&amp;"FB"&amp;Q209,"")</f>
        <v/>
      </c>
      <c r="AM294" s="349"/>
    </row>
    <row r="295" spans="1:39" ht="12.75" customHeight="1" thickBot="1" x14ac:dyDescent="0.3">
      <c r="A295" s="2"/>
      <c r="B295" s="19"/>
      <c r="C295" s="19"/>
      <c r="D295" s="90"/>
      <c r="E295" s="1135" t="str">
        <f>Translations!$B$1505</f>
        <v>Summa förbrukning</v>
      </c>
      <c r="F295" s="551" t="str">
        <f t="shared" si="118"/>
        <v>TJ</v>
      </c>
      <c r="G295" s="281" t="str">
        <f>IF(COUNT(G285:G294)&gt;0,SUMIF($S245:$S254,TRUE,G285:G294),"")</f>
        <v/>
      </c>
      <c r="H295" s="1118" t="str">
        <f t="shared" ref="H295:N295" si="128">IF(COUNT(H285:H294)&gt;0,SUMIF($S245:$S254,TRUE,H285:H294),"")</f>
        <v/>
      </c>
      <c r="I295" s="281" t="str">
        <f t="shared" si="128"/>
        <v/>
      </c>
      <c r="J295" s="1118" t="str">
        <f t="shared" si="128"/>
        <v/>
      </c>
      <c r="K295" s="275" t="str">
        <f t="shared" si="128"/>
        <v/>
      </c>
      <c r="L295" s="275" t="str">
        <f t="shared" si="128"/>
        <v/>
      </c>
      <c r="M295" s="275" t="str">
        <f t="shared" si="128"/>
        <v/>
      </c>
      <c r="N295" s="275" t="str">
        <f t="shared" si="128"/>
        <v/>
      </c>
      <c r="O295" s="6"/>
      <c r="P295" s="6"/>
      <c r="Q295" s="2"/>
      <c r="R295" s="2"/>
      <c r="S295" s="1914" t="str">
        <f>IF(AND(SUM(S285:S294)&gt;0,G301=""),INDEX(H295:N295,MATCH($V209,T284:Z284,0))/INDEX(H272:N272,MATCH($V209,T284:Z284,0)),G301)</f>
        <v/>
      </c>
      <c r="T295" s="2"/>
      <c r="U295" s="2"/>
      <c r="V295" s="2"/>
      <c r="W295" s="2"/>
      <c r="X295" s="2"/>
      <c r="Y295" s="2"/>
      <c r="Z295" s="2"/>
      <c r="AA295" s="2"/>
      <c r="AB295" s="343"/>
      <c r="AC295" s="2"/>
      <c r="AD295" s="2"/>
      <c r="AE295" s="349"/>
      <c r="AF295" s="349"/>
      <c r="AG295" s="349"/>
      <c r="AH295" s="349"/>
      <c r="AI295" s="349"/>
      <c r="AJ295" s="349"/>
      <c r="AK295" s="349"/>
      <c r="AL295" s="349"/>
      <c r="AM295" s="349"/>
    </row>
    <row r="296" spans="1:39" ht="12.75" customHeight="1" x14ac:dyDescent="0.25">
      <c r="A296" s="2"/>
      <c r="B296" s="19"/>
      <c r="C296" s="19"/>
      <c r="D296" s="1203"/>
      <c r="E296" s="931" t="str">
        <f>Translations!$B$1506</f>
        <v>Andel av a)</v>
      </c>
      <c r="F296" s="633" t="str">
        <f t="shared" si="118"/>
        <v>TJ</v>
      </c>
      <c r="G296" s="1649" t="str">
        <f>IF(COUNT(I225,G295)=2,IF(I225=0,EUconst_NA,G295/I225),"")</f>
        <v/>
      </c>
      <c r="H296" s="1650" t="str">
        <f t="shared" ref="H296:N296" si="129">IF(COUNT(H217,H295)=2,IF(H217=0,EUconst_NA,H295/H217),"")</f>
        <v/>
      </c>
      <c r="I296" s="1651" t="str">
        <f t="shared" si="129"/>
        <v/>
      </c>
      <c r="J296" s="1650" t="str">
        <f t="shared" si="129"/>
        <v/>
      </c>
      <c r="K296" s="1652" t="str">
        <f t="shared" si="129"/>
        <v/>
      </c>
      <c r="L296" s="1652" t="str">
        <f t="shared" si="129"/>
        <v/>
      </c>
      <c r="M296" s="1652" t="str">
        <f t="shared" si="129"/>
        <v/>
      </c>
      <c r="N296" s="1652" t="str">
        <f t="shared" si="129"/>
        <v/>
      </c>
      <c r="O296" s="6"/>
      <c r="P296" s="6"/>
      <c r="Q296" s="2"/>
      <c r="R296" s="2"/>
      <c r="S296" s="2"/>
      <c r="T296" s="2"/>
      <c r="U296" s="2"/>
      <c r="V296" s="2"/>
      <c r="W296" s="2"/>
      <c r="X296" s="2"/>
      <c r="Y296" s="2"/>
      <c r="Z296" s="2"/>
      <c r="AA296" s="2"/>
      <c r="AB296" s="343"/>
      <c r="AC296" s="2"/>
      <c r="AD296" s="2"/>
      <c r="AE296" s="349"/>
      <c r="AF296" s="349"/>
      <c r="AG296" s="349"/>
      <c r="AH296" s="349"/>
      <c r="AI296" s="349"/>
      <c r="AJ296" s="349"/>
      <c r="AK296" s="349"/>
      <c r="AL296" s="349"/>
      <c r="AM296" s="349"/>
    </row>
    <row r="297" spans="1:39" ht="5.15" customHeight="1" x14ac:dyDescent="0.25">
      <c r="A297" s="2"/>
      <c r="B297" s="19"/>
      <c r="C297" s="3"/>
      <c r="D297" s="3"/>
      <c r="E297" s="3"/>
      <c r="F297" s="3"/>
      <c r="G297" s="3"/>
      <c r="H297" s="3"/>
      <c r="I297" s="3"/>
      <c r="J297" s="3"/>
      <c r="K297" s="3"/>
      <c r="L297" s="3"/>
      <c r="M297" s="3"/>
      <c r="N297" s="3"/>
      <c r="O297" s="6"/>
      <c r="P297" s="6"/>
      <c r="Q297" s="2"/>
      <c r="R297" s="2"/>
      <c r="S297" s="2"/>
      <c r="T297" s="2"/>
      <c r="U297" s="2"/>
      <c r="V297" s="2"/>
      <c r="W297" s="2"/>
      <c r="X297" s="2"/>
      <c r="Y297" s="2"/>
      <c r="Z297" s="343"/>
      <c r="AA297" s="343"/>
      <c r="AB297" s="343"/>
      <c r="AC297" s="2"/>
      <c r="AD297" s="2"/>
      <c r="AE297" s="349"/>
      <c r="AF297" s="349"/>
      <c r="AG297" s="349"/>
      <c r="AH297" s="349"/>
      <c r="AI297" s="349"/>
      <c r="AJ297" s="349"/>
      <c r="AK297" s="349"/>
      <c r="AL297" s="349"/>
      <c r="AM297" s="349"/>
    </row>
    <row r="298" spans="1:39" ht="12.75" customHeight="1" x14ac:dyDescent="0.25">
      <c r="A298" s="2"/>
      <c r="B298" s="3"/>
      <c r="C298" s="13"/>
      <c r="D298" s="13" t="s">
        <v>1920</v>
      </c>
      <c r="E298" s="1943" t="str">
        <f>Translations!$B$1507</f>
        <v>Specifik energiförbrukning</v>
      </c>
      <c r="F298" s="1963"/>
      <c r="G298" s="1963"/>
      <c r="H298" s="1963"/>
      <c r="I298" s="1963"/>
      <c r="J298" s="1963"/>
      <c r="K298" s="1963"/>
      <c r="L298" s="1963"/>
      <c r="M298" s="1963"/>
      <c r="N298" s="1963"/>
      <c r="O298" s="6"/>
      <c r="P298" s="6"/>
      <c r="Q298" s="7"/>
      <c r="R298" s="2"/>
      <c r="S298" s="2"/>
      <c r="T298" s="2"/>
      <c r="U298" s="2"/>
      <c r="V298" s="2"/>
      <c r="W298" s="2"/>
      <c r="X298" s="2"/>
      <c r="Y298" s="2"/>
      <c r="Z298" s="2"/>
      <c r="AA298" s="2"/>
      <c r="AB298" s="343"/>
      <c r="AC298" s="2"/>
      <c r="AD298" s="2"/>
      <c r="AE298" s="349"/>
      <c r="AF298" s="349"/>
      <c r="AG298" s="349"/>
      <c r="AH298" s="349"/>
      <c r="AI298" s="349"/>
      <c r="AJ298" s="349"/>
      <c r="AK298" s="349"/>
      <c r="AL298" s="349"/>
      <c r="AM298" s="349"/>
    </row>
    <row r="299" spans="1:39" ht="12.75" customHeight="1" x14ac:dyDescent="0.25">
      <c r="A299" s="2"/>
      <c r="B299" s="19"/>
      <c r="C299" s="3"/>
      <c r="D299" s="3"/>
      <c r="E299" s="2061" t="str">
        <f>Translations!$B$1508</f>
        <v>Den specifika energiförbrukningen fastställs i enlighet med avsnitt 6.1 i vägledningsdokument 7 för värden som uppfyller kriterierna under punkt b.1 ovan.</v>
      </c>
      <c r="F299" s="1963"/>
      <c r="G299" s="1963"/>
      <c r="H299" s="1963"/>
      <c r="I299" s="1963"/>
      <c r="J299" s="1963"/>
      <c r="K299" s="1963"/>
      <c r="L299" s="1963"/>
      <c r="M299" s="1963"/>
      <c r="N299" s="1963"/>
      <c r="O299" s="6"/>
      <c r="P299" s="6"/>
      <c r="Q299" s="2"/>
      <c r="R299" s="2"/>
      <c r="S299" s="2"/>
      <c r="T299" s="2"/>
      <c r="U299" s="2"/>
      <c r="V299" s="2"/>
      <c r="W299" s="2"/>
      <c r="X299" s="2"/>
      <c r="Y299" s="2"/>
      <c r="Z299" s="343"/>
      <c r="AA299" s="343"/>
      <c r="AB299" s="343"/>
      <c r="AC299" s="2"/>
      <c r="AD299" s="2"/>
      <c r="AE299" s="349"/>
      <c r="AF299" s="349"/>
      <c r="AG299" s="349"/>
      <c r="AH299" s="349"/>
      <c r="AI299" s="349"/>
      <c r="AJ299" s="349"/>
      <c r="AK299" s="349"/>
      <c r="AL299" s="349"/>
      <c r="AM299" s="349"/>
    </row>
    <row r="300" spans="1:39" s="1195" customFormat="1" ht="12.75" customHeight="1" x14ac:dyDescent="0.3">
      <c r="A300" s="1189"/>
      <c r="B300" s="1190"/>
      <c r="C300" s="1190"/>
      <c r="D300" s="1191"/>
      <c r="E300" s="1093"/>
      <c r="F300" s="1095" t="str">
        <f>EUconst_Unit</f>
        <v>Enhet</v>
      </c>
      <c r="G300" s="1204" t="str">
        <f>Translations!$B$1495</f>
        <v>NIMs-värde</v>
      </c>
      <c r="H300" s="1193">
        <f t="shared" ref="H300:N300" si="130">H$950</f>
        <v>2019</v>
      </c>
      <c r="I300" s="1204">
        <f t="shared" si="130"/>
        <v>2020</v>
      </c>
      <c r="J300" s="1205">
        <f t="shared" si="130"/>
        <v>2021</v>
      </c>
      <c r="K300" s="1193">
        <f t="shared" si="130"/>
        <v>2022</v>
      </c>
      <c r="L300" s="1193">
        <f t="shared" si="130"/>
        <v>2023</v>
      </c>
      <c r="M300" s="1193">
        <f t="shared" si="130"/>
        <v>2024</v>
      </c>
      <c r="N300" s="1193">
        <f t="shared" si="130"/>
        <v>2025</v>
      </c>
      <c r="O300" s="978"/>
      <c r="P300" s="6"/>
      <c r="Q300" s="1189"/>
      <c r="R300" s="1189"/>
      <c r="S300" s="1189"/>
      <c r="T300" s="1189"/>
      <c r="U300" s="1189"/>
      <c r="V300" s="1189"/>
      <c r="W300" s="1189"/>
      <c r="X300" s="1189"/>
      <c r="Y300" s="1189"/>
      <c r="Z300" s="1189"/>
      <c r="AA300" s="711"/>
      <c r="AB300" s="7"/>
      <c r="AC300" s="1189"/>
      <c r="AD300" s="1189"/>
      <c r="AE300" s="1189"/>
      <c r="AF300" s="1189"/>
      <c r="AG300" s="1189"/>
      <c r="AH300" s="1189"/>
      <c r="AI300" s="1189"/>
      <c r="AJ300" s="1189"/>
      <c r="AK300" s="1189"/>
      <c r="AL300" s="1189"/>
      <c r="AM300" s="1194"/>
    </row>
    <row r="301" spans="1:39" ht="25.5" customHeight="1" x14ac:dyDescent="0.25">
      <c r="A301" s="2"/>
      <c r="B301" s="19"/>
      <c r="C301" s="19"/>
      <c r="D301" s="175"/>
      <c r="E301" s="931" t="str">
        <f>Translations!$B$1507</f>
        <v>Specifik energiförbrukning</v>
      </c>
      <c r="F301" s="1654" t="str">
        <f>EUconst_TJ &amp; " / " &amp; IF(F272="",EUconst_Unit,F272)</f>
        <v>TJ / Enhet</v>
      </c>
      <c r="G301" s="1532" t="str">
        <f>IF(AND(SUM(G295)&gt;0,V209&lt;=$H$950),SUMPRODUCT(S285:S294,G285:G294)/G295,"")</f>
        <v/>
      </c>
      <c r="H301" s="1533" t="str">
        <f t="shared" ref="H301:N301" si="131">IF(SUM(H295)&gt;0,$S295*H295/SUM(T285:T294),"")</f>
        <v/>
      </c>
      <c r="I301" s="1534" t="str">
        <f t="shared" si="131"/>
        <v/>
      </c>
      <c r="J301" s="1535" t="str">
        <f t="shared" si="131"/>
        <v/>
      </c>
      <c r="K301" s="1536" t="str">
        <f t="shared" si="131"/>
        <v/>
      </c>
      <c r="L301" s="1536" t="str">
        <f t="shared" si="131"/>
        <v/>
      </c>
      <c r="M301" s="1536" t="str">
        <f t="shared" si="131"/>
        <v/>
      </c>
      <c r="N301" s="1536" t="str">
        <f t="shared" si="131"/>
        <v/>
      </c>
      <c r="O301" s="918"/>
      <c r="P301" s="6"/>
      <c r="Q301" s="165" t="str">
        <f>EUconst_CNTR_EnEff&amp;I209</f>
        <v>EnEff_Delanläggning med värmeriktmärke, ej KL</v>
      </c>
      <c r="R301" s="2"/>
      <c r="S301" s="2"/>
      <c r="T301" s="2"/>
      <c r="U301" s="2"/>
      <c r="V301" s="2"/>
      <c r="W301" s="2"/>
      <c r="X301" s="2"/>
      <c r="Y301" s="2"/>
      <c r="Z301" s="2"/>
      <c r="AA301" s="2"/>
      <c r="AB301" s="343"/>
      <c r="AC301" s="2"/>
      <c r="AD301" s="2"/>
      <c r="AE301" s="2"/>
      <c r="AF301" s="2"/>
      <c r="AG301" s="2"/>
      <c r="AH301" s="2"/>
      <c r="AI301" s="2"/>
      <c r="AJ301" s="2"/>
      <c r="AK301" s="2"/>
      <c r="AL301" s="2"/>
      <c r="AM301" s="349"/>
    </row>
    <row r="302" spans="1:39" ht="5.15" customHeight="1" thickBot="1" x14ac:dyDescent="0.3">
      <c r="A302" s="2"/>
      <c r="B302" s="19"/>
      <c r="C302" s="19"/>
      <c r="D302" s="19"/>
      <c r="E302" s="19"/>
      <c r="F302" s="19"/>
      <c r="G302" s="19"/>
      <c r="H302" s="19"/>
      <c r="I302" s="99"/>
      <c r="J302" s="19"/>
      <c r="K302" s="19"/>
      <c r="L302" s="19"/>
      <c r="M302" s="19"/>
      <c r="N302" s="19"/>
      <c r="O302" s="15"/>
      <c r="P302" s="6"/>
      <c r="Q302" s="130"/>
      <c r="R302" s="2"/>
      <c r="S302" s="343"/>
      <c r="T302" s="343"/>
      <c r="U302" s="2"/>
      <c r="V302" s="2"/>
      <c r="W302" s="2"/>
      <c r="X302" s="2"/>
      <c r="Y302" s="2"/>
      <c r="Z302" s="2"/>
      <c r="AA302" s="2"/>
      <c r="AB302" s="343"/>
      <c r="AC302" s="2"/>
      <c r="AD302" s="2"/>
      <c r="AE302" s="2"/>
      <c r="AF302" s="2"/>
      <c r="AG302" s="2"/>
      <c r="AH302" s="2"/>
      <c r="AI302" s="2"/>
      <c r="AJ302" s="2"/>
      <c r="AK302" s="2"/>
      <c r="AL302" s="2"/>
      <c r="AM302" s="349"/>
    </row>
    <row r="303" spans="1:39" ht="5.15" customHeight="1" thickBot="1" x14ac:dyDescent="0.3">
      <c r="A303" s="2"/>
      <c r="B303" s="19"/>
      <c r="C303" s="19"/>
      <c r="D303" s="1285"/>
      <c r="E303" s="1286"/>
      <c r="F303" s="1286"/>
      <c r="G303" s="1286"/>
      <c r="H303" s="1286"/>
      <c r="I303" s="1287"/>
      <c r="J303" s="1286"/>
      <c r="K303" s="1286"/>
      <c r="L303" s="1286"/>
      <c r="M303" s="1286"/>
      <c r="N303" s="1288"/>
      <c r="O303" s="15"/>
      <c r="P303" s="6"/>
      <c r="Q303" s="130"/>
      <c r="R303" s="2"/>
      <c r="S303" s="343"/>
      <c r="T303" s="343"/>
      <c r="U303" s="2"/>
      <c r="V303" s="2"/>
      <c r="W303" s="2"/>
      <c r="X303" s="2"/>
      <c r="Y303" s="2"/>
      <c r="Z303" s="2"/>
      <c r="AA303" s="2"/>
      <c r="AB303" s="343"/>
      <c r="AC303" s="2"/>
      <c r="AD303" s="2"/>
      <c r="AE303" s="2"/>
      <c r="AF303" s="2"/>
      <c r="AG303" s="2"/>
      <c r="AH303" s="2"/>
      <c r="AI303" s="2"/>
      <c r="AJ303" s="2"/>
      <c r="AK303" s="2"/>
      <c r="AL303" s="2"/>
      <c r="AM303" s="349"/>
    </row>
    <row r="304" spans="1:39" ht="12.75" customHeight="1" x14ac:dyDescent="0.25">
      <c r="A304" s="343"/>
      <c r="B304" s="178"/>
      <c r="C304" s="19"/>
      <c r="D304" s="1242"/>
      <c r="E304" s="1243" t="str">
        <f>Translations!$B$1509</f>
        <v>Justeringar: Effektivitetsförbättringar</v>
      </c>
      <c r="F304" s="1244"/>
      <c r="G304" s="1244"/>
      <c r="H304" s="1228" t="str">
        <f>EUconst_Unit</f>
        <v>Enhet</v>
      </c>
      <c r="I304" s="1229" t="str">
        <f>Translations!$B$1510</f>
        <v>Basvärde</v>
      </c>
      <c r="J304" s="1268">
        <f>J$950</f>
        <v>2021</v>
      </c>
      <c r="K304" s="1230">
        <f>K$950</f>
        <v>2022</v>
      </c>
      <c r="L304" s="1230">
        <f>L$950</f>
        <v>2023</v>
      </c>
      <c r="M304" s="1230">
        <f>M$950</f>
        <v>2024</v>
      </c>
      <c r="N304" s="1245">
        <f>N$950</f>
        <v>2025</v>
      </c>
      <c r="O304" s="15"/>
      <c r="P304" s="6"/>
      <c r="Q304" s="343"/>
      <c r="R304" s="2"/>
      <c r="S304" s="2"/>
      <c r="T304" s="2"/>
      <c r="U304" s="772"/>
      <c r="V304" s="1077">
        <f>J304</f>
        <v>2021</v>
      </c>
      <c r="W304" s="1077">
        <f>K304</f>
        <v>2022</v>
      </c>
      <c r="X304" s="1077">
        <f>L304</f>
        <v>2023</v>
      </c>
      <c r="Y304" s="1077">
        <f>M304</f>
        <v>2024</v>
      </c>
      <c r="Z304" s="1078">
        <f>N304</f>
        <v>2025</v>
      </c>
      <c r="AA304" s="2"/>
      <c r="AB304" s="343"/>
      <c r="AC304" s="2"/>
      <c r="AD304" s="2"/>
      <c r="AE304" s="2"/>
      <c r="AF304" s="2"/>
      <c r="AG304" s="2"/>
      <c r="AH304" s="2"/>
      <c r="AI304" s="2"/>
      <c r="AJ304" s="2"/>
      <c r="AK304" s="2"/>
      <c r="AL304" s="2"/>
      <c r="AM304" s="349"/>
    </row>
    <row r="305" spans="1:39" ht="12.75" customHeight="1" x14ac:dyDescent="0.25">
      <c r="A305" s="343"/>
      <c r="B305" s="178"/>
      <c r="C305" s="19"/>
      <c r="D305" s="1246" t="s">
        <v>9</v>
      </c>
      <c r="E305" s="2712" t="str">
        <f>Translations!$B$1511</f>
        <v>Genomsnittlig årlig effektivitet</v>
      </c>
      <c r="F305" s="2712"/>
      <c r="G305" s="2712"/>
      <c r="H305" s="1777" t="str">
        <f>F301</f>
        <v>TJ / Enhet</v>
      </c>
      <c r="I305" s="1129" t="str">
        <f>IF(M209&lt;&gt;EUconst_Relevant,"",IF(V209&gt;($J$950-3),INDEX(H301:N301,MATCH($V209,H300:N300,0)),G301))</f>
        <v/>
      </c>
      <c r="J305" s="1012" t="str">
        <f>IF(AND(V305&gt;=3,COUNT(H301:I301)=2),IF(CNTR_ReportingYear&gt;J300-1,AVERAGE(H301:I301),""),"")</f>
        <v/>
      </c>
      <c r="K305" s="927" t="str">
        <f>IF(AND(W305&gt;=3,COUNT(I301:J301)=2),IF(CNTR_ReportingYear&gt;K300-1,AVERAGE(I301:J301),""),"")</f>
        <v/>
      </c>
      <c r="L305" s="927" t="str">
        <f>IF(AND(X305&gt;=3,COUNT(J301:K301)=2),IF(CNTR_ReportingYear&gt;L300-1,AVERAGE(J301:K301),""),"")</f>
        <v/>
      </c>
      <c r="M305" s="927" t="str">
        <f>IF(AND(Y305&gt;=3,COUNT(K301:L301)=2),IF(CNTR_ReportingYear&gt;M300-1,AVERAGE(K301:L301),""),"")</f>
        <v/>
      </c>
      <c r="N305" s="1222" t="str">
        <f>IF(AND(Z305&gt;=3,COUNT(L301:M301)=2),IF(CNTR_ReportingYear&gt;N300-1,AVERAGE(L301:M301),""),"")</f>
        <v/>
      </c>
      <c r="O305" s="15"/>
      <c r="P305" s="6"/>
      <c r="Q305" s="1217" t="str">
        <f>EUconst_CNTR_EnEffInitial &amp; I209</f>
        <v>EnEffIni_Delanläggning med värmeriktmärke, ej KL</v>
      </c>
      <c r="R305" s="2"/>
      <c r="S305" s="2"/>
      <c r="T305" s="2"/>
      <c r="U305" s="1079" t="s">
        <v>1850</v>
      </c>
      <c r="V305" s="9">
        <f>V225</f>
        <v>0</v>
      </c>
      <c r="W305" s="9">
        <f>W225</f>
        <v>0</v>
      </c>
      <c r="X305" s="9">
        <f>X225</f>
        <v>0</v>
      </c>
      <c r="Y305" s="9">
        <f>Y225</f>
        <v>0</v>
      </c>
      <c r="Z305" s="1089">
        <f>Z225</f>
        <v>0</v>
      </c>
      <c r="AA305" s="2"/>
      <c r="AB305" s="343"/>
      <c r="AC305" s="2"/>
      <c r="AD305" s="2"/>
      <c r="AE305" s="2"/>
      <c r="AF305" s="2"/>
      <c r="AG305" s="2"/>
      <c r="AH305" s="2"/>
      <c r="AI305" s="2"/>
      <c r="AJ305" s="2"/>
      <c r="AK305" s="2"/>
      <c r="AL305" s="2"/>
      <c r="AM305" s="349"/>
    </row>
    <row r="306" spans="1:39" ht="12.75" customHeight="1" x14ac:dyDescent="0.25">
      <c r="A306" s="343"/>
      <c r="B306" s="178"/>
      <c r="C306" s="19"/>
      <c r="D306" s="1246" t="s">
        <v>10</v>
      </c>
      <c r="E306" s="2712" t="str">
        <f>Translations!$B$1512</f>
        <v>Effektivitetsförbättringar jämfört med basvärde</v>
      </c>
      <c r="F306" s="2717"/>
      <c r="G306" s="2717"/>
      <c r="H306" s="2717"/>
      <c r="I306" s="2720"/>
      <c r="J306" s="1013" t="str">
        <f>IF(J305="","",IF(SUM($I305)=0,IF(J305=0,0%,100%),1-J305/$I305))</f>
        <v/>
      </c>
      <c r="K306" s="938" t="str">
        <f>IF(K305="","",IF(SUM($I305)=0,IF(K305=0,0%,100%),1-K305/$I305))</f>
        <v/>
      </c>
      <c r="L306" s="938" t="str">
        <f>IF(L305="","",IF(SUM($I305)=0,IF(L305=0,0%,100%),1-L305/$I305))</f>
        <v/>
      </c>
      <c r="M306" s="938" t="str">
        <f>IF(M305="","",IF(SUM($I305)=0,IF(M305=0,0%,100%),1-M305/$I305))</f>
        <v/>
      </c>
      <c r="N306" s="1223" t="str">
        <f>IF(N305="","",IF(SUM($I305)=0,IF(N305=0,0%,100%),1-N305/$I305))</f>
        <v/>
      </c>
      <c r="O306" s="15"/>
      <c r="P306" s="6"/>
      <c r="Q306" s="165" t="str">
        <f>EUconst_CNTR_EnEffPct&amp;I209</f>
        <v>EnEffPct_Delanläggning med värmeriktmärke, ej KL</v>
      </c>
      <c r="R306" s="2"/>
      <c r="S306" s="2"/>
      <c r="T306" s="2"/>
      <c r="U306" s="1079" t="s">
        <v>1855</v>
      </c>
      <c r="V306" s="603" t="str">
        <f>IF(J305="","",J306&gt;15%)</f>
        <v/>
      </c>
      <c r="W306" s="603" t="str">
        <f>IF(K305="","",K306&gt;15%)</f>
        <v/>
      </c>
      <c r="X306" s="603" t="str">
        <f>IF(L305="","",L306&gt;15%)</f>
        <v/>
      </c>
      <c r="Y306" s="603" t="str">
        <f>IF(M305="","",M306&gt;15%)</f>
        <v/>
      </c>
      <c r="Z306" s="1756" t="str">
        <f>IF(N305="","",N306&gt;15%)</f>
        <v/>
      </c>
      <c r="AA306" s="2"/>
      <c r="AB306" s="343"/>
      <c r="AC306" s="2"/>
      <c r="AD306" s="2"/>
      <c r="AE306" s="2"/>
      <c r="AF306" s="2"/>
      <c r="AG306" s="2"/>
      <c r="AH306" s="2"/>
      <c r="AI306" s="2"/>
      <c r="AJ306" s="2"/>
      <c r="AK306" s="2"/>
      <c r="AL306" s="2"/>
      <c r="AM306" s="349"/>
    </row>
    <row r="307" spans="1:39" ht="5.15" customHeight="1" x14ac:dyDescent="0.25">
      <c r="A307" s="343"/>
      <c r="B307" s="178"/>
      <c r="C307" s="19"/>
      <c r="D307" s="1242"/>
      <c r="E307" s="1244"/>
      <c r="F307" s="1244"/>
      <c r="G307" s="1244"/>
      <c r="H307" s="1244"/>
      <c r="I307" s="1244"/>
      <c r="J307" s="1244"/>
      <c r="K307" s="1244"/>
      <c r="L307" s="1244"/>
      <c r="M307" s="1244"/>
      <c r="N307" s="1248"/>
      <c r="O307" s="15"/>
      <c r="P307" s="6"/>
      <c r="Q307" s="343"/>
      <c r="R307" s="2"/>
      <c r="S307" s="2"/>
      <c r="T307" s="2"/>
      <c r="U307" s="1086"/>
      <c r="V307" s="936"/>
      <c r="W307" s="936"/>
      <c r="X307" s="936"/>
      <c r="Y307" s="936"/>
      <c r="Z307" s="1090"/>
      <c r="AA307" s="2"/>
      <c r="AB307" s="343"/>
      <c r="AC307" s="2"/>
      <c r="AD307" s="2"/>
      <c r="AE307" s="349"/>
      <c r="AF307" s="349"/>
      <c r="AG307" s="349"/>
      <c r="AH307" s="349"/>
      <c r="AI307" s="349"/>
      <c r="AJ307" s="349"/>
      <c r="AK307" s="349"/>
      <c r="AL307" s="349"/>
      <c r="AM307" s="349"/>
    </row>
    <row r="308" spans="1:39" ht="12.75" customHeight="1" x14ac:dyDescent="0.25">
      <c r="A308" s="2"/>
      <c r="B308" s="178"/>
      <c r="C308" s="19"/>
      <c r="D308" s="1290" t="s">
        <v>1983</v>
      </c>
      <c r="E308" s="2709" t="str">
        <f>Translations!$B$1513</f>
        <v>Justeringar: Absolut tröskelvärde</v>
      </c>
      <c r="F308" s="2710"/>
      <c r="G308" s="2710"/>
      <c r="H308" s="2710"/>
      <c r="I308" s="2710"/>
      <c r="J308" s="2710"/>
      <c r="K308" s="2710"/>
      <c r="L308" s="2710"/>
      <c r="M308" s="2710"/>
      <c r="N308" s="2711"/>
      <c r="O308" s="15"/>
      <c r="P308" s="6"/>
      <c r="Q308" s="343"/>
      <c r="R308" s="2"/>
      <c r="S308" s="2"/>
      <c r="T308" s="2"/>
      <c r="U308" s="1086"/>
      <c r="V308" s="343"/>
      <c r="W308" s="2"/>
      <c r="X308" s="2"/>
      <c r="Y308" s="2"/>
      <c r="Z308" s="228"/>
      <c r="AA308" s="2"/>
      <c r="AB308" s="343"/>
      <c r="AC308" s="2"/>
      <c r="AD308" s="2"/>
      <c r="AE308" s="349"/>
      <c r="AF308" s="349"/>
      <c r="AG308" s="349"/>
      <c r="AH308" s="349"/>
      <c r="AI308" s="349"/>
      <c r="AJ308" s="349"/>
      <c r="AK308" s="349"/>
      <c r="AL308" s="349"/>
      <c r="AM308" s="349"/>
    </row>
    <row r="309" spans="1:39" ht="12.75" customHeight="1" x14ac:dyDescent="0.25">
      <c r="A309" s="2"/>
      <c r="B309" s="178"/>
      <c r="C309" s="19"/>
      <c r="D309" s="1242"/>
      <c r="E309" s="1234" t="str">
        <f>Translations!$B$1514</f>
        <v>Absolut tröskelvärde</v>
      </c>
      <c r="F309" s="1234"/>
      <c r="G309" s="1234"/>
      <c r="H309" s="1234"/>
      <c r="I309" s="1234"/>
      <c r="J309" s="1268">
        <f>J$950</f>
        <v>2021</v>
      </c>
      <c r="K309" s="1230">
        <f>K$950</f>
        <v>2022</v>
      </c>
      <c r="L309" s="1230">
        <f>L$950</f>
        <v>2023</v>
      </c>
      <c r="M309" s="1230">
        <f>M$950</f>
        <v>2024</v>
      </c>
      <c r="N309" s="1245">
        <f>N$950</f>
        <v>2025</v>
      </c>
      <c r="O309" s="15"/>
      <c r="P309" s="6"/>
      <c r="Q309" s="343"/>
      <c r="R309" s="2"/>
      <c r="S309" s="2"/>
      <c r="T309" s="2"/>
      <c r="U309" s="1086"/>
      <c r="V309" s="2"/>
      <c r="W309" s="2"/>
      <c r="X309" s="2"/>
      <c r="Y309" s="2"/>
      <c r="Z309" s="228"/>
      <c r="AA309" s="2"/>
      <c r="AB309" s="343"/>
      <c r="AC309" s="2"/>
      <c r="AD309" s="2"/>
      <c r="AE309" s="349"/>
      <c r="AF309" s="349"/>
      <c r="AG309" s="349"/>
      <c r="AH309" s="349"/>
      <c r="AI309" s="349"/>
      <c r="AJ309" s="349"/>
      <c r="AK309" s="349"/>
      <c r="AL309" s="349"/>
      <c r="AM309" s="349"/>
    </row>
    <row r="310" spans="1:39" ht="12.75" customHeight="1" x14ac:dyDescent="0.25">
      <c r="A310" s="343"/>
      <c r="B310" s="178"/>
      <c r="C310" s="19"/>
      <c r="D310" s="1242"/>
      <c r="E310" s="2712" t="str">
        <f>Translations!$B$1476</f>
        <v>&gt;= 100 utsläppsrätter kriterium uppnått?</v>
      </c>
      <c r="F310" s="2712"/>
      <c r="G310" s="2712"/>
      <c r="H310" s="2712"/>
      <c r="I310" s="2714"/>
      <c r="J310" s="994" t="str">
        <f>IF($M209&lt;&gt;EUconst_Relevant,"",INDEX(K_Summary!J:J,MATCH($Q310,K_Summary!$P:$P,0)))</f>
        <v/>
      </c>
      <c r="K310" s="912" t="str">
        <f>IF($M209&lt;&gt;EUconst_Relevant,"",INDEX(K_Summary!K:K,MATCH($Q310,K_Summary!$P:$P,0)))</f>
        <v/>
      </c>
      <c r="L310" s="912" t="str">
        <f>IF($M209&lt;&gt;EUconst_Relevant,"",INDEX(K_Summary!L:L,MATCH($Q310,K_Summary!$P:$P,0)))</f>
        <v/>
      </c>
      <c r="M310" s="912" t="str">
        <f>IF($M209&lt;&gt;EUconst_Relevant,"",INDEX(K_Summary!M:M,MATCH($Q310,K_Summary!$P:$P,0)))</f>
        <v/>
      </c>
      <c r="N310" s="1221" t="str">
        <f>IF($M209&lt;&gt;EUconst_Relevant,"",INDEX(K_Summary!N:N,MATCH($Q310,K_Summary!$P:$P,0)))</f>
        <v/>
      </c>
      <c r="O310" s="15"/>
      <c r="P310" s="6"/>
      <c r="Q310" s="165" t="str">
        <f>EUconst_CNTR_100EUA_ActivityLevel&amp;I209</f>
        <v>EUA100AL_Delanläggning med värmeriktmärke, ej KL</v>
      </c>
      <c r="R310" s="2"/>
      <c r="S310" s="2"/>
      <c r="T310" s="2"/>
      <c r="U310" s="1086"/>
      <c r="V310" s="2"/>
      <c r="W310" s="2"/>
      <c r="X310" s="2"/>
      <c r="Y310" s="2"/>
      <c r="Z310" s="228"/>
      <c r="AA310" s="2"/>
      <c r="AB310" s="343"/>
      <c r="AC310" s="2"/>
      <c r="AD310" s="2"/>
      <c r="AE310" s="349"/>
      <c r="AF310" s="349"/>
      <c r="AG310" s="349"/>
      <c r="AH310" s="349"/>
      <c r="AI310" s="349"/>
      <c r="AJ310" s="349"/>
      <c r="AK310" s="349"/>
      <c r="AL310" s="349"/>
      <c r="AM310" s="349"/>
    </row>
    <row r="311" spans="1:39" ht="5.15" customHeight="1" x14ac:dyDescent="0.25">
      <c r="A311" s="343"/>
      <c r="B311" s="178"/>
      <c r="C311" s="19"/>
      <c r="D311" s="1242"/>
      <c r="E311" s="1244"/>
      <c r="F311" s="1244"/>
      <c r="G311" s="1244"/>
      <c r="H311" s="1244"/>
      <c r="I311" s="1244"/>
      <c r="J311" s="1244"/>
      <c r="K311" s="1244"/>
      <c r="L311" s="1244"/>
      <c r="M311" s="1244"/>
      <c r="N311" s="1248"/>
      <c r="O311" s="15"/>
      <c r="P311" s="6"/>
      <c r="Q311" s="343"/>
      <c r="R311" s="2"/>
      <c r="S311" s="2"/>
      <c r="T311" s="2"/>
      <c r="U311" s="1086"/>
      <c r="V311" s="343"/>
      <c r="W311" s="2"/>
      <c r="X311" s="2"/>
      <c r="Y311" s="2"/>
      <c r="Z311" s="228"/>
      <c r="AA311" s="2"/>
      <c r="AB311" s="343"/>
      <c r="AC311" s="2"/>
      <c r="AD311" s="2"/>
      <c r="AE311" s="349"/>
      <c r="AF311" s="349"/>
      <c r="AG311" s="349"/>
      <c r="AH311" s="349"/>
      <c r="AI311" s="349"/>
      <c r="AJ311" s="349"/>
      <c r="AK311" s="349"/>
      <c r="AL311" s="349"/>
      <c r="AM311" s="349"/>
    </row>
    <row r="312" spans="1:39" ht="12.75" customHeight="1" x14ac:dyDescent="0.25">
      <c r="A312" s="2"/>
      <c r="B312" s="178"/>
      <c r="C312" s="19"/>
      <c r="D312" s="1290" t="s">
        <v>1984</v>
      </c>
      <c r="E312" s="2709" t="str">
        <f>Translations!$B$1515</f>
        <v>Bestämning av justering av faktisk verksamhetsnivå inklusive effektivitetsändringar</v>
      </c>
      <c r="F312" s="2710"/>
      <c r="G312" s="2710"/>
      <c r="H312" s="2710"/>
      <c r="I312" s="2710"/>
      <c r="J312" s="2710"/>
      <c r="K312" s="2710"/>
      <c r="L312" s="2710"/>
      <c r="M312" s="2710"/>
      <c r="N312" s="2711"/>
      <c r="O312" s="15"/>
      <c r="P312" s="6"/>
      <c r="Q312" s="343"/>
      <c r="R312" s="2"/>
      <c r="S312" s="2"/>
      <c r="T312" s="2"/>
      <c r="U312" s="1086"/>
      <c r="V312" s="343"/>
      <c r="W312" s="2"/>
      <c r="X312" s="2"/>
      <c r="Y312" s="2"/>
      <c r="Z312" s="228"/>
      <c r="AA312" s="2"/>
      <c r="AB312" s="343"/>
      <c r="AC312" s="2"/>
      <c r="AD312" s="2"/>
      <c r="AE312" s="349"/>
      <c r="AF312" s="349"/>
      <c r="AG312" s="349"/>
      <c r="AH312" s="349"/>
      <c r="AI312" s="349"/>
      <c r="AJ312" s="349"/>
      <c r="AK312" s="349"/>
      <c r="AL312" s="349"/>
      <c r="AM312" s="349"/>
    </row>
    <row r="313" spans="1:39" ht="12.75" customHeight="1" x14ac:dyDescent="0.25">
      <c r="A313" s="2"/>
      <c r="B313" s="178"/>
      <c r="C313" s="19"/>
      <c r="D313" s="1242"/>
      <c r="E313" s="1234" t="str">
        <f>Translations!$B$1475</f>
        <v>Faktisk justering (grund för följande år)</v>
      </c>
      <c r="F313" s="1234"/>
      <c r="G313" s="1234"/>
      <c r="H313" s="1234"/>
      <c r="I313" s="1234"/>
      <c r="J313" s="1268">
        <f>J$950</f>
        <v>2021</v>
      </c>
      <c r="K313" s="1230">
        <f>K$950</f>
        <v>2022</v>
      </c>
      <c r="L313" s="1230">
        <f>L$950</f>
        <v>2023</v>
      </c>
      <c r="M313" s="1230">
        <f>M$950</f>
        <v>2024</v>
      </c>
      <c r="N313" s="1245">
        <f>N$950</f>
        <v>2025</v>
      </c>
      <c r="O313" s="15"/>
      <c r="P313" s="6"/>
      <c r="Q313" s="343"/>
      <c r="R313" s="2"/>
      <c r="S313" s="2"/>
      <c r="T313" s="2"/>
      <c r="U313" s="584"/>
      <c r="V313" s="2"/>
      <c r="W313" s="2"/>
      <c r="X313" s="2"/>
      <c r="Y313" s="2"/>
      <c r="Z313" s="228"/>
      <c r="AA313" s="2"/>
      <c r="AB313" s="343"/>
      <c r="AC313" s="2"/>
      <c r="AD313" s="2"/>
      <c r="AE313" s="349"/>
      <c r="AF313" s="349"/>
      <c r="AG313" s="349"/>
      <c r="AH313" s="349"/>
      <c r="AI313" s="349"/>
      <c r="AJ313" s="349"/>
      <c r="AK313" s="349"/>
      <c r="AL313" s="349"/>
      <c r="AM313" s="349"/>
    </row>
    <row r="314" spans="1:39" ht="12.75" customHeight="1" x14ac:dyDescent="0.25">
      <c r="A314" s="2"/>
      <c r="B314" s="178"/>
      <c r="C314" s="19"/>
      <c r="D314" s="1246" t="s">
        <v>8</v>
      </c>
      <c r="E314" s="2712" t="str">
        <f>Translations!$B$1516</f>
        <v>Behövs godkännande från behörig myndighet?</v>
      </c>
      <c r="F314" s="2712"/>
      <c r="G314" s="2712"/>
      <c r="H314" s="2712"/>
      <c r="I314" s="2714"/>
      <c r="J314" s="994" t="str">
        <f>IF($M209&lt;&gt;EUconst_Relevant,"",AND(J310,OR(AND(SUM(J226)&lt;-15%,SUM(J306)&gt;15%),AND(SUM(J226)&gt;15%,SUM(J306&lt;-15%)))))</f>
        <v/>
      </c>
      <c r="K314" s="912" t="str">
        <f>IF($M209&lt;&gt;EUconst_Relevant,"",AND(K310,OR(AND(SUM(K226)&lt;-15%,SUM(K306)&gt;15%),AND(SUM(K226)&gt;15%,SUM(K306&lt;-15%)))))</f>
        <v/>
      </c>
      <c r="L314" s="912" t="str">
        <f>IF($M209&lt;&gt;EUconst_Relevant,"",AND(L310,OR(AND(SUM(L226)&lt;-15%,SUM(L306)&gt;15%),AND(SUM(L226)&gt;15%,SUM(L306&lt;-15%)))))</f>
        <v/>
      </c>
      <c r="M314" s="912" t="str">
        <f>IF($M209&lt;&gt;EUconst_Relevant,"",AND(M310,OR(AND(SUM(M226)&lt;-15%,SUM(M306)&gt;15%),AND(SUM(M226)&gt;15%,SUM(M306&lt;-15%)))))</f>
        <v/>
      </c>
      <c r="N314" s="1221" t="str">
        <f>IF($M209&lt;&gt;EUconst_Relevant,"",AND(N310,OR(AND(SUM(N226)&lt;-15%,SUM(N306)&gt;15%),AND(SUM(N226)&gt;15%,SUM(N306&lt;-15%)))))</f>
        <v/>
      </c>
      <c r="O314" s="15"/>
      <c r="P314" s="6"/>
      <c r="Q314" s="165" t="str">
        <f>EUconst_CNTR_CARejectionRelevant&amp;I209</f>
        <v>CARejectRel_Delanläggning med värmeriktmärke, ej KL</v>
      </c>
      <c r="R314" s="2"/>
      <c r="S314" s="2"/>
      <c r="T314" s="2"/>
      <c r="U314" s="1086"/>
      <c r="V314" s="343"/>
      <c r="W314" s="2"/>
      <c r="X314" s="2"/>
      <c r="Y314" s="2"/>
      <c r="Z314" s="228"/>
      <c r="AA314" s="2"/>
      <c r="AB314" s="343"/>
      <c r="AC314" s="2"/>
      <c r="AD314" s="2"/>
      <c r="AE314" s="349"/>
      <c r="AF314" s="349"/>
      <c r="AG314" s="349"/>
      <c r="AH314" s="349"/>
      <c r="AI314" s="349"/>
      <c r="AJ314" s="349"/>
      <c r="AK314" s="349"/>
      <c r="AL314" s="349"/>
      <c r="AM314" s="349"/>
    </row>
    <row r="315" spans="1:39" ht="25.5" customHeight="1" x14ac:dyDescent="0.25">
      <c r="A315" s="2"/>
      <c r="B315" s="19"/>
      <c r="C315" s="19"/>
      <c r="D315" s="1256"/>
      <c r="E315" s="2713" t="str">
        <f>Translations!$B$1517</f>
        <v>Om ”SANT” visas här har antingen den genomsnittliga verksamhetsnivån minskat med 15 % jämfört med den historiska verksamhetsnivån samtidigt som energieffektiviteten har ökat med mer än 15 %, eller tvärtom. Om detta är fallet bedömer den behöriga myndigheten (se ii nedan) huruvida tilldelningen ska justeras.</v>
      </c>
      <c r="F315" s="2710"/>
      <c r="G315" s="2710"/>
      <c r="H315" s="2710"/>
      <c r="I315" s="2710"/>
      <c r="J315" s="2710"/>
      <c r="K315" s="2710"/>
      <c r="L315" s="2710"/>
      <c r="M315" s="2710"/>
      <c r="N315" s="2711"/>
      <c r="O315" s="15"/>
      <c r="P315" s="6"/>
      <c r="Q315" s="2"/>
      <c r="R315" s="2"/>
      <c r="S315" s="2"/>
      <c r="T315" s="2"/>
      <c r="U315" s="1086"/>
      <c r="V315" s="2"/>
      <c r="W315" s="2"/>
      <c r="X315" s="2"/>
      <c r="Y315" s="2"/>
      <c r="Z315" s="228"/>
      <c r="AA315" s="343"/>
      <c r="AB315" s="343"/>
      <c r="AC315" s="2"/>
      <c r="AD315" s="2"/>
      <c r="AE315" s="349"/>
      <c r="AF315" s="349"/>
      <c r="AG315" s="349"/>
      <c r="AH315" s="349"/>
      <c r="AI315" s="349"/>
      <c r="AJ315" s="349"/>
      <c r="AK315" s="349"/>
      <c r="AL315" s="349"/>
      <c r="AM315" s="349"/>
    </row>
    <row r="316" spans="1:39" ht="12.75" customHeight="1" x14ac:dyDescent="0.25">
      <c r="A316" s="2"/>
      <c r="B316" s="19"/>
      <c r="C316" s="19"/>
      <c r="D316" s="1256"/>
      <c r="E316" s="2713" t="str">
        <f>Translations!$B$1518</f>
        <v>Detta beslut bygger på huruvida det kan bevisas att ändringarna av verksamhetsnivån kan förklaras av den ändrade energieffektiviteten.</v>
      </c>
      <c r="F316" s="2710"/>
      <c r="G316" s="2710"/>
      <c r="H316" s="2710"/>
      <c r="I316" s="2710"/>
      <c r="J316" s="2710"/>
      <c r="K316" s="2710"/>
      <c r="L316" s="2710"/>
      <c r="M316" s="2710"/>
      <c r="N316" s="2711"/>
      <c r="O316" s="15"/>
      <c r="P316" s="6"/>
      <c r="Q316" s="2"/>
      <c r="R316" s="2"/>
      <c r="S316" s="2"/>
      <c r="T316" s="2"/>
      <c r="U316" s="1086"/>
      <c r="V316" s="2"/>
      <c r="W316" s="2"/>
      <c r="X316" s="2"/>
      <c r="Y316" s="2"/>
      <c r="Z316" s="228"/>
      <c r="AA316" s="343"/>
      <c r="AB316" s="343"/>
      <c r="AC316" s="2"/>
      <c r="AD316" s="2"/>
      <c r="AE316" s="349"/>
      <c r="AF316" s="349"/>
      <c r="AG316" s="349"/>
      <c r="AH316" s="349"/>
      <c r="AI316" s="349"/>
      <c r="AJ316" s="349"/>
      <c r="AK316" s="349"/>
      <c r="AL316" s="349"/>
      <c r="AM316" s="349"/>
    </row>
    <row r="317" spans="1:39" ht="5.15" customHeight="1" x14ac:dyDescent="0.25">
      <c r="A317" s="2"/>
      <c r="B317" s="178"/>
      <c r="C317" s="19"/>
      <c r="D317" s="1246"/>
      <c r="E317" s="1244"/>
      <c r="F317" s="1244"/>
      <c r="G317" s="1244"/>
      <c r="H317" s="1244"/>
      <c r="I317" s="1244"/>
      <c r="J317" s="1244"/>
      <c r="K317" s="1244"/>
      <c r="L317" s="1244"/>
      <c r="M317" s="1244"/>
      <c r="N317" s="1248"/>
      <c r="O317" s="15"/>
      <c r="P317" s="6"/>
      <c r="Q317" s="343"/>
      <c r="R317" s="2"/>
      <c r="S317" s="2"/>
      <c r="T317" s="2"/>
      <c r="U317" s="1086"/>
      <c r="V317" s="343"/>
      <c r="W317" s="2"/>
      <c r="X317" s="2"/>
      <c r="Y317" s="2"/>
      <c r="Z317" s="228"/>
      <c r="AA317" s="2"/>
      <c r="AB317" s="343"/>
      <c r="AC317" s="2"/>
      <c r="AD317" s="2"/>
      <c r="AE317" s="349"/>
      <c r="AF317" s="349"/>
      <c r="AG317" s="349"/>
      <c r="AH317" s="349"/>
      <c r="AI317" s="349"/>
      <c r="AJ317" s="349"/>
      <c r="AK317" s="349"/>
      <c r="AL317" s="349"/>
      <c r="AM317" s="349"/>
    </row>
    <row r="318" spans="1:39" ht="12.75" customHeight="1" x14ac:dyDescent="0.25">
      <c r="A318" s="2"/>
      <c r="B318" s="178"/>
      <c r="C318" s="19"/>
      <c r="D318" s="1246" t="s">
        <v>9</v>
      </c>
      <c r="E318" s="2712" t="str">
        <f>Translations!$B$1519</f>
        <v>Behörig myndighet avslår justeringen?</v>
      </c>
      <c r="F318" s="2717"/>
      <c r="G318" s="2717"/>
      <c r="H318" s="2717"/>
      <c r="I318" s="2720"/>
      <c r="J318" s="1725" t="b">
        <v>0</v>
      </c>
      <c r="K318" s="1726" t="b">
        <v>0</v>
      </c>
      <c r="L318" s="1726" t="b">
        <v>0</v>
      </c>
      <c r="M318" s="1726" t="b">
        <v>0</v>
      </c>
      <c r="N318" s="1727" t="b">
        <v>0</v>
      </c>
      <c r="O318" s="15"/>
      <c r="P318" s="1362"/>
      <c r="Q318" s="165" t="str">
        <f>EUconst_CNTR_CARejection &amp; I209</f>
        <v>CAReject_Delanläggning med värmeriktmärke, ej KL</v>
      </c>
      <c r="R318" s="2"/>
      <c r="S318" s="2"/>
      <c r="T318" s="2"/>
      <c r="U318" s="1086"/>
      <c r="V318" s="343"/>
      <c r="W318" s="2"/>
      <c r="X318" s="2"/>
      <c r="Y318" s="2"/>
      <c r="Z318" s="228"/>
      <c r="AA318" s="2"/>
      <c r="AB318" s="2"/>
      <c r="AC318" s="2"/>
      <c r="AD318" s="343" t="s">
        <v>1213</v>
      </c>
      <c r="AE318" s="1528" t="b">
        <f>AND($M209=EUconst_Relevant,J314=FALSE)</f>
        <v>0</v>
      </c>
      <c r="AF318" s="165" t="b">
        <f>AND($M209=EUconst_Relevant,K314=FALSE)</f>
        <v>0</v>
      </c>
      <c r="AG318" s="165" t="b">
        <f>AND($M209=EUconst_Relevant,L314=FALSE)</f>
        <v>0</v>
      </c>
      <c r="AH318" s="165" t="b">
        <f>AND($M209=EUconst_Relevant,M314=FALSE)</f>
        <v>0</v>
      </c>
      <c r="AI318" s="165" t="b">
        <f>AND($M209=EUconst_Relevant,N314=FALSE)</f>
        <v>0</v>
      </c>
      <c r="AJ318" s="349"/>
      <c r="AK318" s="349"/>
      <c r="AL318" s="349"/>
      <c r="AM318" s="349"/>
    </row>
    <row r="319" spans="1:39" ht="12.75" customHeight="1" x14ac:dyDescent="0.25">
      <c r="A319" s="2"/>
      <c r="B319" s="19"/>
      <c r="C319" s="19"/>
      <c r="D319" s="1256"/>
      <c r="E319" s="2722" t="str">
        <f>Translations!$B$1520</f>
        <v>VIKTIG ANMÄRKNING: Det här avsnittet är reserverat för den behöriga myndigheten, och du ska endast fylla i det om den behöriga myndigheten har anvisat detta.</v>
      </c>
      <c r="F319" s="2709"/>
      <c r="G319" s="2709"/>
      <c r="H319" s="2709"/>
      <c r="I319" s="2709"/>
      <c r="J319" s="2709"/>
      <c r="K319" s="2709"/>
      <c r="L319" s="2709"/>
      <c r="M319" s="2709"/>
      <c r="N319" s="2723"/>
      <c r="O319" s="15"/>
      <c r="P319" s="6"/>
      <c r="Q319" s="2"/>
      <c r="R319" s="2"/>
      <c r="S319" s="2"/>
      <c r="T319" s="2"/>
      <c r="U319" s="1086"/>
      <c r="V319" s="2"/>
      <c r="W319" s="2"/>
      <c r="X319" s="2"/>
      <c r="Y319" s="2"/>
      <c r="Z319" s="228"/>
      <c r="AA319" s="343"/>
      <c r="AB319" s="343"/>
      <c r="AC319" s="2"/>
      <c r="AD319" s="2"/>
      <c r="AE319" s="349"/>
      <c r="AF319" s="349"/>
      <c r="AG319" s="349"/>
      <c r="AH319" s="349"/>
      <c r="AI319" s="349"/>
      <c r="AJ319" s="349"/>
      <c r="AK319" s="349"/>
      <c r="AL319" s="349"/>
      <c r="AM319" s="349"/>
    </row>
    <row r="320" spans="1:39" ht="12.75" customHeight="1" x14ac:dyDescent="0.25">
      <c r="A320" s="2"/>
      <c r="B320" s="19"/>
      <c r="C320" s="19"/>
      <c r="D320" s="1256"/>
      <c r="E320" s="2713" t="str">
        <f>Translations!$B$1521</f>
        <v>Enligt artikel 6.1 och 6.2 kan den behöriga myndigheten avslå justering av gratis tilldelning. Välj SANT här för att avslå en eventuell justering i förekommande fall.</v>
      </c>
      <c r="F320" s="2710"/>
      <c r="G320" s="2710"/>
      <c r="H320" s="2710"/>
      <c r="I320" s="2710"/>
      <c r="J320" s="2710"/>
      <c r="K320" s="2710"/>
      <c r="L320" s="2710"/>
      <c r="M320" s="2710"/>
      <c r="N320" s="2711"/>
      <c r="O320" s="15"/>
      <c r="P320" s="6"/>
      <c r="Q320" s="2"/>
      <c r="R320" s="2"/>
      <c r="S320" s="2"/>
      <c r="T320" s="2"/>
      <c r="U320" s="1086"/>
      <c r="V320" s="2"/>
      <c r="W320" s="2"/>
      <c r="X320" s="2"/>
      <c r="Y320" s="2"/>
      <c r="Z320" s="228"/>
      <c r="AA320" s="343"/>
      <c r="AB320" s="343"/>
      <c r="AC320" s="2"/>
      <c r="AD320" s="2"/>
      <c r="AE320" s="349"/>
      <c r="AF320" s="349"/>
      <c r="AG320" s="349"/>
      <c r="AH320" s="349"/>
      <c r="AI320" s="349"/>
      <c r="AJ320" s="349"/>
      <c r="AK320" s="349"/>
      <c r="AL320" s="349"/>
      <c r="AM320" s="349"/>
    </row>
    <row r="321" spans="1:39" ht="25.5" customHeight="1" x14ac:dyDescent="0.25">
      <c r="A321" s="2"/>
      <c r="B321" s="19"/>
      <c r="C321" s="19"/>
      <c r="D321" s="1256"/>
      <c r="E321" s="2713" t="str">
        <f>Translations!$B$1522</f>
        <v>Som standard kommer tomma fält här att behandlas som icke-avslag (dvs. FALSKT) för att utföra de följande beräkningarna i mallen. Du kan därför fortsätta med inlämningen av rapporten. Den behöriga myndigheten kan fatta ett beslut vid ett senare tillfälle som leder till att mallen måste lämnas in på nytt.</v>
      </c>
      <c r="F321" s="2710"/>
      <c r="G321" s="2710"/>
      <c r="H321" s="2710"/>
      <c r="I321" s="2710"/>
      <c r="J321" s="2710"/>
      <c r="K321" s="2710"/>
      <c r="L321" s="2710"/>
      <c r="M321" s="2710"/>
      <c r="N321" s="2711"/>
      <c r="O321" s="15"/>
      <c r="P321" s="6"/>
      <c r="Q321" s="2"/>
      <c r="R321" s="2"/>
      <c r="S321" s="2"/>
      <c r="T321" s="2"/>
      <c r="U321" s="1086"/>
      <c r="V321" s="2"/>
      <c r="W321" s="2"/>
      <c r="X321" s="2"/>
      <c r="Y321" s="2"/>
      <c r="Z321" s="228"/>
      <c r="AA321" s="343"/>
      <c r="AB321" s="343"/>
      <c r="AC321" s="2"/>
      <c r="AD321" s="2"/>
      <c r="AE321" s="349"/>
      <c r="AF321" s="349"/>
      <c r="AG321" s="349"/>
      <c r="AH321" s="349"/>
      <c r="AI321" s="349"/>
      <c r="AJ321" s="349"/>
      <c r="AK321" s="349"/>
      <c r="AL321" s="349"/>
      <c r="AM321" s="349"/>
    </row>
    <row r="322" spans="1:39" ht="5.15" customHeight="1" x14ac:dyDescent="0.25">
      <c r="A322" s="2"/>
      <c r="B322" s="178"/>
      <c r="C322" s="19"/>
      <c r="D322" s="1242"/>
      <c r="E322" s="1244"/>
      <c r="F322" s="1244"/>
      <c r="G322" s="1244"/>
      <c r="H322" s="1244"/>
      <c r="I322" s="1244"/>
      <c r="J322" s="1244"/>
      <c r="K322" s="1244"/>
      <c r="L322" s="1244"/>
      <c r="M322" s="1244"/>
      <c r="N322" s="1248"/>
      <c r="O322" s="15"/>
      <c r="P322" s="6"/>
      <c r="Q322" s="343"/>
      <c r="R322" s="2"/>
      <c r="S322" s="2"/>
      <c r="T322" s="2"/>
      <c r="U322" s="1086"/>
      <c r="V322" s="343"/>
      <c r="W322" s="2"/>
      <c r="X322" s="2"/>
      <c r="Y322" s="2"/>
      <c r="Z322" s="228"/>
      <c r="AA322" s="2"/>
      <c r="AB322" s="343"/>
      <c r="AC322" s="2"/>
      <c r="AD322" s="2"/>
      <c r="AE322" s="349"/>
      <c r="AF322" s="349"/>
      <c r="AG322" s="349"/>
      <c r="AH322" s="349"/>
      <c r="AI322" s="349"/>
      <c r="AJ322" s="349"/>
      <c r="AK322" s="349"/>
      <c r="AL322" s="349"/>
      <c r="AM322" s="349"/>
    </row>
    <row r="323" spans="1:39" ht="12.75" customHeight="1" x14ac:dyDescent="0.25">
      <c r="A323" s="2"/>
      <c r="B323" s="178"/>
      <c r="C323" s="19"/>
      <c r="D323" s="1290" t="s">
        <v>2146</v>
      </c>
      <c r="E323" s="2709" t="str">
        <f>Translations!$B$1515</f>
        <v>Bestämning av justering av faktisk verksamhetsnivå inklusive effektivitetsändringar</v>
      </c>
      <c r="F323" s="2710"/>
      <c r="G323" s="2710"/>
      <c r="H323" s="2710"/>
      <c r="I323" s="2710"/>
      <c r="J323" s="2710"/>
      <c r="K323" s="2710"/>
      <c r="L323" s="2710"/>
      <c r="M323" s="2710"/>
      <c r="N323" s="2711"/>
      <c r="O323" s="15"/>
      <c r="P323" s="6"/>
      <c r="Q323" s="343"/>
      <c r="R323" s="2"/>
      <c r="S323" s="2"/>
      <c r="T323" s="2"/>
      <c r="U323" s="1086"/>
      <c r="V323" s="343"/>
      <c r="W323" s="2"/>
      <c r="X323" s="2"/>
      <c r="Y323" s="2"/>
      <c r="Z323" s="228"/>
      <c r="AA323" s="2"/>
      <c r="AB323" s="343"/>
      <c r="AC323" s="2"/>
      <c r="AD323" s="2"/>
      <c r="AE323" s="349"/>
      <c r="AF323" s="349"/>
      <c r="AG323" s="349"/>
      <c r="AH323" s="349"/>
      <c r="AI323" s="349"/>
      <c r="AJ323" s="349"/>
      <c r="AK323" s="349"/>
      <c r="AL323" s="349"/>
      <c r="AM323" s="349"/>
    </row>
    <row r="324" spans="1:39" ht="12.75" customHeight="1" thickBot="1" x14ac:dyDescent="0.3">
      <c r="A324" s="2"/>
      <c r="B324" s="19"/>
      <c r="C324" s="19"/>
      <c r="D324" s="1256"/>
      <c r="E324" s="2713" t="str">
        <f>Translations!$B$1523</f>
        <v>Detta är det slutgiltiga resultatet som tar hänsyn till eventuella ändringar av energieffektiviteten samt den behöriga myndighetens beslut, i förekommande fall.</v>
      </c>
      <c r="F324" s="2710"/>
      <c r="G324" s="2710"/>
      <c r="H324" s="2710"/>
      <c r="I324" s="2710"/>
      <c r="J324" s="2710"/>
      <c r="K324" s="2710"/>
      <c r="L324" s="2710"/>
      <c r="M324" s="2710"/>
      <c r="N324" s="2711"/>
      <c r="O324" s="6"/>
      <c r="P324" s="6"/>
      <c r="Q324" s="2"/>
      <c r="R324" s="2"/>
      <c r="S324" s="2"/>
      <c r="T324" s="2"/>
      <c r="U324" s="1086"/>
      <c r="V324" s="2"/>
      <c r="W324" s="2"/>
      <c r="X324" s="2"/>
      <c r="Y324" s="2"/>
      <c r="Z324" s="228"/>
      <c r="AA324" s="343"/>
      <c r="AB324" s="343"/>
      <c r="AC324" s="2"/>
      <c r="AD324" s="2"/>
      <c r="AE324" s="349"/>
      <c r="AF324" s="349"/>
      <c r="AG324" s="349"/>
      <c r="AH324" s="349"/>
      <c r="AI324" s="349"/>
      <c r="AJ324" s="349"/>
      <c r="AK324" s="349"/>
      <c r="AL324" s="349"/>
      <c r="AM324" s="349"/>
    </row>
    <row r="325" spans="1:39" ht="12.75" customHeight="1" thickBot="1" x14ac:dyDescent="0.3">
      <c r="A325" s="2"/>
      <c r="B325" s="178"/>
      <c r="C325" s="19"/>
      <c r="D325" s="1246"/>
      <c r="E325" s="2712" t="str">
        <f>Translations!$B$1477</f>
        <v>Faktisk justering (om alla tröskelvärden överskrids)</v>
      </c>
      <c r="F325" s="2712"/>
      <c r="G325" s="2712"/>
      <c r="H325" s="2712"/>
      <c r="I325" s="1697"/>
      <c r="J325" s="1099" t="str">
        <f>IF(J310="","",IF(J313&gt;$Z209,-100%,IF(OR(AND(J310,J314=FALSE),AND(J314,J318=FALSE),V305&lt;1),J227,IF(J318=TRUE,0%,I325))))</f>
        <v/>
      </c>
      <c r="K325" s="1100" t="str">
        <f>IF(K310="","",IF(K313&gt;$Z209,-100%,IF(OR(AND(K310,K314=FALSE),AND(K314,K318=FALSE),W305&lt;1),K227,IF(K318=TRUE,0%,J325))))</f>
        <v/>
      </c>
      <c r="L325" s="1100" t="str">
        <f>IF(L310="","",IF(L313&gt;$Z209,-100%,IF(OR(AND(L310,L314=FALSE),AND(L314,L318=FALSE),X305&lt;1),L227,IF(L318=TRUE,0%,K325))))</f>
        <v/>
      </c>
      <c r="M325" s="1100" t="str">
        <f>IF(M310="","",IF(M313&gt;$Z209,-100%,IF(OR(AND(M310,M314=FALSE),AND(M314,M318=FALSE),Y305&lt;1),M227,IF(M318=TRUE,0%,L325))))</f>
        <v/>
      </c>
      <c r="N325" s="1101" t="str">
        <f>IF(N310="","",IF(N313&gt;$Z209,-100%,IF(OR(AND(N310,N314=FALSE),AND(N314,N318=FALSE),Z305&lt;1),N227,IF(N318=TRUE,0%,M325))))</f>
        <v/>
      </c>
      <c r="O325" s="15"/>
      <c r="P325" s="6"/>
      <c r="Q325" s="165" t="str">
        <f>EUconst_CNTR_HALAdjPct &amp; I209</f>
        <v>HALAdjPct_Delanläggning med värmeriktmärke, ej KL</v>
      </c>
      <c r="R325" s="2"/>
      <c r="S325" s="2"/>
      <c r="T325" s="2"/>
      <c r="U325" s="1086" t="s">
        <v>1858</v>
      </c>
      <c r="V325" s="1068">
        <f>J309</f>
        <v>2021</v>
      </c>
      <c r="W325" s="1068">
        <f>K309</f>
        <v>2022</v>
      </c>
      <c r="X325" s="1068">
        <f>L309</f>
        <v>2023</v>
      </c>
      <c r="Y325" s="1068">
        <f>M309</f>
        <v>2024</v>
      </c>
      <c r="Z325" s="1087">
        <f>N309</f>
        <v>2025</v>
      </c>
      <c r="AA325" s="2"/>
      <c r="AB325" s="343"/>
      <c r="AC325" s="2"/>
      <c r="AD325" s="2"/>
      <c r="AE325" s="349"/>
      <c r="AF325" s="349"/>
      <c r="AG325" s="349"/>
      <c r="AH325" s="349"/>
      <c r="AI325" s="349"/>
      <c r="AJ325" s="349"/>
      <c r="AK325" s="349"/>
      <c r="AL325" s="349"/>
      <c r="AM325" s="349"/>
    </row>
    <row r="326" spans="1:39" ht="12.75" customHeight="1" thickBot="1" x14ac:dyDescent="0.3">
      <c r="A326" s="343"/>
      <c r="B326" s="178"/>
      <c r="C326" s="19"/>
      <c r="D326" s="1242"/>
      <c r="E326" s="2712" t="str">
        <f>Translations!$B$1524</f>
        <v>Faktisk verksamhetsnivå</v>
      </c>
      <c r="F326" s="2717"/>
      <c r="G326" s="2717"/>
      <c r="H326" s="917" t="str">
        <f>H225</f>
        <v>TJ</v>
      </c>
      <c r="I326" s="1021" t="str">
        <f>I228</f>
        <v/>
      </c>
      <c r="J326" s="735" t="str">
        <f>IF($M209&lt;&gt;EUconst_Relevant,"",IF(OR(J325="",$I326=0,$I326=EUconst_NA),IF(OR(J310=TRUE,J313&lt;=$V209),J228,SUM(I326)),$I326*(1+SUM(J325))))</f>
        <v/>
      </c>
      <c r="K326" s="736" t="str">
        <f>IF($M209&lt;&gt;EUconst_Relevant,"",IF(OR(K325="",$I326=0,$I326=EUconst_NA),IF(OR(K310=TRUE,K313&lt;=$V209),K228,SUM(J326)),$I326*(1+SUM(K325))))</f>
        <v/>
      </c>
      <c r="L326" s="736" t="str">
        <f>IF($M209&lt;&gt;EUconst_Relevant,"",IF(OR(L325="",$I326=0,$I326=EUconst_NA),IF(OR(L310=TRUE,L313&lt;=$V209),L228,SUM(K326)),$I326*(1+SUM(L325))))</f>
        <v/>
      </c>
      <c r="M326" s="736" t="str">
        <f>IF($M209&lt;&gt;EUconst_Relevant,"",IF(OR(M325="",$I326=0,$I326=EUconst_NA),IF(OR(M310=TRUE,M313&lt;=$V209),M228,SUM(L326)),$I326*(1+SUM(M325))))</f>
        <v/>
      </c>
      <c r="N326" s="737" t="str">
        <f>IF($M209&lt;&gt;EUconst_Relevant,"",IF(OR(N325="",$I326=0,$I326=EUconst_NA),IF(OR(N310=TRUE,N313&lt;=$V209),N228,SUM(M326)),$I326*(1+SUM(N325))))</f>
        <v/>
      </c>
      <c r="O326" s="15"/>
      <c r="P326" s="6"/>
      <c r="Q326" s="165" t="str">
        <f>EUconst_CNTR_HALfinal&amp;I209</f>
        <v>HALfinal_Delanläggning med värmeriktmärke, ej KL</v>
      </c>
      <c r="R326" s="2"/>
      <c r="S326" s="2"/>
      <c r="T326" s="2"/>
      <c r="U326" s="1085" t="b">
        <v>0</v>
      </c>
      <c r="V326" s="1757" t="b">
        <f>IF(J310=TRUE,V226,U326)</f>
        <v>0</v>
      </c>
      <c r="W326" s="1757" t="b">
        <f>IF(K310=TRUE,W226,V326)</f>
        <v>0</v>
      </c>
      <c r="X326" s="1757" t="b">
        <f>IF(L310=TRUE,X226,W326)</f>
        <v>0</v>
      </c>
      <c r="Y326" s="1757" t="b">
        <f>IF(M310=TRUE,Y226,X326)</f>
        <v>0</v>
      </c>
      <c r="Z326" s="1758" t="b">
        <f>IF(N310=TRUE,Z226,Y326)</f>
        <v>0</v>
      </c>
      <c r="AA326" s="2"/>
      <c r="AB326" s="2"/>
      <c r="AC326" s="2"/>
      <c r="AD326" s="2"/>
      <c r="AE326" s="349"/>
      <c r="AF326" s="349"/>
      <c r="AG326" s="349"/>
      <c r="AH326" s="349"/>
      <c r="AI326" s="349"/>
      <c r="AJ326" s="349"/>
      <c r="AK326" s="553" t="s">
        <v>2242</v>
      </c>
      <c r="AL326" s="108" t="str">
        <f>IF(OR(ISERROR(J326),ISERROR(K326),ISERROR(L326),ISERROR(M326),ISERROR(N326)),EUconst_Error&amp;"FB"&amp; Q209,"")</f>
        <v/>
      </c>
      <c r="AM326" s="349"/>
    </row>
    <row r="327" spans="1:39" ht="5.15" customHeight="1" thickBot="1" x14ac:dyDescent="0.3">
      <c r="A327" s="2"/>
      <c r="B327" s="19"/>
      <c r="C327" s="19"/>
      <c r="D327" s="1274"/>
      <c r="E327" s="1275"/>
      <c r="F327" s="1275"/>
      <c r="G327" s="1275"/>
      <c r="H327" s="1275"/>
      <c r="I327" s="1275"/>
      <c r="J327" s="1275"/>
      <c r="K327" s="1275"/>
      <c r="L327" s="1275"/>
      <c r="M327" s="1275"/>
      <c r="N327" s="1277"/>
      <c r="O327" s="6"/>
      <c r="P327" s="6"/>
      <c r="Q327" s="2"/>
      <c r="R327" s="2"/>
      <c r="S327" s="2"/>
      <c r="T327" s="2"/>
      <c r="U327" s="2"/>
      <c r="V327" s="2"/>
      <c r="W327" s="2"/>
      <c r="X327" s="2"/>
      <c r="Y327" s="2"/>
      <c r="Z327" s="2"/>
      <c r="AA327" s="2"/>
      <c r="AB327" s="343"/>
      <c r="AC327" s="2"/>
      <c r="AD327" s="2"/>
      <c r="AE327" s="349"/>
      <c r="AF327" s="349"/>
      <c r="AG327" s="349"/>
      <c r="AH327" s="349"/>
      <c r="AI327" s="349"/>
      <c r="AJ327" s="349"/>
      <c r="AK327" s="349"/>
      <c r="AL327" s="349"/>
      <c r="AM327" s="349"/>
    </row>
    <row r="328" spans="1:39" ht="12.75" customHeight="1" thickBot="1" x14ac:dyDescent="0.3">
      <c r="A328" s="2"/>
      <c r="B328" s="19"/>
      <c r="C328" s="19"/>
      <c r="D328" s="19"/>
      <c r="E328" s="19"/>
      <c r="F328" s="19"/>
      <c r="G328" s="19"/>
      <c r="H328" s="19"/>
      <c r="I328" s="19"/>
      <c r="J328" s="19"/>
      <c r="K328" s="19"/>
      <c r="L328" s="19"/>
      <c r="M328" s="19"/>
      <c r="N328" s="19"/>
      <c r="O328" s="6"/>
      <c r="P328" s="6"/>
      <c r="Q328" s="2"/>
      <c r="R328" s="2"/>
      <c r="S328" s="2"/>
      <c r="T328" s="2"/>
      <c r="U328" s="2"/>
      <c r="V328" s="2"/>
      <c r="W328" s="2"/>
      <c r="X328" s="2"/>
      <c r="Y328" s="2"/>
      <c r="Z328" s="2"/>
      <c r="AA328" s="2"/>
      <c r="AB328" s="343"/>
      <c r="AC328" s="2"/>
      <c r="AD328" s="2"/>
      <c r="AE328" s="349"/>
      <c r="AF328" s="349"/>
      <c r="AG328" s="349"/>
      <c r="AH328" s="349"/>
      <c r="AI328" s="349"/>
      <c r="AJ328" s="349"/>
      <c r="AK328" s="349"/>
      <c r="AL328" s="349"/>
      <c r="AM328" s="349"/>
    </row>
    <row r="329" spans="1:39" ht="5.15" customHeight="1" x14ac:dyDescent="0.25">
      <c r="A329" s="2"/>
      <c r="B329" s="3"/>
      <c r="C329" s="366"/>
      <c r="D329" s="367"/>
      <c r="E329" s="367"/>
      <c r="F329" s="367"/>
      <c r="G329" s="367"/>
      <c r="H329" s="367"/>
      <c r="I329" s="367"/>
      <c r="J329" s="367"/>
      <c r="K329" s="367"/>
      <c r="L329" s="367"/>
      <c r="M329" s="368"/>
      <c r="N329" s="369"/>
      <c r="O329" s="6"/>
      <c r="P329" s="6"/>
      <c r="Q329" s="7"/>
      <c r="R329" s="2"/>
      <c r="S329" s="7"/>
      <c r="T329" s="7"/>
      <c r="U329" s="2"/>
      <c r="V329" s="2"/>
      <c r="W329" s="2"/>
      <c r="X329" s="2"/>
      <c r="Y329" s="2"/>
      <c r="Z329" s="2"/>
      <c r="AA329" s="2"/>
      <c r="AB329" s="343"/>
      <c r="AC329" s="2"/>
      <c r="AD329" s="2"/>
      <c r="AE329" s="349"/>
      <c r="AF329" s="349"/>
      <c r="AG329" s="349"/>
      <c r="AH329" s="349"/>
      <c r="AI329" s="349"/>
      <c r="AJ329" s="349"/>
      <c r="AK329" s="349"/>
      <c r="AL329" s="349"/>
      <c r="AM329" s="349"/>
    </row>
    <row r="330" spans="1:39" ht="15" customHeight="1" x14ac:dyDescent="0.25">
      <c r="A330" s="2"/>
      <c r="B330" s="19"/>
      <c r="C330" s="370"/>
      <c r="D330" s="2645" t="str">
        <f>Translations!$B$549</f>
        <v>Uppgifter som krävs för att fastställa den riktmärkesrelaterade förbättringsfaktorn enligt artikel 10a.2 i ETS-direktivet</v>
      </c>
      <c r="E330" s="2635"/>
      <c r="F330" s="2635"/>
      <c r="G330" s="2635"/>
      <c r="H330" s="2635"/>
      <c r="I330" s="2635"/>
      <c r="J330" s="2635"/>
      <c r="K330" s="2635"/>
      <c r="L330" s="2635"/>
      <c r="M330" s="2635"/>
      <c r="N330" s="2636"/>
      <c r="O330" s="6"/>
      <c r="P330" s="6"/>
      <c r="Q330" s="2"/>
      <c r="R330" s="2"/>
      <c r="S330" s="7"/>
      <c r="T330" s="7"/>
      <c r="U330" s="2"/>
      <c r="V330" s="2"/>
      <c r="W330" s="2"/>
      <c r="X330" s="2"/>
      <c r="Y330" s="2"/>
      <c r="Z330" s="2"/>
      <c r="AA330" s="2"/>
      <c r="AB330" s="343"/>
      <c r="AC330" s="2"/>
      <c r="AD330" s="2"/>
      <c r="AE330" s="349"/>
      <c r="AF330" s="349"/>
      <c r="AG330" s="349"/>
      <c r="AH330" s="349"/>
      <c r="AI330" s="349"/>
      <c r="AJ330" s="349"/>
      <c r="AK330" s="349"/>
      <c r="AL330" s="349"/>
      <c r="AM330" s="349"/>
    </row>
    <row r="331" spans="1:39" ht="5.15" customHeight="1" x14ac:dyDescent="0.25">
      <c r="A331" s="2"/>
      <c r="B331" s="19"/>
      <c r="C331" s="371"/>
      <c r="D331" s="360"/>
      <c r="E331" s="360"/>
      <c r="F331" s="360"/>
      <c r="G331" s="360"/>
      <c r="H331" s="360"/>
      <c r="I331" s="360"/>
      <c r="J331" s="360"/>
      <c r="K331" s="360"/>
      <c r="L331" s="360"/>
      <c r="M331" s="360"/>
      <c r="N331" s="372"/>
      <c r="O331" s="6"/>
      <c r="P331" s="6"/>
      <c r="Q331" s="2"/>
      <c r="R331" s="2"/>
      <c r="S331" s="7"/>
      <c r="T331" s="7"/>
      <c r="U331" s="2"/>
      <c r="V331" s="2"/>
      <c r="W331" s="2"/>
      <c r="X331" s="2"/>
      <c r="Y331" s="2"/>
      <c r="Z331" s="2"/>
      <c r="AA331" s="2"/>
      <c r="AB331" s="343"/>
      <c r="AC331" s="2"/>
      <c r="AD331" s="2"/>
      <c r="AE331" s="349"/>
      <c r="AF331" s="349"/>
      <c r="AG331" s="349"/>
      <c r="AH331" s="349"/>
      <c r="AI331" s="349"/>
      <c r="AJ331" s="349"/>
      <c r="AK331" s="349"/>
      <c r="AL331" s="349"/>
      <c r="AM331" s="349"/>
    </row>
    <row r="332" spans="1:39" ht="15" customHeight="1" x14ac:dyDescent="0.25">
      <c r="A332" s="2"/>
      <c r="B332" s="19"/>
      <c r="C332" s="371"/>
      <c r="D332" s="2646" t="str">
        <f>EUconst_FBSubinst &amp; ":"</f>
        <v>”Fall-back”-delanläggning:</v>
      </c>
      <c r="E332" s="2642"/>
      <c r="F332" s="2642"/>
      <c r="G332" s="2642"/>
      <c r="H332" s="2647"/>
      <c r="I332" s="2090" t="str">
        <f>I209</f>
        <v>Delanläggning med värmeriktmärke, ej KL</v>
      </c>
      <c r="J332" s="2120"/>
      <c r="K332" s="2120"/>
      <c r="L332" s="2120"/>
      <c r="M332" s="2120"/>
      <c r="N332" s="2648"/>
      <c r="O332" s="6"/>
      <c r="P332" s="6"/>
      <c r="Q332" s="2"/>
      <c r="R332" s="2"/>
      <c r="S332" s="7"/>
      <c r="T332" s="7"/>
      <c r="U332" s="2"/>
      <c r="V332" s="2"/>
      <c r="W332" s="2"/>
      <c r="X332" s="2"/>
      <c r="Y332" s="2"/>
      <c r="Z332" s="2"/>
      <c r="AA332" s="2"/>
      <c r="AB332" s="343"/>
      <c r="AC332" s="2"/>
      <c r="AD332" s="2"/>
      <c r="AE332" s="349"/>
      <c r="AF332" s="349"/>
      <c r="AG332" s="349"/>
      <c r="AH332" s="349"/>
      <c r="AI332" s="349"/>
      <c r="AJ332" s="349"/>
      <c r="AK332" s="349"/>
      <c r="AL332" s="349"/>
      <c r="AM332" s="349"/>
    </row>
    <row r="333" spans="1:39" ht="5.15" customHeight="1" x14ac:dyDescent="0.25">
      <c r="A333" s="2"/>
      <c r="B333" s="19"/>
      <c r="C333" s="371"/>
      <c r="D333" s="360"/>
      <c r="E333" s="360"/>
      <c r="F333" s="360"/>
      <c r="G333" s="360"/>
      <c r="H333" s="360"/>
      <c r="I333" s="360"/>
      <c r="J333" s="360"/>
      <c r="K333" s="360"/>
      <c r="L333" s="360"/>
      <c r="M333" s="360"/>
      <c r="N333" s="372"/>
      <c r="O333" s="6"/>
      <c r="P333" s="6"/>
      <c r="Q333" s="2"/>
      <c r="R333" s="2"/>
      <c r="S333" s="7"/>
      <c r="T333" s="7"/>
      <c r="U333" s="2"/>
      <c r="V333" s="2"/>
      <c r="W333" s="2"/>
      <c r="X333" s="2"/>
      <c r="Y333" s="2"/>
      <c r="Z333" s="2"/>
      <c r="AA333" s="2"/>
      <c r="AB333" s="343"/>
      <c r="AC333" s="2"/>
      <c r="AD333" s="2"/>
      <c r="AE333" s="349"/>
      <c r="AF333" s="349"/>
      <c r="AG333" s="349"/>
      <c r="AH333" s="349"/>
      <c r="AI333" s="349"/>
      <c r="AJ333" s="349"/>
      <c r="AK333" s="349"/>
      <c r="AL333" s="349"/>
      <c r="AM333" s="349"/>
    </row>
    <row r="334" spans="1:39" ht="30" customHeight="1" x14ac:dyDescent="0.25">
      <c r="A334" s="2"/>
      <c r="B334" s="3"/>
      <c r="C334" s="370"/>
      <c r="D334" s="359"/>
      <c r="E334" s="2707" t="str">
        <f>Translations!$B$550</f>
        <v>Detta underavsnitt avser tillskrivning av utsläpp från bränsle-/materialmängder, utsläppskällor, import och export av mätbar värme och restgaser inklusive värmeförluster i enlighet med avsnitt 10 i bilaga VII till FAR.</v>
      </c>
      <c r="F334" s="2707"/>
      <c r="G334" s="2707"/>
      <c r="H334" s="2707"/>
      <c r="I334" s="2707"/>
      <c r="J334" s="2707"/>
      <c r="K334" s="2707"/>
      <c r="L334" s="2707"/>
      <c r="M334" s="2707"/>
      <c r="N334" s="418"/>
      <c r="O334" s="6"/>
      <c r="P334" s="6"/>
      <c r="Q334" s="7"/>
      <c r="R334" s="2"/>
      <c r="S334" s="2"/>
      <c r="T334" s="2"/>
      <c r="U334" s="2"/>
      <c r="V334" s="2"/>
      <c r="W334" s="2"/>
      <c r="X334" s="2"/>
      <c r="Y334" s="2"/>
      <c r="Z334" s="2"/>
      <c r="AA334" s="2"/>
      <c r="AB334" s="343"/>
      <c r="AC334" s="2"/>
      <c r="AD334" s="2"/>
      <c r="AE334" s="349"/>
      <c r="AF334" s="349"/>
      <c r="AG334" s="349"/>
      <c r="AH334" s="349"/>
      <c r="AI334" s="349"/>
      <c r="AJ334" s="349"/>
      <c r="AK334" s="349"/>
      <c r="AL334" s="349"/>
      <c r="AM334" s="349"/>
    </row>
    <row r="335" spans="1:39" ht="30" customHeight="1" x14ac:dyDescent="0.25">
      <c r="A335" s="2"/>
      <c r="B335" s="178"/>
      <c r="C335" s="779"/>
      <c r="D335" s="780"/>
      <c r="E335" s="2649" t="str">
        <f>Translations!$B$551</f>
        <v xml:space="preserve">Var god notera att även om viss vägledning ges för varje punkt nedan bör ytterligare information inhämtas från vägledning 5 (”Monitoring and Reporting in relation to the FAR”), som också innehåller exempel. </v>
      </c>
      <c r="F335" s="2649"/>
      <c r="G335" s="2649"/>
      <c r="H335" s="2649"/>
      <c r="I335" s="2649"/>
      <c r="J335" s="2649"/>
      <c r="K335" s="2649"/>
      <c r="L335" s="2649"/>
      <c r="M335" s="2649"/>
      <c r="N335" s="535"/>
      <c r="O335" s="6"/>
      <c r="P335" s="6"/>
      <c r="Q335" s="343"/>
      <c r="R335" s="2"/>
      <c r="S335" s="2"/>
      <c r="T335" s="2"/>
      <c r="U335" s="2"/>
      <c r="V335" s="2"/>
      <c r="W335" s="2"/>
      <c r="X335" s="2"/>
      <c r="Y335" s="2"/>
      <c r="Z335" s="2"/>
      <c r="AA335" s="2"/>
      <c r="AB335" s="343"/>
      <c r="AC335" s="2"/>
      <c r="AD335" s="2"/>
      <c r="AE335" s="349"/>
      <c r="AF335" s="349"/>
      <c r="AG335" s="349"/>
      <c r="AH335" s="349"/>
      <c r="AI335" s="349"/>
      <c r="AJ335" s="349"/>
      <c r="AK335" s="349"/>
      <c r="AL335" s="349"/>
      <c r="AM335" s="349"/>
    </row>
    <row r="336" spans="1:39" ht="12.75" customHeight="1" x14ac:dyDescent="0.25">
      <c r="A336" s="2"/>
      <c r="B336" s="178"/>
      <c r="C336" s="779"/>
      <c r="D336" s="780"/>
      <c r="E336" s="2649" t="str">
        <f>Translations!$B$552</f>
        <v xml:space="preserve">Vägledningen kan laddas ner via följande länk: </v>
      </c>
      <c r="F336" s="1960"/>
      <c r="G336" s="1960"/>
      <c r="H336" s="1960"/>
      <c r="I336" s="1960"/>
      <c r="J336" s="1960"/>
      <c r="K336" s="1960"/>
      <c r="L336" s="1960"/>
      <c r="M336" s="1960"/>
      <c r="N336" s="535"/>
      <c r="O336" s="6"/>
      <c r="P336" s="6"/>
      <c r="Q336" s="343"/>
      <c r="R336" s="2"/>
      <c r="S336" s="2"/>
      <c r="T336" s="2"/>
      <c r="U336" s="2"/>
      <c r="V336" s="2"/>
      <c r="W336" s="2"/>
      <c r="X336" s="2"/>
      <c r="Y336" s="2"/>
      <c r="Z336" s="2"/>
      <c r="AA336" s="2"/>
      <c r="AB336" s="343"/>
      <c r="AC336" s="2"/>
      <c r="AD336" s="2"/>
      <c r="AE336" s="349"/>
      <c r="AF336" s="349"/>
      <c r="AG336" s="349"/>
      <c r="AH336" s="349"/>
      <c r="AI336" s="349"/>
      <c r="AJ336" s="349"/>
      <c r="AK336" s="349"/>
      <c r="AL336" s="349"/>
      <c r="AM336" s="349"/>
    </row>
    <row r="337" spans="1:39" ht="15" customHeight="1" x14ac:dyDescent="0.25">
      <c r="A337" s="2"/>
      <c r="B337" s="178"/>
      <c r="C337" s="779"/>
      <c r="D337" s="780"/>
      <c r="E337" s="2651" t="str">
        <f>Translations!$B$553</f>
        <v>https://ec.europa.eu/clima/policies/ets/allowances_en#tab-0-1</v>
      </c>
      <c r="F337" s="2651"/>
      <c r="G337" s="2651"/>
      <c r="H337" s="2651"/>
      <c r="I337" s="2651"/>
      <c r="J337" s="2651"/>
      <c r="K337" s="2651"/>
      <c r="L337" s="2651"/>
      <c r="M337" s="2651"/>
      <c r="N337" s="535"/>
      <c r="O337" s="6"/>
      <c r="P337" s="6"/>
      <c r="Q337" s="343"/>
      <c r="R337" s="2"/>
      <c r="S337" s="2"/>
      <c r="T337" s="2"/>
      <c r="U337" s="2"/>
      <c r="V337" s="2"/>
      <c r="W337" s="2"/>
      <c r="X337" s="2"/>
      <c r="Y337" s="2"/>
      <c r="Z337" s="2"/>
      <c r="AA337" s="2"/>
      <c r="AB337" s="343"/>
      <c r="AC337" s="2"/>
      <c r="AD337" s="2"/>
      <c r="AE337" s="349"/>
      <c r="AF337" s="349"/>
      <c r="AG337" s="349"/>
      <c r="AH337" s="349"/>
      <c r="AI337" s="349"/>
      <c r="AJ337" s="349"/>
      <c r="AK337" s="349"/>
      <c r="AL337" s="349"/>
      <c r="AM337" s="349"/>
    </row>
    <row r="338" spans="1:39" ht="15" customHeight="1" x14ac:dyDescent="0.25">
      <c r="A338" s="2"/>
      <c r="B338" s="3"/>
      <c r="C338" s="370"/>
      <c r="D338" s="359"/>
      <c r="E338" s="2633" t="str">
        <f>Translations!$B$554</f>
        <v>Utifrån de uppgifter som anges nedan beräknas de tillskrivna utsläppen i avsnitt K.III.2 i det sammanfattande bladet "K_Summary".</v>
      </c>
      <c r="F338" s="2633"/>
      <c r="G338" s="2633"/>
      <c r="H338" s="2633"/>
      <c r="I338" s="2633"/>
      <c r="J338" s="2633"/>
      <c r="K338" s="2633"/>
      <c r="L338" s="2633"/>
      <c r="M338" s="2633"/>
      <c r="N338" s="418"/>
      <c r="O338" s="6"/>
      <c r="P338" s="6"/>
      <c r="Q338" s="7"/>
      <c r="R338" s="2"/>
      <c r="S338" s="2"/>
      <c r="T338" s="2"/>
      <c r="U338" s="2"/>
      <c r="V338" s="2"/>
      <c r="W338" s="2"/>
      <c r="X338" s="2"/>
      <c r="Y338" s="2"/>
      <c r="Z338" s="2"/>
      <c r="AA338" s="2"/>
      <c r="AB338" s="343"/>
      <c r="AC338" s="2"/>
      <c r="AD338" s="2"/>
      <c r="AE338" s="349"/>
      <c r="AF338" s="349"/>
      <c r="AG338" s="349"/>
      <c r="AH338" s="349"/>
      <c r="AI338" s="349"/>
      <c r="AJ338" s="349"/>
      <c r="AK338" s="349"/>
      <c r="AL338" s="349"/>
      <c r="AM338" s="349"/>
    </row>
    <row r="339" spans="1:39" ht="5.15" customHeight="1" x14ac:dyDescent="0.25">
      <c r="A339" s="2"/>
      <c r="B339" s="19"/>
      <c r="C339" s="371"/>
      <c r="D339" s="360"/>
      <c r="E339" s="360"/>
      <c r="F339" s="360"/>
      <c r="G339" s="360"/>
      <c r="H339" s="360"/>
      <c r="I339" s="360"/>
      <c r="J339" s="360"/>
      <c r="K339" s="360"/>
      <c r="L339" s="360"/>
      <c r="M339" s="360"/>
      <c r="N339" s="372"/>
      <c r="O339" s="6"/>
      <c r="P339" s="6"/>
      <c r="Q339" s="2"/>
      <c r="R339" s="2"/>
      <c r="S339" s="7"/>
      <c r="T339" s="7"/>
      <c r="U339" s="2"/>
      <c r="V339" s="2"/>
      <c r="W339" s="2"/>
      <c r="X339" s="2"/>
      <c r="Y339" s="2"/>
      <c r="Z339" s="2"/>
      <c r="AA339" s="2"/>
      <c r="AB339" s="343"/>
      <c r="AC339" s="2"/>
      <c r="AD339" s="2"/>
      <c r="AE339" s="349"/>
      <c r="AF339" s="349"/>
      <c r="AG339" s="349"/>
      <c r="AH339" s="349"/>
      <c r="AI339" s="349"/>
      <c r="AJ339" s="349"/>
      <c r="AK339" s="349"/>
      <c r="AL339" s="349"/>
      <c r="AM339" s="349"/>
    </row>
    <row r="340" spans="1:39" ht="12.75" customHeight="1" x14ac:dyDescent="0.25">
      <c r="A340" s="2"/>
      <c r="B340" s="3"/>
      <c r="C340" s="370"/>
      <c r="D340" s="373" t="s">
        <v>55</v>
      </c>
      <c r="E340" s="2634" t="str">
        <f>Translations!$B$676</f>
        <v>Utsläpp som direkt kan tillskrivas (DirEm*) delanläggningen</v>
      </c>
      <c r="F340" s="2635"/>
      <c r="G340" s="2635"/>
      <c r="H340" s="2635"/>
      <c r="I340" s="2635"/>
      <c r="J340" s="2635"/>
      <c r="K340" s="2635"/>
      <c r="L340" s="2635"/>
      <c r="M340" s="2635"/>
      <c r="N340" s="2636"/>
      <c r="O340" s="6"/>
      <c r="P340" s="6"/>
      <c r="Q340" s="7"/>
      <c r="R340" s="2"/>
      <c r="S340" s="7"/>
      <c r="T340" s="7"/>
      <c r="U340" s="2"/>
      <c r="V340" s="2"/>
      <c r="W340" s="2"/>
      <c r="X340" s="2"/>
      <c r="Y340" s="2"/>
      <c r="Z340" s="2"/>
      <c r="AA340" s="2"/>
      <c r="AB340" s="343"/>
      <c r="AC340" s="2"/>
      <c r="AD340" s="2"/>
      <c r="AE340" s="349"/>
      <c r="AF340" s="349"/>
      <c r="AG340" s="349"/>
      <c r="AH340" s="349"/>
      <c r="AI340" s="349"/>
      <c r="AJ340" s="349"/>
      <c r="AK340" s="349"/>
      <c r="AL340" s="349"/>
      <c r="AM340" s="349"/>
    </row>
    <row r="341" spans="1:39" ht="12.75" customHeight="1" x14ac:dyDescent="0.25">
      <c r="A341" s="2"/>
      <c r="B341" s="3"/>
      <c r="C341" s="370"/>
      <c r="D341" s="373"/>
      <c r="E341" s="2680" t="str">
        <f>Translations!$B$556</f>
        <v>De uppgifter som anges här påverkar de utsläpp som kan tillskrivas i enlighet med avsnitt 10.1.1 i bilaga VII till FAR.</v>
      </c>
      <c r="F341" s="2680"/>
      <c r="G341" s="2680"/>
      <c r="H341" s="2680"/>
      <c r="I341" s="2680"/>
      <c r="J341" s="2680"/>
      <c r="K341" s="2680"/>
      <c r="L341" s="2680"/>
      <c r="M341" s="2680"/>
      <c r="N341" s="2681"/>
      <c r="O341" s="6"/>
      <c r="P341" s="6"/>
      <c r="Q341" s="7"/>
      <c r="R341" s="2"/>
      <c r="S341" s="7"/>
      <c r="T341" s="7"/>
      <c r="U341" s="2"/>
      <c r="V341" s="2"/>
      <c r="W341" s="2"/>
      <c r="X341" s="2"/>
      <c r="Y341" s="2"/>
      <c r="Z341" s="2"/>
      <c r="AA341" s="2"/>
      <c r="AB341" s="343"/>
      <c r="AC341" s="2"/>
      <c r="AD341" s="2"/>
      <c r="AE341" s="349"/>
      <c r="AF341" s="349"/>
      <c r="AG341" s="349"/>
      <c r="AH341" s="349"/>
      <c r="AI341" s="349"/>
      <c r="AJ341" s="349"/>
      <c r="AK341" s="349"/>
      <c r="AL341" s="349"/>
      <c r="AM341" s="349"/>
    </row>
    <row r="342" spans="1:39" ht="12.75" customHeight="1" x14ac:dyDescent="0.25">
      <c r="A342" s="2"/>
      <c r="B342" s="3"/>
      <c r="C342" s="370"/>
      <c r="D342" s="359"/>
      <c r="E342" s="2639" t="str">
        <f>Translations!$B$677</f>
        <v>Var god ange de direkta utsläppen med hänsyn tagen till följande bestämmelser:</v>
      </c>
      <c r="F342" s="2639"/>
      <c r="G342" s="2639"/>
      <c r="H342" s="2639"/>
      <c r="I342" s="2639"/>
      <c r="J342" s="2639"/>
      <c r="K342" s="2639"/>
      <c r="L342" s="2639"/>
      <c r="M342" s="2639"/>
      <c r="N342" s="2640"/>
      <c r="O342" s="6"/>
      <c r="P342" s="6"/>
      <c r="Q342" s="7"/>
      <c r="R342" s="2"/>
      <c r="S342" s="7"/>
      <c r="T342" s="2"/>
      <c r="U342" s="2"/>
      <c r="V342" s="2"/>
      <c r="W342" s="2"/>
      <c r="X342" s="2"/>
      <c r="Y342" s="2"/>
      <c r="Z342" s="2"/>
      <c r="AA342" s="2"/>
      <c r="AB342" s="343"/>
      <c r="AC342" s="2"/>
      <c r="AD342" s="2"/>
      <c r="AE342" s="349"/>
      <c r="AF342" s="349"/>
      <c r="AG342" s="349"/>
      <c r="AH342" s="349"/>
      <c r="AI342" s="349"/>
      <c r="AJ342" s="349"/>
      <c r="AK342" s="349"/>
      <c r="AL342" s="349"/>
      <c r="AM342" s="349"/>
    </row>
    <row r="343" spans="1:39" ht="25.5" customHeight="1" x14ac:dyDescent="0.25">
      <c r="A343" s="2"/>
      <c r="B343" s="3"/>
      <c r="C343" s="370"/>
      <c r="D343" s="359"/>
      <c r="E343" s="1140" t="s">
        <v>1112</v>
      </c>
      <c r="F343" s="2641" t="str">
        <f>Translations!$B$678</f>
        <v>Direkta utsläpp övervakas enligt den övervakningsplan som ska godkännas enligt M&amp;R-förordningen, dvs. med hänsyn tagen till de utsläpp som fastställts utifrån beräkningsbaserade metoder (med hjälp av bränsle-/materialmängder), mätbaserade metoder (Cems) och nivålösa metoder (”alternativa övervakningsmetoder”/”fall-back”)</v>
      </c>
      <c r="G343" s="2641"/>
      <c r="H343" s="2641"/>
      <c r="I343" s="2641"/>
      <c r="J343" s="2641"/>
      <c r="K343" s="2641"/>
      <c r="L343" s="2641"/>
      <c r="M343" s="2641"/>
      <c r="N343" s="2721"/>
      <c r="O343" s="6"/>
      <c r="P343" s="6"/>
      <c r="Q343" s="7"/>
      <c r="R343" s="2"/>
      <c r="S343" s="7"/>
      <c r="T343" s="2"/>
      <c r="U343" s="2"/>
      <c r="V343" s="2"/>
      <c r="W343" s="2"/>
      <c r="X343" s="2"/>
      <c r="Y343" s="2"/>
      <c r="Z343" s="2"/>
      <c r="AA343" s="2"/>
      <c r="AB343" s="343"/>
      <c r="AC343" s="2"/>
      <c r="AD343" s="2"/>
      <c r="AE343" s="349"/>
      <c r="AF343" s="349"/>
      <c r="AG343" s="349"/>
      <c r="AH343" s="349"/>
      <c r="AI343" s="349"/>
      <c r="AJ343" s="349"/>
      <c r="AK343" s="349"/>
      <c r="AL343" s="349"/>
      <c r="AM343" s="349"/>
    </row>
    <row r="344" spans="1:39" ht="38.25" customHeight="1" x14ac:dyDescent="0.25">
      <c r="A344" s="2"/>
      <c r="B344" s="178"/>
      <c r="C344" s="779"/>
      <c r="D344" s="780"/>
      <c r="E344" s="1140"/>
      <c r="F344" s="2610" t="str">
        <f>Translations!$B$679</f>
        <v>I flera situationer är dock ”direkta utsläpp” i detta avsnitt inte identiska med de som ska rapporteras enligt M&amp;R-förordningen. Sådana situationer är bland annat när bränsle-/materialmängder används för produktion av mätbar värme, restgaser osv. Fyll därför i avsnitten nedan genom att följa instruktionerna noggrant för att undvika dubbelräkning eller utelämnanden.</v>
      </c>
      <c r="G344" s="1960"/>
      <c r="H344" s="1960"/>
      <c r="I344" s="1960"/>
      <c r="J344" s="1960"/>
      <c r="K344" s="1960"/>
      <c r="L344" s="1960"/>
      <c r="M344" s="1960"/>
      <c r="N344" s="2597"/>
      <c r="O344" s="6"/>
      <c r="P344" s="6"/>
      <c r="Q344" s="343"/>
      <c r="R344" s="2"/>
      <c r="S344" s="343"/>
      <c r="T344" s="2"/>
      <c r="U344" s="2"/>
      <c r="V344" s="2"/>
      <c r="W344" s="2"/>
      <c r="X344" s="2"/>
      <c r="Y344" s="2"/>
      <c r="Z344" s="2"/>
      <c r="AA344" s="2"/>
      <c r="AB344" s="343"/>
      <c r="AC344" s="2"/>
      <c r="AD344" s="2"/>
      <c r="AE344" s="349"/>
      <c r="AF344" s="349"/>
      <c r="AG344" s="349"/>
      <c r="AH344" s="349"/>
      <c r="AI344" s="349"/>
      <c r="AJ344" s="349"/>
      <c r="AK344" s="349"/>
      <c r="AL344" s="349"/>
      <c r="AM344" s="349"/>
    </row>
    <row r="345" spans="1:39" ht="12.75" customHeight="1" x14ac:dyDescent="0.25">
      <c r="A345" s="2"/>
      <c r="B345" s="3"/>
      <c r="C345" s="370"/>
      <c r="D345" s="359"/>
      <c r="E345" s="1140" t="s">
        <v>1112</v>
      </c>
      <c r="F345" s="2641" t="str">
        <f>Translations!$B$680</f>
        <v xml:space="preserve">Mätbar värme: om värmen enbart produceras för delanläggningen kan utsläppen tillskrivas direkt här via bränslets utsläpp. </v>
      </c>
      <c r="G345" s="2641"/>
      <c r="H345" s="2641"/>
      <c r="I345" s="2641"/>
      <c r="J345" s="2641"/>
      <c r="K345" s="2641"/>
      <c r="L345" s="2641"/>
      <c r="M345" s="2641"/>
      <c r="N345" s="2721"/>
      <c r="O345" s="6"/>
      <c r="P345" s="6"/>
      <c r="Q345" s="7"/>
      <c r="R345" s="2"/>
      <c r="S345" s="7"/>
      <c r="T345" s="2"/>
      <c r="U345" s="2"/>
      <c r="V345" s="2"/>
      <c r="W345" s="2"/>
      <c r="X345" s="2"/>
      <c r="Y345" s="2"/>
      <c r="Z345" s="2"/>
      <c r="AA345" s="2"/>
      <c r="AB345" s="343"/>
      <c r="AC345" s="2"/>
      <c r="AD345" s="2"/>
      <c r="AE345" s="349"/>
      <c r="AF345" s="349"/>
      <c r="AG345" s="349"/>
      <c r="AH345" s="349"/>
      <c r="AI345" s="349"/>
      <c r="AJ345" s="349"/>
      <c r="AK345" s="349"/>
      <c r="AL345" s="349"/>
      <c r="AM345" s="349"/>
    </row>
    <row r="346" spans="1:39" ht="26.15" customHeight="1" x14ac:dyDescent="0.25">
      <c r="A346" s="2"/>
      <c r="B346" s="3"/>
      <c r="C346" s="370"/>
      <c r="D346" s="359"/>
      <c r="E346" s="1140"/>
      <c r="F346" s="2641" t="str">
        <f>Translations!$B$681</f>
        <v>I samtliga fall där bränslen används för att producera mätbar värme som förbrukas vid mer än en delanläggning (t.ex. en energicentral vid anläggningen eller ett mer komplext ångnätverk med flera värmeproducerande enheter) bör bränslena inte räknas med i delanläggningens direkta utsläpp utan tas med i punkt f.i nedan.</v>
      </c>
      <c r="G346" s="2641"/>
      <c r="H346" s="2641"/>
      <c r="I346" s="2641"/>
      <c r="J346" s="2641"/>
      <c r="K346" s="2641"/>
      <c r="L346" s="2641"/>
      <c r="M346" s="2641"/>
      <c r="N346" s="2721"/>
      <c r="O346" s="6"/>
      <c r="P346" s="6"/>
      <c r="Q346" s="7"/>
      <c r="R346" s="2"/>
      <c r="S346" s="7"/>
      <c r="T346" s="2"/>
      <c r="U346" s="2"/>
      <c r="V346" s="2"/>
      <c r="W346" s="2"/>
      <c r="X346" s="2"/>
      <c r="Y346" s="2"/>
      <c r="Z346" s="2"/>
      <c r="AA346" s="2"/>
      <c r="AB346" s="343"/>
      <c r="AC346" s="2"/>
      <c r="AD346" s="2"/>
      <c r="AE346" s="349"/>
      <c r="AF346" s="349"/>
      <c r="AG346" s="349"/>
      <c r="AH346" s="349"/>
      <c r="AI346" s="349"/>
      <c r="AJ346" s="349"/>
      <c r="AK346" s="349"/>
      <c r="AL346" s="349"/>
      <c r="AM346" s="349"/>
    </row>
    <row r="347" spans="1:39" ht="25.5" customHeight="1" thickBot="1" x14ac:dyDescent="0.3">
      <c r="A347" s="2"/>
      <c r="B347" s="3"/>
      <c r="C347" s="370"/>
      <c r="D347" s="359"/>
      <c r="E347" s="1140" t="s">
        <v>1112</v>
      </c>
      <c r="F347" s="2641" t="str">
        <f>Translations!$B$682</f>
        <v>Restgaser: utsläpp i samband med mätbar värme som produceras från restgaser från andra anläggningar eller delanläggningar och används i denna delanläggning bör inte tas med här utan i punkt f.xiii nedan.</v>
      </c>
      <c r="G347" s="2642"/>
      <c r="H347" s="2642"/>
      <c r="I347" s="2642"/>
      <c r="J347" s="2642"/>
      <c r="K347" s="2642"/>
      <c r="L347" s="2642"/>
      <c r="M347" s="2642"/>
      <c r="N347" s="2643"/>
      <c r="O347" s="6"/>
      <c r="P347" s="6"/>
      <c r="Q347" s="7"/>
      <c r="R347" s="2"/>
      <c r="S347" s="7"/>
      <c r="T347" s="2"/>
      <c r="U347" s="2"/>
      <c r="V347" s="2"/>
      <c r="W347" s="2"/>
      <c r="X347" s="2"/>
      <c r="Y347" s="2"/>
      <c r="Z347" s="2"/>
      <c r="AA347" s="2"/>
      <c r="AB347" s="343"/>
      <c r="AC347" s="2"/>
      <c r="AD347" s="2"/>
      <c r="AE347" s="349"/>
      <c r="AF347" s="349"/>
      <c r="AG347" s="349"/>
      <c r="AH347" s="349"/>
      <c r="AI347" s="349"/>
      <c r="AJ347" s="349"/>
      <c r="AK347" s="349"/>
      <c r="AL347" s="349"/>
      <c r="AM347" s="349"/>
    </row>
    <row r="348" spans="1:39" ht="12.75" customHeight="1" thickBot="1" x14ac:dyDescent="0.3">
      <c r="A348" s="2"/>
      <c r="B348" s="3"/>
      <c r="C348" s="370"/>
      <c r="D348" s="373"/>
      <c r="E348" s="1716" t="str">
        <f>Translations!$B$531</f>
        <v>Totala direkta utsläpp</v>
      </c>
      <c r="F348" s="1717"/>
      <c r="G348" s="361" t="str">
        <f>EUconst_Unit</f>
        <v>Enhet</v>
      </c>
      <c r="H348" s="362">
        <f t="shared" ref="H348:N348" si="132">H$950</f>
        <v>2019</v>
      </c>
      <c r="I348" s="362">
        <f t="shared" si="132"/>
        <v>2020</v>
      </c>
      <c r="J348" s="362">
        <f t="shared" si="132"/>
        <v>2021</v>
      </c>
      <c r="K348" s="362">
        <f t="shared" si="132"/>
        <v>2022</v>
      </c>
      <c r="L348" s="362">
        <f t="shared" si="132"/>
        <v>2023</v>
      </c>
      <c r="M348" s="362">
        <f t="shared" si="132"/>
        <v>2024</v>
      </c>
      <c r="N348" s="1141">
        <f t="shared" si="132"/>
        <v>2025</v>
      </c>
      <c r="O348" s="6"/>
      <c r="P348" s="6"/>
      <c r="Q348" s="7"/>
      <c r="R348" s="2"/>
      <c r="S348" s="608"/>
      <c r="T348" s="609">
        <f t="shared" ref="T348:Z348" si="133">H348</f>
        <v>2019</v>
      </c>
      <c r="U348" s="609">
        <f t="shared" si="133"/>
        <v>2020</v>
      </c>
      <c r="V348" s="609">
        <f t="shared" si="133"/>
        <v>2021</v>
      </c>
      <c r="W348" s="609">
        <f t="shared" si="133"/>
        <v>2022</v>
      </c>
      <c r="X348" s="609">
        <f t="shared" si="133"/>
        <v>2023</v>
      </c>
      <c r="Y348" s="609">
        <f t="shared" si="133"/>
        <v>2024</v>
      </c>
      <c r="Z348" s="610">
        <f t="shared" si="133"/>
        <v>2025</v>
      </c>
      <c r="AA348" s="2"/>
      <c r="AB348" s="2"/>
      <c r="AC348" s="1044">
        <f t="shared" ref="AC348:AI348" si="134">H$950</f>
        <v>2019</v>
      </c>
      <c r="AD348" s="1044">
        <f t="shared" si="134"/>
        <v>2020</v>
      </c>
      <c r="AE348" s="1044">
        <f t="shared" si="134"/>
        <v>2021</v>
      </c>
      <c r="AF348" s="1044">
        <f t="shared" si="134"/>
        <v>2022</v>
      </c>
      <c r="AG348" s="1044">
        <f t="shared" si="134"/>
        <v>2023</v>
      </c>
      <c r="AH348" s="1044">
        <f t="shared" si="134"/>
        <v>2024</v>
      </c>
      <c r="AI348" s="1044">
        <f t="shared" si="134"/>
        <v>2025</v>
      </c>
      <c r="AJ348" s="349"/>
      <c r="AK348" s="349"/>
      <c r="AL348" s="349"/>
      <c r="AM348" s="349"/>
    </row>
    <row r="349" spans="1:39" ht="12.75" customHeight="1" thickBot="1" x14ac:dyDescent="0.35">
      <c r="A349" s="2"/>
      <c r="B349" s="3"/>
      <c r="C349" s="370"/>
      <c r="D349" s="359"/>
      <c r="E349" s="2617" t="str">
        <f>I209</f>
        <v>Delanläggning med värmeriktmärke, ej KL</v>
      </c>
      <c r="F349" s="1997"/>
      <c r="G349" s="363" t="str">
        <f>EUconst_tCO2epa</f>
        <v>t CO2e/år</v>
      </c>
      <c r="H349" s="1529"/>
      <c r="I349" s="1529"/>
      <c r="J349" s="1529"/>
      <c r="K349" s="1529"/>
      <c r="L349" s="1529"/>
      <c r="M349" s="1529"/>
      <c r="N349" s="1530"/>
      <c r="O349" s="6"/>
      <c r="P349" s="1362"/>
      <c r="Q349" s="298" t="str">
        <f>EUconst_CNTR_Emissions &amp; I209</f>
        <v>DirEmissions_Delanläggning med värmeriktmärke, ej KL</v>
      </c>
      <c r="R349" s="2"/>
      <c r="S349" s="611" t="str">
        <f>EUconst_CNTR_AttributedEmissions &amp; I209</f>
        <v>AttrEmissions_Delanläggning med värmeriktmärke, ej KL</v>
      </c>
      <c r="T349" s="111" t="str">
        <f t="shared" ref="T349:Z349" si="135">IF(T217,SUM(H349),"")</f>
        <v/>
      </c>
      <c r="U349" s="111" t="str">
        <f t="shared" si="135"/>
        <v/>
      </c>
      <c r="V349" s="111" t="str">
        <f t="shared" si="135"/>
        <v/>
      </c>
      <c r="W349" s="111" t="str">
        <f t="shared" si="135"/>
        <v/>
      </c>
      <c r="X349" s="111" t="str">
        <f t="shared" si="135"/>
        <v/>
      </c>
      <c r="Y349" s="111" t="str">
        <f t="shared" si="135"/>
        <v/>
      </c>
      <c r="Z349" s="112" t="str">
        <f t="shared" si="135"/>
        <v/>
      </c>
      <c r="AA349" s="2"/>
      <c r="AB349" s="672" t="s">
        <v>782</v>
      </c>
      <c r="AC349" s="1755" t="b">
        <f t="shared" ref="AC349:AI349" si="136">IF(CNTR_ExistSubInstEntries,OR($M209&lt;&gt;EUconst_Relevant,AC348&gt;=CNTR_ReportingYear,AC348&lt;$V209-1),FALSE)</f>
        <v>0</v>
      </c>
      <c r="AD349" s="1042" t="b">
        <f t="shared" si="136"/>
        <v>0</v>
      </c>
      <c r="AE349" s="1042" t="b">
        <f t="shared" si="136"/>
        <v>0</v>
      </c>
      <c r="AF349" s="1042" t="b">
        <f t="shared" si="136"/>
        <v>0</v>
      </c>
      <c r="AG349" s="1042" t="b">
        <f t="shared" si="136"/>
        <v>0</v>
      </c>
      <c r="AH349" s="1042" t="b">
        <f t="shared" si="136"/>
        <v>0</v>
      </c>
      <c r="AI349" s="1043" t="b">
        <f t="shared" si="136"/>
        <v>0</v>
      </c>
      <c r="AJ349" s="349"/>
      <c r="AK349" s="553" t="s">
        <v>2248</v>
      </c>
      <c r="AL349" s="663" t="str">
        <f>IF(AND(CNTR_ExistSubInstEntries,COUNTIFS(AC349:AI349,2,H349:N349,"")&gt;0),EUconst_Error&amp;"FB"&amp;Q209,"")</f>
        <v/>
      </c>
      <c r="AM349" s="349"/>
    </row>
    <row r="350" spans="1:39" ht="5.15" customHeight="1" x14ac:dyDescent="0.25">
      <c r="A350" s="2"/>
      <c r="B350" s="3"/>
      <c r="C350" s="370"/>
      <c r="D350" s="359"/>
      <c r="E350" s="359"/>
      <c r="F350" s="359"/>
      <c r="G350" s="359"/>
      <c r="H350" s="359"/>
      <c r="I350" s="359"/>
      <c r="J350" s="359"/>
      <c r="K350" s="359"/>
      <c r="L350" s="359"/>
      <c r="M350" s="375"/>
      <c r="N350" s="374"/>
      <c r="O350" s="6"/>
      <c r="P350" s="6"/>
      <c r="Q350" s="7"/>
      <c r="R350" s="2"/>
      <c r="S350" s="7"/>
      <c r="T350" s="2"/>
      <c r="U350" s="2"/>
      <c r="V350" s="2"/>
      <c r="W350" s="2"/>
      <c r="X350" s="2"/>
      <c r="Y350" s="2"/>
      <c r="Z350" s="2"/>
      <c r="AA350" s="2"/>
      <c r="AB350" s="343"/>
      <c r="AC350" s="2"/>
      <c r="AD350" s="2"/>
      <c r="AE350" s="349"/>
      <c r="AF350" s="349"/>
      <c r="AG350" s="349"/>
      <c r="AH350" s="349"/>
      <c r="AI350" s="349"/>
      <c r="AJ350" s="349"/>
      <c r="AK350" s="349"/>
      <c r="AL350" s="349"/>
      <c r="AM350" s="349"/>
    </row>
    <row r="351" spans="1:39" ht="12.75" customHeight="1" x14ac:dyDescent="0.25">
      <c r="A351" s="2"/>
      <c r="B351" s="3"/>
      <c r="C351" s="370"/>
      <c r="D351" s="373" t="s">
        <v>960</v>
      </c>
      <c r="E351" s="2614" t="str">
        <f>Translations!$B$566</f>
        <v>Insatsbränsle till delanläggningen och relevant emissionsfaktor</v>
      </c>
      <c r="F351" s="2614"/>
      <c r="G351" s="2614"/>
      <c r="H351" s="2614"/>
      <c r="I351" s="2614"/>
      <c r="J351" s="2614"/>
      <c r="K351" s="2614"/>
      <c r="L351" s="2614"/>
      <c r="M351" s="2614"/>
      <c r="N351" s="2724"/>
      <c r="O351" s="6"/>
      <c r="P351" s="6"/>
      <c r="Q351" s="2"/>
      <c r="R351" s="2"/>
      <c r="S351" s="7"/>
      <c r="T351" s="2"/>
      <c r="U351" s="2"/>
      <c r="V351" s="2"/>
      <c r="W351" s="2"/>
      <c r="X351" s="2"/>
      <c r="Y351" s="2"/>
      <c r="Z351" s="2"/>
      <c r="AA351" s="2"/>
      <c r="AB351" s="343"/>
      <c r="AC351" s="2"/>
      <c r="AD351" s="2"/>
      <c r="AE351" s="349"/>
      <c r="AF351" s="349"/>
      <c r="AG351" s="349"/>
      <c r="AH351" s="349"/>
      <c r="AI351" s="349"/>
      <c r="AJ351" s="349"/>
      <c r="AK351" s="349"/>
      <c r="AL351" s="349"/>
      <c r="AM351" s="349"/>
    </row>
    <row r="352" spans="1:39" ht="12.75" customHeight="1" x14ac:dyDescent="0.25">
      <c r="A352" s="2"/>
      <c r="B352" s="3"/>
      <c r="C352" s="370"/>
      <c r="D352" s="359"/>
      <c r="E352" s="2641" t="str">
        <f>Translations!$B$683</f>
        <v>Såsom krävs i avsnitt 2.4 a i bilaga IV till FAR, var god ange det totala insatsbränslet och en motsvarande viktad emissionsfaktor med hänsyn tagen till respektive bränsles energiinnehåll.</v>
      </c>
      <c r="F352" s="2635"/>
      <c r="G352" s="2635"/>
      <c r="H352" s="2635"/>
      <c r="I352" s="2635"/>
      <c r="J352" s="2635"/>
      <c r="K352" s="2635"/>
      <c r="L352" s="2635"/>
      <c r="M352" s="2635"/>
      <c r="N352" s="2636"/>
      <c r="O352" s="6"/>
      <c r="P352" s="6"/>
      <c r="Q352" s="7"/>
      <c r="R352" s="7"/>
      <c r="S352" s="7"/>
      <c r="T352" s="2"/>
      <c r="U352" s="2"/>
      <c r="V352" s="2"/>
      <c r="W352" s="2"/>
      <c r="X352" s="2"/>
      <c r="Y352" s="2"/>
      <c r="Z352" s="2"/>
      <c r="AA352" s="2"/>
      <c r="AB352" s="343"/>
      <c r="AC352" s="2"/>
      <c r="AD352" s="2"/>
      <c r="AE352" s="349"/>
      <c r="AF352" s="349"/>
      <c r="AG352" s="349"/>
      <c r="AH352" s="349"/>
      <c r="AI352" s="349"/>
      <c r="AJ352" s="349"/>
      <c r="AK352" s="349"/>
      <c r="AL352" s="349"/>
      <c r="AM352" s="349"/>
    </row>
    <row r="353" spans="1:39" ht="25.5" customHeight="1" x14ac:dyDescent="0.25">
      <c r="A353" s="2"/>
      <c r="B353" s="3"/>
      <c r="C353" s="370"/>
      <c r="D353" s="359"/>
      <c r="E353" s="2641" t="str">
        <f>Translations!$B$684</f>
        <v>Med ”bränsle” avses varje bränsle-/materialmängd enligt M&amp;R-förordningen som är brännbar och för vilken ett effektivt värmevärde kan fastställas. Den viktade emissionsfaktorn motsvarar de ackumulerade bränsleutsläppen, inklusive bränslen som används för att producera mätbar värme, delat med det totala energiinnehållet.</v>
      </c>
      <c r="F353" s="2635"/>
      <c r="G353" s="2635"/>
      <c r="H353" s="2635"/>
      <c r="I353" s="2635"/>
      <c r="J353" s="2635"/>
      <c r="K353" s="2635"/>
      <c r="L353" s="2635"/>
      <c r="M353" s="2635"/>
      <c r="N353" s="2636"/>
      <c r="O353" s="6"/>
      <c r="P353" s="6"/>
      <c r="Q353" s="7"/>
      <c r="R353" s="2"/>
      <c r="S353" s="7"/>
      <c r="T353" s="2"/>
      <c r="U353" s="2"/>
      <c r="V353" s="2"/>
      <c r="W353" s="2"/>
      <c r="X353" s="2"/>
      <c r="Y353" s="2"/>
      <c r="Z353" s="2"/>
      <c r="AA353" s="2"/>
      <c r="AB353" s="343"/>
      <c r="AC353" s="2"/>
      <c r="AD353" s="2"/>
      <c r="AE353" s="349"/>
      <c r="AF353" s="349"/>
      <c r="AG353" s="349"/>
      <c r="AH353" s="349"/>
      <c r="AI353" s="349"/>
      <c r="AJ353" s="349"/>
      <c r="AK353" s="349"/>
      <c r="AL353" s="349"/>
      <c r="AM353" s="349"/>
    </row>
    <row r="354" spans="1:39" ht="12.75" customHeight="1" x14ac:dyDescent="0.25">
      <c r="A354" s="2"/>
      <c r="B354" s="3"/>
      <c r="C354" s="370"/>
      <c r="D354" s="359"/>
      <c r="E354" s="2641" t="str">
        <f>Translations!$B$569</f>
        <v>Den viktade emissionsfaktorn bör dessutom innefatta utsläpp från motsvarande rökgasrening, i tillämpliga fall.</v>
      </c>
      <c r="F354" s="2635"/>
      <c r="G354" s="2635"/>
      <c r="H354" s="2635"/>
      <c r="I354" s="2635"/>
      <c r="J354" s="2635"/>
      <c r="K354" s="2635"/>
      <c r="L354" s="2635"/>
      <c r="M354" s="2635"/>
      <c r="N354" s="2636"/>
      <c r="O354" s="6"/>
      <c r="P354" s="6"/>
      <c r="Q354" s="7"/>
      <c r="R354" s="2"/>
      <c r="S354" s="7"/>
      <c r="T354" s="2"/>
      <c r="U354" s="2"/>
      <c r="V354" s="2"/>
      <c r="W354" s="2"/>
      <c r="X354" s="2"/>
      <c r="Y354" s="2"/>
      <c r="Z354" s="2"/>
      <c r="AA354" s="2"/>
      <c r="AB354" s="343"/>
      <c r="AC354" s="2"/>
      <c r="AD354" s="2"/>
      <c r="AE354" s="349"/>
      <c r="AF354" s="349"/>
      <c r="AG354" s="349"/>
      <c r="AH354" s="349"/>
      <c r="AI354" s="349"/>
      <c r="AJ354" s="349"/>
      <c r="AK354" s="349"/>
      <c r="AL354" s="349"/>
      <c r="AM354" s="349"/>
    </row>
    <row r="355" spans="1:39" ht="12.75" customHeight="1" x14ac:dyDescent="0.25">
      <c r="A355" s="2"/>
      <c r="B355" s="3"/>
      <c r="C355" s="370"/>
      <c r="D355" s="359"/>
      <c r="E355" s="2641" t="str">
        <f>Translations!$B$685</f>
        <v>Insatsbränsle från restgaser innefattar motsvarande insatsenergi för att producera mätbar värme som används vid delanläggningen.</v>
      </c>
      <c r="F355" s="2635"/>
      <c r="G355" s="2635"/>
      <c r="H355" s="2635"/>
      <c r="I355" s="2635"/>
      <c r="J355" s="2635"/>
      <c r="K355" s="2635"/>
      <c r="L355" s="2635"/>
      <c r="M355" s="2635"/>
      <c r="N355" s="2636"/>
      <c r="O355" s="6"/>
      <c r="P355" s="6"/>
      <c r="Q355" s="7"/>
      <c r="R355" s="2"/>
      <c r="S355" s="7"/>
      <c r="T355" s="2"/>
      <c r="U355" s="2"/>
      <c r="V355" s="2"/>
      <c r="W355" s="2"/>
      <c r="X355" s="2"/>
      <c r="Y355" s="2"/>
      <c r="Z355" s="2"/>
      <c r="AA355" s="2"/>
      <c r="AB355" s="343"/>
      <c r="AC355" s="2"/>
      <c r="AD355" s="2"/>
      <c r="AE355" s="349"/>
      <c r="AF355" s="349"/>
      <c r="AG355" s="349"/>
      <c r="AH355" s="349"/>
      <c r="AI355" s="349"/>
      <c r="AJ355" s="349"/>
      <c r="AK355" s="349"/>
      <c r="AL355" s="349"/>
      <c r="AM355" s="349"/>
    </row>
    <row r="356" spans="1:39" ht="12.75" customHeight="1" x14ac:dyDescent="0.25">
      <c r="A356" s="2"/>
      <c r="B356" s="3"/>
      <c r="C356" s="370"/>
      <c r="D356" s="359"/>
      <c r="E356" s="2641" t="str">
        <f>Translations!$B$686</f>
        <v>De värden som anges här används för att beräkna restgasbalansen i avsnitt E.III.h.</v>
      </c>
      <c r="F356" s="2635"/>
      <c r="G356" s="2635"/>
      <c r="H356" s="2635"/>
      <c r="I356" s="2635"/>
      <c r="J356" s="2635"/>
      <c r="K356" s="2635"/>
      <c r="L356" s="2635"/>
      <c r="M356" s="2635"/>
      <c r="N356" s="2636"/>
      <c r="O356" s="6"/>
      <c r="P356" s="6"/>
      <c r="Q356" s="7"/>
      <c r="R356" s="2"/>
      <c r="S356" s="7"/>
      <c r="T356" s="2"/>
      <c r="U356" s="2"/>
      <c r="V356" s="2"/>
      <c r="W356" s="2"/>
      <c r="X356" s="2"/>
      <c r="Y356" s="2"/>
      <c r="Z356" s="2"/>
      <c r="AA356" s="2"/>
      <c r="AB356" s="343"/>
      <c r="AC356" s="2"/>
      <c r="AD356" s="2"/>
      <c r="AE356" s="349"/>
      <c r="AF356" s="349"/>
      <c r="AG356" s="349"/>
      <c r="AH356" s="349"/>
      <c r="AI356" s="349"/>
      <c r="AJ356" s="349"/>
      <c r="AK356" s="349"/>
      <c r="AL356" s="349"/>
      <c r="AM356" s="349"/>
    </row>
    <row r="357" spans="1:39" ht="12.75" customHeight="1" x14ac:dyDescent="0.25">
      <c r="A357" s="2"/>
      <c r="B357" s="3"/>
      <c r="C357" s="370"/>
      <c r="D357" s="359"/>
      <c r="E357" s="2637" t="str">
        <f>Translations!$B$570</f>
        <v>De uppgifter som anges här används bara för konsekvenskontroll och har ingen direkt inverkan på vare sig de utsläpp som kan tillskrivas eller tilldelningen.</v>
      </c>
      <c r="F357" s="2634"/>
      <c r="G357" s="2634"/>
      <c r="H357" s="2634"/>
      <c r="I357" s="2634"/>
      <c r="J357" s="2634"/>
      <c r="K357" s="2634"/>
      <c r="L357" s="2634"/>
      <c r="M357" s="2634"/>
      <c r="N357" s="2638"/>
      <c r="O357" s="6"/>
      <c r="P357" s="6"/>
      <c r="Q357" s="7"/>
      <c r="R357" s="2"/>
      <c r="S357" s="7"/>
      <c r="T357" s="2"/>
      <c r="U357" s="2"/>
      <c r="V357" s="2"/>
      <c r="W357" s="2"/>
      <c r="X357" s="2"/>
      <c r="Y357" s="2"/>
      <c r="Z357" s="2"/>
      <c r="AA357" s="2"/>
      <c r="AB357" s="343"/>
      <c r="AC357" s="2"/>
      <c r="AD357" s="2"/>
      <c r="AE357" s="349"/>
      <c r="AF357" s="349"/>
      <c r="AG357" s="349"/>
      <c r="AH357" s="349"/>
      <c r="AI357" s="349"/>
      <c r="AJ357" s="349"/>
      <c r="AK357" s="349"/>
      <c r="AL357" s="349"/>
      <c r="AM357" s="349"/>
    </row>
    <row r="358" spans="1:39" ht="12.75" customHeight="1" x14ac:dyDescent="0.25">
      <c r="A358" s="2"/>
      <c r="B358" s="3"/>
      <c r="C358" s="370"/>
      <c r="D358" s="373"/>
      <c r="E358" s="1716"/>
      <c r="F358" s="1717"/>
      <c r="G358" s="361" t="str">
        <f>EUconst_Unit</f>
        <v>Enhet</v>
      </c>
      <c r="H358" s="362">
        <f t="shared" ref="H358:N358" si="137">H$950</f>
        <v>2019</v>
      </c>
      <c r="I358" s="362">
        <f t="shared" si="137"/>
        <v>2020</v>
      </c>
      <c r="J358" s="362">
        <f t="shared" si="137"/>
        <v>2021</v>
      </c>
      <c r="K358" s="362">
        <f t="shared" si="137"/>
        <v>2022</v>
      </c>
      <c r="L358" s="362">
        <f t="shared" si="137"/>
        <v>2023</v>
      </c>
      <c r="M358" s="362">
        <f t="shared" si="137"/>
        <v>2024</v>
      </c>
      <c r="N358" s="1141">
        <f t="shared" si="137"/>
        <v>2025</v>
      </c>
      <c r="O358" s="6"/>
      <c r="P358" s="6"/>
      <c r="Q358" s="7"/>
      <c r="R358" s="2"/>
      <c r="S358" s="7"/>
      <c r="T358" s="2"/>
      <c r="U358" s="2"/>
      <c r="V358" s="2"/>
      <c r="W358" s="2"/>
      <c r="X358" s="2"/>
      <c r="Y358" s="2"/>
      <c r="Z358" s="2"/>
      <c r="AA358" s="2"/>
      <c r="AB358" s="2"/>
      <c r="AC358" s="1531">
        <f t="shared" ref="AC358:AI358" si="138">H$950</f>
        <v>2019</v>
      </c>
      <c r="AD358" s="1531">
        <f t="shared" si="138"/>
        <v>2020</v>
      </c>
      <c r="AE358" s="1531">
        <f t="shared" si="138"/>
        <v>2021</v>
      </c>
      <c r="AF358" s="1531">
        <f t="shared" si="138"/>
        <v>2022</v>
      </c>
      <c r="AG358" s="1531">
        <f t="shared" si="138"/>
        <v>2023</v>
      </c>
      <c r="AH358" s="1531">
        <f t="shared" si="138"/>
        <v>2024</v>
      </c>
      <c r="AI358" s="1531">
        <f t="shared" si="138"/>
        <v>2025</v>
      </c>
      <c r="AJ358" s="349"/>
      <c r="AK358" s="349"/>
      <c r="AL358" s="349"/>
      <c r="AM358" s="349"/>
    </row>
    <row r="359" spans="1:39" ht="12.75" customHeight="1" x14ac:dyDescent="0.25">
      <c r="A359" s="2"/>
      <c r="B359" s="3"/>
      <c r="C359" s="370"/>
      <c r="D359" s="376" t="s">
        <v>8</v>
      </c>
      <c r="E359" s="2613" t="str">
        <f>Translations!$B$687</f>
        <v>Totalt insatsbränsle</v>
      </c>
      <c r="F359" s="1997"/>
      <c r="G359" s="364" t="str">
        <f>EUconst_TJpa</f>
        <v>TJ / år</v>
      </c>
      <c r="H359" s="582"/>
      <c r="I359" s="582"/>
      <c r="J359" s="582"/>
      <c r="K359" s="582"/>
      <c r="L359" s="582"/>
      <c r="M359" s="582"/>
      <c r="N359" s="1146"/>
      <c r="O359" s="6"/>
      <c r="P359" s="1362"/>
      <c r="Q359" s="298" t="str">
        <f>EUconst_CNTR_FuelInput &amp; I209</f>
        <v>FuelInput_Delanläggning med värmeriktmärke, ej KL</v>
      </c>
      <c r="R359" s="2"/>
      <c r="S359" s="7"/>
      <c r="T359" s="2"/>
      <c r="U359" s="2"/>
      <c r="V359" s="2"/>
      <c r="W359" s="2"/>
      <c r="X359" s="2"/>
      <c r="Y359" s="2"/>
      <c r="Z359" s="2"/>
      <c r="AA359" s="2"/>
      <c r="AB359" s="672" t="s">
        <v>782</v>
      </c>
      <c r="AC359" s="108" t="b">
        <f>AC349</f>
        <v>0</v>
      </c>
      <c r="AD359" s="108" t="b">
        <f t="shared" ref="AD359:AI359" si="139">AD349</f>
        <v>0</v>
      </c>
      <c r="AE359" s="108" t="b">
        <f t="shared" si="139"/>
        <v>0</v>
      </c>
      <c r="AF359" s="108" t="b">
        <f t="shared" si="139"/>
        <v>0</v>
      </c>
      <c r="AG359" s="108" t="b">
        <f t="shared" si="139"/>
        <v>0</v>
      </c>
      <c r="AH359" s="108" t="b">
        <f t="shared" si="139"/>
        <v>0</v>
      </c>
      <c r="AI359" s="108" t="b">
        <f t="shared" si="139"/>
        <v>0</v>
      </c>
      <c r="AJ359" s="349"/>
      <c r="AK359" s="349"/>
      <c r="AL359" s="663" t="str">
        <f>IF(AND(CNTR_ExistSubInstEntries,COUNTIFS(AC359:AI359,2,H359:N359,"")&gt;0),EUconst_Error&amp;"FB"&amp;Q209,"")</f>
        <v/>
      </c>
      <c r="AM359" s="349"/>
    </row>
    <row r="360" spans="1:39" ht="12.75" customHeight="1" x14ac:dyDescent="0.25">
      <c r="A360" s="2"/>
      <c r="B360" s="3"/>
      <c r="C360" s="370"/>
      <c r="D360" s="376" t="s">
        <v>9</v>
      </c>
      <c r="E360" s="2613" t="str">
        <f>Translations!$B$572</f>
        <v>Viktad emissionsfaktor</v>
      </c>
      <c r="F360" s="1997"/>
      <c r="G360" s="449" t="str">
        <f>EUconst_tCO2pTJ</f>
        <v>t CO2 / TJ</v>
      </c>
      <c r="H360" s="747"/>
      <c r="I360" s="747"/>
      <c r="J360" s="747"/>
      <c r="K360" s="747"/>
      <c r="L360" s="747"/>
      <c r="M360" s="747"/>
      <c r="N360" s="1297"/>
      <c r="O360" s="6"/>
      <c r="P360" s="1362"/>
      <c r="Q360" s="298" t="str">
        <f>EUconst_CNTR_FuelEF &amp; I209</f>
        <v>FuelEF_Delanläggning med värmeriktmärke, ej KL</v>
      </c>
      <c r="R360" s="2"/>
      <c r="S360" s="7"/>
      <c r="T360" s="2"/>
      <c r="U360" s="2"/>
      <c r="V360" s="2"/>
      <c r="W360" s="2"/>
      <c r="X360" s="2"/>
      <c r="Y360" s="2"/>
      <c r="Z360" s="2"/>
      <c r="AA360" s="2"/>
      <c r="AB360" s="343"/>
      <c r="AC360" s="108" t="b">
        <f>AC359</f>
        <v>0</v>
      </c>
      <c r="AD360" s="108" t="b">
        <f t="shared" ref="AD360:AI360" si="140">AD359</f>
        <v>0</v>
      </c>
      <c r="AE360" s="108" t="b">
        <f t="shared" si="140"/>
        <v>0</v>
      </c>
      <c r="AF360" s="108" t="b">
        <f t="shared" si="140"/>
        <v>0</v>
      </c>
      <c r="AG360" s="108" t="b">
        <f t="shared" si="140"/>
        <v>0</v>
      </c>
      <c r="AH360" s="108" t="b">
        <f t="shared" si="140"/>
        <v>0</v>
      </c>
      <c r="AI360" s="108" t="b">
        <f t="shared" si="140"/>
        <v>0</v>
      </c>
      <c r="AJ360" s="349"/>
      <c r="AK360" s="349"/>
      <c r="AL360" s="663" t="str">
        <f>IF(AND(CNTR_ExistSubInstEntries,COUNTIFS(AC360:AI360,2,H360:N360,"")&gt;0),EUconst_Error&amp;"FB"&amp;Q209,"")</f>
        <v/>
      </c>
      <c r="AM360" s="349"/>
    </row>
    <row r="361" spans="1:39" ht="5.15" customHeight="1" x14ac:dyDescent="0.25">
      <c r="A361" s="2"/>
      <c r="B361" s="3"/>
      <c r="C361" s="370"/>
      <c r="D361" s="359"/>
      <c r="E361" s="359"/>
      <c r="F361" s="359"/>
      <c r="G361" s="359"/>
      <c r="H361" s="359"/>
      <c r="I361" s="359"/>
      <c r="J361" s="359"/>
      <c r="K361" s="359"/>
      <c r="L361" s="359"/>
      <c r="M361" s="359"/>
      <c r="N361" s="1150"/>
      <c r="O361" s="6"/>
      <c r="P361" s="6"/>
      <c r="Q361" s="7"/>
      <c r="R361" s="2"/>
      <c r="S361" s="7"/>
      <c r="T361" s="2"/>
      <c r="U361" s="2"/>
      <c r="V361" s="2"/>
      <c r="W361" s="2"/>
      <c r="X361" s="2"/>
      <c r="Y361" s="2"/>
      <c r="Z361" s="2"/>
      <c r="AA361" s="2"/>
      <c r="AB361" s="343"/>
      <c r="AC361" s="2"/>
      <c r="AD361" s="2"/>
      <c r="AE361" s="2"/>
      <c r="AF361" s="2"/>
      <c r="AG361" s="2"/>
      <c r="AH361" s="2"/>
      <c r="AI361" s="2"/>
      <c r="AJ361" s="349"/>
      <c r="AK361" s="349"/>
      <c r="AL361" s="349"/>
      <c r="AM361" s="349"/>
    </row>
    <row r="362" spans="1:39" ht="12.75" customHeight="1" x14ac:dyDescent="0.25">
      <c r="A362" s="2"/>
      <c r="B362" s="3"/>
      <c r="C362" s="370"/>
      <c r="D362" s="376" t="s">
        <v>10</v>
      </c>
      <c r="E362" s="2613" t="str">
        <f>Translations!$B$688</f>
        <v>Insatsbränsle från restgaser</v>
      </c>
      <c r="F362" s="1997"/>
      <c r="G362" s="364" t="str">
        <f>EUconst_TJpa</f>
        <v>TJ / år</v>
      </c>
      <c r="H362" s="582"/>
      <c r="I362" s="582"/>
      <c r="J362" s="582"/>
      <c r="K362" s="582"/>
      <c r="L362" s="582"/>
      <c r="M362" s="582"/>
      <c r="N362" s="1146"/>
      <c r="O362" s="6"/>
      <c r="P362" s="1362"/>
      <c r="Q362" s="355" t="str">
        <f>EUconst_CNTR_WGConsumed &amp; I209</f>
        <v>WasteGasCons_Delanläggning med värmeriktmärke, ej KL</v>
      </c>
      <c r="R362" s="2"/>
      <c r="S362" s="7"/>
      <c r="T362" s="2"/>
      <c r="U362" s="2"/>
      <c r="V362" s="2"/>
      <c r="W362" s="2"/>
      <c r="X362" s="2"/>
      <c r="Y362" s="2"/>
      <c r="Z362" s="2"/>
      <c r="AA362" s="2"/>
      <c r="AB362" s="343"/>
      <c r="AC362" s="108" t="b">
        <f>AC359</f>
        <v>0</v>
      </c>
      <c r="AD362" s="108" t="b">
        <f t="shared" ref="AD362:AI362" si="141">AD359</f>
        <v>0</v>
      </c>
      <c r="AE362" s="108" t="b">
        <f t="shared" si="141"/>
        <v>0</v>
      </c>
      <c r="AF362" s="108" t="b">
        <f t="shared" si="141"/>
        <v>0</v>
      </c>
      <c r="AG362" s="108" t="b">
        <f t="shared" si="141"/>
        <v>0</v>
      </c>
      <c r="AH362" s="108" t="b">
        <f t="shared" si="141"/>
        <v>0</v>
      </c>
      <c r="AI362" s="108" t="b">
        <f t="shared" si="141"/>
        <v>0</v>
      </c>
      <c r="AJ362" s="349"/>
      <c r="AK362" s="349"/>
      <c r="AL362" s="663" t="str">
        <f>IF(AND(CNTR_ExistSubInstEntries,COUNTIFS(AC362:AI362,2,H362:N362,"")&gt;0),EUconst_Error&amp;"FB"&amp;Q209,"")</f>
        <v/>
      </c>
      <c r="AM362" s="349"/>
    </row>
    <row r="363" spans="1:39" ht="12.75" customHeight="1" x14ac:dyDescent="0.25">
      <c r="A363" s="2"/>
      <c r="B363" s="3"/>
      <c r="C363" s="370"/>
      <c r="D363" s="376" t="s">
        <v>23</v>
      </c>
      <c r="E363" s="2613" t="str">
        <f>Translations!$B$689</f>
        <v>Särskild utsläppsfaktor (restgas)</v>
      </c>
      <c r="F363" s="1997"/>
      <c r="G363" s="449" t="str">
        <f>EUconst_tCO2pTJ</f>
        <v>t CO2 / TJ</v>
      </c>
      <c r="H363" s="747"/>
      <c r="I363" s="747"/>
      <c r="J363" s="747"/>
      <c r="K363" s="747"/>
      <c r="L363" s="747"/>
      <c r="M363" s="747"/>
      <c r="N363" s="1297"/>
      <c r="O363" s="6"/>
      <c r="P363" s="1362"/>
      <c r="Q363" s="298" t="str">
        <f>EUconst_CNTR_WGConsumedEF &amp; I209</f>
        <v>WasteGasConsEF_Delanläggning med värmeriktmärke, ej KL</v>
      </c>
      <c r="R363" s="2"/>
      <c r="S363" s="7"/>
      <c r="T363" s="2"/>
      <c r="U363" s="2"/>
      <c r="V363" s="2"/>
      <c r="W363" s="2"/>
      <c r="X363" s="2"/>
      <c r="Y363" s="2"/>
      <c r="Z363" s="2"/>
      <c r="AA363" s="2"/>
      <c r="AB363" s="343"/>
      <c r="AC363" s="108" t="b">
        <f>AC360</f>
        <v>0</v>
      </c>
      <c r="AD363" s="108" t="b">
        <f t="shared" ref="AD363:AI363" si="142">AD360</f>
        <v>0</v>
      </c>
      <c r="AE363" s="108" t="b">
        <f t="shared" si="142"/>
        <v>0</v>
      </c>
      <c r="AF363" s="108" t="b">
        <f t="shared" si="142"/>
        <v>0</v>
      </c>
      <c r="AG363" s="108" t="b">
        <f t="shared" si="142"/>
        <v>0</v>
      </c>
      <c r="AH363" s="108" t="b">
        <f t="shared" si="142"/>
        <v>0</v>
      </c>
      <c r="AI363" s="108" t="b">
        <f t="shared" si="142"/>
        <v>0</v>
      </c>
      <c r="AJ363" s="349"/>
      <c r="AK363" s="349"/>
      <c r="AL363" s="663" t="str">
        <f>IF(AND(CNTR_ExistSubInstEntries,COUNTIFS(AC363:AI363,2,H363:N363,"")&gt;0),EUconst_Error&amp;"FB"&amp;Q209,"")</f>
        <v/>
      </c>
      <c r="AM363" s="349"/>
    </row>
    <row r="364" spans="1:39" ht="5.15" customHeight="1" x14ac:dyDescent="0.25">
      <c r="A364" s="2"/>
      <c r="B364" s="19"/>
      <c r="C364" s="371"/>
      <c r="D364" s="360"/>
      <c r="E364" s="360"/>
      <c r="F364" s="360"/>
      <c r="G364" s="360"/>
      <c r="H364" s="360"/>
      <c r="I364" s="360"/>
      <c r="J364" s="360"/>
      <c r="K364" s="360"/>
      <c r="L364" s="360"/>
      <c r="M364" s="360"/>
      <c r="N364" s="372"/>
      <c r="O364" s="6"/>
      <c r="P364" s="6"/>
      <c r="Q364" s="2"/>
      <c r="R364" s="2"/>
      <c r="S364" s="7"/>
      <c r="T364" s="7"/>
      <c r="U364" s="7"/>
      <c r="V364" s="7"/>
      <c r="W364" s="2"/>
      <c r="X364" s="2"/>
      <c r="Y364" s="2"/>
      <c r="Z364" s="2"/>
      <c r="AA364" s="2"/>
      <c r="AB364" s="343"/>
      <c r="AC364" s="2"/>
      <c r="AD364" s="2"/>
      <c r="AE364" s="2"/>
      <c r="AF364" s="2"/>
      <c r="AG364" s="2"/>
      <c r="AH364" s="2"/>
      <c r="AI364" s="2"/>
      <c r="AJ364" s="349"/>
      <c r="AK364" s="349"/>
      <c r="AL364" s="349"/>
      <c r="AM364" s="349"/>
    </row>
    <row r="365" spans="1:39" ht="12.75" customHeight="1" x14ac:dyDescent="0.25">
      <c r="A365" s="2"/>
      <c r="B365" s="3"/>
      <c r="C365" s="370"/>
      <c r="D365" s="373" t="s">
        <v>65</v>
      </c>
      <c r="E365" s="2634" t="str">
        <f>Translations!$B$380</f>
        <v>Producerad mätbar värme</v>
      </c>
      <c r="F365" s="2635"/>
      <c r="G365" s="2635"/>
      <c r="H365" s="2635"/>
      <c r="I365" s="2635"/>
      <c r="J365" s="2635"/>
      <c r="K365" s="2635"/>
      <c r="L365" s="2635"/>
      <c r="M365" s="2635"/>
      <c r="N365" s="2636"/>
      <c r="O365" s="6"/>
      <c r="P365" s="6"/>
      <c r="Q365" s="7"/>
      <c r="R365" s="2"/>
      <c r="S365" s="7"/>
      <c r="T365" s="7"/>
      <c r="U365" s="7"/>
      <c r="V365" s="7"/>
      <c r="W365" s="2"/>
      <c r="X365" s="2"/>
      <c r="Y365" s="2"/>
      <c r="Z365" s="2"/>
      <c r="AA365" s="2"/>
      <c r="AB365" s="343"/>
      <c r="AC365" s="2"/>
      <c r="AD365" s="2"/>
      <c r="AE365" s="2"/>
      <c r="AF365" s="2"/>
      <c r="AG365" s="2"/>
      <c r="AH365" s="2"/>
      <c r="AI365" s="2"/>
      <c r="AJ365" s="349"/>
      <c r="AK365" s="349"/>
      <c r="AL365" s="349"/>
      <c r="AM365" s="349"/>
    </row>
    <row r="366" spans="1:39" ht="12.75" customHeight="1" x14ac:dyDescent="0.25">
      <c r="A366" s="2"/>
      <c r="B366" s="3"/>
      <c r="C366" s="370"/>
      <c r="D366" s="359"/>
      <c r="E366" s="2639" t="str">
        <f>Translations!$B$690</f>
        <v xml:space="preserve">Var god ange producerad mätbar värme i enlighet med avsnitt 3.2 a i bilaga IV till FAR. </v>
      </c>
      <c r="F366" s="2639"/>
      <c r="G366" s="2639"/>
      <c r="H366" s="2639"/>
      <c r="I366" s="2639"/>
      <c r="J366" s="2639"/>
      <c r="K366" s="2639"/>
      <c r="L366" s="2639"/>
      <c r="M366" s="2639"/>
      <c r="N366" s="2640"/>
      <c r="O366" s="6"/>
      <c r="P366" s="6"/>
      <c r="Q366" s="7"/>
      <c r="R366" s="2"/>
      <c r="S366" s="7"/>
      <c r="T366" s="2"/>
      <c r="U366" s="2"/>
      <c r="V366" s="2"/>
      <c r="W366" s="2"/>
      <c r="X366" s="2"/>
      <c r="Y366" s="2"/>
      <c r="Z366" s="2"/>
      <c r="AA366" s="2"/>
      <c r="AB366" s="343"/>
      <c r="AC366" s="2"/>
      <c r="AD366" s="2"/>
      <c r="AE366" s="2"/>
      <c r="AF366" s="2"/>
      <c r="AG366" s="2"/>
      <c r="AH366" s="2"/>
      <c r="AI366" s="2"/>
      <c r="AJ366" s="349"/>
      <c r="AK366" s="349"/>
      <c r="AL366" s="349"/>
      <c r="AM366" s="349"/>
    </row>
    <row r="367" spans="1:39" ht="25.5" customHeight="1" x14ac:dyDescent="0.25">
      <c r="A367" s="2"/>
      <c r="B367" s="3"/>
      <c r="C367" s="370"/>
      <c r="D367" s="359"/>
      <c r="E367" s="2639" t="str">
        <f>Translations!$B$691</f>
        <v>Detta värde skiljer sig vanligtvis från delanläggningens verksamhetsnivå enligt punkt a ovan, eftersom det innefattar värmeförluster utöver de nettomängder mätbar värme som förbrukas av eller exporteras till andra enheter utanför ETS och inte innefattar värmeimport, som ska anges i punkt f nedan.</v>
      </c>
      <c r="F367" s="2639"/>
      <c r="G367" s="2639"/>
      <c r="H367" s="2639"/>
      <c r="I367" s="2639"/>
      <c r="J367" s="2639"/>
      <c r="K367" s="2639"/>
      <c r="L367" s="2639"/>
      <c r="M367" s="2639"/>
      <c r="N367" s="2640"/>
      <c r="O367" s="6"/>
      <c r="P367" s="6"/>
      <c r="Q367" s="7"/>
      <c r="R367" s="2"/>
      <c r="S367" s="7"/>
      <c r="T367" s="7"/>
      <c r="U367" s="7"/>
      <c r="V367" s="7"/>
      <c r="W367" s="7"/>
      <c r="X367" s="7"/>
      <c r="Y367" s="7"/>
      <c r="Z367" s="7"/>
      <c r="AA367" s="2"/>
      <c r="AB367" s="343"/>
      <c r="AC367" s="2"/>
      <c r="AD367" s="2"/>
      <c r="AE367" s="2"/>
      <c r="AF367" s="2"/>
      <c r="AG367" s="2"/>
      <c r="AH367" s="2"/>
      <c r="AI367" s="2"/>
      <c r="AJ367" s="349"/>
      <c r="AK367" s="349"/>
      <c r="AL367" s="349"/>
      <c r="AM367" s="349"/>
    </row>
    <row r="368" spans="1:39" ht="12.75" customHeight="1" x14ac:dyDescent="0.25">
      <c r="A368" s="2"/>
      <c r="B368" s="3"/>
      <c r="C368" s="370"/>
      <c r="D368" s="373"/>
      <c r="E368" s="2605" t="str">
        <f>Translations!$B$380</f>
        <v>Producerad mätbar värme</v>
      </c>
      <c r="F368" s="2605"/>
      <c r="G368" s="361" t="str">
        <f>EUconst_Unit</f>
        <v>Enhet</v>
      </c>
      <c r="H368" s="362">
        <f t="shared" ref="H368:N368" si="143">H$950</f>
        <v>2019</v>
      </c>
      <c r="I368" s="362">
        <f t="shared" si="143"/>
        <v>2020</v>
      </c>
      <c r="J368" s="362">
        <f t="shared" si="143"/>
        <v>2021</v>
      </c>
      <c r="K368" s="362">
        <f t="shared" si="143"/>
        <v>2022</v>
      </c>
      <c r="L368" s="362">
        <f t="shared" si="143"/>
        <v>2023</v>
      </c>
      <c r="M368" s="362">
        <f t="shared" si="143"/>
        <v>2024</v>
      </c>
      <c r="N368" s="1141">
        <f t="shared" si="143"/>
        <v>2025</v>
      </c>
      <c r="O368" s="6"/>
      <c r="P368" s="6"/>
      <c r="Q368" s="7"/>
      <c r="R368" s="2"/>
      <c r="S368" s="7"/>
      <c r="T368" s="7"/>
      <c r="U368" s="7"/>
      <c r="V368" s="7"/>
      <c r="W368" s="7"/>
      <c r="X368" s="7"/>
      <c r="Y368" s="7"/>
      <c r="Z368" s="7"/>
      <c r="AA368" s="2"/>
      <c r="AB368" s="343"/>
      <c r="AC368" s="1531">
        <f t="shared" ref="AC368:AI368" si="144">H$950</f>
        <v>2019</v>
      </c>
      <c r="AD368" s="1531">
        <f t="shared" si="144"/>
        <v>2020</v>
      </c>
      <c r="AE368" s="1531">
        <f t="shared" si="144"/>
        <v>2021</v>
      </c>
      <c r="AF368" s="1531">
        <f t="shared" si="144"/>
        <v>2022</v>
      </c>
      <c r="AG368" s="1531">
        <f t="shared" si="144"/>
        <v>2023</v>
      </c>
      <c r="AH368" s="1531">
        <f t="shared" si="144"/>
        <v>2024</v>
      </c>
      <c r="AI368" s="1531">
        <f t="shared" si="144"/>
        <v>2025</v>
      </c>
      <c r="AJ368" s="349"/>
      <c r="AK368" s="349"/>
      <c r="AL368" s="349"/>
      <c r="AM368" s="349"/>
    </row>
    <row r="369" spans="1:39" ht="12.75" customHeight="1" x14ac:dyDescent="0.25">
      <c r="A369" s="2"/>
      <c r="B369" s="3"/>
      <c r="C369" s="370"/>
      <c r="D369" s="359"/>
      <c r="E369" s="2617" t="str">
        <f>E349</f>
        <v>Delanläggning med värmeriktmärke, ej KL</v>
      </c>
      <c r="F369" s="1997"/>
      <c r="G369" s="363" t="str">
        <f>EUconst_TJpa</f>
        <v>TJ / år</v>
      </c>
      <c r="H369" s="1529"/>
      <c r="I369" s="1529"/>
      <c r="J369" s="1529"/>
      <c r="K369" s="1529"/>
      <c r="L369" s="1529"/>
      <c r="M369" s="1529"/>
      <c r="N369" s="1530"/>
      <c r="O369" s="6"/>
      <c r="P369" s="1362"/>
      <c r="Q369" s="298" t="str">
        <f>EUconst_CNTR_HeatProduced &amp; I209</f>
        <v>HeatProd_Delanläggning med värmeriktmärke, ej KL</v>
      </c>
      <c r="R369" s="2"/>
      <c r="S369" s="7"/>
      <c r="T369" s="7"/>
      <c r="U369" s="7"/>
      <c r="V369" s="7"/>
      <c r="W369" s="7"/>
      <c r="X369" s="7"/>
      <c r="Y369" s="7"/>
      <c r="Z369" s="7"/>
      <c r="AA369" s="2"/>
      <c r="AB369" s="672" t="s">
        <v>782</v>
      </c>
      <c r="AC369" s="108" t="b">
        <f>AC349</f>
        <v>0</v>
      </c>
      <c r="AD369" s="108" t="b">
        <f t="shared" ref="AD369:AI369" si="145">AD349</f>
        <v>0</v>
      </c>
      <c r="AE369" s="108" t="b">
        <f t="shared" si="145"/>
        <v>0</v>
      </c>
      <c r="AF369" s="108" t="b">
        <f t="shared" si="145"/>
        <v>0</v>
      </c>
      <c r="AG369" s="108" t="b">
        <f t="shared" si="145"/>
        <v>0</v>
      </c>
      <c r="AH369" s="108" t="b">
        <f t="shared" si="145"/>
        <v>0</v>
      </c>
      <c r="AI369" s="108" t="b">
        <f t="shared" si="145"/>
        <v>0</v>
      </c>
      <c r="AJ369" s="349"/>
      <c r="AK369" s="349"/>
      <c r="AL369" s="663" t="str">
        <f>IF(AND(CNTR_ExistSubInstEntries,COUNTIFS(AC369:AI369,2,H369:N369,"")&gt;0),EUconst_Error&amp;"FB"&amp;Q209,"")</f>
        <v/>
      </c>
      <c r="AM369" s="349"/>
    </row>
    <row r="370" spans="1:39" ht="5.15" customHeight="1" x14ac:dyDescent="0.25">
      <c r="A370" s="2"/>
      <c r="B370" s="3"/>
      <c r="C370" s="370"/>
      <c r="D370" s="359"/>
      <c r="E370" s="359"/>
      <c r="F370" s="359"/>
      <c r="G370" s="359"/>
      <c r="H370" s="359"/>
      <c r="I370" s="359"/>
      <c r="J370" s="359"/>
      <c r="K370" s="359"/>
      <c r="L370" s="359"/>
      <c r="M370" s="375"/>
      <c r="N370" s="374"/>
      <c r="O370" s="6"/>
      <c r="P370" s="6"/>
      <c r="Q370" s="7"/>
      <c r="R370" s="2"/>
      <c r="S370" s="7"/>
      <c r="T370" s="2"/>
      <c r="U370" s="2"/>
      <c r="V370" s="2"/>
      <c r="W370" s="2"/>
      <c r="X370" s="2"/>
      <c r="Y370" s="2"/>
      <c r="Z370" s="2"/>
      <c r="AA370" s="2"/>
      <c r="AB370" s="343"/>
      <c r="AC370" s="2"/>
      <c r="AD370" s="2"/>
      <c r="AE370" s="2"/>
      <c r="AF370" s="2"/>
      <c r="AG370" s="2"/>
      <c r="AH370" s="2"/>
      <c r="AI370" s="2"/>
      <c r="AJ370" s="349"/>
      <c r="AK370" s="349"/>
      <c r="AL370" s="349"/>
      <c r="AM370" s="349"/>
    </row>
    <row r="371" spans="1:39" ht="12.75" customHeight="1" x14ac:dyDescent="0.25">
      <c r="A371" s="2"/>
      <c r="B371" s="3"/>
      <c r="C371" s="370"/>
      <c r="D371" s="373" t="s">
        <v>66</v>
      </c>
      <c r="E371" s="2634" t="str">
        <f>Translations!$B$692</f>
        <v>Importerad mätbar värme</v>
      </c>
      <c r="F371" s="2635"/>
      <c r="G371" s="2635"/>
      <c r="H371" s="2635"/>
      <c r="I371" s="2635"/>
      <c r="J371" s="2635"/>
      <c r="K371" s="2635"/>
      <c r="L371" s="2635"/>
      <c r="M371" s="2635"/>
      <c r="N371" s="2636"/>
      <c r="O371" s="6"/>
      <c r="P371" s="6"/>
      <c r="Q371" s="7"/>
      <c r="R371" s="2"/>
      <c r="S371" s="7"/>
      <c r="T371" s="2"/>
      <c r="U371" s="2"/>
      <c r="V371" s="2"/>
      <c r="W371" s="2"/>
      <c r="X371" s="2"/>
      <c r="Y371" s="2"/>
      <c r="Z371" s="2"/>
      <c r="AA371" s="2"/>
      <c r="AB371" s="343"/>
      <c r="AC371" s="2"/>
      <c r="AD371" s="2"/>
      <c r="AE371" s="2"/>
      <c r="AF371" s="2"/>
      <c r="AG371" s="2"/>
      <c r="AH371" s="2"/>
      <c r="AI371" s="2"/>
      <c r="AJ371" s="349"/>
      <c r="AK371" s="349"/>
      <c r="AL371" s="349"/>
      <c r="AM371" s="349"/>
    </row>
    <row r="372" spans="1:39" ht="12.75" customHeight="1" x14ac:dyDescent="0.25">
      <c r="A372" s="2"/>
      <c r="B372" s="3"/>
      <c r="C372" s="370"/>
      <c r="D372" s="373"/>
      <c r="E372" s="2637" t="str">
        <f>Translations!$B$598</f>
        <v>De uppgifter som anges här påverkar de utsläpp som kan tillskrivas i enlighet med avsnitt 10.1.2 och 10.1.3 i bilaga VII till FAR.</v>
      </c>
      <c r="F372" s="2634"/>
      <c r="G372" s="2634"/>
      <c r="H372" s="2634"/>
      <c r="I372" s="2634"/>
      <c r="J372" s="2634"/>
      <c r="K372" s="2634"/>
      <c r="L372" s="2634"/>
      <c r="M372" s="2634"/>
      <c r="N372" s="2638"/>
      <c r="O372" s="6"/>
      <c r="P372" s="6"/>
      <c r="Q372" s="7"/>
      <c r="R372" s="2"/>
      <c r="S372" s="7"/>
      <c r="T372" s="2"/>
      <c r="U372" s="2"/>
      <c r="V372" s="2"/>
      <c r="W372" s="2"/>
      <c r="X372" s="2"/>
      <c r="Y372" s="2"/>
      <c r="Z372" s="2"/>
      <c r="AA372" s="2"/>
      <c r="AB372" s="343"/>
      <c r="AC372" s="2"/>
      <c r="AD372" s="2"/>
      <c r="AE372" s="2"/>
      <c r="AF372" s="2"/>
      <c r="AG372" s="2"/>
      <c r="AH372" s="2"/>
      <c r="AI372" s="2"/>
      <c r="AJ372" s="349"/>
      <c r="AK372" s="349"/>
      <c r="AL372" s="349"/>
      <c r="AM372" s="349"/>
    </row>
    <row r="373" spans="1:39" ht="12.75" customHeight="1" x14ac:dyDescent="0.25">
      <c r="A373" s="2"/>
      <c r="B373" s="3"/>
      <c r="C373" s="370"/>
      <c r="D373" s="359"/>
      <c r="E373" s="2641" t="str">
        <f>Translations!$B$693</f>
        <v>Var god ange den mängd mätbar värme som importeras från var och en av följande källor:</v>
      </c>
      <c r="F373" s="2635"/>
      <c r="G373" s="2635"/>
      <c r="H373" s="2635"/>
      <c r="I373" s="2635"/>
      <c r="J373" s="2635"/>
      <c r="K373" s="2635"/>
      <c r="L373" s="2635"/>
      <c r="M373" s="2635"/>
      <c r="N373" s="2636"/>
      <c r="O373" s="6"/>
      <c r="P373" s="6"/>
      <c r="Q373" s="7"/>
      <c r="R373" s="2"/>
      <c r="S373" s="7"/>
      <c r="T373" s="2"/>
      <c r="U373" s="2"/>
      <c r="V373" s="2"/>
      <c r="W373" s="2"/>
      <c r="X373" s="2"/>
      <c r="Y373" s="2"/>
      <c r="Z373" s="2"/>
      <c r="AA373" s="2"/>
      <c r="AB373" s="343"/>
      <c r="AC373" s="2"/>
      <c r="AD373" s="2"/>
      <c r="AE373" s="2"/>
      <c r="AF373" s="2"/>
      <c r="AG373" s="2"/>
      <c r="AH373" s="2"/>
      <c r="AI373" s="2"/>
      <c r="AJ373" s="349"/>
      <c r="AK373" s="349"/>
      <c r="AL373" s="349"/>
      <c r="AM373" s="349"/>
    </row>
    <row r="374" spans="1:39" ht="38.9" customHeight="1" x14ac:dyDescent="0.25">
      <c r="A374" s="2"/>
      <c r="B374" s="3"/>
      <c r="C374" s="370"/>
      <c r="D374" s="359"/>
      <c r="E374" s="1140" t="s">
        <v>1112</v>
      </c>
      <c r="F374" s="2641" t="str">
        <f>Translations!$B$694</f>
        <v>Importerad nettovärme (andra källor): detta innefattar värme som importerats från andra anläggningar eller, om mätbar värme förbrukas vid mer än en delanläggning, den värme som produceras på platsen och förbrukas vid delanläggningen. Mätbar värme som importeras från någon delanläggning med produktriktmärke, massaframställning, mätbar värme som återvinns från delanläggningar med bränsleriktmärke eller från restgaser bör inte tas med här, eftersom separata inmatningsfält finns för sådana mängder.</v>
      </c>
      <c r="G374" s="2642"/>
      <c r="H374" s="2642"/>
      <c r="I374" s="2642"/>
      <c r="J374" s="2642"/>
      <c r="K374" s="2642"/>
      <c r="L374" s="2642"/>
      <c r="M374" s="2642"/>
      <c r="N374" s="2643"/>
      <c r="O374" s="6"/>
      <c r="P374" s="6"/>
      <c r="Q374" s="7"/>
      <c r="R374" s="2"/>
      <c r="S374" s="7"/>
      <c r="T374" s="2"/>
      <c r="U374" s="2"/>
      <c r="V374" s="2"/>
      <c r="W374" s="2"/>
      <c r="X374" s="2"/>
      <c r="Y374" s="2"/>
      <c r="Z374" s="2"/>
      <c r="AA374" s="2"/>
      <c r="AB374" s="343"/>
      <c r="AC374" s="2"/>
      <c r="AD374" s="2"/>
      <c r="AE374" s="2"/>
      <c r="AF374" s="2"/>
      <c r="AG374" s="2"/>
      <c r="AH374" s="2"/>
      <c r="AI374" s="2"/>
      <c r="AJ374" s="349"/>
      <c r="AK374" s="349"/>
      <c r="AL374" s="349"/>
      <c r="AM374" s="349"/>
    </row>
    <row r="375" spans="1:39" ht="25.5" customHeight="1" x14ac:dyDescent="0.25">
      <c r="A375" s="2"/>
      <c r="B375" s="3"/>
      <c r="C375" s="370"/>
      <c r="D375" s="359"/>
      <c r="E375" s="1140" t="s">
        <v>1112</v>
      </c>
      <c r="F375" s="2641" t="str">
        <f>Translations!$B$695</f>
        <v>Värme från produktriktmärke Detta innefattar mätbar värme som exporteras från delanläggningar med produktriktmärke med undantag för mätbar värme från delanläggningar med massaframställning eller produktion av salpetersyra.</v>
      </c>
      <c r="G375" s="2642"/>
      <c r="H375" s="2642"/>
      <c r="I375" s="2642"/>
      <c r="J375" s="2642"/>
      <c r="K375" s="2642"/>
      <c r="L375" s="2642"/>
      <c r="M375" s="2642"/>
      <c r="N375" s="2643"/>
      <c r="O375" s="6"/>
      <c r="P375" s="6"/>
      <c r="Q375" s="7"/>
      <c r="R375" s="2"/>
      <c r="S375" s="7"/>
      <c r="T375" s="2"/>
      <c r="U375" s="2"/>
      <c r="V375" s="2"/>
      <c r="W375" s="2"/>
      <c r="X375" s="2"/>
      <c r="Y375" s="2"/>
      <c r="Z375" s="2"/>
      <c r="AA375" s="2"/>
      <c r="AB375" s="343"/>
      <c r="AC375" s="2"/>
      <c r="AD375" s="2"/>
      <c r="AE375" s="2"/>
      <c r="AF375" s="2"/>
      <c r="AG375" s="2"/>
      <c r="AH375" s="2"/>
      <c r="AI375" s="2"/>
      <c r="AJ375" s="349"/>
      <c r="AK375" s="349"/>
      <c r="AL375" s="349"/>
      <c r="AM375" s="349"/>
    </row>
    <row r="376" spans="1:39" ht="12.75" customHeight="1" x14ac:dyDescent="0.25">
      <c r="A376" s="2"/>
      <c r="B376" s="3"/>
      <c r="C376" s="370"/>
      <c r="D376" s="359"/>
      <c r="E376" s="1140" t="s">
        <v>1112</v>
      </c>
      <c r="F376" s="2641" t="str">
        <f>Translations!$B$696</f>
        <v>Värme från massa: detta innefattar värme som importeras från delanläggningar med massaframställning.</v>
      </c>
      <c r="G376" s="2642"/>
      <c r="H376" s="2642"/>
      <c r="I376" s="2642"/>
      <c r="J376" s="2642"/>
      <c r="K376" s="2642"/>
      <c r="L376" s="2642"/>
      <c r="M376" s="2642"/>
      <c r="N376" s="2643"/>
      <c r="O376" s="6"/>
      <c r="P376" s="6"/>
      <c r="Q376" s="7"/>
      <c r="R376" s="2"/>
      <c r="S376" s="7"/>
      <c r="T376" s="2"/>
      <c r="U376" s="2"/>
      <c r="V376" s="2"/>
      <c r="W376" s="2"/>
      <c r="X376" s="2"/>
      <c r="Y376" s="2"/>
      <c r="Z376" s="2"/>
      <c r="AA376" s="2"/>
      <c r="AB376" s="343"/>
      <c r="AC376" s="2"/>
      <c r="AD376" s="2"/>
      <c r="AE376" s="2"/>
      <c r="AF376" s="2"/>
      <c r="AG376" s="2"/>
      <c r="AH376" s="2"/>
      <c r="AI376" s="2"/>
      <c r="AJ376" s="349"/>
      <c r="AK376" s="349"/>
      <c r="AL376" s="349"/>
      <c r="AM376" s="349"/>
    </row>
    <row r="377" spans="1:39" ht="12.75" customHeight="1" x14ac:dyDescent="0.25">
      <c r="A377" s="2"/>
      <c r="B377" s="3"/>
      <c r="C377" s="370"/>
      <c r="D377" s="359"/>
      <c r="E377" s="1140" t="s">
        <v>1112</v>
      </c>
      <c r="F377" s="2641" t="str">
        <f>Translations!$B$697</f>
        <v>Värme från bränsleriktmärke: detta innefattar mätbar värme som återvinns från spillvärme från delanläggningar med bränsleriktmärke.</v>
      </c>
      <c r="G377" s="2642"/>
      <c r="H377" s="2642"/>
      <c r="I377" s="2642"/>
      <c r="J377" s="2642"/>
      <c r="K377" s="2642"/>
      <c r="L377" s="2642"/>
      <c r="M377" s="2642"/>
      <c r="N377" s="2643"/>
      <c r="O377" s="6"/>
      <c r="P377" s="6"/>
      <c r="Q377" s="7"/>
      <c r="R377" s="2"/>
      <c r="S377" s="7"/>
      <c r="T377" s="2"/>
      <c r="U377" s="2"/>
      <c r="V377" s="2"/>
      <c r="W377" s="2"/>
      <c r="X377" s="2"/>
      <c r="Y377" s="2"/>
      <c r="Z377" s="2"/>
      <c r="AA377" s="2"/>
      <c r="AB377" s="343"/>
      <c r="AC377" s="2"/>
      <c r="AD377" s="2"/>
      <c r="AE377" s="2"/>
      <c r="AF377" s="2"/>
      <c r="AG377" s="2"/>
      <c r="AH377" s="2"/>
      <c r="AI377" s="2"/>
      <c r="AJ377" s="349"/>
      <c r="AK377" s="349"/>
      <c r="AL377" s="349"/>
      <c r="AM377" s="349"/>
    </row>
    <row r="378" spans="1:39" ht="12.75" customHeight="1" x14ac:dyDescent="0.25">
      <c r="A378" s="2"/>
      <c r="B378" s="3"/>
      <c r="C378" s="370"/>
      <c r="D378" s="359"/>
      <c r="E378" s="1140" t="s">
        <v>1112</v>
      </c>
      <c r="F378" s="2641" t="str">
        <f>Translations!$B$698</f>
        <v>Värme från restgaser: detta innefattar mätbar värme som produceras från restgaser.</v>
      </c>
      <c r="G378" s="2642"/>
      <c r="H378" s="2642"/>
      <c r="I378" s="2642"/>
      <c r="J378" s="2642"/>
      <c r="K378" s="2642"/>
      <c r="L378" s="2642"/>
      <c r="M378" s="2642"/>
      <c r="N378" s="2643"/>
      <c r="O378" s="6"/>
      <c r="P378" s="6"/>
      <c r="Q378" s="7"/>
      <c r="R378" s="2"/>
      <c r="S378" s="7"/>
      <c r="T378" s="2"/>
      <c r="U378" s="2"/>
      <c r="V378" s="2"/>
      <c r="W378" s="2"/>
      <c r="X378" s="2"/>
      <c r="Y378" s="2"/>
      <c r="Z378" s="2"/>
      <c r="AA378" s="2"/>
      <c r="AB378" s="343"/>
      <c r="AC378" s="2"/>
      <c r="AD378" s="2"/>
      <c r="AE378" s="2"/>
      <c r="AF378" s="2"/>
      <c r="AG378" s="2"/>
      <c r="AH378" s="2"/>
      <c r="AI378" s="2"/>
      <c r="AJ378" s="349"/>
      <c r="AK378" s="349"/>
      <c r="AL378" s="349"/>
      <c r="AM378" s="349"/>
    </row>
    <row r="379" spans="1:39" ht="12.75" customHeight="1" x14ac:dyDescent="0.25">
      <c r="A379" s="2"/>
      <c r="B379" s="3"/>
      <c r="C379" s="370"/>
      <c r="D379" s="359"/>
      <c r="E379" s="2639" t="str">
        <f>Translations!$B$699</f>
        <v>Här ska inte eventuell värmeimport från ”icke-berättigande” källor anges, dvs. anläggningar som inte omfattas av ETS-systemet eller värme som produceras vid delanläggningar för salpetersyra.</v>
      </c>
      <c r="F379" s="1960"/>
      <c r="G379" s="1960"/>
      <c r="H379" s="1960"/>
      <c r="I379" s="1960"/>
      <c r="J379" s="1960"/>
      <c r="K379" s="1960"/>
      <c r="L379" s="1960"/>
      <c r="M379" s="1960"/>
      <c r="N379" s="2597"/>
      <c r="O379" s="6"/>
      <c r="P379" s="6"/>
      <c r="Q379" s="7"/>
      <c r="R379" s="2"/>
      <c r="S379" s="7"/>
      <c r="T379" s="2"/>
      <c r="U379" s="2"/>
      <c r="V379" s="2"/>
      <c r="W379" s="2"/>
      <c r="X379" s="2"/>
      <c r="Y379" s="2"/>
      <c r="Z379" s="2"/>
      <c r="AA379" s="2"/>
      <c r="AB379" s="343"/>
      <c r="AC379" s="2"/>
      <c r="AD379" s="2"/>
      <c r="AE379" s="2"/>
      <c r="AF379" s="2"/>
      <c r="AG379" s="2"/>
      <c r="AH379" s="2"/>
      <c r="AI379" s="2"/>
      <c r="AJ379" s="349"/>
      <c r="AK379" s="349"/>
      <c r="AL379" s="349"/>
      <c r="AM379" s="349"/>
    </row>
    <row r="380" spans="1:39" ht="12.75" customHeight="1" x14ac:dyDescent="0.25">
      <c r="A380" s="2"/>
      <c r="B380" s="3"/>
      <c r="C380" s="370"/>
      <c r="D380" s="359"/>
      <c r="E380" s="2641" t="str">
        <f>Translations!$B$700</f>
        <v>De särskilda emissionsfaktorerna för värmen bör vara förenliga med bestämmelserna i avsnitten 8 och 10 i bilaga VII till FAR, särskilt avsnitt 10.1.2 och 10.1.3 i denna.</v>
      </c>
      <c r="F380" s="2635"/>
      <c r="G380" s="2635"/>
      <c r="H380" s="2635"/>
      <c r="I380" s="2635"/>
      <c r="J380" s="2635"/>
      <c r="K380" s="2635"/>
      <c r="L380" s="2635"/>
      <c r="M380" s="2635"/>
      <c r="N380" s="2636"/>
      <c r="O380" s="6"/>
      <c r="P380" s="6"/>
      <c r="Q380" s="7"/>
      <c r="R380" s="2"/>
      <c r="S380" s="7"/>
      <c r="T380" s="2"/>
      <c r="U380" s="2"/>
      <c r="V380" s="2"/>
      <c r="W380" s="2"/>
      <c r="X380" s="2"/>
      <c r="Y380" s="2"/>
      <c r="Z380" s="2"/>
      <c r="AA380" s="2"/>
      <c r="AB380" s="343"/>
      <c r="AC380" s="2"/>
      <c r="AD380" s="2"/>
      <c r="AE380" s="2"/>
      <c r="AF380" s="2"/>
      <c r="AG380" s="2"/>
      <c r="AH380" s="2"/>
      <c r="AI380" s="2"/>
      <c r="AJ380" s="349"/>
      <c r="AK380" s="349"/>
      <c r="AL380" s="349"/>
      <c r="AM380" s="349"/>
    </row>
    <row r="381" spans="1:39" ht="12.75" customHeight="1" x14ac:dyDescent="0.25">
      <c r="A381" s="2"/>
      <c r="B381" s="3"/>
      <c r="C381" s="370"/>
      <c r="D381" s="359"/>
      <c r="E381" s="2622" t="str">
        <f>Translations!$B$658</f>
        <v>Kraftvärmeverktyget i avsnitt D.III i bladet "D_Emissions" måste användas för att tillskriva utsläpp från kraftvärme till produktion av mätbar värme.</v>
      </c>
      <c r="F381" s="2622"/>
      <c r="G381" s="2622"/>
      <c r="H381" s="2622"/>
      <c r="I381" s="2622"/>
      <c r="J381" s="2622"/>
      <c r="K381" s="2622"/>
      <c r="L381" s="2622"/>
      <c r="M381" s="2622"/>
      <c r="N381" s="1810"/>
      <c r="O381" s="6"/>
      <c r="P381" s="6"/>
      <c r="Q381" s="7"/>
      <c r="R381" s="2"/>
      <c r="S381" s="2"/>
      <c r="T381" s="2"/>
      <c r="U381" s="2"/>
      <c r="V381" s="2"/>
      <c r="W381" s="2"/>
      <c r="X381" s="2"/>
      <c r="Y381" s="2"/>
      <c r="Z381" s="2"/>
      <c r="AA381" s="2"/>
      <c r="AB381" s="2"/>
      <c r="AC381" s="2"/>
      <c r="AD381" s="2"/>
      <c r="AE381" s="2"/>
      <c r="AF381" s="2"/>
      <c r="AG381" s="2"/>
      <c r="AH381" s="2"/>
      <c r="AI381" s="2"/>
      <c r="AJ381" s="349"/>
      <c r="AK381" s="349"/>
      <c r="AL381" s="349"/>
      <c r="AM381" s="349"/>
    </row>
    <row r="382" spans="1:39" ht="12.75" customHeight="1" x14ac:dyDescent="0.25">
      <c r="A382" s="2"/>
      <c r="B382" s="3"/>
      <c r="C382" s="370"/>
      <c r="D382" s="359"/>
      <c r="E382" s="2605" t="str">
        <f>Translations!$B$701</f>
        <v>Importerad nettovärme (andra källor)</v>
      </c>
      <c r="F382" s="2497"/>
      <c r="G382" s="361" t="str">
        <f>EUconst_Unit</f>
        <v>Enhet</v>
      </c>
      <c r="H382" s="362">
        <f t="shared" ref="H382:N382" si="146">H$950</f>
        <v>2019</v>
      </c>
      <c r="I382" s="362">
        <f t="shared" si="146"/>
        <v>2020</v>
      </c>
      <c r="J382" s="362">
        <f t="shared" si="146"/>
        <v>2021</v>
      </c>
      <c r="K382" s="362">
        <f t="shared" si="146"/>
        <v>2022</v>
      </c>
      <c r="L382" s="362">
        <f t="shared" si="146"/>
        <v>2023</v>
      </c>
      <c r="M382" s="362">
        <f t="shared" si="146"/>
        <v>2024</v>
      </c>
      <c r="N382" s="1141">
        <f t="shared" si="146"/>
        <v>2025</v>
      </c>
      <c r="O382" s="6"/>
      <c r="P382" s="6"/>
      <c r="Q382" s="7"/>
      <c r="R382" s="2"/>
      <c r="S382" s="7"/>
      <c r="T382" s="40">
        <f t="shared" ref="T382:Z382" si="147">H382</f>
        <v>2019</v>
      </c>
      <c r="U382" s="40">
        <f t="shared" si="147"/>
        <v>2020</v>
      </c>
      <c r="V382" s="40">
        <f t="shared" si="147"/>
        <v>2021</v>
      </c>
      <c r="W382" s="40">
        <f t="shared" si="147"/>
        <v>2022</v>
      </c>
      <c r="X382" s="40">
        <f t="shared" si="147"/>
        <v>2023</v>
      </c>
      <c r="Y382" s="40">
        <f t="shared" si="147"/>
        <v>2024</v>
      </c>
      <c r="Z382" s="40">
        <f t="shared" si="147"/>
        <v>2025</v>
      </c>
      <c r="AA382" s="2"/>
      <c r="AB382" s="2"/>
      <c r="AC382" s="1531">
        <f t="shared" ref="AC382:AI382" si="148">H$950</f>
        <v>2019</v>
      </c>
      <c r="AD382" s="1531">
        <f t="shared" si="148"/>
        <v>2020</v>
      </c>
      <c r="AE382" s="1531">
        <f t="shared" si="148"/>
        <v>2021</v>
      </c>
      <c r="AF382" s="1531">
        <f t="shared" si="148"/>
        <v>2022</v>
      </c>
      <c r="AG382" s="1531">
        <f t="shared" si="148"/>
        <v>2023</v>
      </c>
      <c r="AH382" s="1531">
        <f t="shared" si="148"/>
        <v>2024</v>
      </c>
      <c r="AI382" s="1531">
        <f t="shared" si="148"/>
        <v>2025</v>
      </c>
      <c r="AJ382" s="349"/>
      <c r="AK382" s="349"/>
      <c r="AL382" s="349"/>
      <c r="AM382" s="349"/>
    </row>
    <row r="383" spans="1:39" ht="12.75" customHeight="1" x14ac:dyDescent="0.25">
      <c r="A383" s="2"/>
      <c r="B383" s="3"/>
      <c r="C383" s="370"/>
      <c r="D383" s="376" t="s">
        <v>8</v>
      </c>
      <c r="E383" s="2613" t="str">
        <f>Translations!$B$604</f>
        <v>Nettomängd importerad värme</v>
      </c>
      <c r="F383" s="1997"/>
      <c r="G383" s="364" t="str">
        <f>EUconst_TJpa</f>
        <v>TJ / år</v>
      </c>
      <c r="H383" s="582"/>
      <c r="I383" s="582"/>
      <c r="J383" s="582"/>
      <c r="K383" s="582"/>
      <c r="L383" s="582"/>
      <c r="M383" s="582"/>
      <c r="N383" s="1146"/>
      <c r="O383" s="6"/>
      <c r="P383" s="1362"/>
      <c r="Q383" s="298" t="str">
        <f>EUconst_CNTR_HeatImport &amp; I209</f>
        <v>HeatIm_Delanläggning med värmeriktmärke, ej KL</v>
      </c>
      <c r="R383" s="2"/>
      <c r="S383" s="1749" t="str">
        <f>EUconst_ERR_AttrEmBMapplied &amp; $I209</f>
        <v>ERR_AttrEmBM_Delanläggning med värmeriktmärke, ej KL</v>
      </c>
      <c r="T383" s="108">
        <f t="shared" ref="T383:Z383" si="149">IF(AND(H383&lt;&gt;0,H384="",EUconst_StatusOfDataCollection=FALSE),1,0)</f>
        <v>0</v>
      </c>
      <c r="U383" s="108">
        <f t="shared" si="149"/>
        <v>0</v>
      </c>
      <c r="V383" s="108">
        <f t="shared" si="149"/>
        <v>0</v>
      </c>
      <c r="W383" s="108">
        <f t="shared" si="149"/>
        <v>0</v>
      </c>
      <c r="X383" s="108">
        <f t="shared" si="149"/>
        <v>0</v>
      </c>
      <c r="Y383" s="108">
        <f t="shared" si="149"/>
        <v>0</v>
      </c>
      <c r="Z383" s="108">
        <f t="shared" si="149"/>
        <v>0</v>
      </c>
      <c r="AA383" s="2"/>
      <c r="AB383" s="672" t="s">
        <v>782</v>
      </c>
      <c r="AC383" s="108" t="b">
        <f>AC359</f>
        <v>0</v>
      </c>
      <c r="AD383" s="108" t="b">
        <f t="shared" ref="AD383:AI383" si="150">AD359</f>
        <v>0</v>
      </c>
      <c r="AE383" s="108" t="b">
        <f t="shared" si="150"/>
        <v>0</v>
      </c>
      <c r="AF383" s="108" t="b">
        <f t="shared" si="150"/>
        <v>0</v>
      </c>
      <c r="AG383" s="108" t="b">
        <f t="shared" si="150"/>
        <v>0</v>
      </c>
      <c r="AH383" s="108" t="b">
        <f t="shared" si="150"/>
        <v>0</v>
      </c>
      <c r="AI383" s="108" t="b">
        <f t="shared" si="150"/>
        <v>0</v>
      </c>
      <c r="AJ383" s="349"/>
      <c r="AK383" s="349"/>
      <c r="AL383" s="663" t="str">
        <f>IF(AND(CNTR_ExistSubInstEntries,COUNTIFS(AC383:AI383,2,H383:N383,"")&gt;0),EUconst_Error&amp;"FB"&amp;Q209,"")</f>
        <v/>
      </c>
      <c r="AM383" s="349"/>
    </row>
    <row r="384" spans="1:39" ht="12.75" customHeight="1" x14ac:dyDescent="0.3">
      <c r="A384" s="2"/>
      <c r="B384" s="3"/>
      <c r="C384" s="370"/>
      <c r="D384" s="376" t="s">
        <v>9</v>
      </c>
      <c r="E384" s="2613" t="str">
        <f>Translations!$B$605</f>
        <v>Särskild emissionsfaktor (importerad värme)</v>
      </c>
      <c r="F384" s="1997"/>
      <c r="G384" s="364" t="str">
        <f>EUconst_tCO2pTJ</f>
        <v>t CO2 / TJ</v>
      </c>
      <c r="H384" s="582"/>
      <c r="I384" s="582"/>
      <c r="J384" s="582"/>
      <c r="K384" s="582"/>
      <c r="L384" s="582"/>
      <c r="M384" s="582"/>
      <c r="N384" s="1146"/>
      <c r="O384" s="6"/>
      <c r="P384" s="1362"/>
      <c r="Q384" s="298" t="str">
        <f>EUconst_CNTR_HeatImportEF &amp; I209</f>
        <v>HeatImEF_Delanläggning med värmeriktmärke, ej KL</v>
      </c>
      <c r="R384" s="2"/>
      <c r="S384" s="665" t="str">
        <f>EUconst_CNTR_AttributedEmissions &amp; $I209</f>
        <v>AttrEmissions_Delanläggning med värmeriktmärke, ej KL</v>
      </c>
      <c r="T384" s="108" t="str">
        <f t="shared" ref="T384:Z384" si="151">IF(T217,SUM(H383)*IF(ISNUMBER(H384),H384,EUconst_HeatBMvalue),"")</f>
        <v/>
      </c>
      <c r="U384" s="108" t="str">
        <f t="shared" si="151"/>
        <v/>
      </c>
      <c r="V384" s="108" t="str">
        <f t="shared" si="151"/>
        <v/>
      </c>
      <c r="W384" s="108" t="str">
        <f t="shared" si="151"/>
        <v/>
      </c>
      <c r="X384" s="108" t="str">
        <f t="shared" si="151"/>
        <v/>
      </c>
      <c r="Y384" s="108" t="str">
        <f t="shared" si="151"/>
        <v/>
      </c>
      <c r="Z384" s="108" t="str">
        <f t="shared" si="151"/>
        <v/>
      </c>
      <c r="AA384" s="2"/>
      <c r="AB384" s="2"/>
      <c r="AC384" s="108" t="b">
        <f>AC360</f>
        <v>0</v>
      </c>
      <c r="AD384" s="108" t="b">
        <f t="shared" ref="AD384:AI384" si="152">AD360</f>
        <v>0</v>
      </c>
      <c r="AE384" s="108" t="b">
        <f t="shared" si="152"/>
        <v>0</v>
      </c>
      <c r="AF384" s="108" t="b">
        <f t="shared" si="152"/>
        <v>0</v>
      </c>
      <c r="AG384" s="108" t="b">
        <f t="shared" si="152"/>
        <v>0</v>
      </c>
      <c r="AH384" s="108" t="b">
        <f t="shared" si="152"/>
        <v>0</v>
      </c>
      <c r="AI384" s="108" t="b">
        <f t="shared" si="152"/>
        <v>0</v>
      </c>
      <c r="AJ384" s="349"/>
      <c r="AK384" s="349"/>
      <c r="AL384" s="663" t="str">
        <f>IF(AND(CNTR_ExistSubInstEntries,COUNTIFS(AC384:AI384,2,H384:N384,"")&gt;0),EUconst_Error&amp;"FB"&amp;Q209,"")</f>
        <v/>
      </c>
      <c r="AM384" s="349"/>
    </row>
    <row r="385" spans="1:39" ht="5.15" customHeight="1" x14ac:dyDescent="0.25">
      <c r="A385" s="2"/>
      <c r="B385" s="3"/>
      <c r="C385" s="370"/>
      <c r="D385" s="359"/>
      <c r="E385" s="359"/>
      <c r="F385" s="359"/>
      <c r="G385" s="359"/>
      <c r="H385" s="359"/>
      <c r="I385" s="359"/>
      <c r="J385" s="359"/>
      <c r="K385" s="359"/>
      <c r="L385" s="359"/>
      <c r="M385" s="359"/>
      <c r="N385" s="374"/>
      <c r="O385" s="6"/>
      <c r="P385" s="6"/>
      <c r="Q385" s="7"/>
      <c r="R385" s="2"/>
      <c r="S385" s="7"/>
      <c r="T385" s="2"/>
      <c r="U385" s="2"/>
      <c r="V385" s="2"/>
      <c r="W385" s="2"/>
      <c r="X385" s="2"/>
      <c r="Y385" s="2"/>
      <c r="Z385" s="2"/>
      <c r="AA385" s="2"/>
      <c r="AB385" s="2"/>
      <c r="AC385" s="2"/>
      <c r="AD385" s="2"/>
      <c r="AE385" s="2"/>
      <c r="AF385" s="2"/>
      <c r="AG385" s="2"/>
      <c r="AH385" s="2"/>
      <c r="AI385" s="2"/>
      <c r="AJ385" s="349"/>
      <c r="AK385" s="349"/>
      <c r="AL385" s="349"/>
      <c r="AM385" s="349"/>
    </row>
    <row r="386" spans="1:39" ht="12.75" customHeight="1" x14ac:dyDescent="0.25">
      <c r="A386" s="2"/>
      <c r="B386" s="3"/>
      <c r="C386" s="370"/>
      <c r="D386" s="359"/>
      <c r="E386" s="2605" t="str">
        <f>Translations!$B$702</f>
        <v>Värme från produktriktmärke</v>
      </c>
      <c r="F386" s="2497"/>
      <c r="G386" s="361" t="str">
        <f>EUconst_Unit</f>
        <v>Enhet</v>
      </c>
      <c r="H386" s="362">
        <f t="shared" ref="H386:N386" si="153">H$950</f>
        <v>2019</v>
      </c>
      <c r="I386" s="362">
        <f t="shared" si="153"/>
        <v>2020</v>
      </c>
      <c r="J386" s="362">
        <f t="shared" si="153"/>
        <v>2021</v>
      </c>
      <c r="K386" s="362">
        <f t="shared" si="153"/>
        <v>2022</v>
      </c>
      <c r="L386" s="362">
        <f t="shared" si="153"/>
        <v>2023</v>
      </c>
      <c r="M386" s="362">
        <f t="shared" si="153"/>
        <v>2024</v>
      </c>
      <c r="N386" s="1141">
        <f t="shared" si="153"/>
        <v>2025</v>
      </c>
      <c r="O386" s="6"/>
      <c r="P386" s="6"/>
      <c r="Q386" s="7"/>
      <c r="R386" s="2"/>
      <c r="S386" s="7"/>
      <c r="T386" s="40">
        <f t="shared" ref="T386:Z386" si="154">H386</f>
        <v>2019</v>
      </c>
      <c r="U386" s="40">
        <f t="shared" si="154"/>
        <v>2020</v>
      </c>
      <c r="V386" s="40">
        <f t="shared" si="154"/>
        <v>2021</v>
      </c>
      <c r="W386" s="40">
        <f t="shared" si="154"/>
        <v>2022</v>
      </c>
      <c r="X386" s="40">
        <f t="shared" si="154"/>
        <v>2023</v>
      </c>
      <c r="Y386" s="40">
        <f t="shared" si="154"/>
        <v>2024</v>
      </c>
      <c r="Z386" s="40">
        <f t="shared" si="154"/>
        <v>2025</v>
      </c>
      <c r="AA386" s="2"/>
      <c r="AB386" s="343"/>
      <c r="AC386" s="1531">
        <f t="shared" ref="AC386:AI386" si="155">H$950</f>
        <v>2019</v>
      </c>
      <c r="AD386" s="1531">
        <f t="shared" si="155"/>
        <v>2020</v>
      </c>
      <c r="AE386" s="1531">
        <f t="shared" si="155"/>
        <v>2021</v>
      </c>
      <c r="AF386" s="1531">
        <f t="shared" si="155"/>
        <v>2022</v>
      </c>
      <c r="AG386" s="1531">
        <f t="shared" si="155"/>
        <v>2023</v>
      </c>
      <c r="AH386" s="1531">
        <f t="shared" si="155"/>
        <v>2024</v>
      </c>
      <c r="AI386" s="1531">
        <f t="shared" si="155"/>
        <v>2025</v>
      </c>
      <c r="AJ386" s="349"/>
      <c r="AK386" s="349"/>
      <c r="AL386" s="349"/>
      <c r="AM386" s="349"/>
    </row>
    <row r="387" spans="1:39" ht="12.75" customHeight="1" x14ac:dyDescent="0.25">
      <c r="A387" s="2"/>
      <c r="B387" s="3"/>
      <c r="C387" s="370"/>
      <c r="D387" s="376" t="s">
        <v>23</v>
      </c>
      <c r="E387" s="2613" t="str">
        <f>Translations!$B$604</f>
        <v>Nettomängd importerad värme</v>
      </c>
      <c r="F387" s="1997"/>
      <c r="G387" s="364" t="str">
        <f>EUconst_TJpa</f>
        <v>TJ / år</v>
      </c>
      <c r="H387" s="582"/>
      <c r="I387" s="582"/>
      <c r="J387" s="582"/>
      <c r="K387" s="582"/>
      <c r="L387" s="582"/>
      <c r="M387" s="582"/>
      <c r="N387" s="1146"/>
      <c r="O387" s="6"/>
      <c r="P387" s="1362"/>
      <c r="Q387" s="298" t="str">
        <f>EUconst_CNTR_HeatImportProduct &amp; I209</f>
        <v>HeatImProd_Delanläggning med värmeriktmärke, ej KL</v>
      </c>
      <c r="R387" s="2"/>
      <c r="S387" s="1749" t="str">
        <f>EUconst_ERR_AttrEmBMapplied &amp; $I209</f>
        <v>ERR_AttrEmBM_Delanläggning med värmeriktmärke, ej KL</v>
      </c>
      <c r="T387" s="108">
        <f t="shared" ref="T387:Z387" si="156">IF(AND(H387&lt;&gt;0,H388="",EUconst_StatusOfDataCollection=FALSE),1,0)</f>
        <v>0</v>
      </c>
      <c r="U387" s="108">
        <f t="shared" si="156"/>
        <v>0</v>
      </c>
      <c r="V387" s="108">
        <f t="shared" si="156"/>
        <v>0</v>
      </c>
      <c r="W387" s="108">
        <f t="shared" si="156"/>
        <v>0</v>
      </c>
      <c r="X387" s="108">
        <f t="shared" si="156"/>
        <v>0</v>
      </c>
      <c r="Y387" s="108">
        <f t="shared" si="156"/>
        <v>0</v>
      </c>
      <c r="Z387" s="108">
        <f t="shared" si="156"/>
        <v>0</v>
      </c>
      <c r="AA387" s="2"/>
      <c r="AB387" s="672" t="s">
        <v>782</v>
      </c>
      <c r="AC387" s="108" t="b">
        <f>AC383</f>
        <v>0</v>
      </c>
      <c r="AD387" s="108" t="b">
        <f t="shared" ref="AD387:AI387" si="157">AD383</f>
        <v>0</v>
      </c>
      <c r="AE387" s="108" t="b">
        <f t="shared" si="157"/>
        <v>0</v>
      </c>
      <c r="AF387" s="108" t="b">
        <f t="shared" si="157"/>
        <v>0</v>
      </c>
      <c r="AG387" s="108" t="b">
        <f t="shared" si="157"/>
        <v>0</v>
      </c>
      <c r="AH387" s="108" t="b">
        <f t="shared" si="157"/>
        <v>0</v>
      </c>
      <c r="AI387" s="108" t="b">
        <f t="shared" si="157"/>
        <v>0</v>
      </c>
      <c r="AJ387" s="349"/>
      <c r="AK387" s="349"/>
      <c r="AL387" s="663" t="str">
        <f>IF(AND(CNTR_ExistSubInstEntries,COUNTIFS(AC387:AI387,2,H387:N387,"")&gt;0),EUconst_Error&amp;"FB"&amp;Q209,"")</f>
        <v/>
      </c>
      <c r="AM387" s="349"/>
    </row>
    <row r="388" spans="1:39" ht="12.75" customHeight="1" x14ac:dyDescent="0.3">
      <c r="A388" s="2"/>
      <c r="B388" s="3"/>
      <c r="C388" s="370"/>
      <c r="D388" s="376" t="s">
        <v>859</v>
      </c>
      <c r="E388" s="2613" t="str">
        <f>Translations!$B$703</f>
        <v>Särskild emissionsfaktor (från produktriktmärke)</v>
      </c>
      <c r="F388" s="1997"/>
      <c r="G388" s="364" t="str">
        <f>EUconst_tCO2pTJ</f>
        <v>t CO2 / TJ</v>
      </c>
      <c r="H388" s="582"/>
      <c r="I388" s="582"/>
      <c r="J388" s="582"/>
      <c r="K388" s="582"/>
      <c r="L388" s="582"/>
      <c r="M388" s="582"/>
      <c r="N388" s="1146"/>
      <c r="O388" s="6"/>
      <c r="P388" s="1362"/>
      <c r="Q388" s="298" t="str">
        <f>EUconst_CNTR_HeatImportProductEF &amp; I209</f>
        <v>HeatImProdEF_Delanläggning med värmeriktmärke, ej KL</v>
      </c>
      <c r="R388" s="2"/>
      <c r="S388" s="665" t="str">
        <f>EUconst_CNTR_AttributedEmissions &amp; $I209</f>
        <v>AttrEmissions_Delanläggning med värmeriktmärke, ej KL</v>
      </c>
      <c r="T388" s="108" t="str">
        <f t="shared" ref="T388:Z388" si="158">IF(T217,SUM(H387)*IF(ISNUMBER(H388),H388,EUconst_HeatBMvalue),"")</f>
        <v/>
      </c>
      <c r="U388" s="108" t="str">
        <f t="shared" si="158"/>
        <v/>
      </c>
      <c r="V388" s="108" t="str">
        <f t="shared" si="158"/>
        <v/>
      </c>
      <c r="W388" s="108" t="str">
        <f t="shared" si="158"/>
        <v/>
      </c>
      <c r="X388" s="108" t="str">
        <f t="shared" si="158"/>
        <v/>
      </c>
      <c r="Y388" s="108" t="str">
        <f t="shared" si="158"/>
        <v/>
      </c>
      <c r="Z388" s="108" t="str">
        <f t="shared" si="158"/>
        <v/>
      </c>
      <c r="AA388" s="2"/>
      <c r="AB388" s="343"/>
      <c r="AC388" s="108" t="b">
        <f>AC384</f>
        <v>0</v>
      </c>
      <c r="AD388" s="108" t="b">
        <f t="shared" ref="AD388:AI388" si="159">AD384</f>
        <v>0</v>
      </c>
      <c r="AE388" s="108" t="b">
        <f t="shared" si="159"/>
        <v>0</v>
      </c>
      <c r="AF388" s="108" t="b">
        <f t="shared" si="159"/>
        <v>0</v>
      </c>
      <c r="AG388" s="108" t="b">
        <f t="shared" si="159"/>
        <v>0</v>
      </c>
      <c r="AH388" s="108" t="b">
        <f t="shared" si="159"/>
        <v>0</v>
      </c>
      <c r="AI388" s="108" t="b">
        <f t="shared" si="159"/>
        <v>0</v>
      </c>
      <c r="AJ388" s="349"/>
      <c r="AK388" s="349"/>
      <c r="AL388" s="663" t="str">
        <f>IF(AND(CNTR_ExistSubInstEntries,COUNTIFS(AC388:AI388,2,H388:N388,"")&gt;0),EUconst_Error&amp;"FB"&amp;Q209,"")</f>
        <v/>
      </c>
      <c r="AM388" s="349"/>
    </row>
    <row r="389" spans="1:39" ht="5.15" customHeight="1" x14ac:dyDescent="0.25">
      <c r="A389" s="2"/>
      <c r="B389" s="3"/>
      <c r="C389" s="370"/>
      <c r="D389" s="359"/>
      <c r="E389" s="359"/>
      <c r="F389" s="359"/>
      <c r="G389" s="359"/>
      <c r="H389" s="359"/>
      <c r="I389" s="359"/>
      <c r="J389" s="359"/>
      <c r="K389" s="359"/>
      <c r="L389" s="359"/>
      <c r="M389" s="359"/>
      <c r="N389" s="374"/>
      <c r="O389" s="6"/>
      <c r="P389" s="6"/>
      <c r="Q389" s="7"/>
      <c r="R389" s="2"/>
      <c r="S389" s="7"/>
      <c r="T389" s="2"/>
      <c r="U389" s="2"/>
      <c r="V389" s="2"/>
      <c r="W389" s="2"/>
      <c r="X389" s="2"/>
      <c r="Y389" s="2"/>
      <c r="Z389" s="2"/>
      <c r="AA389" s="2"/>
      <c r="AB389" s="343"/>
      <c r="AC389" s="2"/>
      <c r="AD389" s="2"/>
      <c r="AE389" s="2"/>
      <c r="AF389" s="2"/>
      <c r="AG389" s="2"/>
      <c r="AH389" s="2"/>
      <c r="AI389" s="2"/>
      <c r="AJ389" s="349"/>
      <c r="AK389" s="349"/>
      <c r="AL389" s="349"/>
      <c r="AM389" s="349"/>
    </row>
    <row r="390" spans="1:39" ht="12.75" customHeight="1" x14ac:dyDescent="0.25">
      <c r="A390" s="2"/>
      <c r="B390" s="3"/>
      <c r="C390" s="370"/>
      <c r="D390" s="359"/>
      <c r="E390" s="2605" t="str">
        <f>Translations!$B$704</f>
        <v>Värme från massa</v>
      </c>
      <c r="F390" s="2497"/>
      <c r="G390" s="361" t="str">
        <f>EUconst_Unit</f>
        <v>Enhet</v>
      </c>
      <c r="H390" s="362">
        <f t="shared" ref="H390:N390" si="160">H$950</f>
        <v>2019</v>
      </c>
      <c r="I390" s="362">
        <f t="shared" si="160"/>
        <v>2020</v>
      </c>
      <c r="J390" s="362">
        <f t="shared" si="160"/>
        <v>2021</v>
      </c>
      <c r="K390" s="362">
        <f t="shared" si="160"/>
        <v>2022</v>
      </c>
      <c r="L390" s="362">
        <f t="shared" si="160"/>
        <v>2023</v>
      </c>
      <c r="M390" s="362">
        <f t="shared" si="160"/>
        <v>2024</v>
      </c>
      <c r="N390" s="1141">
        <f t="shared" si="160"/>
        <v>2025</v>
      </c>
      <c r="O390" s="6"/>
      <c r="P390" s="6"/>
      <c r="Q390" s="7"/>
      <c r="R390" s="2"/>
      <c r="S390" s="7"/>
      <c r="T390" s="40">
        <f t="shared" ref="T390:Z390" si="161">H390</f>
        <v>2019</v>
      </c>
      <c r="U390" s="40">
        <f t="shared" si="161"/>
        <v>2020</v>
      </c>
      <c r="V390" s="40">
        <f t="shared" si="161"/>
        <v>2021</v>
      </c>
      <c r="W390" s="40">
        <f t="shared" si="161"/>
        <v>2022</v>
      </c>
      <c r="X390" s="40">
        <f t="shared" si="161"/>
        <v>2023</v>
      </c>
      <c r="Y390" s="40">
        <f t="shared" si="161"/>
        <v>2024</v>
      </c>
      <c r="Z390" s="40">
        <f t="shared" si="161"/>
        <v>2025</v>
      </c>
      <c r="AA390" s="2"/>
      <c r="AB390" s="343"/>
      <c r="AC390" s="1531">
        <f t="shared" ref="AC390:AI390" si="162">H$950</f>
        <v>2019</v>
      </c>
      <c r="AD390" s="1531">
        <f t="shared" si="162"/>
        <v>2020</v>
      </c>
      <c r="AE390" s="1531">
        <f t="shared" si="162"/>
        <v>2021</v>
      </c>
      <c r="AF390" s="1531">
        <f t="shared" si="162"/>
        <v>2022</v>
      </c>
      <c r="AG390" s="1531">
        <f t="shared" si="162"/>
        <v>2023</v>
      </c>
      <c r="AH390" s="1531">
        <f t="shared" si="162"/>
        <v>2024</v>
      </c>
      <c r="AI390" s="1531">
        <f t="shared" si="162"/>
        <v>2025</v>
      </c>
      <c r="AJ390" s="349"/>
      <c r="AK390" s="349"/>
      <c r="AL390" s="349"/>
      <c r="AM390" s="349"/>
    </row>
    <row r="391" spans="1:39" ht="12.75" customHeight="1" x14ac:dyDescent="0.25">
      <c r="A391" s="2"/>
      <c r="B391" s="3"/>
      <c r="C391" s="370"/>
      <c r="D391" s="376" t="s">
        <v>861</v>
      </c>
      <c r="E391" s="2613" t="str">
        <f>Translations!$B$604</f>
        <v>Nettomängd importerad värme</v>
      </c>
      <c r="F391" s="1997"/>
      <c r="G391" s="364" t="str">
        <f>EUconst_TJpa</f>
        <v>TJ / år</v>
      </c>
      <c r="H391" s="582"/>
      <c r="I391" s="582"/>
      <c r="J391" s="582"/>
      <c r="K391" s="582"/>
      <c r="L391" s="582"/>
      <c r="M391" s="582"/>
      <c r="N391" s="1146"/>
      <c r="O391" s="6"/>
      <c r="P391" s="1362"/>
      <c r="Q391" s="298" t="str">
        <f>EUconst_CNTR_HeatImportPulp &amp; I209</f>
        <v>HeatImPulp_Delanläggning med värmeriktmärke, ej KL</v>
      </c>
      <c r="R391" s="2"/>
      <c r="S391" s="1749" t="str">
        <f>EUconst_ERR_AttrEmBMapplied &amp; $I209</f>
        <v>ERR_AttrEmBM_Delanläggning med värmeriktmärke, ej KL</v>
      </c>
      <c r="T391" s="108">
        <f t="shared" ref="T391:Z391" si="163">IF(AND(H391&lt;&gt;0,H392="",EUconst_StatusOfDataCollection=FALSE),1,0)</f>
        <v>0</v>
      </c>
      <c r="U391" s="108">
        <f t="shared" si="163"/>
        <v>0</v>
      </c>
      <c r="V391" s="108">
        <f t="shared" si="163"/>
        <v>0</v>
      </c>
      <c r="W391" s="108">
        <f t="shared" si="163"/>
        <v>0</v>
      </c>
      <c r="X391" s="108">
        <f t="shared" si="163"/>
        <v>0</v>
      </c>
      <c r="Y391" s="108">
        <f t="shared" si="163"/>
        <v>0</v>
      </c>
      <c r="Z391" s="108">
        <f t="shared" si="163"/>
        <v>0</v>
      </c>
      <c r="AA391" s="2"/>
      <c r="AB391" s="672" t="s">
        <v>782</v>
      </c>
      <c r="AC391" s="108" t="b">
        <f>AC387</f>
        <v>0</v>
      </c>
      <c r="AD391" s="108" t="b">
        <f t="shared" ref="AD391:AI391" si="164">AD387</f>
        <v>0</v>
      </c>
      <c r="AE391" s="108" t="b">
        <f t="shared" si="164"/>
        <v>0</v>
      </c>
      <c r="AF391" s="108" t="b">
        <f t="shared" si="164"/>
        <v>0</v>
      </c>
      <c r="AG391" s="108" t="b">
        <f t="shared" si="164"/>
        <v>0</v>
      </c>
      <c r="AH391" s="108" t="b">
        <f t="shared" si="164"/>
        <v>0</v>
      </c>
      <c r="AI391" s="108" t="b">
        <f t="shared" si="164"/>
        <v>0</v>
      </c>
      <c r="AJ391" s="349"/>
      <c r="AK391" s="349"/>
      <c r="AL391" s="663" t="str">
        <f>IF(AND(CNTR_ExistSubInstEntries,COUNTIFS(AC391:AI391,2,H391:N391,"")&gt;0),EUconst_Error&amp;"FB"&amp;Q209,"")</f>
        <v/>
      </c>
      <c r="AM391" s="349"/>
    </row>
    <row r="392" spans="1:39" ht="12.75" customHeight="1" x14ac:dyDescent="0.3">
      <c r="A392" s="2"/>
      <c r="B392" s="3"/>
      <c r="C392" s="370"/>
      <c r="D392" s="376" t="s">
        <v>862</v>
      </c>
      <c r="E392" s="2613" t="str">
        <f>Translations!$B$705</f>
        <v>Särskild emissionsfaktor (från massa)</v>
      </c>
      <c r="F392" s="1997"/>
      <c r="G392" s="364" t="str">
        <f>EUconst_tCO2pTJ</f>
        <v>t CO2 / TJ</v>
      </c>
      <c r="H392" s="582"/>
      <c r="I392" s="582"/>
      <c r="J392" s="582"/>
      <c r="K392" s="582"/>
      <c r="L392" s="582"/>
      <c r="M392" s="582"/>
      <c r="N392" s="1146"/>
      <c r="O392" s="6"/>
      <c r="P392" s="1362"/>
      <c r="Q392" s="298" t="str">
        <f>EUconst_CNTR_HeatImportPulpEF &amp; I209</f>
        <v>HeatImPulpEF_Delanläggning med värmeriktmärke, ej KL</v>
      </c>
      <c r="R392" s="2"/>
      <c r="S392" s="665" t="str">
        <f>EUconst_CNTR_AttributedEmissions &amp; $I209</f>
        <v>AttrEmissions_Delanläggning med värmeriktmärke, ej KL</v>
      </c>
      <c r="T392" s="108" t="str">
        <f t="shared" ref="T392:Z392" si="165">IF(T217,SUM(H391)*IF(ISNUMBER(H392),H392,EUconst_HeatBMvalue),"")</f>
        <v/>
      </c>
      <c r="U392" s="108" t="str">
        <f t="shared" si="165"/>
        <v/>
      </c>
      <c r="V392" s="108" t="str">
        <f t="shared" si="165"/>
        <v/>
      </c>
      <c r="W392" s="108" t="str">
        <f t="shared" si="165"/>
        <v/>
      </c>
      <c r="X392" s="108" t="str">
        <f t="shared" si="165"/>
        <v/>
      </c>
      <c r="Y392" s="108" t="str">
        <f t="shared" si="165"/>
        <v/>
      </c>
      <c r="Z392" s="108" t="str">
        <f t="shared" si="165"/>
        <v/>
      </c>
      <c r="AA392" s="2"/>
      <c r="AB392" s="343"/>
      <c r="AC392" s="108" t="b">
        <f>AC388</f>
        <v>0</v>
      </c>
      <c r="AD392" s="108" t="b">
        <f t="shared" ref="AD392:AI392" si="166">AD388</f>
        <v>0</v>
      </c>
      <c r="AE392" s="108" t="b">
        <f t="shared" si="166"/>
        <v>0</v>
      </c>
      <c r="AF392" s="108" t="b">
        <f t="shared" si="166"/>
        <v>0</v>
      </c>
      <c r="AG392" s="108" t="b">
        <f t="shared" si="166"/>
        <v>0</v>
      </c>
      <c r="AH392" s="108" t="b">
        <f t="shared" si="166"/>
        <v>0</v>
      </c>
      <c r="AI392" s="108" t="b">
        <f t="shared" si="166"/>
        <v>0</v>
      </c>
      <c r="AJ392" s="349"/>
      <c r="AK392" s="349"/>
      <c r="AL392" s="663" t="str">
        <f>IF(AND(CNTR_ExistSubInstEntries,COUNTIFS(AC392:AI392,2,H392:N392,"")&gt;0),EUconst_Error&amp;"FB"&amp;Q209,"")</f>
        <v/>
      </c>
      <c r="AM392" s="349"/>
    </row>
    <row r="393" spans="1:39" ht="5.15" customHeight="1" x14ac:dyDescent="0.25">
      <c r="A393" s="2"/>
      <c r="B393" s="3"/>
      <c r="C393" s="370"/>
      <c r="D393" s="359"/>
      <c r="E393" s="359"/>
      <c r="F393" s="359"/>
      <c r="G393" s="359"/>
      <c r="H393" s="359"/>
      <c r="I393" s="359"/>
      <c r="J393" s="359"/>
      <c r="K393" s="359"/>
      <c r="L393" s="359"/>
      <c r="M393" s="359"/>
      <c r="N393" s="374"/>
      <c r="O393" s="6"/>
      <c r="P393" s="6"/>
      <c r="Q393" s="7"/>
      <c r="R393" s="2"/>
      <c r="S393" s="7"/>
      <c r="T393" s="2"/>
      <c r="U393" s="2"/>
      <c r="V393" s="2"/>
      <c r="W393" s="2"/>
      <c r="X393" s="2"/>
      <c r="Y393" s="2"/>
      <c r="Z393" s="2"/>
      <c r="AA393" s="2"/>
      <c r="AB393" s="343"/>
      <c r="AC393" s="2"/>
      <c r="AD393" s="2"/>
      <c r="AE393" s="2"/>
      <c r="AF393" s="2"/>
      <c r="AG393" s="2"/>
      <c r="AH393" s="2"/>
      <c r="AI393" s="2"/>
      <c r="AJ393" s="349"/>
      <c r="AK393" s="349"/>
      <c r="AL393" s="349"/>
      <c r="AM393" s="349"/>
    </row>
    <row r="394" spans="1:39" ht="12.75" customHeight="1" x14ac:dyDescent="0.25">
      <c r="A394" s="2"/>
      <c r="B394" s="3"/>
      <c r="C394" s="370"/>
      <c r="D394" s="359"/>
      <c r="E394" s="2605" t="str">
        <f>Translations!$B$706</f>
        <v>Värme från bränsleriktmärke</v>
      </c>
      <c r="F394" s="2497"/>
      <c r="G394" s="361" t="str">
        <f>EUconst_Unit</f>
        <v>Enhet</v>
      </c>
      <c r="H394" s="362">
        <f t="shared" ref="H394:N394" si="167">H$950</f>
        <v>2019</v>
      </c>
      <c r="I394" s="362">
        <f t="shared" si="167"/>
        <v>2020</v>
      </c>
      <c r="J394" s="362">
        <f t="shared" si="167"/>
        <v>2021</v>
      </c>
      <c r="K394" s="362">
        <f t="shared" si="167"/>
        <v>2022</v>
      </c>
      <c r="L394" s="362">
        <f t="shared" si="167"/>
        <v>2023</v>
      </c>
      <c r="M394" s="362">
        <f t="shared" si="167"/>
        <v>2024</v>
      </c>
      <c r="N394" s="1141">
        <f t="shared" si="167"/>
        <v>2025</v>
      </c>
      <c r="O394" s="6"/>
      <c r="P394" s="6"/>
      <c r="Q394" s="7"/>
      <c r="R394" s="2"/>
      <c r="S394" s="7"/>
      <c r="T394" s="40">
        <f t="shared" ref="T394:Z394" si="168">H394</f>
        <v>2019</v>
      </c>
      <c r="U394" s="40">
        <f t="shared" si="168"/>
        <v>2020</v>
      </c>
      <c r="V394" s="40">
        <f t="shared" si="168"/>
        <v>2021</v>
      </c>
      <c r="W394" s="40">
        <f t="shared" si="168"/>
        <v>2022</v>
      </c>
      <c r="X394" s="40">
        <f t="shared" si="168"/>
        <v>2023</v>
      </c>
      <c r="Y394" s="40">
        <f t="shared" si="168"/>
        <v>2024</v>
      </c>
      <c r="Z394" s="40">
        <f t="shared" si="168"/>
        <v>2025</v>
      </c>
      <c r="AA394" s="2"/>
      <c r="AB394" s="343"/>
      <c r="AC394" s="1531">
        <f t="shared" ref="AC394:AI394" si="169">H$950</f>
        <v>2019</v>
      </c>
      <c r="AD394" s="1531">
        <f t="shared" si="169"/>
        <v>2020</v>
      </c>
      <c r="AE394" s="1531">
        <f t="shared" si="169"/>
        <v>2021</v>
      </c>
      <c r="AF394" s="1531">
        <f t="shared" si="169"/>
        <v>2022</v>
      </c>
      <c r="AG394" s="1531">
        <f t="shared" si="169"/>
        <v>2023</v>
      </c>
      <c r="AH394" s="1531">
        <f t="shared" si="169"/>
        <v>2024</v>
      </c>
      <c r="AI394" s="1531">
        <f t="shared" si="169"/>
        <v>2025</v>
      </c>
      <c r="AJ394" s="349"/>
      <c r="AK394" s="349"/>
      <c r="AL394" s="349"/>
      <c r="AM394" s="349"/>
    </row>
    <row r="395" spans="1:39" ht="12.75" customHeight="1" x14ac:dyDescent="0.25">
      <c r="A395" s="2"/>
      <c r="B395" s="3"/>
      <c r="C395" s="370"/>
      <c r="D395" s="376" t="s">
        <v>72</v>
      </c>
      <c r="E395" s="2613" t="str">
        <f>Translations!$B$604</f>
        <v>Nettomängd importerad värme</v>
      </c>
      <c r="F395" s="1997"/>
      <c r="G395" s="364" t="str">
        <f>EUconst_TJpa</f>
        <v>TJ / år</v>
      </c>
      <c r="H395" s="582"/>
      <c r="I395" s="582"/>
      <c r="J395" s="582"/>
      <c r="K395" s="582"/>
      <c r="L395" s="582"/>
      <c r="M395" s="582"/>
      <c r="N395" s="1146"/>
      <c r="O395" s="6"/>
      <c r="P395" s="1362"/>
      <c r="Q395" s="298" t="str">
        <f>EUconst_CNTR_HeatImportFuel &amp; I209</f>
        <v>HeatImFuel_Delanläggning med värmeriktmärke, ej KL</v>
      </c>
      <c r="R395" s="2"/>
      <c r="S395" s="1749" t="str">
        <f>EUconst_ERR_AttrEmBMapplied &amp; $I209</f>
        <v>ERR_AttrEmBM_Delanläggning med värmeriktmärke, ej KL</v>
      </c>
      <c r="T395" s="108">
        <f t="shared" ref="T395:Z395" si="170">IF(AND(H395&lt;&gt;0,H396="",EUconst_StatusOfDataCollection=FALSE),1,0)</f>
        <v>0</v>
      </c>
      <c r="U395" s="108">
        <f t="shared" si="170"/>
        <v>0</v>
      </c>
      <c r="V395" s="108">
        <f t="shared" si="170"/>
        <v>0</v>
      </c>
      <c r="W395" s="108">
        <f t="shared" si="170"/>
        <v>0</v>
      </c>
      <c r="X395" s="108">
        <f t="shared" si="170"/>
        <v>0</v>
      </c>
      <c r="Y395" s="108">
        <f t="shared" si="170"/>
        <v>0</v>
      </c>
      <c r="Z395" s="108">
        <f t="shared" si="170"/>
        <v>0</v>
      </c>
      <c r="AA395" s="2"/>
      <c r="AB395" s="672" t="s">
        <v>782</v>
      </c>
      <c r="AC395" s="108" t="b">
        <f>AC391</f>
        <v>0</v>
      </c>
      <c r="AD395" s="108" t="b">
        <f t="shared" ref="AD395:AI395" si="171">AD391</f>
        <v>0</v>
      </c>
      <c r="AE395" s="108" t="b">
        <f t="shared" si="171"/>
        <v>0</v>
      </c>
      <c r="AF395" s="108" t="b">
        <f t="shared" si="171"/>
        <v>0</v>
      </c>
      <c r="AG395" s="108" t="b">
        <f t="shared" si="171"/>
        <v>0</v>
      </c>
      <c r="AH395" s="108" t="b">
        <f t="shared" si="171"/>
        <v>0</v>
      </c>
      <c r="AI395" s="108" t="b">
        <f t="shared" si="171"/>
        <v>0</v>
      </c>
      <c r="AJ395" s="349"/>
      <c r="AK395" s="349"/>
      <c r="AL395" s="663" t="str">
        <f>IF(AND(CNTR_ExistSubInstEntries,COUNTIFS(AC395:AI395,2,H395:N395,"")&gt;0),EUconst_Error&amp;"FB"&amp;Q209,"")</f>
        <v/>
      </c>
      <c r="AM395" s="349"/>
    </row>
    <row r="396" spans="1:39" ht="12.75" customHeight="1" x14ac:dyDescent="0.3">
      <c r="A396" s="2"/>
      <c r="B396" s="3"/>
      <c r="C396" s="370"/>
      <c r="D396" s="376" t="s">
        <v>73</v>
      </c>
      <c r="E396" s="2613" t="str">
        <f>Translations!$B$707</f>
        <v>Särskild emissionsfaktor (från bränsleriktmärke)</v>
      </c>
      <c r="F396" s="1997"/>
      <c r="G396" s="364" t="str">
        <f>EUconst_tCO2pTJ</f>
        <v>t CO2 / TJ</v>
      </c>
      <c r="H396" s="582"/>
      <c r="I396" s="582"/>
      <c r="J396" s="582"/>
      <c r="K396" s="582"/>
      <c r="L396" s="582"/>
      <c r="M396" s="582"/>
      <c r="N396" s="1146"/>
      <c r="O396" s="6"/>
      <c r="P396" s="1362"/>
      <c r="Q396" s="298" t="str">
        <f>EUconst_CNTR_HeatImportFuelEF &amp; I209</f>
        <v>HeatImFuelEF_Delanläggning med värmeriktmärke, ej KL</v>
      </c>
      <c r="R396" s="2"/>
      <c r="S396" s="665" t="str">
        <f>EUconst_CNTR_AttributedEmissions &amp; $I209</f>
        <v>AttrEmissions_Delanläggning med värmeriktmärke, ej KL</v>
      </c>
      <c r="T396" s="108" t="str">
        <f t="shared" ref="T396:Z396" si="172">IF(T217,SUM(H395)*IF(ISNUMBER(H396),H396,EUconst_HeatBMvalue),"")</f>
        <v/>
      </c>
      <c r="U396" s="108" t="str">
        <f t="shared" si="172"/>
        <v/>
      </c>
      <c r="V396" s="108" t="str">
        <f t="shared" si="172"/>
        <v/>
      </c>
      <c r="W396" s="108" t="str">
        <f t="shared" si="172"/>
        <v/>
      </c>
      <c r="X396" s="108" t="str">
        <f t="shared" si="172"/>
        <v/>
      </c>
      <c r="Y396" s="108" t="str">
        <f t="shared" si="172"/>
        <v/>
      </c>
      <c r="Z396" s="108" t="str">
        <f t="shared" si="172"/>
        <v/>
      </c>
      <c r="AA396" s="2"/>
      <c r="AB396" s="343"/>
      <c r="AC396" s="108" t="b">
        <f>AC392</f>
        <v>0</v>
      </c>
      <c r="AD396" s="108" t="b">
        <f t="shared" ref="AD396:AI396" si="173">AD392</f>
        <v>0</v>
      </c>
      <c r="AE396" s="108" t="b">
        <f t="shared" si="173"/>
        <v>0</v>
      </c>
      <c r="AF396" s="108" t="b">
        <f t="shared" si="173"/>
        <v>0</v>
      </c>
      <c r="AG396" s="108" t="b">
        <f t="shared" si="173"/>
        <v>0</v>
      </c>
      <c r="AH396" s="108" t="b">
        <f t="shared" si="173"/>
        <v>0</v>
      </c>
      <c r="AI396" s="108" t="b">
        <f t="shared" si="173"/>
        <v>0</v>
      </c>
      <c r="AJ396" s="349"/>
      <c r="AK396" s="349"/>
      <c r="AL396" s="663" t="str">
        <f>IF(AND(CNTR_ExistSubInstEntries,COUNTIFS(AC396:AI396,2,H396:N396,"")&gt;0),EUconst_Error&amp;"FB"&amp;Q209,"")</f>
        <v/>
      </c>
      <c r="AM396" s="349"/>
    </row>
    <row r="397" spans="1:39" ht="5.15" customHeight="1" x14ac:dyDescent="0.25">
      <c r="A397" s="2"/>
      <c r="B397" s="3"/>
      <c r="C397" s="370"/>
      <c r="D397" s="359"/>
      <c r="E397" s="359"/>
      <c r="F397" s="359"/>
      <c r="G397" s="359"/>
      <c r="H397" s="359"/>
      <c r="I397" s="359"/>
      <c r="J397" s="359"/>
      <c r="K397" s="359"/>
      <c r="L397" s="359"/>
      <c r="M397" s="359"/>
      <c r="N397" s="374"/>
      <c r="O397" s="6"/>
      <c r="P397" s="6"/>
      <c r="Q397" s="7"/>
      <c r="R397" s="2"/>
      <c r="S397" s="7"/>
      <c r="T397" s="2"/>
      <c r="U397" s="2"/>
      <c r="V397" s="2"/>
      <c r="W397" s="2"/>
      <c r="X397" s="2"/>
      <c r="Y397" s="2"/>
      <c r="Z397" s="2"/>
      <c r="AA397" s="2"/>
      <c r="AB397" s="343"/>
      <c r="AC397" s="2"/>
      <c r="AD397" s="2"/>
      <c r="AE397" s="2"/>
      <c r="AF397" s="2"/>
      <c r="AG397" s="2"/>
      <c r="AH397" s="2"/>
      <c r="AI397" s="2"/>
      <c r="AJ397" s="349"/>
      <c r="AK397" s="349"/>
      <c r="AL397" s="349"/>
      <c r="AM397" s="349"/>
    </row>
    <row r="398" spans="1:39" ht="12.75" customHeight="1" x14ac:dyDescent="0.25">
      <c r="A398" s="2"/>
      <c r="B398" s="3"/>
      <c r="C398" s="370"/>
      <c r="D398" s="359"/>
      <c r="E398" s="2605" t="str">
        <f>Translations!$B$708</f>
        <v>Värme från restgaser</v>
      </c>
      <c r="F398" s="2497"/>
      <c r="G398" s="361" t="str">
        <f>EUconst_Unit</f>
        <v>Enhet</v>
      </c>
      <c r="H398" s="362">
        <f t="shared" ref="H398:N398" si="174">H$950</f>
        <v>2019</v>
      </c>
      <c r="I398" s="362">
        <f t="shared" si="174"/>
        <v>2020</v>
      </c>
      <c r="J398" s="362">
        <f t="shared" si="174"/>
        <v>2021</v>
      </c>
      <c r="K398" s="362">
        <f t="shared" si="174"/>
        <v>2022</v>
      </c>
      <c r="L398" s="362">
        <f t="shared" si="174"/>
        <v>2023</v>
      </c>
      <c r="M398" s="362">
        <f t="shared" si="174"/>
        <v>2024</v>
      </c>
      <c r="N398" s="1141">
        <f t="shared" si="174"/>
        <v>2025</v>
      </c>
      <c r="O398" s="6"/>
      <c r="P398" s="6"/>
      <c r="Q398" s="7"/>
      <c r="R398" s="2"/>
      <c r="S398" s="7"/>
      <c r="T398" s="40">
        <f t="shared" ref="T398:Z398" si="175">H398</f>
        <v>2019</v>
      </c>
      <c r="U398" s="40">
        <f t="shared" si="175"/>
        <v>2020</v>
      </c>
      <c r="V398" s="40">
        <f t="shared" si="175"/>
        <v>2021</v>
      </c>
      <c r="W398" s="40">
        <f t="shared" si="175"/>
        <v>2022</v>
      </c>
      <c r="X398" s="40">
        <f t="shared" si="175"/>
        <v>2023</v>
      </c>
      <c r="Y398" s="40">
        <f t="shared" si="175"/>
        <v>2024</v>
      </c>
      <c r="Z398" s="40">
        <f t="shared" si="175"/>
        <v>2025</v>
      </c>
      <c r="AA398" s="2"/>
      <c r="AB398" s="343"/>
      <c r="AC398" s="1531">
        <f t="shared" ref="AC398:AI398" si="176">H$950</f>
        <v>2019</v>
      </c>
      <c r="AD398" s="1531">
        <f t="shared" si="176"/>
        <v>2020</v>
      </c>
      <c r="AE398" s="1531">
        <f t="shared" si="176"/>
        <v>2021</v>
      </c>
      <c r="AF398" s="1531">
        <f t="shared" si="176"/>
        <v>2022</v>
      </c>
      <c r="AG398" s="1531">
        <f t="shared" si="176"/>
        <v>2023</v>
      </c>
      <c r="AH398" s="1531">
        <f t="shared" si="176"/>
        <v>2024</v>
      </c>
      <c r="AI398" s="1531">
        <f t="shared" si="176"/>
        <v>2025</v>
      </c>
      <c r="AJ398" s="349"/>
      <c r="AK398" s="349"/>
      <c r="AL398" s="349"/>
      <c r="AM398" s="349"/>
    </row>
    <row r="399" spans="1:39" ht="12.75" customHeight="1" x14ac:dyDescent="0.25">
      <c r="A399" s="2"/>
      <c r="B399" s="3"/>
      <c r="C399" s="370"/>
      <c r="D399" s="376" t="s">
        <v>1201</v>
      </c>
      <c r="E399" s="2613" t="str">
        <f>Translations!$B$604</f>
        <v>Nettomängd importerad värme</v>
      </c>
      <c r="F399" s="1997"/>
      <c r="G399" s="364" t="str">
        <f>EUconst_TJpa</f>
        <v>TJ / år</v>
      </c>
      <c r="H399" s="582"/>
      <c r="I399" s="582"/>
      <c r="J399" s="582"/>
      <c r="K399" s="582"/>
      <c r="L399" s="582"/>
      <c r="M399" s="582"/>
      <c r="N399" s="1146"/>
      <c r="O399" s="6"/>
      <c r="P399" s="1362"/>
      <c r="Q399" s="298" t="str">
        <f>EUconst_CNTR_WGImport &amp; I209</f>
        <v>WasteGasIm_Delanläggning med värmeriktmärke, ej KL</v>
      </c>
      <c r="R399" s="2"/>
      <c r="S399" s="1749" t="str">
        <f>EUconst_ERR_AttrEmBMapplied &amp; $I209</f>
        <v>ERR_AttrEmBM_Delanläggning med värmeriktmärke, ej KL</v>
      </c>
      <c r="T399" s="108">
        <f t="shared" ref="T399:Z399" si="177">IF(AND(H399&lt;&gt;0,EUconst_StatusOfDataCollection=FALSE),1,0)</f>
        <v>0</v>
      </c>
      <c r="U399" s="108">
        <f t="shared" si="177"/>
        <v>0</v>
      </c>
      <c r="V399" s="108">
        <f t="shared" si="177"/>
        <v>0</v>
      </c>
      <c r="W399" s="108">
        <f t="shared" si="177"/>
        <v>0</v>
      </c>
      <c r="X399" s="108">
        <f t="shared" si="177"/>
        <v>0</v>
      </c>
      <c r="Y399" s="108">
        <f t="shared" si="177"/>
        <v>0</v>
      </c>
      <c r="Z399" s="108">
        <f t="shared" si="177"/>
        <v>0</v>
      </c>
      <c r="AA399" s="2"/>
      <c r="AB399" s="672" t="s">
        <v>782</v>
      </c>
      <c r="AC399" s="108" t="b">
        <f>AC395</f>
        <v>0</v>
      </c>
      <c r="AD399" s="108" t="b">
        <f t="shared" ref="AD399:AI399" si="178">AD395</f>
        <v>0</v>
      </c>
      <c r="AE399" s="108" t="b">
        <f t="shared" si="178"/>
        <v>0</v>
      </c>
      <c r="AF399" s="108" t="b">
        <f t="shared" si="178"/>
        <v>0</v>
      </c>
      <c r="AG399" s="108" t="b">
        <f t="shared" si="178"/>
        <v>0</v>
      </c>
      <c r="AH399" s="108" t="b">
        <f t="shared" si="178"/>
        <v>0</v>
      </c>
      <c r="AI399" s="108" t="b">
        <f t="shared" si="178"/>
        <v>0</v>
      </c>
      <c r="AJ399" s="349"/>
      <c r="AK399" s="349"/>
      <c r="AL399" s="663" t="str">
        <f>IF(AND(CNTR_ExistSubInstEntries,COUNTIFS(AC399:AI399,2,H399:N399,"")&gt;0),EUconst_Error&amp;"FB"&amp;Q209,"")</f>
        <v/>
      </c>
      <c r="AM399" s="349"/>
    </row>
    <row r="400" spans="1:39" ht="12.75" customHeight="1" x14ac:dyDescent="0.3">
      <c r="A400" s="2"/>
      <c r="B400" s="3"/>
      <c r="C400" s="370"/>
      <c r="D400" s="376" t="s">
        <v>1202</v>
      </c>
      <c r="E400" s="2613" t="str">
        <f>Translations!$B$709</f>
        <v>Särskild emissionsfaktor (från restgas)</v>
      </c>
      <c r="F400" s="1997"/>
      <c r="G400" s="364" t="str">
        <f>EUconst_tCO2pTJ</f>
        <v>t CO2 / TJ</v>
      </c>
      <c r="H400" s="582"/>
      <c r="I400" s="582"/>
      <c r="J400" s="582"/>
      <c r="K400" s="582"/>
      <c r="L400" s="582"/>
      <c r="M400" s="582"/>
      <c r="N400" s="1146"/>
      <c r="O400" s="6"/>
      <c r="P400" s="1362"/>
      <c r="Q400" s="298" t="str">
        <f>EUconst_CNTR_WGImportEF &amp; I209</f>
        <v>WasteGasImEF_Delanläggning med värmeriktmärke, ej KL</v>
      </c>
      <c r="R400" s="2"/>
      <c r="S400" s="665" t="str">
        <f>EUconst_CNTR_AttributedEmissions &amp; $I209</f>
        <v>AttrEmissions_Delanläggning med värmeriktmärke, ej KL</v>
      </c>
      <c r="T400" s="108" t="str">
        <f t="shared" ref="T400:Z400" si="179">IF(T217,SUM(H399)*IF(ISNUMBER(H400),H400,EUconst_HeatBMvalue),"")</f>
        <v/>
      </c>
      <c r="U400" s="108" t="str">
        <f t="shared" si="179"/>
        <v/>
      </c>
      <c r="V400" s="108" t="str">
        <f t="shared" si="179"/>
        <v/>
      </c>
      <c r="W400" s="108" t="str">
        <f t="shared" si="179"/>
        <v/>
      </c>
      <c r="X400" s="108" t="str">
        <f t="shared" si="179"/>
        <v/>
      </c>
      <c r="Y400" s="108" t="str">
        <f t="shared" si="179"/>
        <v/>
      </c>
      <c r="Z400" s="108" t="str">
        <f t="shared" si="179"/>
        <v/>
      </c>
      <c r="AA400" s="2"/>
      <c r="AB400" s="2"/>
      <c r="AC400" s="108" t="b">
        <f>AC396</f>
        <v>0</v>
      </c>
      <c r="AD400" s="108" t="b">
        <f t="shared" ref="AD400:AI400" si="180">AD396</f>
        <v>0</v>
      </c>
      <c r="AE400" s="108" t="b">
        <f t="shared" si="180"/>
        <v>0</v>
      </c>
      <c r="AF400" s="108" t="b">
        <f t="shared" si="180"/>
        <v>0</v>
      </c>
      <c r="AG400" s="108" t="b">
        <f t="shared" si="180"/>
        <v>0</v>
      </c>
      <c r="AH400" s="108" t="b">
        <f t="shared" si="180"/>
        <v>0</v>
      </c>
      <c r="AI400" s="108" t="b">
        <f t="shared" si="180"/>
        <v>0</v>
      </c>
      <c r="AJ400" s="349"/>
      <c r="AK400" s="349"/>
      <c r="AL400" s="663" t="str">
        <f>IF(AND(CNTR_ExistSubInstEntries,COUNTIFS(AC400:AI400,2,H400:N400,"")&gt;0),EUconst_Error&amp;"FB"&amp;Q209,"")</f>
        <v/>
      </c>
      <c r="AM400" s="349"/>
    </row>
    <row r="401" spans="1:39" ht="5.15" customHeight="1" x14ac:dyDescent="0.25">
      <c r="A401" s="2"/>
      <c r="B401" s="3"/>
      <c r="C401" s="370"/>
      <c r="D401" s="359"/>
      <c r="E401" s="359"/>
      <c r="F401" s="359"/>
      <c r="G401" s="359"/>
      <c r="H401" s="359"/>
      <c r="I401" s="359"/>
      <c r="J401" s="359"/>
      <c r="K401" s="359"/>
      <c r="L401" s="359"/>
      <c r="M401" s="359"/>
      <c r="N401" s="374"/>
      <c r="O401" s="6"/>
      <c r="P401" s="6"/>
      <c r="Q401" s="7"/>
      <c r="R401" s="2"/>
      <c r="S401" s="7"/>
      <c r="T401" s="7"/>
      <c r="U401" s="2"/>
      <c r="V401" s="2"/>
      <c r="W401" s="2"/>
      <c r="X401" s="2"/>
      <c r="Y401" s="2"/>
      <c r="Z401" s="2"/>
      <c r="AA401" s="2"/>
      <c r="AB401" s="2"/>
      <c r="AC401" s="2"/>
      <c r="AD401" s="2"/>
      <c r="AE401" s="349"/>
      <c r="AF401" s="349"/>
      <c r="AG401" s="349"/>
      <c r="AH401" s="349"/>
      <c r="AI401" s="349"/>
      <c r="AJ401" s="349"/>
      <c r="AK401" s="349"/>
      <c r="AL401" s="349"/>
      <c r="AM401" s="349"/>
    </row>
    <row r="402" spans="1:39" ht="12.75" customHeight="1" x14ac:dyDescent="0.25">
      <c r="A402" s="2"/>
      <c r="B402" s="3"/>
      <c r="C402" s="370"/>
      <c r="D402" s="376" t="s">
        <v>1204</v>
      </c>
      <c r="E402" s="2613" t="str">
        <f>Translations!$B$710</f>
        <v>Total importerad nettovärme</v>
      </c>
      <c r="F402" s="1997"/>
      <c r="G402" s="364" t="str">
        <f>EUconst_TJpa</f>
        <v>TJ / år</v>
      </c>
      <c r="H402" s="351" t="str">
        <f t="shared" ref="H402:N402" si="181">IF(COUNT(H383,H387,H391,H395,H399)&gt;0,SUM(H383,H387,H391,H395,H399),"")</f>
        <v/>
      </c>
      <c r="I402" s="351" t="str">
        <f t="shared" si="181"/>
        <v/>
      </c>
      <c r="J402" s="351" t="str">
        <f t="shared" si="181"/>
        <v/>
      </c>
      <c r="K402" s="351" t="str">
        <f t="shared" si="181"/>
        <v/>
      </c>
      <c r="L402" s="351" t="str">
        <f t="shared" si="181"/>
        <v/>
      </c>
      <c r="M402" s="351" t="str">
        <f t="shared" si="181"/>
        <v/>
      </c>
      <c r="N402" s="1148" t="str">
        <f t="shared" si="181"/>
        <v/>
      </c>
      <c r="O402" s="6"/>
      <c r="P402" s="6"/>
      <c r="Q402" s="2"/>
      <c r="R402" s="2"/>
      <c r="S402" s="7"/>
      <c r="T402" s="7"/>
      <c r="U402" s="2"/>
      <c r="V402" s="2"/>
      <c r="W402" s="2"/>
      <c r="X402" s="2"/>
      <c r="Y402" s="2"/>
      <c r="Z402" s="2"/>
      <c r="AA402" s="2"/>
      <c r="AB402" s="2"/>
      <c r="AC402" s="2"/>
      <c r="AD402" s="2"/>
      <c r="AE402" s="349"/>
      <c r="AF402" s="349"/>
      <c r="AG402" s="349"/>
      <c r="AH402" s="349"/>
      <c r="AI402" s="349"/>
      <c r="AJ402" s="349"/>
      <c r="AK402" s="349"/>
      <c r="AL402" s="349"/>
      <c r="AM402" s="349"/>
    </row>
    <row r="403" spans="1:39" ht="12.75" customHeight="1" thickBot="1" x14ac:dyDescent="0.3">
      <c r="A403" s="2"/>
      <c r="B403" s="3"/>
      <c r="C403" s="377"/>
      <c r="D403" s="378"/>
      <c r="E403" s="378"/>
      <c r="F403" s="378"/>
      <c r="G403" s="378"/>
      <c r="H403" s="378"/>
      <c r="I403" s="378"/>
      <c r="J403" s="378"/>
      <c r="K403" s="378"/>
      <c r="L403" s="378"/>
      <c r="M403" s="379"/>
      <c r="N403" s="380"/>
      <c r="O403" s="6"/>
      <c r="P403" s="6"/>
      <c r="Q403" s="7"/>
      <c r="R403" s="2"/>
      <c r="S403" s="7"/>
      <c r="T403" s="2"/>
      <c r="U403" s="2"/>
      <c r="V403" s="2"/>
      <c r="W403" s="2"/>
      <c r="X403" s="2"/>
      <c r="Y403" s="2"/>
      <c r="Z403" s="2"/>
      <c r="AA403" s="2"/>
      <c r="AB403" s="2"/>
      <c r="AC403" s="2"/>
      <c r="AD403" s="2"/>
      <c r="AE403" s="349"/>
      <c r="AF403" s="349"/>
      <c r="AG403" s="349"/>
      <c r="AH403" s="349"/>
      <c r="AI403" s="349"/>
      <c r="AJ403" s="349"/>
      <c r="AK403" s="349"/>
      <c r="AL403" s="349"/>
      <c r="AM403" s="349"/>
    </row>
    <row r="404" spans="1:39" ht="25.5" customHeight="1" thickBot="1" x14ac:dyDescent="0.3">
      <c r="A404" s="2"/>
      <c r="B404" s="19"/>
      <c r="C404" s="19"/>
      <c r="D404" s="19"/>
      <c r="E404" s="19"/>
      <c r="F404" s="19"/>
      <c r="G404" s="19"/>
      <c r="H404" s="19"/>
      <c r="I404" s="19"/>
      <c r="J404" s="19"/>
      <c r="K404" s="19"/>
      <c r="L404" s="19"/>
      <c r="M404" s="19"/>
      <c r="N404" s="19"/>
      <c r="O404" s="6"/>
      <c r="P404" s="6"/>
      <c r="Q404" s="2"/>
      <c r="R404" s="2"/>
      <c r="S404" s="2"/>
      <c r="T404" s="2"/>
      <c r="U404" s="2"/>
      <c r="V404" s="2"/>
      <c r="W404" s="2"/>
      <c r="X404" s="2"/>
      <c r="Y404" s="2"/>
      <c r="Z404" s="2"/>
      <c r="AA404" s="2"/>
      <c r="AB404" s="2"/>
      <c r="AC404" s="2"/>
      <c r="AD404" s="2"/>
      <c r="AE404" s="349"/>
      <c r="AF404" s="349"/>
      <c r="AG404" s="349"/>
      <c r="AH404" s="349"/>
      <c r="AI404" s="349"/>
      <c r="AJ404" s="349"/>
      <c r="AK404" s="349"/>
      <c r="AL404" s="349"/>
      <c r="AM404" s="349"/>
    </row>
    <row r="405" spans="1:39" ht="5.15" customHeight="1" thickBot="1" x14ac:dyDescent="0.3">
      <c r="A405" s="343"/>
      <c r="B405" s="3"/>
      <c r="C405" s="230"/>
      <c r="D405" s="230"/>
      <c r="E405" s="230"/>
      <c r="F405" s="230"/>
      <c r="G405" s="230"/>
      <c r="H405" s="230"/>
      <c r="I405" s="230"/>
      <c r="J405" s="230"/>
      <c r="K405" s="230"/>
      <c r="L405" s="230"/>
      <c r="M405" s="230"/>
      <c r="N405" s="230"/>
      <c r="O405" s="6"/>
      <c r="P405" s="6"/>
      <c r="Q405" s="1767"/>
      <c r="R405" s="1767"/>
      <c r="S405" s="1767"/>
      <c r="T405" s="1767"/>
      <c r="U405" s="1767"/>
      <c r="V405" s="1767"/>
      <c r="W405" s="1767"/>
      <c r="X405" s="1767"/>
      <c r="Y405" s="1767"/>
      <c r="Z405" s="1767"/>
      <c r="AA405" s="1767"/>
      <c r="AB405" s="1767"/>
      <c r="AC405" s="1767"/>
      <c r="AD405" s="1767"/>
      <c r="AE405" s="1767"/>
      <c r="AF405" s="1767"/>
      <c r="AG405" s="1767"/>
      <c r="AH405" s="1767"/>
      <c r="AI405" s="1767"/>
      <c r="AJ405" s="1767"/>
      <c r="AK405" s="1767"/>
      <c r="AL405" s="1767"/>
      <c r="AM405" s="1767"/>
    </row>
    <row r="406" spans="1:39" ht="14.5" thickBot="1" x14ac:dyDescent="0.35">
      <c r="A406" s="2"/>
      <c r="B406" s="3"/>
      <c r="C406" s="17">
        <f>C209+1</f>
        <v>3</v>
      </c>
      <c r="D406" s="2053" t="str">
        <f>EUconst_FBSubinst &amp; ":"</f>
        <v>”Fall-back”-delanläggning:</v>
      </c>
      <c r="E406" s="1963"/>
      <c r="F406" s="1963"/>
      <c r="G406" s="1963"/>
      <c r="H406" s="2060"/>
      <c r="I406" s="2090" t="str">
        <f>INDEX(EUconst_FallBackListNames,$C406)</f>
        <v>Fjärrvärmedelanläggning</v>
      </c>
      <c r="J406" s="2120"/>
      <c r="K406" s="2120"/>
      <c r="L406" s="2648"/>
      <c r="M406" s="2085" t="str">
        <f>IF(INDEX(CNTR_FallBackSubInstRelevant,C406)="","",IF(INDEX(CNTR_FallBackSubInstRelevant,C406),EUconst_Relevant,EUconst_NotRelevant))</f>
        <v/>
      </c>
      <c r="N406" s="2086"/>
      <c r="O406" s="6"/>
      <c r="P406" s="6"/>
      <c r="Q406" s="452">
        <f>C406</f>
        <v>3</v>
      </c>
      <c r="R406" s="2"/>
      <c r="S406" s="553" t="s">
        <v>608</v>
      </c>
      <c r="T406" s="979" t="str">
        <f>IF(M406&lt;&gt;EUconst_Relevant,"",MAX(INDEX(CNTR_SubInstStartDate,MATCH($I406,CNTR_SubInstListNames,0)),DATE(2005,1,1)))</f>
        <v/>
      </c>
      <c r="U406" s="343" t="s">
        <v>1873</v>
      </c>
      <c r="V406" s="663">
        <f>IF(ISNUMBER(T406),YEAR($T406-IF(YEAR(T406)&gt;=2022,0,1))+1,2005)</f>
        <v>2005</v>
      </c>
      <c r="W406" s="553" t="s">
        <v>1876</v>
      </c>
      <c r="X406" s="979" t="str">
        <f>IF(M406&lt;&gt;EUconst_Relevant,"",INDEX(CNTR_SubInstCessationDate,MATCH($I406,CNTR_SubInstListNames,0)))</f>
        <v/>
      </c>
      <c r="Y406" s="553" t="s">
        <v>1877</v>
      </c>
      <c r="Z406" s="663">
        <f>IF(SUM(X406)=0,2050,YEAR($X406))</f>
        <v>2050</v>
      </c>
      <c r="AA406" s="553" t="s">
        <v>2201</v>
      </c>
      <c r="AB406" s="663" t="b">
        <f>CNTR_ReportingYear&gt;V406</f>
        <v>1</v>
      </c>
      <c r="AC406" s="553" t="s">
        <v>1475</v>
      </c>
      <c r="AD406" s="555" t="b">
        <f>AND(CNTR_ExistSubInstEntries,M406=EUconst_NotRelevant)</f>
        <v>0</v>
      </c>
      <c r="AE406" s="349"/>
      <c r="AF406" s="349"/>
      <c r="AG406" s="349"/>
      <c r="AH406" s="349"/>
      <c r="AI406" s="349"/>
      <c r="AJ406" s="349"/>
      <c r="AK406" s="349"/>
      <c r="AL406" s="349"/>
      <c r="AM406" s="349"/>
    </row>
    <row r="407" spans="1:39" ht="12.75" customHeight="1" x14ac:dyDescent="0.25">
      <c r="A407" s="2"/>
      <c r="B407" s="19"/>
      <c r="C407" s="19"/>
      <c r="D407" s="19"/>
      <c r="E407" s="19"/>
      <c r="F407" s="19"/>
      <c r="G407" s="19"/>
      <c r="H407" s="45"/>
      <c r="I407" s="2683" t="str">
        <f>IF(M406&lt;&gt;EUconst_Relevant,"",IF(M406=EUconst_Relevant,HYPERLINK("",EUconst_MsgEnterThisSection),HYPERLINK(R407,EUconst_MsgGoToNextSubInst)))</f>
        <v/>
      </c>
      <c r="J407" s="2684"/>
      <c r="K407" s="2684"/>
      <c r="L407" s="2684"/>
      <c r="M407" s="2685"/>
      <c r="N407" s="2686"/>
      <c r="O407" s="6"/>
      <c r="P407" s="6"/>
      <c r="Q407" s="2" t="s">
        <v>484</v>
      </c>
      <c r="R407" s="394" t="str">
        <f>"#JUMP_G"&amp;Q406+1</f>
        <v>#JUMP_G4</v>
      </c>
      <c r="S407" s="2"/>
      <c r="T407" s="2"/>
      <c r="U407" s="2"/>
      <c r="V407" s="2"/>
      <c r="W407" s="2"/>
      <c r="X407" s="2"/>
      <c r="Y407" s="2"/>
      <c r="Z407" s="343"/>
      <c r="AA407" s="2"/>
      <c r="AB407" s="2"/>
      <c r="AC407" s="2"/>
      <c r="AD407" s="2"/>
      <c r="AE407" s="349"/>
      <c r="AF407" s="349"/>
      <c r="AG407" s="349"/>
      <c r="AH407" s="349"/>
      <c r="AI407" s="349"/>
      <c r="AJ407" s="349"/>
      <c r="AK407" s="349"/>
      <c r="AL407" s="349"/>
      <c r="AM407" s="349"/>
    </row>
    <row r="408" spans="1:39" ht="12.75" customHeight="1" x14ac:dyDescent="0.25">
      <c r="A408" s="2"/>
      <c r="B408" s="3"/>
      <c r="C408" s="3"/>
      <c r="D408" s="15"/>
      <c r="E408" s="2061" t="str">
        <f>Translations!$B$663</f>
        <v>Namnet på ”fall-back”-delanläggningen visas automatiskt på grundval av den sammanställda listan över möjliga ”fall-back”-anläggningar.</v>
      </c>
      <c r="F408" s="1963"/>
      <c r="G408" s="1963"/>
      <c r="H408" s="1963"/>
      <c r="I408" s="1963"/>
      <c r="J408" s="1963"/>
      <c r="K408" s="1963"/>
      <c r="L408" s="1963"/>
      <c r="M408" s="1963"/>
      <c r="N408" s="1963"/>
      <c r="O408" s="6"/>
      <c r="P408" s="6"/>
      <c r="Q408" s="7"/>
      <c r="R408" s="7"/>
      <c r="S408" s="2"/>
      <c r="T408" s="2"/>
      <c r="U408" s="2"/>
      <c r="V408" s="2"/>
      <c r="W408" s="2"/>
      <c r="X408" s="2"/>
      <c r="Y408" s="2"/>
      <c r="Z408" s="2"/>
      <c r="AA408" s="2"/>
      <c r="AB408" s="2"/>
      <c r="AC408" s="2"/>
      <c r="AD408" s="2"/>
      <c r="AE408" s="349"/>
      <c r="AF408" s="349"/>
      <c r="AG408" s="349"/>
      <c r="AH408" s="349"/>
      <c r="AI408" s="349"/>
      <c r="AJ408" s="349"/>
      <c r="AK408" s="349"/>
      <c r="AL408" s="349"/>
      <c r="AM408" s="349"/>
    </row>
    <row r="409" spans="1:39" ht="5.15" customHeight="1" x14ac:dyDescent="0.25">
      <c r="A409" s="2"/>
      <c r="B409" s="3"/>
      <c r="C409" s="3"/>
      <c r="D409" s="3"/>
      <c r="E409" s="3"/>
      <c r="F409" s="3"/>
      <c r="G409" s="3"/>
      <c r="H409" s="3"/>
      <c r="I409" s="3"/>
      <c r="J409" s="3"/>
      <c r="K409" s="3"/>
      <c r="L409" s="3"/>
      <c r="M409" s="6"/>
      <c r="N409" s="6"/>
      <c r="O409" s="6"/>
      <c r="P409" s="6"/>
      <c r="Q409" s="7"/>
      <c r="R409" s="7"/>
      <c r="S409" s="7"/>
      <c r="T409" s="7"/>
      <c r="U409" s="7"/>
      <c r="V409" s="7"/>
      <c r="W409" s="7"/>
      <c r="X409" s="7"/>
      <c r="Y409" s="7"/>
      <c r="Z409" s="2"/>
      <c r="AA409" s="2"/>
      <c r="AB409" s="2"/>
      <c r="AC409" s="2"/>
      <c r="AD409" s="2"/>
      <c r="AE409" s="349"/>
      <c r="AF409" s="349"/>
      <c r="AG409" s="349"/>
      <c r="AH409" s="349"/>
      <c r="AI409" s="349"/>
      <c r="AJ409" s="349"/>
      <c r="AK409" s="349"/>
      <c r="AL409" s="349"/>
      <c r="AM409" s="349"/>
    </row>
    <row r="410" spans="1:39" ht="12.75" customHeight="1" x14ac:dyDescent="0.25">
      <c r="A410" s="2"/>
      <c r="B410" s="3"/>
      <c r="C410" s="13"/>
      <c r="D410" s="13" t="s">
        <v>442</v>
      </c>
      <c r="E410" s="1943" t="str">
        <f>Translations!$B$1466</f>
        <v>Verksamhetsnivåer</v>
      </c>
      <c r="F410" s="1963"/>
      <c r="G410" s="1963"/>
      <c r="H410" s="1963"/>
      <c r="I410" s="1963"/>
      <c r="J410" s="1963"/>
      <c r="K410" s="1963"/>
      <c r="L410" s="1963"/>
      <c r="M410" s="1963"/>
      <c r="N410" s="1963"/>
      <c r="O410" s="6"/>
      <c r="P410" s="6"/>
      <c r="Q410" s="7"/>
      <c r="R410" s="7"/>
      <c r="S410" s="7"/>
      <c r="T410" s="7"/>
      <c r="U410" s="7"/>
      <c r="V410" s="7"/>
      <c r="W410" s="7"/>
      <c r="X410" s="7"/>
      <c r="Y410" s="7"/>
      <c r="Z410" s="2"/>
      <c r="AA410" s="2"/>
      <c r="AB410" s="343"/>
      <c r="AC410" s="2"/>
      <c r="AD410" s="2"/>
      <c r="AE410" s="349"/>
      <c r="AF410" s="349"/>
      <c r="AG410" s="349"/>
      <c r="AH410" s="349"/>
      <c r="AI410" s="349"/>
      <c r="AJ410" s="349"/>
      <c r="AK410" s="349"/>
      <c r="AL410" s="349"/>
      <c r="AM410" s="349"/>
    </row>
    <row r="411" spans="1:39" ht="12.75" customHeight="1" x14ac:dyDescent="0.25">
      <c r="A411" s="2"/>
      <c r="B411" s="3"/>
      <c r="C411" s="15"/>
      <c r="D411" s="15"/>
      <c r="E411" s="2682" t="str">
        <f>Translations!$B$664</f>
        <v>Följande uppgifter hämtas automatiskt från bladet "E_EnergyFlows", avsnitt E.II.r. Uppgifter måste därför matas in där.</v>
      </c>
      <c r="F411" s="2682"/>
      <c r="G411" s="2682"/>
      <c r="H411" s="2682"/>
      <c r="I411" s="2682"/>
      <c r="J411" s="2682"/>
      <c r="K411" s="2682"/>
      <c r="L411" s="2682"/>
      <c r="M411" s="2682"/>
      <c r="N411" s="2682"/>
      <c r="O411" s="6"/>
      <c r="P411" s="6"/>
      <c r="Q411" s="7"/>
      <c r="R411" s="2"/>
      <c r="S411" s="2"/>
      <c r="T411" s="2"/>
      <c r="U411" s="2"/>
      <c r="V411" s="2"/>
      <c r="W411" s="2"/>
      <c r="X411" s="2"/>
      <c r="Y411" s="2"/>
      <c r="Z411" s="2"/>
      <c r="AA411" s="2"/>
      <c r="AB411" s="2"/>
      <c r="AC411" s="2"/>
      <c r="AD411" s="2"/>
      <c r="AE411" s="349"/>
      <c r="AF411" s="349"/>
      <c r="AG411" s="349"/>
      <c r="AH411" s="349"/>
      <c r="AI411" s="349"/>
      <c r="AJ411" s="349"/>
      <c r="AK411" s="349"/>
      <c r="AL411" s="349"/>
      <c r="AM411" s="349"/>
    </row>
    <row r="412" spans="1:39" ht="12.75" customHeight="1" x14ac:dyDescent="0.25">
      <c r="A412" s="2"/>
      <c r="B412" s="3"/>
      <c r="C412" s="3"/>
      <c r="D412" s="15"/>
      <c r="E412" s="2095" t="str">
        <f>Translations!$B$1486</f>
        <v>Baserat på när start av drift inträffade enligt avsnitt B+C.I i bladet "B+C_SubInstallations" kommer den historiska verksamhetsnivån (HAL) antingen att baseras på värdena enligt de nationella genomförandeåtgärderna (visas under ii) eller det första hela kalenderårets drift för nya delanläggningar (visas under iv).</v>
      </c>
      <c r="F412" s="2706"/>
      <c r="G412" s="2706"/>
      <c r="H412" s="2706"/>
      <c r="I412" s="2706"/>
      <c r="J412" s="2706"/>
      <c r="K412" s="2706"/>
      <c r="L412" s="2706"/>
      <c r="M412" s="2706"/>
      <c r="N412" s="2706"/>
      <c r="O412" s="6"/>
      <c r="P412" s="6"/>
      <c r="Q412" s="7"/>
      <c r="R412" s="2"/>
      <c r="S412" s="2"/>
      <c r="T412" s="2"/>
      <c r="U412" s="2"/>
      <c r="V412" s="2"/>
      <c r="W412" s="2"/>
      <c r="X412" s="2"/>
      <c r="Y412" s="2"/>
      <c r="Z412" s="2"/>
      <c r="AA412" s="343"/>
      <c r="AB412" s="343"/>
      <c r="AC412" s="2"/>
      <c r="AD412" s="2"/>
      <c r="AE412" s="349"/>
      <c r="AF412" s="349"/>
      <c r="AG412" s="349"/>
      <c r="AH412" s="349"/>
      <c r="AI412" s="349"/>
      <c r="AJ412" s="349"/>
      <c r="AK412" s="349"/>
      <c r="AL412" s="349"/>
      <c r="AM412" s="349"/>
    </row>
    <row r="413" spans="1:39" ht="12.75" customHeight="1" thickBot="1" x14ac:dyDescent="0.3">
      <c r="A413" s="2"/>
      <c r="B413" s="19"/>
      <c r="C413" s="13"/>
      <c r="D413" s="13"/>
      <c r="E413" s="42" t="str">
        <f>Translations!$B$665</f>
        <v>Huvudsaklig verksamhetsnivå:</v>
      </c>
      <c r="F413" s="913"/>
      <c r="G413" s="30" t="str">
        <f>EUconst_Unit</f>
        <v>Enhet</v>
      </c>
      <c r="H413" s="320">
        <f t="shared" ref="H413:N413" si="182">H$950</f>
        <v>2019</v>
      </c>
      <c r="I413" s="342">
        <f t="shared" si="182"/>
        <v>2020</v>
      </c>
      <c r="J413" s="987">
        <f t="shared" si="182"/>
        <v>2021</v>
      </c>
      <c r="K413" s="320">
        <f t="shared" si="182"/>
        <v>2022</v>
      </c>
      <c r="L413" s="320">
        <f t="shared" si="182"/>
        <v>2023</v>
      </c>
      <c r="M413" s="320">
        <f t="shared" si="182"/>
        <v>2024</v>
      </c>
      <c r="N413" s="350">
        <f t="shared" si="182"/>
        <v>2025</v>
      </c>
      <c r="O413" s="6"/>
      <c r="P413" s="6"/>
      <c r="Q413" s="152" t="s">
        <v>594</v>
      </c>
      <c r="R413" s="2"/>
      <c r="S413" s="2"/>
      <c r="T413" s="1044">
        <f t="shared" ref="T413:Z413" si="183">H413</f>
        <v>2019</v>
      </c>
      <c r="U413" s="1044">
        <f t="shared" si="183"/>
        <v>2020</v>
      </c>
      <c r="V413" s="1044">
        <f t="shared" si="183"/>
        <v>2021</v>
      </c>
      <c r="W413" s="1044">
        <f t="shared" si="183"/>
        <v>2022</v>
      </c>
      <c r="X413" s="1044">
        <f t="shared" si="183"/>
        <v>2023</v>
      </c>
      <c r="Y413" s="1044">
        <f t="shared" si="183"/>
        <v>2024</v>
      </c>
      <c r="Z413" s="1044">
        <f t="shared" si="183"/>
        <v>2025</v>
      </c>
      <c r="AA413" s="343"/>
      <c r="AB413" s="343"/>
      <c r="AC413" s="2"/>
      <c r="AD413" s="2"/>
      <c r="AE413" s="349"/>
      <c r="AF413" s="349"/>
      <c r="AG413" s="349"/>
      <c r="AH413" s="349"/>
      <c r="AI413" s="349"/>
      <c r="AJ413" s="349"/>
      <c r="AK413" s="349"/>
      <c r="AL413" s="349"/>
      <c r="AM413" s="349"/>
    </row>
    <row r="414" spans="1:39" ht="12.75" customHeight="1" thickBot="1" x14ac:dyDescent="0.3">
      <c r="A414" s="2"/>
      <c r="B414" s="19"/>
      <c r="C414" s="19"/>
      <c r="D414" s="175" t="s">
        <v>8</v>
      </c>
      <c r="E414" s="2655" t="str">
        <f>I406</f>
        <v>Fjärrvärmedelanläggning</v>
      </c>
      <c r="F414" s="2655"/>
      <c r="G414" s="91" t="str">
        <f>INDEX(EUconst_FallBackListUnits,MATCH(E414,EUconst_FallBackListNames,0))</f>
        <v>TJ</v>
      </c>
      <c r="H414" s="258" t="str">
        <f>IF($M406&lt;&gt;EUconst_Relevant,"",IF(H413&gt;=CNTR_ReportingYear,"",IF(AND(H413&gt;=$V406-1,ISNUMBER(INDEX(E_EnergyFlows!H$400:H$406,MATCH($E414,E_EnergyFlows!$E$400:$E$406,0)))),INDEX(E_EnergyFlows!H$400:H$406,MATCH($E414,E_EnergyFlows!$E$400:$E$406,0)),0)))</f>
        <v/>
      </c>
      <c r="I414" s="695" t="str">
        <f>IF($M406&lt;&gt;EUconst_Relevant,"",IF(I413&gt;=CNTR_ReportingYear,"",IF(AND(I413&gt;=$V406-1,ISNUMBER(INDEX(E_EnergyFlows!I$400:I$406,MATCH($E414,E_EnergyFlows!$E$400:$E$406,0)))),INDEX(E_EnergyFlows!I$400:I$406,MATCH($E414,E_EnergyFlows!$E$400:$E$406,0)),0)))</f>
        <v/>
      </c>
      <c r="J414" s="696" t="str">
        <f>IF($M406&lt;&gt;EUconst_Relevant,"",IF(J413&gt;=CNTR_ReportingYear,"",IF(AND(J413&gt;=$V406-1,ISNUMBER(INDEX(E_EnergyFlows!J$400:J$406,MATCH($E414,E_EnergyFlows!$E$400:$E$406,0)))),INDEX(E_EnergyFlows!J$400:J$406,MATCH($E414,E_EnergyFlows!$E$400:$E$406,0)),0)))</f>
        <v/>
      </c>
      <c r="K414" s="258" t="str">
        <f>IF($M406&lt;&gt;EUconst_Relevant,"",IF(K413&gt;=CNTR_ReportingYear,"",IF(AND(K413&gt;=$V406-1,ISNUMBER(INDEX(E_EnergyFlows!K$400:K$406,MATCH($E414,E_EnergyFlows!$E$400:$E$406,0)))),INDEX(E_EnergyFlows!K$400:K$406,MATCH($E414,E_EnergyFlows!$E$400:$E$406,0)),0)))</f>
        <v/>
      </c>
      <c r="L414" s="258" t="str">
        <f>IF($M406&lt;&gt;EUconst_Relevant,"",IF(L413&gt;=CNTR_ReportingYear,"",IF(AND(L413&gt;=$V406-1,ISNUMBER(INDEX(E_EnergyFlows!L$400:L$406,MATCH($E414,E_EnergyFlows!$E$400:$E$406,0)))),INDEX(E_EnergyFlows!L$400:L$406,MATCH($E414,E_EnergyFlows!$E$400:$E$406,0)),0)))</f>
        <v/>
      </c>
      <c r="M414" s="258" t="str">
        <f>IF($M406&lt;&gt;EUconst_Relevant,"",IF(M413&gt;=CNTR_ReportingYear,"",IF(AND(M413&gt;=$V406-1,ISNUMBER(INDEX(E_EnergyFlows!M$400:M$406,MATCH($E414,E_EnergyFlows!$E$400:$E$406,0)))),INDEX(E_EnergyFlows!M$400:M$406,MATCH($E414,E_EnergyFlows!$E$400:$E$406,0)),0)))</f>
        <v/>
      </c>
      <c r="N414" s="258" t="str">
        <f>IF($M406&lt;&gt;EUconst_Relevant,"",IF(N413&gt;=CNTR_ReportingYear,"",IF(AND(N413&gt;=$V406-1,ISNUMBER(INDEX(E_EnergyFlows!N$400:N$406,MATCH($E414,E_EnergyFlows!$E$400:$E$406,0)))),INDEX(E_EnergyFlows!N$400:N$406,MATCH($E414,E_EnergyFlows!$E$400:$E$406,0)),0)))</f>
        <v/>
      </c>
      <c r="O414" s="918"/>
      <c r="P414" s="6"/>
      <c r="Q414" s="154" t="str">
        <f>EUconst_CNTR_HAL&amp;E414</f>
        <v>HAL_Fjärrvärmedelanläggning</v>
      </c>
      <c r="R414" s="2"/>
      <c r="S414" s="309" t="s">
        <v>1874</v>
      </c>
      <c r="T414" s="1126" t="b">
        <f t="shared" ref="T414:Z414" si="184">AND($M406=EUconst_Relevant,T413&lt;CNTR_ReportingYear,T413&gt;=$V406-1)</f>
        <v>0</v>
      </c>
      <c r="U414" s="1127" t="b">
        <f t="shared" si="184"/>
        <v>0</v>
      </c>
      <c r="V414" s="1127" t="b">
        <f t="shared" si="184"/>
        <v>0</v>
      </c>
      <c r="W414" s="1127" t="b">
        <f t="shared" si="184"/>
        <v>0</v>
      </c>
      <c r="X414" s="1127" t="b">
        <f t="shared" si="184"/>
        <v>0</v>
      </c>
      <c r="Y414" s="1127" t="b">
        <f t="shared" si="184"/>
        <v>0</v>
      </c>
      <c r="Z414" s="1128" t="b">
        <f t="shared" si="184"/>
        <v>0</v>
      </c>
      <c r="AA414" s="2"/>
      <c r="AB414" s="2"/>
      <c r="AC414" s="309"/>
      <c r="AD414" s="2"/>
      <c r="AE414" s="349"/>
      <c r="AF414" s="349"/>
      <c r="AG414" s="349"/>
      <c r="AH414" s="349"/>
      <c r="AI414" s="349"/>
      <c r="AJ414" s="349"/>
      <c r="AK414" s="553" t="s">
        <v>2242</v>
      </c>
      <c r="AL414" s="108" t="str">
        <f>IF(COUNTIFS(H413:N413,"&lt;"&amp;YEAR(SUM(T406)),H414:N414,"&gt;"&amp;0)&gt;0,EUconst_Error&amp;"FB"&amp;Q406,"")</f>
        <v/>
      </c>
      <c r="AM414" s="349"/>
    </row>
    <row r="415" spans="1:39" ht="5.15" customHeight="1" x14ac:dyDescent="0.25">
      <c r="A415" s="2"/>
      <c r="B415" s="178"/>
      <c r="C415" s="178"/>
      <c r="D415" s="15"/>
      <c r="E415" s="15"/>
      <c r="F415" s="15"/>
      <c r="G415" s="15"/>
      <c r="H415" s="15"/>
      <c r="I415" s="15"/>
      <c r="J415" s="15"/>
      <c r="K415" s="15"/>
      <c r="L415" s="15"/>
      <c r="M415" s="15"/>
      <c r="N415" s="15"/>
      <c r="O415" s="15"/>
      <c r="P415" s="6"/>
      <c r="Q415" s="343"/>
      <c r="R415" s="2"/>
      <c r="S415" s="343"/>
      <c r="T415" s="343"/>
      <c r="U415" s="2"/>
      <c r="V415" s="2"/>
      <c r="W415" s="2"/>
      <c r="X415" s="2"/>
      <c r="Y415" s="2"/>
      <c r="Z415" s="343"/>
      <c r="AA415" s="2"/>
      <c r="AB415" s="343"/>
      <c r="AC415" s="2"/>
      <c r="AD415" s="2"/>
      <c r="AE415" s="349"/>
      <c r="AF415" s="349"/>
      <c r="AG415" s="349"/>
      <c r="AH415" s="349"/>
      <c r="AI415" s="349"/>
      <c r="AJ415" s="349"/>
      <c r="AK415" s="349"/>
      <c r="AL415" s="349"/>
      <c r="AM415" s="349"/>
    </row>
    <row r="416" spans="1:39" ht="25.5" customHeight="1" x14ac:dyDescent="0.25">
      <c r="A416" s="2"/>
      <c r="B416" s="178"/>
      <c r="C416" s="178"/>
      <c r="D416" s="15"/>
      <c r="E416" s="2061" t="str">
        <f>Translations!$B$1487</f>
        <v>Baserat på värdena för historisk verksamhetsnivå (HAL) och värdena under punkt a) ovan bestäms de genomsnittliga verksamhetsnivåerna här. Tilldelningen kommer endast att ändras om alla följande tröskelvärden i artiklarna 5 och 6 i verksamhetsändringsförordningen överskrids:</v>
      </c>
      <c r="F416" s="1963"/>
      <c r="G416" s="1963"/>
      <c r="H416" s="1963"/>
      <c r="I416" s="1963"/>
      <c r="J416" s="1963"/>
      <c r="K416" s="1963"/>
      <c r="L416" s="1963"/>
      <c r="M416" s="1963"/>
      <c r="N416" s="1963"/>
      <c r="O416" s="15"/>
      <c r="P416" s="6"/>
      <c r="Q416" s="343"/>
      <c r="R416" s="2"/>
      <c r="S416" s="343"/>
      <c r="T416" s="343"/>
      <c r="U416" s="343"/>
      <c r="V416" s="2"/>
      <c r="W416" s="2"/>
      <c r="X416" s="2"/>
      <c r="Y416" s="2"/>
      <c r="Z416" s="2"/>
      <c r="AA416" s="2"/>
      <c r="AB416" s="2"/>
      <c r="AC416" s="2"/>
      <c r="AD416" s="2"/>
      <c r="AE416" s="2"/>
      <c r="AF416" s="2"/>
      <c r="AG416" s="2"/>
      <c r="AH416" s="2"/>
      <c r="AI416" s="2"/>
      <c r="AJ416" s="2"/>
      <c r="AK416" s="2"/>
      <c r="AL416" s="2"/>
      <c r="AM416" s="349"/>
    </row>
    <row r="417" spans="1:39" ht="12.75" customHeight="1" x14ac:dyDescent="0.25">
      <c r="A417" s="2"/>
      <c r="B417" s="178"/>
      <c r="C417" s="178"/>
      <c r="D417" s="15"/>
      <c r="E417" s="1102" t="s">
        <v>1112</v>
      </c>
      <c r="F417" s="2095" t="str">
        <f>Translations!$B$1470</f>
        <v>De relativa tröskelvärdena (15 % och 5 % för efterföljande ändringar) för de genomsnittliga verksamhetsnivåerna jämfört med HAL</v>
      </c>
      <c r="G417" s="2159"/>
      <c r="H417" s="2159"/>
      <c r="I417" s="2159"/>
      <c r="J417" s="2159"/>
      <c r="K417" s="2159"/>
      <c r="L417" s="2159"/>
      <c r="M417" s="2159"/>
      <c r="N417" s="2159"/>
      <c r="O417" s="15"/>
      <c r="P417" s="6"/>
      <c r="Q417" s="343"/>
      <c r="R417" s="2"/>
      <c r="S417" s="343"/>
      <c r="T417" s="343"/>
      <c r="U417" s="343"/>
      <c r="V417" s="2"/>
      <c r="W417" s="2"/>
      <c r="X417" s="2"/>
      <c r="Y417" s="2"/>
      <c r="Z417" s="2"/>
      <c r="AA417" s="2"/>
      <c r="AB417" s="2"/>
      <c r="AC417" s="2"/>
      <c r="AD417" s="2"/>
      <c r="AE417" s="2"/>
      <c r="AF417" s="2"/>
      <c r="AG417" s="2"/>
      <c r="AH417" s="2"/>
      <c r="AI417" s="2"/>
      <c r="AJ417" s="2"/>
      <c r="AK417" s="2"/>
      <c r="AL417" s="2"/>
      <c r="AM417" s="349"/>
    </row>
    <row r="418" spans="1:39" ht="12.75" customHeight="1" x14ac:dyDescent="0.25">
      <c r="A418" s="2"/>
      <c r="B418" s="178"/>
      <c r="C418" s="178"/>
      <c r="D418" s="15"/>
      <c r="E418" s="1102" t="s">
        <v>1112</v>
      </c>
      <c r="F418" s="2095" t="str">
        <f>Translations!$B$1471</f>
        <v>Det absoluta tröskelvärdet, dvs. en ändring skulle leda till en ändring av den preliminära tilldelningen på minst 100 utsläppsrätter</v>
      </c>
      <c r="G418" s="2159"/>
      <c r="H418" s="2159"/>
      <c r="I418" s="2159"/>
      <c r="J418" s="2159"/>
      <c r="K418" s="2159"/>
      <c r="L418" s="2159"/>
      <c r="M418" s="2159"/>
      <c r="N418" s="2159"/>
      <c r="O418" s="15"/>
      <c r="P418" s="6"/>
      <c r="Q418" s="343"/>
      <c r="R418" s="2"/>
      <c r="S418" s="343"/>
      <c r="T418" s="343"/>
      <c r="U418" s="343"/>
      <c r="V418" s="2"/>
      <c r="W418" s="2"/>
      <c r="X418" s="2"/>
      <c r="Y418" s="2"/>
      <c r="Z418" s="2"/>
      <c r="AA418" s="2"/>
      <c r="AB418" s="2"/>
      <c r="AC418" s="2"/>
      <c r="AD418" s="2"/>
      <c r="AE418" s="2"/>
      <c r="AF418" s="2"/>
      <c r="AG418" s="2"/>
      <c r="AH418" s="2"/>
      <c r="AI418" s="2"/>
      <c r="AJ418" s="2"/>
      <c r="AK418" s="2"/>
      <c r="AL418" s="2"/>
      <c r="AM418" s="349"/>
    </row>
    <row r="419" spans="1:39" ht="12.75" customHeight="1" thickBot="1" x14ac:dyDescent="0.3">
      <c r="A419" s="2"/>
      <c r="B419" s="178"/>
      <c r="C419" s="178"/>
      <c r="D419" s="15"/>
      <c r="E419" s="1102" t="s">
        <v>1112</v>
      </c>
      <c r="F419" s="2095" t="str">
        <f>Translations!$B$1488</f>
        <v>De ändrade verksamhetsnivåerna uppvägs inte av de ändringar av energieffektiviteten som fastställs i punkt b), b.1) och b.2) nedan.</v>
      </c>
      <c r="G419" s="2159"/>
      <c r="H419" s="2159"/>
      <c r="I419" s="2159"/>
      <c r="J419" s="2159"/>
      <c r="K419" s="2159"/>
      <c r="L419" s="2159"/>
      <c r="M419" s="2159"/>
      <c r="N419" s="2159"/>
      <c r="O419" s="15"/>
      <c r="P419" s="6"/>
      <c r="Q419" s="343"/>
      <c r="R419" s="2"/>
      <c r="S419" s="343"/>
      <c r="T419" s="343"/>
      <c r="U419" s="343"/>
      <c r="V419" s="2"/>
      <c r="W419" s="2"/>
      <c r="X419" s="2"/>
      <c r="Y419" s="2"/>
      <c r="Z419" s="2"/>
      <c r="AA419" s="2"/>
      <c r="AB419" s="2"/>
      <c r="AC419" s="2"/>
      <c r="AD419" s="2"/>
      <c r="AE419" s="2"/>
      <c r="AF419" s="2"/>
      <c r="AG419" s="2"/>
      <c r="AH419" s="2"/>
      <c r="AI419" s="2"/>
      <c r="AJ419" s="2"/>
      <c r="AK419" s="2"/>
      <c r="AL419" s="2"/>
      <c r="AM419" s="349"/>
    </row>
    <row r="420" spans="1:39" ht="5.15" customHeight="1" thickBot="1" x14ac:dyDescent="0.3">
      <c r="A420" s="2"/>
      <c r="B420" s="178"/>
      <c r="C420" s="178"/>
      <c r="D420" s="1238"/>
      <c r="E420" s="1278"/>
      <c r="F420" s="1239"/>
      <c r="G420" s="1279"/>
      <c r="H420" s="1279"/>
      <c r="I420" s="1279"/>
      <c r="J420" s="1279"/>
      <c r="K420" s="1279"/>
      <c r="L420" s="1279"/>
      <c r="M420" s="1279"/>
      <c r="N420" s="1280"/>
      <c r="O420" s="15"/>
      <c r="P420" s="6"/>
      <c r="Q420" s="343"/>
      <c r="R420" s="2"/>
      <c r="S420" s="343"/>
      <c r="T420" s="343"/>
      <c r="U420" s="343"/>
      <c r="V420" s="2"/>
      <c r="W420" s="2"/>
      <c r="X420" s="2"/>
      <c r="Y420" s="2"/>
      <c r="Z420" s="2"/>
      <c r="AA420" s="2"/>
      <c r="AB420" s="2"/>
      <c r="AC420" s="2"/>
      <c r="AD420" s="2"/>
      <c r="AE420" s="2"/>
      <c r="AF420" s="2"/>
      <c r="AG420" s="2"/>
      <c r="AH420" s="2"/>
      <c r="AI420" s="2"/>
      <c r="AJ420" s="2"/>
      <c r="AK420" s="2"/>
      <c r="AL420" s="2"/>
      <c r="AM420" s="349"/>
    </row>
    <row r="421" spans="1:39" ht="12.75" customHeight="1" x14ac:dyDescent="0.25">
      <c r="A421" s="2"/>
      <c r="B421" s="178"/>
      <c r="C421" s="178"/>
      <c r="D421" s="1242"/>
      <c r="E421" s="1243" t="str">
        <f>Translations!$B$1489</f>
        <v>Preliminär justering</v>
      </c>
      <c r="F421" s="1244"/>
      <c r="G421" s="1244"/>
      <c r="H421" s="1228" t="str">
        <f>EUconst_Unit</f>
        <v>Enhet</v>
      </c>
      <c r="I421" s="1229" t="str">
        <f>Translations!$B$1472</f>
        <v>HAL</v>
      </c>
      <c r="J421" s="1268">
        <f>J$950</f>
        <v>2021</v>
      </c>
      <c r="K421" s="1230">
        <f>K$950</f>
        <v>2022</v>
      </c>
      <c r="L421" s="1230">
        <f>L$950</f>
        <v>2023</v>
      </c>
      <c r="M421" s="1230">
        <f>M$950</f>
        <v>2024</v>
      </c>
      <c r="N421" s="1258">
        <f>N$950</f>
        <v>2025</v>
      </c>
      <c r="O421" s="15"/>
      <c r="P421" s="6"/>
      <c r="Q421" s="343"/>
      <c r="R421" s="2"/>
      <c r="S421" s="343"/>
      <c r="T421" s="343"/>
      <c r="U421" s="772"/>
      <c r="V421" s="1077">
        <f>J421</f>
        <v>2021</v>
      </c>
      <c r="W421" s="1077">
        <f>K421</f>
        <v>2022</v>
      </c>
      <c r="X421" s="1077">
        <f>L421</f>
        <v>2023</v>
      </c>
      <c r="Y421" s="1077">
        <f>M421</f>
        <v>2024</v>
      </c>
      <c r="Z421" s="1078">
        <f>N421</f>
        <v>2025</v>
      </c>
      <c r="AA421" s="2"/>
      <c r="AB421" s="343"/>
      <c r="AC421" s="2"/>
      <c r="AD421" s="2"/>
      <c r="AE421" s="349"/>
      <c r="AF421" s="349"/>
      <c r="AG421" s="349"/>
      <c r="AH421" s="349"/>
      <c r="AI421" s="349"/>
      <c r="AJ421" s="349"/>
      <c r="AK421" s="349"/>
      <c r="AL421" s="349"/>
      <c r="AM421" s="349"/>
    </row>
    <row r="422" spans="1:39" ht="12.75" customHeight="1" x14ac:dyDescent="0.25">
      <c r="A422" s="2"/>
      <c r="B422" s="178"/>
      <c r="C422" s="178"/>
      <c r="D422" s="1246" t="s">
        <v>9</v>
      </c>
      <c r="E422" s="1231" t="str">
        <f>Translations!$B$1473</f>
        <v>Genomsnittlig årlig verksamhetsnivå</v>
      </c>
      <c r="F422" s="1231"/>
      <c r="G422" s="1231"/>
      <c r="H422" s="1232" t="str">
        <f>G414</f>
        <v>TJ</v>
      </c>
      <c r="I422" s="1021" t="str">
        <f>IF(V406&gt;($J$950-3),EUconst_NA,INDEX('B+C_SubInstallations'!$I:$I,MATCH(Q422,'B+C_SubInstallations'!$T:$T,0)))</f>
        <v/>
      </c>
      <c r="J422" s="1022" t="str">
        <f>IF(AND(V422&gt;=3,CNTR_ReportingYear&gt;J421-1),AVERAGE(SUM(H414),SUM(I414)),"")</f>
        <v/>
      </c>
      <c r="K422" s="1023" t="str">
        <f>IF(AND(W422&gt;=3,CNTR_ReportingYear&gt;K421-1),AVERAGE(SUM(I414),SUM(J414)),"")</f>
        <v/>
      </c>
      <c r="L422" s="1023" t="str">
        <f>IF(AND(X422&gt;=3,CNTR_ReportingYear&gt;L421-1),AVERAGE(SUM(J414),SUM(K414)),"")</f>
        <v/>
      </c>
      <c r="M422" s="1023" t="str">
        <f>IF(AND(Y422&gt;=3,CNTR_ReportingYear&gt;M421-1),AVERAGE(SUM(K414),SUM(L414)),"")</f>
        <v/>
      </c>
      <c r="N422" s="1226" t="str">
        <f>IF(AND(Z422&gt;=3,CNTR_ReportingYear&gt;N421-1),AVERAGE(SUM(L414),SUM(M414)),"")</f>
        <v/>
      </c>
      <c r="O422" s="15"/>
      <c r="P422" s="6"/>
      <c r="Q422" s="1217" t="str">
        <f>EUconst_CNTR_HALinitial&amp;I406</f>
        <v>HALini_Fjärrvärmedelanläggning</v>
      </c>
      <c r="R422" s="2"/>
      <c r="S422" s="343"/>
      <c r="T422" s="343"/>
      <c r="U422" s="1079" t="s">
        <v>1850</v>
      </c>
      <c r="V422" s="9">
        <f>IF($M406&lt;&gt;EUconst_Relevant,0,V421-$V406+1)</f>
        <v>0</v>
      </c>
      <c r="W422" s="9">
        <f>IF($M406&lt;&gt;EUconst_Relevant,0,W421-$V406+1)</f>
        <v>0</v>
      </c>
      <c r="X422" s="9">
        <f>IF($M406&lt;&gt;EUconst_Relevant,0,X421-$V406+1)</f>
        <v>0</v>
      </c>
      <c r="Y422" s="9">
        <f>IF($M406&lt;&gt;EUconst_Relevant,0,Y421-$V406+1)</f>
        <v>0</v>
      </c>
      <c r="Z422" s="1089">
        <f>IF($M406&lt;&gt;EUconst_Relevant,0,Z421-$V406+1)</f>
        <v>0</v>
      </c>
      <c r="AA422" s="2"/>
      <c r="AB422" s="343"/>
      <c r="AC422" s="2"/>
      <c r="AD422" s="2"/>
      <c r="AE422" s="349"/>
      <c r="AF422" s="349"/>
      <c r="AG422" s="349"/>
      <c r="AH422" s="349"/>
      <c r="AI422" s="349"/>
      <c r="AJ422" s="349"/>
      <c r="AK422" s="349"/>
      <c r="AL422" s="349"/>
      <c r="AM422" s="349"/>
    </row>
    <row r="423" spans="1:39" ht="12.75" hidden="1" customHeight="1" x14ac:dyDescent="0.25">
      <c r="A423" s="343" t="s">
        <v>346</v>
      </c>
      <c r="B423" s="178"/>
      <c r="C423" s="178"/>
      <c r="D423" s="1246"/>
      <c r="E423" s="1231" t="s">
        <v>1848</v>
      </c>
      <c r="F423" s="1231"/>
      <c r="G423" s="1231"/>
      <c r="H423" s="1233"/>
      <c r="I423" s="1235"/>
      <c r="J423" s="1013" t="str">
        <f>IF(J422="","",IF($I425=0,IF(J422=0,0%,100%),J422/$I425-1))</f>
        <v/>
      </c>
      <c r="K423" s="938" t="str">
        <f>IF(K422="","",IF($I425=0,IF(K422=0,0%,100%),K422/$I425-1))</f>
        <v/>
      </c>
      <c r="L423" s="938" t="str">
        <f>IF(L422="","",IF($I425=0,IF(L422=0,0%,100%),L422/$I425-1))</f>
        <v/>
      </c>
      <c r="M423" s="938" t="str">
        <f>IF(M422="","",IF($I425=0,IF(M422=0,0%,100%),M422/$I425-1))</f>
        <v/>
      </c>
      <c r="N423" s="1223" t="str">
        <f>IF(N422="","",IF($I425=0,IF(N422=0,0%,100%),N422/$I425-1))</f>
        <v/>
      </c>
      <c r="O423" s="15"/>
      <c r="P423" s="6"/>
      <c r="Q423" s="165" t="str">
        <f>EUconst_CNTR_RelThreshold &amp;I406</f>
        <v>RelThresh_Fjärrvärmedelanläggning</v>
      </c>
      <c r="R423" s="2"/>
      <c r="S423" s="343"/>
      <c r="T423" s="343"/>
      <c r="U423" s="1079" t="s">
        <v>1855</v>
      </c>
      <c r="V423" s="603" t="str">
        <f>IF(J422="","",ABS(J423)&gt;15%)</f>
        <v/>
      </c>
      <c r="W423" s="603" t="str">
        <f>IF(K422="","",ABS(K423)&gt;15%)</f>
        <v/>
      </c>
      <c r="X423" s="603" t="str">
        <f>IF(L422="","",ABS(L423)&gt;15%)</f>
        <v/>
      </c>
      <c r="Y423" s="603" t="str">
        <f>IF(M422="","",ABS(M423)&gt;15%)</f>
        <v/>
      </c>
      <c r="Z423" s="1756" t="str">
        <f>IF(N422="","",ABS(N423)&gt;15%)</f>
        <v/>
      </c>
      <c r="AA423" s="2"/>
      <c r="AB423" s="343"/>
      <c r="AC423" s="2"/>
      <c r="AD423" s="2"/>
      <c r="AE423" s="349"/>
      <c r="AF423" s="349"/>
      <c r="AG423" s="349"/>
      <c r="AH423" s="349"/>
      <c r="AI423" s="349"/>
      <c r="AJ423" s="349"/>
      <c r="AK423" s="349"/>
      <c r="AL423" s="349"/>
      <c r="AM423" s="349"/>
    </row>
    <row r="424" spans="1:39" ht="12.75" customHeight="1" x14ac:dyDescent="0.25">
      <c r="A424" s="343"/>
      <c r="B424" s="178"/>
      <c r="C424" s="178"/>
      <c r="D424" s="1246" t="s">
        <v>10</v>
      </c>
      <c r="E424" s="1231" t="str">
        <f>Translations!$B$1474</f>
        <v>Preliminär justering (om relativa tröskelvärden överskrids)</v>
      </c>
      <c r="F424" s="1231"/>
      <c r="G424" s="1231"/>
      <c r="H424" s="1233"/>
      <c r="I424" s="1235"/>
      <c r="J424" s="992" t="str">
        <f>IF(J422="","",IF(V423=FALSE,0%,IF(V424,J423,I430)))</f>
        <v/>
      </c>
      <c r="K424" s="937" t="str">
        <f>IF(K422="","",IF(W423=FALSE,0%,IF(W424,K423,J430)))</f>
        <v/>
      </c>
      <c r="L424" s="937" t="str">
        <f>IF(L422="","",IF(X423=FALSE,0%,IF(X424,L423,K430)))</f>
        <v/>
      </c>
      <c r="M424" s="937" t="str">
        <f>IF(M422="","",IF(Y423=FALSE,0%,IF(Y424,M423,L430)))</f>
        <v/>
      </c>
      <c r="N424" s="1220" t="str">
        <f>IF(N422="","",IF(Z423=FALSE,0%,IF(Z424,N423,M430)))</f>
        <v/>
      </c>
      <c r="O424" s="15"/>
      <c r="P424" s="6"/>
      <c r="Q424" s="343"/>
      <c r="R424" s="2"/>
      <c r="S424" s="343"/>
      <c r="T424" s="343"/>
      <c r="U424" s="1079" t="s">
        <v>1856</v>
      </c>
      <c r="V424" s="603" t="str">
        <f>IF(J422="","",AND(V423,IF(SUM(I430)&lt;0,OR(SUM(J423)&lt;SUM(I430)-MOD(SUM(I430),5%),J423&gt;=SUM(I430)+5%-MOD(SUM(I430),5%)),OR(SUM(J423)&lt;=SUM(I430)-MOD(SUM(I430),5%),SUM(J423)&gt;SUM(I430)+5%-MOD(SUM(I430),5%)))))</f>
        <v/>
      </c>
      <c r="W424" s="603" t="str">
        <f>IF(K422="","",AND(W423,IF(SUM(J430)&lt;0,OR(SUM(K423)&lt;SUM(J430)-MOD(SUM(J430),5%),K423&gt;=SUM(J430)+5%-MOD(SUM(J430),5%)),OR(SUM(K423)&lt;=SUM(J430)-MOD(SUM(J430),5%),SUM(K423)&gt;SUM(J430)+5%-MOD(SUM(J430),5%)))))</f>
        <v/>
      </c>
      <c r="X424" s="603" t="str">
        <f>IF(L422="","",AND(X423,IF(SUM(K430)&lt;0,OR(SUM(L423)&lt;SUM(K430)-MOD(SUM(K430),5%),L423&gt;=SUM(K430)+5%-MOD(SUM(K430),5%)),OR(SUM(L423)&lt;=SUM(K430)-MOD(SUM(K430),5%),SUM(L423)&gt;SUM(K430)+5%-MOD(SUM(K430),5%)))))</f>
        <v/>
      </c>
      <c r="Y424" s="603" t="str">
        <f>IF(M422="","",AND(Y423,IF(SUM(L430)&lt;0,OR(SUM(M423)&lt;SUM(L430)-MOD(SUM(L430),5%),M423&gt;=SUM(L430)+5%-MOD(SUM(L430),5%)),OR(SUM(M423)&lt;=SUM(L430)-MOD(SUM(L430),5%),SUM(M423)&gt;SUM(L430)+5%-MOD(SUM(L430),5%)))))</f>
        <v/>
      </c>
      <c r="Z424" s="1756" t="str">
        <f>IF(N422="","",AND(Z423,IF(SUM(M430)&lt;0,OR(SUM(N423)&lt;SUM(M430)-MOD(SUM(M430),5%),N423&gt;=SUM(M430)+5%-MOD(SUM(M430),5%)),OR(SUM(N423)&lt;=SUM(M430)-MOD(SUM(M430),5%),SUM(N423)&gt;SUM(M430)+5%-MOD(SUM(M430),5%)))))</f>
        <v/>
      </c>
      <c r="AA424" s="2"/>
      <c r="AB424" s="343"/>
      <c r="AC424" s="2"/>
      <c r="AD424" s="2"/>
      <c r="AE424" s="349"/>
      <c r="AF424" s="349"/>
      <c r="AG424" s="349"/>
      <c r="AH424" s="349"/>
      <c r="AI424" s="349"/>
      <c r="AJ424" s="349"/>
      <c r="AK424" s="349"/>
      <c r="AL424" s="349"/>
      <c r="AM424" s="349"/>
    </row>
    <row r="425" spans="1:39" ht="12.75" customHeight="1" x14ac:dyDescent="0.25">
      <c r="A425" s="343"/>
      <c r="B425" s="178"/>
      <c r="C425" s="178"/>
      <c r="D425" s="1246" t="s">
        <v>23</v>
      </c>
      <c r="E425" s="1231" t="str">
        <f>Translations!$B$1490</f>
        <v>Preliminär verksamhetsnivå</v>
      </c>
      <c r="F425" s="1231"/>
      <c r="G425" s="1231"/>
      <c r="H425" s="1232" t="str">
        <f>H422</f>
        <v>TJ</v>
      </c>
      <c r="I425" s="1021" t="str">
        <f>IF(M406&lt;&gt;EUconst_Relevant,"",IF(AB406=FALSE,EUconst_NA,IF(V406&gt;($J$950-3),INDEX(H414:N414,MATCH($V406,H413:N413,0)),I422)))</f>
        <v/>
      </c>
      <c r="J425" s="1022" t="str">
        <f>IF($M406&lt;&gt;EUconst_Relevant,"",IF(V422&lt;2,SUM(J414),IF(V422&lt;3,SUM(I414),IF(V425="",I425,V425))))</f>
        <v/>
      </c>
      <c r="K425" s="1023" t="str">
        <f>IF($M406&lt;&gt;EUconst_Relevant,"",IF(W422&lt;2,SUM(K414),IF(W422&lt;3,SUM(J414),IF(W425="",J425,W425))))</f>
        <v/>
      </c>
      <c r="L425" s="1023" t="str">
        <f>IF($M406&lt;&gt;EUconst_Relevant,"",IF(X422&lt;2,SUM(L414),IF(X422&lt;3,SUM(K414),IF(X425="",K425,X425))))</f>
        <v/>
      </c>
      <c r="M425" s="1023" t="str">
        <f>IF($M406&lt;&gt;EUconst_Relevant,"",IF(Y422&lt;2,SUM(M414),IF(Y422&lt;3,SUM(L414),IF(Y425="",L425,Y425))))</f>
        <v/>
      </c>
      <c r="N425" s="1226" t="str">
        <f>IF($M406&lt;&gt;EUconst_Relevant,"",IF(Z422&lt;2,SUM(N414),IF(Z422&lt;3,SUM(M414),IF(Z425="",M425,Z425))))</f>
        <v/>
      </c>
      <c r="O425" s="918"/>
      <c r="P425" s="6"/>
      <c r="Q425" s="165" t="str">
        <f>EUconst_CNTR_HALprelim&amp;I406</f>
        <v>HALprelim_Fjärrvärmedelanläggning</v>
      </c>
      <c r="R425" s="2"/>
      <c r="S425" s="343"/>
      <c r="T425" s="343"/>
      <c r="U425" s="1079" t="s">
        <v>1851</v>
      </c>
      <c r="V425" s="1752" t="str">
        <f>IF(J422="","",IF(CNTR_ReportingYear&lt;J421,I424,IF($I425=0,J422,$I425*(1+J424))))</f>
        <v/>
      </c>
      <c r="W425" s="1752" t="str">
        <f>IF(K422="","",IF(CNTR_ReportingYear&lt;K421,J424,IF($I425=0,K422,$I425*(1+K424))))</f>
        <v/>
      </c>
      <c r="X425" s="1752" t="str">
        <f>IF(L422="","",IF(CNTR_ReportingYear&lt;L421,K424,IF($I425=0,L422,$I425*(1+L424))))</f>
        <v/>
      </c>
      <c r="Y425" s="1752" t="str">
        <f>IF(M422="","",IF(CNTR_ReportingYear&lt;M421,L424,IF($I425=0,M422,$I425*(1+M424))))</f>
        <v/>
      </c>
      <c r="Z425" s="1752" t="str">
        <f>IF(N422="","",IF(CNTR_ReportingYear&lt;N421,M424,IF($I425=0,N422,$I425*(1+N424))))</f>
        <v/>
      </c>
      <c r="AA425" s="2"/>
      <c r="AB425" s="343"/>
      <c r="AC425" s="2"/>
      <c r="AD425" s="2"/>
      <c r="AE425" s="349"/>
      <c r="AF425" s="349"/>
      <c r="AG425" s="349"/>
      <c r="AH425" s="349"/>
      <c r="AI425" s="349"/>
      <c r="AJ425" s="349"/>
      <c r="AK425" s="349"/>
      <c r="AL425" s="349"/>
      <c r="AM425" s="349"/>
    </row>
    <row r="426" spans="1:39" ht="5.15" customHeight="1" x14ac:dyDescent="0.25">
      <c r="A426" s="343"/>
      <c r="B426" s="178"/>
      <c r="C426" s="178"/>
      <c r="D426" s="1242"/>
      <c r="E426" s="1244"/>
      <c r="F426" s="1244"/>
      <c r="G426" s="1244"/>
      <c r="H426" s="1244"/>
      <c r="I426" s="1244"/>
      <c r="J426" s="1236"/>
      <c r="K426" s="1236"/>
      <c r="L426" s="1236"/>
      <c r="M426" s="1236"/>
      <c r="N426" s="1247"/>
      <c r="O426" s="15"/>
      <c r="P426" s="15"/>
      <c r="Q426" s="343"/>
      <c r="R426" s="2"/>
      <c r="S426" s="2"/>
      <c r="T426" s="2"/>
      <c r="U426" s="1086"/>
      <c r="V426" s="343"/>
      <c r="W426" s="2"/>
      <c r="X426" s="2"/>
      <c r="Y426" s="2"/>
      <c r="Z426" s="228"/>
      <c r="AA426" s="2"/>
      <c r="AB426" s="2"/>
      <c r="AC426" s="2"/>
      <c r="AD426" s="2"/>
      <c r="AE426" s="2"/>
      <c r="AF426" s="2"/>
      <c r="AG426" s="2"/>
      <c r="AH426" s="2"/>
      <c r="AI426" s="2"/>
      <c r="AJ426" s="343"/>
      <c r="AK426" s="343"/>
      <c r="AL426" s="343"/>
      <c r="AM426" s="349"/>
    </row>
    <row r="427" spans="1:39" ht="12.75" customHeight="1" x14ac:dyDescent="0.25">
      <c r="A427" s="343"/>
      <c r="B427" s="178"/>
      <c r="C427" s="178"/>
      <c r="D427" s="1242"/>
      <c r="E427" s="1234" t="str">
        <f>Translations!$B$1475</f>
        <v>Faktisk justering (grund för följande år)</v>
      </c>
      <c r="F427" s="1234"/>
      <c r="G427" s="1234"/>
      <c r="H427" s="1234"/>
      <c r="I427" s="1234"/>
      <c r="J427" s="1268">
        <f>J$950</f>
        <v>2021</v>
      </c>
      <c r="K427" s="1230">
        <f>K$950</f>
        <v>2022</v>
      </c>
      <c r="L427" s="1230">
        <f>L$950</f>
        <v>2023</v>
      </c>
      <c r="M427" s="1230">
        <f>M$950</f>
        <v>2024</v>
      </c>
      <c r="N427" s="1258">
        <f>N$950</f>
        <v>2025</v>
      </c>
      <c r="O427" s="15"/>
      <c r="P427" s="15"/>
      <c r="Q427" s="343"/>
      <c r="R427" s="2"/>
      <c r="S427" s="2"/>
      <c r="T427" s="2"/>
      <c r="U427" s="584"/>
      <c r="V427" s="2"/>
      <c r="W427" s="2"/>
      <c r="X427" s="2"/>
      <c r="Y427" s="2"/>
      <c r="Z427" s="228"/>
      <c r="AA427" s="2"/>
      <c r="AB427" s="2"/>
      <c r="AC427" s="2"/>
      <c r="AD427" s="2"/>
      <c r="AE427" s="2"/>
      <c r="AF427" s="2"/>
      <c r="AG427" s="2"/>
      <c r="AH427" s="2"/>
      <c r="AI427" s="2"/>
      <c r="AJ427" s="343"/>
      <c r="AK427" s="343"/>
      <c r="AL427" s="343"/>
      <c r="AM427" s="349"/>
    </row>
    <row r="428" spans="1:39" ht="12.75" customHeight="1" x14ac:dyDescent="0.25">
      <c r="A428" s="343"/>
      <c r="B428" s="178"/>
      <c r="C428" s="178"/>
      <c r="D428" s="1246" t="s">
        <v>859</v>
      </c>
      <c r="E428" s="1231" t="str">
        <f>Translations!$B$1476</f>
        <v>&gt;= 100 utsläppsrätter kriterium uppnått?</v>
      </c>
      <c r="F428" s="1231"/>
      <c r="G428" s="1231"/>
      <c r="H428" s="1231"/>
      <c r="I428" s="1231"/>
      <c r="J428" s="994" t="str">
        <f>IF($M406&lt;&gt;EUconst_Relevant,"",INDEX(K_Summary!J:J,MATCH($Q428,K_Summary!$P:$P,0)))</f>
        <v/>
      </c>
      <c r="K428" s="912" t="str">
        <f>IF($M406&lt;&gt;EUconst_Relevant,"",INDEX(K_Summary!K:K,MATCH($Q428,K_Summary!$P:$P,0)))</f>
        <v/>
      </c>
      <c r="L428" s="912" t="str">
        <f>IF($M406&lt;&gt;EUconst_Relevant,"",INDEX(K_Summary!L:L,MATCH($Q428,K_Summary!$P:$P,0)))</f>
        <v/>
      </c>
      <c r="M428" s="912" t="str">
        <f>IF($M406&lt;&gt;EUconst_Relevant,"",INDEX(K_Summary!M:M,MATCH($Q428,K_Summary!$P:$P,0)))</f>
        <v/>
      </c>
      <c r="N428" s="1221" t="str">
        <f>IF($M406&lt;&gt;EUconst_Relevant,"",INDEX(K_Summary!N:N,MATCH($Q428,K_Summary!$P:$P,0)))</f>
        <v/>
      </c>
      <c r="O428" s="15"/>
      <c r="P428" s="15"/>
      <c r="Q428" s="672" t="str">
        <f>EUconst_CNTR_100EUA_ActivityLevel&amp;I406</f>
        <v>EUA100AL_Fjärrvärmedelanläggning</v>
      </c>
      <c r="R428" s="2"/>
      <c r="S428" s="2"/>
      <c r="T428" s="2"/>
      <c r="U428" s="584"/>
      <c r="V428" s="1123"/>
      <c r="W428" s="1123"/>
      <c r="X428" s="1123"/>
      <c r="Y428" s="1123"/>
      <c r="Z428" s="228"/>
      <c r="AA428" s="2"/>
      <c r="AB428" s="2"/>
      <c r="AC428" s="2"/>
      <c r="AD428" s="2"/>
      <c r="AE428" s="2"/>
      <c r="AF428" s="2"/>
      <c r="AG428" s="2"/>
      <c r="AH428" s="2"/>
      <c r="AI428" s="2"/>
      <c r="AJ428" s="343"/>
      <c r="AK428" s="343"/>
      <c r="AL428" s="343"/>
      <c r="AM428" s="349"/>
    </row>
    <row r="429" spans="1:39" ht="5.15" customHeight="1" thickBot="1" x14ac:dyDescent="0.3">
      <c r="A429" s="343"/>
      <c r="B429" s="178"/>
      <c r="C429" s="178"/>
      <c r="D429" s="1242"/>
      <c r="E429" s="1244"/>
      <c r="F429" s="1244"/>
      <c r="G429" s="1244"/>
      <c r="H429" s="1244"/>
      <c r="I429" s="1244"/>
      <c r="J429" s="1244"/>
      <c r="K429" s="1244"/>
      <c r="L429" s="1244"/>
      <c r="M429" s="1244"/>
      <c r="N429" s="1248"/>
      <c r="O429" s="15"/>
      <c r="P429" s="15"/>
      <c r="Q429" s="343"/>
      <c r="R429" s="2"/>
      <c r="S429" s="2"/>
      <c r="T429" s="2"/>
      <c r="U429" s="1086"/>
      <c r="V429" s="343"/>
      <c r="W429" s="2"/>
      <c r="X429" s="2"/>
      <c r="Y429" s="2"/>
      <c r="Z429" s="228"/>
      <c r="AA429" s="2"/>
      <c r="AB429" s="2"/>
      <c r="AC429" s="2"/>
      <c r="AD429" s="2"/>
      <c r="AE429" s="2"/>
      <c r="AF429" s="2"/>
      <c r="AG429" s="2"/>
      <c r="AH429" s="2"/>
      <c r="AI429" s="2"/>
      <c r="AJ429" s="343"/>
      <c r="AK429" s="343"/>
      <c r="AL429" s="343"/>
      <c r="AM429" s="349"/>
    </row>
    <row r="430" spans="1:39" ht="12.75" customHeight="1" thickBot="1" x14ac:dyDescent="0.3">
      <c r="A430" s="2"/>
      <c r="B430" s="178"/>
      <c r="C430" s="178"/>
      <c r="D430" s="1246" t="s">
        <v>860</v>
      </c>
      <c r="E430" s="1231" t="str">
        <f>Translations!$B$1477</f>
        <v>Faktisk justering (om alla tröskelvärden överskrids)</v>
      </c>
      <c r="F430" s="1231"/>
      <c r="G430" s="1231"/>
      <c r="H430" s="1233"/>
      <c r="I430" s="1237"/>
      <c r="J430" s="1099" t="str">
        <f>IF(J428="","",IF(J421&gt;$Z406,-100%,IF(OR(J428,V422&lt;1),J424,I430)))</f>
        <v/>
      </c>
      <c r="K430" s="1100" t="str">
        <f>IF(K428="","",IF(K421&gt;$Z406,-100%,IF(OR(K428,W422&lt;1),K424,J430)))</f>
        <v/>
      </c>
      <c r="L430" s="1100" t="str">
        <f>IF(L428="","",IF(L421&gt;$Z406,-100%,IF(OR(L428,X422&lt;1),L424,K430)))</f>
        <v/>
      </c>
      <c r="M430" s="1100" t="str">
        <f>IF(M428="","",IF(M421&gt;$Z406,-100%,IF(OR(M428,Y422&lt;1),M424,L430)))</f>
        <v/>
      </c>
      <c r="N430" s="1101" t="str">
        <f>IF(N428="","",IF(N421&gt;$Z406,-100%,IF(OR(N428,Z422&lt;1),N424,M430)))</f>
        <v/>
      </c>
      <c r="O430" s="15"/>
      <c r="P430" s="918"/>
      <c r="Q430" s="165" t="str">
        <f>EUconst_CNTR_HALAdjPct &amp; I406</f>
        <v>HALAdjPct_Fjärrvärmedelanläggning</v>
      </c>
      <c r="R430" s="2"/>
      <c r="S430" s="2"/>
      <c r="T430" s="2"/>
      <c r="U430" s="1086" t="s">
        <v>1858</v>
      </c>
      <c r="V430" s="1068">
        <f>J427</f>
        <v>2021</v>
      </c>
      <c r="W430" s="1068">
        <f>K427</f>
        <v>2022</v>
      </c>
      <c r="X430" s="1068">
        <f>L427</f>
        <v>2023</v>
      </c>
      <c r="Y430" s="1068">
        <f>M427</f>
        <v>2024</v>
      </c>
      <c r="Z430" s="1087">
        <f>N427</f>
        <v>2025</v>
      </c>
      <c r="AA430" s="2"/>
      <c r="AB430" s="2"/>
      <c r="AC430" s="2"/>
      <c r="AD430" s="2"/>
      <c r="AE430" s="2"/>
      <c r="AF430" s="2"/>
      <c r="AG430" s="2"/>
      <c r="AH430" s="2"/>
      <c r="AI430" s="2"/>
      <c r="AJ430" s="343"/>
      <c r="AK430" s="343"/>
      <c r="AL430" s="343"/>
      <c r="AM430" s="349"/>
    </row>
    <row r="431" spans="1:39" ht="12.75" customHeight="1" thickBot="1" x14ac:dyDescent="0.3">
      <c r="A431" s="343"/>
      <c r="B431" s="178"/>
      <c r="C431" s="178"/>
      <c r="D431" s="1246" t="s">
        <v>861</v>
      </c>
      <c r="E431" s="1231" t="str">
        <f>Translations!$B$1478</f>
        <v>Faktiskt värde</v>
      </c>
      <c r="F431" s="1231"/>
      <c r="G431" s="1231"/>
      <c r="H431" s="917" t="str">
        <f>H422</f>
        <v>TJ</v>
      </c>
      <c r="I431" s="990" t="str">
        <f>I425</f>
        <v/>
      </c>
      <c r="J431" s="1072" t="str">
        <f>IF($M406&lt;&gt;EUconst_Relevant,"",IF(OR($I431=0,J430="",$I431=EUconst_NA),IF(OR(J428=TRUE,J427&lt;=$V406),J425,SUM(I431)),$I431*(1+SUM(J430))))</f>
        <v/>
      </c>
      <c r="K431" s="1073" t="str">
        <f>IF($M406&lt;&gt;EUconst_Relevant,"",IF(OR($I431=0,K430="",$I431=EUconst_NA),IF(OR(K428=TRUE,K427&lt;=$V406),K425,SUM(J431)),$I431*(1+SUM(K430))))</f>
        <v/>
      </c>
      <c r="L431" s="1073" t="str">
        <f>IF($M406&lt;&gt;EUconst_Relevant,"",IF(OR($I431=0,L430="",$I431=EUconst_NA),IF(OR(L428=TRUE,L427&lt;=$V406),L425,SUM(K431)),$I431*(1+SUM(L430))))</f>
        <v/>
      </c>
      <c r="M431" s="1073" t="str">
        <f>IF($M406&lt;&gt;EUconst_Relevant,"",IF(OR($I431=0,M430="",$I431=EUconst_NA),IF(OR(M428=TRUE,M427&lt;=$V406),M425,SUM(L431)),$I431*(1+SUM(M430))))</f>
        <v/>
      </c>
      <c r="N431" s="1074" t="str">
        <f>IF($M406&lt;&gt;EUconst_Relevant,"",IF(OR($I431=0,N430="",$I431=EUconst_NA),IF(OR(N428=TRUE,N427&lt;=$V406),N425,SUM(M431)),$I431*(1+SUM(N430))))</f>
        <v/>
      </c>
      <c r="O431" s="15"/>
      <c r="P431" s="15"/>
      <c r="Q431" s="672" t="str">
        <f>EUconst_CNTR_HALfinal&amp;I406</f>
        <v>HALfinal_Fjärrvärmedelanläggning</v>
      </c>
      <c r="R431" s="2"/>
      <c r="S431" s="2"/>
      <c r="T431" s="2"/>
      <c r="U431" s="1765" t="b">
        <v>0</v>
      </c>
      <c r="V431" s="1757" t="str">
        <f>IF(V414,IF(J428=TRUE,V423,U431),"")</f>
        <v/>
      </c>
      <c r="W431" s="1757" t="str">
        <f>IF(W414,IF(K428=TRUE,W423,V431),"")</f>
        <v/>
      </c>
      <c r="X431" s="1757" t="str">
        <f>IF(X414,IF(L428=TRUE,X423,W431),"")</f>
        <v/>
      </c>
      <c r="Y431" s="1757" t="str">
        <f>IF(Y414,IF(M428=TRUE,Y423,X431),"")</f>
        <v/>
      </c>
      <c r="Z431" s="1758" t="str">
        <f>IF(Z414,IF(N428=TRUE,Z423,Y431),"")</f>
        <v/>
      </c>
      <c r="AA431" s="2"/>
      <c r="AB431" s="2"/>
      <c r="AC431" s="2"/>
      <c r="AD431" s="2"/>
      <c r="AE431" s="2"/>
      <c r="AF431" s="2"/>
      <c r="AG431" s="2"/>
      <c r="AH431" s="2"/>
      <c r="AI431" s="2"/>
      <c r="AJ431" s="343"/>
      <c r="AK431" s="343"/>
      <c r="AL431" s="343"/>
      <c r="AM431" s="349"/>
    </row>
    <row r="432" spans="1:39" ht="5.15" customHeight="1" thickBot="1" x14ac:dyDescent="0.3">
      <c r="A432" s="2"/>
      <c r="B432" s="178"/>
      <c r="C432" s="178"/>
      <c r="D432" s="1282"/>
      <c r="E432" s="1272"/>
      <c r="F432" s="1272"/>
      <c r="G432" s="1272"/>
      <c r="H432" s="1272"/>
      <c r="I432" s="1272"/>
      <c r="J432" s="1272"/>
      <c r="K432" s="1272"/>
      <c r="L432" s="1272"/>
      <c r="M432" s="1272"/>
      <c r="N432" s="1273"/>
      <c r="O432" s="15"/>
      <c r="P432" s="15"/>
      <c r="Q432" s="343"/>
      <c r="R432" s="2"/>
      <c r="S432" s="2"/>
      <c r="T432" s="2"/>
      <c r="U432" s="343"/>
      <c r="V432" s="343"/>
      <c r="W432" s="2"/>
      <c r="X432" s="2"/>
      <c r="Y432" s="2"/>
      <c r="Z432" s="2"/>
      <c r="AA432" s="2"/>
      <c r="AB432" s="2"/>
      <c r="AC432" s="2"/>
      <c r="AD432" s="2"/>
      <c r="AE432" s="2"/>
      <c r="AF432" s="2"/>
      <c r="AG432" s="2"/>
      <c r="AH432" s="2"/>
      <c r="AI432" s="2"/>
      <c r="AJ432" s="343"/>
      <c r="AK432" s="343"/>
      <c r="AL432" s="343"/>
      <c r="AM432" s="349"/>
    </row>
    <row r="433" spans="1:39" ht="5.15" customHeight="1" x14ac:dyDescent="0.25">
      <c r="A433" s="343"/>
      <c r="B433" s="19"/>
      <c r="C433" s="3"/>
      <c r="D433" s="3"/>
      <c r="E433" s="3"/>
      <c r="F433" s="3"/>
      <c r="G433" s="3"/>
      <c r="H433" s="3"/>
      <c r="I433" s="3"/>
      <c r="J433" s="3"/>
      <c r="K433" s="3"/>
      <c r="L433" s="3"/>
      <c r="M433" s="3"/>
      <c r="N433" s="3"/>
      <c r="O433" s="6"/>
      <c r="P433" s="6"/>
      <c r="Q433" s="2"/>
      <c r="R433" s="2"/>
      <c r="S433" s="343"/>
      <c r="T433" s="343"/>
      <c r="U433" s="2"/>
      <c r="V433" s="2"/>
      <c r="W433" s="2"/>
      <c r="X433" s="2"/>
      <c r="Y433" s="2"/>
      <c r="Z433" s="343"/>
      <c r="AA433" s="343"/>
      <c r="AB433" s="343"/>
      <c r="AC433" s="2"/>
      <c r="AD433" s="2"/>
      <c r="AE433" s="349"/>
      <c r="AF433" s="349"/>
      <c r="AG433" s="349"/>
      <c r="AH433" s="349"/>
      <c r="AI433" s="349"/>
      <c r="AJ433" s="349"/>
      <c r="AK433" s="349"/>
      <c r="AL433" s="349"/>
      <c r="AM433" s="349"/>
    </row>
    <row r="434" spans="1:39" ht="14" x14ac:dyDescent="0.3">
      <c r="A434" s="343"/>
      <c r="B434" s="19"/>
      <c r="C434" s="18"/>
      <c r="D434" s="2053" t="str">
        <f>Translations!$B$541</f>
        <v>Produktionsuppgifter</v>
      </c>
      <c r="E434" s="1963"/>
      <c r="F434" s="1963"/>
      <c r="G434" s="1963"/>
      <c r="H434" s="1963"/>
      <c r="I434" s="1963"/>
      <c r="J434" s="1963"/>
      <c r="K434" s="1963"/>
      <c r="L434" s="1963"/>
      <c r="M434" s="1963"/>
      <c r="N434" s="1963"/>
      <c r="O434" s="6"/>
      <c r="P434" s="6"/>
      <c r="Q434" s="2"/>
      <c r="R434" s="2"/>
      <c r="S434" s="2"/>
      <c r="T434" s="2"/>
      <c r="U434" s="2"/>
      <c r="V434" s="2"/>
      <c r="W434" s="2"/>
      <c r="X434" s="2"/>
      <c r="Y434" s="2"/>
      <c r="Z434" s="343"/>
      <c r="AA434" s="343"/>
      <c r="AB434" s="343"/>
      <c r="AC434" s="2"/>
      <c r="AD434" s="2"/>
      <c r="AE434" s="349"/>
      <c r="AF434" s="349"/>
      <c r="AG434" s="349"/>
      <c r="AH434" s="349"/>
      <c r="AI434" s="349"/>
      <c r="AJ434" s="349"/>
      <c r="AK434" s="349"/>
      <c r="AL434" s="349"/>
      <c r="AM434" s="349"/>
    </row>
    <row r="435" spans="1:39" ht="5.15" customHeight="1" x14ac:dyDescent="0.25">
      <c r="A435" s="343"/>
      <c r="B435" s="3"/>
      <c r="C435" s="3"/>
      <c r="D435" s="3"/>
      <c r="E435" s="3"/>
      <c r="F435" s="3"/>
      <c r="G435" s="3"/>
      <c r="H435" s="3"/>
      <c r="I435" s="3"/>
      <c r="J435" s="3"/>
      <c r="K435" s="3"/>
      <c r="L435" s="3"/>
      <c r="M435" s="3"/>
      <c r="N435" s="3"/>
      <c r="O435" s="6"/>
      <c r="P435" s="6"/>
      <c r="Q435" s="7"/>
      <c r="R435" s="7"/>
      <c r="S435" s="2"/>
      <c r="T435" s="2"/>
      <c r="U435" s="2"/>
      <c r="V435" s="2"/>
      <c r="W435" s="2"/>
      <c r="X435" s="2"/>
      <c r="Y435" s="2"/>
      <c r="Z435" s="343"/>
      <c r="AA435" s="343"/>
      <c r="AB435" s="343"/>
      <c r="AC435" s="2"/>
      <c r="AD435" s="2"/>
      <c r="AE435" s="349"/>
      <c r="AF435" s="349"/>
      <c r="AG435" s="349"/>
      <c r="AH435" s="349"/>
      <c r="AI435" s="349"/>
      <c r="AJ435" s="349"/>
      <c r="AK435" s="349"/>
      <c r="AL435" s="349"/>
      <c r="AM435" s="349"/>
    </row>
    <row r="436" spans="1:39" ht="12.75" customHeight="1" x14ac:dyDescent="0.25">
      <c r="A436" s="2"/>
      <c r="B436" s="3"/>
      <c r="C436" s="13"/>
      <c r="D436" s="13" t="s">
        <v>955</v>
      </c>
      <c r="E436" s="1943" t="str">
        <f>Translations!$B$666</f>
        <v>Identifiering av relevanta produkter eller tjänster med koppling till delanläggningen</v>
      </c>
      <c r="F436" s="1963"/>
      <c r="G436" s="1963"/>
      <c r="H436" s="1963"/>
      <c r="I436" s="1963"/>
      <c r="J436" s="1963"/>
      <c r="K436" s="1963"/>
      <c r="L436" s="1963"/>
      <c r="M436" s="1963"/>
      <c r="N436" s="1963"/>
      <c r="O436" s="6"/>
      <c r="P436" s="6"/>
      <c r="Q436" s="7"/>
      <c r="R436" s="2"/>
      <c r="S436" s="2"/>
      <c r="T436" s="2"/>
      <c r="U436" s="2"/>
      <c r="V436" s="2"/>
      <c r="W436" s="2"/>
      <c r="X436" s="2"/>
      <c r="Y436" s="2"/>
      <c r="Z436" s="2"/>
      <c r="AA436" s="2"/>
      <c r="AB436" s="343"/>
      <c r="AC436" s="2"/>
      <c r="AD436" s="2"/>
      <c r="AE436" s="349"/>
      <c r="AF436" s="349"/>
      <c r="AG436" s="349"/>
      <c r="AH436" s="349"/>
      <c r="AI436" s="349"/>
      <c r="AJ436" s="349"/>
      <c r="AK436" s="349"/>
      <c r="AL436" s="349"/>
      <c r="AM436" s="349"/>
    </row>
    <row r="437" spans="1:39" ht="12.75" customHeight="1" x14ac:dyDescent="0.25">
      <c r="A437" s="343"/>
      <c r="B437" s="3"/>
      <c r="C437" s="15"/>
      <c r="D437" s="15"/>
      <c r="E437" s="2061" t="str">
        <f>Translations!$B$1525</f>
        <v>Ange alla fjärrvärmeanslutningar här.</v>
      </c>
      <c r="F437" s="1963"/>
      <c r="G437" s="1963"/>
      <c r="H437" s="1963"/>
      <c r="I437" s="1963"/>
      <c r="J437" s="1963"/>
      <c r="K437" s="1963"/>
      <c r="L437" s="1963"/>
      <c r="M437" s="1963"/>
      <c r="N437" s="1963"/>
      <c r="O437" s="6"/>
      <c r="P437" s="6"/>
      <c r="Q437" s="7"/>
      <c r="R437" s="7"/>
      <c r="S437" s="7"/>
      <c r="T437" s="7"/>
      <c r="U437" s="7"/>
      <c r="V437" s="7"/>
      <c r="W437" s="7"/>
      <c r="X437" s="7"/>
      <c r="Y437" s="7"/>
      <c r="Z437" s="7"/>
      <c r="AA437" s="7"/>
      <c r="AB437" s="343"/>
      <c r="AC437" s="2"/>
      <c r="AD437" s="2"/>
      <c r="AE437" s="349"/>
      <c r="AF437" s="349"/>
      <c r="AG437" s="349"/>
      <c r="AH437" s="349"/>
      <c r="AI437" s="349"/>
      <c r="AJ437" s="349"/>
      <c r="AK437" s="349"/>
      <c r="AL437" s="349"/>
      <c r="AM437" s="349"/>
    </row>
    <row r="438" spans="1:39" ht="5.15" customHeight="1" x14ac:dyDescent="0.25">
      <c r="A438" s="2"/>
      <c r="B438" s="3"/>
      <c r="C438" s="15"/>
      <c r="D438" s="15"/>
      <c r="E438" s="16"/>
      <c r="F438" s="16"/>
      <c r="G438" s="16"/>
      <c r="H438" s="16"/>
      <c r="I438" s="16"/>
      <c r="J438" s="20"/>
      <c r="K438" s="20"/>
      <c r="L438" s="20"/>
      <c r="M438" s="6"/>
      <c r="N438" s="6"/>
      <c r="O438" s="6"/>
      <c r="P438" s="6"/>
      <c r="Q438" s="7"/>
      <c r="R438" s="2"/>
      <c r="S438" s="2"/>
      <c r="T438" s="2"/>
      <c r="U438" s="2"/>
      <c r="V438" s="2"/>
      <c r="W438" s="2"/>
      <c r="X438" s="2"/>
      <c r="Y438" s="2"/>
      <c r="Z438" s="2"/>
      <c r="AA438" s="2"/>
      <c r="AB438" s="343"/>
      <c r="AC438" s="2"/>
      <c r="AD438" s="2"/>
      <c r="AE438" s="349"/>
      <c r="AF438" s="349"/>
      <c r="AG438" s="349"/>
      <c r="AH438" s="349"/>
      <c r="AI438" s="349"/>
      <c r="AJ438" s="349"/>
      <c r="AK438" s="349"/>
      <c r="AL438" s="349"/>
      <c r="AM438" s="349"/>
    </row>
    <row r="439" spans="1:39" ht="13" x14ac:dyDescent="0.25">
      <c r="A439" s="2"/>
      <c r="B439" s="19"/>
      <c r="C439" s="13"/>
      <c r="D439" s="38"/>
      <c r="E439" s="2694" t="str">
        <f>Translations!$B$672</f>
        <v>Användningstyp</v>
      </c>
      <c r="F439" s="2695"/>
      <c r="G439" s="2729" t="str">
        <f>Translations!$B$1526</f>
        <v>Anslutning</v>
      </c>
      <c r="H439" s="2062"/>
      <c r="I439" s="2062"/>
      <c r="J439" s="2062"/>
      <c r="K439" s="2062"/>
      <c r="L439" s="2063"/>
      <c r="M439" s="6"/>
      <c r="N439" s="6"/>
      <c r="O439" s="6"/>
      <c r="P439" s="6"/>
      <c r="Q439" s="2"/>
      <c r="R439" s="2"/>
      <c r="S439" s="7"/>
      <c r="T439" s="2"/>
      <c r="U439" s="2"/>
      <c r="V439" s="2"/>
      <c r="W439" s="2"/>
      <c r="X439" s="2"/>
      <c r="Y439" s="2"/>
      <c r="Z439" s="7"/>
      <c r="AA439" s="7"/>
      <c r="AB439" s="343"/>
      <c r="AC439" s="2"/>
      <c r="AD439" s="2"/>
      <c r="AE439" s="349"/>
      <c r="AF439" s="349"/>
      <c r="AG439" s="349"/>
      <c r="AH439" s="349"/>
      <c r="AI439" s="349"/>
      <c r="AJ439" s="349"/>
      <c r="AK439" s="349"/>
      <c r="AL439" s="349"/>
      <c r="AM439" s="349"/>
    </row>
    <row r="440" spans="1:39" ht="12.75" customHeight="1" x14ac:dyDescent="0.25">
      <c r="A440" s="2"/>
      <c r="B440" s="19"/>
      <c r="C440" s="45"/>
      <c r="D440" s="32">
        <v>1</v>
      </c>
      <c r="E440" s="2727" t="str">
        <f>Translations!$B$711</f>
        <v>Fjärrvärme</v>
      </c>
      <c r="F440" s="2728"/>
      <c r="G440" s="2364"/>
      <c r="H440" s="2365"/>
      <c r="I440" s="2365"/>
      <c r="J440" s="2365"/>
      <c r="K440" s="2365"/>
      <c r="L440" s="2363"/>
      <c r="M440" s="6"/>
      <c r="N440" s="6"/>
      <c r="O440" s="6"/>
      <c r="P440" s="1362"/>
      <c r="Q440" s="2"/>
      <c r="R440" s="553"/>
      <c r="S440" s="7"/>
      <c r="T440" s="2"/>
      <c r="U440" s="2"/>
      <c r="V440" s="2"/>
      <c r="W440" s="2"/>
      <c r="X440" s="2"/>
      <c r="Y440" s="2"/>
      <c r="Z440" s="2"/>
      <c r="AA440" s="2"/>
      <c r="AB440" s="343"/>
      <c r="AC440" s="2"/>
      <c r="AD440" s="2"/>
      <c r="AE440" s="349"/>
      <c r="AF440" s="349"/>
      <c r="AG440" s="349"/>
      <c r="AH440" s="349"/>
      <c r="AI440" s="349"/>
      <c r="AJ440" s="349"/>
      <c r="AK440" s="349"/>
      <c r="AL440" s="349"/>
      <c r="AM440" s="349"/>
    </row>
    <row r="441" spans="1:39" ht="12.75" customHeight="1" x14ac:dyDescent="0.25">
      <c r="A441" s="2"/>
      <c r="B441" s="19"/>
      <c r="C441" s="45"/>
      <c r="D441" s="33">
        <f>D440+1</f>
        <v>2</v>
      </c>
      <c r="E441" s="2725" t="str">
        <f>Translations!$B$711</f>
        <v>Fjärrvärme</v>
      </c>
      <c r="F441" s="2726"/>
      <c r="G441" s="2193"/>
      <c r="H441" s="2195"/>
      <c r="I441" s="2195"/>
      <c r="J441" s="2195"/>
      <c r="K441" s="2195"/>
      <c r="L441" s="2194"/>
      <c r="M441" s="6"/>
      <c r="N441" s="6"/>
      <c r="O441" s="6"/>
      <c r="P441" s="1362"/>
      <c r="Q441" s="2"/>
      <c r="R441" s="2"/>
      <c r="S441" s="7"/>
      <c r="T441" s="2"/>
      <c r="U441" s="2"/>
      <c r="V441" s="2"/>
      <c r="W441" s="2"/>
      <c r="X441" s="2"/>
      <c r="Y441" s="2"/>
      <c r="Z441" s="2"/>
      <c r="AA441" s="2"/>
      <c r="AB441" s="343"/>
      <c r="AC441" s="2"/>
      <c r="AD441" s="2"/>
      <c r="AE441" s="349"/>
      <c r="AF441" s="349"/>
      <c r="AG441" s="349"/>
      <c r="AH441" s="349"/>
      <c r="AI441" s="349"/>
      <c r="AJ441" s="349"/>
      <c r="AK441" s="349"/>
      <c r="AL441" s="349"/>
      <c r="AM441" s="349"/>
    </row>
    <row r="442" spans="1:39" ht="12.75" customHeight="1" x14ac:dyDescent="0.25">
      <c r="A442" s="2"/>
      <c r="B442" s="19"/>
      <c r="C442" s="45"/>
      <c r="D442" s="33">
        <f t="shared" ref="D442:D449" si="185">D441+1</f>
        <v>3</v>
      </c>
      <c r="E442" s="2725" t="str">
        <f>Translations!$B$711</f>
        <v>Fjärrvärme</v>
      </c>
      <c r="F442" s="2726"/>
      <c r="G442" s="2193"/>
      <c r="H442" s="2195"/>
      <c r="I442" s="2195"/>
      <c r="J442" s="2195"/>
      <c r="K442" s="2195"/>
      <c r="L442" s="2194"/>
      <c r="M442" s="6"/>
      <c r="N442" s="6"/>
      <c r="O442" s="6"/>
      <c r="P442" s="1362"/>
      <c r="Q442" s="2"/>
      <c r="R442" s="2"/>
      <c r="S442" s="7"/>
      <c r="T442" s="2"/>
      <c r="U442" s="2"/>
      <c r="V442" s="2"/>
      <c r="W442" s="2"/>
      <c r="X442" s="2"/>
      <c r="Y442" s="2"/>
      <c r="Z442" s="2"/>
      <c r="AA442" s="2"/>
      <c r="AB442" s="343"/>
      <c r="AC442" s="2"/>
      <c r="AD442" s="2"/>
      <c r="AE442" s="349"/>
      <c r="AF442" s="349"/>
      <c r="AG442" s="349"/>
      <c r="AH442" s="349"/>
      <c r="AI442" s="349"/>
      <c r="AJ442" s="349"/>
      <c r="AK442" s="349"/>
      <c r="AL442" s="349"/>
      <c r="AM442" s="349"/>
    </row>
    <row r="443" spans="1:39" ht="12.75" customHeight="1" x14ac:dyDescent="0.25">
      <c r="A443" s="2"/>
      <c r="B443" s="19"/>
      <c r="C443" s="45"/>
      <c r="D443" s="33">
        <f t="shared" si="185"/>
        <v>4</v>
      </c>
      <c r="E443" s="2725" t="str">
        <f>Translations!$B$711</f>
        <v>Fjärrvärme</v>
      </c>
      <c r="F443" s="2726"/>
      <c r="G443" s="2193"/>
      <c r="H443" s="2195"/>
      <c r="I443" s="2195"/>
      <c r="J443" s="2195"/>
      <c r="K443" s="2195"/>
      <c r="L443" s="2194"/>
      <c r="M443" s="6"/>
      <c r="N443" s="6"/>
      <c r="O443" s="6"/>
      <c r="P443" s="1362"/>
      <c r="Q443" s="2"/>
      <c r="R443" s="2"/>
      <c r="S443" s="7"/>
      <c r="T443" s="2"/>
      <c r="U443" s="2"/>
      <c r="V443" s="2"/>
      <c r="W443" s="2"/>
      <c r="X443" s="2"/>
      <c r="Y443" s="2"/>
      <c r="Z443" s="2"/>
      <c r="AA443" s="2"/>
      <c r="AB443" s="343"/>
      <c r="AC443" s="2"/>
      <c r="AD443" s="2"/>
      <c r="AE443" s="349"/>
      <c r="AF443" s="349"/>
      <c r="AG443" s="349"/>
      <c r="AH443" s="349"/>
      <c r="AI443" s="349"/>
      <c r="AJ443" s="349"/>
      <c r="AK443" s="349"/>
      <c r="AL443" s="349"/>
      <c r="AM443" s="349"/>
    </row>
    <row r="444" spans="1:39" ht="12.75" customHeight="1" x14ac:dyDescent="0.25">
      <c r="A444" s="2"/>
      <c r="B444" s="19"/>
      <c r="C444" s="45"/>
      <c r="D444" s="33">
        <f t="shared" si="185"/>
        <v>5</v>
      </c>
      <c r="E444" s="2725" t="str">
        <f>Translations!$B$711</f>
        <v>Fjärrvärme</v>
      </c>
      <c r="F444" s="2726"/>
      <c r="G444" s="2193"/>
      <c r="H444" s="2195"/>
      <c r="I444" s="2195"/>
      <c r="J444" s="2195"/>
      <c r="K444" s="2195"/>
      <c r="L444" s="2194"/>
      <c r="M444" s="6"/>
      <c r="N444" s="6"/>
      <c r="O444" s="6"/>
      <c r="P444" s="1362"/>
      <c r="Q444" s="2"/>
      <c r="R444" s="2"/>
      <c r="S444" s="7"/>
      <c r="T444" s="2"/>
      <c r="U444" s="2"/>
      <c r="V444" s="2"/>
      <c r="W444" s="2"/>
      <c r="X444" s="2"/>
      <c r="Y444" s="2"/>
      <c r="Z444" s="7"/>
      <c r="AA444" s="7"/>
      <c r="AB444" s="343"/>
      <c r="AC444" s="2"/>
      <c r="AD444" s="2"/>
      <c r="AE444" s="349"/>
      <c r="AF444" s="349"/>
      <c r="AG444" s="349"/>
      <c r="AH444" s="349"/>
      <c r="AI444" s="349"/>
      <c r="AJ444" s="349"/>
      <c r="AK444" s="349"/>
      <c r="AL444" s="349"/>
      <c r="AM444" s="349"/>
    </row>
    <row r="445" spans="1:39" ht="12.75" customHeight="1" x14ac:dyDescent="0.25">
      <c r="A445" s="2"/>
      <c r="B445" s="19"/>
      <c r="C445" s="45"/>
      <c r="D445" s="33">
        <f t="shared" si="185"/>
        <v>6</v>
      </c>
      <c r="E445" s="2725" t="str">
        <f>Translations!$B$711</f>
        <v>Fjärrvärme</v>
      </c>
      <c r="F445" s="2726"/>
      <c r="G445" s="2193"/>
      <c r="H445" s="2195"/>
      <c r="I445" s="2195"/>
      <c r="J445" s="2195"/>
      <c r="K445" s="2195"/>
      <c r="L445" s="2194"/>
      <c r="M445" s="6"/>
      <c r="N445" s="6"/>
      <c r="O445" s="6"/>
      <c r="P445" s="1362"/>
      <c r="Q445" s="2"/>
      <c r="R445" s="2"/>
      <c r="S445" s="7"/>
      <c r="T445" s="2"/>
      <c r="U445" s="2"/>
      <c r="V445" s="2"/>
      <c r="W445" s="2"/>
      <c r="X445" s="2"/>
      <c r="Y445" s="2"/>
      <c r="Z445" s="2"/>
      <c r="AA445" s="2"/>
      <c r="AB445" s="343"/>
      <c r="AC445" s="2"/>
      <c r="AD445" s="2"/>
      <c r="AE445" s="349"/>
      <c r="AF445" s="349"/>
      <c r="AG445" s="349"/>
      <c r="AH445" s="349"/>
      <c r="AI445" s="349"/>
      <c r="AJ445" s="349"/>
      <c r="AK445" s="349"/>
      <c r="AL445" s="349"/>
      <c r="AM445" s="349"/>
    </row>
    <row r="446" spans="1:39" ht="12.75" customHeight="1" x14ac:dyDescent="0.25">
      <c r="A446" s="2"/>
      <c r="B446" s="19"/>
      <c r="C446" s="45"/>
      <c r="D446" s="33">
        <f t="shared" si="185"/>
        <v>7</v>
      </c>
      <c r="E446" s="2725" t="str">
        <f>Translations!$B$711</f>
        <v>Fjärrvärme</v>
      </c>
      <c r="F446" s="2726"/>
      <c r="G446" s="2193"/>
      <c r="H446" s="2195"/>
      <c r="I446" s="2195"/>
      <c r="J446" s="2195"/>
      <c r="K446" s="2195"/>
      <c r="L446" s="2194"/>
      <c r="M446" s="6"/>
      <c r="N446" s="6"/>
      <c r="O446" s="6"/>
      <c r="P446" s="1362"/>
      <c r="Q446" s="2"/>
      <c r="R446" s="2"/>
      <c r="S446" s="7"/>
      <c r="T446" s="2"/>
      <c r="U446" s="2"/>
      <c r="V446" s="2"/>
      <c r="W446" s="2"/>
      <c r="X446" s="2"/>
      <c r="Y446" s="2"/>
      <c r="Z446" s="2"/>
      <c r="AA446" s="2"/>
      <c r="AB446" s="343"/>
      <c r="AC446" s="2"/>
      <c r="AD446" s="2"/>
      <c r="AE446" s="349"/>
      <c r="AF446" s="349"/>
      <c r="AG446" s="349"/>
      <c r="AH446" s="349"/>
      <c r="AI446" s="349"/>
      <c r="AJ446" s="349"/>
      <c r="AK446" s="349"/>
      <c r="AL446" s="349"/>
      <c r="AM446" s="349"/>
    </row>
    <row r="447" spans="1:39" ht="12.75" customHeight="1" x14ac:dyDescent="0.25">
      <c r="A447" s="2"/>
      <c r="B447" s="19"/>
      <c r="C447" s="45"/>
      <c r="D447" s="33">
        <f t="shared" si="185"/>
        <v>8</v>
      </c>
      <c r="E447" s="2725" t="str">
        <f>Translations!$B$711</f>
        <v>Fjärrvärme</v>
      </c>
      <c r="F447" s="2726"/>
      <c r="G447" s="2193"/>
      <c r="H447" s="2195"/>
      <c r="I447" s="2195"/>
      <c r="J447" s="2195"/>
      <c r="K447" s="2195"/>
      <c r="L447" s="2194"/>
      <c r="M447" s="6"/>
      <c r="N447" s="6"/>
      <c r="O447" s="6"/>
      <c r="P447" s="1362"/>
      <c r="Q447" s="2"/>
      <c r="R447" s="2"/>
      <c r="S447" s="7"/>
      <c r="T447" s="2"/>
      <c r="U447" s="2"/>
      <c r="V447" s="2"/>
      <c r="W447" s="2"/>
      <c r="X447" s="2"/>
      <c r="Y447" s="2"/>
      <c r="Z447" s="2"/>
      <c r="AA447" s="2"/>
      <c r="AB447" s="343"/>
      <c r="AC447" s="2"/>
      <c r="AD447" s="2"/>
      <c r="AE447" s="349"/>
      <c r="AF447" s="349"/>
      <c r="AG447" s="349"/>
      <c r="AH447" s="349"/>
      <c r="AI447" s="349"/>
      <c r="AJ447" s="349"/>
      <c r="AK447" s="349"/>
      <c r="AL447" s="349"/>
      <c r="AM447" s="349"/>
    </row>
    <row r="448" spans="1:39" ht="12.75" customHeight="1" x14ac:dyDescent="0.25">
      <c r="A448" s="2"/>
      <c r="B448" s="19"/>
      <c r="C448" s="45"/>
      <c r="D448" s="33">
        <f t="shared" si="185"/>
        <v>9</v>
      </c>
      <c r="E448" s="2725" t="str">
        <f>Translations!$B$711</f>
        <v>Fjärrvärme</v>
      </c>
      <c r="F448" s="2726"/>
      <c r="G448" s="2193"/>
      <c r="H448" s="2195"/>
      <c r="I448" s="2195"/>
      <c r="J448" s="2195"/>
      <c r="K448" s="2195"/>
      <c r="L448" s="2194"/>
      <c r="M448" s="6"/>
      <c r="N448" s="6"/>
      <c r="O448" s="6"/>
      <c r="P448" s="1362"/>
      <c r="Q448" s="2"/>
      <c r="R448" s="2"/>
      <c r="S448" s="7"/>
      <c r="T448" s="2"/>
      <c r="U448" s="2"/>
      <c r="V448" s="2"/>
      <c r="W448" s="2"/>
      <c r="X448" s="2"/>
      <c r="Y448" s="2"/>
      <c r="Z448" s="2"/>
      <c r="AA448" s="2"/>
      <c r="AB448" s="343"/>
      <c r="AC448" s="2"/>
      <c r="AD448" s="2"/>
      <c r="AE448" s="349"/>
      <c r="AF448" s="349"/>
      <c r="AG448" s="349"/>
      <c r="AH448" s="349"/>
      <c r="AI448" s="349"/>
      <c r="AJ448" s="349"/>
      <c r="AK448" s="349"/>
      <c r="AL448" s="349"/>
      <c r="AM448" s="349"/>
    </row>
    <row r="449" spans="1:39" ht="12.75" customHeight="1" x14ac:dyDescent="0.25">
      <c r="A449" s="2"/>
      <c r="B449" s="19"/>
      <c r="C449" s="45"/>
      <c r="D449" s="36">
        <f t="shared" si="185"/>
        <v>10</v>
      </c>
      <c r="E449" s="2730" t="str">
        <f>Translations!$B$711</f>
        <v>Fjärrvärme</v>
      </c>
      <c r="F449" s="2731"/>
      <c r="G449" s="2265"/>
      <c r="H449" s="2266"/>
      <c r="I449" s="2266"/>
      <c r="J449" s="2266"/>
      <c r="K449" s="2266"/>
      <c r="L449" s="2267"/>
      <c r="M449" s="6"/>
      <c r="N449" s="6"/>
      <c r="O449" s="6"/>
      <c r="P449" s="1362"/>
      <c r="Q449" s="2"/>
      <c r="R449" s="2"/>
      <c r="S449" s="7"/>
      <c r="T449" s="2"/>
      <c r="U449" s="2"/>
      <c r="V449" s="2"/>
      <c r="W449" s="2"/>
      <c r="X449" s="2"/>
      <c r="Y449" s="2"/>
      <c r="Z449" s="7"/>
      <c r="AA449" s="7"/>
      <c r="AB449" s="343"/>
      <c r="AC449" s="2"/>
      <c r="AD449" s="2"/>
      <c r="AE449" s="349"/>
      <c r="AF449" s="349"/>
      <c r="AG449" s="349"/>
      <c r="AH449" s="349"/>
      <c r="AI449" s="349"/>
      <c r="AJ449" s="349"/>
      <c r="AK449" s="349"/>
      <c r="AL449" s="349"/>
      <c r="AM449" s="349"/>
    </row>
    <row r="450" spans="1:39" ht="5.15" customHeight="1" x14ac:dyDescent="0.25">
      <c r="A450" s="2"/>
      <c r="B450" s="3"/>
      <c r="C450" s="3"/>
      <c r="D450" s="3"/>
      <c r="E450" s="3"/>
      <c r="F450" s="3"/>
      <c r="G450" s="3"/>
      <c r="H450" s="3"/>
      <c r="I450" s="3"/>
      <c r="J450" s="3"/>
      <c r="K450" s="3"/>
      <c r="L450" s="3"/>
      <c r="M450" s="3"/>
      <c r="N450" s="3"/>
      <c r="O450" s="6"/>
      <c r="P450" s="6"/>
      <c r="Q450" s="7"/>
      <c r="R450" s="7"/>
      <c r="S450" s="2"/>
      <c r="T450" s="2"/>
      <c r="U450" s="2"/>
      <c r="V450" s="2"/>
      <c r="W450" s="2"/>
      <c r="X450" s="2"/>
      <c r="Y450" s="2"/>
      <c r="Z450" s="2"/>
      <c r="AA450" s="2"/>
      <c r="AB450" s="343"/>
      <c r="AC450" s="2"/>
      <c r="AD450" s="2"/>
      <c r="AE450" s="349"/>
      <c r="AF450" s="349"/>
      <c r="AG450" s="349"/>
      <c r="AH450" s="349"/>
      <c r="AI450" s="349"/>
      <c r="AJ450" s="349"/>
      <c r="AK450" s="349"/>
      <c r="AL450" s="349"/>
      <c r="AM450" s="349"/>
    </row>
    <row r="451" spans="1:39" ht="5.15" customHeight="1" thickBot="1" x14ac:dyDescent="0.3">
      <c r="A451" s="2"/>
      <c r="B451" s="19"/>
      <c r="C451" s="3"/>
      <c r="D451" s="3"/>
      <c r="E451" s="3"/>
      <c r="F451" s="3"/>
      <c r="G451" s="3"/>
      <c r="H451" s="3"/>
      <c r="I451" s="3"/>
      <c r="J451" s="3"/>
      <c r="K451" s="3"/>
      <c r="L451" s="3"/>
      <c r="M451" s="3"/>
      <c r="N451" s="3"/>
      <c r="O451" s="6"/>
      <c r="P451" s="6"/>
      <c r="Q451" s="2"/>
      <c r="R451" s="2"/>
      <c r="S451" s="2"/>
      <c r="T451" s="2"/>
      <c r="U451" s="2"/>
      <c r="V451" s="2"/>
      <c r="W451" s="2"/>
      <c r="X451" s="2"/>
      <c r="Y451" s="2"/>
      <c r="Z451" s="343"/>
      <c r="AA451" s="343"/>
      <c r="AB451" s="343"/>
      <c r="AC451" s="2"/>
      <c r="AD451" s="2"/>
      <c r="AE451" s="349"/>
      <c r="AF451" s="349"/>
      <c r="AG451" s="349"/>
      <c r="AH451" s="349"/>
      <c r="AI451" s="349"/>
      <c r="AJ451" s="349"/>
      <c r="AK451" s="349"/>
      <c r="AL451" s="349"/>
      <c r="AM451" s="349"/>
    </row>
    <row r="452" spans="1:39" ht="5.15" customHeight="1" x14ac:dyDescent="0.25">
      <c r="A452" s="2"/>
      <c r="B452" s="3"/>
      <c r="C452" s="366"/>
      <c r="D452" s="367"/>
      <c r="E452" s="367"/>
      <c r="F452" s="367"/>
      <c r="G452" s="367"/>
      <c r="H452" s="367"/>
      <c r="I452" s="367"/>
      <c r="J452" s="367"/>
      <c r="K452" s="367"/>
      <c r="L452" s="367"/>
      <c r="M452" s="368"/>
      <c r="N452" s="369"/>
      <c r="O452" s="6"/>
      <c r="P452" s="6"/>
      <c r="Q452" s="7"/>
      <c r="R452" s="2"/>
      <c r="S452" s="7"/>
      <c r="T452" s="7"/>
      <c r="U452" s="2"/>
      <c r="V452" s="2"/>
      <c r="W452" s="2"/>
      <c r="X452" s="2"/>
      <c r="Y452" s="2"/>
      <c r="Z452" s="2"/>
      <c r="AA452" s="2"/>
      <c r="AB452" s="343"/>
      <c r="AC452" s="2"/>
      <c r="AD452" s="2"/>
      <c r="AE452" s="349"/>
      <c r="AF452" s="349"/>
      <c r="AG452" s="349"/>
      <c r="AH452" s="349"/>
      <c r="AI452" s="349"/>
      <c r="AJ452" s="349"/>
      <c r="AK452" s="349"/>
      <c r="AL452" s="349"/>
      <c r="AM452" s="349"/>
    </row>
    <row r="453" spans="1:39" ht="15" customHeight="1" x14ac:dyDescent="0.25">
      <c r="A453" s="2"/>
      <c r="B453" s="19"/>
      <c r="C453" s="370"/>
      <c r="D453" s="2645" t="str">
        <f>Translations!$B$549</f>
        <v>Uppgifter som krävs för att fastställa den riktmärkesrelaterade förbättringsfaktorn enligt artikel 10a.2 i ETS-direktivet</v>
      </c>
      <c r="E453" s="2635"/>
      <c r="F453" s="2635"/>
      <c r="G453" s="2635"/>
      <c r="H453" s="2635"/>
      <c r="I453" s="2635"/>
      <c r="J453" s="2635"/>
      <c r="K453" s="2635"/>
      <c r="L453" s="2635"/>
      <c r="M453" s="2635"/>
      <c r="N453" s="2636"/>
      <c r="O453" s="6"/>
      <c r="P453" s="6"/>
      <c r="Q453" s="2"/>
      <c r="R453" s="2"/>
      <c r="S453" s="7"/>
      <c r="T453" s="7"/>
      <c r="U453" s="2"/>
      <c r="V453" s="2"/>
      <c r="W453" s="2"/>
      <c r="X453" s="2"/>
      <c r="Y453" s="2"/>
      <c r="Z453" s="2"/>
      <c r="AA453" s="2"/>
      <c r="AB453" s="343"/>
      <c r="AC453" s="2"/>
      <c r="AD453" s="2"/>
      <c r="AE453" s="349"/>
      <c r="AF453" s="349"/>
      <c r="AG453" s="349"/>
      <c r="AH453" s="349"/>
      <c r="AI453" s="349"/>
      <c r="AJ453" s="349"/>
      <c r="AK453" s="349"/>
      <c r="AL453" s="349"/>
      <c r="AM453" s="349"/>
    </row>
    <row r="454" spans="1:39" ht="5.15" customHeight="1" x14ac:dyDescent="0.25">
      <c r="A454" s="2"/>
      <c r="B454" s="19"/>
      <c r="C454" s="371"/>
      <c r="D454" s="360"/>
      <c r="E454" s="360"/>
      <c r="F454" s="360"/>
      <c r="G454" s="360"/>
      <c r="H454" s="360"/>
      <c r="I454" s="360"/>
      <c r="J454" s="360"/>
      <c r="K454" s="360"/>
      <c r="L454" s="360"/>
      <c r="M454" s="360"/>
      <c r="N454" s="372"/>
      <c r="O454" s="6"/>
      <c r="P454" s="6"/>
      <c r="Q454" s="2"/>
      <c r="R454" s="2"/>
      <c r="S454" s="7"/>
      <c r="T454" s="7"/>
      <c r="U454" s="2"/>
      <c r="V454" s="2"/>
      <c r="W454" s="2"/>
      <c r="X454" s="2"/>
      <c r="Y454" s="2"/>
      <c r="Z454" s="2"/>
      <c r="AA454" s="2"/>
      <c r="AB454" s="343"/>
      <c r="AC454" s="2"/>
      <c r="AD454" s="2"/>
      <c r="AE454" s="349"/>
      <c r="AF454" s="349"/>
      <c r="AG454" s="349"/>
      <c r="AH454" s="349"/>
      <c r="AI454" s="349"/>
      <c r="AJ454" s="349"/>
      <c r="AK454" s="349"/>
      <c r="AL454" s="349"/>
      <c r="AM454" s="349"/>
    </row>
    <row r="455" spans="1:39" ht="15" customHeight="1" x14ac:dyDescent="0.25">
      <c r="A455" s="2"/>
      <c r="B455" s="19"/>
      <c r="C455" s="371"/>
      <c r="D455" s="2646" t="str">
        <f>EUconst_FBSubinst &amp; ":"</f>
        <v>”Fall-back”-delanläggning:</v>
      </c>
      <c r="E455" s="2642"/>
      <c r="F455" s="2642"/>
      <c r="G455" s="2642"/>
      <c r="H455" s="2647"/>
      <c r="I455" s="2090" t="str">
        <f>I406</f>
        <v>Fjärrvärmedelanläggning</v>
      </c>
      <c r="J455" s="2120"/>
      <c r="K455" s="2120"/>
      <c r="L455" s="2120"/>
      <c r="M455" s="2120"/>
      <c r="N455" s="2648"/>
      <c r="O455" s="6"/>
      <c r="P455" s="6"/>
      <c r="Q455" s="2"/>
      <c r="R455" s="2"/>
      <c r="S455" s="7"/>
      <c r="T455" s="7"/>
      <c r="U455" s="2"/>
      <c r="V455" s="2"/>
      <c r="W455" s="2"/>
      <c r="X455" s="2"/>
      <c r="Y455" s="2"/>
      <c r="Z455" s="2"/>
      <c r="AA455" s="2"/>
      <c r="AB455" s="343"/>
      <c r="AC455" s="2"/>
      <c r="AD455" s="2"/>
      <c r="AE455" s="349"/>
      <c r="AF455" s="349"/>
      <c r="AG455" s="349"/>
      <c r="AH455" s="349"/>
      <c r="AI455" s="349"/>
      <c r="AJ455" s="349"/>
      <c r="AK455" s="349"/>
      <c r="AL455" s="349"/>
      <c r="AM455" s="349"/>
    </row>
    <row r="456" spans="1:39" ht="5.15" customHeight="1" x14ac:dyDescent="0.25">
      <c r="A456" s="2"/>
      <c r="B456" s="19"/>
      <c r="C456" s="371"/>
      <c r="D456" s="360"/>
      <c r="E456" s="360"/>
      <c r="F456" s="360"/>
      <c r="G456" s="360"/>
      <c r="H456" s="360"/>
      <c r="I456" s="360"/>
      <c r="J456" s="360"/>
      <c r="K456" s="360"/>
      <c r="L456" s="360"/>
      <c r="M456" s="360"/>
      <c r="N456" s="372"/>
      <c r="O456" s="6"/>
      <c r="P456" s="6"/>
      <c r="Q456" s="2"/>
      <c r="R456" s="2"/>
      <c r="S456" s="7"/>
      <c r="T456" s="7"/>
      <c r="U456" s="2"/>
      <c r="V456" s="2"/>
      <c r="W456" s="2"/>
      <c r="X456" s="2"/>
      <c r="Y456" s="2"/>
      <c r="Z456" s="2"/>
      <c r="AA456" s="2"/>
      <c r="AB456" s="343"/>
      <c r="AC456" s="2"/>
      <c r="AD456" s="2"/>
      <c r="AE456" s="349"/>
      <c r="AF456" s="349"/>
      <c r="AG456" s="349"/>
      <c r="AH456" s="349"/>
      <c r="AI456" s="349"/>
      <c r="AJ456" s="349"/>
      <c r="AK456" s="349"/>
      <c r="AL456" s="349"/>
      <c r="AM456" s="349"/>
    </row>
    <row r="457" spans="1:39" ht="30" customHeight="1" x14ac:dyDescent="0.25">
      <c r="A457" s="2"/>
      <c r="B457" s="3"/>
      <c r="C457" s="370"/>
      <c r="D457" s="359"/>
      <c r="E457" s="2707" t="str">
        <f>Translations!$B$550</f>
        <v>Detta underavsnitt avser tillskrivning av utsläpp från bränsle-/materialmängder, utsläppskällor, import och export av mätbar värme och restgaser inklusive värmeförluster i enlighet med avsnitt 10 i bilaga VII till FAR.</v>
      </c>
      <c r="F457" s="2707"/>
      <c r="G457" s="2707"/>
      <c r="H457" s="2707"/>
      <c r="I457" s="2707"/>
      <c r="J457" s="2707"/>
      <c r="K457" s="2707"/>
      <c r="L457" s="2707"/>
      <c r="M457" s="2707"/>
      <c r="N457" s="418"/>
      <c r="O457" s="6"/>
      <c r="P457" s="6"/>
      <c r="Q457" s="7"/>
      <c r="R457" s="2"/>
      <c r="S457" s="2"/>
      <c r="T457" s="2"/>
      <c r="U457" s="2"/>
      <c r="V457" s="2"/>
      <c r="W457" s="2"/>
      <c r="X457" s="2"/>
      <c r="Y457" s="2"/>
      <c r="Z457" s="2"/>
      <c r="AA457" s="2"/>
      <c r="AB457" s="343"/>
      <c r="AC457" s="2"/>
      <c r="AD457" s="2"/>
      <c r="AE457" s="349"/>
      <c r="AF457" s="349"/>
      <c r="AG457" s="349"/>
      <c r="AH457" s="349"/>
      <c r="AI457" s="349"/>
      <c r="AJ457" s="349"/>
      <c r="AK457" s="349"/>
      <c r="AL457" s="349"/>
      <c r="AM457" s="349"/>
    </row>
    <row r="458" spans="1:39" ht="30" customHeight="1" x14ac:dyDescent="0.25">
      <c r="A458" s="2"/>
      <c r="B458" s="178"/>
      <c r="C458" s="779"/>
      <c r="D458" s="780"/>
      <c r="E458" s="2649" t="str">
        <f>Translations!$B$551</f>
        <v xml:space="preserve">Var god notera att även om viss vägledning ges för varje punkt nedan bör ytterligare information inhämtas från vägledning 5 (”Monitoring and Reporting in relation to the FAR”), som också innehåller exempel. </v>
      </c>
      <c r="F458" s="2649"/>
      <c r="G458" s="2649"/>
      <c r="H458" s="2649"/>
      <c r="I458" s="2649"/>
      <c r="J458" s="2649"/>
      <c r="K458" s="2649"/>
      <c r="L458" s="2649"/>
      <c r="M458" s="2649"/>
      <c r="N458" s="535"/>
      <c r="O458" s="6"/>
      <c r="P458" s="6"/>
      <c r="Q458" s="343"/>
      <c r="R458" s="2"/>
      <c r="S458" s="2"/>
      <c r="T458" s="2"/>
      <c r="U458" s="2"/>
      <c r="V458" s="2"/>
      <c r="W458" s="2"/>
      <c r="X458" s="2"/>
      <c r="Y458" s="2"/>
      <c r="Z458" s="2"/>
      <c r="AA458" s="2"/>
      <c r="AB458" s="343"/>
      <c r="AC458" s="2"/>
      <c r="AD458" s="2"/>
      <c r="AE458" s="349"/>
      <c r="AF458" s="349"/>
      <c r="AG458" s="349"/>
      <c r="AH458" s="349"/>
      <c r="AI458" s="349"/>
      <c r="AJ458" s="349"/>
      <c r="AK458" s="349"/>
      <c r="AL458" s="349"/>
      <c r="AM458" s="349"/>
    </row>
    <row r="459" spans="1:39" ht="12.75" customHeight="1" x14ac:dyDescent="0.25">
      <c r="A459" s="2"/>
      <c r="B459" s="178"/>
      <c r="C459" s="779"/>
      <c r="D459" s="780"/>
      <c r="E459" s="2649" t="str">
        <f>Translations!$B$552</f>
        <v xml:space="preserve">Vägledningen kan laddas ner via följande länk: </v>
      </c>
      <c r="F459" s="1960"/>
      <c r="G459" s="1960"/>
      <c r="H459" s="1960"/>
      <c r="I459" s="1960"/>
      <c r="J459" s="1960"/>
      <c r="K459" s="1960"/>
      <c r="L459" s="1960"/>
      <c r="M459" s="1960"/>
      <c r="N459" s="535"/>
      <c r="O459" s="6"/>
      <c r="P459" s="6"/>
      <c r="Q459" s="343"/>
      <c r="R459" s="2"/>
      <c r="S459" s="2"/>
      <c r="T459" s="2"/>
      <c r="U459" s="2"/>
      <c r="V459" s="2"/>
      <c r="W459" s="2"/>
      <c r="X459" s="2"/>
      <c r="Y459" s="2"/>
      <c r="Z459" s="2"/>
      <c r="AA459" s="2"/>
      <c r="AB459" s="343"/>
      <c r="AC459" s="2"/>
      <c r="AD459" s="2"/>
      <c r="AE459" s="349"/>
      <c r="AF459" s="349"/>
      <c r="AG459" s="349"/>
      <c r="AH459" s="349"/>
      <c r="AI459" s="349"/>
      <c r="AJ459" s="349"/>
      <c r="AK459" s="349"/>
      <c r="AL459" s="349"/>
      <c r="AM459" s="349"/>
    </row>
    <row r="460" spans="1:39" ht="15" customHeight="1" x14ac:dyDescent="0.25">
      <c r="A460" s="2"/>
      <c r="B460" s="178"/>
      <c r="C460" s="779"/>
      <c r="D460" s="780"/>
      <c r="E460" s="2651" t="str">
        <f>Translations!$B$553</f>
        <v>https://ec.europa.eu/clima/policies/ets/allowances_en#tab-0-1</v>
      </c>
      <c r="F460" s="2651"/>
      <c r="G460" s="2651"/>
      <c r="H460" s="2651"/>
      <c r="I460" s="2651"/>
      <c r="J460" s="2651"/>
      <c r="K460" s="2651"/>
      <c r="L460" s="2651"/>
      <c r="M460" s="2651"/>
      <c r="N460" s="535"/>
      <c r="O460" s="6"/>
      <c r="P460" s="6"/>
      <c r="Q460" s="343"/>
      <c r="R460" s="2"/>
      <c r="S460" s="2"/>
      <c r="T460" s="2"/>
      <c r="U460" s="2"/>
      <c r="V460" s="2"/>
      <c r="W460" s="2"/>
      <c r="X460" s="2"/>
      <c r="Y460" s="2"/>
      <c r="Z460" s="2"/>
      <c r="AA460" s="2"/>
      <c r="AB460" s="343"/>
      <c r="AC460" s="2"/>
      <c r="AD460" s="2"/>
      <c r="AE460" s="349"/>
      <c r="AF460" s="349"/>
      <c r="AG460" s="349"/>
      <c r="AH460" s="349"/>
      <c r="AI460" s="349"/>
      <c r="AJ460" s="349"/>
      <c r="AK460" s="349"/>
      <c r="AL460" s="349"/>
      <c r="AM460" s="349"/>
    </row>
    <row r="461" spans="1:39" ht="15" customHeight="1" x14ac:dyDescent="0.25">
      <c r="A461" s="2"/>
      <c r="B461" s="3"/>
      <c r="C461" s="370"/>
      <c r="D461" s="359"/>
      <c r="E461" s="2633" t="str">
        <f>Translations!$B$554</f>
        <v>Utifrån de uppgifter som anges nedan beräknas de tillskrivna utsläppen i avsnitt K.III.2 i det sammanfattande bladet "K_Summary".</v>
      </c>
      <c r="F461" s="2633"/>
      <c r="G461" s="2633"/>
      <c r="H461" s="2633"/>
      <c r="I461" s="2633"/>
      <c r="J461" s="2633"/>
      <c r="K461" s="2633"/>
      <c r="L461" s="2633"/>
      <c r="M461" s="2633"/>
      <c r="N461" s="418"/>
      <c r="O461" s="6"/>
      <c r="P461" s="6"/>
      <c r="Q461" s="7"/>
      <c r="R461" s="2"/>
      <c r="S461" s="2"/>
      <c r="T461" s="2"/>
      <c r="U461" s="2"/>
      <c r="V461" s="2"/>
      <c r="W461" s="2"/>
      <c r="X461" s="2"/>
      <c r="Y461" s="2"/>
      <c r="Z461" s="2"/>
      <c r="AA461" s="2"/>
      <c r="AB461" s="343"/>
      <c r="AC461" s="2"/>
      <c r="AD461" s="2"/>
      <c r="AE461" s="349"/>
      <c r="AF461" s="349"/>
      <c r="AG461" s="349"/>
      <c r="AH461" s="349"/>
      <c r="AI461" s="349"/>
      <c r="AJ461" s="349"/>
      <c r="AK461" s="349"/>
      <c r="AL461" s="349"/>
      <c r="AM461" s="349"/>
    </row>
    <row r="462" spans="1:39" ht="5.15" customHeight="1" x14ac:dyDescent="0.25">
      <c r="A462" s="2"/>
      <c r="B462" s="19"/>
      <c r="C462" s="371"/>
      <c r="D462" s="360"/>
      <c r="E462" s="360"/>
      <c r="F462" s="360"/>
      <c r="G462" s="360"/>
      <c r="H462" s="360"/>
      <c r="I462" s="360"/>
      <c r="J462" s="360"/>
      <c r="K462" s="360"/>
      <c r="L462" s="360"/>
      <c r="M462" s="360"/>
      <c r="N462" s="372"/>
      <c r="O462" s="6"/>
      <c r="P462" s="6"/>
      <c r="Q462" s="2"/>
      <c r="R462" s="2"/>
      <c r="S462" s="7"/>
      <c r="T462" s="7"/>
      <c r="U462" s="2"/>
      <c r="V462" s="2"/>
      <c r="W462" s="2"/>
      <c r="X462" s="2"/>
      <c r="Y462" s="2"/>
      <c r="Z462" s="2"/>
      <c r="AA462" s="2"/>
      <c r="AB462" s="343"/>
      <c r="AC462" s="2"/>
      <c r="AD462" s="2"/>
      <c r="AE462" s="349"/>
      <c r="AF462" s="349"/>
      <c r="AG462" s="349"/>
      <c r="AH462" s="349"/>
      <c r="AI462" s="349"/>
      <c r="AJ462" s="349"/>
      <c r="AK462" s="349"/>
      <c r="AL462" s="349"/>
      <c r="AM462" s="349"/>
    </row>
    <row r="463" spans="1:39" ht="12.75" customHeight="1" x14ac:dyDescent="0.25">
      <c r="A463" s="2"/>
      <c r="B463" s="3"/>
      <c r="C463" s="370"/>
      <c r="D463" s="373" t="s">
        <v>55</v>
      </c>
      <c r="E463" s="2634" t="str">
        <f>Translations!$B$676</f>
        <v>Utsläpp som direkt kan tillskrivas (DirEm*) delanläggningen</v>
      </c>
      <c r="F463" s="2635"/>
      <c r="G463" s="2635"/>
      <c r="H463" s="2635"/>
      <c r="I463" s="2635"/>
      <c r="J463" s="2635"/>
      <c r="K463" s="2635"/>
      <c r="L463" s="2635"/>
      <c r="M463" s="2635"/>
      <c r="N463" s="2636"/>
      <c r="O463" s="6"/>
      <c r="P463" s="6"/>
      <c r="Q463" s="7"/>
      <c r="R463" s="2"/>
      <c r="S463" s="7"/>
      <c r="T463" s="7"/>
      <c r="U463" s="2"/>
      <c r="V463" s="2"/>
      <c r="W463" s="2"/>
      <c r="X463" s="2"/>
      <c r="Y463" s="2"/>
      <c r="Z463" s="2"/>
      <c r="AA463" s="2"/>
      <c r="AB463" s="343"/>
      <c r="AC463" s="2"/>
      <c r="AD463" s="2"/>
      <c r="AE463" s="349"/>
      <c r="AF463" s="349"/>
      <c r="AG463" s="349"/>
      <c r="AH463" s="349"/>
      <c r="AI463" s="349"/>
      <c r="AJ463" s="349"/>
      <c r="AK463" s="349"/>
      <c r="AL463" s="349"/>
      <c r="AM463" s="349"/>
    </row>
    <row r="464" spans="1:39" ht="12.75" customHeight="1" x14ac:dyDescent="0.25">
      <c r="A464" s="2"/>
      <c r="B464" s="3"/>
      <c r="C464" s="370"/>
      <c r="D464" s="373"/>
      <c r="E464" s="2680" t="str">
        <f>Translations!$B$556</f>
        <v>De uppgifter som anges här påverkar de utsläpp som kan tillskrivas i enlighet med avsnitt 10.1.1 i bilaga VII till FAR.</v>
      </c>
      <c r="F464" s="2680"/>
      <c r="G464" s="2680"/>
      <c r="H464" s="2680"/>
      <c r="I464" s="2680"/>
      <c r="J464" s="2680"/>
      <c r="K464" s="2680"/>
      <c r="L464" s="2680"/>
      <c r="M464" s="2680"/>
      <c r="N464" s="2681"/>
      <c r="O464" s="6"/>
      <c r="P464" s="6"/>
      <c r="Q464" s="7"/>
      <c r="R464" s="2"/>
      <c r="S464" s="7"/>
      <c r="T464" s="7"/>
      <c r="U464" s="2"/>
      <c r="V464" s="2"/>
      <c r="W464" s="2"/>
      <c r="X464" s="2"/>
      <c r="Y464" s="2"/>
      <c r="Z464" s="2"/>
      <c r="AA464" s="2"/>
      <c r="AB464" s="343"/>
      <c r="AC464" s="2"/>
      <c r="AD464" s="2"/>
      <c r="AE464" s="349"/>
      <c r="AF464" s="349"/>
      <c r="AG464" s="349"/>
      <c r="AH464" s="349"/>
      <c r="AI464" s="349"/>
      <c r="AJ464" s="349"/>
      <c r="AK464" s="349"/>
      <c r="AL464" s="349"/>
      <c r="AM464" s="349"/>
    </row>
    <row r="465" spans="1:39" ht="12.75" customHeight="1" x14ac:dyDescent="0.25">
      <c r="A465" s="2"/>
      <c r="B465" s="3"/>
      <c r="C465" s="370"/>
      <c r="D465" s="359"/>
      <c r="E465" s="2639" t="str">
        <f>Translations!$B$677</f>
        <v>Var god ange de direkta utsläppen med hänsyn tagen till följande bestämmelser:</v>
      </c>
      <c r="F465" s="2639"/>
      <c r="G465" s="2639"/>
      <c r="H465" s="2639"/>
      <c r="I465" s="2639"/>
      <c r="J465" s="2639"/>
      <c r="K465" s="2639"/>
      <c r="L465" s="2639"/>
      <c r="M465" s="2639"/>
      <c r="N465" s="2640"/>
      <c r="O465" s="6"/>
      <c r="P465" s="6"/>
      <c r="Q465" s="7"/>
      <c r="R465" s="2"/>
      <c r="S465" s="7"/>
      <c r="T465" s="2"/>
      <c r="U465" s="2"/>
      <c r="V465" s="2"/>
      <c r="W465" s="2"/>
      <c r="X465" s="2"/>
      <c r="Y465" s="2"/>
      <c r="Z465" s="2"/>
      <c r="AA465" s="2"/>
      <c r="AB465" s="343"/>
      <c r="AC465" s="2"/>
      <c r="AD465" s="2"/>
      <c r="AE465" s="349"/>
      <c r="AF465" s="349"/>
      <c r="AG465" s="349"/>
      <c r="AH465" s="349"/>
      <c r="AI465" s="349"/>
      <c r="AJ465" s="349"/>
      <c r="AK465" s="349"/>
      <c r="AL465" s="349"/>
      <c r="AM465" s="349"/>
    </row>
    <row r="466" spans="1:39" ht="25.5" customHeight="1" x14ac:dyDescent="0.25">
      <c r="A466" s="2"/>
      <c r="B466" s="3"/>
      <c r="C466" s="370"/>
      <c r="D466" s="359"/>
      <c r="E466" s="1140" t="s">
        <v>1112</v>
      </c>
      <c r="F466" s="2641" t="str">
        <f>Translations!$B$678</f>
        <v>Direkta utsläpp övervakas enligt den övervakningsplan som ska godkännas enligt M&amp;R-förordningen, dvs. med hänsyn tagen till de utsläpp som fastställts utifrån beräkningsbaserade metoder (med hjälp av bränsle-/materialmängder), mätbaserade metoder (Cems) och nivålösa metoder (”alternativa övervakningsmetoder”/”fall-back”)</v>
      </c>
      <c r="G466" s="2641"/>
      <c r="H466" s="2641"/>
      <c r="I466" s="2641"/>
      <c r="J466" s="2641"/>
      <c r="K466" s="2641"/>
      <c r="L466" s="2641"/>
      <c r="M466" s="2641"/>
      <c r="N466" s="2721"/>
      <c r="O466" s="6"/>
      <c r="P466" s="6"/>
      <c r="Q466" s="7"/>
      <c r="R466" s="2"/>
      <c r="S466" s="7"/>
      <c r="T466" s="2"/>
      <c r="U466" s="2"/>
      <c r="V466" s="2"/>
      <c r="W466" s="2"/>
      <c r="X466" s="2"/>
      <c r="Y466" s="2"/>
      <c r="Z466" s="2"/>
      <c r="AA466" s="2"/>
      <c r="AB466" s="343"/>
      <c r="AC466" s="2"/>
      <c r="AD466" s="2"/>
      <c r="AE466" s="349"/>
      <c r="AF466" s="349"/>
      <c r="AG466" s="349"/>
      <c r="AH466" s="349"/>
      <c r="AI466" s="349"/>
      <c r="AJ466" s="349"/>
      <c r="AK466" s="349"/>
      <c r="AL466" s="349"/>
      <c r="AM466" s="349"/>
    </row>
    <row r="467" spans="1:39" ht="38.25" customHeight="1" x14ac:dyDescent="0.25">
      <c r="A467" s="2"/>
      <c r="B467" s="178"/>
      <c r="C467" s="779"/>
      <c r="D467" s="780"/>
      <c r="E467" s="1140"/>
      <c r="F467" s="2610" t="str">
        <f>Translations!$B$679</f>
        <v>I flera situationer är dock ”direkta utsläpp” i detta avsnitt inte identiska med de som ska rapporteras enligt M&amp;R-förordningen. Sådana situationer är bland annat när bränsle-/materialmängder används för produktion av mätbar värme, restgaser osv. Fyll därför i avsnitten nedan genom att följa instruktionerna noggrant för att undvika dubbelräkning eller utelämnanden.</v>
      </c>
      <c r="G467" s="1960"/>
      <c r="H467" s="1960"/>
      <c r="I467" s="1960"/>
      <c r="J467" s="1960"/>
      <c r="K467" s="1960"/>
      <c r="L467" s="1960"/>
      <c r="M467" s="1960"/>
      <c r="N467" s="2597"/>
      <c r="O467" s="6"/>
      <c r="P467" s="6"/>
      <c r="Q467" s="343"/>
      <c r="R467" s="2"/>
      <c r="S467" s="343"/>
      <c r="T467" s="2"/>
      <c r="U467" s="2"/>
      <c r="V467" s="2"/>
      <c r="W467" s="2"/>
      <c r="X467" s="2"/>
      <c r="Y467" s="2"/>
      <c r="Z467" s="2"/>
      <c r="AA467" s="2"/>
      <c r="AB467" s="343"/>
      <c r="AC467" s="2"/>
      <c r="AD467" s="2"/>
      <c r="AE467" s="349"/>
      <c r="AF467" s="349"/>
      <c r="AG467" s="349"/>
      <c r="AH467" s="349"/>
      <c r="AI467" s="349"/>
      <c r="AJ467" s="349"/>
      <c r="AK467" s="349"/>
      <c r="AL467" s="349"/>
      <c r="AM467" s="349"/>
    </row>
    <row r="468" spans="1:39" ht="12.75" customHeight="1" x14ac:dyDescent="0.25">
      <c r="A468" s="2"/>
      <c r="B468" s="3"/>
      <c r="C468" s="370"/>
      <c r="D468" s="359"/>
      <c r="E468" s="1140" t="s">
        <v>1112</v>
      </c>
      <c r="F468" s="2641" t="str">
        <f>Translations!$B$680</f>
        <v xml:space="preserve">Mätbar värme: om värmen enbart produceras för delanläggningen kan utsläppen tillskrivas direkt här via bränslets utsläpp. </v>
      </c>
      <c r="G468" s="2641"/>
      <c r="H468" s="2641"/>
      <c r="I468" s="2641"/>
      <c r="J468" s="2641"/>
      <c r="K468" s="2641"/>
      <c r="L468" s="2641"/>
      <c r="M468" s="2641"/>
      <c r="N468" s="2721"/>
      <c r="O468" s="6"/>
      <c r="P468" s="6"/>
      <c r="Q468" s="7"/>
      <c r="R468" s="2"/>
      <c r="S468" s="7"/>
      <c r="T468" s="2"/>
      <c r="U468" s="2"/>
      <c r="V468" s="2"/>
      <c r="W468" s="2"/>
      <c r="X468" s="2"/>
      <c r="Y468" s="2"/>
      <c r="Z468" s="2"/>
      <c r="AA468" s="2"/>
      <c r="AB468" s="343"/>
      <c r="AC468" s="2"/>
      <c r="AD468" s="2"/>
      <c r="AE468" s="349"/>
      <c r="AF468" s="349"/>
      <c r="AG468" s="349"/>
      <c r="AH468" s="349"/>
      <c r="AI468" s="349"/>
      <c r="AJ468" s="349"/>
      <c r="AK468" s="349"/>
      <c r="AL468" s="349"/>
      <c r="AM468" s="349"/>
    </row>
    <row r="469" spans="1:39" ht="26.15" customHeight="1" x14ac:dyDescent="0.25">
      <c r="A469" s="2"/>
      <c r="B469" s="3"/>
      <c r="C469" s="370"/>
      <c r="D469" s="359"/>
      <c r="E469" s="1140"/>
      <c r="F469" s="2641" t="str">
        <f>Translations!$B$681</f>
        <v>I samtliga fall där bränslen används för att producera mätbar värme som förbrukas vid mer än en delanläggning (t.ex. en energicentral vid anläggningen eller ett mer komplext ångnätverk med flera värmeproducerande enheter) bör bränslena inte räknas med i delanläggningens direkta utsläpp utan tas med i punkt f.i nedan.</v>
      </c>
      <c r="G469" s="2641"/>
      <c r="H469" s="2641"/>
      <c r="I469" s="2641"/>
      <c r="J469" s="2641"/>
      <c r="K469" s="2641"/>
      <c r="L469" s="2641"/>
      <c r="M469" s="2641"/>
      <c r="N469" s="2721"/>
      <c r="O469" s="6"/>
      <c r="P469" s="6"/>
      <c r="Q469" s="7"/>
      <c r="R469" s="2"/>
      <c r="S469" s="7"/>
      <c r="T469" s="2"/>
      <c r="U469" s="2"/>
      <c r="V469" s="2"/>
      <c r="W469" s="2"/>
      <c r="X469" s="2"/>
      <c r="Y469" s="2"/>
      <c r="Z469" s="2"/>
      <c r="AA469" s="2"/>
      <c r="AB469" s="343"/>
      <c r="AC469" s="2"/>
      <c r="AD469" s="2"/>
      <c r="AE469" s="349"/>
      <c r="AF469" s="349"/>
      <c r="AG469" s="349"/>
      <c r="AH469" s="349"/>
      <c r="AI469" s="349"/>
      <c r="AJ469" s="349"/>
      <c r="AK469" s="349"/>
      <c r="AL469" s="349"/>
      <c r="AM469" s="349"/>
    </row>
    <row r="470" spans="1:39" ht="25.5" customHeight="1" thickBot="1" x14ac:dyDescent="0.3">
      <c r="A470" s="2"/>
      <c r="B470" s="3"/>
      <c r="C470" s="370"/>
      <c r="D470" s="359"/>
      <c r="E470" s="1140" t="s">
        <v>1112</v>
      </c>
      <c r="F470" s="2641" t="str">
        <f>Translations!$B$682</f>
        <v>Restgaser: utsläpp i samband med mätbar värme som produceras från restgaser från andra anläggningar eller delanläggningar och används i denna delanläggning bör inte tas med här utan i punkt f.xiii nedan.</v>
      </c>
      <c r="G470" s="2642"/>
      <c r="H470" s="2642"/>
      <c r="I470" s="2642"/>
      <c r="J470" s="2642"/>
      <c r="K470" s="2642"/>
      <c r="L470" s="2642"/>
      <c r="M470" s="2642"/>
      <c r="N470" s="2643"/>
      <c r="O470" s="6"/>
      <c r="P470" s="6"/>
      <c r="Q470" s="7"/>
      <c r="R470" s="2"/>
      <c r="S470" s="7"/>
      <c r="T470" s="2"/>
      <c r="U470" s="2"/>
      <c r="V470" s="2"/>
      <c r="W470" s="2"/>
      <c r="X470" s="2"/>
      <c r="Y470" s="2"/>
      <c r="Z470" s="2"/>
      <c r="AA470" s="2"/>
      <c r="AB470" s="343"/>
      <c r="AC470" s="2"/>
      <c r="AD470" s="2"/>
      <c r="AE470" s="349"/>
      <c r="AF470" s="349"/>
      <c r="AG470" s="349"/>
      <c r="AH470" s="349"/>
      <c r="AI470" s="349"/>
      <c r="AJ470" s="349"/>
      <c r="AK470" s="349"/>
      <c r="AL470" s="349"/>
      <c r="AM470" s="349"/>
    </row>
    <row r="471" spans="1:39" ht="12.75" customHeight="1" thickBot="1" x14ac:dyDescent="0.3">
      <c r="A471" s="2"/>
      <c r="B471" s="3"/>
      <c r="C471" s="370"/>
      <c r="D471" s="373"/>
      <c r="E471" s="1716" t="str">
        <f>Translations!$B$531</f>
        <v>Totala direkta utsläpp</v>
      </c>
      <c r="F471" s="1717"/>
      <c r="G471" s="361" t="str">
        <f>EUconst_Unit</f>
        <v>Enhet</v>
      </c>
      <c r="H471" s="362">
        <f t="shared" ref="H471:N471" si="186">H$950</f>
        <v>2019</v>
      </c>
      <c r="I471" s="362">
        <f t="shared" si="186"/>
        <v>2020</v>
      </c>
      <c r="J471" s="362">
        <f t="shared" si="186"/>
        <v>2021</v>
      </c>
      <c r="K471" s="362">
        <f t="shared" si="186"/>
        <v>2022</v>
      </c>
      <c r="L471" s="362">
        <f t="shared" si="186"/>
        <v>2023</v>
      </c>
      <c r="M471" s="362">
        <f t="shared" si="186"/>
        <v>2024</v>
      </c>
      <c r="N471" s="1141">
        <f t="shared" si="186"/>
        <v>2025</v>
      </c>
      <c r="O471" s="6"/>
      <c r="P471" s="6"/>
      <c r="Q471" s="7"/>
      <c r="R471" s="2"/>
      <c r="S471" s="608"/>
      <c r="T471" s="609">
        <f t="shared" ref="T471:Z471" si="187">H471</f>
        <v>2019</v>
      </c>
      <c r="U471" s="609">
        <f t="shared" si="187"/>
        <v>2020</v>
      </c>
      <c r="V471" s="609">
        <f t="shared" si="187"/>
        <v>2021</v>
      </c>
      <c r="W471" s="609">
        <f t="shared" si="187"/>
        <v>2022</v>
      </c>
      <c r="X471" s="609">
        <f t="shared" si="187"/>
        <v>2023</v>
      </c>
      <c r="Y471" s="609">
        <f t="shared" si="187"/>
        <v>2024</v>
      </c>
      <c r="Z471" s="610">
        <f t="shared" si="187"/>
        <v>2025</v>
      </c>
      <c r="AA471" s="2"/>
      <c r="AB471" s="2"/>
      <c r="AC471" s="1044">
        <f t="shared" ref="AC471:AI471" si="188">H$950</f>
        <v>2019</v>
      </c>
      <c r="AD471" s="1044">
        <f t="shared" si="188"/>
        <v>2020</v>
      </c>
      <c r="AE471" s="1044">
        <f t="shared" si="188"/>
        <v>2021</v>
      </c>
      <c r="AF471" s="1044">
        <f t="shared" si="188"/>
        <v>2022</v>
      </c>
      <c r="AG471" s="1044">
        <f t="shared" si="188"/>
        <v>2023</v>
      </c>
      <c r="AH471" s="1044">
        <f t="shared" si="188"/>
        <v>2024</v>
      </c>
      <c r="AI471" s="1044">
        <f t="shared" si="188"/>
        <v>2025</v>
      </c>
      <c r="AJ471" s="349"/>
      <c r="AK471" s="349"/>
      <c r="AL471" s="349"/>
      <c r="AM471" s="349"/>
    </row>
    <row r="472" spans="1:39" ht="12.75" customHeight="1" thickBot="1" x14ac:dyDescent="0.35">
      <c r="A472" s="2"/>
      <c r="B472" s="3"/>
      <c r="C472" s="370"/>
      <c r="D472" s="359"/>
      <c r="E472" s="2617" t="str">
        <f>I406</f>
        <v>Fjärrvärmedelanläggning</v>
      </c>
      <c r="F472" s="1997"/>
      <c r="G472" s="363" t="str">
        <f>EUconst_tCO2epa</f>
        <v>t CO2e/år</v>
      </c>
      <c r="H472" s="1529"/>
      <c r="I472" s="1529"/>
      <c r="J472" s="1529"/>
      <c r="K472" s="1529"/>
      <c r="L472" s="1529"/>
      <c r="M472" s="1529"/>
      <c r="N472" s="1530"/>
      <c r="O472" s="6"/>
      <c r="P472" s="1362"/>
      <c r="Q472" s="298" t="str">
        <f>EUconst_CNTR_Emissions &amp; I406</f>
        <v>DirEmissions_Fjärrvärmedelanläggning</v>
      </c>
      <c r="R472" s="2"/>
      <c r="S472" s="611" t="str">
        <f>EUconst_CNTR_AttributedEmissions &amp; I406</f>
        <v>AttrEmissions_Fjärrvärmedelanläggning</v>
      </c>
      <c r="T472" s="111" t="str">
        <f t="shared" ref="T472:Z472" si="189">IF(T414,SUM(H472),"")</f>
        <v/>
      </c>
      <c r="U472" s="111" t="str">
        <f t="shared" si="189"/>
        <v/>
      </c>
      <c r="V472" s="111" t="str">
        <f t="shared" si="189"/>
        <v/>
      </c>
      <c r="W472" s="111" t="str">
        <f t="shared" si="189"/>
        <v/>
      </c>
      <c r="X472" s="111" t="str">
        <f t="shared" si="189"/>
        <v/>
      </c>
      <c r="Y472" s="111" t="str">
        <f t="shared" si="189"/>
        <v/>
      </c>
      <c r="Z472" s="112" t="str">
        <f t="shared" si="189"/>
        <v/>
      </c>
      <c r="AA472" s="2"/>
      <c r="AB472" s="672" t="s">
        <v>782</v>
      </c>
      <c r="AC472" s="1755" t="b">
        <f t="shared" ref="AC472:AI472" si="190">IF(CNTR_ExistSubInstEntries,OR($M406&lt;&gt;EUconst_Relevant,AC471&gt;=CNTR_ReportingYear,AC471&lt;$V406-1),FALSE)</f>
        <v>0</v>
      </c>
      <c r="AD472" s="1042" t="b">
        <f t="shared" si="190"/>
        <v>0</v>
      </c>
      <c r="AE472" s="1042" t="b">
        <f t="shared" si="190"/>
        <v>0</v>
      </c>
      <c r="AF472" s="1042" t="b">
        <f t="shared" si="190"/>
        <v>0</v>
      </c>
      <c r="AG472" s="1042" t="b">
        <f t="shared" si="190"/>
        <v>0</v>
      </c>
      <c r="AH472" s="1042" t="b">
        <f t="shared" si="190"/>
        <v>0</v>
      </c>
      <c r="AI472" s="1043" t="b">
        <f t="shared" si="190"/>
        <v>0</v>
      </c>
      <c r="AJ472" s="349"/>
      <c r="AK472" s="553" t="s">
        <v>2248</v>
      </c>
      <c r="AL472" s="663" t="str">
        <f>IF(AND(CNTR_ExistSubInstEntries,COUNTIFS(AC472:AI472,2,H472:N472,"")&gt;0),EUconst_Error&amp;"FB"&amp;Q406,"")</f>
        <v/>
      </c>
      <c r="AM472" s="349"/>
    </row>
    <row r="473" spans="1:39" ht="5.15" customHeight="1" x14ac:dyDescent="0.25">
      <c r="A473" s="2"/>
      <c r="B473" s="3"/>
      <c r="C473" s="370"/>
      <c r="D473" s="359"/>
      <c r="E473" s="359"/>
      <c r="F473" s="359"/>
      <c r="G473" s="359"/>
      <c r="H473" s="359"/>
      <c r="I473" s="359"/>
      <c r="J473" s="359"/>
      <c r="K473" s="359"/>
      <c r="L473" s="359"/>
      <c r="M473" s="375"/>
      <c r="N473" s="374"/>
      <c r="O473" s="6"/>
      <c r="P473" s="6"/>
      <c r="Q473" s="7"/>
      <c r="R473" s="2"/>
      <c r="S473" s="7"/>
      <c r="T473" s="2"/>
      <c r="U473" s="2"/>
      <c r="V473" s="2"/>
      <c r="W473" s="2"/>
      <c r="X473" s="2"/>
      <c r="Y473" s="2"/>
      <c r="Z473" s="2"/>
      <c r="AA473" s="2"/>
      <c r="AB473" s="343"/>
      <c r="AC473" s="2"/>
      <c r="AD473" s="2"/>
      <c r="AE473" s="349"/>
      <c r="AF473" s="349"/>
      <c r="AG473" s="349"/>
      <c r="AH473" s="349"/>
      <c r="AI473" s="349"/>
      <c r="AJ473" s="349"/>
      <c r="AK473" s="349"/>
      <c r="AL473" s="349"/>
      <c r="AM473" s="349"/>
    </row>
    <row r="474" spans="1:39" ht="12.75" customHeight="1" x14ac:dyDescent="0.25">
      <c r="A474" s="2"/>
      <c r="B474" s="3"/>
      <c r="C474" s="370"/>
      <c r="D474" s="373" t="s">
        <v>960</v>
      </c>
      <c r="E474" s="2614" t="str">
        <f>Translations!$B$566</f>
        <v>Insatsbränsle till delanläggningen och relevant emissionsfaktor</v>
      </c>
      <c r="F474" s="2614"/>
      <c r="G474" s="2614"/>
      <c r="H474" s="2614"/>
      <c r="I474" s="2614"/>
      <c r="J474" s="2614"/>
      <c r="K474" s="2614"/>
      <c r="L474" s="2614"/>
      <c r="M474" s="2614"/>
      <c r="N474" s="2724"/>
      <c r="O474" s="6"/>
      <c r="P474" s="6"/>
      <c r="Q474" s="2"/>
      <c r="R474" s="2"/>
      <c r="S474" s="7"/>
      <c r="T474" s="2"/>
      <c r="U474" s="2"/>
      <c r="V474" s="2"/>
      <c r="W474" s="2"/>
      <c r="X474" s="2"/>
      <c r="Y474" s="2"/>
      <c r="Z474" s="2"/>
      <c r="AA474" s="2"/>
      <c r="AB474" s="343"/>
      <c r="AC474" s="2"/>
      <c r="AD474" s="2"/>
      <c r="AE474" s="349"/>
      <c r="AF474" s="349"/>
      <c r="AG474" s="349"/>
      <c r="AH474" s="349"/>
      <c r="AI474" s="349"/>
      <c r="AJ474" s="349"/>
      <c r="AK474" s="349"/>
      <c r="AL474" s="349"/>
      <c r="AM474" s="349"/>
    </row>
    <row r="475" spans="1:39" ht="12.75" customHeight="1" x14ac:dyDescent="0.25">
      <c r="A475" s="2"/>
      <c r="B475" s="3"/>
      <c r="C475" s="370"/>
      <c r="D475" s="359"/>
      <c r="E475" s="2641" t="str">
        <f>Translations!$B$683</f>
        <v>Såsom krävs i avsnitt 2.4 a i bilaga IV till FAR, var god ange det totala insatsbränslet och en motsvarande viktad emissionsfaktor med hänsyn tagen till respektive bränsles energiinnehåll.</v>
      </c>
      <c r="F475" s="2635"/>
      <c r="G475" s="2635"/>
      <c r="H475" s="2635"/>
      <c r="I475" s="2635"/>
      <c r="J475" s="2635"/>
      <c r="K475" s="2635"/>
      <c r="L475" s="2635"/>
      <c r="M475" s="2635"/>
      <c r="N475" s="2636"/>
      <c r="O475" s="6"/>
      <c r="P475" s="6"/>
      <c r="Q475" s="7"/>
      <c r="R475" s="7"/>
      <c r="S475" s="7"/>
      <c r="T475" s="2"/>
      <c r="U475" s="2"/>
      <c r="V475" s="2"/>
      <c r="W475" s="2"/>
      <c r="X475" s="2"/>
      <c r="Y475" s="2"/>
      <c r="Z475" s="2"/>
      <c r="AA475" s="2"/>
      <c r="AB475" s="343"/>
      <c r="AC475" s="2"/>
      <c r="AD475" s="2"/>
      <c r="AE475" s="349"/>
      <c r="AF475" s="349"/>
      <c r="AG475" s="349"/>
      <c r="AH475" s="349"/>
      <c r="AI475" s="349"/>
      <c r="AJ475" s="349"/>
      <c r="AK475" s="349"/>
      <c r="AL475" s="349"/>
      <c r="AM475" s="349"/>
    </row>
    <row r="476" spans="1:39" ht="25.5" customHeight="1" x14ac:dyDescent="0.25">
      <c r="A476" s="2"/>
      <c r="B476" s="3"/>
      <c r="C476" s="370"/>
      <c r="D476" s="359"/>
      <c r="E476" s="2641" t="str">
        <f>Translations!$B$684</f>
        <v>Med ”bränsle” avses varje bränsle-/materialmängd enligt M&amp;R-förordningen som är brännbar och för vilken ett effektivt värmevärde kan fastställas. Den viktade emissionsfaktorn motsvarar de ackumulerade bränsleutsläppen, inklusive bränslen som används för att producera mätbar värme, delat med det totala energiinnehållet.</v>
      </c>
      <c r="F476" s="2635"/>
      <c r="G476" s="2635"/>
      <c r="H476" s="2635"/>
      <c r="I476" s="2635"/>
      <c r="J476" s="2635"/>
      <c r="K476" s="2635"/>
      <c r="L476" s="2635"/>
      <c r="M476" s="2635"/>
      <c r="N476" s="2636"/>
      <c r="O476" s="6"/>
      <c r="P476" s="6"/>
      <c r="Q476" s="7"/>
      <c r="R476" s="2"/>
      <c r="S476" s="7"/>
      <c r="T476" s="2"/>
      <c r="U476" s="2"/>
      <c r="V476" s="2"/>
      <c r="W476" s="2"/>
      <c r="X476" s="2"/>
      <c r="Y476" s="2"/>
      <c r="Z476" s="2"/>
      <c r="AA476" s="2"/>
      <c r="AB476" s="343"/>
      <c r="AC476" s="2"/>
      <c r="AD476" s="2"/>
      <c r="AE476" s="349"/>
      <c r="AF476" s="349"/>
      <c r="AG476" s="349"/>
      <c r="AH476" s="349"/>
      <c r="AI476" s="349"/>
      <c r="AJ476" s="349"/>
      <c r="AK476" s="349"/>
      <c r="AL476" s="349"/>
      <c r="AM476" s="349"/>
    </row>
    <row r="477" spans="1:39" ht="12.75" customHeight="1" x14ac:dyDescent="0.25">
      <c r="A477" s="2"/>
      <c r="B477" s="3"/>
      <c r="C477" s="370"/>
      <c r="D477" s="359"/>
      <c r="E477" s="2641" t="str">
        <f>Translations!$B$569</f>
        <v>Den viktade emissionsfaktorn bör dessutom innefatta utsläpp från motsvarande rökgasrening, i tillämpliga fall.</v>
      </c>
      <c r="F477" s="2635"/>
      <c r="G477" s="2635"/>
      <c r="H477" s="2635"/>
      <c r="I477" s="2635"/>
      <c r="J477" s="2635"/>
      <c r="K477" s="2635"/>
      <c r="L477" s="2635"/>
      <c r="M477" s="2635"/>
      <c r="N477" s="2636"/>
      <c r="O477" s="6"/>
      <c r="P477" s="6"/>
      <c r="Q477" s="7"/>
      <c r="R477" s="2"/>
      <c r="S477" s="7"/>
      <c r="T477" s="2"/>
      <c r="U477" s="2"/>
      <c r="V477" s="2"/>
      <c r="W477" s="2"/>
      <c r="X477" s="2"/>
      <c r="Y477" s="2"/>
      <c r="Z477" s="2"/>
      <c r="AA477" s="2"/>
      <c r="AB477" s="343"/>
      <c r="AC477" s="2"/>
      <c r="AD477" s="2"/>
      <c r="AE477" s="349"/>
      <c r="AF477" s="349"/>
      <c r="AG477" s="349"/>
      <c r="AH477" s="349"/>
      <c r="AI477" s="349"/>
      <c r="AJ477" s="349"/>
      <c r="AK477" s="349"/>
      <c r="AL477" s="349"/>
      <c r="AM477" s="349"/>
    </row>
    <row r="478" spans="1:39" ht="12.75" customHeight="1" x14ac:dyDescent="0.25">
      <c r="A478" s="2"/>
      <c r="B478" s="3"/>
      <c r="C478" s="370"/>
      <c r="D478" s="359"/>
      <c r="E478" s="2641" t="str">
        <f>Translations!$B$685</f>
        <v>Insatsbränsle från restgaser innefattar motsvarande insatsenergi för att producera mätbar värme som används vid delanläggningen.</v>
      </c>
      <c r="F478" s="2635"/>
      <c r="G478" s="2635"/>
      <c r="H478" s="2635"/>
      <c r="I478" s="2635"/>
      <c r="J478" s="2635"/>
      <c r="K478" s="2635"/>
      <c r="L478" s="2635"/>
      <c r="M478" s="2635"/>
      <c r="N478" s="2636"/>
      <c r="O478" s="6"/>
      <c r="P478" s="6"/>
      <c r="Q478" s="7"/>
      <c r="R478" s="2"/>
      <c r="S478" s="7"/>
      <c r="T478" s="2"/>
      <c r="U478" s="2"/>
      <c r="V478" s="2"/>
      <c r="W478" s="2"/>
      <c r="X478" s="2"/>
      <c r="Y478" s="2"/>
      <c r="Z478" s="2"/>
      <c r="AA478" s="2"/>
      <c r="AB478" s="343"/>
      <c r="AC478" s="2"/>
      <c r="AD478" s="2"/>
      <c r="AE478" s="349"/>
      <c r="AF478" s="349"/>
      <c r="AG478" s="349"/>
      <c r="AH478" s="349"/>
      <c r="AI478" s="349"/>
      <c r="AJ478" s="349"/>
      <c r="AK478" s="349"/>
      <c r="AL478" s="349"/>
      <c r="AM478" s="349"/>
    </row>
    <row r="479" spans="1:39" ht="12.75" customHeight="1" x14ac:dyDescent="0.25">
      <c r="A479" s="2"/>
      <c r="B479" s="3"/>
      <c r="C479" s="370"/>
      <c r="D479" s="359"/>
      <c r="E479" s="2641" t="str">
        <f>Translations!$B$686</f>
        <v>De värden som anges här används för att beräkna restgasbalansen i avsnitt E.III.h.</v>
      </c>
      <c r="F479" s="2635"/>
      <c r="G479" s="2635"/>
      <c r="H479" s="2635"/>
      <c r="I479" s="2635"/>
      <c r="J479" s="2635"/>
      <c r="K479" s="2635"/>
      <c r="L479" s="2635"/>
      <c r="M479" s="2635"/>
      <c r="N479" s="2636"/>
      <c r="O479" s="6"/>
      <c r="P479" s="6"/>
      <c r="Q479" s="7"/>
      <c r="R479" s="2"/>
      <c r="S479" s="7"/>
      <c r="T479" s="2"/>
      <c r="U479" s="2"/>
      <c r="V479" s="2"/>
      <c r="W479" s="2"/>
      <c r="X479" s="2"/>
      <c r="Y479" s="2"/>
      <c r="Z479" s="2"/>
      <c r="AA479" s="2"/>
      <c r="AB479" s="343"/>
      <c r="AC479" s="2"/>
      <c r="AD479" s="2"/>
      <c r="AE479" s="349"/>
      <c r="AF479" s="349"/>
      <c r="AG479" s="349"/>
      <c r="AH479" s="349"/>
      <c r="AI479" s="349"/>
      <c r="AJ479" s="349"/>
      <c r="AK479" s="349"/>
      <c r="AL479" s="349"/>
      <c r="AM479" s="349"/>
    </row>
    <row r="480" spans="1:39" ht="12.75" customHeight="1" x14ac:dyDescent="0.25">
      <c r="A480" s="2"/>
      <c r="B480" s="3"/>
      <c r="C480" s="370"/>
      <c r="D480" s="359"/>
      <c r="E480" s="2637" t="str">
        <f>Translations!$B$570</f>
        <v>De uppgifter som anges här används bara för konsekvenskontroll och har ingen direkt inverkan på vare sig de utsläpp som kan tillskrivas eller tilldelningen.</v>
      </c>
      <c r="F480" s="2634"/>
      <c r="G480" s="2634"/>
      <c r="H480" s="2634"/>
      <c r="I480" s="2634"/>
      <c r="J480" s="2634"/>
      <c r="K480" s="2634"/>
      <c r="L480" s="2634"/>
      <c r="M480" s="2634"/>
      <c r="N480" s="2638"/>
      <c r="O480" s="6"/>
      <c r="P480" s="6"/>
      <c r="Q480" s="7"/>
      <c r="R480" s="2"/>
      <c r="S480" s="7"/>
      <c r="T480" s="2"/>
      <c r="U480" s="2"/>
      <c r="V480" s="2"/>
      <c r="W480" s="2"/>
      <c r="X480" s="2"/>
      <c r="Y480" s="2"/>
      <c r="Z480" s="2"/>
      <c r="AA480" s="2"/>
      <c r="AB480" s="343"/>
      <c r="AC480" s="2"/>
      <c r="AD480" s="2"/>
      <c r="AE480" s="349"/>
      <c r="AF480" s="349"/>
      <c r="AG480" s="349"/>
      <c r="AH480" s="349"/>
      <c r="AI480" s="349"/>
      <c r="AJ480" s="349"/>
      <c r="AK480" s="349"/>
      <c r="AL480" s="349"/>
      <c r="AM480" s="349"/>
    </row>
    <row r="481" spans="1:39" ht="12.75" customHeight="1" x14ac:dyDescent="0.25">
      <c r="A481" s="2"/>
      <c r="B481" s="3"/>
      <c r="C481" s="370"/>
      <c r="D481" s="373"/>
      <c r="E481" s="1716"/>
      <c r="F481" s="1717"/>
      <c r="G481" s="361" t="str">
        <f>EUconst_Unit</f>
        <v>Enhet</v>
      </c>
      <c r="H481" s="362">
        <f t="shared" ref="H481:N481" si="191">H$950</f>
        <v>2019</v>
      </c>
      <c r="I481" s="362">
        <f t="shared" si="191"/>
        <v>2020</v>
      </c>
      <c r="J481" s="362">
        <f t="shared" si="191"/>
        <v>2021</v>
      </c>
      <c r="K481" s="362">
        <f t="shared" si="191"/>
        <v>2022</v>
      </c>
      <c r="L481" s="362">
        <f t="shared" si="191"/>
        <v>2023</v>
      </c>
      <c r="M481" s="362">
        <f t="shared" si="191"/>
        <v>2024</v>
      </c>
      <c r="N481" s="1141">
        <f t="shared" si="191"/>
        <v>2025</v>
      </c>
      <c r="O481" s="6"/>
      <c r="P481" s="6"/>
      <c r="Q481" s="7"/>
      <c r="R481" s="2"/>
      <c r="S481" s="7"/>
      <c r="T481" s="2"/>
      <c r="U481" s="2"/>
      <c r="V481" s="2"/>
      <c r="W481" s="2"/>
      <c r="X481" s="2"/>
      <c r="Y481" s="2"/>
      <c r="Z481" s="2"/>
      <c r="AA481" s="2"/>
      <c r="AB481" s="2"/>
      <c r="AC481" s="1531">
        <f t="shared" ref="AC481:AI481" si="192">H$950</f>
        <v>2019</v>
      </c>
      <c r="AD481" s="1531">
        <f t="shared" si="192"/>
        <v>2020</v>
      </c>
      <c r="AE481" s="1531">
        <f t="shared" si="192"/>
        <v>2021</v>
      </c>
      <c r="AF481" s="1531">
        <f t="shared" si="192"/>
        <v>2022</v>
      </c>
      <c r="AG481" s="1531">
        <f t="shared" si="192"/>
        <v>2023</v>
      </c>
      <c r="AH481" s="1531">
        <f t="shared" si="192"/>
        <v>2024</v>
      </c>
      <c r="AI481" s="1531">
        <f t="shared" si="192"/>
        <v>2025</v>
      </c>
      <c r="AJ481" s="349"/>
      <c r="AK481" s="349"/>
      <c r="AL481" s="349"/>
      <c r="AM481" s="349"/>
    </row>
    <row r="482" spans="1:39" ht="12.75" customHeight="1" x14ac:dyDescent="0.25">
      <c r="A482" s="2"/>
      <c r="B482" s="3"/>
      <c r="C482" s="370"/>
      <c r="D482" s="376" t="s">
        <v>8</v>
      </c>
      <c r="E482" s="2613" t="str">
        <f>Translations!$B$687</f>
        <v>Totalt insatsbränsle</v>
      </c>
      <c r="F482" s="1997"/>
      <c r="G482" s="364" t="str">
        <f>EUconst_TJpa</f>
        <v>TJ / år</v>
      </c>
      <c r="H482" s="582"/>
      <c r="I482" s="582"/>
      <c r="J482" s="582"/>
      <c r="K482" s="582"/>
      <c r="L482" s="582"/>
      <c r="M482" s="582"/>
      <c r="N482" s="1146"/>
      <c r="O482" s="6"/>
      <c r="P482" s="1362"/>
      <c r="Q482" s="298" t="str">
        <f>EUconst_CNTR_FuelInput &amp; I406</f>
        <v>FuelInput_Fjärrvärmedelanläggning</v>
      </c>
      <c r="R482" s="2"/>
      <c r="S482" s="7"/>
      <c r="T482" s="2"/>
      <c r="U482" s="2"/>
      <c r="V482" s="2"/>
      <c r="W482" s="2"/>
      <c r="X482" s="2"/>
      <c r="Y482" s="2"/>
      <c r="Z482" s="2"/>
      <c r="AA482" s="2"/>
      <c r="AB482" s="672" t="s">
        <v>782</v>
      </c>
      <c r="AC482" s="108" t="b">
        <f>AC472</f>
        <v>0</v>
      </c>
      <c r="AD482" s="108" t="b">
        <f t="shared" ref="AD482:AI482" si="193">AD472</f>
        <v>0</v>
      </c>
      <c r="AE482" s="108" t="b">
        <f t="shared" si="193"/>
        <v>0</v>
      </c>
      <c r="AF482" s="108" t="b">
        <f t="shared" si="193"/>
        <v>0</v>
      </c>
      <c r="AG482" s="108" t="b">
        <f t="shared" si="193"/>
        <v>0</v>
      </c>
      <c r="AH482" s="108" t="b">
        <f t="shared" si="193"/>
        <v>0</v>
      </c>
      <c r="AI482" s="108" t="b">
        <f t="shared" si="193"/>
        <v>0</v>
      </c>
      <c r="AJ482" s="349"/>
      <c r="AK482" s="349"/>
      <c r="AL482" s="663" t="str">
        <f>IF(AND(CNTR_ExistSubInstEntries,COUNTIFS(AC482:AI482,2,H482:N482,"")&gt;0),EUconst_Error&amp;"FB"&amp;Q406,"")</f>
        <v/>
      </c>
      <c r="AM482" s="349"/>
    </row>
    <row r="483" spans="1:39" ht="12.75" customHeight="1" x14ac:dyDescent="0.25">
      <c r="A483" s="2"/>
      <c r="B483" s="3"/>
      <c r="C483" s="370"/>
      <c r="D483" s="376" t="s">
        <v>9</v>
      </c>
      <c r="E483" s="2613" t="str">
        <f>Translations!$B$572</f>
        <v>Viktad emissionsfaktor</v>
      </c>
      <c r="F483" s="1997"/>
      <c r="G483" s="449" t="str">
        <f>EUconst_tCO2pTJ</f>
        <v>t CO2 / TJ</v>
      </c>
      <c r="H483" s="747"/>
      <c r="I483" s="747"/>
      <c r="J483" s="747"/>
      <c r="K483" s="747"/>
      <c r="L483" s="747"/>
      <c r="M483" s="747"/>
      <c r="N483" s="1297"/>
      <c r="O483" s="6"/>
      <c r="P483" s="1362"/>
      <c r="Q483" s="298" t="str">
        <f>EUconst_CNTR_FuelEF &amp; I406</f>
        <v>FuelEF_Fjärrvärmedelanläggning</v>
      </c>
      <c r="R483" s="2"/>
      <c r="S483" s="7"/>
      <c r="T483" s="2"/>
      <c r="U483" s="2"/>
      <c r="V483" s="2"/>
      <c r="W483" s="2"/>
      <c r="X483" s="2"/>
      <c r="Y483" s="2"/>
      <c r="Z483" s="2"/>
      <c r="AA483" s="2"/>
      <c r="AB483" s="343"/>
      <c r="AC483" s="108" t="b">
        <f>AC482</f>
        <v>0</v>
      </c>
      <c r="AD483" s="108" t="b">
        <f t="shared" ref="AD483:AI483" si="194">AD482</f>
        <v>0</v>
      </c>
      <c r="AE483" s="108" t="b">
        <f t="shared" si="194"/>
        <v>0</v>
      </c>
      <c r="AF483" s="108" t="b">
        <f t="shared" si="194"/>
        <v>0</v>
      </c>
      <c r="AG483" s="108" t="b">
        <f t="shared" si="194"/>
        <v>0</v>
      </c>
      <c r="AH483" s="108" t="b">
        <f t="shared" si="194"/>
        <v>0</v>
      </c>
      <c r="AI483" s="108" t="b">
        <f t="shared" si="194"/>
        <v>0</v>
      </c>
      <c r="AJ483" s="349"/>
      <c r="AK483" s="349"/>
      <c r="AL483" s="663" t="str">
        <f>IF(AND(CNTR_ExistSubInstEntries,COUNTIFS(AC483:AI483,2,H483:N483,"")&gt;0),EUconst_Error&amp;"FB"&amp;Q406,"")</f>
        <v/>
      </c>
      <c r="AM483" s="349"/>
    </row>
    <row r="484" spans="1:39" ht="5.15" customHeight="1" x14ac:dyDescent="0.25">
      <c r="A484" s="2"/>
      <c r="B484" s="3"/>
      <c r="C484" s="370"/>
      <c r="D484" s="359"/>
      <c r="E484" s="359"/>
      <c r="F484" s="359"/>
      <c r="G484" s="359"/>
      <c r="H484" s="359"/>
      <c r="I484" s="359"/>
      <c r="J484" s="359"/>
      <c r="K484" s="359"/>
      <c r="L484" s="359"/>
      <c r="M484" s="359"/>
      <c r="N484" s="1150"/>
      <c r="O484" s="6"/>
      <c r="P484" s="6"/>
      <c r="Q484" s="7"/>
      <c r="R484" s="2"/>
      <c r="S484" s="7"/>
      <c r="T484" s="2"/>
      <c r="U484" s="2"/>
      <c r="V484" s="2"/>
      <c r="W484" s="2"/>
      <c r="X484" s="2"/>
      <c r="Y484" s="2"/>
      <c r="Z484" s="2"/>
      <c r="AA484" s="2"/>
      <c r="AB484" s="343"/>
      <c r="AC484" s="2"/>
      <c r="AD484" s="2"/>
      <c r="AE484" s="2"/>
      <c r="AF484" s="2"/>
      <c r="AG484" s="2"/>
      <c r="AH484" s="2"/>
      <c r="AI484" s="2"/>
      <c r="AJ484" s="349"/>
      <c r="AK484" s="349"/>
      <c r="AL484" s="349"/>
      <c r="AM484" s="349"/>
    </row>
    <row r="485" spans="1:39" ht="12.75" customHeight="1" x14ac:dyDescent="0.25">
      <c r="A485" s="2"/>
      <c r="B485" s="3"/>
      <c r="C485" s="370"/>
      <c r="D485" s="376" t="s">
        <v>10</v>
      </c>
      <c r="E485" s="2613" t="str">
        <f>Translations!$B$688</f>
        <v>Insatsbränsle från restgaser</v>
      </c>
      <c r="F485" s="1997"/>
      <c r="G485" s="364" t="str">
        <f>EUconst_TJpa</f>
        <v>TJ / år</v>
      </c>
      <c r="H485" s="582"/>
      <c r="I485" s="582"/>
      <c r="J485" s="582"/>
      <c r="K485" s="582"/>
      <c r="L485" s="582"/>
      <c r="M485" s="582"/>
      <c r="N485" s="1146"/>
      <c r="O485" s="6"/>
      <c r="P485" s="1362"/>
      <c r="Q485" s="355" t="str">
        <f>EUconst_CNTR_WGConsumed &amp; I406</f>
        <v>WasteGasCons_Fjärrvärmedelanläggning</v>
      </c>
      <c r="R485" s="2"/>
      <c r="S485" s="7"/>
      <c r="T485" s="2"/>
      <c r="U485" s="2"/>
      <c r="V485" s="2"/>
      <c r="W485" s="2"/>
      <c r="X485" s="2"/>
      <c r="Y485" s="2"/>
      <c r="Z485" s="2"/>
      <c r="AA485" s="2"/>
      <c r="AB485" s="343"/>
      <c r="AC485" s="108" t="b">
        <f>AC482</f>
        <v>0</v>
      </c>
      <c r="AD485" s="108" t="b">
        <f t="shared" ref="AD485:AI485" si="195">AD482</f>
        <v>0</v>
      </c>
      <c r="AE485" s="108" t="b">
        <f t="shared" si="195"/>
        <v>0</v>
      </c>
      <c r="AF485" s="108" t="b">
        <f t="shared" si="195"/>
        <v>0</v>
      </c>
      <c r="AG485" s="108" t="b">
        <f t="shared" si="195"/>
        <v>0</v>
      </c>
      <c r="AH485" s="108" t="b">
        <f t="shared" si="195"/>
        <v>0</v>
      </c>
      <c r="AI485" s="108" t="b">
        <f t="shared" si="195"/>
        <v>0</v>
      </c>
      <c r="AJ485" s="349"/>
      <c r="AK485" s="349"/>
      <c r="AL485" s="663" t="str">
        <f>IF(AND(CNTR_ExistSubInstEntries,COUNTIFS(AC485:AI485,2,H485:N485,"")&gt;0),EUconst_Error&amp;"FB"&amp;Q406,"")</f>
        <v/>
      </c>
      <c r="AM485" s="349"/>
    </row>
    <row r="486" spans="1:39" ht="12.75" customHeight="1" x14ac:dyDescent="0.25">
      <c r="A486" s="2"/>
      <c r="B486" s="3"/>
      <c r="C486" s="370"/>
      <c r="D486" s="376" t="s">
        <v>23</v>
      </c>
      <c r="E486" s="2613" t="str">
        <f>Translations!$B$689</f>
        <v>Särskild utsläppsfaktor (restgas)</v>
      </c>
      <c r="F486" s="1997"/>
      <c r="G486" s="449" t="str">
        <f>EUconst_tCO2pTJ</f>
        <v>t CO2 / TJ</v>
      </c>
      <c r="H486" s="747"/>
      <c r="I486" s="747"/>
      <c r="J486" s="747"/>
      <c r="K486" s="747"/>
      <c r="L486" s="747"/>
      <c r="M486" s="747"/>
      <c r="N486" s="1297"/>
      <c r="O486" s="6"/>
      <c r="P486" s="1362"/>
      <c r="Q486" s="298" t="str">
        <f>EUconst_CNTR_WGConsumedEF &amp; I406</f>
        <v>WasteGasConsEF_Fjärrvärmedelanläggning</v>
      </c>
      <c r="R486" s="2"/>
      <c r="S486" s="7"/>
      <c r="T486" s="2"/>
      <c r="U486" s="2"/>
      <c r="V486" s="2"/>
      <c r="W486" s="2"/>
      <c r="X486" s="2"/>
      <c r="Y486" s="2"/>
      <c r="Z486" s="2"/>
      <c r="AA486" s="2"/>
      <c r="AB486" s="343"/>
      <c r="AC486" s="108" t="b">
        <f>AC483</f>
        <v>0</v>
      </c>
      <c r="AD486" s="108" t="b">
        <f t="shared" ref="AD486:AI486" si="196">AD483</f>
        <v>0</v>
      </c>
      <c r="AE486" s="108" t="b">
        <f t="shared" si="196"/>
        <v>0</v>
      </c>
      <c r="AF486" s="108" t="b">
        <f t="shared" si="196"/>
        <v>0</v>
      </c>
      <c r="AG486" s="108" t="b">
        <f t="shared" si="196"/>
        <v>0</v>
      </c>
      <c r="AH486" s="108" t="b">
        <f t="shared" si="196"/>
        <v>0</v>
      </c>
      <c r="AI486" s="108" t="b">
        <f t="shared" si="196"/>
        <v>0</v>
      </c>
      <c r="AJ486" s="349"/>
      <c r="AK486" s="349"/>
      <c r="AL486" s="663" t="str">
        <f>IF(AND(CNTR_ExistSubInstEntries,COUNTIFS(AC486:AI486,2,H486:N486,"")&gt;0),EUconst_Error&amp;"FB"&amp;Q406,"")</f>
        <v/>
      </c>
      <c r="AM486" s="349"/>
    </row>
    <row r="487" spans="1:39" ht="5.15" customHeight="1" x14ac:dyDescent="0.25">
      <c r="A487" s="2"/>
      <c r="B487" s="19"/>
      <c r="C487" s="371"/>
      <c r="D487" s="360"/>
      <c r="E487" s="360"/>
      <c r="F487" s="360"/>
      <c r="G487" s="360"/>
      <c r="H487" s="360"/>
      <c r="I487" s="360"/>
      <c r="J487" s="360"/>
      <c r="K487" s="360"/>
      <c r="L487" s="360"/>
      <c r="M487" s="360"/>
      <c r="N487" s="372"/>
      <c r="O487" s="6"/>
      <c r="P487" s="6"/>
      <c r="Q487" s="2"/>
      <c r="R487" s="2"/>
      <c r="S487" s="7"/>
      <c r="T487" s="7"/>
      <c r="U487" s="7"/>
      <c r="V487" s="7"/>
      <c r="W487" s="2"/>
      <c r="X487" s="2"/>
      <c r="Y487" s="2"/>
      <c r="Z487" s="2"/>
      <c r="AA487" s="2"/>
      <c r="AB487" s="343"/>
      <c r="AC487" s="2"/>
      <c r="AD487" s="2"/>
      <c r="AE487" s="2"/>
      <c r="AF487" s="2"/>
      <c r="AG487" s="2"/>
      <c r="AH487" s="2"/>
      <c r="AI487" s="2"/>
      <c r="AJ487" s="349"/>
      <c r="AK487" s="349"/>
      <c r="AL487" s="349"/>
      <c r="AM487" s="349"/>
    </row>
    <row r="488" spans="1:39" ht="12.75" customHeight="1" x14ac:dyDescent="0.25">
      <c r="A488" s="2"/>
      <c r="B488" s="3"/>
      <c r="C488" s="370"/>
      <c r="D488" s="373" t="s">
        <v>65</v>
      </c>
      <c r="E488" s="2634" t="str">
        <f>Translations!$B$380</f>
        <v>Producerad mätbar värme</v>
      </c>
      <c r="F488" s="2635"/>
      <c r="G488" s="2635"/>
      <c r="H488" s="2635"/>
      <c r="I488" s="2635"/>
      <c r="J488" s="2635"/>
      <c r="K488" s="2635"/>
      <c r="L488" s="2635"/>
      <c r="M488" s="2635"/>
      <c r="N488" s="2636"/>
      <c r="O488" s="6"/>
      <c r="P488" s="6"/>
      <c r="Q488" s="7"/>
      <c r="R488" s="2"/>
      <c r="S488" s="7"/>
      <c r="T488" s="7"/>
      <c r="U488" s="7"/>
      <c r="V488" s="7"/>
      <c r="W488" s="2"/>
      <c r="X488" s="2"/>
      <c r="Y488" s="2"/>
      <c r="Z488" s="2"/>
      <c r="AA488" s="2"/>
      <c r="AB488" s="343"/>
      <c r="AC488" s="2"/>
      <c r="AD488" s="2"/>
      <c r="AE488" s="2"/>
      <c r="AF488" s="2"/>
      <c r="AG488" s="2"/>
      <c r="AH488" s="2"/>
      <c r="AI488" s="2"/>
      <c r="AJ488" s="349"/>
      <c r="AK488" s="349"/>
      <c r="AL488" s="349"/>
      <c r="AM488" s="349"/>
    </row>
    <row r="489" spans="1:39" ht="12.75" customHeight="1" x14ac:dyDescent="0.25">
      <c r="A489" s="2"/>
      <c r="B489" s="3"/>
      <c r="C489" s="370"/>
      <c r="D489" s="359"/>
      <c r="E489" s="2639" t="str">
        <f>Translations!$B$690</f>
        <v xml:space="preserve">Var god ange producerad mätbar värme i enlighet med avsnitt 3.2 a i bilaga IV till FAR. </v>
      </c>
      <c r="F489" s="2639"/>
      <c r="G489" s="2639"/>
      <c r="H489" s="2639"/>
      <c r="I489" s="2639"/>
      <c r="J489" s="2639"/>
      <c r="K489" s="2639"/>
      <c r="L489" s="2639"/>
      <c r="M489" s="2639"/>
      <c r="N489" s="2640"/>
      <c r="O489" s="6"/>
      <c r="P489" s="6"/>
      <c r="Q489" s="7"/>
      <c r="R489" s="2"/>
      <c r="S489" s="7"/>
      <c r="T489" s="2"/>
      <c r="U489" s="2"/>
      <c r="V489" s="2"/>
      <c r="W489" s="2"/>
      <c r="X489" s="2"/>
      <c r="Y489" s="2"/>
      <c r="Z489" s="2"/>
      <c r="AA489" s="2"/>
      <c r="AB489" s="343"/>
      <c r="AC489" s="2"/>
      <c r="AD489" s="2"/>
      <c r="AE489" s="2"/>
      <c r="AF489" s="2"/>
      <c r="AG489" s="2"/>
      <c r="AH489" s="2"/>
      <c r="AI489" s="2"/>
      <c r="AJ489" s="349"/>
      <c r="AK489" s="349"/>
      <c r="AL489" s="349"/>
      <c r="AM489" s="349"/>
    </row>
    <row r="490" spans="1:39" ht="25.5" customHeight="1" x14ac:dyDescent="0.25">
      <c r="A490" s="2"/>
      <c r="B490" s="3"/>
      <c r="C490" s="370"/>
      <c r="D490" s="359"/>
      <c r="E490" s="2639" t="str">
        <f>Translations!$B$691</f>
        <v>Detta värde skiljer sig vanligtvis från delanläggningens verksamhetsnivå enligt punkt a ovan, eftersom det innefattar värmeförluster utöver de nettomängder mätbar värme som förbrukas av eller exporteras till andra enheter utanför ETS och inte innefattar värmeimport, som ska anges i punkt f nedan.</v>
      </c>
      <c r="F490" s="2639"/>
      <c r="G490" s="2639"/>
      <c r="H490" s="2639"/>
      <c r="I490" s="2639"/>
      <c r="J490" s="2639"/>
      <c r="K490" s="2639"/>
      <c r="L490" s="2639"/>
      <c r="M490" s="2639"/>
      <c r="N490" s="2640"/>
      <c r="O490" s="6"/>
      <c r="P490" s="6"/>
      <c r="Q490" s="7"/>
      <c r="R490" s="2"/>
      <c r="S490" s="7"/>
      <c r="T490" s="7"/>
      <c r="U490" s="7"/>
      <c r="V490" s="7"/>
      <c r="W490" s="7"/>
      <c r="X490" s="7"/>
      <c r="Y490" s="7"/>
      <c r="Z490" s="7"/>
      <c r="AA490" s="2"/>
      <c r="AB490" s="343"/>
      <c r="AC490" s="2"/>
      <c r="AD490" s="2"/>
      <c r="AE490" s="2"/>
      <c r="AF490" s="2"/>
      <c r="AG490" s="2"/>
      <c r="AH490" s="2"/>
      <c r="AI490" s="2"/>
      <c r="AJ490" s="349"/>
      <c r="AK490" s="349"/>
      <c r="AL490" s="349"/>
      <c r="AM490" s="349"/>
    </row>
    <row r="491" spans="1:39" ht="12.75" customHeight="1" x14ac:dyDescent="0.25">
      <c r="A491" s="2"/>
      <c r="B491" s="3"/>
      <c r="C491" s="370"/>
      <c r="D491" s="373"/>
      <c r="E491" s="2605" t="str">
        <f>Translations!$B$380</f>
        <v>Producerad mätbar värme</v>
      </c>
      <c r="F491" s="2605"/>
      <c r="G491" s="361" t="str">
        <f>EUconst_Unit</f>
        <v>Enhet</v>
      </c>
      <c r="H491" s="362">
        <f t="shared" ref="H491:N491" si="197">H$950</f>
        <v>2019</v>
      </c>
      <c r="I491" s="362">
        <f t="shared" si="197"/>
        <v>2020</v>
      </c>
      <c r="J491" s="362">
        <f t="shared" si="197"/>
        <v>2021</v>
      </c>
      <c r="K491" s="362">
        <f t="shared" si="197"/>
        <v>2022</v>
      </c>
      <c r="L491" s="362">
        <f t="shared" si="197"/>
        <v>2023</v>
      </c>
      <c r="M491" s="362">
        <f t="shared" si="197"/>
        <v>2024</v>
      </c>
      <c r="N491" s="1141">
        <f t="shared" si="197"/>
        <v>2025</v>
      </c>
      <c r="O491" s="6"/>
      <c r="P491" s="6"/>
      <c r="Q491" s="7"/>
      <c r="R491" s="2"/>
      <c r="S491" s="7"/>
      <c r="T491" s="7"/>
      <c r="U491" s="7"/>
      <c r="V491" s="7"/>
      <c r="W491" s="7"/>
      <c r="X491" s="7"/>
      <c r="Y491" s="7"/>
      <c r="Z491" s="7"/>
      <c r="AA491" s="2"/>
      <c r="AB491" s="343"/>
      <c r="AC491" s="1531">
        <f t="shared" ref="AC491:AI491" si="198">H$950</f>
        <v>2019</v>
      </c>
      <c r="AD491" s="1531">
        <f t="shared" si="198"/>
        <v>2020</v>
      </c>
      <c r="AE491" s="1531">
        <f t="shared" si="198"/>
        <v>2021</v>
      </c>
      <c r="AF491" s="1531">
        <f t="shared" si="198"/>
        <v>2022</v>
      </c>
      <c r="AG491" s="1531">
        <f t="shared" si="198"/>
        <v>2023</v>
      </c>
      <c r="AH491" s="1531">
        <f t="shared" si="198"/>
        <v>2024</v>
      </c>
      <c r="AI491" s="1531">
        <f t="shared" si="198"/>
        <v>2025</v>
      </c>
      <c r="AJ491" s="349"/>
      <c r="AK491" s="349"/>
      <c r="AL491" s="349"/>
      <c r="AM491" s="349"/>
    </row>
    <row r="492" spans="1:39" ht="12.75" customHeight="1" x14ac:dyDescent="0.25">
      <c r="A492" s="2"/>
      <c r="B492" s="3"/>
      <c r="C492" s="370"/>
      <c r="D492" s="359"/>
      <c r="E492" s="2617" t="str">
        <f>E472</f>
        <v>Fjärrvärmedelanläggning</v>
      </c>
      <c r="F492" s="1997"/>
      <c r="G492" s="363" t="str">
        <f>EUconst_TJpa</f>
        <v>TJ / år</v>
      </c>
      <c r="H492" s="1529"/>
      <c r="I492" s="1529"/>
      <c r="J492" s="1529"/>
      <c r="K492" s="1529"/>
      <c r="L492" s="1529"/>
      <c r="M492" s="1529"/>
      <c r="N492" s="1530"/>
      <c r="O492" s="6"/>
      <c r="P492" s="1362"/>
      <c r="Q492" s="298" t="str">
        <f>EUconst_CNTR_HeatProduced &amp; I406</f>
        <v>HeatProd_Fjärrvärmedelanläggning</v>
      </c>
      <c r="R492" s="2"/>
      <c r="S492" s="7"/>
      <c r="T492" s="7"/>
      <c r="U492" s="7"/>
      <c r="V492" s="7"/>
      <c r="W492" s="7"/>
      <c r="X492" s="7"/>
      <c r="Y492" s="7"/>
      <c r="Z492" s="7"/>
      <c r="AA492" s="2"/>
      <c r="AB492" s="672" t="s">
        <v>782</v>
      </c>
      <c r="AC492" s="108" t="b">
        <f>AC472</f>
        <v>0</v>
      </c>
      <c r="AD492" s="108" t="b">
        <f t="shared" ref="AD492:AI492" si="199">AD472</f>
        <v>0</v>
      </c>
      <c r="AE492" s="108" t="b">
        <f t="shared" si="199"/>
        <v>0</v>
      </c>
      <c r="AF492" s="108" t="b">
        <f t="shared" si="199"/>
        <v>0</v>
      </c>
      <c r="AG492" s="108" t="b">
        <f t="shared" si="199"/>
        <v>0</v>
      </c>
      <c r="AH492" s="108" t="b">
        <f t="shared" si="199"/>
        <v>0</v>
      </c>
      <c r="AI492" s="108" t="b">
        <f t="shared" si="199"/>
        <v>0</v>
      </c>
      <c r="AJ492" s="349"/>
      <c r="AK492" s="349"/>
      <c r="AL492" s="663" t="str">
        <f>IF(AND(CNTR_ExistSubInstEntries,COUNTIFS(AC492:AI492,2,H492:N492,"")&gt;0),EUconst_Error&amp;"FB"&amp;Q406,"")</f>
        <v/>
      </c>
      <c r="AM492" s="349"/>
    </row>
    <row r="493" spans="1:39" ht="5.15" customHeight="1" x14ac:dyDescent="0.25">
      <c r="A493" s="2"/>
      <c r="B493" s="3"/>
      <c r="C493" s="370"/>
      <c r="D493" s="359"/>
      <c r="E493" s="359"/>
      <c r="F493" s="359"/>
      <c r="G493" s="359"/>
      <c r="H493" s="359"/>
      <c r="I493" s="359"/>
      <c r="J493" s="359"/>
      <c r="K493" s="359"/>
      <c r="L493" s="359"/>
      <c r="M493" s="375"/>
      <c r="N493" s="374"/>
      <c r="O493" s="6"/>
      <c r="P493" s="6"/>
      <c r="Q493" s="7"/>
      <c r="R493" s="2"/>
      <c r="S493" s="7"/>
      <c r="T493" s="2"/>
      <c r="U493" s="2"/>
      <c r="V493" s="2"/>
      <c r="W493" s="2"/>
      <c r="X493" s="2"/>
      <c r="Y493" s="2"/>
      <c r="Z493" s="2"/>
      <c r="AA493" s="2"/>
      <c r="AB493" s="343"/>
      <c r="AC493" s="2"/>
      <c r="AD493" s="2"/>
      <c r="AE493" s="2"/>
      <c r="AF493" s="2"/>
      <c r="AG493" s="2"/>
      <c r="AH493" s="2"/>
      <c r="AI493" s="2"/>
      <c r="AJ493" s="349"/>
      <c r="AK493" s="349"/>
      <c r="AL493" s="349"/>
      <c r="AM493" s="349"/>
    </row>
    <row r="494" spans="1:39" ht="12.75" customHeight="1" x14ac:dyDescent="0.25">
      <c r="A494" s="2"/>
      <c r="B494" s="3"/>
      <c r="C494" s="370"/>
      <c r="D494" s="373" t="s">
        <v>66</v>
      </c>
      <c r="E494" s="2634" t="str">
        <f>Translations!$B$692</f>
        <v>Importerad mätbar värme</v>
      </c>
      <c r="F494" s="2635"/>
      <c r="G494" s="2635"/>
      <c r="H494" s="2635"/>
      <c r="I494" s="2635"/>
      <c r="J494" s="2635"/>
      <c r="K494" s="2635"/>
      <c r="L494" s="2635"/>
      <c r="M494" s="2635"/>
      <c r="N494" s="2636"/>
      <c r="O494" s="6"/>
      <c r="P494" s="6"/>
      <c r="Q494" s="7"/>
      <c r="R494" s="2"/>
      <c r="S494" s="7"/>
      <c r="T494" s="2"/>
      <c r="U494" s="2"/>
      <c r="V494" s="2"/>
      <c r="W494" s="2"/>
      <c r="X494" s="2"/>
      <c r="Y494" s="2"/>
      <c r="Z494" s="2"/>
      <c r="AA494" s="2"/>
      <c r="AB494" s="343"/>
      <c r="AC494" s="2"/>
      <c r="AD494" s="2"/>
      <c r="AE494" s="2"/>
      <c r="AF494" s="2"/>
      <c r="AG494" s="2"/>
      <c r="AH494" s="2"/>
      <c r="AI494" s="2"/>
      <c r="AJ494" s="349"/>
      <c r="AK494" s="349"/>
      <c r="AL494" s="349"/>
      <c r="AM494" s="349"/>
    </row>
    <row r="495" spans="1:39" ht="12.75" customHeight="1" x14ac:dyDescent="0.25">
      <c r="A495" s="2"/>
      <c r="B495" s="3"/>
      <c r="C495" s="370"/>
      <c r="D495" s="373"/>
      <c r="E495" s="2637" t="str">
        <f>Translations!$B$598</f>
        <v>De uppgifter som anges här påverkar de utsläpp som kan tillskrivas i enlighet med avsnitt 10.1.2 och 10.1.3 i bilaga VII till FAR.</v>
      </c>
      <c r="F495" s="2634"/>
      <c r="G495" s="2634"/>
      <c r="H495" s="2634"/>
      <c r="I495" s="2634"/>
      <c r="J495" s="2634"/>
      <c r="K495" s="2634"/>
      <c r="L495" s="2634"/>
      <c r="M495" s="2634"/>
      <c r="N495" s="2638"/>
      <c r="O495" s="6"/>
      <c r="P495" s="6"/>
      <c r="Q495" s="7"/>
      <c r="R495" s="2"/>
      <c r="S495" s="7"/>
      <c r="T495" s="2"/>
      <c r="U495" s="2"/>
      <c r="V495" s="2"/>
      <c r="W495" s="2"/>
      <c r="X495" s="2"/>
      <c r="Y495" s="2"/>
      <c r="Z495" s="2"/>
      <c r="AA495" s="2"/>
      <c r="AB495" s="343"/>
      <c r="AC495" s="2"/>
      <c r="AD495" s="2"/>
      <c r="AE495" s="2"/>
      <c r="AF495" s="2"/>
      <c r="AG495" s="2"/>
      <c r="AH495" s="2"/>
      <c r="AI495" s="2"/>
      <c r="AJ495" s="349"/>
      <c r="AK495" s="349"/>
      <c r="AL495" s="349"/>
      <c r="AM495" s="349"/>
    </row>
    <row r="496" spans="1:39" ht="12.75" customHeight="1" x14ac:dyDescent="0.25">
      <c r="A496" s="2"/>
      <c r="B496" s="3"/>
      <c r="C496" s="370"/>
      <c r="D496" s="359"/>
      <c r="E496" s="2641" t="str">
        <f>Translations!$B$693</f>
        <v>Var god ange den mängd mätbar värme som importeras från var och en av följande källor:</v>
      </c>
      <c r="F496" s="2635"/>
      <c r="G496" s="2635"/>
      <c r="H496" s="2635"/>
      <c r="I496" s="2635"/>
      <c r="J496" s="2635"/>
      <c r="K496" s="2635"/>
      <c r="L496" s="2635"/>
      <c r="M496" s="2635"/>
      <c r="N496" s="2636"/>
      <c r="O496" s="6"/>
      <c r="P496" s="6"/>
      <c r="Q496" s="7"/>
      <c r="R496" s="2"/>
      <c r="S496" s="7"/>
      <c r="T496" s="2"/>
      <c r="U496" s="2"/>
      <c r="V496" s="2"/>
      <c r="W496" s="2"/>
      <c r="X496" s="2"/>
      <c r="Y496" s="2"/>
      <c r="Z496" s="2"/>
      <c r="AA496" s="2"/>
      <c r="AB496" s="343"/>
      <c r="AC496" s="2"/>
      <c r="AD496" s="2"/>
      <c r="AE496" s="2"/>
      <c r="AF496" s="2"/>
      <c r="AG496" s="2"/>
      <c r="AH496" s="2"/>
      <c r="AI496" s="2"/>
      <c r="AJ496" s="349"/>
      <c r="AK496" s="349"/>
      <c r="AL496" s="349"/>
      <c r="AM496" s="349"/>
    </row>
    <row r="497" spans="1:39" ht="38.9" customHeight="1" x14ac:dyDescent="0.25">
      <c r="A497" s="2"/>
      <c r="B497" s="3"/>
      <c r="C497" s="370"/>
      <c r="D497" s="359"/>
      <c r="E497" s="1140" t="s">
        <v>1112</v>
      </c>
      <c r="F497" s="2641" t="str">
        <f>Translations!$B$694</f>
        <v>Importerad nettovärme (andra källor): detta innefattar värme som importerats från andra anläggningar eller, om mätbar värme förbrukas vid mer än en delanläggning, den värme som produceras på platsen och förbrukas vid delanläggningen. Mätbar värme som importeras från någon delanläggning med produktriktmärke, massaframställning, mätbar värme som återvinns från delanläggningar med bränsleriktmärke eller från restgaser bör inte tas med här, eftersom separata inmatningsfält finns för sådana mängder.</v>
      </c>
      <c r="G497" s="2642"/>
      <c r="H497" s="2642"/>
      <c r="I497" s="2642"/>
      <c r="J497" s="2642"/>
      <c r="K497" s="2642"/>
      <c r="L497" s="2642"/>
      <c r="M497" s="2642"/>
      <c r="N497" s="2643"/>
      <c r="O497" s="6"/>
      <c r="P497" s="6"/>
      <c r="Q497" s="7"/>
      <c r="R497" s="2"/>
      <c r="S497" s="7"/>
      <c r="T497" s="2"/>
      <c r="U497" s="2"/>
      <c r="V497" s="2"/>
      <c r="W497" s="2"/>
      <c r="X497" s="2"/>
      <c r="Y497" s="2"/>
      <c r="Z497" s="2"/>
      <c r="AA497" s="2"/>
      <c r="AB497" s="343"/>
      <c r="AC497" s="2"/>
      <c r="AD497" s="2"/>
      <c r="AE497" s="2"/>
      <c r="AF497" s="2"/>
      <c r="AG497" s="2"/>
      <c r="AH497" s="2"/>
      <c r="AI497" s="2"/>
      <c r="AJ497" s="349"/>
      <c r="AK497" s="349"/>
      <c r="AL497" s="349"/>
      <c r="AM497" s="349"/>
    </row>
    <row r="498" spans="1:39" ht="25.5" customHeight="1" x14ac:dyDescent="0.25">
      <c r="A498" s="2"/>
      <c r="B498" s="3"/>
      <c r="C498" s="370"/>
      <c r="D498" s="359"/>
      <c r="E498" s="1140" t="s">
        <v>1112</v>
      </c>
      <c r="F498" s="2641" t="str">
        <f>Translations!$B$695</f>
        <v>Värme från produktriktmärke Detta innefattar mätbar värme som exporteras från delanläggningar med produktriktmärke med undantag för mätbar värme från delanläggningar med massaframställning eller produktion av salpetersyra.</v>
      </c>
      <c r="G498" s="2642"/>
      <c r="H498" s="2642"/>
      <c r="I498" s="2642"/>
      <c r="J498" s="2642"/>
      <c r="K498" s="2642"/>
      <c r="L498" s="2642"/>
      <c r="M498" s="2642"/>
      <c r="N498" s="2643"/>
      <c r="O498" s="6"/>
      <c r="P498" s="6"/>
      <c r="Q498" s="7"/>
      <c r="R498" s="2"/>
      <c r="S498" s="7"/>
      <c r="T498" s="2"/>
      <c r="U498" s="2"/>
      <c r="V498" s="2"/>
      <c r="W498" s="2"/>
      <c r="X498" s="2"/>
      <c r="Y498" s="2"/>
      <c r="Z498" s="2"/>
      <c r="AA498" s="2"/>
      <c r="AB498" s="343"/>
      <c r="AC498" s="2"/>
      <c r="AD498" s="2"/>
      <c r="AE498" s="2"/>
      <c r="AF498" s="2"/>
      <c r="AG498" s="2"/>
      <c r="AH498" s="2"/>
      <c r="AI498" s="2"/>
      <c r="AJ498" s="349"/>
      <c r="AK498" s="349"/>
      <c r="AL498" s="349"/>
      <c r="AM498" s="349"/>
    </row>
    <row r="499" spans="1:39" ht="12.75" customHeight="1" x14ac:dyDescent="0.25">
      <c r="A499" s="2"/>
      <c r="B499" s="3"/>
      <c r="C499" s="370"/>
      <c r="D499" s="359"/>
      <c r="E499" s="1140" t="s">
        <v>1112</v>
      </c>
      <c r="F499" s="2641" t="str">
        <f>Translations!$B$696</f>
        <v>Värme från massa: detta innefattar värme som importeras från delanläggningar med massaframställning.</v>
      </c>
      <c r="G499" s="2642"/>
      <c r="H499" s="2642"/>
      <c r="I499" s="2642"/>
      <c r="J499" s="2642"/>
      <c r="K499" s="2642"/>
      <c r="L499" s="2642"/>
      <c r="M499" s="2642"/>
      <c r="N499" s="2643"/>
      <c r="O499" s="6"/>
      <c r="P499" s="6"/>
      <c r="Q499" s="7"/>
      <c r="R499" s="2"/>
      <c r="S499" s="7"/>
      <c r="T499" s="2"/>
      <c r="U499" s="2"/>
      <c r="V499" s="2"/>
      <c r="W499" s="2"/>
      <c r="X499" s="2"/>
      <c r="Y499" s="2"/>
      <c r="Z499" s="2"/>
      <c r="AA499" s="2"/>
      <c r="AB499" s="343"/>
      <c r="AC499" s="2"/>
      <c r="AD499" s="2"/>
      <c r="AE499" s="2"/>
      <c r="AF499" s="2"/>
      <c r="AG499" s="2"/>
      <c r="AH499" s="2"/>
      <c r="AI499" s="2"/>
      <c r="AJ499" s="349"/>
      <c r="AK499" s="349"/>
      <c r="AL499" s="349"/>
      <c r="AM499" s="349"/>
    </row>
    <row r="500" spans="1:39" ht="12.75" customHeight="1" x14ac:dyDescent="0.25">
      <c r="A500" s="2"/>
      <c r="B500" s="3"/>
      <c r="C500" s="370"/>
      <c r="D500" s="359"/>
      <c r="E500" s="1140" t="s">
        <v>1112</v>
      </c>
      <c r="F500" s="2641" t="str">
        <f>Translations!$B$697</f>
        <v>Värme från bränsleriktmärke: detta innefattar mätbar värme som återvinns från spillvärme från delanläggningar med bränsleriktmärke.</v>
      </c>
      <c r="G500" s="2642"/>
      <c r="H500" s="2642"/>
      <c r="I500" s="2642"/>
      <c r="J500" s="2642"/>
      <c r="K500" s="2642"/>
      <c r="L500" s="2642"/>
      <c r="M500" s="2642"/>
      <c r="N500" s="2643"/>
      <c r="O500" s="6"/>
      <c r="P500" s="6"/>
      <c r="Q500" s="7"/>
      <c r="R500" s="2"/>
      <c r="S500" s="7"/>
      <c r="T500" s="2"/>
      <c r="U500" s="2"/>
      <c r="V500" s="2"/>
      <c r="W500" s="2"/>
      <c r="X500" s="2"/>
      <c r="Y500" s="2"/>
      <c r="Z500" s="2"/>
      <c r="AA500" s="2"/>
      <c r="AB500" s="343"/>
      <c r="AC500" s="2"/>
      <c r="AD500" s="2"/>
      <c r="AE500" s="2"/>
      <c r="AF500" s="2"/>
      <c r="AG500" s="2"/>
      <c r="AH500" s="2"/>
      <c r="AI500" s="2"/>
      <c r="AJ500" s="349"/>
      <c r="AK500" s="349"/>
      <c r="AL500" s="349"/>
      <c r="AM500" s="349"/>
    </row>
    <row r="501" spans="1:39" ht="12.75" customHeight="1" x14ac:dyDescent="0.25">
      <c r="A501" s="2"/>
      <c r="B501" s="3"/>
      <c r="C501" s="370"/>
      <c r="D501" s="359"/>
      <c r="E501" s="1140" t="s">
        <v>1112</v>
      </c>
      <c r="F501" s="2641" t="str">
        <f>Translations!$B$698</f>
        <v>Värme från restgaser: detta innefattar mätbar värme som produceras från restgaser.</v>
      </c>
      <c r="G501" s="2642"/>
      <c r="H501" s="2642"/>
      <c r="I501" s="2642"/>
      <c r="J501" s="2642"/>
      <c r="K501" s="2642"/>
      <c r="L501" s="2642"/>
      <c r="M501" s="2642"/>
      <c r="N501" s="2643"/>
      <c r="O501" s="6"/>
      <c r="P501" s="6"/>
      <c r="Q501" s="7"/>
      <c r="R501" s="2"/>
      <c r="S501" s="7"/>
      <c r="T501" s="2"/>
      <c r="U501" s="2"/>
      <c r="V501" s="2"/>
      <c r="W501" s="2"/>
      <c r="X501" s="2"/>
      <c r="Y501" s="2"/>
      <c r="Z501" s="2"/>
      <c r="AA501" s="2"/>
      <c r="AB501" s="343"/>
      <c r="AC501" s="2"/>
      <c r="AD501" s="2"/>
      <c r="AE501" s="2"/>
      <c r="AF501" s="2"/>
      <c r="AG501" s="2"/>
      <c r="AH501" s="2"/>
      <c r="AI501" s="2"/>
      <c r="AJ501" s="349"/>
      <c r="AK501" s="349"/>
      <c r="AL501" s="349"/>
      <c r="AM501" s="349"/>
    </row>
    <row r="502" spans="1:39" ht="12.75" customHeight="1" x14ac:dyDescent="0.25">
      <c r="A502" s="2"/>
      <c r="B502" s="3"/>
      <c r="C502" s="370"/>
      <c r="D502" s="359"/>
      <c r="E502" s="2639" t="str">
        <f>Translations!$B$699</f>
        <v>Här ska inte eventuell värmeimport från ”icke-berättigande” källor anges, dvs. anläggningar som inte omfattas av ETS-systemet eller värme som produceras vid delanläggningar för salpetersyra.</v>
      </c>
      <c r="F502" s="1960"/>
      <c r="G502" s="1960"/>
      <c r="H502" s="1960"/>
      <c r="I502" s="1960"/>
      <c r="J502" s="1960"/>
      <c r="K502" s="1960"/>
      <c r="L502" s="1960"/>
      <c r="M502" s="1960"/>
      <c r="N502" s="2597"/>
      <c r="O502" s="6"/>
      <c r="P502" s="6"/>
      <c r="Q502" s="7"/>
      <c r="R502" s="2"/>
      <c r="S502" s="7"/>
      <c r="T502" s="2"/>
      <c r="U502" s="2"/>
      <c r="V502" s="2"/>
      <c r="W502" s="2"/>
      <c r="X502" s="2"/>
      <c r="Y502" s="2"/>
      <c r="Z502" s="2"/>
      <c r="AA502" s="2"/>
      <c r="AB502" s="343"/>
      <c r="AC502" s="2"/>
      <c r="AD502" s="2"/>
      <c r="AE502" s="2"/>
      <c r="AF502" s="2"/>
      <c r="AG502" s="2"/>
      <c r="AH502" s="2"/>
      <c r="AI502" s="2"/>
      <c r="AJ502" s="349"/>
      <c r="AK502" s="349"/>
      <c r="AL502" s="349"/>
      <c r="AM502" s="349"/>
    </row>
    <row r="503" spans="1:39" ht="12.75" customHeight="1" x14ac:dyDescent="0.25">
      <c r="A503" s="2"/>
      <c r="B503" s="3"/>
      <c r="C503" s="370"/>
      <c r="D503" s="359"/>
      <c r="E503" s="2641" t="str">
        <f>Translations!$B$700</f>
        <v>De särskilda emissionsfaktorerna för värmen bör vara förenliga med bestämmelserna i avsnitten 8 och 10 i bilaga VII till FAR, särskilt avsnitt 10.1.2 och 10.1.3 i denna.</v>
      </c>
      <c r="F503" s="2635"/>
      <c r="G503" s="2635"/>
      <c r="H503" s="2635"/>
      <c r="I503" s="2635"/>
      <c r="J503" s="2635"/>
      <c r="K503" s="2635"/>
      <c r="L503" s="2635"/>
      <c r="M503" s="2635"/>
      <c r="N503" s="2636"/>
      <c r="O503" s="6"/>
      <c r="P503" s="6"/>
      <c r="Q503" s="7"/>
      <c r="R503" s="2"/>
      <c r="S503" s="7"/>
      <c r="T503" s="2"/>
      <c r="U503" s="2"/>
      <c r="V503" s="2"/>
      <c r="W503" s="2"/>
      <c r="X503" s="2"/>
      <c r="Y503" s="2"/>
      <c r="Z503" s="2"/>
      <c r="AA503" s="2"/>
      <c r="AB503" s="343"/>
      <c r="AC503" s="2"/>
      <c r="AD503" s="2"/>
      <c r="AE503" s="2"/>
      <c r="AF503" s="2"/>
      <c r="AG503" s="2"/>
      <c r="AH503" s="2"/>
      <c r="AI503" s="2"/>
      <c r="AJ503" s="349"/>
      <c r="AK503" s="349"/>
      <c r="AL503" s="349"/>
      <c r="AM503" s="349"/>
    </row>
    <row r="504" spans="1:39" ht="12.75" customHeight="1" x14ac:dyDescent="0.25">
      <c r="A504" s="2"/>
      <c r="B504" s="3"/>
      <c r="C504" s="370"/>
      <c r="D504" s="359"/>
      <c r="E504" s="2622" t="str">
        <f>Translations!$B$658</f>
        <v>Kraftvärmeverktyget i avsnitt D.III i bladet "D_Emissions" måste användas för att tillskriva utsläpp från kraftvärme till produktion av mätbar värme.</v>
      </c>
      <c r="F504" s="2622"/>
      <c r="G504" s="2622"/>
      <c r="H504" s="2622"/>
      <c r="I504" s="2622"/>
      <c r="J504" s="2622"/>
      <c r="K504" s="2622"/>
      <c r="L504" s="2622"/>
      <c r="M504" s="2622"/>
      <c r="N504" s="1810"/>
      <c r="O504" s="6"/>
      <c r="P504" s="6"/>
      <c r="Q504" s="7"/>
      <c r="R504" s="2"/>
      <c r="S504" s="2"/>
      <c r="T504" s="2"/>
      <c r="U504" s="2"/>
      <c r="V504" s="2"/>
      <c r="W504" s="2"/>
      <c r="X504" s="2"/>
      <c r="Y504" s="2"/>
      <c r="Z504" s="2"/>
      <c r="AA504" s="2"/>
      <c r="AB504" s="2"/>
      <c r="AC504" s="2"/>
      <c r="AD504" s="2"/>
      <c r="AE504" s="2"/>
      <c r="AF504" s="2"/>
      <c r="AG504" s="2"/>
      <c r="AH504" s="2"/>
      <c r="AI504" s="2"/>
      <c r="AJ504" s="349"/>
      <c r="AK504" s="349"/>
      <c r="AL504" s="349"/>
      <c r="AM504" s="349"/>
    </row>
    <row r="505" spans="1:39" ht="12.75" customHeight="1" x14ac:dyDescent="0.25">
      <c r="A505" s="2"/>
      <c r="B505" s="3"/>
      <c r="C505" s="370"/>
      <c r="D505" s="359"/>
      <c r="E505" s="2605" t="str">
        <f>Translations!$B$701</f>
        <v>Importerad nettovärme (andra källor)</v>
      </c>
      <c r="F505" s="2497"/>
      <c r="G505" s="361" t="str">
        <f>EUconst_Unit</f>
        <v>Enhet</v>
      </c>
      <c r="H505" s="362">
        <f t="shared" ref="H505:N505" si="200">H$950</f>
        <v>2019</v>
      </c>
      <c r="I505" s="362">
        <f t="shared" si="200"/>
        <v>2020</v>
      </c>
      <c r="J505" s="362">
        <f t="shared" si="200"/>
        <v>2021</v>
      </c>
      <c r="K505" s="362">
        <f t="shared" si="200"/>
        <v>2022</v>
      </c>
      <c r="L505" s="362">
        <f t="shared" si="200"/>
        <v>2023</v>
      </c>
      <c r="M505" s="362">
        <f t="shared" si="200"/>
        <v>2024</v>
      </c>
      <c r="N505" s="1141">
        <f t="shared" si="200"/>
        <v>2025</v>
      </c>
      <c r="O505" s="6"/>
      <c r="P505" s="6"/>
      <c r="Q505" s="7"/>
      <c r="R505" s="2"/>
      <c r="S505" s="7"/>
      <c r="T505" s="40">
        <f t="shared" ref="T505:Z505" si="201">H505</f>
        <v>2019</v>
      </c>
      <c r="U505" s="40">
        <f t="shared" si="201"/>
        <v>2020</v>
      </c>
      <c r="V505" s="40">
        <f t="shared" si="201"/>
        <v>2021</v>
      </c>
      <c r="W505" s="40">
        <f t="shared" si="201"/>
        <v>2022</v>
      </c>
      <c r="X505" s="40">
        <f t="shared" si="201"/>
        <v>2023</v>
      </c>
      <c r="Y505" s="40">
        <f t="shared" si="201"/>
        <v>2024</v>
      </c>
      <c r="Z505" s="40">
        <f t="shared" si="201"/>
        <v>2025</v>
      </c>
      <c r="AA505" s="2"/>
      <c r="AB505" s="2"/>
      <c r="AC505" s="1531">
        <f t="shared" ref="AC505:AI505" si="202">H$950</f>
        <v>2019</v>
      </c>
      <c r="AD505" s="1531">
        <f t="shared" si="202"/>
        <v>2020</v>
      </c>
      <c r="AE505" s="1531">
        <f t="shared" si="202"/>
        <v>2021</v>
      </c>
      <c r="AF505" s="1531">
        <f t="shared" si="202"/>
        <v>2022</v>
      </c>
      <c r="AG505" s="1531">
        <f t="shared" si="202"/>
        <v>2023</v>
      </c>
      <c r="AH505" s="1531">
        <f t="shared" si="202"/>
        <v>2024</v>
      </c>
      <c r="AI505" s="1531">
        <f t="shared" si="202"/>
        <v>2025</v>
      </c>
      <c r="AJ505" s="349"/>
      <c r="AK505" s="349"/>
      <c r="AL505" s="349"/>
      <c r="AM505" s="349"/>
    </row>
    <row r="506" spans="1:39" ht="12.75" customHeight="1" x14ac:dyDescent="0.25">
      <c r="A506" s="2"/>
      <c r="B506" s="3"/>
      <c r="C506" s="370"/>
      <c r="D506" s="376" t="s">
        <v>8</v>
      </c>
      <c r="E506" s="2613" t="str">
        <f>Translations!$B$604</f>
        <v>Nettomängd importerad värme</v>
      </c>
      <c r="F506" s="1997"/>
      <c r="G506" s="364" t="str">
        <f>EUconst_TJpa</f>
        <v>TJ / år</v>
      </c>
      <c r="H506" s="582"/>
      <c r="I506" s="582"/>
      <c r="J506" s="582"/>
      <c r="K506" s="582"/>
      <c r="L506" s="582"/>
      <c r="M506" s="582"/>
      <c r="N506" s="1146"/>
      <c r="O506" s="6"/>
      <c r="P506" s="1362"/>
      <c r="Q506" s="298" t="str">
        <f>EUconst_CNTR_HeatImport &amp; I406</f>
        <v>HeatIm_Fjärrvärmedelanläggning</v>
      </c>
      <c r="R506" s="2"/>
      <c r="S506" s="1749" t="str">
        <f>EUconst_ERR_AttrEmBMapplied &amp; $I406</f>
        <v>ERR_AttrEmBM_Fjärrvärmedelanläggning</v>
      </c>
      <c r="T506" s="108">
        <f t="shared" ref="T506:Z506" si="203">IF(AND(H506&lt;&gt;0,H507="",EUconst_StatusOfDataCollection=FALSE),1,0)</f>
        <v>0</v>
      </c>
      <c r="U506" s="108">
        <f t="shared" si="203"/>
        <v>0</v>
      </c>
      <c r="V506" s="108">
        <f t="shared" si="203"/>
        <v>0</v>
      </c>
      <c r="W506" s="108">
        <f t="shared" si="203"/>
        <v>0</v>
      </c>
      <c r="X506" s="108">
        <f t="shared" si="203"/>
        <v>0</v>
      </c>
      <c r="Y506" s="108">
        <f t="shared" si="203"/>
        <v>0</v>
      </c>
      <c r="Z506" s="108">
        <f t="shared" si="203"/>
        <v>0</v>
      </c>
      <c r="AA506" s="2"/>
      <c r="AB506" s="672" t="s">
        <v>782</v>
      </c>
      <c r="AC506" s="108" t="b">
        <f>AC482</f>
        <v>0</v>
      </c>
      <c r="AD506" s="108" t="b">
        <f t="shared" ref="AD506:AI506" si="204">AD482</f>
        <v>0</v>
      </c>
      <c r="AE506" s="108" t="b">
        <f t="shared" si="204"/>
        <v>0</v>
      </c>
      <c r="AF506" s="108" t="b">
        <f t="shared" si="204"/>
        <v>0</v>
      </c>
      <c r="AG506" s="108" t="b">
        <f t="shared" si="204"/>
        <v>0</v>
      </c>
      <c r="AH506" s="108" t="b">
        <f t="shared" si="204"/>
        <v>0</v>
      </c>
      <c r="AI506" s="108" t="b">
        <f t="shared" si="204"/>
        <v>0</v>
      </c>
      <c r="AJ506" s="349"/>
      <c r="AK506" s="349"/>
      <c r="AL506" s="663" t="str">
        <f>IF(AND(CNTR_ExistSubInstEntries,COUNTIFS(AC506:AI506,2,H506:N506,"")&gt;0),EUconst_Error&amp;"FB"&amp;Q406,"")</f>
        <v/>
      </c>
      <c r="AM506" s="349"/>
    </row>
    <row r="507" spans="1:39" ht="12.75" customHeight="1" x14ac:dyDescent="0.3">
      <c r="A507" s="2"/>
      <c r="B507" s="3"/>
      <c r="C507" s="370"/>
      <c r="D507" s="376" t="s">
        <v>9</v>
      </c>
      <c r="E507" s="2613" t="str">
        <f>Translations!$B$605</f>
        <v>Särskild emissionsfaktor (importerad värme)</v>
      </c>
      <c r="F507" s="1997"/>
      <c r="G507" s="364" t="str">
        <f>EUconst_tCO2pTJ</f>
        <v>t CO2 / TJ</v>
      </c>
      <c r="H507" s="582"/>
      <c r="I507" s="582"/>
      <c r="J507" s="582"/>
      <c r="K507" s="582"/>
      <c r="L507" s="582"/>
      <c r="M507" s="582"/>
      <c r="N507" s="1146"/>
      <c r="O507" s="6"/>
      <c r="P507" s="1362"/>
      <c r="Q507" s="298" t="str">
        <f>EUconst_CNTR_HeatImportEF &amp; I406</f>
        <v>HeatImEF_Fjärrvärmedelanläggning</v>
      </c>
      <c r="R507" s="2"/>
      <c r="S507" s="665" t="str">
        <f>EUconst_CNTR_AttributedEmissions &amp; $I406</f>
        <v>AttrEmissions_Fjärrvärmedelanläggning</v>
      </c>
      <c r="T507" s="108" t="str">
        <f t="shared" ref="T507:Z507" si="205">IF(T414,SUM(H506)*IF(ISNUMBER(H507),H507,EUconst_HeatBMvalue),"")</f>
        <v/>
      </c>
      <c r="U507" s="108" t="str">
        <f t="shared" si="205"/>
        <v/>
      </c>
      <c r="V507" s="108" t="str">
        <f t="shared" si="205"/>
        <v/>
      </c>
      <c r="W507" s="108" t="str">
        <f t="shared" si="205"/>
        <v/>
      </c>
      <c r="X507" s="108" t="str">
        <f t="shared" si="205"/>
        <v/>
      </c>
      <c r="Y507" s="108" t="str">
        <f t="shared" si="205"/>
        <v/>
      </c>
      <c r="Z507" s="108" t="str">
        <f t="shared" si="205"/>
        <v/>
      </c>
      <c r="AA507" s="2"/>
      <c r="AB507" s="2"/>
      <c r="AC507" s="108" t="b">
        <f>AC483</f>
        <v>0</v>
      </c>
      <c r="AD507" s="108" t="b">
        <f t="shared" ref="AD507:AI507" si="206">AD483</f>
        <v>0</v>
      </c>
      <c r="AE507" s="108" t="b">
        <f t="shared" si="206"/>
        <v>0</v>
      </c>
      <c r="AF507" s="108" t="b">
        <f t="shared" si="206"/>
        <v>0</v>
      </c>
      <c r="AG507" s="108" t="b">
        <f t="shared" si="206"/>
        <v>0</v>
      </c>
      <c r="AH507" s="108" t="b">
        <f t="shared" si="206"/>
        <v>0</v>
      </c>
      <c r="AI507" s="108" t="b">
        <f t="shared" si="206"/>
        <v>0</v>
      </c>
      <c r="AJ507" s="349"/>
      <c r="AK507" s="349"/>
      <c r="AL507" s="663" t="str">
        <f>IF(AND(CNTR_ExistSubInstEntries,COUNTIFS(AC507:AI507,2,H507:N507,"")&gt;0),EUconst_Error&amp;"FB"&amp;Q406,"")</f>
        <v/>
      </c>
      <c r="AM507" s="349"/>
    </row>
    <row r="508" spans="1:39" ht="5.15" customHeight="1" x14ac:dyDescent="0.25">
      <c r="A508" s="2"/>
      <c r="B508" s="3"/>
      <c r="C508" s="370"/>
      <c r="D508" s="359"/>
      <c r="E508" s="359"/>
      <c r="F508" s="359"/>
      <c r="G508" s="359"/>
      <c r="H508" s="359"/>
      <c r="I508" s="359"/>
      <c r="J508" s="359"/>
      <c r="K508" s="359"/>
      <c r="L508" s="359"/>
      <c r="M508" s="359"/>
      <c r="N508" s="374"/>
      <c r="O508" s="6"/>
      <c r="P508" s="6"/>
      <c r="Q508" s="7"/>
      <c r="R508" s="2"/>
      <c r="S508" s="7"/>
      <c r="T508" s="2"/>
      <c r="U508" s="2"/>
      <c r="V508" s="2"/>
      <c r="W508" s="2"/>
      <c r="X508" s="2"/>
      <c r="Y508" s="2"/>
      <c r="Z508" s="2"/>
      <c r="AA508" s="2"/>
      <c r="AB508" s="2"/>
      <c r="AC508" s="2"/>
      <c r="AD508" s="2"/>
      <c r="AE508" s="2"/>
      <c r="AF508" s="2"/>
      <c r="AG508" s="2"/>
      <c r="AH508" s="2"/>
      <c r="AI508" s="2"/>
      <c r="AJ508" s="349"/>
      <c r="AK508" s="349"/>
      <c r="AL508" s="349"/>
      <c r="AM508" s="349"/>
    </row>
    <row r="509" spans="1:39" ht="12.75" customHeight="1" x14ac:dyDescent="0.25">
      <c r="A509" s="2"/>
      <c r="B509" s="3"/>
      <c r="C509" s="370"/>
      <c r="D509" s="359"/>
      <c r="E509" s="2605" t="str">
        <f>Translations!$B$702</f>
        <v>Värme från produktriktmärke</v>
      </c>
      <c r="F509" s="2497"/>
      <c r="G509" s="361" t="str">
        <f>EUconst_Unit</f>
        <v>Enhet</v>
      </c>
      <c r="H509" s="362">
        <f t="shared" ref="H509:N509" si="207">H$950</f>
        <v>2019</v>
      </c>
      <c r="I509" s="362">
        <f t="shared" si="207"/>
        <v>2020</v>
      </c>
      <c r="J509" s="362">
        <f t="shared" si="207"/>
        <v>2021</v>
      </c>
      <c r="K509" s="362">
        <f t="shared" si="207"/>
        <v>2022</v>
      </c>
      <c r="L509" s="362">
        <f t="shared" si="207"/>
        <v>2023</v>
      </c>
      <c r="M509" s="362">
        <f t="shared" si="207"/>
        <v>2024</v>
      </c>
      <c r="N509" s="1141">
        <f t="shared" si="207"/>
        <v>2025</v>
      </c>
      <c r="O509" s="6"/>
      <c r="P509" s="6"/>
      <c r="Q509" s="7"/>
      <c r="R509" s="2"/>
      <c r="S509" s="7"/>
      <c r="T509" s="40">
        <f t="shared" ref="T509:Z509" si="208">H509</f>
        <v>2019</v>
      </c>
      <c r="U509" s="40">
        <f t="shared" si="208"/>
        <v>2020</v>
      </c>
      <c r="V509" s="40">
        <f t="shared" si="208"/>
        <v>2021</v>
      </c>
      <c r="W509" s="40">
        <f t="shared" si="208"/>
        <v>2022</v>
      </c>
      <c r="X509" s="40">
        <f t="shared" si="208"/>
        <v>2023</v>
      </c>
      <c r="Y509" s="40">
        <f t="shared" si="208"/>
        <v>2024</v>
      </c>
      <c r="Z509" s="40">
        <f t="shared" si="208"/>
        <v>2025</v>
      </c>
      <c r="AA509" s="2"/>
      <c r="AB509" s="343"/>
      <c r="AC509" s="1531">
        <f t="shared" ref="AC509:AI509" si="209">H$950</f>
        <v>2019</v>
      </c>
      <c r="AD509" s="1531">
        <f t="shared" si="209"/>
        <v>2020</v>
      </c>
      <c r="AE509" s="1531">
        <f t="shared" si="209"/>
        <v>2021</v>
      </c>
      <c r="AF509" s="1531">
        <f t="shared" si="209"/>
        <v>2022</v>
      </c>
      <c r="AG509" s="1531">
        <f t="shared" si="209"/>
        <v>2023</v>
      </c>
      <c r="AH509" s="1531">
        <f t="shared" si="209"/>
        <v>2024</v>
      </c>
      <c r="AI509" s="1531">
        <f t="shared" si="209"/>
        <v>2025</v>
      </c>
      <c r="AJ509" s="349"/>
      <c r="AK509" s="349"/>
      <c r="AL509" s="349"/>
      <c r="AM509" s="349"/>
    </row>
    <row r="510" spans="1:39" ht="12.75" customHeight="1" x14ac:dyDescent="0.25">
      <c r="A510" s="2"/>
      <c r="B510" s="3"/>
      <c r="C510" s="370"/>
      <c r="D510" s="376" t="s">
        <v>23</v>
      </c>
      <c r="E510" s="2613" t="str">
        <f>Translations!$B$604</f>
        <v>Nettomängd importerad värme</v>
      </c>
      <c r="F510" s="1997"/>
      <c r="G510" s="364" t="str">
        <f>EUconst_TJpa</f>
        <v>TJ / år</v>
      </c>
      <c r="H510" s="582"/>
      <c r="I510" s="582"/>
      <c r="J510" s="582"/>
      <c r="K510" s="582"/>
      <c r="L510" s="582"/>
      <c r="M510" s="582"/>
      <c r="N510" s="1146"/>
      <c r="O510" s="6"/>
      <c r="P510" s="1362"/>
      <c r="Q510" s="298" t="str">
        <f>EUconst_CNTR_HeatImportProduct &amp; I406</f>
        <v>HeatImProd_Fjärrvärmedelanläggning</v>
      </c>
      <c r="R510" s="2"/>
      <c r="S510" s="1749" t="str">
        <f>EUconst_ERR_AttrEmBMapplied &amp; $I406</f>
        <v>ERR_AttrEmBM_Fjärrvärmedelanläggning</v>
      </c>
      <c r="T510" s="108">
        <f t="shared" ref="T510:Z510" si="210">IF(AND(H510&lt;&gt;0,H511="",EUconst_StatusOfDataCollection=FALSE),1,0)</f>
        <v>0</v>
      </c>
      <c r="U510" s="108">
        <f t="shared" si="210"/>
        <v>0</v>
      </c>
      <c r="V510" s="108">
        <f t="shared" si="210"/>
        <v>0</v>
      </c>
      <c r="W510" s="108">
        <f t="shared" si="210"/>
        <v>0</v>
      </c>
      <c r="X510" s="108">
        <f t="shared" si="210"/>
        <v>0</v>
      </c>
      <c r="Y510" s="108">
        <f t="shared" si="210"/>
        <v>0</v>
      </c>
      <c r="Z510" s="108">
        <f t="shared" si="210"/>
        <v>0</v>
      </c>
      <c r="AA510" s="2"/>
      <c r="AB510" s="672" t="s">
        <v>782</v>
      </c>
      <c r="AC510" s="108" t="b">
        <f>AC506</f>
        <v>0</v>
      </c>
      <c r="AD510" s="108" t="b">
        <f t="shared" ref="AD510:AI510" si="211">AD506</f>
        <v>0</v>
      </c>
      <c r="AE510" s="108" t="b">
        <f t="shared" si="211"/>
        <v>0</v>
      </c>
      <c r="AF510" s="108" t="b">
        <f t="shared" si="211"/>
        <v>0</v>
      </c>
      <c r="AG510" s="108" t="b">
        <f t="shared" si="211"/>
        <v>0</v>
      </c>
      <c r="AH510" s="108" t="b">
        <f t="shared" si="211"/>
        <v>0</v>
      </c>
      <c r="AI510" s="108" t="b">
        <f t="shared" si="211"/>
        <v>0</v>
      </c>
      <c r="AJ510" s="349"/>
      <c r="AK510" s="349"/>
      <c r="AL510" s="663" t="str">
        <f>IF(AND(CNTR_ExistSubInstEntries,COUNTIFS(AC510:AI510,2,H510:N510,"")&gt;0),EUconst_Error&amp;"FB"&amp;Q406,"")</f>
        <v/>
      </c>
      <c r="AM510" s="349"/>
    </row>
    <row r="511" spans="1:39" ht="12.75" customHeight="1" x14ac:dyDescent="0.3">
      <c r="A511" s="2"/>
      <c r="B511" s="3"/>
      <c r="C511" s="370"/>
      <c r="D511" s="376" t="s">
        <v>859</v>
      </c>
      <c r="E511" s="2613" t="str">
        <f>Translations!$B$703</f>
        <v>Särskild emissionsfaktor (från produktriktmärke)</v>
      </c>
      <c r="F511" s="1997"/>
      <c r="G511" s="364" t="str">
        <f>EUconst_tCO2pTJ</f>
        <v>t CO2 / TJ</v>
      </c>
      <c r="H511" s="582"/>
      <c r="I511" s="582"/>
      <c r="J511" s="582"/>
      <c r="K511" s="582"/>
      <c r="L511" s="582"/>
      <c r="M511" s="582"/>
      <c r="N511" s="1146"/>
      <c r="O511" s="6"/>
      <c r="P511" s="1362"/>
      <c r="Q511" s="298" t="str">
        <f>EUconst_CNTR_HeatImportProductEF &amp; I406</f>
        <v>HeatImProdEF_Fjärrvärmedelanläggning</v>
      </c>
      <c r="R511" s="2"/>
      <c r="S511" s="665" t="str">
        <f>EUconst_CNTR_AttributedEmissions &amp; $I406</f>
        <v>AttrEmissions_Fjärrvärmedelanläggning</v>
      </c>
      <c r="T511" s="108" t="str">
        <f t="shared" ref="T511:Z511" si="212">IF(T414,SUM(H510)*IF(ISNUMBER(H511),H511,EUconst_HeatBMvalue),"")</f>
        <v/>
      </c>
      <c r="U511" s="108" t="str">
        <f t="shared" si="212"/>
        <v/>
      </c>
      <c r="V511" s="108" t="str">
        <f t="shared" si="212"/>
        <v/>
      </c>
      <c r="W511" s="108" t="str">
        <f t="shared" si="212"/>
        <v/>
      </c>
      <c r="X511" s="108" t="str">
        <f t="shared" si="212"/>
        <v/>
      </c>
      <c r="Y511" s="108" t="str">
        <f t="shared" si="212"/>
        <v/>
      </c>
      <c r="Z511" s="108" t="str">
        <f t="shared" si="212"/>
        <v/>
      </c>
      <c r="AA511" s="2"/>
      <c r="AB511" s="343"/>
      <c r="AC511" s="108" t="b">
        <f>AC507</f>
        <v>0</v>
      </c>
      <c r="AD511" s="108" t="b">
        <f t="shared" ref="AD511:AI511" si="213">AD507</f>
        <v>0</v>
      </c>
      <c r="AE511" s="108" t="b">
        <f t="shared" si="213"/>
        <v>0</v>
      </c>
      <c r="AF511" s="108" t="b">
        <f t="shared" si="213"/>
        <v>0</v>
      </c>
      <c r="AG511" s="108" t="b">
        <f t="shared" si="213"/>
        <v>0</v>
      </c>
      <c r="AH511" s="108" t="b">
        <f t="shared" si="213"/>
        <v>0</v>
      </c>
      <c r="AI511" s="108" t="b">
        <f t="shared" si="213"/>
        <v>0</v>
      </c>
      <c r="AJ511" s="349"/>
      <c r="AK511" s="349"/>
      <c r="AL511" s="663" t="str">
        <f>IF(AND(CNTR_ExistSubInstEntries,COUNTIFS(AC511:AI511,2,H511:N511,"")&gt;0),EUconst_Error&amp;"FB"&amp;Q406,"")</f>
        <v/>
      </c>
      <c r="AM511" s="349"/>
    </row>
    <row r="512" spans="1:39" ht="5.15" customHeight="1" x14ac:dyDescent="0.25">
      <c r="A512" s="2"/>
      <c r="B512" s="3"/>
      <c r="C512" s="370"/>
      <c r="D512" s="359"/>
      <c r="E512" s="359"/>
      <c r="F512" s="359"/>
      <c r="G512" s="359"/>
      <c r="H512" s="359"/>
      <c r="I512" s="359"/>
      <c r="J512" s="359"/>
      <c r="K512" s="359"/>
      <c r="L512" s="359"/>
      <c r="M512" s="359"/>
      <c r="N512" s="374"/>
      <c r="O512" s="6"/>
      <c r="P512" s="6"/>
      <c r="Q512" s="7"/>
      <c r="R512" s="2"/>
      <c r="S512" s="7"/>
      <c r="T512" s="2"/>
      <c r="U512" s="2"/>
      <c r="V512" s="2"/>
      <c r="W512" s="2"/>
      <c r="X512" s="2"/>
      <c r="Y512" s="2"/>
      <c r="Z512" s="2"/>
      <c r="AA512" s="2"/>
      <c r="AB512" s="343"/>
      <c r="AC512" s="2"/>
      <c r="AD512" s="2"/>
      <c r="AE512" s="2"/>
      <c r="AF512" s="2"/>
      <c r="AG512" s="2"/>
      <c r="AH512" s="2"/>
      <c r="AI512" s="2"/>
      <c r="AJ512" s="349"/>
      <c r="AK512" s="349"/>
      <c r="AL512" s="349"/>
      <c r="AM512" s="349"/>
    </row>
    <row r="513" spans="1:39" ht="12.75" customHeight="1" x14ac:dyDescent="0.25">
      <c r="A513" s="2"/>
      <c r="B513" s="3"/>
      <c r="C513" s="370"/>
      <c r="D513" s="359"/>
      <c r="E513" s="2605" t="str">
        <f>Translations!$B$704</f>
        <v>Värme från massa</v>
      </c>
      <c r="F513" s="2497"/>
      <c r="G513" s="361" t="str">
        <f>EUconst_Unit</f>
        <v>Enhet</v>
      </c>
      <c r="H513" s="362">
        <f t="shared" ref="H513:N513" si="214">H$950</f>
        <v>2019</v>
      </c>
      <c r="I513" s="362">
        <f t="shared" si="214"/>
        <v>2020</v>
      </c>
      <c r="J513" s="362">
        <f t="shared" si="214"/>
        <v>2021</v>
      </c>
      <c r="K513" s="362">
        <f t="shared" si="214"/>
        <v>2022</v>
      </c>
      <c r="L513" s="362">
        <f t="shared" si="214"/>
        <v>2023</v>
      </c>
      <c r="M513" s="362">
        <f t="shared" si="214"/>
        <v>2024</v>
      </c>
      <c r="N513" s="1141">
        <f t="shared" si="214"/>
        <v>2025</v>
      </c>
      <c r="O513" s="6"/>
      <c r="P513" s="6"/>
      <c r="Q513" s="7"/>
      <c r="R513" s="2"/>
      <c r="S513" s="7"/>
      <c r="T513" s="40">
        <f t="shared" ref="T513:Z513" si="215">H513</f>
        <v>2019</v>
      </c>
      <c r="U513" s="40">
        <f t="shared" si="215"/>
        <v>2020</v>
      </c>
      <c r="V513" s="40">
        <f t="shared" si="215"/>
        <v>2021</v>
      </c>
      <c r="W513" s="40">
        <f t="shared" si="215"/>
        <v>2022</v>
      </c>
      <c r="X513" s="40">
        <f t="shared" si="215"/>
        <v>2023</v>
      </c>
      <c r="Y513" s="40">
        <f t="shared" si="215"/>
        <v>2024</v>
      </c>
      <c r="Z513" s="40">
        <f t="shared" si="215"/>
        <v>2025</v>
      </c>
      <c r="AA513" s="2"/>
      <c r="AB513" s="343"/>
      <c r="AC513" s="1531">
        <f t="shared" ref="AC513:AI513" si="216">H$950</f>
        <v>2019</v>
      </c>
      <c r="AD513" s="1531">
        <f t="shared" si="216"/>
        <v>2020</v>
      </c>
      <c r="AE513" s="1531">
        <f t="shared" si="216"/>
        <v>2021</v>
      </c>
      <c r="AF513" s="1531">
        <f t="shared" si="216"/>
        <v>2022</v>
      </c>
      <c r="AG513" s="1531">
        <f t="shared" si="216"/>
        <v>2023</v>
      </c>
      <c r="AH513" s="1531">
        <f t="shared" si="216"/>
        <v>2024</v>
      </c>
      <c r="AI513" s="1531">
        <f t="shared" si="216"/>
        <v>2025</v>
      </c>
      <c r="AJ513" s="349"/>
      <c r="AK513" s="349"/>
      <c r="AL513" s="349"/>
      <c r="AM513" s="349"/>
    </row>
    <row r="514" spans="1:39" ht="12.75" customHeight="1" x14ac:dyDescent="0.25">
      <c r="A514" s="2"/>
      <c r="B514" s="3"/>
      <c r="C514" s="370"/>
      <c r="D514" s="376" t="s">
        <v>861</v>
      </c>
      <c r="E514" s="2613" t="str">
        <f>Translations!$B$604</f>
        <v>Nettomängd importerad värme</v>
      </c>
      <c r="F514" s="1997"/>
      <c r="G514" s="364" t="str">
        <f>EUconst_TJpa</f>
        <v>TJ / år</v>
      </c>
      <c r="H514" s="582"/>
      <c r="I514" s="582"/>
      <c r="J514" s="582"/>
      <c r="K514" s="582"/>
      <c r="L514" s="582"/>
      <c r="M514" s="582"/>
      <c r="N514" s="1146"/>
      <c r="O514" s="6"/>
      <c r="P514" s="1362"/>
      <c r="Q514" s="298" t="str">
        <f>EUconst_CNTR_HeatImportPulp &amp; I406</f>
        <v>HeatImPulp_Fjärrvärmedelanläggning</v>
      </c>
      <c r="R514" s="2"/>
      <c r="S514" s="1749" t="str">
        <f>EUconst_ERR_AttrEmBMapplied &amp; $I406</f>
        <v>ERR_AttrEmBM_Fjärrvärmedelanläggning</v>
      </c>
      <c r="T514" s="108">
        <f t="shared" ref="T514:Z514" si="217">IF(AND(H514&lt;&gt;0,H515="",EUconst_StatusOfDataCollection=FALSE),1,0)</f>
        <v>0</v>
      </c>
      <c r="U514" s="108">
        <f t="shared" si="217"/>
        <v>0</v>
      </c>
      <c r="V514" s="108">
        <f t="shared" si="217"/>
        <v>0</v>
      </c>
      <c r="W514" s="108">
        <f t="shared" si="217"/>
        <v>0</v>
      </c>
      <c r="X514" s="108">
        <f t="shared" si="217"/>
        <v>0</v>
      </c>
      <c r="Y514" s="108">
        <f t="shared" si="217"/>
        <v>0</v>
      </c>
      <c r="Z514" s="108">
        <f t="shared" si="217"/>
        <v>0</v>
      </c>
      <c r="AA514" s="2"/>
      <c r="AB514" s="672" t="s">
        <v>782</v>
      </c>
      <c r="AC514" s="108" t="b">
        <f>AC510</f>
        <v>0</v>
      </c>
      <c r="AD514" s="108" t="b">
        <f t="shared" ref="AD514:AI514" si="218">AD510</f>
        <v>0</v>
      </c>
      <c r="AE514" s="108" t="b">
        <f t="shared" si="218"/>
        <v>0</v>
      </c>
      <c r="AF514" s="108" t="b">
        <f t="shared" si="218"/>
        <v>0</v>
      </c>
      <c r="AG514" s="108" t="b">
        <f t="shared" si="218"/>
        <v>0</v>
      </c>
      <c r="AH514" s="108" t="b">
        <f t="shared" si="218"/>
        <v>0</v>
      </c>
      <c r="AI514" s="108" t="b">
        <f t="shared" si="218"/>
        <v>0</v>
      </c>
      <c r="AJ514" s="349"/>
      <c r="AK514" s="349"/>
      <c r="AL514" s="663" t="str">
        <f>IF(AND(CNTR_ExistSubInstEntries,COUNTIFS(AC514:AI514,2,H514:N514,"")&gt;0),EUconst_Error&amp;"FB"&amp;Q406,"")</f>
        <v/>
      </c>
      <c r="AM514" s="349"/>
    </row>
    <row r="515" spans="1:39" ht="12.75" customHeight="1" x14ac:dyDescent="0.3">
      <c r="A515" s="2"/>
      <c r="B515" s="3"/>
      <c r="C515" s="370"/>
      <c r="D515" s="376" t="s">
        <v>862</v>
      </c>
      <c r="E515" s="2613" t="str">
        <f>Translations!$B$705</f>
        <v>Särskild emissionsfaktor (från massa)</v>
      </c>
      <c r="F515" s="1997"/>
      <c r="G515" s="364" t="str">
        <f>EUconst_tCO2pTJ</f>
        <v>t CO2 / TJ</v>
      </c>
      <c r="H515" s="582"/>
      <c r="I515" s="582"/>
      <c r="J515" s="582"/>
      <c r="K515" s="582"/>
      <c r="L515" s="582"/>
      <c r="M515" s="582"/>
      <c r="N515" s="1146"/>
      <c r="O515" s="6"/>
      <c r="P515" s="1362"/>
      <c r="Q515" s="298" t="str">
        <f>EUconst_CNTR_HeatImportPulpEF &amp; I406</f>
        <v>HeatImPulpEF_Fjärrvärmedelanläggning</v>
      </c>
      <c r="R515" s="2"/>
      <c r="S515" s="665" t="str">
        <f>EUconst_CNTR_AttributedEmissions &amp; $I406</f>
        <v>AttrEmissions_Fjärrvärmedelanläggning</v>
      </c>
      <c r="T515" s="108" t="str">
        <f t="shared" ref="T515:Z515" si="219">IF(T414,SUM(H514)*IF(ISNUMBER(H515),H515,EUconst_HeatBMvalue),"")</f>
        <v/>
      </c>
      <c r="U515" s="108" t="str">
        <f t="shared" si="219"/>
        <v/>
      </c>
      <c r="V515" s="108" t="str">
        <f t="shared" si="219"/>
        <v/>
      </c>
      <c r="W515" s="108" t="str">
        <f t="shared" si="219"/>
        <v/>
      </c>
      <c r="X515" s="108" t="str">
        <f t="shared" si="219"/>
        <v/>
      </c>
      <c r="Y515" s="108" t="str">
        <f t="shared" si="219"/>
        <v/>
      </c>
      <c r="Z515" s="108" t="str">
        <f t="shared" si="219"/>
        <v/>
      </c>
      <c r="AA515" s="2"/>
      <c r="AB515" s="343"/>
      <c r="AC515" s="108" t="b">
        <f>AC511</f>
        <v>0</v>
      </c>
      <c r="AD515" s="108" t="b">
        <f t="shared" ref="AD515:AI515" si="220">AD511</f>
        <v>0</v>
      </c>
      <c r="AE515" s="108" t="b">
        <f t="shared" si="220"/>
        <v>0</v>
      </c>
      <c r="AF515" s="108" t="b">
        <f t="shared" si="220"/>
        <v>0</v>
      </c>
      <c r="AG515" s="108" t="b">
        <f t="shared" si="220"/>
        <v>0</v>
      </c>
      <c r="AH515" s="108" t="b">
        <f t="shared" si="220"/>
        <v>0</v>
      </c>
      <c r="AI515" s="108" t="b">
        <f t="shared" si="220"/>
        <v>0</v>
      </c>
      <c r="AJ515" s="349"/>
      <c r="AK515" s="349"/>
      <c r="AL515" s="663" t="str">
        <f>IF(AND(CNTR_ExistSubInstEntries,COUNTIFS(AC515:AI515,2,H515:N515,"")&gt;0),EUconst_Error&amp;"FB"&amp;Q406,"")</f>
        <v/>
      </c>
      <c r="AM515" s="349"/>
    </row>
    <row r="516" spans="1:39" ht="5.15" customHeight="1" x14ac:dyDescent="0.25">
      <c r="A516" s="2"/>
      <c r="B516" s="3"/>
      <c r="C516" s="370"/>
      <c r="D516" s="359"/>
      <c r="E516" s="359"/>
      <c r="F516" s="359"/>
      <c r="G516" s="359"/>
      <c r="H516" s="359"/>
      <c r="I516" s="359"/>
      <c r="J516" s="359"/>
      <c r="K516" s="359"/>
      <c r="L516" s="359"/>
      <c r="M516" s="359"/>
      <c r="N516" s="374"/>
      <c r="O516" s="6"/>
      <c r="P516" s="6"/>
      <c r="Q516" s="7"/>
      <c r="R516" s="2"/>
      <c r="S516" s="7"/>
      <c r="T516" s="2"/>
      <c r="U516" s="2"/>
      <c r="V516" s="2"/>
      <c r="W516" s="2"/>
      <c r="X516" s="2"/>
      <c r="Y516" s="2"/>
      <c r="Z516" s="2"/>
      <c r="AA516" s="2"/>
      <c r="AB516" s="343"/>
      <c r="AC516" s="2"/>
      <c r="AD516" s="2"/>
      <c r="AE516" s="2"/>
      <c r="AF516" s="2"/>
      <c r="AG516" s="2"/>
      <c r="AH516" s="2"/>
      <c r="AI516" s="2"/>
      <c r="AJ516" s="349"/>
      <c r="AK516" s="349"/>
      <c r="AL516" s="349"/>
      <c r="AM516" s="349"/>
    </row>
    <row r="517" spans="1:39" ht="12.75" customHeight="1" x14ac:dyDescent="0.25">
      <c r="A517" s="2"/>
      <c r="B517" s="3"/>
      <c r="C517" s="370"/>
      <c r="D517" s="359"/>
      <c r="E517" s="2605" t="str">
        <f>Translations!$B$706</f>
        <v>Värme från bränsleriktmärke</v>
      </c>
      <c r="F517" s="2497"/>
      <c r="G517" s="361" t="str">
        <f>EUconst_Unit</f>
        <v>Enhet</v>
      </c>
      <c r="H517" s="362">
        <f t="shared" ref="H517:N517" si="221">H$950</f>
        <v>2019</v>
      </c>
      <c r="I517" s="362">
        <f t="shared" si="221"/>
        <v>2020</v>
      </c>
      <c r="J517" s="362">
        <f t="shared" si="221"/>
        <v>2021</v>
      </c>
      <c r="K517" s="362">
        <f t="shared" si="221"/>
        <v>2022</v>
      </c>
      <c r="L517" s="362">
        <f t="shared" si="221"/>
        <v>2023</v>
      </c>
      <c r="M517" s="362">
        <f t="shared" si="221"/>
        <v>2024</v>
      </c>
      <c r="N517" s="1141">
        <f t="shared" si="221"/>
        <v>2025</v>
      </c>
      <c r="O517" s="6"/>
      <c r="P517" s="6"/>
      <c r="Q517" s="7"/>
      <c r="R517" s="2"/>
      <c r="S517" s="7"/>
      <c r="T517" s="40">
        <f t="shared" ref="T517:Z517" si="222">H517</f>
        <v>2019</v>
      </c>
      <c r="U517" s="40">
        <f t="shared" si="222"/>
        <v>2020</v>
      </c>
      <c r="V517" s="40">
        <f t="shared" si="222"/>
        <v>2021</v>
      </c>
      <c r="W517" s="40">
        <f t="shared" si="222"/>
        <v>2022</v>
      </c>
      <c r="X517" s="40">
        <f t="shared" si="222"/>
        <v>2023</v>
      </c>
      <c r="Y517" s="40">
        <f t="shared" si="222"/>
        <v>2024</v>
      </c>
      <c r="Z517" s="40">
        <f t="shared" si="222"/>
        <v>2025</v>
      </c>
      <c r="AA517" s="2"/>
      <c r="AB517" s="343"/>
      <c r="AC517" s="1531">
        <f t="shared" ref="AC517:AI517" si="223">H$950</f>
        <v>2019</v>
      </c>
      <c r="AD517" s="1531">
        <f t="shared" si="223"/>
        <v>2020</v>
      </c>
      <c r="AE517" s="1531">
        <f t="shared" si="223"/>
        <v>2021</v>
      </c>
      <c r="AF517" s="1531">
        <f t="shared" si="223"/>
        <v>2022</v>
      </c>
      <c r="AG517" s="1531">
        <f t="shared" si="223"/>
        <v>2023</v>
      </c>
      <c r="AH517" s="1531">
        <f t="shared" si="223"/>
        <v>2024</v>
      </c>
      <c r="AI517" s="1531">
        <f t="shared" si="223"/>
        <v>2025</v>
      </c>
      <c r="AJ517" s="349"/>
      <c r="AK517" s="349"/>
      <c r="AL517" s="349"/>
      <c r="AM517" s="349"/>
    </row>
    <row r="518" spans="1:39" ht="12.75" customHeight="1" x14ac:dyDescent="0.25">
      <c r="A518" s="2"/>
      <c r="B518" s="3"/>
      <c r="C518" s="370"/>
      <c r="D518" s="376" t="s">
        <v>72</v>
      </c>
      <c r="E518" s="2613" t="str">
        <f>Translations!$B$604</f>
        <v>Nettomängd importerad värme</v>
      </c>
      <c r="F518" s="1997"/>
      <c r="G518" s="364" t="str">
        <f>EUconst_TJpa</f>
        <v>TJ / år</v>
      </c>
      <c r="H518" s="582"/>
      <c r="I518" s="582"/>
      <c r="J518" s="582"/>
      <c r="K518" s="582"/>
      <c r="L518" s="582"/>
      <c r="M518" s="582"/>
      <c r="N518" s="1146"/>
      <c r="O518" s="6"/>
      <c r="P518" s="1362"/>
      <c r="Q518" s="298" t="str">
        <f>EUconst_CNTR_HeatImportFuel &amp; I406</f>
        <v>HeatImFuel_Fjärrvärmedelanläggning</v>
      </c>
      <c r="R518" s="2"/>
      <c r="S518" s="1749" t="str">
        <f>EUconst_ERR_AttrEmBMapplied &amp; $I406</f>
        <v>ERR_AttrEmBM_Fjärrvärmedelanläggning</v>
      </c>
      <c r="T518" s="108">
        <f t="shared" ref="T518:Z518" si="224">IF(AND(H518&lt;&gt;0,H519="",EUconst_StatusOfDataCollection=FALSE),1,0)</f>
        <v>0</v>
      </c>
      <c r="U518" s="108">
        <f t="shared" si="224"/>
        <v>0</v>
      </c>
      <c r="V518" s="108">
        <f t="shared" si="224"/>
        <v>0</v>
      </c>
      <c r="W518" s="108">
        <f t="shared" si="224"/>
        <v>0</v>
      </c>
      <c r="X518" s="108">
        <f t="shared" si="224"/>
        <v>0</v>
      </c>
      <c r="Y518" s="108">
        <f t="shared" si="224"/>
        <v>0</v>
      </c>
      <c r="Z518" s="108">
        <f t="shared" si="224"/>
        <v>0</v>
      </c>
      <c r="AA518" s="2"/>
      <c r="AB518" s="672" t="s">
        <v>782</v>
      </c>
      <c r="AC518" s="108" t="b">
        <f>AC514</f>
        <v>0</v>
      </c>
      <c r="AD518" s="108" t="b">
        <f t="shared" ref="AD518:AI518" si="225">AD514</f>
        <v>0</v>
      </c>
      <c r="AE518" s="108" t="b">
        <f t="shared" si="225"/>
        <v>0</v>
      </c>
      <c r="AF518" s="108" t="b">
        <f t="shared" si="225"/>
        <v>0</v>
      </c>
      <c r="AG518" s="108" t="b">
        <f t="shared" si="225"/>
        <v>0</v>
      </c>
      <c r="AH518" s="108" t="b">
        <f t="shared" si="225"/>
        <v>0</v>
      </c>
      <c r="AI518" s="108" t="b">
        <f t="shared" si="225"/>
        <v>0</v>
      </c>
      <c r="AJ518" s="349"/>
      <c r="AK518" s="349"/>
      <c r="AL518" s="663" t="str">
        <f>IF(AND(CNTR_ExistSubInstEntries,COUNTIFS(AC518:AI518,2,H518:N518,"")&gt;0),EUconst_Error&amp;"FB"&amp;Q406,"")</f>
        <v/>
      </c>
      <c r="AM518" s="349"/>
    </row>
    <row r="519" spans="1:39" ht="12.75" customHeight="1" x14ac:dyDescent="0.3">
      <c r="A519" s="2"/>
      <c r="B519" s="3"/>
      <c r="C519" s="370"/>
      <c r="D519" s="376" t="s">
        <v>73</v>
      </c>
      <c r="E519" s="2613" t="str">
        <f>Translations!$B$707</f>
        <v>Särskild emissionsfaktor (från bränsleriktmärke)</v>
      </c>
      <c r="F519" s="1997"/>
      <c r="G519" s="364" t="str">
        <f>EUconst_tCO2pTJ</f>
        <v>t CO2 / TJ</v>
      </c>
      <c r="H519" s="582"/>
      <c r="I519" s="582"/>
      <c r="J519" s="582"/>
      <c r="K519" s="582"/>
      <c r="L519" s="582"/>
      <c r="M519" s="582"/>
      <c r="N519" s="1146"/>
      <c r="O519" s="6"/>
      <c r="P519" s="1362"/>
      <c r="Q519" s="298" t="str">
        <f>EUconst_CNTR_HeatImportFuelEF &amp; I406</f>
        <v>HeatImFuelEF_Fjärrvärmedelanläggning</v>
      </c>
      <c r="R519" s="2"/>
      <c r="S519" s="665" t="str">
        <f>EUconst_CNTR_AttributedEmissions &amp; $I406</f>
        <v>AttrEmissions_Fjärrvärmedelanläggning</v>
      </c>
      <c r="T519" s="108" t="str">
        <f t="shared" ref="T519:Z519" si="226">IF(T414,SUM(H518)*IF(ISNUMBER(H519),H519,EUconst_HeatBMvalue),"")</f>
        <v/>
      </c>
      <c r="U519" s="108" t="str">
        <f t="shared" si="226"/>
        <v/>
      </c>
      <c r="V519" s="108" t="str">
        <f t="shared" si="226"/>
        <v/>
      </c>
      <c r="W519" s="108" t="str">
        <f t="shared" si="226"/>
        <v/>
      </c>
      <c r="X519" s="108" t="str">
        <f t="shared" si="226"/>
        <v/>
      </c>
      <c r="Y519" s="108" t="str">
        <f t="shared" si="226"/>
        <v/>
      </c>
      <c r="Z519" s="108" t="str">
        <f t="shared" si="226"/>
        <v/>
      </c>
      <c r="AA519" s="2"/>
      <c r="AB519" s="343"/>
      <c r="AC519" s="108" t="b">
        <f>AC515</f>
        <v>0</v>
      </c>
      <c r="AD519" s="108" t="b">
        <f t="shared" ref="AD519:AI519" si="227">AD515</f>
        <v>0</v>
      </c>
      <c r="AE519" s="108" t="b">
        <f t="shared" si="227"/>
        <v>0</v>
      </c>
      <c r="AF519" s="108" t="b">
        <f t="shared" si="227"/>
        <v>0</v>
      </c>
      <c r="AG519" s="108" t="b">
        <f t="shared" si="227"/>
        <v>0</v>
      </c>
      <c r="AH519" s="108" t="b">
        <f t="shared" si="227"/>
        <v>0</v>
      </c>
      <c r="AI519" s="108" t="b">
        <f t="shared" si="227"/>
        <v>0</v>
      </c>
      <c r="AJ519" s="349"/>
      <c r="AK519" s="349"/>
      <c r="AL519" s="663" t="str">
        <f>IF(AND(CNTR_ExistSubInstEntries,COUNTIFS(AC519:AI519,2,H519:N519,"")&gt;0),EUconst_Error&amp;"FB"&amp;Q406,"")</f>
        <v/>
      </c>
      <c r="AM519" s="349"/>
    </row>
    <row r="520" spans="1:39" ht="5.15" customHeight="1" x14ac:dyDescent="0.25">
      <c r="A520" s="2"/>
      <c r="B520" s="3"/>
      <c r="C520" s="370"/>
      <c r="D520" s="359"/>
      <c r="E520" s="359"/>
      <c r="F520" s="359"/>
      <c r="G520" s="359"/>
      <c r="H520" s="359"/>
      <c r="I520" s="359"/>
      <c r="J520" s="359"/>
      <c r="K520" s="359"/>
      <c r="L520" s="359"/>
      <c r="M520" s="359"/>
      <c r="N520" s="374"/>
      <c r="O520" s="6"/>
      <c r="P520" s="6"/>
      <c r="Q520" s="7"/>
      <c r="R520" s="2"/>
      <c r="S520" s="7"/>
      <c r="T520" s="2"/>
      <c r="U520" s="2"/>
      <c r="V520" s="2"/>
      <c r="W520" s="2"/>
      <c r="X520" s="2"/>
      <c r="Y520" s="2"/>
      <c r="Z520" s="2"/>
      <c r="AA520" s="2"/>
      <c r="AB520" s="343"/>
      <c r="AC520" s="2"/>
      <c r="AD520" s="2"/>
      <c r="AE520" s="2"/>
      <c r="AF520" s="2"/>
      <c r="AG520" s="2"/>
      <c r="AH520" s="2"/>
      <c r="AI520" s="2"/>
      <c r="AJ520" s="349"/>
      <c r="AK520" s="349"/>
      <c r="AL520" s="349"/>
      <c r="AM520" s="349"/>
    </row>
    <row r="521" spans="1:39" ht="12.75" customHeight="1" x14ac:dyDescent="0.25">
      <c r="A521" s="2"/>
      <c r="B521" s="3"/>
      <c r="C521" s="370"/>
      <c r="D521" s="359"/>
      <c r="E521" s="2605" t="str">
        <f>Translations!$B$708</f>
        <v>Värme från restgaser</v>
      </c>
      <c r="F521" s="2497"/>
      <c r="G521" s="361" t="str">
        <f>EUconst_Unit</f>
        <v>Enhet</v>
      </c>
      <c r="H521" s="362">
        <f t="shared" ref="H521:N521" si="228">H$950</f>
        <v>2019</v>
      </c>
      <c r="I521" s="362">
        <f t="shared" si="228"/>
        <v>2020</v>
      </c>
      <c r="J521" s="362">
        <f t="shared" si="228"/>
        <v>2021</v>
      </c>
      <c r="K521" s="362">
        <f t="shared" si="228"/>
        <v>2022</v>
      </c>
      <c r="L521" s="362">
        <f t="shared" si="228"/>
        <v>2023</v>
      </c>
      <c r="M521" s="362">
        <f t="shared" si="228"/>
        <v>2024</v>
      </c>
      <c r="N521" s="1141">
        <f t="shared" si="228"/>
        <v>2025</v>
      </c>
      <c r="O521" s="6"/>
      <c r="P521" s="6"/>
      <c r="Q521" s="7"/>
      <c r="R521" s="2"/>
      <c r="S521" s="7"/>
      <c r="T521" s="40">
        <f t="shared" ref="T521:Z521" si="229">H521</f>
        <v>2019</v>
      </c>
      <c r="U521" s="40">
        <f t="shared" si="229"/>
        <v>2020</v>
      </c>
      <c r="V521" s="40">
        <f t="shared" si="229"/>
        <v>2021</v>
      </c>
      <c r="W521" s="40">
        <f t="shared" si="229"/>
        <v>2022</v>
      </c>
      <c r="X521" s="40">
        <f t="shared" si="229"/>
        <v>2023</v>
      </c>
      <c r="Y521" s="40">
        <f t="shared" si="229"/>
        <v>2024</v>
      </c>
      <c r="Z521" s="40">
        <f t="shared" si="229"/>
        <v>2025</v>
      </c>
      <c r="AA521" s="2"/>
      <c r="AB521" s="343"/>
      <c r="AC521" s="1531">
        <f t="shared" ref="AC521:AI521" si="230">H$950</f>
        <v>2019</v>
      </c>
      <c r="AD521" s="1531">
        <f t="shared" si="230"/>
        <v>2020</v>
      </c>
      <c r="AE521" s="1531">
        <f t="shared" si="230"/>
        <v>2021</v>
      </c>
      <c r="AF521" s="1531">
        <f t="shared" si="230"/>
        <v>2022</v>
      </c>
      <c r="AG521" s="1531">
        <f t="shared" si="230"/>
        <v>2023</v>
      </c>
      <c r="AH521" s="1531">
        <f t="shared" si="230"/>
        <v>2024</v>
      </c>
      <c r="AI521" s="1531">
        <f t="shared" si="230"/>
        <v>2025</v>
      </c>
      <c r="AJ521" s="349"/>
      <c r="AK521" s="349"/>
      <c r="AL521" s="349"/>
      <c r="AM521" s="349"/>
    </row>
    <row r="522" spans="1:39" ht="12.75" customHeight="1" x14ac:dyDescent="0.25">
      <c r="A522" s="2"/>
      <c r="B522" s="3"/>
      <c r="C522" s="370"/>
      <c r="D522" s="376" t="s">
        <v>1201</v>
      </c>
      <c r="E522" s="2613" t="str">
        <f>Translations!$B$604</f>
        <v>Nettomängd importerad värme</v>
      </c>
      <c r="F522" s="1997"/>
      <c r="G522" s="364" t="str">
        <f>EUconst_TJpa</f>
        <v>TJ / år</v>
      </c>
      <c r="H522" s="582"/>
      <c r="I522" s="582"/>
      <c r="J522" s="582"/>
      <c r="K522" s="582"/>
      <c r="L522" s="582"/>
      <c r="M522" s="582"/>
      <c r="N522" s="1146"/>
      <c r="O522" s="6"/>
      <c r="P522" s="1362"/>
      <c r="Q522" s="298" t="str">
        <f>EUconst_CNTR_WGImport &amp; I406</f>
        <v>WasteGasIm_Fjärrvärmedelanläggning</v>
      </c>
      <c r="R522" s="2"/>
      <c r="S522" s="1749" t="str">
        <f>EUconst_ERR_AttrEmBMapplied &amp; $I406</f>
        <v>ERR_AttrEmBM_Fjärrvärmedelanläggning</v>
      </c>
      <c r="T522" s="108">
        <f t="shared" ref="T522:Z522" si="231">IF(AND(H522&lt;&gt;0,EUconst_StatusOfDataCollection=FALSE),1,0)</f>
        <v>0</v>
      </c>
      <c r="U522" s="108">
        <f t="shared" si="231"/>
        <v>0</v>
      </c>
      <c r="V522" s="108">
        <f t="shared" si="231"/>
        <v>0</v>
      </c>
      <c r="W522" s="108">
        <f t="shared" si="231"/>
        <v>0</v>
      </c>
      <c r="X522" s="108">
        <f t="shared" si="231"/>
        <v>0</v>
      </c>
      <c r="Y522" s="108">
        <f t="shared" si="231"/>
        <v>0</v>
      </c>
      <c r="Z522" s="108">
        <f t="shared" si="231"/>
        <v>0</v>
      </c>
      <c r="AA522" s="2"/>
      <c r="AB522" s="672" t="s">
        <v>782</v>
      </c>
      <c r="AC522" s="108" t="b">
        <f>AC518</f>
        <v>0</v>
      </c>
      <c r="AD522" s="108" t="b">
        <f t="shared" ref="AD522:AI522" si="232">AD518</f>
        <v>0</v>
      </c>
      <c r="AE522" s="108" t="b">
        <f t="shared" si="232"/>
        <v>0</v>
      </c>
      <c r="AF522" s="108" t="b">
        <f t="shared" si="232"/>
        <v>0</v>
      </c>
      <c r="AG522" s="108" t="b">
        <f t="shared" si="232"/>
        <v>0</v>
      </c>
      <c r="AH522" s="108" t="b">
        <f t="shared" si="232"/>
        <v>0</v>
      </c>
      <c r="AI522" s="108" t="b">
        <f t="shared" si="232"/>
        <v>0</v>
      </c>
      <c r="AJ522" s="349"/>
      <c r="AK522" s="349"/>
      <c r="AL522" s="663" t="str">
        <f>IF(AND(CNTR_ExistSubInstEntries,COUNTIFS(AC522:AI522,2,H522:N522,"")&gt;0),EUconst_Error&amp;"FB"&amp;Q406,"")</f>
        <v/>
      </c>
      <c r="AM522" s="349"/>
    </row>
    <row r="523" spans="1:39" ht="12.75" customHeight="1" x14ac:dyDescent="0.3">
      <c r="A523" s="2"/>
      <c r="B523" s="3"/>
      <c r="C523" s="370"/>
      <c r="D523" s="376" t="s">
        <v>1202</v>
      </c>
      <c r="E523" s="2613" t="str">
        <f>Translations!$B$709</f>
        <v>Särskild emissionsfaktor (från restgas)</v>
      </c>
      <c r="F523" s="1997"/>
      <c r="G523" s="364" t="str">
        <f>EUconst_tCO2pTJ</f>
        <v>t CO2 / TJ</v>
      </c>
      <c r="H523" s="582"/>
      <c r="I523" s="582"/>
      <c r="J523" s="582"/>
      <c r="K523" s="582"/>
      <c r="L523" s="582"/>
      <c r="M523" s="582"/>
      <c r="N523" s="1146"/>
      <c r="O523" s="6"/>
      <c r="P523" s="1362"/>
      <c r="Q523" s="298" t="str">
        <f>EUconst_CNTR_WGImportEF &amp; I406</f>
        <v>WasteGasImEF_Fjärrvärmedelanläggning</v>
      </c>
      <c r="R523" s="2"/>
      <c r="S523" s="665" t="str">
        <f>EUconst_CNTR_AttributedEmissions &amp; $I406</f>
        <v>AttrEmissions_Fjärrvärmedelanläggning</v>
      </c>
      <c r="T523" s="108" t="str">
        <f t="shared" ref="T523:Z523" si="233">IF(T414,SUM(H522)*IF(ISNUMBER(H523),H523,EUconst_HeatBMvalue),"")</f>
        <v/>
      </c>
      <c r="U523" s="108" t="str">
        <f t="shared" si="233"/>
        <v/>
      </c>
      <c r="V523" s="108" t="str">
        <f t="shared" si="233"/>
        <v/>
      </c>
      <c r="W523" s="108" t="str">
        <f t="shared" si="233"/>
        <v/>
      </c>
      <c r="X523" s="108" t="str">
        <f t="shared" si="233"/>
        <v/>
      </c>
      <c r="Y523" s="108" t="str">
        <f t="shared" si="233"/>
        <v/>
      </c>
      <c r="Z523" s="108" t="str">
        <f t="shared" si="233"/>
        <v/>
      </c>
      <c r="AA523" s="2"/>
      <c r="AB523" s="2"/>
      <c r="AC523" s="108" t="b">
        <f>AC519</f>
        <v>0</v>
      </c>
      <c r="AD523" s="108" t="b">
        <f t="shared" ref="AD523:AI523" si="234">AD519</f>
        <v>0</v>
      </c>
      <c r="AE523" s="108" t="b">
        <f t="shared" si="234"/>
        <v>0</v>
      </c>
      <c r="AF523" s="108" t="b">
        <f t="shared" si="234"/>
        <v>0</v>
      </c>
      <c r="AG523" s="108" t="b">
        <f t="shared" si="234"/>
        <v>0</v>
      </c>
      <c r="AH523" s="108" t="b">
        <f t="shared" si="234"/>
        <v>0</v>
      </c>
      <c r="AI523" s="108" t="b">
        <f t="shared" si="234"/>
        <v>0</v>
      </c>
      <c r="AJ523" s="349"/>
      <c r="AK523" s="349"/>
      <c r="AL523" s="663" t="str">
        <f>IF(AND(CNTR_ExistSubInstEntries,COUNTIFS(AC523:AI523,2,H523:N523,"")&gt;0),EUconst_Error&amp;"FB"&amp;Q406,"")</f>
        <v/>
      </c>
      <c r="AM523" s="349"/>
    </row>
    <row r="524" spans="1:39" ht="5.15" customHeight="1" x14ac:dyDescent="0.25">
      <c r="A524" s="2"/>
      <c r="B524" s="3"/>
      <c r="C524" s="370"/>
      <c r="D524" s="359"/>
      <c r="E524" s="359"/>
      <c r="F524" s="359"/>
      <c r="G524" s="359"/>
      <c r="H524" s="359"/>
      <c r="I524" s="359"/>
      <c r="J524" s="359"/>
      <c r="K524" s="359"/>
      <c r="L524" s="359"/>
      <c r="M524" s="359"/>
      <c r="N524" s="374"/>
      <c r="O524" s="6"/>
      <c r="P524" s="6"/>
      <c r="Q524" s="7"/>
      <c r="R524" s="2"/>
      <c r="S524" s="7"/>
      <c r="T524" s="7"/>
      <c r="U524" s="2"/>
      <c r="V524" s="2"/>
      <c r="W524" s="2"/>
      <c r="X524" s="2"/>
      <c r="Y524" s="2"/>
      <c r="Z524" s="2"/>
      <c r="AA524" s="2"/>
      <c r="AB524" s="2"/>
      <c r="AC524" s="2"/>
      <c r="AD524" s="2"/>
      <c r="AE524" s="349"/>
      <c r="AF524" s="349"/>
      <c r="AG524" s="349"/>
      <c r="AH524" s="349"/>
      <c r="AI524" s="349"/>
      <c r="AJ524" s="349"/>
      <c r="AK524" s="349"/>
      <c r="AL524" s="349"/>
      <c r="AM524" s="349"/>
    </row>
    <row r="525" spans="1:39" ht="12.75" customHeight="1" x14ac:dyDescent="0.25">
      <c r="A525" s="2"/>
      <c r="B525" s="3"/>
      <c r="C525" s="370"/>
      <c r="D525" s="376" t="s">
        <v>1204</v>
      </c>
      <c r="E525" s="2613" t="str">
        <f>Translations!$B$710</f>
        <v>Total importerad nettovärme</v>
      </c>
      <c r="F525" s="1997"/>
      <c r="G525" s="364" t="str">
        <f>EUconst_TJpa</f>
        <v>TJ / år</v>
      </c>
      <c r="H525" s="351" t="str">
        <f t="shared" ref="H525:N525" si="235">IF(COUNT(H506,H510,H514,H518,H522)&gt;0,SUM(H506,H510,H514,H518,H522),"")</f>
        <v/>
      </c>
      <c r="I525" s="351" t="str">
        <f t="shared" si="235"/>
        <v/>
      </c>
      <c r="J525" s="351" t="str">
        <f t="shared" si="235"/>
        <v/>
      </c>
      <c r="K525" s="351" t="str">
        <f t="shared" si="235"/>
        <v/>
      </c>
      <c r="L525" s="351" t="str">
        <f t="shared" si="235"/>
        <v/>
      </c>
      <c r="M525" s="351" t="str">
        <f t="shared" si="235"/>
        <v/>
      </c>
      <c r="N525" s="1148" t="str">
        <f t="shared" si="235"/>
        <v/>
      </c>
      <c r="O525" s="6"/>
      <c r="P525" s="6"/>
      <c r="Q525" s="2"/>
      <c r="R525" s="2"/>
      <c r="S525" s="7"/>
      <c r="T525" s="7"/>
      <c r="U525" s="2"/>
      <c r="V525" s="2"/>
      <c r="W525" s="2"/>
      <c r="X525" s="2"/>
      <c r="Y525" s="2"/>
      <c r="Z525" s="2"/>
      <c r="AA525" s="2"/>
      <c r="AB525" s="2"/>
      <c r="AC525" s="2"/>
      <c r="AD525" s="2"/>
      <c r="AE525" s="349"/>
      <c r="AF525" s="349"/>
      <c r="AG525" s="349"/>
      <c r="AH525" s="349"/>
      <c r="AI525" s="349"/>
      <c r="AJ525" s="349"/>
      <c r="AK525" s="349"/>
      <c r="AL525" s="349"/>
      <c r="AM525" s="349"/>
    </row>
    <row r="526" spans="1:39" ht="12.75" customHeight="1" thickBot="1" x14ac:dyDescent="0.3">
      <c r="A526" s="2"/>
      <c r="B526" s="3"/>
      <c r="C526" s="377"/>
      <c r="D526" s="378"/>
      <c r="E526" s="378"/>
      <c r="F526" s="378"/>
      <c r="G526" s="378"/>
      <c r="H526" s="378"/>
      <c r="I526" s="378"/>
      <c r="J526" s="378"/>
      <c r="K526" s="378"/>
      <c r="L526" s="378"/>
      <c r="M526" s="379"/>
      <c r="N526" s="380"/>
      <c r="O526" s="6"/>
      <c r="P526" s="6"/>
      <c r="Q526" s="7"/>
      <c r="R526" s="2"/>
      <c r="S526" s="7"/>
      <c r="T526" s="2"/>
      <c r="U526" s="2"/>
      <c r="V526" s="2"/>
      <c r="W526" s="2"/>
      <c r="X526" s="2"/>
      <c r="Y526" s="2"/>
      <c r="Z526" s="2"/>
      <c r="AA526" s="2"/>
      <c r="AB526" s="2"/>
      <c r="AC526" s="2"/>
      <c r="AD526" s="2"/>
      <c r="AE526" s="349"/>
      <c r="AF526" s="349"/>
      <c r="AG526" s="349"/>
      <c r="AH526" s="349"/>
      <c r="AI526" s="349"/>
      <c r="AJ526" s="349"/>
      <c r="AK526" s="349"/>
      <c r="AL526" s="349"/>
      <c r="AM526" s="349"/>
    </row>
    <row r="527" spans="1:39" ht="25.5" customHeight="1" thickBot="1" x14ac:dyDescent="0.3">
      <c r="A527" s="2"/>
      <c r="B527" s="19"/>
      <c r="C527" s="19"/>
      <c r="D527" s="19"/>
      <c r="E527" s="19"/>
      <c r="F527" s="19"/>
      <c r="G527" s="19"/>
      <c r="H527" s="19"/>
      <c r="I527" s="19"/>
      <c r="J527" s="19"/>
      <c r="K527" s="19"/>
      <c r="L527" s="19"/>
      <c r="M527" s="19"/>
      <c r="N527" s="19"/>
      <c r="O527" s="6"/>
      <c r="P527" s="6"/>
      <c r="Q527" s="2"/>
      <c r="R527" s="2"/>
      <c r="S527" s="2"/>
      <c r="T527" s="2"/>
      <c r="U527" s="2"/>
      <c r="V527" s="2"/>
      <c r="W527" s="2"/>
      <c r="X527" s="2"/>
      <c r="Y527" s="2"/>
      <c r="Z527" s="2"/>
      <c r="AA527" s="2"/>
      <c r="AB527" s="2"/>
      <c r="AC527" s="2"/>
      <c r="AD527" s="2"/>
      <c r="AE527" s="349"/>
      <c r="AF527" s="349"/>
      <c r="AG527" s="349"/>
      <c r="AH527" s="349"/>
      <c r="AI527" s="349"/>
      <c r="AJ527" s="349"/>
      <c r="AK527" s="349"/>
      <c r="AL527" s="349"/>
      <c r="AM527" s="349"/>
    </row>
    <row r="528" spans="1:39" ht="5.15" customHeight="1" thickBot="1" x14ac:dyDescent="0.3">
      <c r="A528" s="343"/>
      <c r="B528" s="3"/>
      <c r="C528" s="230"/>
      <c r="D528" s="230"/>
      <c r="E528" s="230"/>
      <c r="F528" s="230"/>
      <c r="G528" s="230"/>
      <c r="H528" s="230"/>
      <c r="I528" s="230"/>
      <c r="J528" s="230"/>
      <c r="K528" s="230"/>
      <c r="L528" s="230"/>
      <c r="M528" s="230"/>
      <c r="N528" s="230"/>
      <c r="O528" s="6"/>
      <c r="P528" s="6"/>
      <c r="Q528" s="1767"/>
      <c r="R528" s="1767"/>
      <c r="S528" s="1767"/>
      <c r="T528" s="1767"/>
      <c r="U528" s="1767"/>
      <c r="V528" s="1767"/>
      <c r="W528" s="1767"/>
      <c r="X528" s="1767"/>
      <c r="Y528" s="1767"/>
      <c r="Z528" s="1767"/>
      <c r="AA528" s="1767"/>
      <c r="AB528" s="1767"/>
      <c r="AC528" s="1767"/>
      <c r="AD528" s="1767"/>
      <c r="AE528" s="1767"/>
      <c r="AF528" s="1767"/>
      <c r="AG528" s="1767"/>
      <c r="AH528" s="1767"/>
      <c r="AI528" s="1767"/>
      <c r="AJ528" s="1767"/>
      <c r="AK528" s="1767"/>
      <c r="AL528" s="1767"/>
      <c r="AM528" s="1767"/>
    </row>
    <row r="529" spans="1:39" ht="14.5" thickBot="1" x14ac:dyDescent="0.35">
      <c r="A529" s="2"/>
      <c r="B529" s="3"/>
      <c r="C529" s="17">
        <f>C406+1</f>
        <v>4</v>
      </c>
      <c r="D529" s="2053" t="str">
        <f>EUconst_FBSubinst &amp; ":"</f>
        <v>”Fall-back”-delanläggning:</v>
      </c>
      <c r="E529" s="1963"/>
      <c r="F529" s="1963"/>
      <c r="G529" s="1963"/>
      <c r="H529" s="2060"/>
      <c r="I529" s="2090" t="str">
        <f>INDEX(EUconst_FallBackListNames,$C529)</f>
        <v>Delanläggning med bränsleriktmärke, KL</v>
      </c>
      <c r="J529" s="2120"/>
      <c r="K529" s="2120"/>
      <c r="L529" s="2648"/>
      <c r="M529" s="2085" t="str">
        <f>IF(INDEX(CNTR_FallBackSubInstRelevant,C529)="","",IF(INDEX(CNTR_FallBackSubInstRelevant,C529),EUconst_Relevant,EUconst_NotRelevant))</f>
        <v/>
      </c>
      <c r="N529" s="2086"/>
      <c r="O529" s="6"/>
      <c r="P529" s="6"/>
      <c r="Q529" s="452">
        <f>C529</f>
        <v>4</v>
      </c>
      <c r="R529" s="2"/>
      <c r="S529" s="553" t="s">
        <v>608</v>
      </c>
      <c r="T529" s="979" t="str">
        <f>IF(M529&lt;&gt;EUconst_Relevant,"",MAX(INDEX(CNTR_SubInstStartDate,MATCH($I529,CNTR_SubInstListNames,0)),DATE(2005,1,1)))</f>
        <v/>
      </c>
      <c r="U529" s="343" t="s">
        <v>1873</v>
      </c>
      <c r="V529" s="663">
        <f>IF(ISNUMBER(T529),YEAR($T529-IF(YEAR(T529)&gt;=2022,0,1))+1,2005)</f>
        <v>2005</v>
      </c>
      <c r="W529" s="553" t="s">
        <v>1876</v>
      </c>
      <c r="X529" s="979" t="str">
        <f>IF(M529&lt;&gt;EUconst_Relevant,"",INDEX(CNTR_SubInstCessationDate,MATCH($I529,CNTR_SubInstListNames,0)))</f>
        <v/>
      </c>
      <c r="Y529" s="553" t="s">
        <v>1877</v>
      </c>
      <c r="Z529" s="663">
        <f>IF(SUM(X529)=0,2050,YEAR($X529))</f>
        <v>2050</v>
      </c>
      <c r="AA529" s="553" t="s">
        <v>2201</v>
      </c>
      <c r="AB529" s="663" t="b">
        <f>CNTR_ReportingYear&gt;V529</f>
        <v>1</v>
      </c>
      <c r="AC529" s="553" t="s">
        <v>1475</v>
      </c>
      <c r="AD529" s="555" t="b">
        <f>AND(CNTR_ExistSubInstEntries,M529=EUconst_NotRelevant)</f>
        <v>0</v>
      </c>
      <c r="AE529" s="349"/>
      <c r="AF529" s="349"/>
      <c r="AG529" s="349"/>
      <c r="AH529" s="349"/>
      <c r="AI529" s="349"/>
      <c r="AJ529" s="349"/>
      <c r="AK529" s="349"/>
      <c r="AL529" s="349"/>
      <c r="AM529" s="349"/>
    </row>
    <row r="530" spans="1:39" ht="12.75" customHeight="1" x14ac:dyDescent="0.25">
      <c r="A530" s="2"/>
      <c r="B530" s="19"/>
      <c r="C530" s="19"/>
      <c r="D530" s="19"/>
      <c r="E530" s="19"/>
      <c r="F530" s="19"/>
      <c r="G530" s="19"/>
      <c r="H530" s="45"/>
      <c r="I530" s="2683" t="str">
        <f>IF(M529&lt;&gt;EUconst_Relevant,"",IF(M529=EUconst_Relevant,HYPERLINK("",EUconst_MsgEnterThisSection),HYPERLINK(R530,EUconst_MsgGoToNextSubInst)))</f>
        <v/>
      </c>
      <c r="J530" s="2684"/>
      <c r="K530" s="2684"/>
      <c r="L530" s="2684"/>
      <c r="M530" s="2685"/>
      <c r="N530" s="2686"/>
      <c r="O530" s="6"/>
      <c r="P530" s="6"/>
      <c r="Q530" s="2" t="s">
        <v>484</v>
      </c>
      <c r="R530" s="394" t="str">
        <f>"#JUMP_G"&amp;Q529+1</f>
        <v>#JUMP_G5</v>
      </c>
      <c r="S530" s="2"/>
      <c r="T530" s="2"/>
      <c r="U530" s="2"/>
      <c r="V530" s="2"/>
      <c r="W530" s="2"/>
      <c r="X530" s="2"/>
      <c r="Y530" s="2"/>
      <c r="Z530" s="343"/>
      <c r="AA530" s="2"/>
      <c r="AB530" s="2"/>
      <c r="AC530" s="2"/>
      <c r="AD530" s="2"/>
      <c r="AE530" s="349"/>
      <c r="AF530" s="349"/>
      <c r="AG530" s="349"/>
      <c r="AH530" s="349"/>
      <c r="AI530" s="349"/>
      <c r="AJ530" s="349"/>
      <c r="AK530" s="349"/>
      <c r="AL530" s="349"/>
      <c r="AM530" s="349"/>
    </row>
    <row r="531" spans="1:39" ht="12.75" customHeight="1" x14ac:dyDescent="0.25">
      <c r="A531" s="2"/>
      <c r="B531" s="3"/>
      <c r="C531" s="3"/>
      <c r="D531" s="15"/>
      <c r="E531" s="2061" t="str">
        <f>Translations!$B$663</f>
        <v>Namnet på ”fall-back”-delanläggningen visas automatiskt på grundval av den sammanställda listan över möjliga ”fall-back”-anläggningar.</v>
      </c>
      <c r="F531" s="1963"/>
      <c r="G531" s="1963"/>
      <c r="H531" s="1963"/>
      <c r="I531" s="1963"/>
      <c r="J531" s="1963"/>
      <c r="K531" s="1963"/>
      <c r="L531" s="1963"/>
      <c r="M531" s="1963"/>
      <c r="N531" s="1963"/>
      <c r="O531" s="6"/>
      <c r="P531" s="6"/>
      <c r="Q531" s="7"/>
      <c r="R531" s="7"/>
      <c r="S531" s="2"/>
      <c r="T531" s="2"/>
      <c r="U531" s="2"/>
      <c r="V531" s="2"/>
      <c r="W531" s="2"/>
      <c r="X531" s="2"/>
      <c r="Y531" s="2"/>
      <c r="Z531" s="2"/>
      <c r="AA531" s="2"/>
      <c r="AB531" s="2"/>
      <c r="AC531" s="2"/>
      <c r="AD531" s="2"/>
      <c r="AE531" s="349"/>
      <c r="AF531" s="349"/>
      <c r="AG531" s="349"/>
      <c r="AH531" s="349"/>
      <c r="AI531" s="349"/>
      <c r="AJ531" s="349"/>
      <c r="AK531" s="349"/>
      <c r="AL531" s="349"/>
      <c r="AM531" s="349"/>
    </row>
    <row r="532" spans="1:39" ht="5.15" customHeight="1" x14ac:dyDescent="0.25">
      <c r="A532" s="2"/>
      <c r="B532" s="3"/>
      <c r="C532" s="3"/>
      <c r="D532" s="3"/>
      <c r="E532" s="3"/>
      <c r="F532" s="3"/>
      <c r="G532" s="3"/>
      <c r="H532" s="3"/>
      <c r="I532" s="3"/>
      <c r="J532" s="3"/>
      <c r="K532" s="3"/>
      <c r="L532" s="3"/>
      <c r="M532" s="6"/>
      <c r="N532" s="6"/>
      <c r="O532" s="6"/>
      <c r="P532" s="6"/>
      <c r="Q532" s="7"/>
      <c r="R532" s="7"/>
      <c r="S532" s="7"/>
      <c r="T532" s="7"/>
      <c r="U532" s="7"/>
      <c r="V532" s="7"/>
      <c r="W532" s="7"/>
      <c r="X532" s="7"/>
      <c r="Y532" s="7"/>
      <c r="Z532" s="2"/>
      <c r="AA532" s="2"/>
      <c r="AB532" s="2"/>
      <c r="AC532" s="2"/>
      <c r="AD532" s="2"/>
      <c r="AE532" s="349"/>
      <c r="AF532" s="349"/>
      <c r="AG532" s="349"/>
      <c r="AH532" s="349"/>
      <c r="AI532" s="349"/>
      <c r="AJ532" s="349"/>
      <c r="AK532" s="349"/>
      <c r="AL532" s="349"/>
      <c r="AM532" s="349"/>
    </row>
    <row r="533" spans="1:39" ht="12.75" customHeight="1" x14ac:dyDescent="0.25">
      <c r="A533" s="2"/>
      <c r="B533" s="3"/>
      <c r="C533" s="13"/>
      <c r="D533" s="13" t="s">
        <v>442</v>
      </c>
      <c r="E533" s="1943" t="str">
        <f>Translations!$B$1466</f>
        <v>Verksamhetsnivåer</v>
      </c>
      <c r="F533" s="1963"/>
      <c r="G533" s="1963"/>
      <c r="H533" s="1963"/>
      <c r="I533" s="1963"/>
      <c r="J533" s="1963"/>
      <c r="K533" s="1963"/>
      <c r="L533" s="1963"/>
      <c r="M533" s="1963"/>
      <c r="N533" s="1963"/>
      <c r="O533" s="6"/>
      <c r="P533" s="6"/>
      <c r="Q533" s="7"/>
      <c r="R533" s="7"/>
      <c r="S533" s="7"/>
      <c r="T533" s="7"/>
      <c r="U533" s="7"/>
      <c r="V533" s="7"/>
      <c r="W533" s="7"/>
      <c r="X533" s="7"/>
      <c r="Y533" s="7"/>
      <c r="Z533" s="2"/>
      <c r="AA533" s="2"/>
      <c r="AB533" s="343"/>
      <c r="AC533" s="2"/>
      <c r="AD533" s="2"/>
      <c r="AE533" s="349"/>
      <c r="AF533" s="349"/>
      <c r="AG533" s="349"/>
      <c r="AH533" s="349"/>
      <c r="AI533" s="349"/>
      <c r="AJ533" s="349"/>
      <c r="AK533" s="349"/>
      <c r="AL533" s="349"/>
      <c r="AM533" s="349"/>
    </row>
    <row r="534" spans="1:39" ht="12.75" customHeight="1" x14ac:dyDescent="0.25">
      <c r="A534" s="2"/>
      <c r="B534" s="3"/>
      <c r="C534" s="15"/>
      <c r="D534" s="15"/>
      <c r="E534" s="2682" t="str">
        <f>Translations!$B$1527</f>
        <v>Följande uppgifter hämtas automatiskt från bladet ”E_EnergyFlows”, avsnitt E.I.Uppgifter måste därför matas in där.</v>
      </c>
      <c r="F534" s="2682"/>
      <c r="G534" s="2682"/>
      <c r="H534" s="2682"/>
      <c r="I534" s="2682"/>
      <c r="J534" s="2682"/>
      <c r="K534" s="2682"/>
      <c r="L534" s="2682"/>
      <c r="M534" s="2682"/>
      <c r="N534" s="2682"/>
      <c r="O534" s="6"/>
      <c r="P534" s="6"/>
      <c r="Q534" s="7"/>
      <c r="R534" s="2"/>
      <c r="S534" s="2"/>
      <c r="T534" s="2"/>
      <c r="U534" s="2"/>
      <c r="V534" s="2"/>
      <c r="W534" s="2"/>
      <c r="X534" s="2"/>
      <c r="Y534" s="2"/>
      <c r="Z534" s="2"/>
      <c r="AA534" s="2"/>
      <c r="AB534" s="2"/>
      <c r="AC534" s="2"/>
      <c r="AD534" s="2"/>
      <c r="AE534" s="349"/>
      <c r="AF534" s="349"/>
      <c r="AG534" s="349"/>
      <c r="AH534" s="349"/>
      <c r="AI534" s="349"/>
      <c r="AJ534" s="349"/>
      <c r="AK534" s="349"/>
      <c r="AL534" s="349"/>
      <c r="AM534" s="349"/>
    </row>
    <row r="535" spans="1:39" ht="12.75" customHeight="1" x14ac:dyDescent="0.25">
      <c r="A535" s="2"/>
      <c r="B535" s="3"/>
      <c r="C535" s="3"/>
      <c r="D535" s="15"/>
      <c r="E535" s="2095" t="str">
        <f>Translations!$B$1486</f>
        <v>Baserat på när start av drift inträffade enligt avsnitt B+C.I i bladet "B+C_SubInstallations" kommer den historiska verksamhetsnivån (HAL) antingen att baseras på värdena enligt de nationella genomförandeåtgärderna (visas under ii) eller det första hela kalenderårets drift för nya delanläggningar (visas under iv).</v>
      </c>
      <c r="F535" s="2706"/>
      <c r="G535" s="2706"/>
      <c r="H535" s="2706"/>
      <c r="I535" s="2706"/>
      <c r="J535" s="2706"/>
      <c r="K535" s="2706"/>
      <c r="L535" s="2706"/>
      <c r="M535" s="2706"/>
      <c r="N535" s="2706"/>
      <c r="O535" s="6"/>
      <c r="P535" s="6"/>
      <c r="Q535" s="7"/>
      <c r="R535" s="2"/>
      <c r="S535" s="2"/>
      <c r="T535" s="2"/>
      <c r="U535" s="2"/>
      <c r="V535" s="2"/>
      <c r="W535" s="2"/>
      <c r="X535" s="2"/>
      <c r="Y535" s="2"/>
      <c r="Z535" s="2"/>
      <c r="AA535" s="343"/>
      <c r="AB535" s="343"/>
      <c r="AC535" s="2"/>
      <c r="AD535" s="2"/>
      <c r="AE535" s="349"/>
      <c r="AF535" s="349"/>
      <c r="AG535" s="349"/>
      <c r="AH535" s="349"/>
      <c r="AI535" s="349"/>
      <c r="AJ535" s="349"/>
      <c r="AK535" s="349"/>
      <c r="AL535" s="349"/>
      <c r="AM535" s="349"/>
    </row>
    <row r="536" spans="1:39" ht="12.75" customHeight="1" thickBot="1" x14ac:dyDescent="0.3">
      <c r="A536" s="2"/>
      <c r="B536" s="19"/>
      <c r="C536" s="13"/>
      <c r="D536" s="13"/>
      <c r="E536" s="42" t="str">
        <f>Translations!$B$665</f>
        <v>Huvudsaklig verksamhetsnivå:</v>
      </c>
      <c r="F536" s="913"/>
      <c r="G536" s="30" t="str">
        <f>EUconst_Unit</f>
        <v>Enhet</v>
      </c>
      <c r="H536" s="320">
        <f t="shared" ref="H536:N536" si="236">H$950</f>
        <v>2019</v>
      </c>
      <c r="I536" s="342">
        <f t="shared" si="236"/>
        <v>2020</v>
      </c>
      <c r="J536" s="987">
        <f t="shared" si="236"/>
        <v>2021</v>
      </c>
      <c r="K536" s="320">
        <f t="shared" si="236"/>
        <v>2022</v>
      </c>
      <c r="L536" s="320">
        <f t="shared" si="236"/>
        <v>2023</v>
      </c>
      <c r="M536" s="320">
        <f t="shared" si="236"/>
        <v>2024</v>
      </c>
      <c r="N536" s="350">
        <f t="shared" si="236"/>
        <v>2025</v>
      </c>
      <c r="O536" s="6"/>
      <c r="P536" s="6"/>
      <c r="Q536" s="152" t="s">
        <v>594</v>
      </c>
      <c r="R536" s="2"/>
      <c r="S536" s="2"/>
      <c r="T536" s="1044">
        <f t="shared" ref="T536:Z536" si="237">H536</f>
        <v>2019</v>
      </c>
      <c r="U536" s="1044">
        <f t="shared" si="237"/>
        <v>2020</v>
      </c>
      <c r="V536" s="1044">
        <f t="shared" si="237"/>
        <v>2021</v>
      </c>
      <c r="W536" s="1044">
        <f t="shared" si="237"/>
        <v>2022</v>
      </c>
      <c r="X536" s="1044">
        <f t="shared" si="237"/>
        <v>2023</v>
      </c>
      <c r="Y536" s="1044">
        <f t="shared" si="237"/>
        <v>2024</v>
      </c>
      <c r="Z536" s="1044">
        <f t="shared" si="237"/>
        <v>2025</v>
      </c>
      <c r="AA536" s="343"/>
      <c r="AB536" s="343"/>
      <c r="AC536" s="2"/>
      <c r="AD536" s="2"/>
      <c r="AE536" s="349"/>
      <c r="AF536" s="349"/>
      <c r="AG536" s="349"/>
      <c r="AH536" s="349"/>
      <c r="AI536" s="349"/>
      <c r="AJ536" s="349"/>
      <c r="AK536" s="349"/>
      <c r="AL536" s="349"/>
      <c r="AM536" s="349"/>
    </row>
    <row r="537" spans="1:39" ht="12.75" customHeight="1" thickBot="1" x14ac:dyDescent="0.3">
      <c r="A537" s="2"/>
      <c r="B537" s="19"/>
      <c r="C537" s="19"/>
      <c r="D537" s="175" t="s">
        <v>8</v>
      </c>
      <c r="E537" s="2655" t="str">
        <f>I529</f>
        <v>Delanläggning med bränsleriktmärke, KL</v>
      </c>
      <c r="F537" s="2655"/>
      <c r="G537" s="91" t="str">
        <f>INDEX(EUconst_FallBackListUnits,MATCH(E537,EUconst_FallBackListNames,0))</f>
        <v>TJ</v>
      </c>
      <c r="H537" s="258" t="str">
        <f>IF($M529&lt;&gt;EUconst_Relevant,"",IF(H536&gt;=CNTR_ReportingYear,"",IF(AND(H536&gt;=$V529-1,ISNUMBER(INDEX(E_EnergyFlows!H$400:H$406,MATCH($E537,E_EnergyFlows!$E$400:$E$406,0)))),INDEX(E_EnergyFlows!H$400:H$406,MATCH($E537,E_EnergyFlows!$E$400:$E$406,0)),0)))</f>
        <v/>
      </c>
      <c r="I537" s="695" t="str">
        <f>IF($M529&lt;&gt;EUconst_Relevant,"",IF(I536&gt;=CNTR_ReportingYear,"",IF(AND(I536&gt;=$V529-1,ISNUMBER(INDEX(E_EnergyFlows!I$400:I$406,MATCH($E537,E_EnergyFlows!$E$400:$E$406,0)))),INDEX(E_EnergyFlows!I$400:I$406,MATCH($E537,E_EnergyFlows!$E$400:$E$406,0)),0)))</f>
        <v/>
      </c>
      <c r="J537" s="696" t="str">
        <f>IF($M529&lt;&gt;EUconst_Relevant,"",IF(J536&gt;=CNTR_ReportingYear,"",IF(AND(J536&gt;=$V529-1,ISNUMBER(INDEX(E_EnergyFlows!J$400:J$406,MATCH($E537,E_EnergyFlows!$E$400:$E$406,0)))),INDEX(E_EnergyFlows!J$400:J$406,MATCH($E537,E_EnergyFlows!$E$400:$E$406,0)),0)))</f>
        <v/>
      </c>
      <c r="K537" s="258" t="str">
        <f>IF($M529&lt;&gt;EUconst_Relevant,"",IF(K536&gt;=CNTR_ReportingYear,"",IF(AND(K536&gt;=$V529-1,ISNUMBER(INDEX(E_EnergyFlows!K$400:K$406,MATCH($E537,E_EnergyFlows!$E$400:$E$406,0)))),INDEX(E_EnergyFlows!K$400:K$406,MATCH($E537,E_EnergyFlows!$E$400:$E$406,0)),0)))</f>
        <v/>
      </c>
      <c r="L537" s="258" t="str">
        <f>IF($M529&lt;&gt;EUconst_Relevant,"",IF(L536&gt;=CNTR_ReportingYear,"",IF(AND(L536&gt;=$V529-1,ISNUMBER(INDEX(E_EnergyFlows!L$400:L$406,MATCH($E537,E_EnergyFlows!$E$400:$E$406,0)))),INDEX(E_EnergyFlows!L$400:L$406,MATCH($E537,E_EnergyFlows!$E$400:$E$406,0)),0)))</f>
        <v/>
      </c>
      <c r="M537" s="258" t="str">
        <f>IF($M529&lt;&gt;EUconst_Relevant,"",IF(M536&gt;=CNTR_ReportingYear,"",IF(AND(M536&gt;=$V529-1,ISNUMBER(INDEX(E_EnergyFlows!M$400:M$406,MATCH($E537,E_EnergyFlows!$E$400:$E$406,0)))),INDEX(E_EnergyFlows!M$400:M$406,MATCH($E537,E_EnergyFlows!$E$400:$E$406,0)),0)))</f>
        <v/>
      </c>
      <c r="N537" s="258" t="str">
        <f>IF($M529&lt;&gt;EUconst_Relevant,"",IF(N536&gt;=CNTR_ReportingYear,"",IF(AND(N536&gt;=$V529-1,ISNUMBER(INDEX(E_EnergyFlows!N$400:N$406,MATCH($E537,E_EnergyFlows!$E$400:$E$406,0)))),INDEX(E_EnergyFlows!N$400:N$406,MATCH($E537,E_EnergyFlows!$E$400:$E$406,0)),0)))</f>
        <v/>
      </c>
      <c r="O537" s="918"/>
      <c r="P537" s="6"/>
      <c r="Q537" s="154" t="str">
        <f>EUconst_CNTR_HAL&amp;E537</f>
        <v>HAL_Delanläggning med bränsleriktmärke, KL</v>
      </c>
      <c r="R537" s="2"/>
      <c r="S537" s="309" t="s">
        <v>1874</v>
      </c>
      <c r="T537" s="1126" t="b">
        <f t="shared" ref="T537:Z537" si="238">AND($M529=EUconst_Relevant,T536&lt;CNTR_ReportingYear,T536&gt;=$V529-1)</f>
        <v>0</v>
      </c>
      <c r="U537" s="1127" t="b">
        <f t="shared" si="238"/>
        <v>0</v>
      </c>
      <c r="V537" s="1127" t="b">
        <f t="shared" si="238"/>
        <v>0</v>
      </c>
      <c r="W537" s="1127" t="b">
        <f t="shared" si="238"/>
        <v>0</v>
      </c>
      <c r="X537" s="1127" t="b">
        <f t="shared" si="238"/>
        <v>0</v>
      </c>
      <c r="Y537" s="1127" t="b">
        <f t="shared" si="238"/>
        <v>0</v>
      </c>
      <c r="Z537" s="1128" t="b">
        <f t="shared" si="238"/>
        <v>0</v>
      </c>
      <c r="AA537" s="2"/>
      <c r="AB537" s="2"/>
      <c r="AC537" s="309"/>
      <c r="AD537" s="2"/>
      <c r="AE537" s="349"/>
      <c r="AF537" s="349"/>
      <c r="AG537" s="349"/>
      <c r="AH537" s="349"/>
      <c r="AI537" s="349"/>
      <c r="AJ537" s="349"/>
      <c r="AK537" s="553" t="s">
        <v>2242</v>
      </c>
      <c r="AL537" s="108" t="str">
        <f>IF(COUNTIFS(H536:N536,"&lt;"&amp;YEAR(SUM(T529)),H537:N537,"&gt;"&amp;0)&gt;0,EUconst_Error&amp;"FB"&amp;Q529,"")</f>
        <v/>
      </c>
      <c r="AM537" s="349"/>
    </row>
    <row r="538" spans="1:39" ht="5.15" customHeight="1" x14ac:dyDescent="0.25">
      <c r="A538" s="2"/>
      <c r="B538" s="178"/>
      <c r="C538" s="178"/>
      <c r="D538" s="15"/>
      <c r="E538" s="15"/>
      <c r="F538" s="15"/>
      <c r="G538" s="15"/>
      <c r="H538" s="15"/>
      <c r="I538" s="15"/>
      <c r="J538" s="15"/>
      <c r="K538" s="15"/>
      <c r="L538" s="15"/>
      <c r="M538" s="15"/>
      <c r="N538" s="15"/>
      <c r="O538" s="15"/>
      <c r="P538" s="6"/>
      <c r="Q538" s="343"/>
      <c r="R538" s="2"/>
      <c r="S538" s="343"/>
      <c r="T538" s="343"/>
      <c r="U538" s="2"/>
      <c r="V538" s="2"/>
      <c r="W538" s="2"/>
      <c r="X538" s="2"/>
      <c r="Y538" s="2"/>
      <c r="Z538" s="343"/>
      <c r="AA538" s="2"/>
      <c r="AB538" s="343"/>
      <c r="AC538" s="2"/>
      <c r="AD538" s="2"/>
      <c r="AE538" s="349"/>
      <c r="AF538" s="349"/>
      <c r="AG538" s="349"/>
      <c r="AH538" s="349"/>
      <c r="AI538" s="349"/>
      <c r="AJ538" s="349"/>
      <c r="AK538" s="349"/>
      <c r="AL538" s="349"/>
      <c r="AM538" s="349"/>
    </row>
    <row r="539" spans="1:39" ht="25.5" customHeight="1" x14ac:dyDescent="0.25">
      <c r="A539" s="2"/>
      <c r="B539" s="178"/>
      <c r="C539" s="178"/>
      <c r="D539" s="15"/>
      <c r="E539" s="2061" t="str">
        <f>Translations!$B$1487</f>
        <v>Baserat på värdena för historisk verksamhetsnivå (HAL) och värdena under punkt a) ovan bestäms de genomsnittliga verksamhetsnivåerna här. Tilldelningen kommer endast att ändras om alla följande tröskelvärden i artiklarna 5 och 6 i verksamhetsändringsförordningen överskrids:</v>
      </c>
      <c r="F539" s="1963"/>
      <c r="G539" s="1963"/>
      <c r="H539" s="1963"/>
      <c r="I539" s="1963"/>
      <c r="J539" s="1963"/>
      <c r="K539" s="1963"/>
      <c r="L539" s="1963"/>
      <c r="M539" s="1963"/>
      <c r="N539" s="1963"/>
      <c r="O539" s="15"/>
      <c r="P539" s="6"/>
      <c r="Q539" s="343"/>
      <c r="R539" s="2"/>
      <c r="S539" s="343"/>
      <c r="T539" s="343"/>
      <c r="U539" s="343"/>
      <c r="V539" s="2"/>
      <c r="W539" s="2"/>
      <c r="X539" s="2"/>
      <c r="Y539" s="2"/>
      <c r="Z539" s="2"/>
      <c r="AA539" s="2"/>
      <c r="AB539" s="2"/>
      <c r="AC539" s="2"/>
      <c r="AD539" s="2"/>
      <c r="AE539" s="2"/>
      <c r="AF539" s="2"/>
      <c r="AG539" s="2"/>
      <c r="AH539" s="2"/>
      <c r="AI539" s="2"/>
      <c r="AJ539" s="2"/>
      <c r="AK539" s="2"/>
      <c r="AL539" s="2"/>
      <c r="AM539" s="349"/>
    </row>
    <row r="540" spans="1:39" ht="12.75" customHeight="1" x14ac:dyDescent="0.25">
      <c r="A540" s="2"/>
      <c r="B540" s="178"/>
      <c r="C540" s="178"/>
      <c r="D540" s="15"/>
      <c r="E540" s="1102" t="s">
        <v>1112</v>
      </c>
      <c r="F540" s="2095" t="str">
        <f>Translations!$B$1470</f>
        <v>De relativa tröskelvärdena (15 % och 5 % för efterföljande ändringar) för de genomsnittliga verksamhetsnivåerna jämfört med HAL</v>
      </c>
      <c r="G540" s="2159"/>
      <c r="H540" s="2159"/>
      <c r="I540" s="2159"/>
      <c r="J540" s="2159"/>
      <c r="K540" s="2159"/>
      <c r="L540" s="2159"/>
      <c r="M540" s="2159"/>
      <c r="N540" s="2159"/>
      <c r="O540" s="15"/>
      <c r="P540" s="6"/>
      <c r="Q540" s="343"/>
      <c r="R540" s="2"/>
      <c r="S540" s="343"/>
      <c r="T540" s="343"/>
      <c r="U540" s="343"/>
      <c r="V540" s="2"/>
      <c r="W540" s="2"/>
      <c r="X540" s="2"/>
      <c r="Y540" s="2"/>
      <c r="Z540" s="2"/>
      <c r="AA540" s="2"/>
      <c r="AB540" s="2"/>
      <c r="AC540" s="2"/>
      <c r="AD540" s="2"/>
      <c r="AE540" s="2"/>
      <c r="AF540" s="2"/>
      <c r="AG540" s="2"/>
      <c r="AH540" s="2"/>
      <c r="AI540" s="2"/>
      <c r="AJ540" s="2"/>
      <c r="AK540" s="2"/>
      <c r="AL540" s="2"/>
      <c r="AM540" s="349"/>
    </row>
    <row r="541" spans="1:39" ht="12.75" customHeight="1" x14ac:dyDescent="0.25">
      <c r="A541" s="2"/>
      <c r="B541" s="178"/>
      <c r="C541" s="178"/>
      <c r="D541" s="15"/>
      <c r="E541" s="1102" t="s">
        <v>1112</v>
      </c>
      <c r="F541" s="2095" t="str">
        <f>Translations!$B$1471</f>
        <v>Det absoluta tröskelvärdet, dvs. en ändring skulle leda till en ändring av den preliminära tilldelningen på minst 100 utsläppsrätter</v>
      </c>
      <c r="G541" s="2159"/>
      <c r="H541" s="2159"/>
      <c r="I541" s="2159"/>
      <c r="J541" s="2159"/>
      <c r="K541" s="2159"/>
      <c r="L541" s="2159"/>
      <c r="M541" s="2159"/>
      <c r="N541" s="2159"/>
      <c r="O541" s="15"/>
      <c r="P541" s="6"/>
      <c r="Q541" s="343"/>
      <c r="R541" s="2"/>
      <c r="S541" s="343"/>
      <c r="T541" s="343"/>
      <c r="U541" s="343"/>
      <c r="V541" s="2"/>
      <c r="W541" s="2"/>
      <c r="X541" s="2"/>
      <c r="Y541" s="2"/>
      <c r="Z541" s="2"/>
      <c r="AA541" s="2"/>
      <c r="AB541" s="2"/>
      <c r="AC541" s="2"/>
      <c r="AD541" s="2"/>
      <c r="AE541" s="2"/>
      <c r="AF541" s="2"/>
      <c r="AG541" s="2"/>
      <c r="AH541" s="2"/>
      <c r="AI541" s="2"/>
      <c r="AJ541" s="2"/>
      <c r="AK541" s="2"/>
      <c r="AL541" s="2"/>
      <c r="AM541" s="349"/>
    </row>
    <row r="542" spans="1:39" ht="12.75" customHeight="1" thickBot="1" x14ac:dyDescent="0.3">
      <c r="A542" s="2"/>
      <c r="B542" s="178"/>
      <c r="C542" s="178"/>
      <c r="D542" s="15"/>
      <c r="E542" s="1102" t="s">
        <v>1112</v>
      </c>
      <c r="F542" s="2095" t="str">
        <f>Translations!$B$1488</f>
        <v>De ändrade verksamhetsnivåerna uppvägs inte av de ändringar av energieffektiviteten som fastställs i punkt b), b.1) och b.2) nedan.</v>
      </c>
      <c r="G542" s="2159"/>
      <c r="H542" s="2159"/>
      <c r="I542" s="2159"/>
      <c r="J542" s="2159"/>
      <c r="K542" s="2159"/>
      <c r="L542" s="2159"/>
      <c r="M542" s="2159"/>
      <c r="N542" s="2159"/>
      <c r="O542" s="15"/>
      <c r="P542" s="6"/>
      <c r="Q542" s="343"/>
      <c r="R542" s="2"/>
      <c r="S542" s="343"/>
      <c r="T542" s="343"/>
      <c r="U542" s="343"/>
      <c r="V542" s="2"/>
      <c r="W542" s="2"/>
      <c r="X542" s="2"/>
      <c r="Y542" s="2"/>
      <c r="Z542" s="2"/>
      <c r="AA542" s="2"/>
      <c r="AB542" s="2"/>
      <c r="AC542" s="2"/>
      <c r="AD542" s="2"/>
      <c r="AE542" s="2"/>
      <c r="AF542" s="2"/>
      <c r="AG542" s="2"/>
      <c r="AH542" s="2"/>
      <c r="AI542" s="2"/>
      <c r="AJ542" s="2"/>
      <c r="AK542" s="2"/>
      <c r="AL542" s="2"/>
      <c r="AM542" s="349"/>
    </row>
    <row r="543" spans="1:39" ht="5.15" customHeight="1" thickBot="1" x14ac:dyDescent="0.3">
      <c r="A543" s="2"/>
      <c r="B543" s="178"/>
      <c r="C543" s="178"/>
      <c r="D543" s="1238"/>
      <c r="E543" s="1278"/>
      <c r="F543" s="1239"/>
      <c r="G543" s="1279"/>
      <c r="H543" s="1279"/>
      <c r="I543" s="1279"/>
      <c r="J543" s="1279"/>
      <c r="K543" s="1279"/>
      <c r="L543" s="1279"/>
      <c r="M543" s="1279"/>
      <c r="N543" s="1280"/>
      <c r="O543" s="15"/>
      <c r="P543" s="6"/>
      <c r="Q543" s="343"/>
      <c r="R543" s="2"/>
      <c r="S543" s="343"/>
      <c r="T543" s="343"/>
      <c r="U543" s="343"/>
      <c r="V543" s="2"/>
      <c r="W543" s="2"/>
      <c r="X543" s="2"/>
      <c r="Y543" s="2"/>
      <c r="Z543" s="2"/>
      <c r="AA543" s="2"/>
      <c r="AB543" s="2"/>
      <c r="AC543" s="2"/>
      <c r="AD543" s="2"/>
      <c r="AE543" s="2"/>
      <c r="AF543" s="2"/>
      <c r="AG543" s="2"/>
      <c r="AH543" s="2"/>
      <c r="AI543" s="2"/>
      <c r="AJ543" s="2"/>
      <c r="AK543" s="2"/>
      <c r="AL543" s="2"/>
      <c r="AM543" s="349"/>
    </row>
    <row r="544" spans="1:39" ht="12.75" customHeight="1" x14ac:dyDescent="0.25">
      <c r="A544" s="2"/>
      <c r="B544" s="178"/>
      <c r="C544" s="178"/>
      <c r="D544" s="1242"/>
      <c r="E544" s="1243" t="str">
        <f>Translations!$B$1489</f>
        <v>Preliminär justering</v>
      </c>
      <c r="F544" s="1244"/>
      <c r="G544" s="1244"/>
      <c r="H544" s="1228" t="str">
        <f>EUconst_Unit</f>
        <v>Enhet</v>
      </c>
      <c r="I544" s="1229" t="str">
        <f>Translations!$B$1472</f>
        <v>HAL</v>
      </c>
      <c r="J544" s="1268">
        <f>J$950</f>
        <v>2021</v>
      </c>
      <c r="K544" s="1230">
        <f>K$950</f>
        <v>2022</v>
      </c>
      <c r="L544" s="1230">
        <f>L$950</f>
        <v>2023</v>
      </c>
      <c r="M544" s="1230">
        <f>M$950</f>
        <v>2024</v>
      </c>
      <c r="N544" s="1258">
        <f>N$950</f>
        <v>2025</v>
      </c>
      <c r="O544" s="15"/>
      <c r="P544" s="6"/>
      <c r="Q544" s="343"/>
      <c r="R544" s="2"/>
      <c r="S544" s="343"/>
      <c r="T544" s="343"/>
      <c r="U544" s="772"/>
      <c r="V544" s="1077">
        <f>J544</f>
        <v>2021</v>
      </c>
      <c r="W544" s="1077">
        <f>K544</f>
        <v>2022</v>
      </c>
      <c r="X544" s="1077">
        <f>L544</f>
        <v>2023</v>
      </c>
      <c r="Y544" s="1077">
        <f>M544</f>
        <v>2024</v>
      </c>
      <c r="Z544" s="1078">
        <f>N544</f>
        <v>2025</v>
      </c>
      <c r="AA544" s="2"/>
      <c r="AB544" s="343"/>
      <c r="AC544" s="2"/>
      <c r="AD544" s="2"/>
      <c r="AE544" s="349"/>
      <c r="AF544" s="349"/>
      <c r="AG544" s="349"/>
      <c r="AH544" s="349"/>
      <c r="AI544" s="349"/>
      <c r="AJ544" s="349"/>
      <c r="AK544" s="349"/>
      <c r="AL544" s="349"/>
      <c r="AM544" s="349"/>
    </row>
    <row r="545" spans="1:39" ht="12.75" customHeight="1" x14ac:dyDescent="0.25">
      <c r="A545" s="2"/>
      <c r="B545" s="178"/>
      <c r="C545" s="178"/>
      <c r="D545" s="1246" t="s">
        <v>9</v>
      </c>
      <c r="E545" s="1231" t="str">
        <f>Translations!$B$1473</f>
        <v>Genomsnittlig årlig verksamhetsnivå</v>
      </c>
      <c r="F545" s="1231"/>
      <c r="G545" s="1231"/>
      <c r="H545" s="1232" t="str">
        <f>G537</f>
        <v>TJ</v>
      </c>
      <c r="I545" s="1021" t="str">
        <f>IF(V529&gt;($J$950-3),EUconst_NA,INDEX('B+C_SubInstallations'!$I:$I,MATCH(Q545,'B+C_SubInstallations'!$T:$T,0)))</f>
        <v/>
      </c>
      <c r="J545" s="1022" t="str">
        <f>IF(AND(V545&gt;=3,CNTR_ReportingYear&gt;J544-1),AVERAGE(SUM(H537),SUM(I537)),"")</f>
        <v/>
      </c>
      <c r="K545" s="1023" t="str">
        <f>IF(AND(W545&gt;=3,CNTR_ReportingYear&gt;K544-1),AVERAGE(SUM(I537),SUM(J537)),"")</f>
        <v/>
      </c>
      <c r="L545" s="1023" t="str">
        <f>IF(AND(X545&gt;=3,CNTR_ReportingYear&gt;L544-1),AVERAGE(SUM(J537),SUM(K537)),"")</f>
        <v/>
      </c>
      <c r="M545" s="1023" t="str">
        <f>IF(AND(Y545&gt;=3,CNTR_ReportingYear&gt;M544-1),AVERAGE(SUM(K537),SUM(L537)),"")</f>
        <v/>
      </c>
      <c r="N545" s="1226" t="str">
        <f>IF(AND(Z545&gt;=3,CNTR_ReportingYear&gt;N544-1),AVERAGE(SUM(L537),SUM(M537)),"")</f>
        <v/>
      </c>
      <c r="O545" s="15"/>
      <c r="P545" s="6"/>
      <c r="Q545" s="1217" t="str">
        <f>EUconst_CNTR_HALinitial&amp;I529</f>
        <v>HALini_Delanläggning med bränsleriktmärke, KL</v>
      </c>
      <c r="R545" s="2"/>
      <c r="S545" s="343"/>
      <c r="T545" s="343"/>
      <c r="U545" s="1079" t="s">
        <v>1850</v>
      </c>
      <c r="V545" s="9">
        <f>IF($M529&lt;&gt;EUconst_Relevant,0,V544-$V529+1)</f>
        <v>0</v>
      </c>
      <c r="W545" s="9">
        <f>IF($M529&lt;&gt;EUconst_Relevant,0,W544-$V529+1)</f>
        <v>0</v>
      </c>
      <c r="X545" s="9">
        <f>IF($M529&lt;&gt;EUconst_Relevant,0,X544-$V529+1)</f>
        <v>0</v>
      </c>
      <c r="Y545" s="9">
        <f>IF($M529&lt;&gt;EUconst_Relevant,0,Y544-$V529+1)</f>
        <v>0</v>
      </c>
      <c r="Z545" s="1089">
        <f>IF($M529&lt;&gt;EUconst_Relevant,0,Z544-$V529+1)</f>
        <v>0</v>
      </c>
      <c r="AA545" s="2"/>
      <c r="AB545" s="343"/>
      <c r="AC545" s="2"/>
      <c r="AD545" s="2"/>
      <c r="AE545" s="349"/>
      <c r="AF545" s="349"/>
      <c r="AG545" s="349"/>
      <c r="AH545" s="349"/>
      <c r="AI545" s="349"/>
      <c r="AJ545" s="349"/>
      <c r="AK545" s="349"/>
      <c r="AL545" s="349"/>
      <c r="AM545" s="349"/>
    </row>
    <row r="546" spans="1:39" ht="12.75" hidden="1" customHeight="1" x14ac:dyDescent="0.25">
      <c r="A546" s="343" t="s">
        <v>346</v>
      </c>
      <c r="B546" s="178"/>
      <c r="C546" s="178"/>
      <c r="D546" s="1246"/>
      <c r="E546" s="1231" t="s">
        <v>1848</v>
      </c>
      <c r="F546" s="1231"/>
      <c r="G546" s="1231"/>
      <c r="H546" s="1233"/>
      <c r="I546" s="1235"/>
      <c r="J546" s="1013" t="str">
        <f>IF(J545="","",IF($I548=0,IF(J545=0,0%,100%),J545/$I548-1))</f>
        <v/>
      </c>
      <c r="K546" s="938" t="str">
        <f>IF(K545="","",IF($I548=0,IF(K545=0,0%,100%),K545/$I548-1))</f>
        <v/>
      </c>
      <c r="L546" s="938" t="str">
        <f>IF(L545="","",IF($I548=0,IF(L545=0,0%,100%),L545/$I548-1))</f>
        <v/>
      </c>
      <c r="M546" s="938" t="str">
        <f>IF(M545="","",IF($I548=0,IF(M545=0,0%,100%),M545/$I548-1))</f>
        <v/>
      </c>
      <c r="N546" s="1223" t="str">
        <f>IF(N545="","",IF($I548=0,IF(N545=0,0%,100%),N545/$I548-1))</f>
        <v/>
      </c>
      <c r="O546" s="15"/>
      <c r="P546" s="6"/>
      <c r="Q546" s="165" t="str">
        <f>EUconst_CNTR_RelThreshold &amp;I529</f>
        <v>RelThresh_Delanläggning med bränsleriktmärke, KL</v>
      </c>
      <c r="R546" s="2"/>
      <c r="S546" s="343"/>
      <c r="T546" s="343"/>
      <c r="U546" s="1079" t="s">
        <v>1855</v>
      </c>
      <c r="V546" s="603" t="str">
        <f>IF(J545="","",ABS(J546)&gt;15%)</f>
        <v/>
      </c>
      <c r="W546" s="603" t="str">
        <f>IF(K545="","",ABS(K546)&gt;15%)</f>
        <v/>
      </c>
      <c r="X546" s="603" t="str">
        <f>IF(L545="","",ABS(L546)&gt;15%)</f>
        <v/>
      </c>
      <c r="Y546" s="603" t="str">
        <f>IF(M545="","",ABS(M546)&gt;15%)</f>
        <v/>
      </c>
      <c r="Z546" s="1756" t="str">
        <f>IF(N545="","",ABS(N546)&gt;15%)</f>
        <v/>
      </c>
      <c r="AA546" s="2"/>
      <c r="AB546" s="343"/>
      <c r="AC546" s="2"/>
      <c r="AD546" s="2"/>
      <c r="AE546" s="349"/>
      <c r="AF546" s="349"/>
      <c r="AG546" s="349"/>
      <c r="AH546" s="349"/>
      <c r="AI546" s="349"/>
      <c r="AJ546" s="349"/>
      <c r="AK546" s="349"/>
      <c r="AL546" s="349"/>
      <c r="AM546" s="349"/>
    </row>
    <row r="547" spans="1:39" ht="12.75" customHeight="1" x14ac:dyDescent="0.25">
      <c r="A547" s="343"/>
      <c r="B547" s="178"/>
      <c r="C547" s="178"/>
      <c r="D547" s="1246" t="s">
        <v>10</v>
      </c>
      <c r="E547" s="1231" t="str">
        <f>Translations!$B$1474</f>
        <v>Preliminär justering (om relativa tröskelvärden överskrids)</v>
      </c>
      <c r="F547" s="1231"/>
      <c r="G547" s="1231"/>
      <c r="H547" s="1233"/>
      <c r="I547" s="1235"/>
      <c r="J547" s="992" t="str">
        <f>IF(J545="","",IF(V546=FALSE,0%,IF(V547,J546,I643)))</f>
        <v/>
      </c>
      <c r="K547" s="937" t="str">
        <f>IF(K545="","",IF(W546=FALSE,0%,IF(W547,K546,J643)))</f>
        <v/>
      </c>
      <c r="L547" s="937" t="str">
        <f>IF(L545="","",IF(X546=FALSE,0%,IF(X547,L546,K643)))</f>
        <v/>
      </c>
      <c r="M547" s="937" t="str">
        <f>IF(M545="","",IF(Y546=FALSE,0%,IF(Y547,M546,L643)))</f>
        <v/>
      </c>
      <c r="N547" s="1220" t="str">
        <f>IF(N545="","",IF(Z546=FALSE,0%,IF(Z547,N546,M643)))</f>
        <v/>
      </c>
      <c r="O547" s="15"/>
      <c r="P547" s="6"/>
      <c r="Q547" s="343"/>
      <c r="R547" s="2"/>
      <c r="S547" s="343"/>
      <c r="T547" s="343"/>
      <c r="U547" s="1079" t="s">
        <v>1856</v>
      </c>
      <c r="V547" s="603" t="str">
        <f>IF(J545="","",AND(V546,IF(SUM(I643)&lt;0,OR(SUM(J546)&lt;SUM(I643)-MOD(SUM(I643),5%),J546&gt;=SUM(I643)+5%-MOD(SUM(I643),5%)),OR(SUM(J546)&lt;=SUM(I643)-MOD(SUM(I643),5%),SUM(J546)&gt;SUM(I643)+5%-MOD(SUM(I643),5%)))))</f>
        <v/>
      </c>
      <c r="W547" s="603" t="str">
        <f>IF(K545="","",AND(W546,IF(SUM(J643)&lt;0,OR(SUM(K546)&lt;SUM(J643)-MOD(SUM(J643),5%),K546&gt;=SUM(J643)+5%-MOD(SUM(J643),5%)),OR(SUM(K546)&lt;=SUM(J643)-MOD(SUM(J643),5%),SUM(K546)&gt;SUM(J643)+5%-MOD(SUM(J643),5%)))))</f>
        <v/>
      </c>
      <c r="X547" s="603" t="str">
        <f>IF(L545="","",AND(X546,IF(SUM(K643)&lt;0,OR(SUM(L546)&lt;SUM(K643)-MOD(SUM(K643),5%),L546&gt;=SUM(K643)+5%-MOD(SUM(K643),5%)),OR(SUM(L546)&lt;=SUM(K643)-MOD(SUM(K643),5%),SUM(L546)&gt;SUM(K643)+5%-MOD(SUM(K643),5%)))))</f>
        <v/>
      </c>
      <c r="Y547" s="603" t="str">
        <f>IF(M545="","",AND(Y546,IF(SUM(L643)&lt;0,OR(SUM(M546)&lt;SUM(L643)-MOD(SUM(L643),5%),M546&gt;=SUM(L643)+5%-MOD(SUM(L643),5%)),OR(SUM(M546)&lt;=SUM(L643)-MOD(SUM(L643),5%),SUM(M546)&gt;SUM(L643)+5%-MOD(SUM(L643),5%)))))</f>
        <v/>
      </c>
      <c r="Z547" s="1756" t="str">
        <f>IF(N545="","",AND(Z546,IF(SUM(M643)&lt;0,OR(SUM(N546)&lt;SUM(M643)-MOD(SUM(M643),5%),N546&gt;=SUM(M643)+5%-MOD(SUM(M643),5%)),OR(SUM(N546)&lt;=SUM(M643)-MOD(SUM(M643),5%),SUM(N546)&gt;SUM(M643)+5%-MOD(SUM(M643),5%)))))</f>
        <v/>
      </c>
      <c r="AA547" s="2"/>
      <c r="AB547" s="343"/>
      <c r="AC547" s="2"/>
      <c r="AD547" s="2"/>
      <c r="AE547" s="349"/>
      <c r="AF547" s="349"/>
      <c r="AG547" s="349"/>
      <c r="AH547" s="349"/>
      <c r="AI547" s="349"/>
      <c r="AJ547" s="349"/>
      <c r="AK547" s="349"/>
      <c r="AL547" s="349"/>
      <c r="AM547" s="349"/>
    </row>
    <row r="548" spans="1:39" ht="12.75" customHeight="1" thickBot="1" x14ac:dyDescent="0.3">
      <c r="A548" s="343"/>
      <c r="B548" s="178"/>
      <c r="C548" s="178"/>
      <c r="D548" s="1246" t="s">
        <v>23</v>
      </c>
      <c r="E548" s="1231" t="str">
        <f>Translations!$B$1490</f>
        <v>Preliminär verksamhetsnivå</v>
      </c>
      <c r="F548" s="1231"/>
      <c r="G548" s="1231"/>
      <c r="H548" s="1232" t="str">
        <f>H545</f>
        <v>TJ</v>
      </c>
      <c r="I548" s="1021" t="str">
        <f>IF(M529&lt;&gt;EUconst_Relevant,"",IF(AB529=FALSE,EUconst_NA,IF(V529&gt;($J$950-3),INDEX(H537:N537,MATCH($V529,H536:N536,0)),I545)))</f>
        <v/>
      </c>
      <c r="J548" s="1022" t="str">
        <f>IF($M529&lt;&gt;EUconst_Relevant,"",IF(V545&lt;2,SUM(J537),IF(V545&lt;3,SUM(I537),IF(V548="",I548,V548))))</f>
        <v/>
      </c>
      <c r="K548" s="1023" t="str">
        <f>IF($M529&lt;&gt;EUconst_Relevant,"",IF(W545&lt;2,SUM(K537),IF(W545&lt;3,SUM(J537),IF(W548="",J548,W548))))</f>
        <v/>
      </c>
      <c r="L548" s="1023" t="str">
        <f>IF($M529&lt;&gt;EUconst_Relevant,"",IF(X545&lt;2,SUM(L537),IF(X545&lt;3,SUM(K537),IF(X548="",K548,X548))))</f>
        <v/>
      </c>
      <c r="M548" s="1023" t="str">
        <f>IF($M529&lt;&gt;EUconst_Relevant,"",IF(Y545&lt;2,SUM(M537),IF(Y545&lt;3,SUM(L537),IF(Y548="",L548,Y548))))</f>
        <v/>
      </c>
      <c r="N548" s="1226" t="str">
        <f>IF($M529&lt;&gt;EUconst_Relevant,"",IF(Z545&lt;2,SUM(N537),IF(Z545&lt;3,SUM(M537),IF(Z548="",M548,Z548))))</f>
        <v/>
      </c>
      <c r="O548" s="918"/>
      <c r="P548" s="6"/>
      <c r="Q548" s="165" t="str">
        <f>EUconst_CNTR_HALprelim&amp;I529</f>
        <v>HALprelim_Delanläggning med bränsleriktmärke, KL</v>
      </c>
      <c r="R548" s="2"/>
      <c r="S548" s="343"/>
      <c r="T548" s="343"/>
      <c r="U548" s="1082" t="s">
        <v>1851</v>
      </c>
      <c r="V548" s="1091" t="str">
        <f>IF(J545="","",IF(CNTR_ReportingYear&lt;J544,I547,IF($I548=0,J545,$I548*(1+J547))))</f>
        <v/>
      </c>
      <c r="W548" s="1091" t="str">
        <f>IF(K545="","",IF(CNTR_ReportingYear&lt;K544,J547,IF($I548=0,K545,$I548*(1+K547))))</f>
        <v/>
      </c>
      <c r="X548" s="1091" t="str">
        <f>IF(L545="","",IF(CNTR_ReportingYear&lt;L544,K547,IF($I548=0,L545,$I548*(1+L547))))</f>
        <v/>
      </c>
      <c r="Y548" s="1091" t="str">
        <f>IF(M545="","",IF(CNTR_ReportingYear&lt;M544,L547,IF($I548=0,M545,$I548*(1+M547))))</f>
        <v/>
      </c>
      <c r="Z548" s="1092" t="str">
        <f>IF(N545="","",IF(CNTR_ReportingYear&lt;N544,M547,IF($I548=0,N545,$I548*(1+N547))))</f>
        <v/>
      </c>
      <c r="AA548" s="2"/>
      <c r="AB548" s="343"/>
      <c r="AC548" s="2"/>
      <c r="AD548" s="2"/>
      <c r="AE548" s="349"/>
      <c r="AF548" s="349"/>
      <c r="AG548" s="349"/>
      <c r="AH548" s="349"/>
      <c r="AI548" s="349"/>
      <c r="AJ548" s="349"/>
      <c r="AK548" s="349"/>
      <c r="AL548" s="349"/>
      <c r="AM548" s="349"/>
    </row>
    <row r="549" spans="1:39" ht="5.15" customHeight="1" thickBot="1" x14ac:dyDescent="0.3">
      <c r="A549" s="343"/>
      <c r="B549" s="19"/>
      <c r="C549" s="3"/>
      <c r="D549" s="1249"/>
      <c r="E549" s="1250"/>
      <c r="F549" s="1250"/>
      <c r="G549" s="1250"/>
      <c r="H549" s="1250"/>
      <c r="I549" s="1250"/>
      <c r="J549" s="1250"/>
      <c r="K549" s="1250"/>
      <c r="L549" s="1250"/>
      <c r="M549" s="1250"/>
      <c r="N549" s="1289"/>
      <c r="O549" s="6"/>
      <c r="P549" s="6"/>
      <c r="Q549" s="2"/>
      <c r="R549" s="2"/>
      <c r="S549" s="343"/>
      <c r="T549" s="343"/>
      <c r="U549" s="2"/>
      <c r="V549" s="2"/>
      <c r="W549" s="2"/>
      <c r="X549" s="2"/>
      <c r="Y549" s="2"/>
      <c r="Z549" s="343"/>
      <c r="AA549" s="343"/>
      <c r="AB549" s="343"/>
      <c r="AC549" s="2"/>
      <c r="AD549" s="2"/>
      <c r="AE549" s="349"/>
      <c r="AF549" s="349"/>
      <c r="AG549" s="349"/>
      <c r="AH549" s="349"/>
      <c r="AI549" s="349"/>
      <c r="AJ549" s="349"/>
      <c r="AK549" s="349"/>
      <c r="AL549" s="349"/>
      <c r="AM549" s="349"/>
    </row>
    <row r="550" spans="1:39" ht="5.15" customHeight="1" x14ac:dyDescent="0.25">
      <c r="A550" s="343"/>
      <c r="B550" s="19"/>
      <c r="C550" s="3"/>
      <c r="D550" s="3"/>
      <c r="E550" s="3"/>
      <c r="F550" s="3"/>
      <c r="G550" s="3"/>
      <c r="H550" s="3"/>
      <c r="I550" s="3"/>
      <c r="J550" s="3"/>
      <c r="K550" s="3"/>
      <c r="L550" s="3"/>
      <c r="M550" s="3"/>
      <c r="N550" s="3"/>
      <c r="O550" s="6"/>
      <c r="P550" s="6"/>
      <c r="Q550" s="2"/>
      <c r="R550" s="2"/>
      <c r="S550" s="343"/>
      <c r="T550" s="343"/>
      <c r="U550" s="2"/>
      <c r="V550" s="2"/>
      <c r="W550" s="2"/>
      <c r="X550" s="2"/>
      <c r="Y550" s="2"/>
      <c r="Z550" s="343"/>
      <c r="AA550" s="343"/>
      <c r="AB550" s="343"/>
      <c r="AC550" s="2"/>
      <c r="AD550" s="2"/>
      <c r="AE550" s="349"/>
      <c r="AF550" s="349"/>
      <c r="AG550" s="349"/>
      <c r="AH550" s="349"/>
      <c r="AI550" s="349"/>
      <c r="AJ550" s="349"/>
      <c r="AK550" s="349"/>
      <c r="AL550" s="349"/>
      <c r="AM550" s="349"/>
    </row>
    <row r="551" spans="1:39" ht="14" x14ac:dyDescent="0.3">
      <c r="A551" s="343"/>
      <c r="B551" s="19"/>
      <c r="C551" s="18"/>
      <c r="D551" s="2053" t="str">
        <f>Translations!$B$541</f>
        <v>Produktionsuppgifter</v>
      </c>
      <c r="E551" s="1963"/>
      <c r="F551" s="1963"/>
      <c r="G551" s="1963"/>
      <c r="H551" s="1963"/>
      <c r="I551" s="1963"/>
      <c r="J551" s="1963"/>
      <c r="K551" s="1963"/>
      <c r="L551" s="1963"/>
      <c r="M551" s="1963"/>
      <c r="N551" s="1963"/>
      <c r="O551" s="6"/>
      <c r="P551" s="6"/>
      <c r="Q551" s="2"/>
      <c r="R551" s="2"/>
      <c r="S551" s="2"/>
      <c r="T551" s="2"/>
      <c r="U551" s="2"/>
      <c r="V551" s="2"/>
      <c r="W551" s="2"/>
      <c r="X551" s="2"/>
      <c r="Y551" s="2"/>
      <c r="Z551" s="343"/>
      <c r="AA551" s="343"/>
      <c r="AB551" s="343"/>
      <c r="AC551" s="2"/>
      <c r="AD551" s="2"/>
      <c r="AE551" s="349"/>
      <c r="AF551" s="349"/>
      <c r="AG551" s="349"/>
      <c r="AH551" s="349"/>
      <c r="AI551" s="349"/>
      <c r="AJ551" s="349"/>
      <c r="AK551" s="349"/>
      <c r="AL551" s="349"/>
      <c r="AM551" s="349"/>
    </row>
    <row r="552" spans="1:39" ht="5.15" customHeight="1" x14ac:dyDescent="0.25">
      <c r="A552" s="343"/>
      <c r="B552" s="3"/>
      <c r="C552" s="3"/>
      <c r="D552" s="3"/>
      <c r="E552" s="3"/>
      <c r="F552" s="3"/>
      <c r="G552" s="3"/>
      <c r="H552" s="3"/>
      <c r="I552" s="3"/>
      <c r="J552" s="3"/>
      <c r="K552" s="3"/>
      <c r="L552" s="3"/>
      <c r="M552" s="3"/>
      <c r="N552" s="3"/>
      <c r="O552" s="6"/>
      <c r="P552" s="6"/>
      <c r="Q552" s="7"/>
      <c r="R552" s="7"/>
      <c r="S552" s="2"/>
      <c r="T552" s="2"/>
      <c r="U552" s="2"/>
      <c r="V552" s="2"/>
      <c r="W552" s="2"/>
      <c r="X552" s="2"/>
      <c r="Y552" s="2"/>
      <c r="Z552" s="343"/>
      <c r="AA552" s="343"/>
      <c r="AB552" s="343"/>
      <c r="AC552" s="2"/>
      <c r="AD552" s="2"/>
      <c r="AE552" s="349"/>
      <c r="AF552" s="349"/>
      <c r="AG552" s="349"/>
      <c r="AH552" s="349"/>
      <c r="AI552" s="349"/>
      <c r="AJ552" s="349"/>
      <c r="AK552" s="349"/>
      <c r="AL552" s="349"/>
      <c r="AM552" s="349"/>
    </row>
    <row r="553" spans="1:39" ht="12.75" customHeight="1" x14ac:dyDescent="0.25">
      <c r="A553" s="2"/>
      <c r="B553" s="3"/>
      <c r="C553" s="13"/>
      <c r="D553" s="13" t="s">
        <v>955</v>
      </c>
      <c r="E553" s="1943" t="str">
        <f>Translations!$B$666</f>
        <v>Identifiering av relevanta produkter eller tjänster med koppling till delanläggningen</v>
      </c>
      <c r="F553" s="1963"/>
      <c r="G553" s="1963"/>
      <c r="H553" s="1963"/>
      <c r="I553" s="1963"/>
      <c r="J553" s="1963"/>
      <c r="K553" s="1963"/>
      <c r="L553" s="1963"/>
      <c r="M553" s="1963"/>
      <c r="N553" s="1963"/>
      <c r="O553" s="6"/>
      <c r="P553" s="6"/>
      <c r="Q553" s="7"/>
      <c r="R553" s="2"/>
      <c r="S553" s="2"/>
      <c r="T553" s="2"/>
      <c r="U553" s="2"/>
      <c r="V553" s="2"/>
      <c r="W553" s="2"/>
      <c r="X553" s="2"/>
      <c r="Y553" s="2"/>
      <c r="Z553" s="2"/>
      <c r="AA553" s="2"/>
      <c r="AB553" s="343"/>
      <c r="AC553" s="2"/>
      <c r="AD553" s="2"/>
      <c r="AE553" s="349"/>
      <c r="AF553" s="349"/>
      <c r="AG553" s="349"/>
      <c r="AH553" s="349"/>
      <c r="AI553" s="349"/>
      <c r="AJ553" s="349"/>
      <c r="AK553" s="349"/>
      <c r="AL553" s="349"/>
      <c r="AM553" s="349"/>
    </row>
    <row r="554" spans="1:39" ht="12.75" customHeight="1" x14ac:dyDescent="0.25">
      <c r="A554" s="343"/>
      <c r="B554" s="3"/>
      <c r="C554" s="15"/>
      <c r="D554" s="15"/>
      <c r="E554" s="2061" t="str">
        <f>Translations!$B$667</f>
        <v>Var god ange vilka produktionsprocesser eller tjänster som är kopplade till delanläggningen. Detta kan innefatta följande:</v>
      </c>
      <c r="F554" s="1963"/>
      <c r="G554" s="1963"/>
      <c r="H554" s="1963"/>
      <c r="I554" s="1963"/>
      <c r="J554" s="1963"/>
      <c r="K554" s="1963"/>
      <c r="L554" s="1963"/>
      <c r="M554" s="1963"/>
      <c r="N554" s="1963"/>
      <c r="O554" s="6"/>
      <c r="P554" s="6"/>
      <c r="Q554" s="7"/>
      <c r="R554" s="7"/>
      <c r="S554" s="7"/>
      <c r="T554" s="7"/>
      <c r="U554" s="7"/>
      <c r="V554" s="7"/>
      <c r="W554" s="7"/>
      <c r="X554" s="7"/>
      <c r="Y554" s="7"/>
      <c r="Z554" s="7"/>
      <c r="AA554" s="7"/>
      <c r="AB554" s="343"/>
      <c r="AC554" s="2"/>
      <c r="AD554" s="2"/>
      <c r="AE554" s="349"/>
      <c r="AF554" s="349"/>
      <c r="AG554" s="349"/>
      <c r="AH554" s="349"/>
      <c r="AI554" s="349"/>
      <c r="AJ554" s="349"/>
      <c r="AK554" s="349"/>
      <c r="AL554" s="349"/>
      <c r="AM554" s="349"/>
    </row>
    <row r="555" spans="1:39" ht="12.75" customHeight="1" x14ac:dyDescent="0.25">
      <c r="A555" s="2"/>
      <c r="B555" s="3"/>
      <c r="C555" s="15"/>
      <c r="D555" s="15"/>
      <c r="E555" s="92" t="s">
        <v>1006</v>
      </c>
      <c r="F555" s="2061" t="str">
        <f>Translations!$B$668</f>
        <v>Produktion av varor som inte omfattas av produktriktmärken inom delanläggningen (var god ange produkttyper).</v>
      </c>
      <c r="G555" s="1963"/>
      <c r="H555" s="1963"/>
      <c r="I555" s="1963"/>
      <c r="J555" s="1963"/>
      <c r="K555" s="1963"/>
      <c r="L555" s="1963"/>
      <c r="M555" s="1963"/>
      <c r="N555" s="1963"/>
      <c r="O555" s="6"/>
      <c r="P555" s="6"/>
      <c r="Q555" s="7"/>
      <c r="R555" s="7"/>
      <c r="S555" s="7"/>
      <c r="T555" s="7"/>
      <c r="U555" s="7"/>
      <c r="V555" s="7"/>
      <c r="W555" s="7"/>
      <c r="X555" s="7"/>
      <c r="Y555" s="7"/>
      <c r="Z555" s="7"/>
      <c r="AA555" s="7"/>
      <c r="AB555" s="343"/>
      <c r="AC555" s="2"/>
      <c r="AD555" s="2"/>
      <c r="AE555" s="349"/>
      <c r="AF555" s="349"/>
      <c r="AG555" s="349"/>
      <c r="AH555" s="349"/>
      <c r="AI555" s="349"/>
      <c r="AJ555" s="349"/>
      <c r="AK555" s="349"/>
      <c r="AL555" s="349"/>
      <c r="AM555" s="349"/>
    </row>
    <row r="556" spans="1:39" ht="12.75" customHeight="1" x14ac:dyDescent="0.25">
      <c r="A556" s="2"/>
      <c r="B556" s="3"/>
      <c r="C556" s="15"/>
      <c r="D556" s="15"/>
      <c r="E556" s="92" t="s">
        <v>1006</v>
      </c>
      <c r="F556" s="2061" t="str">
        <f>Translations!$B$712</f>
        <v>produktion av mekanisk energi, värmning eller kylning (alla användningssätt förutom elproduktion).</v>
      </c>
      <c r="G556" s="1963"/>
      <c r="H556" s="1963"/>
      <c r="I556" s="1963"/>
      <c r="J556" s="1963"/>
      <c r="K556" s="1963"/>
      <c r="L556" s="1963"/>
      <c r="M556" s="1963"/>
      <c r="N556" s="1963"/>
      <c r="O556" s="6"/>
      <c r="P556" s="6"/>
      <c r="Q556" s="7"/>
      <c r="R556" s="7"/>
      <c r="S556" s="7"/>
      <c r="T556" s="7"/>
      <c r="U556" s="7"/>
      <c r="V556" s="7"/>
      <c r="W556" s="7"/>
      <c r="X556" s="7"/>
      <c r="Y556" s="7"/>
      <c r="Z556" s="2"/>
      <c r="AA556" s="2"/>
      <c r="AB556" s="343"/>
      <c r="AC556" s="2"/>
      <c r="AD556" s="2"/>
      <c r="AE556" s="349"/>
      <c r="AF556" s="349"/>
      <c r="AG556" s="349"/>
      <c r="AH556" s="349"/>
      <c r="AI556" s="349"/>
      <c r="AJ556" s="349"/>
      <c r="AK556" s="349"/>
      <c r="AL556" s="349"/>
      <c r="AM556" s="349"/>
    </row>
    <row r="557" spans="1:39" ht="25.5" customHeight="1" x14ac:dyDescent="0.25">
      <c r="A557" s="2"/>
      <c r="B557" s="3"/>
      <c r="C557" s="15"/>
      <c r="D557" s="15"/>
      <c r="E557" s="2061" t="str">
        <f>Translations!$B$543</f>
        <v>Prodcom-koder ska anges i formatet ”nnnnnnnn”, dvs. utan punkter eller andra avgränsare. Endast om Prodcom-koder inte finns ska en Nace-kod på fyra siffror anges i formatet ”nnnn”.</v>
      </c>
      <c r="F557" s="1963"/>
      <c r="G557" s="1963"/>
      <c r="H557" s="1963"/>
      <c r="I557" s="1963"/>
      <c r="J557" s="1963"/>
      <c r="K557" s="1963"/>
      <c r="L557" s="1963"/>
      <c r="M557" s="1963"/>
      <c r="N557" s="1963"/>
      <c r="O557" s="6"/>
      <c r="P557" s="6"/>
      <c r="Q557" s="7"/>
      <c r="R557" s="2"/>
      <c r="S557" s="2"/>
      <c r="T557" s="2"/>
      <c r="U557" s="2"/>
      <c r="V557" s="2"/>
      <c r="W557" s="2"/>
      <c r="X557" s="2"/>
      <c r="Y557" s="2"/>
      <c r="Z557" s="2"/>
      <c r="AA557" s="2"/>
      <c r="AB557" s="343"/>
      <c r="AC557" s="2"/>
      <c r="AD557" s="2"/>
      <c r="AE557" s="349"/>
      <c r="AF557" s="349"/>
      <c r="AG557" s="349"/>
      <c r="AH557" s="349"/>
      <c r="AI557" s="349"/>
      <c r="AJ557" s="349"/>
      <c r="AK557" s="349"/>
      <c r="AL557" s="349"/>
      <c r="AM557" s="349"/>
    </row>
    <row r="558" spans="1:39" ht="12.75" customHeight="1" x14ac:dyDescent="0.25">
      <c r="A558" s="2"/>
      <c r="B558" s="3"/>
      <c r="C558" s="15"/>
      <c r="D558" s="15"/>
      <c r="E558" s="2061" t="str">
        <f>Translations!$B$544</f>
        <v>En förteckning över 2010 års Prodcom-koder finns här:</v>
      </c>
      <c r="F558" s="1963"/>
      <c r="G558" s="1963"/>
      <c r="H558" s="1963"/>
      <c r="I558" s="1963"/>
      <c r="J558" s="1963"/>
      <c r="K558" s="1963"/>
      <c r="L558" s="1963"/>
      <c r="M558" s="1963"/>
      <c r="N558" s="1963"/>
      <c r="O558" s="6"/>
      <c r="P558" s="6"/>
      <c r="Q558" s="7"/>
      <c r="R558" s="2"/>
      <c r="S558" s="2"/>
      <c r="T558" s="2"/>
      <c r="U558" s="2"/>
      <c r="V558" s="2"/>
      <c r="W558" s="2"/>
      <c r="X558" s="2"/>
      <c r="Y558" s="2"/>
      <c r="Z558" s="2"/>
      <c r="AA558" s="2"/>
      <c r="AB558" s="343"/>
      <c r="AC558" s="2"/>
      <c r="AD558" s="2"/>
      <c r="AE558" s="349"/>
      <c r="AF558" s="349"/>
      <c r="AG558" s="349"/>
      <c r="AH558" s="349"/>
      <c r="AI558" s="349"/>
      <c r="AJ558" s="349"/>
      <c r="AK558" s="349"/>
      <c r="AL558" s="349"/>
      <c r="AM558" s="349"/>
    </row>
    <row r="559" spans="1:39" ht="12.75" customHeight="1" x14ac:dyDescent="0.25">
      <c r="A559" s="2"/>
      <c r="B559" s="3"/>
      <c r="C559" s="15"/>
      <c r="D559" s="15"/>
      <c r="E559" s="2644" t="str">
        <f>Translations!$B$545</f>
        <v>http://ec.europa.eu/eurostat/ramon/nomenclatures/index.cfm?TargetUrl=LST_CLS_DLD&amp;StrNom=PRD_2010&amp;StrLanguageCode=EN&amp;StrLayoutCode=HIERARCHIC</v>
      </c>
      <c r="F559" s="2708"/>
      <c r="G559" s="2708"/>
      <c r="H559" s="2708"/>
      <c r="I559" s="2708"/>
      <c r="J559" s="2708"/>
      <c r="K559" s="2708"/>
      <c r="L559" s="2708"/>
      <c r="M559" s="2708"/>
      <c r="N559" s="2708"/>
      <c r="O559" s="6"/>
      <c r="P559" s="6"/>
      <c r="Q559" s="7"/>
      <c r="R559" s="2"/>
      <c r="S559" s="2"/>
      <c r="T559" s="2"/>
      <c r="U559" s="2"/>
      <c r="V559" s="2"/>
      <c r="W559" s="2"/>
      <c r="X559" s="2"/>
      <c r="Y559" s="2"/>
      <c r="Z559" s="2"/>
      <c r="AA559" s="2"/>
      <c r="AB559" s="343"/>
      <c r="AC559" s="2"/>
      <c r="AD559" s="2"/>
      <c r="AE559" s="349"/>
      <c r="AF559" s="349"/>
      <c r="AG559" s="349"/>
      <c r="AH559" s="349"/>
      <c r="AI559" s="349"/>
      <c r="AJ559" s="349"/>
      <c r="AK559" s="349"/>
      <c r="AL559" s="349"/>
      <c r="AM559" s="349"/>
    </row>
    <row r="560" spans="1:39" ht="12.75" customHeight="1" x14ac:dyDescent="0.25">
      <c r="A560" s="2"/>
      <c r="B560" s="3"/>
      <c r="C560" s="15"/>
      <c r="D560" s="15"/>
      <c r="E560" s="2061" t="str">
        <f>Translations!$B$671</f>
        <v>Nace-koder kan användas i stället för Prodcom-koder om flera liknande produkter inom samma Nace-grupp omfattas.</v>
      </c>
      <c r="F560" s="1963"/>
      <c r="G560" s="1963"/>
      <c r="H560" s="1963"/>
      <c r="I560" s="1963"/>
      <c r="J560" s="1963"/>
      <c r="K560" s="1963"/>
      <c r="L560" s="1963"/>
      <c r="M560" s="1963"/>
      <c r="N560" s="1963"/>
      <c r="O560" s="6"/>
      <c r="P560" s="6"/>
      <c r="Q560" s="7"/>
      <c r="R560" s="7"/>
      <c r="S560" s="7"/>
      <c r="T560" s="7"/>
      <c r="U560" s="7"/>
      <c r="V560" s="7"/>
      <c r="W560" s="7"/>
      <c r="X560" s="7"/>
      <c r="Y560" s="7"/>
      <c r="Z560" s="2"/>
      <c r="AA560" s="2"/>
      <c r="AB560" s="343"/>
      <c r="AC560" s="2"/>
      <c r="AD560" s="2"/>
      <c r="AE560" s="349"/>
      <c r="AF560" s="349"/>
      <c r="AG560" s="349"/>
      <c r="AH560" s="349"/>
      <c r="AI560" s="349"/>
      <c r="AJ560" s="349"/>
      <c r="AK560" s="349"/>
      <c r="AL560" s="349"/>
      <c r="AM560" s="349"/>
    </row>
    <row r="561" spans="1:39" ht="5.15" customHeight="1" x14ac:dyDescent="0.25">
      <c r="A561" s="2"/>
      <c r="B561" s="3"/>
      <c r="C561" s="15"/>
      <c r="D561" s="15"/>
      <c r="E561" s="16"/>
      <c r="F561" s="16"/>
      <c r="G561" s="16"/>
      <c r="H561" s="16"/>
      <c r="I561" s="16"/>
      <c r="J561" s="20"/>
      <c r="K561" s="20"/>
      <c r="L561" s="20"/>
      <c r="M561" s="6"/>
      <c r="N561" s="6"/>
      <c r="O561" s="6"/>
      <c r="P561" s="6"/>
      <c r="Q561" s="7"/>
      <c r="R561" s="2"/>
      <c r="S561" s="2"/>
      <c r="T561" s="2"/>
      <c r="U561" s="2"/>
      <c r="V561" s="2"/>
      <c r="W561" s="2"/>
      <c r="X561" s="2"/>
      <c r="Y561" s="2"/>
      <c r="Z561" s="2"/>
      <c r="AA561" s="2"/>
      <c r="AB561" s="343"/>
      <c r="AC561" s="2"/>
      <c r="AD561" s="2"/>
      <c r="AE561" s="349"/>
      <c r="AF561" s="349"/>
      <c r="AG561" s="349"/>
      <c r="AH561" s="349"/>
      <c r="AI561" s="349"/>
      <c r="AJ561" s="349"/>
      <c r="AK561" s="349"/>
      <c r="AL561" s="349"/>
      <c r="AM561" s="349"/>
    </row>
    <row r="562" spans="1:39" ht="25.5" customHeight="1" x14ac:dyDescent="0.25">
      <c r="A562" s="2"/>
      <c r="B562" s="19"/>
      <c r="C562" s="13"/>
      <c r="D562" s="38"/>
      <c r="E562" s="2694" t="str">
        <f>Translations!$B$672</f>
        <v>Användningstyp</v>
      </c>
      <c r="F562" s="2695"/>
      <c r="G562" s="2734" t="str">
        <f>Translations!$B$713</f>
        <v>Produktnamn eller typ av tjänst</v>
      </c>
      <c r="H562" s="2106"/>
      <c r="I562" s="2106"/>
      <c r="J562" s="2106"/>
      <c r="K562" s="2106"/>
      <c r="L562" s="2107"/>
      <c r="M562" s="321" t="s">
        <v>1030</v>
      </c>
      <c r="N562" s="6"/>
      <c r="O562" s="6"/>
      <c r="P562" s="6"/>
      <c r="Q562" s="2"/>
      <c r="R562" s="2"/>
      <c r="S562" s="310" t="s">
        <v>2177</v>
      </c>
      <c r="T562" s="2"/>
      <c r="U562" s="2"/>
      <c r="V562" s="2"/>
      <c r="W562" s="2"/>
      <c r="X562" s="2"/>
      <c r="Y562" s="2"/>
      <c r="Z562" s="7"/>
      <c r="AA562" s="7"/>
      <c r="AB562" s="343"/>
      <c r="AC562" s="2"/>
      <c r="AD562" s="2"/>
      <c r="AE562" s="349"/>
      <c r="AF562" s="349"/>
      <c r="AG562" s="349"/>
      <c r="AH562" s="349"/>
      <c r="AI562" s="349"/>
      <c r="AJ562" s="349"/>
      <c r="AK562" s="349"/>
      <c r="AL562" s="349"/>
      <c r="AM562" s="349"/>
    </row>
    <row r="563" spans="1:39" ht="12.75" customHeight="1" x14ac:dyDescent="0.25">
      <c r="A563" s="2"/>
      <c r="B563" s="19"/>
      <c r="C563" s="45"/>
      <c r="D563" s="32">
        <v>1</v>
      </c>
      <c r="E563" s="2365"/>
      <c r="F563" s="2363"/>
      <c r="G563" s="2249"/>
      <c r="H563" s="2735"/>
      <c r="I563" s="2735"/>
      <c r="J563" s="2735"/>
      <c r="K563" s="2735"/>
      <c r="L563" s="2736"/>
      <c r="M563" s="1167"/>
      <c r="N563" s="6"/>
      <c r="O563" s="6"/>
      <c r="P563" s="1362"/>
      <c r="Q563" s="2"/>
      <c r="R563" s="553"/>
      <c r="S563" s="108" t="b">
        <f>TRUE</f>
        <v>1</v>
      </c>
      <c r="T563" s="1915" t="s">
        <v>2305</v>
      </c>
      <c r="U563" s="2"/>
      <c r="V563" s="2"/>
      <c r="W563" s="2"/>
      <c r="X563" s="2"/>
      <c r="Y563" s="2"/>
      <c r="Z563" s="2"/>
      <c r="AA563" s="2"/>
      <c r="AB563" s="343"/>
      <c r="AC563" s="2"/>
      <c r="AD563" s="2"/>
      <c r="AE563" s="349"/>
      <c r="AF563" s="349"/>
      <c r="AG563" s="349"/>
      <c r="AH563" s="349"/>
      <c r="AI563" s="349"/>
      <c r="AJ563" s="349"/>
      <c r="AK563" s="553" t="s">
        <v>2248</v>
      </c>
      <c r="AL563" s="663" t="str">
        <f>IF(AND($M529=EUconst_Relevant,COUNTA(E563:L563)&lt;2),EUconst_Error&amp;"FB"&amp;Q529,"")</f>
        <v/>
      </c>
      <c r="AM563" s="349"/>
    </row>
    <row r="564" spans="1:39" ht="12.75" customHeight="1" x14ac:dyDescent="0.25">
      <c r="A564" s="2"/>
      <c r="B564" s="19"/>
      <c r="C564" s="45"/>
      <c r="D564" s="33">
        <f>D563+1</f>
        <v>2</v>
      </c>
      <c r="E564" s="2195"/>
      <c r="F564" s="2194"/>
      <c r="G564" s="2687"/>
      <c r="H564" s="2745"/>
      <c r="I564" s="2745"/>
      <c r="J564" s="2745"/>
      <c r="K564" s="2745"/>
      <c r="L564" s="2273"/>
      <c r="M564" s="433"/>
      <c r="N564" s="6"/>
      <c r="O564" s="6"/>
      <c r="P564" s="1362"/>
      <c r="Q564" s="2"/>
      <c r="R564" s="2"/>
      <c r="S564" s="108" t="b">
        <f>TRUE</f>
        <v>1</v>
      </c>
      <c r="T564" s="2"/>
      <c r="U564" s="2"/>
      <c r="V564" s="2"/>
      <c r="W564" s="2"/>
      <c r="X564" s="2"/>
      <c r="Y564" s="2"/>
      <c r="Z564" s="2"/>
      <c r="AA564" s="2"/>
      <c r="AB564" s="343"/>
      <c r="AC564" s="2"/>
      <c r="AD564" s="2"/>
      <c r="AE564" s="349"/>
      <c r="AF564" s="349"/>
      <c r="AG564" s="349"/>
      <c r="AH564" s="349"/>
      <c r="AI564" s="349"/>
      <c r="AJ564" s="349"/>
      <c r="AK564" s="349"/>
      <c r="AL564" s="349"/>
      <c r="AM564" s="349"/>
    </row>
    <row r="565" spans="1:39" ht="12.75" customHeight="1" x14ac:dyDescent="0.25">
      <c r="A565" s="2"/>
      <c r="B565" s="19"/>
      <c r="C565" s="45"/>
      <c r="D565" s="33">
        <f t="shared" ref="D565:D572" si="239">D564+1</f>
        <v>3</v>
      </c>
      <c r="E565" s="2195"/>
      <c r="F565" s="2194"/>
      <c r="G565" s="2687"/>
      <c r="H565" s="2745"/>
      <c r="I565" s="2745"/>
      <c r="J565" s="2745"/>
      <c r="K565" s="2745"/>
      <c r="L565" s="2273"/>
      <c r="M565" s="433"/>
      <c r="N565" s="6"/>
      <c r="O565" s="6"/>
      <c r="P565" s="1362"/>
      <c r="Q565" s="2"/>
      <c r="R565" s="2"/>
      <c r="S565" s="108" t="b">
        <f>TRUE</f>
        <v>1</v>
      </c>
      <c r="T565" s="2"/>
      <c r="U565" s="2"/>
      <c r="V565" s="2"/>
      <c r="W565" s="2"/>
      <c r="X565" s="2"/>
      <c r="Y565" s="2"/>
      <c r="Z565" s="2"/>
      <c r="AA565" s="2"/>
      <c r="AB565" s="343"/>
      <c r="AC565" s="2"/>
      <c r="AD565" s="2"/>
      <c r="AE565" s="349"/>
      <c r="AF565" s="349"/>
      <c r="AG565" s="349"/>
      <c r="AH565" s="349"/>
      <c r="AI565" s="349"/>
      <c r="AJ565" s="349"/>
      <c r="AK565" s="349"/>
      <c r="AL565" s="349"/>
      <c r="AM565" s="349"/>
    </row>
    <row r="566" spans="1:39" ht="12.75" customHeight="1" x14ac:dyDescent="0.25">
      <c r="A566" s="2"/>
      <c r="B566" s="19"/>
      <c r="C566" s="45"/>
      <c r="D566" s="33">
        <f t="shared" si="239"/>
        <v>4</v>
      </c>
      <c r="E566" s="2195"/>
      <c r="F566" s="2194"/>
      <c r="G566" s="2687"/>
      <c r="H566" s="2745"/>
      <c r="I566" s="2745"/>
      <c r="J566" s="2745"/>
      <c r="K566" s="2745"/>
      <c r="L566" s="2273"/>
      <c r="M566" s="433"/>
      <c r="N566" s="6"/>
      <c r="O566" s="6"/>
      <c r="P566" s="1362"/>
      <c r="Q566" s="2"/>
      <c r="R566" s="2"/>
      <c r="S566" s="108" t="b">
        <f>TRUE</f>
        <v>1</v>
      </c>
      <c r="T566" s="2"/>
      <c r="U566" s="2"/>
      <c r="V566" s="2"/>
      <c r="W566" s="2"/>
      <c r="X566" s="2"/>
      <c r="Y566" s="2"/>
      <c r="Z566" s="2"/>
      <c r="AA566" s="2"/>
      <c r="AB566" s="343"/>
      <c r="AC566" s="2"/>
      <c r="AD566" s="2"/>
      <c r="AE566" s="349"/>
      <c r="AF566" s="349"/>
      <c r="AG566" s="349"/>
      <c r="AH566" s="349"/>
      <c r="AI566" s="349"/>
      <c r="AJ566" s="349"/>
      <c r="AK566" s="349"/>
      <c r="AL566" s="349"/>
      <c r="AM566" s="349"/>
    </row>
    <row r="567" spans="1:39" ht="12.75" customHeight="1" x14ac:dyDescent="0.25">
      <c r="A567" s="2"/>
      <c r="B567" s="19"/>
      <c r="C567" s="45"/>
      <c r="D567" s="33">
        <f t="shared" si="239"/>
        <v>5</v>
      </c>
      <c r="E567" s="2195"/>
      <c r="F567" s="2194"/>
      <c r="G567" s="2687"/>
      <c r="H567" s="2745"/>
      <c r="I567" s="2745"/>
      <c r="J567" s="2745"/>
      <c r="K567" s="2745"/>
      <c r="L567" s="2273"/>
      <c r="M567" s="433"/>
      <c r="N567" s="6"/>
      <c r="O567" s="6"/>
      <c r="P567" s="1362"/>
      <c r="Q567" s="2"/>
      <c r="R567" s="2"/>
      <c r="S567" s="108" t="b">
        <f>TRUE</f>
        <v>1</v>
      </c>
      <c r="T567" s="2"/>
      <c r="U567" s="2"/>
      <c r="V567" s="2"/>
      <c r="W567" s="2"/>
      <c r="X567" s="2"/>
      <c r="Y567" s="2"/>
      <c r="Z567" s="7"/>
      <c r="AA567" s="7"/>
      <c r="AB567" s="343"/>
      <c r="AC567" s="2"/>
      <c r="AD567" s="2"/>
      <c r="AE567" s="349"/>
      <c r="AF567" s="349"/>
      <c r="AG567" s="349"/>
      <c r="AH567" s="349"/>
      <c r="AI567" s="349"/>
      <c r="AJ567" s="349"/>
      <c r="AK567" s="349"/>
      <c r="AL567" s="349"/>
      <c r="AM567" s="349"/>
    </row>
    <row r="568" spans="1:39" ht="12.75" customHeight="1" x14ac:dyDescent="0.25">
      <c r="A568" s="2"/>
      <c r="B568" s="19"/>
      <c r="C568" s="45"/>
      <c r="D568" s="33">
        <f t="shared" si="239"/>
        <v>6</v>
      </c>
      <c r="E568" s="2195"/>
      <c r="F568" s="2194"/>
      <c r="G568" s="2269"/>
      <c r="H568" s="2745"/>
      <c r="I568" s="2745"/>
      <c r="J568" s="2745"/>
      <c r="K568" s="2745"/>
      <c r="L568" s="2273"/>
      <c r="M568" s="433"/>
      <c r="N568" s="6"/>
      <c r="O568" s="6"/>
      <c r="P568" s="1362"/>
      <c r="Q568" s="2"/>
      <c r="R568" s="2"/>
      <c r="S568" s="108" t="b">
        <f>TRUE</f>
        <v>1</v>
      </c>
      <c r="T568" s="2"/>
      <c r="U568" s="2"/>
      <c r="V568" s="2"/>
      <c r="W568" s="2"/>
      <c r="X568" s="2"/>
      <c r="Y568" s="2"/>
      <c r="Z568" s="2"/>
      <c r="AA568" s="2"/>
      <c r="AB568" s="343"/>
      <c r="AC568" s="2"/>
      <c r="AD568" s="2"/>
      <c r="AE568" s="349"/>
      <c r="AF568" s="349"/>
      <c r="AG568" s="349"/>
      <c r="AH568" s="349"/>
      <c r="AI568" s="349"/>
      <c r="AJ568" s="349"/>
      <c r="AK568" s="349"/>
      <c r="AL568" s="349"/>
      <c r="AM568" s="349"/>
    </row>
    <row r="569" spans="1:39" ht="12.75" customHeight="1" x14ac:dyDescent="0.25">
      <c r="A569" s="2"/>
      <c r="B569" s="19"/>
      <c r="C569" s="45"/>
      <c r="D569" s="33">
        <f t="shared" si="239"/>
        <v>7</v>
      </c>
      <c r="E569" s="2195"/>
      <c r="F569" s="2194"/>
      <c r="G569" s="2269"/>
      <c r="H569" s="2745"/>
      <c r="I569" s="2745"/>
      <c r="J569" s="2745"/>
      <c r="K569" s="2745"/>
      <c r="L569" s="2273"/>
      <c r="M569" s="433"/>
      <c r="N569" s="6"/>
      <c r="O569" s="6"/>
      <c r="P569" s="1362"/>
      <c r="Q569" s="2"/>
      <c r="R569" s="2"/>
      <c r="S569" s="108" t="b">
        <f>TRUE</f>
        <v>1</v>
      </c>
      <c r="T569" s="2"/>
      <c r="U569" s="2"/>
      <c r="V569" s="2"/>
      <c r="W569" s="2"/>
      <c r="X569" s="2"/>
      <c r="Y569" s="2"/>
      <c r="Z569" s="2"/>
      <c r="AA569" s="2"/>
      <c r="AB569" s="343"/>
      <c r="AC569" s="2"/>
      <c r="AD569" s="2"/>
      <c r="AE569" s="349"/>
      <c r="AF569" s="349"/>
      <c r="AG569" s="349"/>
      <c r="AH569" s="349"/>
      <c r="AI569" s="349"/>
      <c r="AJ569" s="349"/>
      <c r="AK569" s="349"/>
      <c r="AL569" s="349"/>
      <c r="AM569" s="349"/>
    </row>
    <row r="570" spans="1:39" ht="12.75" customHeight="1" x14ac:dyDescent="0.25">
      <c r="A570" s="2"/>
      <c r="B570" s="19"/>
      <c r="C570" s="45"/>
      <c r="D570" s="33">
        <f t="shared" si="239"/>
        <v>8</v>
      </c>
      <c r="E570" s="2195"/>
      <c r="F570" s="2194"/>
      <c r="G570" s="2269"/>
      <c r="H570" s="2745"/>
      <c r="I570" s="2745"/>
      <c r="J570" s="2745"/>
      <c r="K570" s="2745"/>
      <c r="L570" s="2273"/>
      <c r="M570" s="433"/>
      <c r="N570" s="6"/>
      <c r="O570" s="6"/>
      <c r="P570" s="1362"/>
      <c r="Q570" s="2"/>
      <c r="R570" s="2"/>
      <c r="S570" s="108" t="b">
        <f>TRUE</f>
        <v>1</v>
      </c>
      <c r="T570" s="2"/>
      <c r="U570" s="2"/>
      <c r="V570" s="2"/>
      <c r="W570" s="2"/>
      <c r="X570" s="2"/>
      <c r="Y570" s="2"/>
      <c r="Z570" s="2"/>
      <c r="AA570" s="2"/>
      <c r="AB570" s="343"/>
      <c r="AC570" s="2"/>
      <c r="AD570" s="2"/>
      <c r="AE570" s="349"/>
      <c r="AF570" s="349"/>
      <c r="AG570" s="349"/>
      <c r="AH570" s="349"/>
      <c r="AI570" s="349"/>
      <c r="AJ570" s="349"/>
      <c r="AK570" s="349"/>
      <c r="AL570" s="349"/>
      <c r="AM570" s="349"/>
    </row>
    <row r="571" spans="1:39" ht="12.75" customHeight="1" x14ac:dyDescent="0.25">
      <c r="A571" s="2"/>
      <c r="B571" s="19"/>
      <c r="C571" s="45"/>
      <c r="D571" s="33">
        <f t="shared" si="239"/>
        <v>9</v>
      </c>
      <c r="E571" s="2195"/>
      <c r="F571" s="2194"/>
      <c r="G571" s="2269"/>
      <c r="H571" s="2745"/>
      <c r="I571" s="2745"/>
      <c r="J571" s="2745"/>
      <c r="K571" s="2745"/>
      <c r="L571" s="2273"/>
      <c r="M571" s="433"/>
      <c r="N571" s="6"/>
      <c r="O571" s="6"/>
      <c r="P571" s="1362"/>
      <c r="Q571" s="2"/>
      <c r="R571" s="2"/>
      <c r="S571" s="108" t="b">
        <f>TRUE</f>
        <v>1</v>
      </c>
      <c r="T571" s="2"/>
      <c r="U571" s="2"/>
      <c r="V571" s="2"/>
      <c r="W571" s="2"/>
      <c r="X571" s="2"/>
      <c r="Y571" s="2"/>
      <c r="Z571" s="2"/>
      <c r="AA571" s="2"/>
      <c r="AB571" s="343"/>
      <c r="AC571" s="2"/>
      <c r="AD571" s="2"/>
      <c r="AE571" s="349"/>
      <c r="AF571" s="349"/>
      <c r="AG571" s="349"/>
      <c r="AH571" s="349"/>
      <c r="AI571" s="349"/>
      <c r="AJ571" s="349"/>
      <c r="AK571" s="349"/>
      <c r="AL571" s="349"/>
      <c r="AM571" s="349"/>
    </row>
    <row r="572" spans="1:39" ht="12.75" customHeight="1" x14ac:dyDescent="0.25">
      <c r="A572" s="2"/>
      <c r="B572" s="19"/>
      <c r="C572" s="45"/>
      <c r="D572" s="36">
        <f t="shared" si="239"/>
        <v>10</v>
      </c>
      <c r="E572" s="2266"/>
      <c r="F572" s="2267"/>
      <c r="G572" s="2369"/>
      <c r="H572" s="2744"/>
      <c r="I572" s="2744"/>
      <c r="J572" s="2744"/>
      <c r="K572" s="2744"/>
      <c r="L572" s="2371"/>
      <c r="M572" s="434"/>
      <c r="N572" s="6"/>
      <c r="O572" s="6"/>
      <c r="P572" s="1362"/>
      <c r="Q572" s="2"/>
      <c r="R572" s="2"/>
      <c r="S572" s="108" t="b">
        <f>TRUE</f>
        <v>1</v>
      </c>
      <c r="T572" s="2"/>
      <c r="U572" s="2"/>
      <c r="V572" s="2"/>
      <c r="W572" s="2"/>
      <c r="X572" s="2"/>
      <c r="Y572" s="2"/>
      <c r="Z572" s="7"/>
      <c r="AA572" s="7"/>
      <c r="AB572" s="343"/>
      <c r="AC572" s="2"/>
      <c r="AD572" s="2"/>
      <c r="AE572" s="349"/>
      <c r="AF572" s="349"/>
      <c r="AG572" s="349"/>
      <c r="AH572" s="349"/>
      <c r="AI572" s="349"/>
      <c r="AJ572" s="349"/>
      <c r="AK572" s="349"/>
      <c r="AL572" s="349"/>
      <c r="AM572" s="349"/>
    </row>
    <row r="573" spans="1:39" ht="5.15" customHeight="1" x14ac:dyDescent="0.25">
      <c r="A573" s="2"/>
      <c r="B573" s="3"/>
      <c r="C573" s="3"/>
      <c r="D573" s="3"/>
      <c r="E573" s="3"/>
      <c r="F573" s="3"/>
      <c r="G573" s="3"/>
      <c r="H573" s="3"/>
      <c r="I573" s="3"/>
      <c r="J573" s="3"/>
      <c r="K573" s="3"/>
      <c r="L573" s="3"/>
      <c r="M573" s="3"/>
      <c r="N573" s="3"/>
      <c r="O573" s="6"/>
      <c r="P573" s="6"/>
      <c r="Q573" s="7"/>
      <c r="R573" s="7"/>
      <c r="S573" s="2"/>
      <c r="T573" s="2"/>
      <c r="U573" s="2"/>
      <c r="V573" s="2"/>
      <c r="W573" s="2"/>
      <c r="X573" s="2"/>
      <c r="Y573" s="2"/>
      <c r="Z573" s="2"/>
      <c r="AA573" s="2"/>
      <c r="AB573" s="343"/>
      <c r="AC573" s="2"/>
      <c r="AD573" s="2"/>
      <c r="AE573" s="349"/>
      <c r="AF573" s="349"/>
      <c r="AG573" s="349"/>
      <c r="AH573" s="349"/>
      <c r="AI573" s="349"/>
      <c r="AJ573" s="349"/>
      <c r="AK573" s="349"/>
      <c r="AL573" s="349"/>
      <c r="AM573" s="349"/>
    </row>
    <row r="574" spans="1:39" ht="12.75" customHeight="1" x14ac:dyDescent="0.25">
      <c r="A574" s="2"/>
      <c r="B574" s="3"/>
      <c r="C574" s="13"/>
      <c r="D574" s="13"/>
      <c r="E574" s="1943" t="str">
        <f>Translations!$B$675</f>
        <v>Produktionsnivåer:</v>
      </c>
      <c r="F574" s="1963"/>
      <c r="G574" s="1963"/>
      <c r="H574" s="1963"/>
      <c r="I574" s="1963"/>
      <c r="J574" s="1963"/>
      <c r="K574" s="1963"/>
      <c r="L574" s="1963"/>
      <c r="M574" s="1963"/>
      <c r="N574" s="1963"/>
      <c r="O574" s="6"/>
      <c r="P574" s="6"/>
      <c r="Q574" s="7"/>
      <c r="R574" s="2"/>
      <c r="S574" s="2"/>
      <c r="T574" s="2"/>
      <c r="U574" s="2"/>
      <c r="V574" s="2"/>
      <c r="W574" s="2"/>
      <c r="X574" s="2"/>
      <c r="Y574" s="2"/>
      <c r="Z574" s="2"/>
      <c r="AA574" s="2"/>
      <c r="AB574" s="343"/>
      <c r="AC574" s="2"/>
      <c r="AD574" s="2"/>
      <c r="AE574" s="349"/>
      <c r="AF574" s="349"/>
      <c r="AG574" s="349"/>
      <c r="AH574" s="349"/>
      <c r="AI574" s="349"/>
      <c r="AJ574" s="349"/>
      <c r="AK574" s="349"/>
      <c r="AL574" s="349"/>
      <c r="AM574" s="349"/>
    </row>
    <row r="575" spans="1:39" ht="25.5" customHeight="1" x14ac:dyDescent="0.25">
      <c r="A575" s="2"/>
      <c r="B575" s="3"/>
      <c r="C575" s="13"/>
      <c r="D575" s="13"/>
      <c r="E575" s="2061" t="str">
        <f>Translations!$B$1492</f>
        <v>Observera att energieffektivitetsregeln endast kan tillämpas på fall där värme eller bränsle används för produktion av en specifik produkt. Därför kan regeln inte tillämpas om det inte går att tilldela en PRODCOM-kod till produkten.</v>
      </c>
      <c r="F575" s="1963"/>
      <c r="G575" s="1963"/>
      <c r="H575" s="1963"/>
      <c r="I575" s="1963"/>
      <c r="J575" s="1963"/>
      <c r="K575" s="1963"/>
      <c r="L575" s="1963"/>
      <c r="M575" s="1963"/>
      <c r="N575" s="1963"/>
      <c r="O575" s="6"/>
      <c r="P575" s="6"/>
      <c r="Q575" s="7"/>
      <c r="R575" s="2"/>
      <c r="S575" s="2"/>
      <c r="T575" s="2"/>
      <c r="U575" s="2"/>
      <c r="V575" s="2"/>
      <c r="W575" s="2"/>
      <c r="X575" s="2"/>
      <c r="Y575" s="2"/>
      <c r="Z575" s="2"/>
      <c r="AA575" s="2"/>
      <c r="AB575" s="343"/>
      <c r="AC575" s="2"/>
      <c r="AD575" s="2"/>
      <c r="AE575" s="349"/>
      <c r="AF575" s="349"/>
      <c r="AG575" s="349"/>
      <c r="AH575" s="349"/>
      <c r="AI575" s="349"/>
      <c r="AJ575" s="349"/>
      <c r="AK575" s="349"/>
      <c r="AL575" s="349"/>
      <c r="AM575" s="349"/>
    </row>
    <row r="576" spans="1:39" ht="25.5" customHeight="1" x14ac:dyDescent="0.25">
      <c r="A576" s="2"/>
      <c r="B576" s="3"/>
      <c r="C576" s="13"/>
      <c r="D576" s="13"/>
      <c r="E576" s="2061" t="str">
        <f>Translations!$B$1493</f>
        <v>Om ingen PRODCOM-kod kan tilldelas en produkt kan energieffektivitetsregeln därmed inte tillämpas, eftersom nedanstående effektivitet endast kan beräknas om alla ”produkter” är relaterade till samma enhet, vanligtvis ton.</v>
      </c>
      <c r="F576" s="1963"/>
      <c r="G576" s="1963"/>
      <c r="H576" s="1963"/>
      <c r="I576" s="1963"/>
      <c r="J576" s="1963"/>
      <c r="K576" s="1963"/>
      <c r="L576" s="1963"/>
      <c r="M576" s="1963"/>
      <c r="N576" s="1963"/>
      <c r="O576" s="6"/>
      <c r="P576" s="6"/>
      <c r="Q576" s="7"/>
      <c r="R576" s="2"/>
      <c r="S576" s="2"/>
      <c r="T576" s="2"/>
      <c r="U576" s="2"/>
      <c r="V576" s="2"/>
      <c r="W576" s="2"/>
      <c r="X576" s="2"/>
      <c r="Y576" s="2"/>
      <c r="Z576" s="2"/>
      <c r="AA576" s="2"/>
      <c r="AB576" s="343"/>
      <c r="AC576" s="2"/>
      <c r="AD576" s="2"/>
      <c r="AE576" s="349"/>
      <c r="AF576" s="349"/>
      <c r="AG576" s="349"/>
      <c r="AH576" s="349"/>
      <c r="AI576" s="349"/>
      <c r="AJ576" s="349"/>
      <c r="AK576" s="349"/>
      <c r="AL576" s="349"/>
      <c r="AM576" s="349"/>
    </row>
    <row r="577" spans="1:39" ht="12.75" customHeight="1" x14ac:dyDescent="0.25">
      <c r="A577" s="2"/>
      <c r="B577" s="3"/>
      <c r="C577" s="13"/>
      <c r="D577" s="13"/>
      <c r="E577" s="2061" t="str">
        <f>Translations!$B$1494</f>
        <v>Värdet för de nationella genomförandeåtgärderna (NIMs-värde) hänför sig till den genomsnittliga produktionen under referensperioden för NIMs (i likhet med historisk verksamhetsnivå) och är endast relevant för existerande delanläggningar inom befintliga anläggningar.</v>
      </c>
      <c r="F577" s="1963"/>
      <c r="G577" s="1963"/>
      <c r="H577" s="1963"/>
      <c r="I577" s="1963"/>
      <c r="J577" s="1963"/>
      <c r="K577" s="1963"/>
      <c r="L577" s="1963"/>
      <c r="M577" s="1963"/>
      <c r="N577" s="1963"/>
      <c r="O577" s="6"/>
      <c r="P577" s="6"/>
      <c r="Q577" s="7"/>
      <c r="R577" s="2"/>
      <c r="S577" s="2"/>
      <c r="T577" s="2"/>
      <c r="U577" s="2"/>
      <c r="V577" s="2"/>
      <c r="W577" s="2"/>
      <c r="X577" s="2"/>
      <c r="Y577" s="2"/>
      <c r="Z577" s="2"/>
      <c r="AA577" s="2"/>
      <c r="AB577" s="343"/>
      <c r="AC577" s="2"/>
      <c r="AD577" s="2"/>
      <c r="AE577" s="349"/>
      <c r="AF577" s="349"/>
      <c r="AG577" s="349"/>
      <c r="AH577" s="349"/>
      <c r="AI577" s="349"/>
      <c r="AJ577" s="349"/>
      <c r="AK577" s="349"/>
      <c r="AL577" s="349"/>
      <c r="AM577" s="349"/>
    </row>
    <row r="578" spans="1:39" ht="5.15" customHeight="1" x14ac:dyDescent="0.25">
      <c r="A578" s="2"/>
      <c r="B578" s="3"/>
      <c r="C578" s="15"/>
      <c r="D578" s="15"/>
      <c r="E578" s="16"/>
      <c r="F578" s="16"/>
      <c r="G578" s="16"/>
      <c r="H578" s="16"/>
      <c r="I578" s="16"/>
      <c r="J578" s="20"/>
      <c r="K578" s="20"/>
      <c r="L578" s="20"/>
      <c r="M578" s="6"/>
      <c r="N578" s="6"/>
      <c r="O578" s="6"/>
      <c r="P578" s="6"/>
      <c r="Q578" s="7"/>
      <c r="R578" s="2"/>
      <c r="S578" s="2"/>
      <c r="T578" s="2"/>
      <c r="U578" s="2"/>
      <c r="V578" s="2"/>
      <c r="W578" s="2"/>
      <c r="X578" s="2"/>
      <c r="Y578" s="2"/>
      <c r="Z578" s="2"/>
      <c r="AA578" s="2"/>
      <c r="AB578" s="343"/>
      <c r="AC578" s="2"/>
      <c r="AD578" s="2"/>
      <c r="AE578" s="349"/>
      <c r="AF578" s="349"/>
      <c r="AG578" s="349"/>
      <c r="AH578" s="349"/>
      <c r="AI578" s="349"/>
      <c r="AJ578" s="349"/>
      <c r="AK578" s="349"/>
      <c r="AL578" s="349"/>
      <c r="AM578" s="349"/>
    </row>
    <row r="579" spans="1:39" s="1195" customFormat="1" ht="25.5" customHeight="1" thickBot="1" x14ac:dyDescent="0.35">
      <c r="A579" s="1189"/>
      <c r="B579" s="1190"/>
      <c r="C579" s="1191"/>
      <c r="D579" s="1192"/>
      <c r="E579" s="866" t="str">
        <f>G562</f>
        <v>Produktnamn eller typ av tjänst</v>
      </c>
      <c r="F579" s="1095" t="str">
        <f>EUconst_Unit</f>
        <v>Enhet</v>
      </c>
      <c r="G579" s="1204" t="str">
        <f>Translations!$B$1495</f>
        <v>NIMs-värde</v>
      </c>
      <c r="H579" s="1205">
        <f t="shared" ref="H579:N579" si="240">H$950</f>
        <v>2019</v>
      </c>
      <c r="I579" s="1204">
        <f t="shared" si="240"/>
        <v>2020</v>
      </c>
      <c r="J579" s="1205">
        <f t="shared" si="240"/>
        <v>2021</v>
      </c>
      <c r="K579" s="1193">
        <f t="shared" si="240"/>
        <v>2022</v>
      </c>
      <c r="L579" s="1193">
        <f t="shared" si="240"/>
        <v>2023</v>
      </c>
      <c r="M579" s="1193">
        <f t="shared" si="240"/>
        <v>2024</v>
      </c>
      <c r="N579" s="1193">
        <f t="shared" si="240"/>
        <v>2025</v>
      </c>
      <c r="O579" s="6"/>
      <c r="P579" s="6"/>
      <c r="Q579" s="1189"/>
      <c r="R579" s="1189"/>
      <c r="S579" s="1189"/>
      <c r="T579" s="1189"/>
      <c r="U579" s="1189"/>
      <c r="V579" s="1189"/>
      <c r="W579" s="1189"/>
      <c r="X579" s="1189"/>
      <c r="Y579" s="1189"/>
      <c r="Z579" s="1189"/>
      <c r="AA579" s="1189"/>
      <c r="AB579" s="7" t="s">
        <v>1846</v>
      </c>
      <c r="AC579" s="1189">
        <f t="shared" ref="AC579:AI579" si="241">H579</f>
        <v>2019</v>
      </c>
      <c r="AD579" s="1189">
        <f t="shared" si="241"/>
        <v>2020</v>
      </c>
      <c r="AE579" s="1189">
        <f t="shared" si="241"/>
        <v>2021</v>
      </c>
      <c r="AF579" s="1189">
        <f t="shared" si="241"/>
        <v>2022</v>
      </c>
      <c r="AG579" s="1189">
        <f t="shared" si="241"/>
        <v>2023</v>
      </c>
      <c r="AH579" s="1194">
        <f t="shared" si="241"/>
        <v>2024</v>
      </c>
      <c r="AI579" s="1194">
        <f t="shared" si="241"/>
        <v>2025</v>
      </c>
      <c r="AJ579" s="1194"/>
      <c r="AK579" s="1194"/>
      <c r="AL579" s="1194"/>
      <c r="AM579" s="1194"/>
    </row>
    <row r="580" spans="1:39" ht="12.75" customHeight="1" x14ac:dyDescent="0.25">
      <c r="A580" s="2"/>
      <c r="B580" s="19"/>
      <c r="C580" s="45"/>
      <c r="D580" s="32">
        <v>1</v>
      </c>
      <c r="E580" s="1037" t="str">
        <f t="shared" ref="E580:E589" si="242">IF(ISBLANK(G563),"",G563)</f>
        <v/>
      </c>
      <c r="F580" s="1524"/>
      <c r="G580" s="467"/>
      <c r="H580" s="1106"/>
      <c r="I580" s="467"/>
      <c r="J580" s="1106"/>
      <c r="K580" s="383"/>
      <c r="L580" s="383"/>
      <c r="M580" s="383"/>
      <c r="N580" s="383"/>
      <c r="O580" s="6"/>
      <c r="P580" s="1362"/>
      <c r="Q580" s="2"/>
      <c r="R580" s="2"/>
      <c r="S580" s="2"/>
      <c r="T580" s="2"/>
      <c r="U580" s="2"/>
      <c r="V580" s="2"/>
      <c r="W580" s="2"/>
      <c r="X580" s="2"/>
      <c r="Y580" s="2"/>
      <c r="Z580" s="672" t="s">
        <v>1899</v>
      </c>
      <c r="AA580" s="1705">
        <f>MAX(AC580:AI580)</f>
        <v>2</v>
      </c>
      <c r="AB580" s="1174">
        <f>IF(CNTR_ExistSubInstEntries,IF(OR($M529&lt;&gt;EUconst_Relevant,$V529&gt;2018,$E580=""),0,2),2)</f>
        <v>2</v>
      </c>
      <c r="AC580" s="1174">
        <f t="shared" ref="AC580:AI580" si="243">IF(CNTR_ExistSubInstEntries,IF(OR($M529&lt;&gt;EUconst_Relevant,AC579&gt;=CNTR_ReportingYear,AC579&lt;$V529-1,$E580=""),0,2),2)</f>
        <v>2</v>
      </c>
      <c r="AD580" s="1173">
        <f t="shared" si="243"/>
        <v>2</v>
      </c>
      <c r="AE580" s="1173">
        <f t="shared" si="243"/>
        <v>2</v>
      </c>
      <c r="AF580" s="1173">
        <f t="shared" si="243"/>
        <v>2</v>
      </c>
      <c r="AG580" s="1173">
        <f t="shared" si="243"/>
        <v>2</v>
      </c>
      <c r="AH580" s="1175">
        <f t="shared" si="243"/>
        <v>2</v>
      </c>
      <c r="AI580" s="1176">
        <f t="shared" si="243"/>
        <v>2</v>
      </c>
      <c r="AJ580" s="349"/>
      <c r="AK580" s="553" t="s">
        <v>2248</v>
      </c>
      <c r="AL580" s="663" t="str">
        <f>IF(AND(CNTR_ExistSubInstEntries,COUNTIFS(AB580:AI580,2,G580:N580,"")&gt;0),EUconst_Error&amp;"FB"&amp;Q529,"")</f>
        <v/>
      </c>
      <c r="AM580" s="349"/>
    </row>
    <row r="581" spans="1:39" ht="12.75" customHeight="1" x14ac:dyDescent="0.25">
      <c r="A581" s="2"/>
      <c r="B581" s="19"/>
      <c r="C581" s="45"/>
      <c r="D581" s="33">
        <f>D580+1</f>
        <v>2</v>
      </c>
      <c r="E581" s="1036" t="str">
        <f t="shared" si="242"/>
        <v/>
      </c>
      <c r="F581" s="1522" t="str">
        <f>IF(OR(F580="",E581=""),"",F580)</f>
        <v/>
      </c>
      <c r="G581" s="468"/>
      <c r="H581" s="1120"/>
      <c r="I581" s="468"/>
      <c r="J581" s="1120"/>
      <c r="K581" s="431"/>
      <c r="L581" s="431"/>
      <c r="M581" s="431"/>
      <c r="N581" s="431"/>
      <c r="O581" s="6"/>
      <c r="P581" s="1362"/>
      <c r="Q581" s="2"/>
      <c r="R581" s="2"/>
      <c r="S581" s="2"/>
      <c r="T581" s="2"/>
      <c r="U581" s="2"/>
      <c r="V581" s="2"/>
      <c r="W581" s="2"/>
      <c r="X581" s="2"/>
      <c r="Y581" s="2"/>
      <c r="Z581" s="2"/>
      <c r="AA581" s="1177">
        <f t="shared" ref="AA581:AA589" si="244">MAX(AC581:AI581)</f>
        <v>2</v>
      </c>
      <c r="AB581" s="935">
        <f>IF(CNTR_ExistSubInstEntries,IF(OR($M529&lt;&gt;EUconst_Relevant,$V529&gt;2018,$E581=""),0,2),2)</f>
        <v>2</v>
      </c>
      <c r="AC581" s="935">
        <f t="shared" ref="AC581:AI581" si="245">IF(CNTR_ExistSubInstEntries,IF(OR($M529&lt;&gt;EUconst_Relevant,AC579&gt;=CNTR_ReportingYear,AC579&lt;$V529-1,$E581=""),0,2),2)</f>
        <v>2</v>
      </c>
      <c r="AD581" s="935">
        <f t="shared" si="245"/>
        <v>2</v>
      </c>
      <c r="AE581" s="935">
        <f t="shared" si="245"/>
        <v>2</v>
      </c>
      <c r="AF581" s="935">
        <f t="shared" si="245"/>
        <v>2</v>
      </c>
      <c r="AG581" s="935">
        <f t="shared" si="245"/>
        <v>2</v>
      </c>
      <c r="AH581" s="1039">
        <f t="shared" si="245"/>
        <v>2</v>
      </c>
      <c r="AI581" s="1178">
        <f t="shared" si="245"/>
        <v>2</v>
      </c>
      <c r="AJ581" s="349"/>
      <c r="AK581" s="553" t="s">
        <v>2248</v>
      </c>
      <c r="AL581" s="663" t="str">
        <f>IF(AND(CNTR_ExistSubInstEntries,COUNTIFS(AB581:AI581,2,G581:N581,"")&gt;0),EUconst_Error&amp;"FB"&amp;Q529,"")</f>
        <v/>
      </c>
      <c r="AM581" s="349"/>
    </row>
    <row r="582" spans="1:39" ht="12.75" customHeight="1" x14ac:dyDescent="0.25">
      <c r="A582" s="2"/>
      <c r="B582" s="19"/>
      <c r="C582" s="45"/>
      <c r="D582" s="33">
        <f t="shared" ref="D582:D589" si="246">D581+1</f>
        <v>3</v>
      </c>
      <c r="E582" s="1036" t="str">
        <f t="shared" si="242"/>
        <v/>
      </c>
      <c r="F582" s="1522" t="str">
        <f t="shared" ref="F582:F589" si="247">IF(OR(F581="",E582=""),"",F581)</f>
        <v/>
      </c>
      <c r="G582" s="468"/>
      <c r="H582" s="1120"/>
      <c r="I582" s="468"/>
      <c r="J582" s="1120"/>
      <c r="K582" s="431"/>
      <c r="L582" s="431"/>
      <c r="M582" s="431"/>
      <c r="N582" s="431"/>
      <c r="O582" s="6"/>
      <c r="P582" s="1362"/>
      <c r="Q582" s="2"/>
      <c r="R582" s="2"/>
      <c r="S582" s="2"/>
      <c r="T582" s="2"/>
      <c r="U582" s="2"/>
      <c r="V582" s="2"/>
      <c r="W582" s="2"/>
      <c r="X582" s="2"/>
      <c r="Y582" s="2"/>
      <c r="Z582" s="2"/>
      <c r="AA582" s="1177">
        <f t="shared" si="244"/>
        <v>2</v>
      </c>
      <c r="AB582" s="935">
        <f>IF(CNTR_ExistSubInstEntries,IF(OR($M529&lt;&gt;EUconst_Relevant,$V529&gt;2018,$E582=""),0,2),2)</f>
        <v>2</v>
      </c>
      <c r="AC582" s="935">
        <f t="shared" ref="AC582:AI582" si="248">IF(CNTR_ExistSubInstEntries,IF(OR($M529&lt;&gt;EUconst_Relevant,AC579&gt;=CNTR_ReportingYear,AC579&lt;$V529-1,$E582=""),0,2),2)</f>
        <v>2</v>
      </c>
      <c r="AD582" s="935">
        <f t="shared" si="248"/>
        <v>2</v>
      </c>
      <c r="AE582" s="935">
        <f t="shared" si="248"/>
        <v>2</v>
      </c>
      <c r="AF582" s="935">
        <f t="shared" si="248"/>
        <v>2</v>
      </c>
      <c r="AG582" s="935">
        <f t="shared" si="248"/>
        <v>2</v>
      </c>
      <c r="AH582" s="1039">
        <f t="shared" si="248"/>
        <v>2</v>
      </c>
      <c r="AI582" s="1178">
        <f t="shared" si="248"/>
        <v>2</v>
      </c>
      <c r="AJ582" s="349"/>
      <c r="AK582" s="553" t="s">
        <v>2248</v>
      </c>
      <c r="AL582" s="663" t="str">
        <f>IF(AND(CNTR_ExistSubInstEntries,COUNTIFS(AB582:AI582,2,G582:N582,"")&gt;0),EUconst_Error&amp;"FB"&amp;Q529,"")</f>
        <v/>
      </c>
      <c r="AM582" s="349"/>
    </row>
    <row r="583" spans="1:39" ht="12.75" customHeight="1" x14ac:dyDescent="0.25">
      <c r="A583" s="2"/>
      <c r="B583" s="19"/>
      <c r="C583" s="45"/>
      <c r="D583" s="33">
        <f t="shared" si="246"/>
        <v>4</v>
      </c>
      <c r="E583" s="1036" t="str">
        <f t="shared" si="242"/>
        <v/>
      </c>
      <c r="F583" s="1522" t="str">
        <f t="shared" si="247"/>
        <v/>
      </c>
      <c r="G583" s="468"/>
      <c r="H583" s="1120"/>
      <c r="I583" s="468"/>
      <c r="J583" s="1120"/>
      <c r="K583" s="431"/>
      <c r="L583" s="431"/>
      <c r="M583" s="431"/>
      <c r="N583" s="431"/>
      <c r="O583" s="6"/>
      <c r="P583" s="1362"/>
      <c r="Q583" s="2"/>
      <c r="R583" s="2"/>
      <c r="S583" s="2"/>
      <c r="T583" s="2"/>
      <c r="U583" s="343"/>
      <c r="V583" s="343"/>
      <c r="W583" s="2"/>
      <c r="X583" s="2"/>
      <c r="Y583" s="2"/>
      <c r="Z583" s="2"/>
      <c r="AA583" s="1177">
        <f t="shared" si="244"/>
        <v>2</v>
      </c>
      <c r="AB583" s="935">
        <f>IF(CNTR_ExistSubInstEntries,IF(OR($M529&lt;&gt;EUconst_Relevant,$V529&gt;2018,$E583=""),0,2),2)</f>
        <v>2</v>
      </c>
      <c r="AC583" s="935">
        <f t="shared" ref="AC583:AI583" si="249">IF(CNTR_ExistSubInstEntries,IF(OR($M529&lt;&gt;EUconst_Relevant,AC579&gt;=CNTR_ReportingYear,AC579&lt;$V529-1,$E583=""),0,2),2)</f>
        <v>2</v>
      </c>
      <c r="AD583" s="935">
        <f t="shared" si="249"/>
        <v>2</v>
      </c>
      <c r="AE583" s="935">
        <f t="shared" si="249"/>
        <v>2</v>
      </c>
      <c r="AF583" s="935">
        <f t="shared" si="249"/>
        <v>2</v>
      </c>
      <c r="AG583" s="935">
        <f t="shared" si="249"/>
        <v>2</v>
      </c>
      <c r="AH583" s="1039">
        <f t="shared" si="249"/>
        <v>2</v>
      </c>
      <c r="AI583" s="1178">
        <f t="shared" si="249"/>
        <v>2</v>
      </c>
      <c r="AJ583" s="349"/>
      <c r="AK583" s="553" t="s">
        <v>2248</v>
      </c>
      <c r="AL583" s="663" t="str">
        <f>IF(AND(CNTR_ExistSubInstEntries,COUNTIFS(AB583:AI583,2,G583:N583,"")&gt;0),EUconst_Error&amp;"FB"&amp;Q529,"")</f>
        <v/>
      </c>
      <c r="AM583" s="349"/>
    </row>
    <row r="584" spans="1:39" ht="12.75" customHeight="1" x14ac:dyDescent="0.25">
      <c r="A584" s="2"/>
      <c r="B584" s="19"/>
      <c r="C584" s="45"/>
      <c r="D584" s="33">
        <f t="shared" si="246"/>
        <v>5</v>
      </c>
      <c r="E584" s="1036" t="str">
        <f t="shared" si="242"/>
        <v/>
      </c>
      <c r="F584" s="1522" t="str">
        <f t="shared" si="247"/>
        <v/>
      </c>
      <c r="G584" s="468"/>
      <c r="H584" s="1120"/>
      <c r="I584" s="468"/>
      <c r="J584" s="1120"/>
      <c r="K584" s="431"/>
      <c r="L584" s="431"/>
      <c r="M584" s="431"/>
      <c r="N584" s="431"/>
      <c r="O584" s="6"/>
      <c r="P584" s="1362"/>
      <c r="Q584" s="2"/>
      <c r="R584" s="2"/>
      <c r="S584" s="2"/>
      <c r="T584" s="2"/>
      <c r="U584" s="343"/>
      <c r="V584" s="2"/>
      <c r="W584" s="2"/>
      <c r="X584" s="2"/>
      <c r="Y584" s="2"/>
      <c r="Z584" s="2"/>
      <c r="AA584" s="1177">
        <f t="shared" si="244"/>
        <v>2</v>
      </c>
      <c r="AB584" s="935">
        <f>IF(CNTR_ExistSubInstEntries,IF(OR($M529&lt;&gt;EUconst_Relevant,$V529&gt;2018,$E584=""),0,2),2)</f>
        <v>2</v>
      </c>
      <c r="AC584" s="935">
        <f t="shared" ref="AC584:AI584" si="250">IF(CNTR_ExistSubInstEntries,IF(OR($M529&lt;&gt;EUconst_Relevant,AC579&gt;=CNTR_ReportingYear,AC579&lt;$V529-1,$E584=""),0,2),2)</f>
        <v>2</v>
      </c>
      <c r="AD584" s="935">
        <f t="shared" si="250"/>
        <v>2</v>
      </c>
      <c r="AE584" s="935">
        <f t="shared" si="250"/>
        <v>2</v>
      </c>
      <c r="AF584" s="935">
        <f t="shared" si="250"/>
        <v>2</v>
      </c>
      <c r="AG584" s="935">
        <f t="shared" si="250"/>
        <v>2</v>
      </c>
      <c r="AH584" s="1039">
        <f t="shared" si="250"/>
        <v>2</v>
      </c>
      <c r="AI584" s="1178">
        <f t="shared" si="250"/>
        <v>2</v>
      </c>
      <c r="AJ584" s="349"/>
      <c r="AK584" s="553" t="s">
        <v>2248</v>
      </c>
      <c r="AL584" s="663" t="str">
        <f>IF(AND(CNTR_ExistSubInstEntries,COUNTIFS(AB584:AI584,2,G584:N584,"")&gt;0),EUconst_Error&amp;"FB"&amp;Q529,"")</f>
        <v/>
      </c>
      <c r="AM584" s="349"/>
    </row>
    <row r="585" spans="1:39" ht="12.75" customHeight="1" x14ac:dyDescent="0.25">
      <c r="A585" s="2"/>
      <c r="B585" s="19"/>
      <c r="C585" s="45"/>
      <c r="D585" s="33">
        <f t="shared" si="246"/>
        <v>6</v>
      </c>
      <c r="E585" s="1036" t="str">
        <f t="shared" si="242"/>
        <v/>
      </c>
      <c r="F585" s="1522" t="str">
        <f t="shared" si="247"/>
        <v/>
      </c>
      <c r="G585" s="468"/>
      <c r="H585" s="1120"/>
      <c r="I585" s="468"/>
      <c r="J585" s="1120"/>
      <c r="K585" s="431"/>
      <c r="L585" s="431"/>
      <c r="M585" s="431"/>
      <c r="N585" s="431"/>
      <c r="O585" s="6"/>
      <c r="P585" s="1362"/>
      <c r="Q585" s="2"/>
      <c r="R585" s="2"/>
      <c r="S585" s="2"/>
      <c r="T585" s="2"/>
      <c r="U585" s="2"/>
      <c r="V585" s="2"/>
      <c r="W585" s="2"/>
      <c r="X585" s="2"/>
      <c r="Y585" s="2"/>
      <c r="Z585" s="2"/>
      <c r="AA585" s="1177">
        <f t="shared" si="244"/>
        <v>2</v>
      </c>
      <c r="AB585" s="935">
        <f>IF(CNTR_ExistSubInstEntries,IF(OR($M529&lt;&gt;EUconst_Relevant,$V529&gt;2018,$E585=""),0,2),2)</f>
        <v>2</v>
      </c>
      <c r="AC585" s="935">
        <f t="shared" ref="AC585:AI585" si="251">IF(CNTR_ExistSubInstEntries,IF(OR($M529&lt;&gt;EUconst_Relevant,AC579&gt;=CNTR_ReportingYear,AC579&lt;$V529-1,$E585=""),0,2),2)</f>
        <v>2</v>
      </c>
      <c r="AD585" s="935">
        <f t="shared" si="251"/>
        <v>2</v>
      </c>
      <c r="AE585" s="935">
        <f t="shared" si="251"/>
        <v>2</v>
      </c>
      <c r="AF585" s="935">
        <f t="shared" si="251"/>
        <v>2</v>
      </c>
      <c r="AG585" s="935">
        <f t="shared" si="251"/>
        <v>2</v>
      </c>
      <c r="AH585" s="1039">
        <f t="shared" si="251"/>
        <v>2</v>
      </c>
      <c r="AI585" s="1178">
        <f t="shared" si="251"/>
        <v>2</v>
      </c>
      <c r="AJ585" s="349"/>
      <c r="AK585" s="553" t="s">
        <v>2248</v>
      </c>
      <c r="AL585" s="663" t="str">
        <f>IF(AND(CNTR_ExistSubInstEntries,COUNTIFS(AB585:AI585,2,G585:N585,"")&gt;0),EUconst_Error&amp;"FB"&amp;Q529,"")</f>
        <v/>
      </c>
      <c r="AM585" s="349"/>
    </row>
    <row r="586" spans="1:39" ht="12.75" customHeight="1" x14ac:dyDescent="0.25">
      <c r="A586" s="2"/>
      <c r="B586" s="19"/>
      <c r="C586" s="45"/>
      <c r="D586" s="33">
        <f t="shared" si="246"/>
        <v>7</v>
      </c>
      <c r="E586" s="1036" t="str">
        <f t="shared" si="242"/>
        <v/>
      </c>
      <c r="F586" s="1522" t="str">
        <f t="shared" si="247"/>
        <v/>
      </c>
      <c r="G586" s="468"/>
      <c r="H586" s="1120"/>
      <c r="I586" s="468"/>
      <c r="J586" s="1120"/>
      <c r="K586" s="431"/>
      <c r="L586" s="431"/>
      <c r="M586" s="431"/>
      <c r="N586" s="431"/>
      <c r="O586" s="6"/>
      <c r="P586" s="1362"/>
      <c r="Q586" s="2"/>
      <c r="R586" s="2"/>
      <c r="S586" s="2"/>
      <c r="T586" s="2"/>
      <c r="U586" s="2"/>
      <c r="V586" s="2"/>
      <c r="W586" s="2"/>
      <c r="X586" s="2"/>
      <c r="Y586" s="2"/>
      <c r="Z586" s="2"/>
      <c r="AA586" s="1177">
        <f t="shared" si="244"/>
        <v>2</v>
      </c>
      <c r="AB586" s="935">
        <f>IF(CNTR_ExistSubInstEntries,IF(OR($M529&lt;&gt;EUconst_Relevant,$V529&gt;2018,$E586=""),0,2),2)</f>
        <v>2</v>
      </c>
      <c r="AC586" s="935">
        <f t="shared" ref="AC586:AI586" si="252">IF(CNTR_ExistSubInstEntries,IF(OR($M529&lt;&gt;EUconst_Relevant,AC579&gt;=CNTR_ReportingYear,AC579&lt;$V529-1,$E586=""),0,2),2)</f>
        <v>2</v>
      </c>
      <c r="AD586" s="935">
        <f t="shared" si="252"/>
        <v>2</v>
      </c>
      <c r="AE586" s="935">
        <f t="shared" si="252"/>
        <v>2</v>
      </c>
      <c r="AF586" s="935">
        <f t="shared" si="252"/>
        <v>2</v>
      </c>
      <c r="AG586" s="935">
        <f t="shared" si="252"/>
        <v>2</v>
      </c>
      <c r="AH586" s="1039">
        <f t="shared" si="252"/>
        <v>2</v>
      </c>
      <c r="AI586" s="1178">
        <f t="shared" si="252"/>
        <v>2</v>
      </c>
      <c r="AJ586" s="349"/>
      <c r="AK586" s="553" t="s">
        <v>2248</v>
      </c>
      <c r="AL586" s="663" t="str">
        <f>IF(AND(CNTR_ExistSubInstEntries,COUNTIFS(AB586:AI586,2,G586:N586,"")&gt;0),EUconst_Error&amp;"FB"&amp;Q529,"")</f>
        <v/>
      </c>
      <c r="AM586" s="349"/>
    </row>
    <row r="587" spans="1:39" ht="12.75" customHeight="1" x14ac:dyDescent="0.25">
      <c r="A587" s="2"/>
      <c r="B587" s="19"/>
      <c r="C587" s="45"/>
      <c r="D587" s="33">
        <f t="shared" si="246"/>
        <v>8</v>
      </c>
      <c r="E587" s="1036" t="str">
        <f t="shared" si="242"/>
        <v/>
      </c>
      <c r="F587" s="1522" t="str">
        <f t="shared" si="247"/>
        <v/>
      </c>
      <c r="G587" s="468"/>
      <c r="H587" s="1120"/>
      <c r="I587" s="468"/>
      <c r="J587" s="1120"/>
      <c r="K587" s="431"/>
      <c r="L587" s="431"/>
      <c r="M587" s="431"/>
      <c r="N587" s="431"/>
      <c r="O587" s="6"/>
      <c r="P587" s="1362"/>
      <c r="Q587" s="2"/>
      <c r="R587" s="2"/>
      <c r="S587" s="2"/>
      <c r="T587" s="2"/>
      <c r="U587" s="2"/>
      <c r="V587" s="2"/>
      <c r="W587" s="2"/>
      <c r="X587" s="2"/>
      <c r="Y587" s="2"/>
      <c r="Z587" s="2"/>
      <c r="AA587" s="1177">
        <f t="shared" si="244"/>
        <v>2</v>
      </c>
      <c r="AB587" s="935">
        <f>IF(CNTR_ExistSubInstEntries,IF(OR($M529&lt;&gt;EUconst_Relevant,$V529&gt;2018,$E587=""),0,2),2)</f>
        <v>2</v>
      </c>
      <c r="AC587" s="935">
        <f t="shared" ref="AC587:AI587" si="253">IF(CNTR_ExistSubInstEntries,IF(OR($M529&lt;&gt;EUconst_Relevant,AC579&gt;=CNTR_ReportingYear,AC579&lt;$V529-1,$E587=""),0,2),2)</f>
        <v>2</v>
      </c>
      <c r="AD587" s="935">
        <f t="shared" si="253"/>
        <v>2</v>
      </c>
      <c r="AE587" s="935">
        <f t="shared" si="253"/>
        <v>2</v>
      </c>
      <c r="AF587" s="935">
        <f t="shared" si="253"/>
        <v>2</v>
      </c>
      <c r="AG587" s="935">
        <f t="shared" si="253"/>
        <v>2</v>
      </c>
      <c r="AH587" s="1039">
        <f t="shared" si="253"/>
        <v>2</v>
      </c>
      <c r="AI587" s="1178">
        <f t="shared" si="253"/>
        <v>2</v>
      </c>
      <c r="AJ587" s="349"/>
      <c r="AK587" s="553" t="s">
        <v>2248</v>
      </c>
      <c r="AL587" s="663" t="str">
        <f>IF(AND(CNTR_ExistSubInstEntries,COUNTIFS(AB587:AI587,2,G587:N587,"")&gt;0),EUconst_Error&amp;"FB"&amp;Q529,"")</f>
        <v/>
      </c>
      <c r="AM587" s="349"/>
    </row>
    <row r="588" spans="1:39" ht="12.75" customHeight="1" x14ac:dyDescent="0.25">
      <c r="A588" s="2"/>
      <c r="B588" s="19"/>
      <c r="C588" s="45"/>
      <c r="D588" s="33">
        <f t="shared" si="246"/>
        <v>9</v>
      </c>
      <c r="E588" s="1036" t="str">
        <f t="shared" si="242"/>
        <v/>
      </c>
      <c r="F588" s="1522" t="str">
        <f t="shared" si="247"/>
        <v/>
      </c>
      <c r="G588" s="468"/>
      <c r="H588" s="1120"/>
      <c r="I588" s="468"/>
      <c r="J588" s="1120"/>
      <c r="K588" s="431"/>
      <c r="L588" s="431"/>
      <c r="M588" s="431"/>
      <c r="N588" s="431"/>
      <c r="O588" s="6"/>
      <c r="P588" s="1362"/>
      <c r="Q588" s="2"/>
      <c r="R588" s="2"/>
      <c r="S588" s="2"/>
      <c r="T588" s="2"/>
      <c r="U588" s="2"/>
      <c r="V588" s="2"/>
      <c r="W588" s="2"/>
      <c r="X588" s="2"/>
      <c r="Y588" s="2"/>
      <c r="Z588" s="2"/>
      <c r="AA588" s="1177">
        <f t="shared" si="244"/>
        <v>2</v>
      </c>
      <c r="AB588" s="935">
        <f>IF(CNTR_ExistSubInstEntries,IF(OR($M529&lt;&gt;EUconst_Relevant,$V529&gt;2018,$E588=""),0,2),2)</f>
        <v>2</v>
      </c>
      <c r="AC588" s="935">
        <f t="shared" ref="AC588:AI588" si="254">IF(CNTR_ExistSubInstEntries,IF(OR($M529&lt;&gt;EUconst_Relevant,AC579&gt;=CNTR_ReportingYear,AC579&lt;$V529-1,$E588=""),0,2),2)</f>
        <v>2</v>
      </c>
      <c r="AD588" s="935">
        <f t="shared" si="254"/>
        <v>2</v>
      </c>
      <c r="AE588" s="935">
        <f t="shared" si="254"/>
        <v>2</v>
      </c>
      <c r="AF588" s="935">
        <f t="shared" si="254"/>
        <v>2</v>
      </c>
      <c r="AG588" s="935">
        <f t="shared" si="254"/>
        <v>2</v>
      </c>
      <c r="AH588" s="1039">
        <f t="shared" si="254"/>
        <v>2</v>
      </c>
      <c r="AI588" s="1178">
        <f t="shared" si="254"/>
        <v>2</v>
      </c>
      <c r="AJ588" s="349"/>
      <c r="AK588" s="553" t="s">
        <v>2248</v>
      </c>
      <c r="AL588" s="663" t="str">
        <f>IF(AND(CNTR_ExistSubInstEntries,COUNTIFS(AB588:AI588,2,G588:N588,"")&gt;0),EUconst_Error&amp;"FB"&amp;Q529,"")</f>
        <v/>
      </c>
      <c r="AM588" s="349"/>
    </row>
    <row r="589" spans="1:39" ht="12.75" customHeight="1" thickBot="1" x14ac:dyDescent="0.3">
      <c r="A589" s="2"/>
      <c r="B589" s="19"/>
      <c r="C589" s="45"/>
      <c r="D589" s="36">
        <f t="shared" si="246"/>
        <v>10</v>
      </c>
      <c r="E589" s="1038" t="str">
        <f t="shared" si="242"/>
        <v/>
      </c>
      <c r="F589" s="1523" t="str">
        <f t="shared" si="247"/>
        <v/>
      </c>
      <c r="G589" s="469"/>
      <c r="H589" s="1112"/>
      <c r="I589" s="469"/>
      <c r="J589" s="1112"/>
      <c r="K589" s="357"/>
      <c r="L589" s="357"/>
      <c r="M589" s="357"/>
      <c r="N589" s="357"/>
      <c r="O589" s="6"/>
      <c r="P589" s="1362"/>
      <c r="Q589" s="2"/>
      <c r="R589" s="2"/>
      <c r="S589" s="2"/>
      <c r="T589" s="2"/>
      <c r="U589" s="2"/>
      <c r="V589" s="2"/>
      <c r="W589" s="2"/>
      <c r="X589" s="2"/>
      <c r="Y589" s="2"/>
      <c r="Z589" s="2"/>
      <c r="AA589" s="1179">
        <f t="shared" si="244"/>
        <v>2</v>
      </c>
      <c r="AB589" s="1180">
        <f>IF(CNTR_ExistSubInstEntries,IF(OR($M529&lt;&gt;EUconst_Relevant,$V529&gt;2018,$E589=""),0,2),2)</f>
        <v>2</v>
      </c>
      <c r="AC589" s="1180">
        <f t="shared" ref="AC589:AI589" si="255">IF(CNTR_ExistSubInstEntries,IF(OR($M529&lt;&gt;EUconst_Relevant,AC579&gt;=CNTR_ReportingYear,AC579&lt;$V529-1,$E589=""),0,2),2)</f>
        <v>2</v>
      </c>
      <c r="AD589" s="1180">
        <f t="shared" si="255"/>
        <v>2</v>
      </c>
      <c r="AE589" s="1180">
        <f t="shared" si="255"/>
        <v>2</v>
      </c>
      <c r="AF589" s="1180">
        <f t="shared" si="255"/>
        <v>2</v>
      </c>
      <c r="AG589" s="1180">
        <f t="shared" si="255"/>
        <v>2</v>
      </c>
      <c r="AH589" s="1181">
        <f t="shared" si="255"/>
        <v>2</v>
      </c>
      <c r="AI589" s="1182">
        <f t="shared" si="255"/>
        <v>2</v>
      </c>
      <c r="AJ589" s="349"/>
      <c r="AK589" s="553" t="s">
        <v>2248</v>
      </c>
      <c r="AL589" s="663" t="str">
        <f>IF(AND(CNTR_ExistSubInstEntries,COUNTIFS(AB589:AI589,2,G589:N589,"")&gt;0),EUconst_Error&amp;"FB"&amp;Q529,"")</f>
        <v/>
      </c>
      <c r="AM589" s="349"/>
    </row>
    <row r="590" spans="1:39" ht="12.75" customHeight="1" x14ac:dyDescent="0.25">
      <c r="A590" s="2"/>
      <c r="B590" s="19"/>
      <c r="C590" s="19"/>
      <c r="D590" s="90"/>
      <c r="E590" s="1026" t="str">
        <f>Translations!$B$548</f>
        <v>Summa av produktionsnivåer</v>
      </c>
      <c r="F590" s="1523" t="str">
        <f>IF(F580="","",F580)</f>
        <v/>
      </c>
      <c r="G590" s="281" t="str">
        <f>IF(COUNT(G580:G589)&gt;0,SUMIF($S563:$S572,TRUE,G580:G589),"")</f>
        <v/>
      </c>
      <c r="H590" s="1118" t="str">
        <f t="shared" ref="H590:N590" si="256">IF(COUNT(H580:H589)&gt;0,SUMIF($S563:$S572,TRUE,H580:H589),"")</f>
        <v/>
      </c>
      <c r="I590" s="281" t="str">
        <f t="shared" si="256"/>
        <v/>
      </c>
      <c r="J590" s="1118" t="str">
        <f t="shared" si="256"/>
        <v/>
      </c>
      <c r="K590" s="275" t="str">
        <f t="shared" si="256"/>
        <v/>
      </c>
      <c r="L590" s="275" t="str">
        <f t="shared" si="256"/>
        <v/>
      </c>
      <c r="M590" s="275" t="str">
        <f t="shared" si="256"/>
        <v/>
      </c>
      <c r="N590" s="275" t="str">
        <f t="shared" si="256"/>
        <v/>
      </c>
      <c r="O590" s="6"/>
      <c r="P590" s="6"/>
      <c r="Q590" s="2"/>
      <c r="R590" s="2"/>
      <c r="S590" s="2"/>
      <c r="T590" s="2"/>
      <c r="U590" s="2"/>
      <c r="V590" s="2"/>
      <c r="W590" s="2"/>
      <c r="X590" s="2"/>
      <c r="Y590" s="2"/>
      <c r="Z590" s="2"/>
      <c r="AA590" s="2"/>
      <c r="AB590" s="343"/>
      <c r="AC590" s="343"/>
      <c r="AD590" s="343"/>
      <c r="AE590" s="343"/>
      <c r="AF590" s="343"/>
      <c r="AG590" s="343"/>
      <c r="AH590" s="343"/>
      <c r="AI590" s="343"/>
      <c r="AJ590" s="349"/>
      <c r="AK590" s="349"/>
      <c r="AL590" s="349"/>
      <c r="AM590" s="349"/>
    </row>
    <row r="591" spans="1:39" ht="5.15" customHeight="1" x14ac:dyDescent="0.25">
      <c r="A591" s="2"/>
      <c r="B591" s="19"/>
      <c r="C591" s="3"/>
      <c r="D591" s="3"/>
      <c r="E591" s="3"/>
      <c r="F591" s="3"/>
      <c r="G591" s="3"/>
      <c r="H591" s="3"/>
      <c r="I591" s="3"/>
      <c r="J591" s="3"/>
      <c r="K591" s="3"/>
      <c r="L591" s="3"/>
      <c r="M591" s="3"/>
      <c r="N591" s="3"/>
      <c r="O591" s="6"/>
      <c r="P591" s="6"/>
      <c r="Q591" s="2"/>
      <c r="R591" s="2"/>
      <c r="S591" s="2"/>
      <c r="T591" s="2"/>
      <c r="U591" s="2"/>
      <c r="V591" s="2"/>
      <c r="W591" s="2"/>
      <c r="X591" s="2"/>
      <c r="Y591" s="2"/>
      <c r="Z591" s="343"/>
      <c r="AA591" s="343"/>
      <c r="AB591" s="343"/>
      <c r="AC591" s="2"/>
      <c r="AD591" s="2"/>
      <c r="AE591" s="349"/>
      <c r="AF591" s="349"/>
      <c r="AG591" s="349"/>
      <c r="AH591" s="349"/>
      <c r="AI591" s="349"/>
      <c r="AJ591" s="349"/>
      <c r="AK591" s="349"/>
      <c r="AL591" s="349"/>
      <c r="AM591" s="349"/>
    </row>
    <row r="592" spans="1:39" ht="12.75" customHeight="1" x14ac:dyDescent="0.25">
      <c r="A592" s="2"/>
      <c r="B592" s="19"/>
      <c r="C592" s="3"/>
      <c r="D592" s="13" t="s">
        <v>1914</v>
      </c>
      <c r="E592" s="1943" t="str">
        <f>Translations!$B$1496</f>
        <v>Energiförbrukning per produkt för fastställande av ändrad energieffektivitet</v>
      </c>
      <c r="F592" s="1963"/>
      <c r="G592" s="1963"/>
      <c r="H592" s="1963"/>
      <c r="I592" s="1963"/>
      <c r="J592" s="1963"/>
      <c r="K592" s="1963"/>
      <c r="L592" s="1963"/>
      <c r="M592" s="1963"/>
      <c r="N592" s="1963"/>
      <c r="O592" s="6"/>
      <c r="P592" s="6"/>
      <c r="Q592" s="7"/>
      <c r="R592" s="2"/>
      <c r="S592" s="715" t="s">
        <v>2206</v>
      </c>
      <c r="T592" s="390" t="str">
        <f>IF(M529&lt;&gt;EUconst_Relevant,"",IF(COUNTIF(J547:N547,"&gt;"&amp;15%)&gt;0,IF(MSconst_RequireEnEffDetails,2,1),1))</f>
        <v/>
      </c>
      <c r="U592" s="343" t="s">
        <v>2196</v>
      </c>
      <c r="V592" s="2"/>
      <c r="W592" s="2"/>
      <c r="X592" s="2"/>
      <c r="Y592" s="2"/>
      <c r="Z592" s="343"/>
      <c r="AA592" s="343"/>
      <c r="AB592" s="343"/>
      <c r="AC592" s="2"/>
      <c r="AD592" s="2"/>
      <c r="AE592" s="349"/>
      <c r="AF592" s="349"/>
      <c r="AG592" s="349"/>
      <c r="AH592" s="349"/>
      <c r="AI592" s="349"/>
      <c r="AJ592" s="349"/>
      <c r="AK592" s="349"/>
      <c r="AL592" s="349"/>
      <c r="AM592" s="349"/>
    </row>
    <row r="593" spans="1:39" ht="12.75" customHeight="1" x14ac:dyDescent="0.25">
      <c r="A593" s="2"/>
      <c r="B593" s="3"/>
      <c r="C593" s="15"/>
      <c r="D593" s="15"/>
      <c r="E593" s="2061" t="str">
        <f>Translations!$B$1497</f>
        <v>Ange den energiförbrukning som kan tillskrivas varje produkt under punkt b) ovan enligt metoderna som beskrivs i övervakningsmetodplanen.</v>
      </c>
      <c r="F593" s="1963"/>
      <c r="G593" s="1963"/>
      <c r="H593" s="1963"/>
      <c r="I593" s="1963"/>
      <c r="J593" s="1963"/>
      <c r="K593" s="1963"/>
      <c r="L593" s="1963"/>
      <c r="M593" s="1963"/>
      <c r="N593" s="1963"/>
      <c r="O593" s="6"/>
      <c r="P593" s="6"/>
      <c r="Q593" s="7"/>
      <c r="R593" s="7"/>
      <c r="S593" s="7"/>
      <c r="T593" s="7"/>
      <c r="U593" s="7"/>
      <c r="V593" s="7"/>
      <c r="W593" s="7"/>
      <c r="X593" s="7"/>
      <c r="Y593" s="7"/>
      <c r="Z593" s="2"/>
      <c r="AA593" s="2"/>
      <c r="AB593" s="343"/>
      <c r="AC593" s="2"/>
      <c r="AD593" s="2"/>
      <c r="AE593" s="349"/>
      <c r="AF593" s="349"/>
      <c r="AG593" s="349"/>
      <c r="AH593" s="349"/>
      <c r="AI593" s="349"/>
      <c r="AJ593" s="349"/>
      <c r="AK593" s="349"/>
      <c r="AL593" s="349"/>
      <c r="AM593" s="349"/>
    </row>
    <row r="594" spans="1:39" ht="12.75" customHeight="1" x14ac:dyDescent="0.25">
      <c r="A594" s="2"/>
      <c r="B594" s="19"/>
      <c r="C594" s="3"/>
      <c r="D594" s="3"/>
      <c r="E594" s="2070" t="str">
        <f>Translations!$B$1498</f>
        <v>Om den genomsnittliga årliga verksamhetsnivån har minskat med mer än 15 % kan du ange uppgifter här för att visa att denna minskning kan förklaras av förbättringar av energieffektiviteten.</v>
      </c>
      <c r="F594" s="2071"/>
      <c r="G594" s="2071"/>
      <c r="H594" s="2071"/>
      <c r="I594" s="2071"/>
      <c r="J594" s="2071"/>
      <c r="K594" s="2071"/>
      <c r="L594" s="2071"/>
      <c r="M594" s="2071"/>
      <c r="N594" s="2071"/>
      <c r="O594" s="6"/>
      <c r="P594" s="978"/>
      <c r="Q594" s="2"/>
      <c r="R594" s="2"/>
      <c r="S594" s="2"/>
      <c r="T594" s="2"/>
      <c r="U594" s="2"/>
      <c r="V594" s="2"/>
      <c r="W594" s="2"/>
      <c r="X594" s="2"/>
      <c r="Y594" s="2"/>
      <c r="Z594" s="343"/>
      <c r="AA594" s="343"/>
      <c r="AB594" s="343"/>
      <c r="AC594" s="343"/>
      <c r="AD594" s="2"/>
      <c r="AE594" s="349"/>
      <c r="AF594" s="349"/>
      <c r="AG594" s="349"/>
      <c r="AH594" s="349"/>
      <c r="AI594" s="349"/>
      <c r="AJ594" s="349"/>
      <c r="AK594" s="349"/>
      <c r="AL594" s="349"/>
      <c r="AM594" s="349"/>
    </row>
    <row r="595" spans="1:39" ht="12.75" customHeight="1" x14ac:dyDescent="0.25">
      <c r="A595" s="2"/>
      <c r="B595" s="19"/>
      <c r="C595" s="3"/>
      <c r="D595" s="3"/>
      <c r="E595" s="2070" t="str">
        <f>Translations!$B$1499</f>
        <v>Uppgifter här är endast obligatoriska för alla år om SAMTLIGA följande villkor uppfylls:</v>
      </c>
      <c r="F595" s="2071"/>
      <c r="G595" s="2071"/>
      <c r="H595" s="2071"/>
      <c r="I595" s="2071"/>
      <c r="J595" s="2071"/>
      <c r="K595" s="2071"/>
      <c r="L595" s="2071"/>
      <c r="M595" s="2071"/>
      <c r="N595" s="2071"/>
      <c r="O595" s="6"/>
      <c r="P595" s="6"/>
      <c r="Q595" s="2"/>
      <c r="R595" s="2"/>
      <c r="S595" s="2"/>
      <c r="T595" s="2"/>
      <c r="U595" s="2"/>
      <c r="V595" s="2"/>
      <c r="W595" s="2"/>
      <c r="X595" s="2"/>
      <c r="Y595" s="2"/>
      <c r="Z595" s="343"/>
      <c r="AA595" s="343"/>
      <c r="AB595" s="343"/>
      <c r="AC595" s="343"/>
      <c r="AD595" s="2"/>
      <c r="AE595" s="349"/>
      <c r="AF595" s="349"/>
      <c r="AG595" s="349"/>
      <c r="AH595" s="349"/>
      <c r="AI595" s="349"/>
      <c r="AJ595" s="349"/>
      <c r="AK595" s="349"/>
      <c r="AL595" s="349"/>
      <c r="AM595" s="349"/>
    </row>
    <row r="596" spans="1:39" ht="12.75" customHeight="1" x14ac:dyDescent="0.25">
      <c r="A596" s="2"/>
      <c r="B596" s="19"/>
      <c r="C596" s="3"/>
      <c r="D596" s="3"/>
      <c r="E596" s="486" t="s">
        <v>1112</v>
      </c>
      <c r="F596" s="2070" t="str">
        <f>Translations!$B$1500</f>
        <v>Den genomsnittliga årliga verksamhetsnivån enligt a) har ökat med mer än 15 % jämfört med den historiska verksamhetsnivån under något år.</v>
      </c>
      <c r="G596" s="2071"/>
      <c r="H596" s="2071"/>
      <c r="I596" s="2071"/>
      <c r="J596" s="2071"/>
      <c r="K596" s="2071"/>
      <c r="L596" s="2071"/>
      <c r="M596" s="2071"/>
      <c r="N596" s="2071"/>
      <c r="O596" s="6"/>
      <c r="P596" s="978"/>
      <c r="Q596" s="2"/>
      <c r="R596" s="2"/>
      <c r="S596" s="2"/>
      <c r="T596" s="2"/>
      <c r="U596" s="2"/>
      <c r="V596" s="2"/>
      <c r="W596" s="2"/>
      <c r="X596" s="2"/>
      <c r="Y596" s="2"/>
      <c r="Z596" s="343"/>
      <c r="AA596" s="343"/>
      <c r="AB596" s="343"/>
      <c r="AC596" s="343"/>
      <c r="AD596" s="2"/>
      <c r="AE596" s="349"/>
      <c r="AF596" s="349"/>
      <c r="AG596" s="349"/>
      <c r="AH596" s="349"/>
      <c r="AI596" s="349"/>
      <c r="AJ596" s="349"/>
      <c r="AK596" s="349"/>
      <c r="AL596" s="349"/>
      <c r="AM596" s="349"/>
    </row>
    <row r="597" spans="1:39" ht="12.75" customHeight="1" x14ac:dyDescent="0.25">
      <c r="A597" s="2"/>
      <c r="B597" s="19"/>
      <c r="C597" s="3"/>
      <c r="D597" s="3"/>
      <c r="E597" s="486" t="s">
        <v>1112</v>
      </c>
      <c r="F597" s="2070" t="str">
        <f>Translations!$B$1528</f>
        <v>Värmen används för ”produktion av varor” enligt punkt b) ovan</v>
      </c>
      <c r="G597" s="2071"/>
      <c r="H597" s="2071"/>
      <c r="I597" s="2071"/>
      <c r="J597" s="2071"/>
      <c r="K597" s="2071"/>
      <c r="L597" s="2071"/>
      <c r="M597" s="2071"/>
      <c r="N597" s="2071"/>
      <c r="O597" s="6"/>
      <c r="P597" s="978"/>
      <c r="Q597" s="2"/>
      <c r="R597" s="2"/>
      <c r="S597" s="2"/>
      <c r="T597" s="2"/>
      <c r="U597" s="2"/>
      <c r="V597" s="2"/>
      <c r="W597" s="2"/>
      <c r="X597" s="2"/>
      <c r="Y597" s="2"/>
      <c r="Z597" s="343"/>
      <c r="AA597" s="343"/>
      <c r="AB597" s="343"/>
      <c r="AC597" s="343"/>
      <c r="AD597" s="2"/>
      <c r="AE597" s="349"/>
      <c r="AF597" s="349"/>
      <c r="AG597" s="349"/>
      <c r="AH597" s="349"/>
      <c r="AI597" s="349"/>
      <c r="AJ597" s="349"/>
      <c r="AK597" s="349"/>
      <c r="AL597" s="349"/>
      <c r="AM597" s="349"/>
    </row>
    <row r="598" spans="1:39" ht="12.75" customHeight="1" x14ac:dyDescent="0.25">
      <c r="A598" s="2"/>
      <c r="B598" s="19"/>
      <c r="C598" s="3"/>
      <c r="D598" s="3"/>
      <c r="E598" s="486" t="s">
        <v>1112</v>
      </c>
      <c r="F598" s="2070" t="str">
        <f>Translations!$B$1502</f>
        <v>Medlemsstaten har valt att uppgifterna ska vara obligatoriska som standard om ovanstående villkor uppfylls.</v>
      </c>
      <c r="G598" s="2071"/>
      <c r="H598" s="2071"/>
      <c r="I598" s="2071"/>
      <c r="J598" s="2071"/>
      <c r="K598" s="2071"/>
      <c r="L598" s="2071"/>
      <c r="M598" s="2071"/>
      <c r="N598" s="2071"/>
      <c r="O598" s="6"/>
      <c r="P598" s="978"/>
      <c r="Q598" s="2"/>
      <c r="R598" s="2"/>
      <c r="S598" s="2"/>
      <c r="T598" s="2"/>
      <c r="U598" s="2"/>
      <c r="V598" s="2"/>
      <c r="W598" s="2"/>
      <c r="X598" s="2"/>
      <c r="Y598" s="2"/>
      <c r="Z598" s="343"/>
      <c r="AA598" s="343"/>
      <c r="AB598" s="343"/>
      <c r="AC598" s="343"/>
      <c r="AD598" s="2"/>
      <c r="AE598" s="349"/>
      <c r="AF598" s="349"/>
      <c r="AG598" s="349"/>
      <c r="AH598" s="349"/>
      <c r="AI598" s="349"/>
      <c r="AJ598" s="349"/>
      <c r="AK598" s="349"/>
      <c r="AL598" s="349"/>
      <c r="AM598" s="349"/>
    </row>
    <row r="599" spans="1:39" ht="12.75" customHeight="1" x14ac:dyDescent="0.25">
      <c r="A599" s="2"/>
      <c r="B599" s="19"/>
      <c r="C599" s="3"/>
      <c r="D599" s="3"/>
      <c r="E599" s="2061" t="str">
        <f>Translations!$B$1503</f>
        <v>Observera att uppgifterna i samtliga andra fall antingen inte är relevanta eller är valfria (indikeras) och kommer inte att tas i beaktande vid bedömningen av förbättrad energieffektivitet i följande steg nedan.</v>
      </c>
      <c r="F599" s="1963"/>
      <c r="G599" s="1963"/>
      <c r="H599" s="1963"/>
      <c r="I599" s="1963"/>
      <c r="J599" s="1963"/>
      <c r="K599" s="1963"/>
      <c r="L599" s="1963"/>
      <c r="M599" s="1963"/>
      <c r="N599" s="1963"/>
      <c r="O599" s="6"/>
      <c r="P599" s="978"/>
      <c r="Q599" s="2"/>
      <c r="R599" s="2"/>
      <c r="S599" s="2"/>
      <c r="T599" s="2"/>
      <c r="U599" s="2"/>
      <c r="V599" s="2"/>
      <c r="W599" s="2"/>
      <c r="X599" s="2"/>
      <c r="Y599" s="2"/>
      <c r="Z599" s="343"/>
      <c r="AA599" s="343"/>
      <c r="AB599" s="343"/>
      <c r="AC599" s="343"/>
      <c r="AD599" s="2"/>
      <c r="AE599" s="349"/>
      <c r="AF599" s="349"/>
      <c r="AG599" s="349"/>
      <c r="AH599" s="349"/>
      <c r="AI599" s="349"/>
      <c r="AJ599" s="349"/>
      <c r="AK599" s="349"/>
      <c r="AL599" s="349"/>
      <c r="AM599" s="349"/>
    </row>
    <row r="600" spans="1:39" ht="12.75" customHeight="1" x14ac:dyDescent="0.25">
      <c r="A600" s="2"/>
      <c r="B600" s="19"/>
      <c r="C600" s="3"/>
      <c r="D600" s="3"/>
      <c r="E600" s="2061" t="str">
        <f>Translations!$B$1504</f>
        <v>Ytterligare vägledning finns i avsnitt 6.1 i vägledningsdokument 7.</v>
      </c>
      <c r="F600" s="1963"/>
      <c r="G600" s="1963"/>
      <c r="H600" s="1963"/>
      <c r="I600" s="1963"/>
      <c r="J600" s="1963"/>
      <c r="K600" s="1963"/>
      <c r="L600" s="1963"/>
      <c r="M600" s="1963"/>
      <c r="N600" s="1963"/>
      <c r="O600" s="6"/>
      <c r="P600" s="978"/>
      <c r="Q600" s="2"/>
      <c r="R600" s="2"/>
      <c r="S600" s="2"/>
      <c r="T600" s="2"/>
      <c r="U600" s="2"/>
      <c r="V600" s="2"/>
      <c r="W600" s="2"/>
      <c r="X600" s="2"/>
      <c r="Y600" s="2"/>
      <c r="Z600" s="343"/>
      <c r="AA600" s="343"/>
      <c r="AB600" s="343"/>
      <c r="AC600" s="343"/>
      <c r="AD600" s="2"/>
      <c r="AE600" s="349"/>
      <c r="AF600" s="349"/>
      <c r="AG600" s="349"/>
      <c r="AH600" s="349"/>
      <c r="AI600" s="349"/>
      <c r="AJ600" s="349"/>
      <c r="AK600" s="349"/>
      <c r="AL600" s="349"/>
      <c r="AM600" s="349"/>
    </row>
    <row r="601" spans="1:39" ht="5.15" customHeight="1" x14ac:dyDescent="0.25">
      <c r="A601" s="2"/>
      <c r="B601" s="19"/>
      <c r="C601" s="3"/>
      <c r="D601" s="3"/>
      <c r="E601" s="2061"/>
      <c r="F601" s="1963"/>
      <c r="G601" s="1963"/>
      <c r="H601" s="1963"/>
      <c r="I601" s="1963"/>
      <c r="J601" s="1963"/>
      <c r="K601" s="1963"/>
      <c r="L601" s="1963"/>
      <c r="M601" s="1963"/>
      <c r="N601" s="1963"/>
      <c r="O601" s="6"/>
      <c r="P601" s="978"/>
      <c r="Q601" s="2"/>
      <c r="R601" s="2"/>
      <c r="S601" s="2"/>
      <c r="T601" s="2"/>
      <c r="U601" s="2"/>
      <c r="V601" s="2"/>
      <c r="W601" s="2"/>
      <c r="X601" s="2"/>
      <c r="Y601" s="2"/>
      <c r="Z601" s="343"/>
      <c r="AA601" s="343"/>
      <c r="AB601" s="343"/>
      <c r="AC601" s="343"/>
      <c r="AD601" s="2"/>
      <c r="AE601" s="349"/>
      <c r="AF601" s="349"/>
      <c r="AG601" s="349"/>
      <c r="AH601" s="349"/>
      <c r="AI601" s="349"/>
      <c r="AJ601" s="349"/>
      <c r="AK601" s="349"/>
      <c r="AL601" s="349"/>
      <c r="AM601" s="349"/>
    </row>
    <row r="602" spans="1:39" s="1195" customFormat="1" ht="25.5" customHeight="1" thickBot="1" x14ac:dyDescent="0.35">
      <c r="A602" s="1189"/>
      <c r="B602" s="1190"/>
      <c r="C602" s="1191"/>
      <c r="D602" s="1192"/>
      <c r="E602" s="866" t="str">
        <f t="shared" ref="E602:E612" si="257">E579</f>
        <v>Produktnamn eller typ av tjänst</v>
      </c>
      <c r="F602" s="1095" t="str">
        <f>EUconst_Unit</f>
        <v>Enhet</v>
      </c>
      <c r="G602" s="1204" t="str">
        <f>Translations!$B$1495</f>
        <v>NIMs-värde</v>
      </c>
      <c r="H602" s="1205">
        <f t="shared" ref="H602:N602" si="258">H$950</f>
        <v>2019</v>
      </c>
      <c r="I602" s="1204">
        <f t="shared" si="258"/>
        <v>2020</v>
      </c>
      <c r="J602" s="1205">
        <f t="shared" si="258"/>
        <v>2021</v>
      </c>
      <c r="K602" s="1193">
        <f t="shared" si="258"/>
        <v>2022</v>
      </c>
      <c r="L602" s="1193">
        <f t="shared" si="258"/>
        <v>2023</v>
      </c>
      <c r="M602" s="1193">
        <f t="shared" si="258"/>
        <v>2024</v>
      </c>
      <c r="N602" s="1193">
        <f t="shared" si="258"/>
        <v>2025</v>
      </c>
      <c r="O602" s="6"/>
      <c r="P602" s="978"/>
      <c r="Q602" s="1189"/>
      <c r="R602" s="1189"/>
      <c r="S602" s="7" t="s">
        <v>1875</v>
      </c>
      <c r="T602" s="1189">
        <f t="shared" ref="T602:Z602" si="259">H602</f>
        <v>2019</v>
      </c>
      <c r="U602" s="1189">
        <f t="shared" si="259"/>
        <v>2020</v>
      </c>
      <c r="V602" s="1189">
        <f t="shared" si="259"/>
        <v>2021</v>
      </c>
      <c r="W602" s="1189">
        <f t="shared" si="259"/>
        <v>2022</v>
      </c>
      <c r="X602" s="1189">
        <f t="shared" si="259"/>
        <v>2023</v>
      </c>
      <c r="Y602" s="1189">
        <f t="shared" si="259"/>
        <v>2024</v>
      </c>
      <c r="Z602" s="1189">
        <f t="shared" si="259"/>
        <v>2025</v>
      </c>
      <c r="AA602" s="1189"/>
      <c r="AB602" s="7" t="s">
        <v>1846</v>
      </c>
      <c r="AC602" s="1189">
        <f t="shared" ref="AC602:AI602" si="260">H602</f>
        <v>2019</v>
      </c>
      <c r="AD602" s="1189">
        <f t="shared" si="260"/>
        <v>2020</v>
      </c>
      <c r="AE602" s="1189">
        <f t="shared" si="260"/>
        <v>2021</v>
      </c>
      <c r="AF602" s="1189">
        <f t="shared" si="260"/>
        <v>2022</v>
      </c>
      <c r="AG602" s="1189">
        <f t="shared" si="260"/>
        <v>2023</v>
      </c>
      <c r="AH602" s="1194">
        <f t="shared" si="260"/>
        <v>2024</v>
      </c>
      <c r="AI602" s="1194">
        <f t="shared" si="260"/>
        <v>2025</v>
      </c>
      <c r="AJ602" s="1194"/>
      <c r="AK602" s="1194"/>
      <c r="AL602" s="1194"/>
      <c r="AM602" s="1194"/>
    </row>
    <row r="603" spans="1:39" ht="12.75" customHeight="1" x14ac:dyDescent="0.25">
      <c r="A603" s="2"/>
      <c r="B603" s="19"/>
      <c r="C603" s="45"/>
      <c r="D603" s="32">
        <v>1</v>
      </c>
      <c r="E603" s="1037" t="str">
        <f t="shared" si="257"/>
        <v/>
      </c>
      <c r="F603" s="549" t="str">
        <f t="shared" ref="F603:F614" si="261">EUconst_TJ</f>
        <v>TJ</v>
      </c>
      <c r="G603" s="1292"/>
      <c r="H603" s="1106"/>
      <c r="I603" s="467"/>
      <c r="J603" s="1106"/>
      <c r="K603" s="383"/>
      <c r="L603" s="383"/>
      <c r="M603" s="383"/>
      <c r="N603" s="383"/>
      <c r="O603" s="6"/>
      <c r="P603" s="1362"/>
      <c r="Q603" s="2"/>
      <c r="R603" s="2"/>
      <c r="S603" s="1186" t="str">
        <f>IF($M529&lt;&gt;EUconst_Relevant,"",
IF($V529&gt;($J$950-3),
              IF(INDEX(H580:N580,MATCH($V529,$T602:$Z602,0))=0,0,INDEX(H603:N603,MATCH($V529,$T602:$Z602,0))/INDEX(H580:N580,MATCH($V529,$T602:$Z602,0))),
                             IF(ISNUMBER(G580),
                                            IF(OR(G580=0,$S563=FALSE),0,G603/G580),"")))</f>
        <v/>
      </c>
      <c r="T603" s="1908" t="str">
        <f>IF($E580="","",IF($S563=FALSE,0,IF(SUM($S603)=0,SUM(H603),SUM(H580)*SUM($S603))))</f>
        <v/>
      </c>
      <c r="U603" s="1908" t="str">
        <f t="shared" ref="U603:U612" si="262">IF($E580="","",IF($S563=FALSE,0,IF(SUM($S603)=0,SUM(I603),SUM(I580)*SUM($S603))))</f>
        <v/>
      </c>
      <c r="V603" s="1908" t="str">
        <f t="shared" ref="V603:V612" si="263">IF($E580="","",IF($S563=FALSE,0,IF(SUM($S603)=0,SUM(J603),SUM(J580)*SUM($S603))))</f>
        <v/>
      </c>
      <c r="W603" s="1908" t="str">
        <f t="shared" ref="W603:W612" si="264">IF($E580="","",IF($S563=FALSE,0,IF(SUM($S603)=0,SUM(K603),SUM(K580)*SUM($S603))))</f>
        <v/>
      </c>
      <c r="X603" s="1908" t="str">
        <f t="shared" ref="X603:X612" si="265">IF($E580="","",IF($S563=FALSE,0,IF(SUM($S603)=0,SUM(L603),SUM(L580)*SUM($S603))))</f>
        <v/>
      </c>
      <c r="Y603" s="1908" t="str">
        <f t="shared" ref="Y603:Y612" si="266">IF($E580="","",IF($S563=FALSE,0,IF(SUM($S603)=0,SUM(M603),SUM(M580)*SUM($S603))))</f>
        <v/>
      </c>
      <c r="Z603" s="1909" t="str">
        <f t="shared" ref="Z603:Z612" si="267">IF($E580="","",IF($S563=FALSE,0,IF(SUM($S603)=0,SUM(N603),SUM(N580)*SUM($S603))))</f>
        <v/>
      </c>
      <c r="AA603" s="1185" t="s">
        <v>1899</v>
      </c>
      <c r="AB603" s="1172">
        <f>AC603</f>
        <v>2</v>
      </c>
      <c r="AC603" s="1174">
        <f>IF(CNTR_ExistSubInstEntries,IF(OR($M529&lt;&gt;EUconst_Relevant,AC602&gt;=CNTR_ReportingYear,AC602&lt;V529-1,$E603=""),0,IF(AND($T592=2,$S563),2,1)),2)</f>
        <v>2</v>
      </c>
      <c r="AD603" s="1173">
        <f>IF(CNTR_ExistSubInstEntries,IF(OR($M529&lt;&gt;EUconst_Relevant,AD602&gt;=CNTR_ReportingYear,AD602&lt;V529-1,$E603=""),0,IF(AND($T592=2,$S563),2,1)),2)</f>
        <v>2</v>
      </c>
      <c r="AE603" s="1173">
        <f>IF(CNTR_ExistSubInstEntries,IF(OR($M529&lt;&gt;EUconst_Relevant,AE602&gt;=CNTR_ReportingYear,AE602&lt;V529-1,$E603=""),0,IF(AND($T592=2,$S563),2,1)),2)</f>
        <v>2</v>
      </c>
      <c r="AF603" s="1173">
        <f>IF(CNTR_ExistSubInstEntries,IF(OR($M529&lt;&gt;EUconst_Relevant,AF602&gt;=CNTR_ReportingYear,AF602&lt;V529-1,$E603=""),0,IF(AND($T592=2,$S563),2,1)),2)</f>
        <v>2</v>
      </c>
      <c r="AG603" s="1173">
        <f>IF(CNTR_ExistSubInstEntries,IF(OR($M529&lt;&gt;EUconst_Relevant,AG602&gt;=CNTR_ReportingYear,AG602&lt;V529-1,$E603=""),0,IF(AND($T592=2,$S563),2,1)),2)</f>
        <v>2</v>
      </c>
      <c r="AH603" s="1175">
        <f>IF(CNTR_ExistSubInstEntries,IF(OR($M529&lt;&gt;EUconst_Relevant,AH602&gt;=CNTR_ReportingYear,AH602&lt;V529-1,$E603=""),0,IF(AND($T592=2,$S563),2,1)),2)</f>
        <v>2</v>
      </c>
      <c r="AI603" s="1176">
        <f>IF(CNTR_ExistSubInstEntries,IF(OR($M529&lt;&gt;EUconst_Relevant,AI602&gt;=CNTR_ReportingYear,AI602&lt;V529-1,$E603=""),0,IF(AND($T592=2,$S563),2,1)),2)</f>
        <v>2</v>
      </c>
      <c r="AJ603" s="349"/>
      <c r="AK603" s="553" t="s">
        <v>2248</v>
      </c>
      <c r="AL603" s="663" t="str">
        <f>IF(AND(CNTR_ExistSubInstEntries,COUNTIFS(AB603:AI603,2,G603:N603,"")&gt;0),EUconst_Error&amp;"FB"&amp;Q529,"")</f>
        <v/>
      </c>
      <c r="AM603" s="349"/>
    </row>
    <row r="604" spans="1:39" ht="12.75" customHeight="1" x14ac:dyDescent="0.25">
      <c r="A604" s="2"/>
      <c r="B604" s="19"/>
      <c r="C604" s="45"/>
      <c r="D604" s="33">
        <f>D603+1</f>
        <v>2</v>
      </c>
      <c r="E604" s="1036" t="str">
        <f t="shared" si="257"/>
        <v/>
      </c>
      <c r="F604" s="550" t="str">
        <f t="shared" si="261"/>
        <v>TJ</v>
      </c>
      <c r="G604" s="1291"/>
      <c r="H604" s="1120"/>
      <c r="I604" s="468"/>
      <c r="J604" s="1120"/>
      <c r="K604" s="431"/>
      <c r="L604" s="431"/>
      <c r="M604" s="431"/>
      <c r="N604" s="431"/>
      <c r="O604" s="6"/>
      <c r="P604" s="1362"/>
      <c r="Q604" s="2"/>
      <c r="R604" s="2"/>
      <c r="S604" s="1187" t="str">
        <f>IF($M529&lt;&gt;EUconst_Relevant,"",
IF($V529&gt;($J$950-3),
              IF(INDEX(H581:N581,MATCH($V529,$T602:$Z602,0))=0,0,INDEX(H604:N604,MATCH($V529,$T602:$Z602,0))/INDEX(H581:N581,MATCH($V529,$T602:$Z602,0))),
                             IF(ISNUMBER(G581),
                                            IF(OR(G581=0,$S564=FALSE),0,G604/G581),"")))</f>
        <v/>
      </c>
      <c r="T604" s="1910" t="str">
        <f t="shared" ref="T604:T612" si="268">IF($E581="","",IF($S564=FALSE,0,IF(SUM($S604)=0,SUM(H604),SUM(H581)*SUM($S604))))</f>
        <v/>
      </c>
      <c r="U604" s="1910" t="str">
        <f t="shared" si="262"/>
        <v/>
      </c>
      <c r="V604" s="1910" t="str">
        <f t="shared" si="263"/>
        <v/>
      </c>
      <c r="W604" s="1910" t="str">
        <f t="shared" si="264"/>
        <v/>
      </c>
      <c r="X604" s="1910" t="str">
        <f t="shared" si="265"/>
        <v/>
      </c>
      <c r="Y604" s="1910" t="str">
        <f t="shared" si="266"/>
        <v/>
      </c>
      <c r="Z604" s="1911" t="str">
        <f t="shared" si="267"/>
        <v/>
      </c>
      <c r="AA604" s="2"/>
      <c r="AB604" s="1177">
        <f t="shared" ref="AB604:AB612" si="269">AC604</f>
        <v>2</v>
      </c>
      <c r="AC604" s="935">
        <f>IF(CNTR_ExistSubInstEntries,IF(OR($M529&lt;&gt;EUconst_Relevant,AC602&gt;=CNTR_ReportingYear,AC602&lt;V529-1,$E604=""),0,IF(AND($T592=2,$S564),2,1)),2)</f>
        <v>2</v>
      </c>
      <c r="AD604" s="935">
        <f>IF(CNTR_ExistSubInstEntries,IF(OR($M529&lt;&gt;EUconst_Relevant,AD602&gt;=CNTR_ReportingYear,AD602&lt;V529-1,$E604=""),0,IF(AND($T592=2,$S564),2,1)),2)</f>
        <v>2</v>
      </c>
      <c r="AE604" s="935">
        <f>IF(CNTR_ExistSubInstEntries,IF(OR($M529&lt;&gt;EUconst_Relevant,AE602&gt;=CNTR_ReportingYear,AE602&lt;V529-1,$E604=""),0,IF(AND($T592=2,$S564),2,1)),2)</f>
        <v>2</v>
      </c>
      <c r="AF604" s="935">
        <f>IF(CNTR_ExistSubInstEntries,IF(OR($M529&lt;&gt;EUconst_Relevant,AF602&gt;=CNTR_ReportingYear,AF602&lt;V529-1,$E604=""),0,IF(AND($T592=2,$S564),2,1)),2)</f>
        <v>2</v>
      </c>
      <c r="AG604" s="935">
        <f>IF(CNTR_ExistSubInstEntries,IF(OR($M529&lt;&gt;EUconst_Relevant,AG602&gt;=CNTR_ReportingYear,AG602&lt;V529-1,$E604=""),0,IF(AND($T592=2,$S564),2,1)),2)</f>
        <v>2</v>
      </c>
      <c r="AH604" s="935">
        <f>IF(CNTR_ExistSubInstEntries,IF(OR($M529&lt;&gt;EUconst_Relevant,AH602&gt;=CNTR_ReportingYear,AH602&lt;V529-1,$E604=""),0,IF(AND($T592=2,$S564),2,1)),2)</f>
        <v>2</v>
      </c>
      <c r="AI604" s="1183">
        <f>IF(CNTR_ExistSubInstEntries,IF(OR($M529&lt;&gt;EUconst_Relevant,AI602&gt;=CNTR_ReportingYear,AI602&lt;V529-1,$E604=""),0,IF(AND($T592=2,$S564),2,1)),2)</f>
        <v>2</v>
      </c>
      <c r="AJ604" s="349"/>
      <c r="AK604" s="553" t="s">
        <v>2248</v>
      </c>
      <c r="AL604" s="663" t="str">
        <f>IF(AND(CNTR_ExistSubInstEntries,COUNTIFS(AB604:AI604,2,G604:N604,"")&gt;0),EUconst_Error&amp;"FB"&amp;Q529,"")</f>
        <v/>
      </c>
      <c r="AM604" s="349"/>
    </row>
    <row r="605" spans="1:39" ht="12.75" customHeight="1" x14ac:dyDescent="0.25">
      <c r="A605" s="2"/>
      <c r="B605" s="19"/>
      <c r="C605" s="45"/>
      <c r="D605" s="33">
        <f t="shared" ref="D605:D612" si="270">D604+1</f>
        <v>3</v>
      </c>
      <c r="E605" s="1036" t="str">
        <f t="shared" si="257"/>
        <v/>
      </c>
      <c r="F605" s="550" t="str">
        <f t="shared" si="261"/>
        <v>TJ</v>
      </c>
      <c r="G605" s="468"/>
      <c r="H605" s="1120"/>
      <c r="I605" s="468"/>
      <c r="J605" s="1120"/>
      <c r="K605" s="431"/>
      <c r="L605" s="431"/>
      <c r="M605" s="431"/>
      <c r="N605" s="431"/>
      <c r="O605" s="6"/>
      <c r="P605" s="1362"/>
      <c r="Q605" s="2"/>
      <c r="R605" s="2"/>
      <c r="S605" s="1187" t="str">
        <f>IF($M529&lt;&gt;EUconst_Relevant,"",
IF($V529&gt;($J$950-3),
              IF(INDEX(H582:N582,MATCH($V529,$T602:$Z602,0))=0,0,INDEX(H605:N605,MATCH($V529,$T602:$Z602,0))/INDEX(H582:N582,MATCH($V529,$T602:$Z602,0))),
                             IF(ISNUMBER(G582),
                                            IF(OR(G582=0,$S565=FALSE),0,G605/G582),"")))</f>
        <v/>
      </c>
      <c r="T605" s="1910" t="str">
        <f t="shared" si="268"/>
        <v/>
      </c>
      <c r="U605" s="1910" t="str">
        <f t="shared" si="262"/>
        <v/>
      </c>
      <c r="V605" s="1910" t="str">
        <f t="shared" si="263"/>
        <v/>
      </c>
      <c r="W605" s="1910" t="str">
        <f t="shared" si="264"/>
        <v/>
      </c>
      <c r="X605" s="1910" t="str">
        <f t="shared" si="265"/>
        <v/>
      </c>
      <c r="Y605" s="1910" t="str">
        <f t="shared" si="266"/>
        <v/>
      </c>
      <c r="Z605" s="1911" t="str">
        <f t="shared" si="267"/>
        <v/>
      </c>
      <c r="AA605" s="2"/>
      <c r="AB605" s="1177">
        <f t="shared" si="269"/>
        <v>2</v>
      </c>
      <c r="AC605" s="935">
        <f>IF(CNTR_ExistSubInstEntries,IF(OR($M529&lt;&gt;EUconst_Relevant,AC602&gt;=CNTR_ReportingYear,AC602&lt;V529-1,$E605=""),0,IF(AND($T592=2,$S565),2,1)),2)</f>
        <v>2</v>
      </c>
      <c r="AD605" s="935">
        <f>IF(CNTR_ExistSubInstEntries,IF(OR($M529&lt;&gt;EUconst_Relevant,AD602&gt;=CNTR_ReportingYear,AD602&lt;V529-1,$E605=""),0,IF(AND($T592=2,$S565),2,1)),2)</f>
        <v>2</v>
      </c>
      <c r="AE605" s="935">
        <f>IF(CNTR_ExistSubInstEntries,IF(OR($M529&lt;&gt;EUconst_Relevant,AE602&gt;=CNTR_ReportingYear,AE602&lt;V529-1,$E605=""),0,IF(AND($T592=2,$S565),2,1)),2)</f>
        <v>2</v>
      </c>
      <c r="AF605" s="935">
        <f>IF(CNTR_ExistSubInstEntries,IF(OR($M529&lt;&gt;EUconst_Relevant,AF602&gt;=CNTR_ReportingYear,AF602&lt;V529-1,$E605=""),0,IF(AND($T592=2,$S565),2,1)),2)</f>
        <v>2</v>
      </c>
      <c r="AG605" s="935">
        <f>IF(CNTR_ExistSubInstEntries,IF(OR($M529&lt;&gt;EUconst_Relevant,AG602&gt;=CNTR_ReportingYear,AG602&lt;V529-1,$E605=""),0,IF(AND($T592=2,$S565),2,1)),2)</f>
        <v>2</v>
      </c>
      <c r="AH605" s="935">
        <f>IF(CNTR_ExistSubInstEntries,IF(OR($M529&lt;&gt;EUconst_Relevant,AH602&gt;=CNTR_ReportingYear,AH602&lt;V529-1,$E605=""),0,IF(AND($T592=2,$S565),2,1)),2)</f>
        <v>2</v>
      </c>
      <c r="AI605" s="1183">
        <f>IF(CNTR_ExistSubInstEntries,IF(OR($M529&lt;&gt;EUconst_Relevant,AI602&gt;=CNTR_ReportingYear,AI602&lt;V529-1,$E605=""),0,IF(AND($T592=2,$S565),2,1)),2)</f>
        <v>2</v>
      </c>
      <c r="AJ605" s="349"/>
      <c r="AK605" s="553" t="s">
        <v>2248</v>
      </c>
      <c r="AL605" s="663" t="str">
        <f>IF(AND(CNTR_ExistSubInstEntries,COUNTIFS(AB605:AI605,2,G605:N605,"")&gt;0),EUconst_Error&amp;"FB"&amp;Q529,"")</f>
        <v/>
      </c>
      <c r="AM605" s="349"/>
    </row>
    <row r="606" spans="1:39" ht="12.75" customHeight="1" x14ac:dyDescent="0.25">
      <c r="A606" s="2"/>
      <c r="B606" s="19"/>
      <c r="C606" s="45"/>
      <c r="D606" s="33">
        <f t="shared" si="270"/>
        <v>4</v>
      </c>
      <c r="E606" s="1036" t="str">
        <f t="shared" si="257"/>
        <v/>
      </c>
      <c r="F606" s="550" t="str">
        <f t="shared" si="261"/>
        <v>TJ</v>
      </c>
      <c r="G606" s="468"/>
      <c r="H606" s="1120"/>
      <c r="I606" s="468"/>
      <c r="J606" s="1120"/>
      <c r="K606" s="431"/>
      <c r="L606" s="431"/>
      <c r="M606" s="431"/>
      <c r="N606" s="431"/>
      <c r="O606" s="6"/>
      <c r="P606" s="1362"/>
      <c r="Q606" s="2"/>
      <c r="R606" s="2"/>
      <c r="S606" s="1187" t="str">
        <f>IF($M529&lt;&gt;EUconst_Relevant,"",
IF($V529&gt;($J$950-3),
              IF(INDEX(H583:N583,MATCH($V529,$T602:$Z602,0))=0,0,INDEX(H606:N606,MATCH($V529,$T602:$Z602,0))/INDEX(H583:N583,MATCH($V529,$T602:$Z602,0))),
                             IF(ISNUMBER(G583),
                                            IF(OR(G583=0,$S566=FALSE),0,G606/G583),"")))</f>
        <v/>
      </c>
      <c r="T606" s="1910" t="str">
        <f t="shared" si="268"/>
        <v/>
      </c>
      <c r="U606" s="1910" t="str">
        <f t="shared" si="262"/>
        <v/>
      </c>
      <c r="V606" s="1910" t="str">
        <f t="shared" si="263"/>
        <v/>
      </c>
      <c r="W606" s="1910" t="str">
        <f t="shared" si="264"/>
        <v/>
      </c>
      <c r="X606" s="1910" t="str">
        <f t="shared" si="265"/>
        <v/>
      </c>
      <c r="Y606" s="1910" t="str">
        <f t="shared" si="266"/>
        <v/>
      </c>
      <c r="Z606" s="1911" t="str">
        <f t="shared" si="267"/>
        <v/>
      </c>
      <c r="AA606" s="2"/>
      <c r="AB606" s="1177">
        <f t="shared" si="269"/>
        <v>2</v>
      </c>
      <c r="AC606" s="935">
        <f>IF(CNTR_ExistSubInstEntries,IF(OR($M529&lt;&gt;EUconst_Relevant,AC602&gt;=CNTR_ReportingYear,AC602&lt;V529-1,$E606=""),0,IF(AND($T592=2,$S566),2,1)),2)</f>
        <v>2</v>
      </c>
      <c r="AD606" s="935">
        <f>IF(CNTR_ExistSubInstEntries,IF(OR($M529&lt;&gt;EUconst_Relevant,AD602&gt;=CNTR_ReportingYear,AD602&lt;V529-1,$E606=""),0,IF(AND($T592=2,$S566),2,1)),2)</f>
        <v>2</v>
      </c>
      <c r="AE606" s="935">
        <f>IF(CNTR_ExistSubInstEntries,IF(OR($M529&lt;&gt;EUconst_Relevant,AE602&gt;=CNTR_ReportingYear,AE602&lt;V529-1,$E606=""),0,IF(AND($T592=2,$S566),2,1)),2)</f>
        <v>2</v>
      </c>
      <c r="AF606" s="935">
        <f>IF(CNTR_ExistSubInstEntries,IF(OR($M529&lt;&gt;EUconst_Relevant,AF602&gt;=CNTR_ReportingYear,AF602&lt;V529-1,$E606=""),0,IF(AND($T592=2,$S566),2,1)),2)</f>
        <v>2</v>
      </c>
      <c r="AG606" s="935">
        <f>IF(CNTR_ExistSubInstEntries,IF(OR($M529&lt;&gt;EUconst_Relevant,AG602&gt;=CNTR_ReportingYear,AG602&lt;V529-1,$E606=""),0,IF(AND($T592=2,$S566),2,1)),2)</f>
        <v>2</v>
      </c>
      <c r="AH606" s="935">
        <f>IF(CNTR_ExistSubInstEntries,IF(OR($M529&lt;&gt;EUconst_Relevant,AH602&gt;=CNTR_ReportingYear,AH602&lt;V529-1,$E606=""),0,IF(AND($T592=2,$S566),2,1)),2)</f>
        <v>2</v>
      </c>
      <c r="AI606" s="1183">
        <f>IF(CNTR_ExistSubInstEntries,IF(OR($M529&lt;&gt;EUconst_Relevant,AI602&gt;=CNTR_ReportingYear,AI602&lt;V529-1,$E606=""),0,IF(AND($T592=2,$S566),2,1)),2)</f>
        <v>2</v>
      </c>
      <c r="AJ606" s="349"/>
      <c r="AK606" s="553" t="s">
        <v>2248</v>
      </c>
      <c r="AL606" s="663" t="str">
        <f>IF(AND(CNTR_ExistSubInstEntries,COUNTIFS(AB606:AI606,2,G606:N606,"")&gt;0),EUconst_Error&amp;"FB"&amp;Q529,"")</f>
        <v/>
      </c>
      <c r="AM606" s="349"/>
    </row>
    <row r="607" spans="1:39" ht="12.75" customHeight="1" x14ac:dyDescent="0.25">
      <c r="A607" s="2"/>
      <c r="B607" s="19"/>
      <c r="C607" s="45"/>
      <c r="D607" s="33">
        <f t="shared" si="270"/>
        <v>5</v>
      </c>
      <c r="E607" s="1036" t="str">
        <f t="shared" si="257"/>
        <v/>
      </c>
      <c r="F607" s="550" t="str">
        <f t="shared" si="261"/>
        <v>TJ</v>
      </c>
      <c r="G607" s="468"/>
      <c r="H607" s="1120"/>
      <c r="I607" s="468"/>
      <c r="J607" s="1120"/>
      <c r="K607" s="431"/>
      <c r="L607" s="431"/>
      <c r="M607" s="431"/>
      <c r="N607" s="431"/>
      <c r="O607" s="6"/>
      <c r="P607" s="1362"/>
      <c r="Q607" s="2"/>
      <c r="R607" s="2"/>
      <c r="S607" s="1187" t="str">
        <f>IF($M529&lt;&gt;EUconst_Relevant,"",
IF($V529&gt;($J$950-3),
              IF(INDEX(H584:N584,MATCH($V529,$T602:$Z602,0))=0,0,INDEX(H607:N607,MATCH($V529,$T602:$Z602,0))/INDEX(H584:N584,MATCH($V529,$T602:$Z602,0))),
                             IF(ISNUMBER(G584),
                                            IF(OR(G584=0,$S567=FALSE),0,G607/G584),"")))</f>
        <v/>
      </c>
      <c r="T607" s="1910" t="str">
        <f t="shared" si="268"/>
        <v/>
      </c>
      <c r="U607" s="1910" t="str">
        <f t="shared" si="262"/>
        <v/>
      </c>
      <c r="V607" s="1910" t="str">
        <f t="shared" si="263"/>
        <v/>
      </c>
      <c r="W607" s="1910" t="str">
        <f t="shared" si="264"/>
        <v/>
      </c>
      <c r="X607" s="1910" t="str">
        <f t="shared" si="265"/>
        <v/>
      </c>
      <c r="Y607" s="1910" t="str">
        <f t="shared" si="266"/>
        <v/>
      </c>
      <c r="Z607" s="1911" t="str">
        <f t="shared" si="267"/>
        <v/>
      </c>
      <c r="AA607" s="2"/>
      <c r="AB607" s="1177">
        <f t="shared" si="269"/>
        <v>2</v>
      </c>
      <c r="AC607" s="935">
        <f>IF(CNTR_ExistSubInstEntries,IF(OR($M529&lt;&gt;EUconst_Relevant,AC602&gt;=CNTR_ReportingYear,AC602&lt;V529-1,$E607=""),0,IF(AND($T592=2,$S567),2,1)),2)</f>
        <v>2</v>
      </c>
      <c r="AD607" s="935">
        <f>IF(CNTR_ExistSubInstEntries,IF(OR($M529&lt;&gt;EUconst_Relevant,AD602&gt;=CNTR_ReportingYear,AD602&lt;V529-1,$E607=""),0,IF(AND($T592=2,$S567),2,1)),2)</f>
        <v>2</v>
      </c>
      <c r="AE607" s="935">
        <f>IF(CNTR_ExistSubInstEntries,IF(OR($M529&lt;&gt;EUconst_Relevant,AE602&gt;=CNTR_ReportingYear,AE602&lt;V529-1,$E607=""),0,IF(AND($T592=2,$S567),2,1)),2)</f>
        <v>2</v>
      </c>
      <c r="AF607" s="935">
        <f>IF(CNTR_ExistSubInstEntries,IF(OR($M529&lt;&gt;EUconst_Relevant,AF602&gt;=CNTR_ReportingYear,AF602&lt;V529-1,$E607=""),0,IF(AND($T592=2,$S567),2,1)),2)</f>
        <v>2</v>
      </c>
      <c r="AG607" s="935">
        <f>IF(CNTR_ExistSubInstEntries,IF(OR($M529&lt;&gt;EUconst_Relevant,AG602&gt;=CNTR_ReportingYear,AG602&lt;V529-1,$E607=""),0,IF(AND($T592=2,$S567),2,1)),2)</f>
        <v>2</v>
      </c>
      <c r="AH607" s="935">
        <f>IF(CNTR_ExistSubInstEntries,IF(OR($M529&lt;&gt;EUconst_Relevant,AH602&gt;=CNTR_ReportingYear,AH602&lt;V529-1,$E607=""),0,IF(AND($T592=2,$S567),2,1)),2)</f>
        <v>2</v>
      </c>
      <c r="AI607" s="1183">
        <f>IF(CNTR_ExistSubInstEntries,IF(OR($M529&lt;&gt;EUconst_Relevant,AI602&gt;=CNTR_ReportingYear,AI602&lt;V529-1,$E607=""),0,IF(AND($T592=2,$S567),2,1)),2)</f>
        <v>2</v>
      </c>
      <c r="AJ607" s="349"/>
      <c r="AK607" s="553" t="s">
        <v>2248</v>
      </c>
      <c r="AL607" s="663" t="str">
        <f>IF(AND(CNTR_ExistSubInstEntries,COUNTIFS(AB607:AI607,2,G607:N607,"")&gt;0),EUconst_Error&amp;"FB"&amp;Q529,"")</f>
        <v/>
      </c>
      <c r="AM607" s="349"/>
    </row>
    <row r="608" spans="1:39" ht="12.75" customHeight="1" x14ac:dyDescent="0.25">
      <c r="A608" s="2"/>
      <c r="B608" s="19"/>
      <c r="C608" s="45"/>
      <c r="D608" s="33">
        <f t="shared" si="270"/>
        <v>6</v>
      </c>
      <c r="E608" s="1036" t="str">
        <f t="shared" si="257"/>
        <v/>
      </c>
      <c r="F608" s="550" t="str">
        <f t="shared" si="261"/>
        <v>TJ</v>
      </c>
      <c r="G608" s="468"/>
      <c r="H608" s="1120"/>
      <c r="I608" s="468"/>
      <c r="J608" s="1120"/>
      <c r="K608" s="431"/>
      <c r="L608" s="431"/>
      <c r="M608" s="431"/>
      <c r="N608" s="431"/>
      <c r="O608" s="6"/>
      <c r="P608" s="1362"/>
      <c r="Q608" s="2"/>
      <c r="R608" s="2"/>
      <c r="S608" s="1187" t="str">
        <f>IF($M529&lt;&gt;EUconst_Relevant,"",
IF($V529&gt;($J$950-3),
              IF(INDEX(H585:N585,MATCH($V529,$T602:$Z602,0))=0,0,INDEX(H608:N608,MATCH($V529,$T602:$Z602,0))/INDEX(H585:N585,MATCH($V529,$T602:$Z602,0))),
                             IF(ISNUMBER(G585),
                                            IF(OR(G585=0,$S568=FALSE),0,G608/G585),"")))</f>
        <v/>
      </c>
      <c r="T608" s="1910" t="str">
        <f t="shared" si="268"/>
        <v/>
      </c>
      <c r="U608" s="1910" t="str">
        <f t="shared" si="262"/>
        <v/>
      </c>
      <c r="V608" s="1910" t="str">
        <f t="shared" si="263"/>
        <v/>
      </c>
      <c r="W608" s="1910" t="str">
        <f t="shared" si="264"/>
        <v/>
      </c>
      <c r="X608" s="1910" t="str">
        <f t="shared" si="265"/>
        <v/>
      </c>
      <c r="Y608" s="1910" t="str">
        <f t="shared" si="266"/>
        <v/>
      </c>
      <c r="Z608" s="1911" t="str">
        <f t="shared" si="267"/>
        <v/>
      </c>
      <c r="AA608" s="2"/>
      <c r="AB608" s="1177">
        <f t="shared" si="269"/>
        <v>2</v>
      </c>
      <c r="AC608" s="935">
        <f>IF(CNTR_ExistSubInstEntries,IF(OR($M529&lt;&gt;EUconst_Relevant,AC602&gt;=CNTR_ReportingYear,AC602&lt;V529-1,$E608=""),0,IF(AND($T592=2,$S568),2,1)),2)</f>
        <v>2</v>
      </c>
      <c r="AD608" s="935">
        <f>IF(CNTR_ExistSubInstEntries,IF(OR($M529&lt;&gt;EUconst_Relevant,AD602&gt;=CNTR_ReportingYear,AD602&lt;V529-1,$E608=""),0,IF(AND($T592=2,$S568),2,1)),2)</f>
        <v>2</v>
      </c>
      <c r="AE608" s="935">
        <f>IF(CNTR_ExistSubInstEntries,IF(OR($M529&lt;&gt;EUconst_Relevant,AE602&gt;=CNTR_ReportingYear,AE602&lt;V529-1,$E608=""),0,IF(AND($T592=2,$S568),2,1)),2)</f>
        <v>2</v>
      </c>
      <c r="AF608" s="935">
        <f>IF(CNTR_ExistSubInstEntries,IF(OR($M529&lt;&gt;EUconst_Relevant,AF602&gt;=CNTR_ReportingYear,AF602&lt;V529-1,$E608=""),0,IF(AND($T592=2,$S568),2,1)),2)</f>
        <v>2</v>
      </c>
      <c r="AG608" s="935">
        <f>IF(CNTR_ExistSubInstEntries,IF(OR($M529&lt;&gt;EUconst_Relevant,AG602&gt;=CNTR_ReportingYear,AG602&lt;V529-1,$E608=""),0,IF(AND($T592=2,$S568),2,1)),2)</f>
        <v>2</v>
      </c>
      <c r="AH608" s="935">
        <f>IF(CNTR_ExistSubInstEntries,IF(OR($M529&lt;&gt;EUconst_Relevant,AH602&gt;=CNTR_ReportingYear,AH602&lt;V529-1,$E608=""),0,IF(AND($T592=2,$S568),2,1)),2)</f>
        <v>2</v>
      </c>
      <c r="AI608" s="1183">
        <f>IF(CNTR_ExistSubInstEntries,IF(OR($M529&lt;&gt;EUconst_Relevant,AI602&gt;=CNTR_ReportingYear,AI602&lt;V529-1,$E608=""),0,IF(AND($T592=2,$S568),2,1)),2)</f>
        <v>2</v>
      </c>
      <c r="AJ608" s="349"/>
      <c r="AK608" s="553" t="s">
        <v>2248</v>
      </c>
      <c r="AL608" s="663" t="str">
        <f>IF(AND(CNTR_ExistSubInstEntries,COUNTIFS(AB608:AI608,2,G608:N608,"")&gt;0),EUconst_Error&amp;"FB"&amp;Q529,"")</f>
        <v/>
      </c>
      <c r="AM608" s="349"/>
    </row>
    <row r="609" spans="1:39" ht="12.75" customHeight="1" x14ac:dyDescent="0.25">
      <c r="A609" s="2"/>
      <c r="B609" s="19"/>
      <c r="C609" s="45"/>
      <c r="D609" s="33">
        <f t="shared" si="270"/>
        <v>7</v>
      </c>
      <c r="E609" s="1036" t="str">
        <f t="shared" si="257"/>
        <v/>
      </c>
      <c r="F609" s="550" t="str">
        <f t="shared" si="261"/>
        <v>TJ</v>
      </c>
      <c r="G609" s="468"/>
      <c r="H609" s="1120"/>
      <c r="I609" s="468"/>
      <c r="J609" s="1120"/>
      <c r="K609" s="431"/>
      <c r="L609" s="431"/>
      <c r="M609" s="431"/>
      <c r="N609" s="431"/>
      <c r="O609" s="6"/>
      <c r="P609" s="1362"/>
      <c r="Q609" s="2"/>
      <c r="R609" s="2"/>
      <c r="S609" s="1187" t="str">
        <f>IF($M529&lt;&gt;EUconst_Relevant,"",
IF($V529&gt;($J$950-3),
              IF(INDEX(H586:N586,MATCH($V529,$T602:$Z602,0))=0,0,INDEX(H609:N609,MATCH($V529,$T602:$Z602,0))/INDEX(H586:N586,MATCH($V529,$T602:$Z602,0))),
                             IF(ISNUMBER(G586),
                                            IF(OR(G586=0,$S569=FALSE),0,G609/G586),"")))</f>
        <v/>
      </c>
      <c r="T609" s="1910" t="str">
        <f t="shared" si="268"/>
        <v/>
      </c>
      <c r="U609" s="1910" t="str">
        <f t="shared" si="262"/>
        <v/>
      </c>
      <c r="V609" s="1910" t="str">
        <f t="shared" si="263"/>
        <v/>
      </c>
      <c r="W609" s="1910" t="str">
        <f t="shared" si="264"/>
        <v/>
      </c>
      <c r="X609" s="1910" t="str">
        <f t="shared" si="265"/>
        <v/>
      </c>
      <c r="Y609" s="1910" t="str">
        <f t="shared" si="266"/>
        <v/>
      </c>
      <c r="Z609" s="1911" t="str">
        <f t="shared" si="267"/>
        <v/>
      </c>
      <c r="AA609" s="2"/>
      <c r="AB609" s="1177">
        <f t="shared" si="269"/>
        <v>2</v>
      </c>
      <c r="AC609" s="935">
        <f>IF(CNTR_ExistSubInstEntries,IF(OR($M529&lt;&gt;EUconst_Relevant,AC602&gt;=CNTR_ReportingYear,AC602&lt;V529-1,$E609=""),0,IF(AND($T592=2,$S569),2,1)),2)</f>
        <v>2</v>
      </c>
      <c r="AD609" s="935">
        <f>IF(CNTR_ExistSubInstEntries,IF(OR($M529&lt;&gt;EUconst_Relevant,AD602&gt;=CNTR_ReportingYear,AD602&lt;V529-1,$E609=""),0,IF(AND($T592=2,$S569),2,1)),2)</f>
        <v>2</v>
      </c>
      <c r="AE609" s="935">
        <f>IF(CNTR_ExistSubInstEntries,IF(OR($M529&lt;&gt;EUconst_Relevant,AE602&gt;=CNTR_ReportingYear,AE602&lt;V529-1,$E609=""),0,IF(AND($T592=2,$S569),2,1)),2)</f>
        <v>2</v>
      </c>
      <c r="AF609" s="935">
        <f>IF(CNTR_ExistSubInstEntries,IF(OR($M529&lt;&gt;EUconst_Relevant,AF602&gt;=CNTR_ReportingYear,AF602&lt;V529-1,$E609=""),0,IF(AND($T592=2,$S569),2,1)),2)</f>
        <v>2</v>
      </c>
      <c r="AG609" s="935">
        <f>IF(CNTR_ExistSubInstEntries,IF(OR($M529&lt;&gt;EUconst_Relevant,AG602&gt;=CNTR_ReportingYear,AG602&lt;V529-1,$E609=""),0,IF(AND($T592=2,$S569),2,1)),2)</f>
        <v>2</v>
      </c>
      <c r="AH609" s="935">
        <f>IF(CNTR_ExistSubInstEntries,IF(OR($M529&lt;&gt;EUconst_Relevant,AH602&gt;=CNTR_ReportingYear,AH602&lt;V529-1,$E609=""),0,IF(AND($T592=2,$S569),2,1)),2)</f>
        <v>2</v>
      </c>
      <c r="AI609" s="1183">
        <f>IF(CNTR_ExistSubInstEntries,IF(OR($M529&lt;&gt;EUconst_Relevant,AI602&gt;=CNTR_ReportingYear,AI602&lt;V529-1,$E609=""),0,IF(AND($T592=2,$S569),2,1)),2)</f>
        <v>2</v>
      </c>
      <c r="AJ609" s="349"/>
      <c r="AK609" s="553" t="s">
        <v>2248</v>
      </c>
      <c r="AL609" s="663" t="str">
        <f>IF(AND(CNTR_ExistSubInstEntries,COUNTIFS(AB609:AI609,2,G609:N609,"")&gt;0),EUconst_Error&amp;"FB"&amp;Q529,"")</f>
        <v/>
      </c>
      <c r="AM609" s="349"/>
    </row>
    <row r="610" spans="1:39" ht="12.75" customHeight="1" x14ac:dyDescent="0.25">
      <c r="A610" s="2"/>
      <c r="B610" s="19"/>
      <c r="C610" s="45"/>
      <c r="D610" s="33">
        <f t="shared" si="270"/>
        <v>8</v>
      </c>
      <c r="E610" s="1036" t="str">
        <f t="shared" si="257"/>
        <v/>
      </c>
      <c r="F610" s="550" t="str">
        <f t="shared" si="261"/>
        <v>TJ</v>
      </c>
      <c r="G610" s="468"/>
      <c r="H610" s="1120"/>
      <c r="I610" s="468"/>
      <c r="J610" s="1120"/>
      <c r="K610" s="431"/>
      <c r="L610" s="431"/>
      <c r="M610" s="431"/>
      <c r="N610" s="431"/>
      <c r="O610" s="6"/>
      <c r="P610" s="1362"/>
      <c r="Q610" s="2"/>
      <c r="R610" s="2"/>
      <c r="S610" s="1187" t="str">
        <f>IF($M529&lt;&gt;EUconst_Relevant,"",
IF($V529&gt;($J$950-3),
              IF(INDEX(H587:N587,MATCH($V529,$T602:$Z602,0))=0,0,INDEX(H610:N610,MATCH($V529,$T602:$Z602,0))/INDEX(H587:N587,MATCH($V529,$T602:$Z602,0))),
                             IF(ISNUMBER(G587),
                                            IF(OR(G587=0,$S570=FALSE),0,G610/G587),"")))</f>
        <v/>
      </c>
      <c r="T610" s="1910" t="str">
        <f t="shared" si="268"/>
        <v/>
      </c>
      <c r="U610" s="1910" t="str">
        <f t="shared" si="262"/>
        <v/>
      </c>
      <c r="V610" s="1910" t="str">
        <f t="shared" si="263"/>
        <v/>
      </c>
      <c r="W610" s="1910" t="str">
        <f t="shared" si="264"/>
        <v/>
      </c>
      <c r="X610" s="1910" t="str">
        <f t="shared" si="265"/>
        <v/>
      </c>
      <c r="Y610" s="1910" t="str">
        <f t="shared" si="266"/>
        <v/>
      </c>
      <c r="Z610" s="1911" t="str">
        <f t="shared" si="267"/>
        <v/>
      </c>
      <c r="AA610" s="2"/>
      <c r="AB610" s="1177">
        <f t="shared" si="269"/>
        <v>2</v>
      </c>
      <c r="AC610" s="935">
        <f>IF(CNTR_ExistSubInstEntries,IF(OR($M529&lt;&gt;EUconst_Relevant,AC602&gt;=CNTR_ReportingYear,AC602&lt;V529-1,$E610=""),0,IF(AND($T592=2,$S570),2,1)),2)</f>
        <v>2</v>
      </c>
      <c r="AD610" s="935">
        <f>IF(CNTR_ExistSubInstEntries,IF(OR($M529&lt;&gt;EUconst_Relevant,AD602&gt;=CNTR_ReportingYear,AD602&lt;V529-1,$E610=""),0,IF(AND($T592=2,$S570),2,1)),2)</f>
        <v>2</v>
      </c>
      <c r="AE610" s="935">
        <f>IF(CNTR_ExistSubInstEntries,IF(OR($M529&lt;&gt;EUconst_Relevant,AE602&gt;=CNTR_ReportingYear,AE602&lt;V529-1,$E610=""),0,IF(AND($T592=2,$S570),2,1)),2)</f>
        <v>2</v>
      </c>
      <c r="AF610" s="935">
        <f>IF(CNTR_ExistSubInstEntries,IF(OR($M529&lt;&gt;EUconst_Relevant,AF602&gt;=CNTR_ReportingYear,AF602&lt;V529-1,$E610=""),0,IF(AND($T592=2,$S570),2,1)),2)</f>
        <v>2</v>
      </c>
      <c r="AG610" s="935">
        <f>IF(CNTR_ExistSubInstEntries,IF(OR($M529&lt;&gt;EUconst_Relevant,AG602&gt;=CNTR_ReportingYear,AG602&lt;V529-1,$E610=""),0,IF(AND($T592=2,$S570),2,1)),2)</f>
        <v>2</v>
      </c>
      <c r="AH610" s="935">
        <f>IF(CNTR_ExistSubInstEntries,IF(OR($M529&lt;&gt;EUconst_Relevant,AH602&gt;=CNTR_ReportingYear,AH602&lt;V529-1,$E610=""),0,IF(AND($T592=2,$S570),2,1)),2)</f>
        <v>2</v>
      </c>
      <c r="AI610" s="1183">
        <f>IF(CNTR_ExistSubInstEntries,IF(OR($M529&lt;&gt;EUconst_Relevant,AI602&gt;=CNTR_ReportingYear,AI602&lt;V529-1,$E610=""),0,IF(AND($T592=2,$S570),2,1)),2)</f>
        <v>2</v>
      </c>
      <c r="AJ610" s="349"/>
      <c r="AK610" s="553" t="s">
        <v>2248</v>
      </c>
      <c r="AL610" s="663" t="str">
        <f>IF(AND(CNTR_ExistSubInstEntries,COUNTIFS(AB610:AI610,2,G610:N610,"")&gt;0),EUconst_Error&amp;"FB"&amp;Q529,"")</f>
        <v/>
      </c>
      <c r="AM610" s="349"/>
    </row>
    <row r="611" spans="1:39" ht="12.75" customHeight="1" x14ac:dyDescent="0.25">
      <c r="A611" s="2"/>
      <c r="B611" s="19"/>
      <c r="C611" s="45"/>
      <c r="D611" s="33">
        <f t="shared" si="270"/>
        <v>9</v>
      </c>
      <c r="E611" s="1036" t="str">
        <f t="shared" si="257"/>
        <v/>
      </c>
      <c r="F611" s="550" t="str">
        <f t="shared" si="261"/>
        <v>TJ</v>
      </c>
      <c r="G611" s="468"/>
      <c r="H611" s="1120"/>
      <c r="I611" s="468"/>
      <c r="J611" s="1120"/>
      <c r="K611" s="431"/>
      <c r="L611" s="431"/>
      <c r="M611" s="431"/>
      <c r="N611" s="431"/>
      <c r="O611" s="6"/>
      <c r="P611" s="1362"/>
      <c r="Q611" s="2"/>
      <c r="R611" s="2"/>
      <c r="S611" s="1187" t="str">
        <f>IF($M529&lt;&gt;EUconst_Relevant,"",
IF($V529&gt;($J$950-3),
              IF(INDEX(H588:N588,MATCH($V529,$T602:$Z602,0))=0,0,INDEX(H611:N611,MATCH($V529,$T602:$Z602,0))/INDEX(H588:N588,MATCH($V529,$T602:$Z602,0))),
                             IF(ISNUMBER(G588),
                                            IF(OR(G588=0,$S571=FALSE),0,G611/G588),"")))</f>
        <v/>
      </c>
      <c r="T611" s="1910" t="str">
        <f t="shared" si="268"/>
        <v/>
      </c>
      <c r="U611" s="1910" t="str">
        <f t="shared" si="262"/>
        <v/>
      </c>
      <c r="V611" s="1910" t="str">
        <f t="shared" si="263"/>
        <v/>
      </c>
      <c r="W611" s="1910" t="str">
        <f t="shared" si="264"/>
        <v/>
      </c>
      <c r="X611" s="1910" t="str">
        <f t="shared" si="265"/>
        <v/>
      </c>
      <c r="Y611" s="1910" t="str">
        <f t="shared" si="266"/>
        <v/>
      </c>
      <c r="Z611" s="1911" t="str">
        <f t="shared" si="267"/>
        <v/>
      </c>
      <c r="AA611" s="2"/>
      <c r="AB611" s="1177">
        <f t="shared" si="269"/>
        <v>2</v>
      </c>
      <c r="AC611" s="935">
        <f>IF(CNTR_ExistSubInstEntries,IF(OR($M529&lt;&gt;EUconst_Relevant,AC602&gt;=CNTR_ReportingYear,AC602&lt;V529-1,$E611=""),0,IF(AND($T592=2,$S571),2,1)),2)</f>
        <v>2</v>
      </c>
      <c r="AD611" s="935">
        <f>IF(CNTR_ExistSubInstEntries,IF(OR($M529&lt;&gt;EUconst_Relevant,AD602&gt;=CNTR_ReportingYear,AD602&lt;V529-1,$E611=""),0,IF(AND($T592=2,$S571),2,1)),2)</f>
        <v>2</v>
      </c>
      <c r="AE611" s="935">
        <f>IF(CNTR_ExistSubInstEntries,IF(OR($M529&lt;&gt;EUconst_Relevant,AE602&gt;=CNTR_ReportingYear,AE602&lt;V529-1,$E611=""),0,IF(AND($T592=2,$S571),2,1)),2)</f>
        <v>2</v>
      </c>
      <c r="AF611" s="935">
        <f>IF(CNTR_ExistSubInstEntries,IF(OR($M529&lt;&gt;EUconst_Relevant,AF602&gt;=CNTR_ReportingYear,AF602&lt;V529-1,$E611=""),0,IF(AND($T592=2,$S571),2,1)),2)</f>
        <v>2</v>
      </c>
      <c r="AG611" s="935">
        <f>IF(CNTR_ExistSubInstEntries,IF(OR($M529&lt;&gt;EUconst_Relevant,AG602&gt;=CNTR_ReportingYear,AG602&lt;V529-1,$E611=""),0,IF(AND($T592=2,$S571),2,1)),2)</f>
        <v>2</v>
      </c>
      <c r="AH611" s="935">
        <f>IF(CNTR_ExistSubInstEntries,IF(OR($M529&lt;&gt;EUconst_Relevant,AH602&gt;=CNTR_ReportingYear,AH602&lt;V529-1,$E611=""),0,IF(AND($T592=2,$S571),2,1)),2)</f>
        <v>2</v>
      </c>
      <c r="AI611" s="1183">
        <f>IF(CNTR_ExistSubInstEntries,IF(OR($M529&lt;&gt;EUconst_Relevant,AI602&gt;=CNTR_ReportingYear,AI602&lt;V529-1,$E611=""),0,IF(AND($T592=2,$S571),2,1)),2)</f>
        <v>2</v>
      </c>
      <c r="AJ611" s="349"/>
      <c r="AK611" s="553" t="s">
        <v>2248</v>
      </c>
      <c r="AL611" s="663" t="str">
        <f>IF(AND(CNTR_ExistSubInstEntries,COUNTIFS(AB611:AI611,2,G611:N611,"")&gt;0),EUconst_Error&amp;"FB"&amp;Q529,"")</f>
        <v/>
      </c>
      <c r="AM611" s="349"/>
    </row>
    <row r="612" spans="1:39" ht="12.75" customHeight="1" thickBot="1" x14ac:dyDescent="0.3">
      <c r="A612" s="2"/>
      <c r="B612" s="19"/>
      <c r="C612" s="45"/>
      <c r="D612" s="36">
        <f t="shared" si="270"/>
        <v>10</v>
      </c>
      <c r="E612" s="1038" t="str">
        <f t="shared" si="257"/>
        <v/>
      </c>
      <c r="F612" s="551" t="str">
        <f t="shared" si="261"/>
        <v>TJ</v>
      </c>
      <c r="G612" s="469"/>
      <c r="H612" s="1112"/>
      <c r="I612" s="469"/>
      <c r="J612" s="1112"/>
      <c r="K612" s="357"/>
      <c r="L612" s="357"/>
      <c r="M612" s="357"/>
      <c r="N612" s="357"/>
      <c r="O612" s="6"/>
      <c r="P612" s="1362"/>
      <c r="Q612" s="2"/>
      <c r="R612" s="2"/>
      <c r="S612" s="1188" t="str">
        <f>IF($M529&lt;&gt;EUconst_Relevant,"",
IF($V529&gt;($J$950-3),
              IF(INDEX(H589:N589,MATCH($V529,$T602:$Z602,0))=0,0,INDEX(H612:N612,MATCH($V529,$T602:$Z602,0))/INDEX(H589:N589,MATCH($V529,$T602:$Z602,0))),
                             IF(ISNUMBER(G589),
                                            IF(OR(G589=0,$S572=FALSE),0,G612/G589),"")))</f>
        <v/>
      </c>
      <c r="T612" s="1912" t="str">
        <f t="shared" si="268"/>
        <v/>
      </c>
      <c r="U612" s="1912" t="str">
        <f t="shared" si="262"/>
        <v/>
      </c>
      <c r="V612" s="1912" t="str">
        <f t="shared" si="263"/>
        <v/>
      </c>
      <c r="W612" s="1912" t="str">
        <f t="shared" si="264"/>
        <v/>
      </c>
      <c r="X612" s="1912" t="str">
        <f t="shared" si="265"/>
        <v/>
      </c>
      <c r="Y612" s="1912" t="str">
        <f t="shared" si="266"/>
        <v/>
      </c>
      <c r="Z612" s="1913" t="str">
        <f t="shared" si="267"/>
        <v/>
      </c>
      <c r="AA612" s="2"/>
      <c r="AB612" s="1179">
        <f t="shared" si="269"/>
        <v>2</v>
      </c>
      <c r="AC612" s="1180">
        <f>IF(CNTR_ExistSubInstEntries,IF(OR($M529&lt;&gt;EUconst_Relevant,AC602&gt;=CNTR_ReportingYear,AC602&lt;V529-1,$E612=""),0,IF(AND($T592=2,$S572),2,1)),2)</f>
        <v>2</v>
      </c>
      <c r="AD612" s="1180">
        <f>IF(CNTR_ExistSubInstEntries,IF(OR($M529&lt;&gt;EUconst_Relevant,AD602&gt;=CNTR_ReportingYear,AD602&lt;V529-1,$E612=""),0,IF(AND($T592=2,$S572),2,1)),2)</f>
        <v>2</v>
      </c>
      <c r="AE612" s="1180">
        <f>IF(CNTR_ExistSubInstEntries,IF(OR($M529&lt;&gt;EUconst_Relevant,AE602&gt;=CNTR_ReportingYear,AE602&lt;V529-1,$E612=""),0,IF(AND($T592=2,$S572),2,1)),2)</f>
        <v>2</v>
      </c>
      <c r="AF612" s="1180">
        <f>IF(CNTR_ExistSubInstEntries,IF(OR($M529&lt;&gt;EUconst_Relevant,AF602&gt;=CNTR_ReportingYear,AF602&lt;V529-1,$E612=""),0,IF(AND($T592=2,$S572),2,1)),2)</f>
        <v>2</v>
      </c>
      <c r="AG612" s="1180">
        <f>IF(CNTR_ExistSubInstEntries,IF(OR($M529&lt;&gt;EUconst_Relevant,AG602&gt;=CNTR_ReportingYear,AG602&lt;V529-1,$E612=""),0,IF(AND($T592=2,$S572),2,1)),2)</f>
        <v>2</v>
      </c>
      <c r="AH612" s="1180">
        <f>IF(CNTR_ExistSubInstEntries,IF(OR($M529&lt;&gt;EUconst_Relevant,AH602&gt;=CNTR_ReportingYear,AH602&lt;V529-1,$E612=""),0,IF(AND($T592=2,$S572),2,1)),2)</f>
        <v>2</v>
      </c>
      <c r="AI612" s="1184">
        <f>IF(CNTR_ExistSubInstEntries,IF(OR($M529&lt;&gt;EUconst_Relevant,AI602&gt;=CNTR_ReportingYear,AI602&lt;V529-1,$E612=""),0,IF(AND($T592=2,$S572),2,1)),2)</f>
        <v>2</v>
      </c>
      <c r="AJ612" s="349"/>
      <c r="AK612" s="553" t="s">
        <v>2248</v>
      </c>
      <c r="AL612" s="663" t="str">
        <f>IF(AND(CNTR_ExistSubInstEntries,COUNTIFS(AB612:AI612,2,G612:N612,"")&gt;0),EUconst_Error&amp;"FB"&amp;Q529,"")</f>
        <v/>
      </c>
      <c r="AM612" s="349"/>
    </row>
    <row r="613" spans="1:39" ht="12.75" customHeight="1" thickBot="1" x14ac:dyDescent="0.3">
      <c r="A613" s="2"/>
      <c r="B613" s="19"/>
      <c r="C613" s="19"/>
      <c r="D613" s="90"/>
      <c r="E613" s="1135" t="str">
        <f>Translations!$B$1505</f>
        <v>Summa förbrukning</v>
      </c>
      <c r="F613" s="551" t="str">
        <f t="shared" si="261"/>
        <v>TJ</v>
      </c>
      <c r="G613" s="281" t="str">
        <f>IF(COUNT(G603:G612)&gt;0,SUMIF($S563:$S572,TRUE,G603:G612),"")</f>
        <v/>
      </c>
      <c r="H613" s="1118" t="str">
        <f t="shared" ref="H613:N613" si="271">IF(COUNT(H603:H612)&gt;0,SUMIF($S563:$S572,TRUE,H603:H612),"")</f>
        <v/>
      </c>
      <c r="I613" s="281" t="str">
        <f t="shared" si="271"/>
        <v/>
      </c>
      <c r="J613" s="1118" t="str">
        <f t="shared" si="271"/>
        <v/>
      </c>
      <c r="K613" s="275" t="str">
        <f t="shared" si="271"/>
        <v/>
      </c>
      <c r="L613" s="275" t="str">
        <f t="shared" si="271"/>
        <v/>
      </c>
      <c r="M613" s="275" t="str">
        <f t="shared" si="271"/>
        <v/>
      </c>
      <c r="N613" s="275" t="str">
        <f t="shared" si="271"/>
        <v/>
      </c>
      <c r="O613" s="6"/>
      <c r="P613" s="6"/>
      <c r="Q613" s="2"/>
      <c r="R613" s="2"/>
      <c r="S613" s="1914" t="str">
        <f>IF(AND(SUM(S603:S612)&gt;0,G619=""),INDEX(H613:N613,MATCH($V529,T602:Z602,0))/INDEX(H590:N590,MATCH($V529,T602:Z602,0)),G619)</f>
        <v/>
      </c>
      <c r="T613" s="2"/>
      <c r="U613" s="2"/>
      <c r="V613" s="2"/>
      <c r="W613" s="2"/>
      <c r="X613" s="2"/>
      <c r="Y613" s="2"/>
      <c r="Z613" s="2"/>
      <c r="AA613" s="2"/>
      <c r="AB613" s="343"/>
      <c r="AC613" s="2"/>
      <c r="AD613" s="2"/>
      <c r="AE613" s="349"/>
      <c r="AF613" s="349"/>
      <c r="AG613" s="349"/>
      <c r="AH613" s="349"/>
      <c r="AI613" s="349"/>
      <c r="AJ613" s="349"/>
      <c r="AK613" s="349"/>
      <c r="AL613" s="349"/>
      <c r="AM613" s="349"/>
    </row>
    <row r="614" spans="1:39" ht="12.75" customHeight="1" x14ac:dyDescent="0.25">
      <c r="A614" s="2"/>
      <c r="B614" s="19"/>
      <c r="C614" s="19"/>
      <c r="D614" s="1203"/>
      <c r="E614" s="931" t="str">
        <f>Translations!$B$1506</f>
        <v>Andel av a)</v>
      </c>
      <c r="F614" s="633" t="str">
        <f t="shared" si="261"/>
        <v>TJ</v>
      </c>
      <c r="G614" s="1649" t="str">
        <f>IF(COUNT(I545,G613)=2,IF(I545=0,EUconst_NA,G613/I545),"")</f>
        <v/>
      </c>
      <c r="H614" s="1650" t="str">
        <f t="shared" ref="H614:N614" si="272">IF(COUNT(H537,H613)=2,IF(H537=0,EUconst_NA,H613/H537),"")</f>
        <v/>
      </c>
      <c r="I614" s="1651" t="str">
        <f t="shared" si="272"/>
        <v/>
      </c>
      <c r="J614" s="1650" t="str">
        <f t="shared" si="272"/>
        <v/>
      </c>
      <c r="K614" s="1652" t="str">
        <f t="shared" si="272"/>
        <v/>
      </c>
      <c r="L614" s="1652" t="str">
        <f t="shared" si="272"/>
        <v/>
      </c>
      <c r="M614" s="1652" t="str">
        <f t="shared" si="272"/>
        <v/>
      </c>
      <c r="N614" s="1652" t="str">
        <f t="shared" si="272"/>
        <v/>
      </c>
      <c r="O614" s="6"/>
      <c r="P614" s="6"/>
      <c r="Q614" s="2"/>
      <c r="R614" s="2"/>
      <c r="S614" s="2"/>
      <c r="T614" s="2"/>
      <c r="U614" s="2"/>
      <c r="V614" s="2"/>
      <c r="W614" s="2"/>
      <c r="X614" s="2"/>
      <c r="Y614" s="2"/>
      <c r="Z614" s="2"/>
      <c r="AA614" s="2"/>
      <c r="AB614" s="343"/>
      <c r="AC614" s="2"/>
      <c r="AD614" s="2"/>
      <c r="AE614" s="349"/>
      <c r="AF614" s="349"/>
      <c r="AG614" s="349"/>
      <c r="AH614" s="349"/>
      <c r="AI614" s="349"/>
      <c r="AJ614" s="349"/>
      <c r="AK614" s="349"/>
      <c r="AL614" s="349"/>
      <c r="AM614" s="349"/>
    </row>
    <row r="615" spans="1:39" ht="5.15" customHeight="1" x14ac:dyDescent="0.25">
      <c r="A615" s="2"/>
      <c r="B615" s="19"/>
      <c r="C615" s="3"/>
      <c r="D615" s="3"/>
      <c r="E615" s="3"/>
      <c r="F615" s="3"/>
      <c r="G615" s="3"/>
      <c r="H615" s="3"/>
      <c r="I615" s="3"/>
      <c r="J615" s="3"/>
      <c r="K615" s="3"/>
      <c r="L615" s="3"/>
      <c r="M615" s="3"/>
      <c r="N615" s="3"/>
      <c r="O615" s="6"/>
      <c r="P615" s="6"/>
      <c r="Q615" s="2"/>
      <c r="R615" s="2"/>
      <c r="S615" s="2"/>
      <c r="T615" s="2"/>
      <c r="U615" s="2"/>
      <c r="V615" s="2"/>
      <c r="W615" s="2"/>
      <c r="X615" s="2"/>
      <c r="Y615" s="2"/>
      <c r="Z615" s="343"/>
      <c r="AA615" s="343"/>
      <c r="AB615" s="343"/>
      <c r="AC615" s="2"/>
      <c r="AD615" s="2"/>
      <c r="AE615" s="349"/>
      <c r="AF615" s="349"/>
      <c r="AG615" s="349"/>
      <c r="AH615" s="349"/>
      <c r="AI615" s="349"/>
      <c r="AJ615" s="349"/>
      <c r="AK615" s="349"/>
      <c r="AL615" s="349"/>
      <c r="AM615" s="349"/>
    </row>
    <row r="616" spans="1:39" ht="12.75" customHeight="1" x14ac:dyDescent="0.25">
      <c r="A616" s="2"/>
      <c r="B616" s="3"/>
      <c r="C616" s="13"/>
      <c r="D616" s="13" t="s">
        <v>1920</v>
      </c>
      <c r="E616" s="1943" t="str">
        <f>Translations!$B$1507</f>
        <v>Specifik energiförbrukning</v>
      </c>
      <c r="F616" s="1963"/>
      <c r="G616" s="1963"/>
      <c r="H616" s="1963"/>
      <c r="I616" s="1963"/>
      <c r="J616" s="1963"/>
      <c r="K616" s="1963"/>
      <c r="L616" s="1963"/>
      <c r="M616" s="1963"/>
      <c r="N616" s="1963"/>
      <c r="O616" s="6"/>
      <c r="P616" s="6"/>
      <c r="Q616" s="7"/>
      <c r="R616" s="2"/>
      <c r="S616" s="2"/>
      <c r="T616" s="2"/>
      <c r="U616" s="2"/>
      <c r="V616" s="2"/>
      <c r="W616" s="2"/>
      <c r="X616" s="2"/>
      <c r="Y616" s="2"/>
      <c r="Z616" s="2"/>
      <c r="AA616" s="2"/>
      <c r="AB616" s="343"/>
      <c r="AC616" s="2"/>
      <c r="AD616" s="2"/>
      <c r="AE616" s="349"/>
      <c r="AF616" s="349"/>
      <c r="AG616" s="349"/>
      <c r="AH616" s="349"/>
      <c r="AI616" s="349"/>
      <c r="AJ616" s="349"/>
      <c r="AK616" s="349"/>
      <c r="AL616" s="349"/>
      <c r="AM616" s="349"/>
    </row>
    <row r="617" spans="1:39" ht="12.75" customHeight="1" x14ac:dyDescent="0.25">
      <c r="A617" s="2"/>
      <c r="B617" s="19"/>
      <c r="C617" s="3"/>
      <c r="D617" s="3"/>
      <c r="E617" s="2061" t="str">
        <f>Translations!$B$1508</f>
        <v>Den specifika energiförbrukningen fastställs i enlighet med avsnitt 6.1 i vägledningsdokument 7 för värden som uppfyller kriterierna under punkt b.1 ovan.</v>
      </c>
      <c r="F617" s="1963"/>
      <c r="G617" s="1963"/>
      <c r="H617" s="1963"/>
      <c r="I617" s="1963"/>
      <c r="J617" s="1963"/>
      <c r="K617" s="1963"/>
      <c r="L617" s="1963"/>
      <c r="M617" s="1963"/>
      <c r="N617" s="1963"/>
      <c r="O617" s="6"/>
      <c r="P617" s="6"/>
      <c r="Q617" s="2"/>
      <c r="R617" s="2"/>
      <c r="S617" s="2"/>
      <c r="T617" s="2"/>
      <c r="U617" s="2"/>
      <c r="V617" s="2"/>
      <c r="W617" s="2"/>
      <c r="X617" s="2"/>
      <c r="Y617" s="2"/>
      <c r="Z617" s="343"/>
      <c r="AA617" s="343"/>
      <c r="AB617" s="343"/>
      <c r="AC617" s="2"/>
      <c r="AD617" s="2"/>
      <c r="AE617" s="349"/>
      <c r="AF617" s="349"/>
      <c r="AG617" s="349"/>
      <c r="AH617" s="349"/>
      <c r="AI617" s="349"/>
      <c r="AJ617" s="349"/>
      <c r="AK617" s="349"/>
      <c r="AL617" s="349"/>
      <c r="AM617" s="349"/>
    </row>
    <row r="618" spans="1:39" s="1195" customFormat="1" ht="12.75" customHeight="1" x14ac:dyDescent="0.3">
      <c r="A618" s="1189"/>
      <c r="B618" s="1190"/>
      <c r="C618" s="1190"/>
      <c r="D618" s="1191"/>
      <c r="E618" s="1093"/>
      <c r="F618" s="1095" t="str">
        <f>EUconst_Unit</f>
        <v>Enhet</v>
      </c>
      <c r="G618" s="1204" t="str">
        <f>Translations!$B$1495</f>
        <v>NIMs-värde</v>
      </c>
      <c r="H618" s="1193">
        <f t="shared" ref="H618:N618" si="273">H$950</f>
        <v>2019</v>
      </c>
      <c r="I618" s="1204">
        <f t="shared" si="273"/>
        <v>2020</v>
      </c>
      <c r="J618" s="1205">
        <f t="shared" si="273"/>
        <v>2021</v>
      </c>
      <c r="K618" s="1193">
        <f t="shared" si="273"/>
        <v>2022</v>
      </c>
      <c r="L618" s="1193">
        <f t="shared" si="273"/>
        <v>2023</v>
      </c>
      <c r="M618" s="1193">
        <f t="shared" si="273"/>
        <v>2024</v>
      </c>
      <c r="N618" s="1193">
        <f t="shared" si="273"/>
        <v>2025</v>
      </c>
      <c r="O618" s="978"/>
      <c r="P618" s="6"/>
      <c r="Q618" s="1189"/>
      <c r="R618" s="1189"/>
      <c r="S618" s="1189"/>
      <c r="T618" s="1189"/>
      <c r="U618" s="1189"/>
      <c r="V618" s="1189"/>
      <c r="W618" s="1189"/>
      <c r="X618" s="1189"/>
      <c r="Y618" s="1189"/>
      <c r="Z618" s="1189"/>
      <c r="AA618" s="711"/>
      <c r="AB618" s="7"/>
      <c r="AC618" s="1189"/>
      <c r="AD618" s="1189"/>
      <c r="AE618" s="1189"/>
      <c r="AF618" s="1189"/>
      <c r="AG618" s="1189"/>
      <c r="AH618" s="1189"/>
      <c r="AI618" s="1189"/>
      <c r="AJ618" s="1189"/>
      <c r="AK618" s="1189"/>
      <c r="AL618" s="1189"/>
      <c r="AM618" s="1194"/>
    </row>
    <row r="619" spans="1:39" ht="25.5" customHeight="1" x14ac:dyDescent="0.25">
      <c r="A619" s="2"/>
      <c r="B619" s="19"/>
      <c r="C619" s="19"/>
      <c r="D619" s="175"/>
      <c r="E619" s="931" t="str">
        <f>Translations!$B$1507</f>
        <v>Specifik energiförbrukning</v>
      </c>
      <c r="F619" s="1654" t="str">
        <f>EUconst_TJ &amp; " / " &amp; IF(F590="",EUconst_Unit,F590)</f>
        <v>TJ / Enhet</v>
      </c>
      <c r="G619" s="1532" t="str">
        <f>IF(AND(SUM(G613)&gt;0,V529&lt;=$H$950),SUMPRODUCT(S603:S612,G603:G612)/G613,"")</f>
        <v/>
      </c>
      <c r="H619" s="1533" t="str">
        <f t="shared" ref="H619:N619" si="274">IF(SUM(H613)&gt;0,$S613*H613/SUM(T603:T612),"")</f>
        <v/>
      </c>
      <c r="I619" s="1534" t="str">
        <f t="shared" si="274"/>
        <v/>
      </c>
      <c r="J619" s="1535" t="str">
        <f t="shared" si="274"/>
        <v/>
      </c>
      <c r="K619" s="1536" t="str">
        <f t="shared" si="274"/>
        <v/>
      </c>
      <c r="L619" s="1536" t="str">
        <f t="shared" si="274"/>
        <v/>
      </c>
      <c r="M619" s="1536" t="str">
        <f t="shared" si="274"/>
        <v/>
      </c>
      <c r="N619" s="1536" t="str">
        <f t="shared" si="274"/>
        <v/>
      </c>
      <c r="O619" s="918"/>
      <c r="P619" s="6"/>
      <c r="Q619" s="165" t="str">
        <f>EUconst_CNTR_EnEff&amp;I529</f>
        <v>EnEff_Delanläggning med bränsleriktmärke, KL</v>
      </c>
      <c r="R619" s="2"/>
      <c r="S619" s="2"/>
      <c r="T619" s="2"/>
      <c r="U619" s="2"/>
      <c r="V619" s="2"/>
      <c r="W619" s="2"/>
      <c r="X619" s="2"/>
      <c r="Y619" s="2"/>
      <c r="Z619" s="2"/>
      <c r="AA619" s="2"/>
      <c r="AB619" s="343"/>
      <c r="AC619" s="2"/>
      <c r="AD619" s="2"/>
      <c r="AE619" s="2"/>
      <c r="AF619" s="2"/>
      <c r="AG619" s="2"/>
      <c r="AH619" s="2"/>
      <c r="AI619" s="2"/>
      <c r="AJ619" s="2"/>
      <c r="AK619" s="2"/>
      <c r="AL619" s="2"/>
      <c r="AM619" s="349"/>
    </row>
    <row r="620" spans="1:39" ht="5.15" customHeight="1" thickBot="1" x14ac:dyDescent="0.3">
      <c r="A620" s="2"/>
      <c r="B620" s="19"/>
      <c r="C620" s="19"/>
      <c r="D620" s="19"/>
      <c r="E620" s="19"/>
      <c r="F620" s="19"/>
      <c r="G620" s="19"/>
      <c r="H620" s="19"/>
      <c r="I620" s="99"/>
      <c r="J620" s="19"/>
      <c r="K620" s="19"/>
      <c r="L620" s="19"/>
      <c r="M620" s="19"/>
      <c r="N620" s="19"/>
      <c r="O620" s="15"/>
      <c r="P620" s="6"/>
      <c r="Q620" s="130"/>
      <c r="R620" s="2"/>
      <c r="S620" s="343"/>
      <c r="T620" s="343"/>
      <c r="U620" s="2"/>
      <c r="V620" s="2"/>
      <c r="W620" s="2"/>
      <c r="X620" s="2"/>
      <c r="Y620" s="2"/>
      <c r="Z620" s="2"/>
      <c r="AA620" s="2"/>
      <c r="AB620" s="343"/>
      <c r="AC620" s="2"/>
      <c r="AD620" s="2"/>
      <c r="AE620" s="2"/>
      <c r="AF620" s="2"/>
      <c r="AG620" s="2"/>
      <c r="AH620" s="2"/>
      <c r="AI620" s="2"/>
      <c r="AJ620" s="2"/>
      <c r="AK620" s="2"/>
      <c r="AL620" s="2"/>
      <c r="AM620" s="349"/>
    </row>
    <row r="621" spans="1:39" ht="5.15" customHeight="1" thickBot="1" x14ac:dyDescent="0.3">
      <c r="A621" s="2"/>
      <c r="B621" s="19"/>
      <c r="C621" s="19"/>
      <c r="D621" s="1285"/>
      <c r="E621" s="1286"/>
      <c r="F621" s="1286"/>
      <c r="G621" s="1286"/>
      <c r="H621" s="1286"/>
      <c r="I621" s="1287"/>
      <c r="J621" s="1286"/>
      <c r="K621" s="1286"/>
      <c r="L621" s="1286"/>
      <c r="M621" s="1286"/>
      <c r="N621" s="1288"/>
      <c r="O621" s="15"/>
      <c r="P621" s="6"/>
      <c r="Q621" s="130"/>
      <c r="R621" s="2"/>
      <c r="S621" s="343"/>
      <c r="T621" s="343"/>
      <c r="U621" s="2"/>
      <c r="V621" s="2"/>
      <c r="W621" s="2"/>
      <c r="X621" s="2"/>
      <c r="Y621" s="2"/>
      <c r="Z621" s="2"/>
      <c r="AA621" s="2"/>
      <c r="AB621" s="343"/>
      <c r="AC621" s="2"/>
      <c r="AD621" s="2"/>
      <c r="AE621" s="2"/>
      <c r="AF621" s="2"/>
      <c r="AG621" s="2"/>
      <c r="AH621" s="2"/>
      <c r="AI621" s="2"/>
      <c r="AJ621" s="2"/>
      <c r="AK621" s="2"/>
      <c r="AL621" s="2"/>
      <c r="AM621" s="349"/>
    </row>
    <row r="622" spans="1:39" ht="12.75" customHeight="1" x14ac:dyDescent="0.25">
      <c r="A622" s="343"/>
      <c r="B622" s="178"/>
      <c r="C622" s="19"/>
      <c r="D622" s="1242"/>
      <c r="E622" s="1243" t="str">
        <f>Translations!$B$1509</f>
        <v>Justeringar: Effektivitetsförbättringar</v>
      </c>
      <c r="F622" s="1244"/>
      <c r="G622" s="1244"/>
      <c r="H622" s="1228" t="str">
        <f>EUconst_Unit</f>
        <v>Enhet</v>
      </c>
      <c r="I622" s="1229" t="str">
        <f>Translations!$B$1510</f>
        <v>Basvärde</v>
      </c>
      <c r="J622" s="1268">
        <f>J$950</f>
        <v>2021</v>
      </c>
      <c r="K622" s="1230">
        <f>K$950</f>
        <v>2022</v>
      </c>
      <c r="L622" s="1230">
        <f>L$950</f>
        <v>2023</v>
      </c>
      <c r="M622" s="1230">
        <f>M$950</f>
        <v>2024</v>
      </c>
      <c r="N622" s="1245">
        <f>N$950</f>
        <v>2025</v>
      </c>
      <c r="O622" s="15"/>
      <c r="P622" s="6"/>
      <c r="Q622" s="343"/>
      <c r="R622" s="2"/>
      <c r="S622" s="2"/>
      <c r="T622" s="2"/>
      <c r="U622" s="772"/>
      <c r="V622" s="1077">
        <f>J622</f>
        <v>2021</v>
      </c>
      <c r="W622" s="1077">
        <f>K622</f>
        <v>2022</v>
      </c>
      <c r="X622" s="1077">
        <f>L622</f>
        <v>2023</v>
      </c>
      <c r="Y622" s="1077">
        <f>M622</f>
        <v>2024</v>
      </c>
      <c r="Z622" s="1078">
        <f>N622</f>
        <v>2025</v>
      </c>
      <c r="AA622" s="2"/>
      <c r="AB622" s="343"/>
      <c r="AC622" s="2"/>
      <c r="AD622" s="2"/>
      <c r="AE622" s="2"/>
      <c r="AF622" s="2"/>
      <c r="AG622" s="2"/>
      <c r="AH622" s="2"/>
      <c r="AI622" s="2"/>
      <c r="AJ622" s="2"/>
      <c r="AK622" s="2"/>
      <c r="AL622" s="2"/>
      <c r="AM622" s="349"/>
    </row>
    <row r="623" spans="1:39" ht="12.75" customHeight="1" x14ac:dyDescent="0.25">
      <c r="A623" s="343"/>
      <c r="B623" s="178"/>
      <c r="C623" s="19"/>
      <c r="D623" s="1246" t="s">
        <v>9</v>
      </c>
      <c r="E623" s="2712" t="str">
        <f>Translations!$B$1511</f>
        <v>Genomsnittlig årlig effektivitet</v>
      </c>
      <c r="F623" s="2712"/>
      <c r="G623" s="2712"/>
      <c r="H623" s="1777" t="str">
        <f>F619</f>
        <v>TJ / Enhet</v>
      </c>
      <c r="I623" s="1129" t="str">
        <f>IF(M529&lt;&gt;EUconst_Relevant,"",IF(V529&gt;($J$950-3),INDEX(H619:N619,MATCH($V529,H618:N618,0)),G619))</f>
        <v/>
      </c>
      <c r="J623" s="1012" t="str">
        <f>IF(AND(V623&gt;=3,COUNT(H619:I619)=2),IF(CNTR_ReportingYear&gt;J618-1,AVERAGE(H619:I619),""),"")</f>
        <v/>
      </c>
      <c r="K623" s="927" t="str">
        <f>IF(AND(W623&gt;=3,COUNT(I619:J619)=2),IF(CNTR_ReportingYear&gt;K618-1,AVERAGE(I619:J619),""),"")</f>
        <v/>
      </c>
      <c r="L623" s="927" t="str">
        <f>IF(AND(X623&gt;=3,COUNT(J619:K619)=2),IF(CNTR_ReportingYear&gt;L618-1,AVERAGE(J619:K619),""),"")</f>
        <v/>
      </c>
      <c r="M623" s="927" t="str">
        <f>IF(AND(Y623&gt;=3,COUNT(K619:L619)=2),IF(CNTR_ReportingYear&gt;M618-1,AVERAGE(K619:L619),""),"")</f>
        <v/>
      </c>
      <c r="N623" s="1222" t="str">
        <f>IF(AND(Z623&gt;=3,COUNT(L619:M619)=2),IF(CNTR_ReportingYear&gt;N618-1,AVERAGE(L619:M619),""),"")</f>
        <v/>
      </c>
      <c r="O623" s="15"/>
      <c r="P623" s="6"/>
      <c r="Q623" s="1217" t="str">
        <f>EUconst_CNTR_EnEffInitial &amp; I529</f>
        <v>EnEffIni_Delanläggning med bränsleriktmärke, KL</v>
      </c>
      <c r="R623" s="2"/>
      <c r="S623" s="2"/>
      <c r="T623" s="2"/>
      <c r="U623" s="1079" t="s">
        <v>1850</v>
      </c>
      <c r="V623" s="9">
        <f>V545</f>
        <v>0</v>
      </c>
      <c r="W623" s="9">
        <f>W545</f>
        <v>0</v>
      </c>
      <c r="X623" s="9">
        <f>X545</f>
        <v>0</v>
      </c>
      <c r="Y623" s="9">
        <f>Y545</f>
        <v>0</v>
      </c>
      <c r="Z623" s="1089">
        <f>Z545</f>
        <v>0</v>
      </c>
      <c r="AA623" s="2"/>
      <c r="AB623" s="343"/>
      <c r="AC623" s="2"/>
      <c r="AD623" s="2"/>
      <c r="AE623" s="2"/>
      <c r="AF623" s="2"/>
      <c r="AG623" s="2"/>
      <c r="AH623" s="2"/>
      <c r="AI623" s="2"/>
      <c r="AJ623" s="2"/>
      <c r="AK623" s="2"/>
      <c r="AL623" s="2"/>
      <c r="AM623" s="349"/>
    </row>
    <row r="624" spans="1:39" ht="12.75" customHeight="1" x14ac:dyDescent="0.25">
      <c r="A624" s="343"/>
      <c r="B624" s="178"/>
      <c r="C624" s="19"/>
      <c r="D624" s="1246" t="s">
        <v>10</v>
      </c>
      <c r="E624" s="2712" t="str">
        <f>Translations!$B$1512</f>
        <v>Effektivitetsförbättringar jämfört med basvärde</v>
      </c>
      <c r="F624" s="2717"/>
      <c r="G624" s="2717"/>
      <c r="H624" s="2717"/>
      <c r="I624" s="2720"/>
      <c r="J624" s="1013" t="str">
        <f>IF(J623="","",IF(SUM($I623)=0,IF(J623=0,0%,100%),1-J623/$I623))</f>
        <v/>
      </c>
      <c r="K624" s="938" t="str">
        <f>IF(K623="","",IF(SUM($I623)=0,IF(K623=0,0%,100%),1-K623/$I623))</f>
        <v/>
      </c>
      <c r="L624" s="938" t="str">
        <f>IF(L623="","",IF(SUM($I623)=0,IF(L623=0,0%,100%),1-L623/$I623))</f>
        <v/>
      </c>
      <c r="M624" s="938" t="str">
        <f>IF(M623="","",IF(SUM($I623)=0,IF(M623=0,0%,100%),1-M623/$I623))</f>
        <v/>
      </c>
      <c r="N624" s="1223" t="str">
        <f>IF(N623="","",IF(SUM($I623)=0,IF(N623=0,0%,100%),1-N623/$I623))</f>
        <v/>
      </c>
      <c r="O624" s="15"/>
      <c r="P624" s="6"/>
      <c r="Q624" s="165" t="str">
        <f>EUconst_CNTR_EnEffPct&amp;I529</f>
        <v>EnEffPct_Delanläggning med bränsleriktmärke, KL</v>
      </c>
      <c r="R624" s="2"/>
      <c r="S624" s="2"/>
      <c r="T624" s="2"/>
      <c r="U624" s="1079" t="s">
        <v>1855</v>
      </c>
      <c r="V624" s="603" t="str">
        <f>IF(J623="","",J624&gt;15%)</f>
        <v/>
      </c>
      <c r="W624" s="603" t="str">
        <f>IF(K623="","",K624&gt;15%)</f>
        <v/>
      </c>
      <c r="X624" s="603" t="str">
        <f>IF(L623="","",L624&gt;15%)</f>
        <v/>
      </c>
      <c r="Y624" s="603" t="str">
        <f>IF(M623="","",M624&gt;15%)</f>
        <v/>
      </c>
      <c r="Z624" s="1756" t="str">
        <f>IF(N623="","",N624&gt;15%)</f>
        <v/>
      </c>
      <c r="AA624" s="2"/>
      <c r="AB624" s="343"/>
      <c r="AC624" s="2"/>
      <c r="AD624" s="2"/>
      <c r="AE624" s="2"/>
      <c r="AF624" s="2"/>
      <c r="AG624" s="2"/>
      <c r="AH624" s="2"/>
      <c r="AI624" s="2"/>
      <c r="AJ624" s="2"/>
      <c r="AK624" s="2"/>
      <c r="AL624" s="2"/>
      <c r="AM624" s="349"/>
    </row>
    <row r="625" spans="1:39" ht="5.15" customHeight="1" x14ac:dyDescent="0.25">
      <c r="A625" s="343"/>
      <c r="B625" s="178"/>
      <c r="C625" s="19"/>
      <c r="D625" s="1242"/>
      <c r="E625" s="1244"/>
      <c r="F625" s="1244"/>
      <c r="G625" s="1244"/>
      <c r="H625" s="1244"/>
      <c r="I625" s="1244"/>
      <c r="J625" s="1244"/>
      <c r="K625" s="1244"/>
      <c r="L625" s="1244"/>
      <c r="M625" s="1244"/>
      <c r="N625" s="1248"/>
      <c r="O625" s="15"/>
      <c r="P625" s="6"/>
      <c r="Q625" s="343"/>
      <c r="R625" s="2"/>
      <c r="S625" s="2"/>
      <c r="T625" s="2"/>
      <c r="U625" s="1086"/>
      <c r="V625" s="936"/>
      <c r="W625" s="936"/>
      <c r="X625" s="936"/>
      <c r="Y625" s="936"/>
      <c r="Z625" s="1090"/>
      <c r="AA625" s="2"/>
      <c r="AB625" s="343"/>
      <c r="AC625" s="2"/>
      <c r="AD625" s="2"/>
      <c r="AE625" s="349"/>
      <c r="AF625" s="349"/>
      <c r="AG625" s="349"/>
      <c r="AH625" s="349"/>
      <c r="AI625" s="349"/>
      <c r="AJ625" s="349"/>
      <c r="AK625" s="349"/>
      <c r="AL625" s="349"/>
      <c r="AM625" s="349"/>
    </row>
    <row r="626" spans="1:39" ht="12.75" customHeight="1" x14ac:dyDescent="0.25">
      <c r="A626" s="2"/>
      <c r="B626" s="178"/>
      <c r="C626" s="19"/>
      <c r="D626" s="1290" t="s">
        <v>1983</v>
      </c>
      <c r="E626" s="2709" t="str">
        <f>Translations!$B$1513</f>
        <v>Justeringar: Absolut tröskelvärde</v>
      </c>
      <c r="F626" s="2710"/>
      <c r="G626" s="2710"/>
      <c r="H626" s="2710"/>
      <c r="I626" s="2710"/>
      <c r="J626" s="2710"/>
      <c r="K626" s="2710"/>
      <c r="L626" s="2710"/>
      <c r="M626" s="2710"/>
      <c r="N626" s="2711"/>
      <c r="O626" s="15"/>
      <c r="P626" s="6"/>
      <c r="Q626" s="343"/>
      <c r="R626" s="2"/>
      <c r="S626" s="2"/>
      <c r="T626" s="2"/>
      <c r="U626" s="1086"/>
      <c r="V626" s="343"/>
      <c r="W626" s="2"/>
      <c r="X626" s="2"/>
      <c r="Y626" s="2"/>
      <c r="Z626" s="228"/>
      <c r="AA626" s="2"/>
      <c r="AB626" s="343"/>
      <c r="AC626" s="2"/>
      <c r="AD626" s="2"/>
      <c r="AE626" s="349"/>
      <c r="AF626" s="349"/>
      <c r="AG626" s="349"/>
      <c r="AH626" s="349"/>
      <c r="AI626" s="349"/>
      <c r="AJ626" s="349"/>
      <c r="AK626" s="349"/>
      <c r="AL626" s="349"/>
      <c r="AM626" s="349"/>
    </row>
    <row r="627" spans="1:39" ht="12.75" customHeight="1" x14ac:dyDescent="0.25">
      <c r="A627" s="2"/>
      <c r="B627" s="178"/>
      <c r="C627" s="19"/>
      <c r="D627" s="1242"/>
      <c r="E627" s="1234" t="str">
        <f>Translations!$B$1514</f>
        <v>Absolut tröskelvärde</v>
      </c>
      <c r="F627" s="1234"/>
      <c r="G627" s="1234"/>
      <c r="H627" s="1234"/>
      <c r="I627" s="1234"/>
      <c r="J627" s="1268">
        <f>J$950</f>
        <v>2021</v>
      </c>
      <c r="K627" s="1230">
        <f>K$950</f>
        <v>2022</v>
      </c>
      <c r="L627" s="1230">
        <f>L$950</f>
        <v>2023</v>
      </c>
      <c r="M627" s="1230">
        <f>M$950</f>
        <v>2024</v>
      </c>
      <c r="N627" s="1245">
        <f>N$950</f>
        <v>2025</v>
      </c>
      <c r="O627" s="15"/>
      <c r="P627" s="6"/>
      <c r="Q627" s="343"/>
      <c r="R627" s="2"/>
      <c r="S627" s="2"/>
      <c r="T627" s="2"/>
      <c r="U627" s="1086"/>
      <c r="V627" s="2"/>
      <c r="W627" s="2"/>
      <c r="X627" s="2"/>
      <c r="Y627" s="2"/>
      <c r="Z627" s="228"/>
      <c r="AA627" s="2"/>
      <c r="AB627" s="343"/>
      <c r="AC627" s="2"/>
      <c r="AD627" s="2"/>
      <c r="AE627" s="349"/>
      <c r="AF627" s="349"/>
      <c r="AG627" s="349"/>
      <c r="AH627" s="349"/>
      <c r="AI627" s="349"/>
      <c r="AJ627" s="349"/>
      <c r="AK627" s="349"/>
      <c r="AL627" s="349"/>
      <c r="AM627" s="349"/>
    </row>
    <row r="628" spans="1:39" ht="12.75" customHeight="1" x14ac:dyDescent="0.25">
      <c r="A628" s="343"/>
      <c r="B628" s="178"/>
      <c r="C628" s="19"/>
      <c r="D628" s="1242"/>
      <c r="E628" s="2712" t="str">
        <f>Translations!$B$1476</f>
        <v>&gt;= 100 utsläppsrätter kriterium uppnått?</v>
      </c>
      <c r="F628" s="2712"/>
      <c r="G628" s="2712"/>
      <c r="H628" s="2712"/>
      <c r="I628" s="2714"/>
      <c r="J628" s="994" t="str">
        <f>IF($M529&lt;&gt;EUconst_Relevant,"",INDEX(K_Summary!J:J,MATCH($Q628,K_Summary!$P:$P,0)))</f>
        <v/>
      </c>
      <c r="K628" s="912" t="str">
        <f>IF($M529&lt;&gt;EUconst_Relevant,"",INDEX(K_Summary!K:K,MATCH($Q628,K_Summary!$P:$P,0)))</f>
        <v/>
      </c>
      <c r="L628" s="912" t="str">
        <f>IF($M529&lt;&gt;EUconst_Relevant,"",INDEX(K_Summary!L:L,MATCH($Q628,K_Summary!$P:$P,0)))</f>
        <v/>
      </c>
      <c r="M628" s="912" t="str">
        <f>IF($M529&lt;&gt;EUconst_Relevant,"",INDEX(K_Summary!M:M,MATCH($Q628,K_Summary!$P:$P,0)))</f>
        <v/>
      </c>
      <c r="N628" s="1221" t="str">
        <f>IF($M529&lt;&gt;EUconst_Relevant,"",INDEX(K_Summary!N:N,MATCH($Q628,K_Summary!$P:$P,0)))</f>
        <v/>
      </c>
      <c r="O628" s="15"/>
      <c r="P628" s="6"/>
      <c r="Q628" s="165" t="str">
        <f>EUconst_CNTR_100EUA_ActivityLevel&amp;I529</f>
        <v>EUA100AL_Delanläggning med bränsleriktmärke, KL</v>
      </c>
      <c r="R628" s="2"/>
      <c r="S628" s="2"/>
      <c r="T628" s="2"/>
      <c r="U628" s="1086"/>
      <c r="V628" s="2"/>
      <c r="W628" s="2"/>
      <c r="X628" s="2"/>
      <c r="Y628" s="2"/>
      <c r="Z628" s="228"/>
      <c r="AA628" s="2"/>
      <c r="AB628" s="343"/>
      <c r="AC628" s="2"/>
      <c r="AD628" s="2"/>
      <c r="AE628" s="349"/>
      <c r="AF628" s="349"/>
      <c r="AG628" s="349"/>
      <c r="AH628" s="349"/>
      <c r="AI628" s="349"/>
      <c r="AJ628" s="349"/>
      <c r="AK628" s="349"/>
      <c r="AL628" s="349"/>
      <c r="AM628" s="349"/>
    </row>
    <row r="629" spans="1:39" ht="5.15" customHeight="1" x14ac:dyDescent="0.25">
      <c r="A629" s="343"/>
      <c r="B629" s="178"/>
      <c r="C629" s="19"/>
      <c r="D629" s="1242"/>
      <c r="E629" s="1244"/>
      <c r="F629" s="1244"/>
      <c r="G629" s="1244"/>
      <c r="H629" s="1244"/>
      <c r="I629" s="1244"/>
      <c r="J629" s="1244"/>
      <c r="K629" s="1244"/>
      <c r="L629" s="1244"/>
      <c r="M629" s="1244"/>
      <c r="N629" s="1248"/>
      <c r="O629" s="15"/>
      <c r="P629" s="6"/>
      <c r="Q629" s="343"/>
      <c r="R629" s="2"/>
      <c r="S629" s="2"/>
      <c r="T629" s="2"/>
      <c r="U629" s="1086"/>
      <c r="V629" s="343"/>
      <c r="W629" s="2"/>
      <c r="X629" s="2"/>
      <c r="Y629" s="2"/>
      <c r="Z629" s="228"/>
      <c r="AA629" s="2"/>
      <c r="AB629" s="343"/>
      <c r="AC629" s="2"/>
      <c r="AD629" s="2"/>
      <c r="AE629" s="349"/>
      <c r="AF629" s="349"/>
      <c r="AG629" s="349"/>
      <c r="AH629" s="349"/>
      <c r="AI629" s="349"/>
      <c r="AJ629" s="349"/>
      <c r="AK629" s="349"/>
      <c r="AL629" s="349"/>
      <c r="AM629" s="349"/>
    </row>
    <row r="630" spans="1:39" ht="12.75" customHeight="1" x14ac:dyDescent="0.25">
      <c r="A630" s="2"/>
      <c r="B630" s="178"/>
      <c r="C630" s="19"/>
      <c r="D630" s="1290" t="s">
        <v>1984</v>
      </c>
      <c r="E630" s="2709" t="str">
        <f>Translations!$B$1515</f>
        <v>Bestämning av justering av faktisk verksamhetsnivå inklusive effektivitetsändringar</v>
      </c>
      <c r="F630" s="2710"/>
      <c r="G630" s="2710"/>
      <c r="H630" s="2710"/>
      <c r="I630" s="2710"/>
      <c r="J630" s="2710"/>
      <c r="K630" s="2710"/>
      <c r="L630" s="2710"/>
      <c r="M630" s="2710"/>
      <c r="N630" s="2711"/>
      <c r="O630" s="15"/>
      <c r="P630" s="6"/>
      <c r="Q630" s="343"/>
      <c r="R630" s="2"/>
      <c r="S630" s="2"/>
      <c r="T630" s="2"/>
      <c r="U630" s="1086"/>
      <c r="V630" s="343"/>
      <c r="W630" s="2"/>
      <c r="X630" s="2"/>
      <c r="Y630" s="2"/>
      <c r="Z630" s="228"/>
      <c r="AA630" s="2"/>
      <c r="AB630" s="343"/>
      <c r="AC630" s="2"/>
      <c r="AD630" s="2"/>
      <c r="AE630" s="349"/>
      <c r="AF630" s="349"/>
      <c r="AG630" s="349"/>
      <c r="AH630" s="349"/>
      <c r="AI630" s="349"/>
      <c r="AJ630" s="349"/>
      <c r="AK630" s="349"/>
      <c r="AL630" s="349"/>
      <c r="AM630" s="349"/>
    </row>
    <row r="631" spans="1:39" ht="12.75" customHeight="1" x14ac:dyDescent="0.25">
      <c r="A631" s="2"/>
      <c r="B631" s="178"/>
      <c r="C631" s="19"/>
      <c r="D631" s="1242"/>
      <c r="E631" s="1234" t="str">
        <f>Translations!$B$1475</f>
        <v>Faktisk justering (grund för följande år)</v>
      </c>
      <c r="F631" s="1234"/>
      <c r="G631" s="1234"/>
      <c r="H631" s="1234"/>
      <c r="I631" s="1234"/>
      <c r="J631" s="1268">
        <f>J$950</f>
        <v>2021</v>
      </c>
      <c r="K631" s="1230">
        <f>K$950</f>
        <v>2022</v>
      </c>
      <c r="L631" s="1230">
        <f>L$950</f>
        <v>2023</v>
      </c>
      <c r="M631" s="1230">
        <f>M$950</f>
        <v>2024</v>
      </c>
      <c r="N631" s="1245">
        <f>N$950</f>
        <v>2025</v>
      </c>
      <c r="O631" s="15"/>
      <c r="P631" s="6"/>
      <c r="Q631" s="343"/>
      <c r="R631" s="2"/>
      <c r="S631" s="2"/>
      <c r="T631" s="2"/>
      <c r="U631" s="584"/>
      <c r="V631" s="2"/>
      <c r="W631" s="2"/>
      <c r="X631" s="2"/>
      <c r="Y631" s="2"/>
      <c r="Z631" s="228"/>
      <c r="AA631" s="2"/>
      <c r="AB631" s="343"/>
      <c r="AC631" s="2"/>
      <c r="AD631" s="2"/>
      <c r="AE631" s="349"/>
      <c r="AF631" s="349"/>
      <c r="AG631" s="349"/>
      <c r="AH631" s="349"/>
      <c r="AI631" s="349"/>
      <c r="AJ631" s="349"/>
      <c r="AK631" s="349"/>
      <c r="AL631" s="349"/>
      <c r="AM631" s="349"/>
    </row>
    <row r="632" spans="1:39" ht="12.75" customHeight="1" x14ac:dyDescent="0.25">
      <c r="A632" s="2"/>
      <c r="B632" s="178"/>
      <c r="C632" s="19"/>
      <c r="D632" s="1246" t="s">
        <v>8</v>
      </c>
      <c r="E632" s="2712" t="str">
        <f>Translations!$B$1516</f>
        <v>Behövs godkännande från behörig myndighet?</v>
      </c>
      <c r="F632" s="2712"/>
      <c r="G632" s="2712"/>
      <c r="H632" s="2712"/>
      <c r="I632" s="2714"/>
      <c r="J632" s="994" t="str">
        <f>IF($M529&lt;&gt;EUconst_Relevant,"",AND(J628,OR(AND(SUM(J546)&lt;-15%,SUM(J624)&gt;15%),AND(SUM(J546)&gt;15%,SUM(J624&lt;-15%)))))</f>
        <v/>
      </c>
      <c r="K632" s="912" t="str">
        <f>IF($M529&lt;&gt;EUconst_Relevant,"",AND(K628,OR(AND(SUM(K546)&lt;-15%,SUM(K624)&gt;15%),AND(SUM(K546)&gt;15%,SUM(K624&lt;-15%)))))</f>
        <v/>
      </c>
      <c r="L632" s="912" t="str">
        <f>IF($M529&lt;&gt;EUconst_Relevant,"",AND(L628,OR(AND(SUM(L546)&lt;-15%,SUM(L624)&gt;15%),AND(SUM(L546)&gt;15%,SUM(L624&lt;-15%)))))</f>
        <v/>
      </c>
      <c r="M632" s="912" t="str">
        <f>IF($M529&lt;&gt;EUconst_Relevant,"",AND(M628,OR(AND(SUM(M546)&lt;-15%,SUM(M624)&gt;15%),AND(SUM(M546)&gt;15%,SUM(M624&lt;-15%)))))</f>
        <v/>
      </c>
      <c r="N632" s="1221" t="str">
        <f>IF($M529&lt;&gt;EUconst_Relevant,"",AND(N628,OR(AND(SUM(N546)&lt;-15%,SUM(N624)&gt;15%),AND(SUM(N546)&gt;15%,SUM(N624&lt;-15%)))))</f>
        <v/>
      </c>
      <c r="O632" s="15"/>
      <c r="P632" s="6"/>
      <c r="Q632" s="165" t="str">
        <f>EUconst_CNTR_CARejectionRelevant&amp;I529</f>
        <v>CARejectRel_Delanläggning med bränsleriktmärke, KL</v>
      </c>
      <c r="R632" s="2"/>
      <c r="S632" s="2"/>
      <c r="T632" s="2"/>
      <c r="U632" s="1086"/>
      <c r="V632" s="343"/>
      <c r="W632" s="2"/>
      <c r="X632" s="2"/>
      <c r="Y632" s="2"/>
      <c r="Z632" s="228"/>
      <c r="AA632" s="2"/>
      <c r="AB632" s="343"/>
      <c r="AC632" s="2"/>
      <c r="AD632" s="2"/>
      <c r="AE632" s="349"/>
      <c r="AF632" s="349"/>
      <c r="AG632" s="349"/>
      <c r="AH632" s="349"/>
      <c r="AI632" s="349"/>
      <c r="AJ632" s="349"/>
      <c r="AK632" s="349"/>
      <c r="AL632" s="349"/>
      <c r="AM632" s="349"/>
    </row>
    <row r="633" spans="1:39" ht="25.5" customHeight="1" x14ac:dyDescent="0.25">
      <c r="A633" s="2"/>
      <c r="B633" s="19"/>
      <c r="C633" s="19"/>
      <c r="D633" s="1256"/>
      <c r="E633" s="2713" t="str">
        <f>Translations!$B$1517</f>
        <v>Om ”SANT” visas här har antingen den genomsnittliga verksamhetsnivån minskat med 15 % jämfört med den historiska verksamhetsnivån samtidigt som energieffektiviteten har ökat med mer än 15 %, eller tvärtom. Om detta är fallet bedömer den behöriga myndigheten (se ii nedan) huruvida tilldelningen ska justeras.</v>
      </c>
      <c r="F633" s="2710"/>
      <c r="G633" s="2710"/>
      <c r="H633" s="2710"/>
      <c r="I633" s="2710"/>
      <c r="J633" s="2710"/>
      <c r="K633" s="2710"/>
      <c r="L633" s="2710"/>
      <c r="M633" s="2710"/>
      <c r="N633" s="2711"/>
      <c r="O633" s="15"/>
      <c r="P633" s="6"/>
      <c r="Q633" s="2"/>
      <c r="R633" s="2"/>
      <c r="S633" s="2"/>
      <c r="T633" s="2"/>
      <c r="U633" s="1086"/>
      <c r="V633" s="2"/>
      <c r="W633" s="2"/>
      <c r="X633" s="2"/>
      <c r="Y633" s="2"/>
      <c r="Z633" s="228"/>
      <c r="AA633" s="343"/>
      <c r="AB633" s="343"/>
      <c r="AC633" s="2"/>
      <c r="AD633" s="2"/>
      <c r="AE633" s="349"/>
      <c r="AF633" s="349"/>
      <c r="AG633" s="349"/>
      <c r="AH633" s="349"/>
      <c r="AI633" s="349"/>
      <c r="AJ633" s="349"/>
      <c r="AK633" s="349"/>
      <c r="AL633" s="349"/>
      <c r="AM633" s="349"/>
    </row>
    <row r="634" spans="1:39" ht="12.75" customHeight="1" x14ac:dyDescent="0.25">
      <c r="A634" s="2"/>
      <c r="B634" s="19"/>
      <c r="C634" s="19"/>
      <c r="D634" s="1256"/>
      <c r="E634" s="2713" t="str">
        <f>Translations!$B$1518</f>
        <v>Detta beslut bygger på huruvida det kan bevisas att ändringarna av verksamhetsnivån kan förklaras av den ändrade energieffektiviteten.</v>
      </c>
      <c r="F634" s="2710"/>
      <c r="G634" s="2710"/>
      <c r="H634" s="2710"/>
      <c r="I634" s="2710"/>
      <c r="J634" s="2710"/>
      <c r="K634" s="2710"/>
      <c r="L634" s="2710"/>
      <c r="M634" s="2710"/>
      <c r="N634" s="2711"/>
      <c r="O634" s="15"/>
      <c r="P634" s="6"/>
      <c r="Q634" s="2"/>
      <c r="R634" s="2"/>
      <c r="S634" s="2"/>
      <c r="T634" s="2"/>
      <c r="U634" s="1086"/>
      <c r="V634" s="2"/>
      <c r="W634" s="2"/>
      <c r="X634" s="2"/>
      <c r="Y634" s="2"/>
      <c r="Z634" s="228"/>
      <c r="AA634" s="343"/>
      <c r="AB634" s="343"/>
      <c r="AC634" s="2"/>
      <c r="AD634" s="2"/>
      <c r="AE634" s="349"/>
      <c r="AF634" s="349"/>
      <c r="AG634" s="349"/>
      <c r="AH634" s="349"/>
      <c r="AI634" s="349"/>
      <c r="AJ634" s="349"/>
      <c r="AK634" s="349"/>
      <c r="AL634" s="349"/>
      <c r="AM634" s="349"/>
    </row>
    <row r="635" spans="1:39" ht="5.15" customHeight="1" x14ac:dyDescent="0.25">
      <c r="A635" s="2"/>
      <c r="B635" s="178"/>
      <c r="C635" s="19"/>
      <c r="D635" s="1246"/>
      <c r="E635" s="1244"/>
      <c r="F635" s="1244"/>
      <c r="G635" s="1244"/>
      <c r="H635" s="1244"/>
      <c r="I635" s="1244"/>
      <c r="J635" s="1244"/>
      <c r="K635" s="1244"/>
      <c r="L635" s="1244"/>
      <c r="M635" s="1244"/>
      <c r="N635" s="1248"/>
      <c r="O635" s="15"/>
      <c r="P635" s="6"/>
      <c r="Q635" s="343"/>
      <c r="R635" s="2"/>
      <c r="S635" s="2"/>
      <c r="T635" s="2"/>
      <c r="U635" s="1086"/>
      <c r="V635" s="343"/>
      <c r="W635" s="2"/>
      <c r="X635" s="2"/>
      <c r="Y635" s="2"/>
      <c r="Z635" s="228"/>
      <c r="AA635" s="2"/>
      <c r="AB635" s="343"/>
      <c r="AC635" s="2"/>
      <c r="AD635" s="2"/>
      <c r="AE635" s="349"/>
      <c r="AF635" s="349"/>
      <c r="AG635" s="349"/>
      <c r="AH635" s="349"/>
      <c r="AI635" s="349"/>
      <c r="AJ635" s="349"/>
      <c r="AK635" s="349"/>
      <c r="AL635" s="349"/>
      <c r="AM635" s="349"/>
    </row>
    <row r="636" spans="1:39" ht="12.75" customHeight="1" x14ac:dyDescent="0.25">
      <c r="A636" s="2"/>
      <c r="B636" s="178"/>
      <c r="C636" s="19"/>
      <c r="D636" s="1246" t="s">
        <v>9</v>
      </c>
      <c r="E636" s="2712" t="str">
        <f>Translations!$B$1519</f>
        <v>Behörig myndighet avslår justeringen?</v>
      </c>
      <c r="F636" s="2717"/>
      <c r="G636" s="2717"/>
      <c r="H636" s="2717"/>
      <c r="I636" s="2720"/>
      <c r="J636" s="1725" t="b">
        <v>0</v>
      </c>
      <c r="K636" s="1726" t="b">
        <v>0</v>
      </c>
      <c r="L636" s="1726" t="b">
        <v>0</v>
      </c>
      <c r="M636" s="1726" t="b">
        <v>0</v>
      </c>
      <c r="N636" s="1727" t="b">
        <v>0</v>
      </c>
      <c r="O636" s="15"/>
      <c r="P636" s="1362"/>
      <c r="Q636" s="165" t="str">
        <f>EUconst_CNTR_CARejection &amp; I529</f>
        <v>CAReject_Delanläggning med bränsleriktmärke, KL</v>
      </c>
      <c r="R636" s="2"/>
      <c r="S636" s="2"/>
      <c r="T636" s="2"/>
      <c r="U636" s="1086"/>
      <c r="V636" s="343"/>
      <c r="W636" s="2"/>
      <c r="X636" s="2"/>
      <c r="Y636" s="2"/>
      <c r="Z636" s="228"/>
      <c r="AA636" s="2"/>
      <c r="AB636" s="2"/>
      <c r="AC636" s="2"/>
      <c r="AD636" s="343" t="s">
        <v>1213</v>
      </c>
      <c r="AE636" s="1528" t="b">
        <f>AND($M529=EUconst_Relevant,J632=FALSE)</f>
        <v>0</v>
      </c>
      <c r="AF636" s="165" t="b">
        <f>AND($M529=EUconst_Relevant,K632=FALSE)</f>
        <v>0</v>
      </c>
      <c r="AG636" s="165" t="b">
        <f>AND($M529=EUconst_Relevant,L632=FALSE)</f>
        <v>0</v>
      </c>
      <c r="AH636" s="165" t="b">
        <f>AND($M529=EUconst_Relevant,M632=FALSE)</f>
        <v>0</v>
      </c>
      <c r="AI636" s="165" t="b">
        <f>AND($M529=EUconst_Relevant,N632=FALSE)</f>
        <v>0</v>
      </c>
      <c r="AJ636" s="349"/>
      <c r="AK636" s="349"/>
      <c r="AL636" s="349"/>
      <c r="AM636" s="349"/>
    </row>
    <row r="637" spans="1:39" ht="12.75" customHeight="1" x14ac:dyDescent="0.25">
      <c r="A637" s="2"/>
      <c r="B637" s="19"/>
      <c r="C637" s="19"/>
      <c r="D637" s="1256"/>
      <c r="E637" s="2722" t="str">
        <f>Translations!$B$1520</f>
        <v>VIKTIG ANMÄRKNING: Det här avsnittet är reserverat för den behöriga myndigheten, och du ska endast fylla i det om den behöriga myndigheten har anvisat detta.</v>
      </c>
      <c r="F637" s="2709"/>
      <c r="G637" s="2709"/>
      <c r="H637" s="2709"/>
      <c r="I637" s="2709"/>
      <c r="J637" s="2709"/>
      <c r="K637" s="2709"/>
      <c r="L637" s="2709"/>
      <c r="M637" s="2709"/>
      <c r="N637" s="2723"/>
      <c r="O637" s="15"/>
      <c r="P637" s="6"/>
      <c r="Q637" s="2"/>
      <c r="R637" s="2"/>
      <c r="S637" s="2"/>
      <c r="T637" s="2"/>
      <c r="U637" s="1086"/>
      <c r="V637" s="2"/>
      <c r="W637" s="2"/>
      <c r="X637" s="2"/>
      <c r="Y637" s="2"/>
      <c r="Z637" s="228"/>
      <c r="AA637" s="343"/>
      <c r="AB637" s="343"/>
      <c r="AC637" s="2"/>
      <c r="AD637" s="2"/>
      <c r="AE637" s="349"/>
      <c r="AF637" s="349"/>
      <c r="AG637" s="349"/>
      <c r="AH637" s="349"/>
      <c r="AI637" s="349"/>
      <c r="AJ637" s="349"/>
      <c r="AK637" s="349"/>
      <c r="AL637" s="349"/>
      <c r="AM637" s="349"/>
    </row>
    <row r="638" spans="1:39" ht="12.75" customHeight="1" x14ac:dyDescent="0.25">
      <c r="A638" s="2"/>
      <c r="B638" s="19"/>
      <c r="C638" s="19"/>
      <c r="D638" s="1256"/>
      <c r="E638" s="2713" t="str">
        <f>Translations!$B$1521</f>
        <v>Enligt artikel 6.1 och 6.2 kan den behöriga myndigheten avslå justering av gratis tilldelning. Välj SANT här för att avslå en eventuell justering i förekommande fall.</v>
      </c>
      <c r="F638" s="2710"/>
      <c r="G638" s="2710"/>
      <c r="H638" s="2710"/>
      <c r="I638" s="2710"/>
      <c r="J638" s="2710"/>
      <c r="K638" s="2710"/>
      <c r="L638" s="2710"/>
      <c r="M638" s="2710"/>
      <c r="N638" s="2711"/>
      <c r="O638" s="15"/>
      <c r="P638" s="6"/>
      <c r="Q638" s="2"/>
      <c r="R638" s="2"/>
      <c r="S638" s="2"/>
      <c r="T638" s="2"/>
      <c r="U638" s="1086"/>
      <c r="V638" s="2"/>
      <c r="W638" s="2"/>
      <c r="X638" s="2"/>
      <c r="Y638" s="2"/>
      <c r="Z638" s="228"/>
      <c r="AA638" s="343"/>
      <c r="AB638" s="343"/>
      <c r="AC638" s="2"/>
      <c r="AD638" s="2"/>
      <c r="AE638" s="349"/>
      <c r="AF638" s="349"/>
      <c r="AG638" s="349"/>
      <c r="AH638" s="349"/>
      <c r="AI638" s="349"/>
      <c r="AJ638" s="349"/>
      <c r="AK638" s="349"/>
      <c r="AL638" s="349"/>
      <c r="AM638" s="349"/>
    </row>
    <row r="639" spans="1:39" ht="25.5" customHeight="1" x14ac:dyDescent="0.25">
      <c r="A639" s="2"/>
      <c r="B639" s="19"/>
      <c r="C639" s="19"/>
      <c r="D639" s="1256"/>
      <c r="E639" s="2713" t="str">
        <f>Translations!$B$1522</f>
        <v>Som standard kommer tomma fält här att behandlas som icke-avslag (dvs. FALSKT) för att utföra de följande beräkningarna i mallen. Du kan därför fortsätta med inlämningen av rapporten. Den behöriga myndigheten kan fatta ett beslut vid ett senare tillfälle som leder till att mallen måste lämnas in på nytt.</v>
      </c>
      <c r="F639" s="2710"/>
      <c r="G639" s="2710"/>
      <c r="H639" s="2710"/>
      <c r="I639" s="2710"/>
      <c r="J639" s="2710"/>
      <c r="K639" s="2710"/>
      <c r="L639" s="2710"/>
      <c r="M639" s="2710"/>
      <c r="N639" s="2711"/>
      <c r="O639" s="15"/>
      <c r="P639" s="6"/>
      <c r="Q639" s="2"/>
      <c r="R639" s="2"/>
      <c r="S639" s="2"/>
      <c r="T639" s="2"/>
      <c r="U639" s="1086"/>
      <c r="V639" s="2"/>
      <c r="W639" s="2"/>
      <c r="X639" s="2"/>
      <c r="Y639" s="2"/>
      <c r="Z639" s="228"/>
      <c r="AA639" s="343"/>
      <c r="AB639" s="343"/>
      <c r="AC639" s="2"/>
      <c r="AD639" s="2"/>
      <c r="AE639" s="349"/>
      <c r="AF639" s="349"/>
      <c r="AG639" s="349"/>
      <c r="AH639" s="349"/>
      <c r="AI639" s="349"/>
      <c r="AJ639" s="349"/>
      <c r="AK639" s="349"/>
      <c r="AL639" s="349"/>
      <c r="AM639" s="349"/>
    </row>
    <row r="640" spans="1:39" ht="5.15" customHeight="1" x14ac:dyDescent="0.25">
      <c r="A640" s="2"/>
      <c r="B640" s="178"/>
      <c r="C640" s="19"/>
      <c r="D640" s="1242"/>
      <c r="E640" s="1244"/>
      <c r="F640" s="1244"/>
      <c r="G640" s="1244"/>
      <c r="H640" s="1244"/>
      <c r="I640" s="1244"/>
      <c r="J640" s="1244"/>
      <c r="K640" s="1244"/>
      <c r="L640" s="1244"/>
      <c r="M640" s="1244"/>
      <c r="N640" s="1248"/>
      <c r="O640" s="15"/>
      <c r="P640" s="6"/>
      <c r="Q640" s="343"/>
      <c r="R640" s="2"/>
      <c r="S640" s="2"/>
      <c r="T640" s="2"/>
      <c r="U640" s="1086"/>
      <c r="V640" s="343"/>
      <c r="W640" s="2"/>
      <c r="X640" s="2"/>
      <c r="Y640" s="2"/>
      <c r="Z640" s="228"/>
      <c r="AA640" s="2"/>
      <c r="AB640" s="343"/>
      <c r="AC640" s="2"/>
      <c r="AD640" s="2"/>
      <c r="AE640" s="349"/>
      <c r="AF640" s="349"/>
      <c r="AG640" s="349"/>
      <c r="AH640" s="349"/>
      <c r="AI640" s="349"/>
      <c r="AJ640" s="349"/>
      <c r="AK640" s="349"/>
      <c r="AL640" s="349"/>
      <c r="AM640" s="349"/>
    </row>
    <row r="641" spans="1:39" ht="12.75" customHeight="1" x14ac:dyDescent="0.25">
      <c r="A641" s="2"/>
      <c r="B641" s="178"/>
      <c r="C641" s="19"/>
      <c r="D641" s="1290" t="s">
        <v>2146</v>
      </c>
      <c r="E641" s="2709" t="str">
        <f>Translations!$B$1515</f>
        <v>Bestämning av justering av faktisk verksamhetsnivå inklusive effektivitetsändringar</v>
      </c>
      <c r="F641" s="2710"/>
      <c r="G641" s="2710"/>
      <c r="H641" s="2710"/>
      <c r="I641" s="2710"/>
      <c r="J641" s="2710"/>
      <c r="K641" s="2710"/>
      <c r="L641" s="2710"/>
      <c r="M641" s="2710"/>
      <c r="N641" s="2711"/>
      <c r="O641" s="15"/>
      <c r="P641" s="6"/>
      <c r="Q641" s="343"/>
      <c r="R641" s="2"/>
      <c r="S641" s="2"/>
      <c r="T641" s="2"/>
      <c r="U641" s="1086"/>
      <c r="V641" s="343"/>
      <c r="W641" s="2"/>
      <c r="X641" s="2"/>
      <c r="Y641" s="2"/>
      <c r="Z641" s="228"/>
      <c r="AA641" s="2"/>
      <c r="AB641" s="343"/>
      <c r="AC641" s="2"/>
      <c r="AD641" s="2"/>
      <c r="AE641" s="349"/>
      <c r="AF641" s="349"/>
      <c r="AG641" s="349"/>
      <c r="AH641" s="349"/>
      <c r="AI641" s="349"/>
      <c r="AJ641" s="349"/>
      <c r="AK641" s="349"/>
      <c r="AL641" s="349"/>
      <c r="AM641" s="349"/>
    </row>
    <row r="642" spans="1:39" ht="12.75" customHeight="1" thickBot="1" x14ac:dyDescent="0.3">
      <c r="A642" s="2"/>
      <c r="B642" s="19"/>
      <c r="C642" s="19"/>
      <c r="D642" s="1256"/>
      <c r="E642" s="2713" t="str">
        <f>Translations!$B$1523</f>
        <v>Detta är det slutgiltiga resultatet som tar hänsyn till eventuella ändringar av energieffektiviteten samt den behöriga myndighetens beslut, i förekommande fall.</v>
      </c>
      <c r="F642" s="2710"/>
      <c r="G642" s="2710"/>
      <c r="H642" s="2710"/>
      <c r="I642" s="2710"/>
      <c r="J642" s="2710"/>
      <c r="K642" s="2710"/>
      <c r="L642" s="2710"/>
      <c r="M642" s="2710"/>
      <c r="N642" s="2711"/>
      <c r="O642" s="6"/>
      <c r="P642" s="6"/>
      <c r="Q642" s="2"/>
      <c r="R642" s="2"/>
      <c r="S642" s="2"/>
      <c r="T642" s="2"/>
      <c r="U642" s="1086"/>
      <c r="V642" s="2"/>
      <c r="W642" s="2"/>
      <c r="X642" s="2"/>
      <c r="Y642" s="2"/>
      <c r="Z642" s="228"/>
      <c r="AA642" s="343"/>
      <c r="AB642" s="343"/>
      <c r="AC642" s="2"/>
      <c r="AD642" s="2"/>
      <c r="AE642" s="349"/>
      <c r="AF642" s="349"/>
      <c r="AG642" s="349"/>
      <c r="AH642" s="349"/>
      <c r="AI642" s="349"/>
      <c r="AJ642" s="349"/>
      <c r="AK642" s="349"/>
      <c r="AL642" s="349"/>
      <c r="AM642" s="349"/>
    </row>
    <row r="643" spans="1:39" ht="12.75" customHeight="1" thickBot="1" x14ac:dyDescent="0.3">
      <c r="A643" s="2"/>
      <c r="B643" s="178"/>
      <c r="C643" s="19"/>
      <c r="D643" s="1246"/>
      <c r="E643" s="2712" t="str">
        <f>Translations!$B$1477</f>
        <v>Faktisk justering (om alla tröskelvärden överskrids)</v>
      </c>
      <c r="F643" s="2712"/>
      <c r="G643" s="2712"/>
      <c r="H643" s="2712"/>
      <c r="I643" s="1697"/>
      <c r="J643" s="1099" t="str">
        <f>IF(J628="","",IF(J631&gt;$Z529,-100%,IF(OR(AND(J628,J632=FALSE),AND(J632,J636=FALSE),V623&lt;1),J547,IF(J636=TRUE,0%,I643))))</f>
        <v/>
      </c>
      <c r="K643" s="1100" t="str">
        <f>IF(K628="","",IF(K631&gt;$Z529,-100%,IF(OR(AND(K628,K632=FALSE),AND(K632,K636=FALSE),W623&lt;1),K547,IF(K636=TRUE,0%,J643))))</f>
        <v/>
      </c>
      <c r="L643" s="1100" t="str">
        <f>IF(L628="","",IF(L631&gt;$Z529,-100%,IF(OR(AND(L628,L632=FALSE),AND(L632,L636=FALSE),X623&lt;1),L547,IF(L636=TRUE,0%,K643))))</f>
        <v/>
      </c>
      <c r="M643" s="1100" t="str">
        <f>IF(M628="","",IF(M631&gt;$Z529,-100%,IF(OR(AND(M628,M632=FALSE),AND(M632,M636=FALSE),Y623&lt;1),M547,IF(M636=TRUE,0%,L643))))</f>
        <v/>
      </c>
      <c r="N643" s="1101" t="str">
        <f>IF(N628="","",IF(N631&gt;$Z529,-100%,IF(OR(AND(N628,N632=FALSE),AND(N632,N636=FALSE),Z623&lt;1),N547,IF(N636=TRUE,0%,M643))))</f>
        <v/>
      </c>
      <c r="O643" s="15"/>
      <c r="P643" s="6"/>
      <c r="Q643" s="165" t="str">
        <f>EUconst_CNTR_HALAdjPct &amp; I529</f>
        <v>HALAdjPct_Delanläggning med bränsleriktmärke, KL</v>
      </c>
      <c r="R643" s="2"/>
      <c r="S643" s="2"/>
      <c r="T643" s="2"/>
      <c r="U643" s="1086" t="s">
        <v>1858</v>
      </c>
      <c r="V643" s="1068">
        <f>J627</f>
        <v>2021</v>
      </c>
      <c r="W643" s="1068">
        <f>K627</f>
        <v>2022</v>
      </c>
      <c r="X643" s="1068">
        <f>L627</f>
        <v>2023</v>
      </c>
      <c r="Y643" s="1068">
        <f>M627</f>
        <v>2024</v>
      </c>
      <c r="Z643" s="1087">
        <f>N627</f>
        <v>2025</v>
      </c>
      <c r="AA643" s="2"/>
      <c r="AB643" s="343"/>
      <c r="AC643" s="2"/>
      <c r="AD643" s="2"/>
      <c r="AE643" s="349"/>
      <c r="AF643" s="349"/>
      <c r="AG643" s="349"/>
      <c r="AH643" s="349"/>
      <c r="AI643" s="349"/>
      <c r="AJ643" s="349"/>
      <c r="AK643" s="349"/>
      <c r="AL643" s="349"/>
      <c r="AM643" s="349"/>
    </row>
    <row r="644" spans="1:39" ht="12.75" customHeight="1" thickBot="1" x14ac:dyDescent="0.3">
      <c r="A644" s="343"/>
      <c r="B644" s="178"/>
      <c r="C644" s="19"/>
      <c r="D644" s="1242"/>
      <c r="E644" s="2712" t="str">
        <f>Translations!$B$1524</f>
        <v>Faktisk verksamhetsnivå</v>
      </c>
      <c r="F644" s="2717"/>
      <c r="G644" s="2717"/>
      <c r="H644" s="917" t="str">
        <f>H545</f>
        <v>TJ</v>
      </c>
      <c r="I644" s="1021" t="str">
        <f>I548</f>
        <v/>
      </c>
      <c r="J644" s="735" t="str">
        <f>IF($M529&lt;&gt;EUconst_Relevant,"",IF(OR(J643="",$I644=0,$I644=EUconst_NA),IF(OR(J628=TRUE,J631&lt;=$V529),J548,SUM(I644)),$I644*(1+SUM(J643))))</f>
        <v/>
      </c>
      <c r="K644" s="736" t="str">
        <f>IF($M529&lt;&gt;EUconst_Relevant,"",IF(OR(K643="",$I644=0,$I644=EUconst_NA),IF(OR(K628=TRUE,K631&lt;=$V529),K548,SUM(J644)),$I644*(1+SUM(K643))))</f>
        <v/>
      </c>
      <c r="L644" s="736" t="str">
        <f>IF($M529&lt;&gt;EUconst_Relevant,"",IF(OR(L643="",$I644=0,$I644=EUconst_NA),IF(OR(L628=TRUE,L631&lt;=$V529),L548,SUM(K644)),$I644*(1+SUM(L643))))</f>
        <v/>
      </c>
      <c r="M644" s="736" t="str">
        <f>IF($M529&lt;&gt;EUconst_Relevant,"",IF(OR(M643="",$I644=0,$I644=EUconst_NA),IF(OR(M628=TRUE,M631&lt;=$V529),M548,SUM(L644)),$I644*(1+SUM(M643))))</f>
        <v/>
      </c>
      <c r="N644" s="737" t="str">
        <f>IF($M529&lt;&gt;EUconst_Relevant,"",IF(OR(N643="",$I644=0,$I644=EUconst_NA),IF(OR(N628=TRUE,N631&lt;=$V529),N548,SUM(M644)),$I644*(1+SUM(N643))))</f>
        <v/>
      </c>
      <c r="O644" s="15"/>
      <c r="P644" s="6"/>
      <c r="Q644" s="165" t="str">
        <f>EUconst_CNTR_HALfinal&amp;I529</f>
        <v>HALfinal_Delanläggning med bränsleriktmärke, KL</v>
      </c>
      <c r="R644" s="2"/>
      <c r="S644" s="2"/>
      <c r="T644" s="2"/>
      <c r="U644" s="1085" t="b">
        <v>0</v>
      </c>
      <c r="V644" s="1757" t="b">
        <f>IF(J628=TRUE,V546,U644)</f>
        <v>0</v>
      </c>
      <c r="W644" s="1757" t="b">
        <f>IF(K628=TRUE,W546,V644)</f>
        <v>0</v>
      </c>
      <c r="X644" s="1757" t="b">
        <f>IF(L628=TRUE,X546,W644)</f>
        <v>0</v>
      </c>
      <c r="Y644" s="1757" t="b">
        <f>IF(M628=TRUE,Y546,X644)</f>
        <v>0</v>
      </c>
      <c r="Z644" s="1758" t="b">
        <f>IF(N628=TRUE,Z546,Y644)</f>
        <v>0</v>
      </c>
      <c r="AA644" s="553" t="s">
        <v>2242</v>
      </c>
      <c r="AB644" s="108" t="str">
        <f>IF(OR(ISERROR(J644),ISERROR(K644),ISERROR(L644),ISERROR(M644),ISERROR(N644)),EUconst_Error&amp;"FB"&amp; Q529,"")</f>
        <v/>
      </c>
      <c r="AC644" s="2"/>
      <c r="AD644" s="2"/>
      <c r="AE644" s="349"/>
      <c r="AF644" s="349"/>
      <c r="AG644" s="349"/>
      <c r="AH644" s="349"/>
      <c r="AI644" s="349"/>
      <c r="AJ644" s="349"/>
      <c r="AK644" s="349"/>
      <c r="AL644" s="349"/>
      <c r="AM644" s="349"/>
    </row>
    <row r="645" spans="1:39" ht="5.15" customHeight="1" thickBot="1" x14ac:dyDescent="0.3">
      <c r="A645" s="2"/>
      <c r="B645" s="19"/>
      <c r="C645" s="19"/>
      <c r="D645" s="1274"/>
      <c r="E645" s="1275"/>
      <c r="F645" s="1275"/>
      <c r="G645" s="1275"/>
      <c r="H645" s="1275"/>
      <c r="I645" s="1275"/>
      <c r="J645" s="1275"/>
      <c r="K645" s="1275"/>
      <c r="L645" s="1275"/>
      <c r="M645" s="1275"/>
      <c r="N645" s="1277"/>
      <c r="O645" s="6"/>
      <c r="P645" s="6"/>
      <c r="Q645" s="2"/>
      <c r="R645" s="2"/>
      <c r="S645" s="2"/>
      <c r="T645" s="2"/>
      <c r="U645" s="2"/>
      <c r="V645" s="2"/>
      <c r="W645" s="2"/>
      <c r="X645" s="2"/>
      <c r="Y645" s="2"/>
      <c r="Z645" s="2"/>
      <c r="AA645" s="2"/>
      <c r="AB645" s="343"/>
      <c r="AC645" s="2"/>
      <c r="AD645" s="2"/>
      <c r="AE645" s="349"/>
      <c r="AF645" s="349"/>
      <c r="AG645" s="349"/>
      <c r="AH645" s="349"/>
      <c r="AI645" s="349"/>
      <c r="AJ645" s="349"/>
      <c r="AK645" s="349"/>
      <c r="AL645" s="349"/>
      <c r="AM645" s="349"/>
    </row>
    <row r="646" spans="1:39" ht="12.75" customHeight="1" thickBot="1" x14ac:dyDescent="0.3">
      <c r="A646" s="2"/>
      <c r="B646" s="19"/>
      <c r="C646" s="19"/>
      <c r="D646" s="19"/>
      <c r="E646" s="19"/>
      <c r="F646" s="19"/>
      <c r="G646" s="19"/>
      <c r="H646" s="19"/>
      <c r="I646" s="19"/>
      <c r="J646" s="19"/>
      <c r="K646" s="19"/>
      <c r="L646" s="19"/>
      <c r="M646" s="19"/>
      <c r="N646" s="19"/>
      <c r="O646" s="6"/>
      <c r="P646" s="6"/>
      <c r="Q646" s="2"/>
      <c r="R646" s="2"/>
      <c r="S646" s="2"/>
      <c r="T646" s="2"/>
      <c r="U646" s="2"/>
      <c r="V646" s="2"/>
      <c r="W646" s="2"/>
      <c r="X646" s="2"/>
      <c r="Y646" s="2"/>
      <c r="Z646" s="2"/>
      <c r="AA646" s="2"/>
      <c r="AB646" s="343"/>
      <c r="AC646" s="2"/>
      <c r="AD646" s="2"/>
      <c r="AE646" s="349"/>
      <c r="AF646" s="349"/>
      <c r="AG646" s="349"/>
      <c r="AH646" s="349"/>
      <c r="AI646" s="349"/>
      <c r="AJ646" s="349"/>
      <c r="AK646" s="349"/>
      <c r="AL646" s="349"/>
      <c r="AM646" s="349"/>
    </row>
    <row r="647" spans="1:39" ht="5.15" customHeight="1" x14ac:dyDescent="0.25">
      <c r="A647" s="2"/>
      <c r="B647" s="3"/>
      <c r="C647" s="366"/>
      <c r="D647" s="367"/>
      <c r="E647" s="367"/>
      <c r="F647" s="367"/>
      <c r="G647" s="367"/>
      <c r="H647" s="367"/>
      <c r="I647" s="367"/>
      <c r="J647" s="367"/>
      <c r="K647" s="367"/>
      <c r="L647" s="367"/>
      <c r="M647" s="368"/>
      <c r="N647" s="369"/>
      <c r="O647" s="6"/>
      <c r="P647" s="6"/>
      <c r="Q647" s="7"/>
      <c r="R647" s="2"/>
      <c r="S647" s="7"/>
      <c r="T647" s="7"/>
      <c r="U647" s="2"/>
      <c r="V647" s="2"/>
      <c r="W647" s="2"/>
      <c r="X647" s="2"/>
      <c r="Y647" s="2"/>
      <c r="Z647" s="2"/>
      <c r="AA647" s="2"/>
      <c r="AB647" s="2"/>
      <c r="AC647" s="2"/>
      <c r="AD647" s="2"/>
      <c r="AE647" s="349"/>
      <c r="AF647" s="349"/>
      <c r="AG647" s="349"/>
      <c r="AH647" s="349"/>
      <c r="AI647" s="349"/>
      <c r="AJ647" s="349"/>
      <c r="AK647" s="349"/>
      <c r="AL647" s="349"/>
      <c r="AM647" s="349"/>
    </row>
    <row r="648" spans="1:39" ht="15" customHeight="1" x14ac:dyDescent="0.25">
      <c r="A648" s="2"/>
      <c r="B648" s="19"/>
      <c r="C648" s="370"/>
      <c r="D648" s="2645" t="str">
        <f>Translations!$B$549</f>
        <v>Uppgifter som krävs för att fastställa den riktmärkesrelaterade förbättringsfaktorn enligt artikel 10a.2 i ETS-direktivet</v>
      </c>
      <c r="E648" s="2635"/>
      <c r="F648" s="2635"/>
      <c r="G648" s="2635"/>
      <c r="H648" s="2635"/>
      <c r="I648" s="2635"/>
      <c r="J648" s="2635"/>
      <c r="K648" s="2635"/>
      <c r="L648" s="2635"/>
      <c r="M648" s="2635"/>
      <c r="N648" s="2636"/>
      <c r="O648" s="6"/>
      <c r="P648" s="6"/>
      <c r="Q648" s="2"/>
      <c r="R648" s="2"/>
      <c r="S648" s="7"/>
      <c r="T648" s="7"/>
      <c r="U648" s="2"/>
      <c r="V648" s="2"/>
      <c r="W648" s="2"/>
      <c r="X648" s="2"/>
      <c r="Y648" s="2"/>
      <c r="Z648" s="2"/>
      <c r="AA648" s="2"/>
      <c r="AB648" s="2"/>
      <c r="AC648" s="2"/>
      <c r="AD648" s="2"/>
      <c r="AE648" s="349"/>
      <c r="AF648" s="349"/>
      <c r="AG648" s="349"/>
      <c r="AH648" s="349"/>
      <c r="AI648" s="349"/>
      <c r="AJ648" s="349"/>
      <c r="AK648" s="349"/>
      <c r="AL648" s="349"/>
      <c r="AM648" s="349"/>
    </row>
    <row r="649" spans="1:39" ht="5.15" customHeight="1" x14ac:dyDescent="0.25">
      <c r="A649" s="2"/>
      <c r="B649" s="19"/>
      <c r="C649" s="371"/>
      <c r="D649" s="360"/>
      <c r="E649" s="360"/>
      <c r="F649" s="360"/>
      <c r="G649" s="360"/>
      <c r="H649" s="360"/>
      <c r="I649" s="360"/>
      <c r="J649" s="360"/>
      <c r="K649" s="360"/>
      <c r="L649" s="360"/>
      <c r="M649" s="360"/>
      <c r="N649" s="372"/>
      <c r="O649" s="6"/>
      <c r="P649" s="6"/>
      <c r="Q649" s="2"/>
      <c r="R649" s="2"/>
      <c r="S649" s="7"/>
      <c r="T649" s="7"/>
      <c r="U649" s="2"/>
      <c r="V649" s="2"/>
      <c r="W649" s="2"/>
      <c r="X649" s="2"/>
      <c r="Y649" s="2"/>
      <c r="Z649" s="2"/>
      <c r="AA649" s="2"/>
      <c r="AB649" s="2"/>
      <c r="AC649" s="2"/>
      <c r="AD649" s="2"/>
      <c r="AE649" s="349"/>
      <c r="AF649" s="349"/>
      <c r="AG649" s="349"/>
      <c r="AH649" s="349"/>
      <c r="AI649" s="349"/>
      <c r="AJ649" s="349"/>
      <c r="AK649" s="349"/>
      <c r="AL649" s="349"/>
      <c r="AM649" s="349"/>
    </row>
    <row r="650" spans="1:39" ht="15" customHeight="1" x14ac:dyDescent="0.25">
      <c r="A650" s="2"/>
      <c r="B650" s="19"/>
      <c r="C650" s="371"/>
      <c r="D650" s="2646" t="str">
        <f>EUconst_FBSubinst &amp; ":"</f>
        <v>”Fall-back”-delanläggning:</v>
      </c>
      <c r="E650" s="2642"/>
      <c r="F650" s="2642"/>
      <c r="G650" s="2642"/>
      <c r="H650" s="2647"/>
      <c r="I650" s="2090" t="str">
        <f>I529</f>
        <v>Delanläggning med bränsleriktmärke, KL</v>
      </c>
      <c r="J650" s="2120"/>
      <c r="K650" s="2120"/>
      <c r="L650" s="2120"/>
      <c r="M650" s="2120"/>
      <c r="N650" s="2648"/>
      <c r="O650" s="6"/>
      <c r="P650" s="6"/>
      <c r="Q650" s="2"/>
      <c r="R650" s="2"/>
      <c r="S650" s="7"/>
      <c r="T650" s="7"/>
      <c r="U650" s="2"/>
      <c r="V650" s="2"/>
      <c r="W650" s="2"/>
      <c r="X650" s="2"/>
      <c r="Y650" s="2"/>
      <c r="Z650" s="2"/>
      <c r="AA650" s="2"/>
      <c r="AB650" s="2"/>
      <c r="AC650" s="2"/>
      <c r="AD650" s="2"/>
      <c r="AE650" s="349"/>
      <c r="AF650" s="349"/>
      <c r="AG650" s="349"/>
      <c r="AH650" s="349"/>
      <c r="AI650" s="349"/>
      <c r="AJ650" s="349"/>
      <c r="AK650" s="349"/>
      <c r="AL650" s="349"/>
      <c r="AM650" s="349"/>
    </row>
    <row r="651" spans="1:39" ht="5.15" customHeight="1" x14ac:dyDescent="0.25">
      <c r="A651" s="2"/>
      <c r="B651" s="19"/>
      <c r="C651" s="371"/>
      <c r="D651" s="360"/>
      <c r="E651" s="360"/>
      <c r="F651" s="360"/>
      <c r="G651" s="360"/>
      <c r="H651" s="360"/>
      <c r="I651" s="360"/>
      <c r="J651" s="360"/>
      <c r="K651" s="360"/>
      <c r="L651" s="360"/>
      <c r="M651" s="360"/>
      <c r="N651" s="372"/>
      <c r="O651" s="6"/>
      <c r="P651" s="6"/>
      <c r="Q651" s="2"/>
      <c r="R651" s="2"/>
      <c r="S651" s="7"/>
      <c r="T651" s="7"/>
      <c r="U651" s="2"/>
      <c r="V651" s="2"/>
      <c r="W651" s="2"/>
      <c r="X651" s="2"/>
      <c r="Y651" s="2"/>
      <c r="Z651" s="2"/>
      <c r="AA651" s="2"/>
      <c r="AB651" s="2"/>
      <c r="AC651" s="2"/>
      <c r="AD651" s="2"/>
      <c r="AE651" s="349"/>
      <c r="AF651" s="349"/>
      <c r="AG651" s="349"/>
      <c r="AH651" s="349"/>
      <c r="AI651" s="349"/>
      <c r="AJ651" s="349"/>
      <c r="AK651" s="349"/>
      <c r="AL651" s="349"/>
      <c r="AM651" s="349"/>
    </row>
    <row r="652" spans="1:39" ht="12.75" customHeight="1" x14ac:dyDescent="0.25">
      <c r="A652" s="2"/>
      <c r="B652" s="3"/>
      <c r="C652" s="370"/>
      <c r="D652" s="373" t="s">
        <v>55</v>
      </c>
      <c r="E652" s="2634" t="str">
        <f>Translations!$B$676</f>
        <v>Utsläpp som direkt kan tillskrivas (DirEm*) delanläggningen</v>
      </c>
      <c r="F652" s="2635"/>
      <c r="G652" s="2635"/>
      <c r="H652" s="2635"/>
      <c r="I652" s="2635"/>
      <c r="J652" s="2635"/>
      <c r="K652" s="2635"/>
      <c r="L652" s="2635"/>
      <c r="M652" s="2635"/>
      <c r="N652" s="2636"/>
      <c r="O652" s="6"/>
      <c r="P652" s="6"/>
      <c r="Q652" s="7"/>
      <c r="R652" s="2"/>
      <c r="S652" s="7"/>
      <c r="T652" s="7"/>
      <c r="U652" s="2"/>
      <c r="V652" s="2"/>
      <c r="W652" s="2"/>
      <c r="X652" s="2"/>
      <c r="Y652" s="2"/>
      <c r="Z652" s="2"/>
      <c r="AA652" s="2"/>
      <c r="AB652" s="2"/>
      <c r="AC652" s="2"/>
      <c r="AD652" s="2"/>
      <c r="AE652" s="349"/>
      <c r="AF652" s="349"/>
      <c r="AG652" s="349"/>
      <c r="AH652" s="349"/>
      <c r="AI652" s="349"/>
      <c r="AJ652" s="349"/>
      <c r="AK652" s="349"/>
      <c r="AL652" s="349"/>
      <c r="AM652" s="349"/>
    </row>
    <row r="653" spans="1:39" ht="12.75" customHeight="1" x14ac:dyDescent="0.25">
      <c r="A653" s="2"/>
      <c r="B653" s="3"/>
      <c r="C653" s="370"/>
      <c r="D653" s="373"/>
      <c r="E653" s="2680" t="str">
        <f>Translations!$B$556</f>
        <v>De uppgifter som anges här påverkar de utsläpp som kan tillskrivas i enlighet med avsnitt 10.1.1 i bilaga VII till FAR.</v>
      </c>
      <c r="F653" s="2680"/>
      <c r="G653" s="2680"/>
      <c r="H653" s="2680"/>
      <c r="I653" s="2680"/>
      <c r="J653" s="2680"/>
      <c r="K653" s="2680"/>
      <c r="L653" s="2680"/>
      <c r="M653" s="2680"/>
      <c r="N653" s="2681"/>
      <c r="O653" s="6"/>
      <c r="P653" s="6"/>
      <c r="Q653" s="7"/>
      <c r="R653" s="2"/>
      <c r="S653" s="7"/>
      <c r="T653" s="7"/>
      <c r="U653" s="2"/>
      <c r="V653" s="2"/>
      <c r="W653" s="2"/>
      <c r="X653" s="2"/>
      <c r="Y653" s="2"/>
      <c r="Z653" s="2"/>
      <c r="AA653" s="2"/>
      <c r="AB653" s="2"/>
      <c r="AC653" s="2"/>
      <c r="AD653" s="2"/>
      <c r="AE653" s="349"/>
      <c r="AF653" s="349"/>
      <c r="AG653" s="349"/>
      <c r="AH653" s="349"/>
      <c r="AI653" s="349"/>
      <c r="AJ653" s="349"/>
      <c r="AK653" s="349"/>
      <c r="AL653" s="349"/>
      <c r="AM653" s="349"/>
    </row>
    <row r="654" spans="1:39" ht="25.5" customHeight="1" x14ac:dyDescent="0.25">
      <c r="A654" s="2"/>
      <c r="B654" s="3"/>
      <c r="C654" s="370"/>
      <c r="D654" s="359"/>
      <c r="E654" s="2639" t="str">
        <f>Translations!$B$714</f>
        <v>Var god ange de direkta utsläpp som övervakas enligt den övervakningsplan som ska godkännas enligt M&amp;R-förordningen, dvs. med hänsyn tagen till de utsläpp som fastställts utifrån beräkningsbaserade metoder (med hjälp av bränsle-/materialmängder), mätbaserade metoder (Cems) och nivålösa metoder (”alternativa övervakningsmetoder”/”fall-back”).</v>
      </c>
      <c r="F654" s="2639"/>
      <c r="G654" s="2639"/>
      <c r="H654" s="2639"/>
      <c r="I654" s="2639"/>
      <c r="J654" s="2639"/>
      <c r="K654" s="2639"/>
      <c r="L654" s="2639"/>
      <c r="M654" s="2639"/>
      <c r="N654" s="2640"/>
      <c r="O654" s="6"/>
      <c r="P654" s="6"/>
      <c r="Q654" s="7"/>
      <c r="R654" s="2"/>
      <c r="S654" s="7"/>
      <c r="T654" s="2"/>
      <c r="U654" s="2"/>
      <c r="V654" s="2"/>
      <c r="W654" s="2"/>
      <c r="X654" s="2"/>
      <c r="Y654" s="2"/>
      <c r="Z654" s="2"/>
      <c r="AA654" s="2"/>
      <c r="AB654" s="2"/>
      <c r="AC654" s="2"/>
      <c r="AD654" s="2"/>
      <c r="AE654" s="349"/>
      <c r="AF654" s="349"/>
      <c r="AG654" s="349"/>
      <c r="AH654" s="349"/>
      <c r="AI654" s="349"/>
      <c r="AJ654" s="349"/>
      <c r="AK654" s="349"/>
      <c r="AL654" s="349"/>
      <c r="AM654" s="349"/>
    </row>
    <row r="655" spans="1:39" ht="25.5" customHeight="1" thickBot="1" x14ac:dyDescent="0.3">
      <c r="A655" s="2"/>
      <c r="B655" s="3"/>
      <c r="C655" s="370"/>
      <c r="D655" s="359"/>
      <c r="E655" s="2639" t="str">
        <f>Translations!$B$715</f>
        <v>Utsläpp från restgasförbränning ska dock aldrig tas med här utan i punkt d.iii nedan.</v>
      </c>
      <c r="F655" s="2639"/>
      <c r="G655" s="2639"/>
      <c r="H655" s="2639"/>
      <c r="I655" s="2639"/>
      <c r="J655" s="2639"/>
      <c r="K655" s="2639"/>
      <c r="L655" s="2639"/>
      <c r="M655" s="2639"/>
      <c r="N655" s="2640"/>
      <c r="O655" s="6"/>
      <c r="P655" s="6"/>
      <c r="Q655" s="7"/>
      <c r="R655" s="2"/>
      <c r="S655" s="7"/>
      <c r="T655" s="2"/>
      <c r="U655" s="2"/>
      <c r="V655" s="2"/>
      <c r="W655" s="2"/>
      <c r="X655" s="2"/>
      <c r="Y655" s="2"/>
      <c r="Z655" s="2"/>
      <c r="AA655" s="2"/>
      <c r="AB655" s="343"/>
      <c r="AC655" s="343"/>
      <c r="AD655" s="343"/>
      <c r="AE655" s="343"/>
      <c r="AF655" s="343"/>
      <c r="AG655" s="343"/>
      <c r="AH655" s="343"/>
      <c r="AI655" s="343"/>
      <c r="AJ655" s="343"/>
      <c r="AK655" s="343"/>
      <c r="AL655" s="343"/>
      <c r="AM655" s="349"/>
    </row>
    <row r="656" spans="1:39" ht="12.75" customHeight="1" thickBot="1" x14ac:dyDescent="0.3">
      <c r="A656" s="2"/>
      <c r="B656" s="3"/>
      <c r="C656" s="370"/>
      <c r="D656" s="373"/>
      <c r="E656" s="1716" t="str">
        <f>Translations!$B$531</f>
        <v>Totala direkta utsläpp</v>
      </c>
      <c r="F656" s="1717"/>
      <c r="G656" s="361" t="str">
        <f>EUconst_Unit</f>
        <v>Enhet</v>
      </c>
      <c r="H656" s="362">
        <f t="shared" ref="H656:N656" si="275">H$950</f>
        <v>2019</v>
      </c>
      <c r="I656" s="362">
        <f t="shared" si="275"/>
        <v>2020</v>
      </c>
      <c r="J656" s="362">
        <f t="shared" si="275"/>
        <v>2021</v>
      </c>
      <c r="K656" s="362">
        <f t="shared" si="275"/>
        <v>2022</v>
      </c>
      <c r="L656" s="362">
        <f t="shared" si="275"/>
        <v>2023</v>
      </c>
      <c r="M656" s="362">
        <f t="shared" si="275"/>
        <v>2024</v>
      </c>
      <c r="N656" s="1141">
        <f t="shared" si="275"/>
        <v>2025</v>
      </c>
      <c r="O656" s="6"/>
      <c r="P656" s="6"/>
      <c r="Q656" s="7"/>
      <c r="R656" s="2"/>
      <c r="S656" s="608"/>
      <c r="T656" s="609">
        <f t="shared" ref="T656:Z656" si="276">H656</f>
        <v>2019</v>
      </c>
      <c r="U656" s="609">
        <f t="shared" si="276"/>
        <v>2020</v>
      </c>
      <c r="V656" s="609">
        <f t="shared" si="276"/>
        <v>2021</v>
      </c>
      <c r="W656" s="609">
        <f t="shared" si="276"/>
        <v>2022</v>
      </c>
      <c r="X656" s="609">
        <f t="shared" si="276"/>
        <v>2023</v>
      </c>
      <c r="Y656" s="609">
        <f t="shared" si="276"/>
        <v>2024</v>
      </c>
      <c r="Z656" s="610">
        <f t="shared" si="276"/>
        <v>2025</v>
      </c>
      <c r="AA656" s="2"/>
      <c r="AB656" s="2"/>
      <c r="AC656" s="1044">
        <f t="shared" ref="AC656:AI656" si="277">H$950</f>
        <v>2019</v>
      </c>
      <c r="AD656" s="1044">
        <f t="shared" si="277"/>
        <v>2020</v>
      </c>
      <c r="AE656" s="1044">
        <f t="shared" si="277"/>
        <v>2021</v>
      </c>
      <c r="AF656" s="1044">
        <f t="shared" si="277"/>
        <v>2022</v>
      </c>
      <c r="AG656" s="1044">
        <f t="shared" si="277"/>
        <v>2023</v>
      </c>
      <c r="AH656" s="1044">
        <f t="shared" si="277"/>
        <v>2024</v>
      </c>
      <c r="AI656" s="1044">
        <f t="shared" si="277"/>
        <v>2025</v>
      </c>
      <c r="AJ656" s="343"/>
      <c r="AK656" s="343"/>
      <c r="AL656" s="343"/>
      <c r="AM656" s="349"/>
    </row>
    <row r="657" spans="1:39" ht="12.75" customHeight="1" thickBot="1" x14ac:dyDescent="0.35">
      <c r="A657" s="2"/>
      <c r="B657" s="3"/>
      <c r="C657" s="370"/>
      <c r="D657" s="359"/>
      <c r="E657" s="2617" t="str">
        <f>I650</f>
        <v>Delanläggning med bränsleriktmärke, KL</v>
      </c>
      <c r="F657" s="1997"/>
      <c r="G657" s="363" t="str">
        <f>EUconst_tCO2epa</f>
        <v>t CO2e/år</v>
      </c>
      <c r="H657" s="1529"/>
      <c r="I657" s="1529"/>
      <c r="J657" s="1529"/>
      <c r="K657" s="1529"/>
      <c r="L657" s="1529"/>
      <c r="M657" s="1529"/>
      <c r="N657" s="1530"/>
      <c r="O657" s="6"/>
      <c r="P657" s="6"/>
      <c r="Q657" s="298" t="str">
        <f>EUconst_CNTR_Emissions &amp; I650</f>
        <v>DirEmissions_Delanläggning med bränsleriktmärke, KL</v>
      </c>
      <c r="R657" s="2"/>
      <c r="S657" s="611" t="str">
        <f>EUconst_CNTR_AttributedEmissions &amp; I650</f>
        <v>AttrEmissions_Delanläggning med bränsleriktmärke, KL</v>
      </c>
      <c r="T657" s="111" t="str">
        <f t="shared" ref="T657:Z657" si="278">IF(T537,SUM(H657),"")</f>
        <v/>
      </c>
      <c r="U657" s="111" t="str">
        <f t="shared" si="278"/>
        <v/>
      </c>
      <c r="V657" s="111" t="str">
        <f t="shared" si="278"/>
        <v/>
      </c>
      <c r="W657" s="111" t="str">
        <f t="shared" si="278"/>
        <v/>
      </c>
      <c r="X657" s="111" t="str">
        <f t="shared" si="278"/>
        <v/>
      </c>
      <c r="Y657" s="111" t="str">
        <f t="shared" si="278"/>
        <v/>
      </c>
      <c r="Z657" s="112" t="str">
        <f t="shared" si="278"/>
        <v/>
      </c>
      <c r="AA657" s="2"/>
      <c r="AB657" s="672" t="s">
        <v>782</v>
      </c>
      <c r="AC657" s="1755" t="b">
        <f t="shared" ref="AC657:AI657" si="279">IF(CNTR_ExistSubInstEntries,OR($M529&lt;&gt;EUconst_Relevant,AC656&gt;=CNTR_ReportingYear,AC656&lt;$V529-1),FALSE)</f>
        <v>0</v>
      </c>
      <c r="AD657" s="1042" t="b">
        <f t="shared" si="279"/>
        <v>0</v>
      </c>
      <c r="AE657" s="1042" t="b">
        <f t="shared" si="279"/>
        <v>0</v>
      </c>
      <c r="AF657" s="1042" t="b">
        <f t="shared" si="279"/>
        <v>0</v>
      </c>
      <c r="AG657" s="1042" t="b">
        <f t="shared" si="279"/>
        <v>0</v>
      </c>
      <c r="AH657" s="1042" t="b">
        <f t="shared" si="279"/>
        <v>0</v>
      </c>
      <c r="AI657" s="1043" t="b">
        <f t="shared" si="279"/>
        <v>0</v>
      </c>
      <c r="AJ657" s="343"/>
      <c r="AK657" s="553" t="s">
        <v>2248</v>
      </c>
      <c r="AL657" s="663" t="str">
        <f>IF(AND(CNTR_ExistSubInstEntries,COUNTIFS(AC657:AI657,2,H657:N657,"")&gt;0),EUconst_Error&amp;"FB"&amp;Q529,"")</f>
        <v/>
      </c>
      <c r="AM657" s="349"/>
    </row>
    <row r="658" spans="1:39" ht="5.15" customHeight="1" x14ac:dyDescent="0.25">
      <c r="A658" s="2"/>
      <c r="B658" s="3"/>
      <c r="C658" s="370"/>
      <c r="D658" s="359"/>
      <c r="E658" s="359"/>
      <c r="F658" s="359"/>
      <c r="G658" s="359"/>
      <c r="H658" s="359"/>
      <c r="I658" s="359"/>
      <c r="J658" s="359"/>
      <c r="K658" s="359"/>
      <c r="L658" s="359"/>
      <c r="M658" s="359"/>
      <c r="N658" s="374"/>
      <c r="O658" s="6"/>
      <c r="P658" s="6"/>
      <c r="Q658" s="7"/>
      <c r="R658" s="2"/>
      <c r="S658" s="7"/>
      <c r="T658" s="2"/>
      <c r="U658" s="2"/>
      <c r="V658" s="2"/>
      <c r="W658" s="2"/>
      <c r="X658" s="2"/>
      <c r="Y658" s="2"/>
      <c r="Z658" s="2"/>
      <c r="AA658" s="2"/>
      <c r="AB658" s="343"/>
      <c r="AC658" s="343"/>
      <c r="AD658" s="343"/>
      <c r="AE658" s="343"/>
      <c r="AF658" s="343"/>
      <c r="AG658" s="343"/>
      <c r="AH658" s="343"/>
      <c r="AI658" s="343"/>
      <c r="AJ658" s="343"/>
      <c r="AK658" s="343"/>
      <c r="AL658" s="343"/>
      <c r="AM658" s="349"/>
    </row>
    <row r="659" spans="1:39" ht="12.75" customHeight="1" x14ac:dyDescent="0.25">
      <c r="A659" s="2"/>
      <c r="B659" s="3"/>
      <c r="C659" s="370"/>
      <c r="D659" s="373" t="s">
        <v>960</v>
      </c>
      <c r="E659" s="1805" t="str">
        <f>Translations!$B$566</f>
        <v>Insatsbränsle till delanläggningen och relevant emissionsfaktor</v>
      </c>
      <c r="F659" s="1805"/>
      <c r="G659" s="1805"/>
      <c r="H659" s="1805"/>
      <c r="I659" s="1805"/>
      <c r="J659" s="1805"/>
      <c r="K659" s="1805"/>
      <c r="L659" s="1805"/>
      <c r="M659" s="1805"/>
      <c r="N659" s="1808"/>
      <c r="O659" s="6"/>
      <c r="P659" s="6"/>
      <c r="Q659" s="2"/>
      <c r="R659" s="2"/>
      <c r="S659" s="7"/>
      <c r="T659" s="2"/>
      <c r="U659" s="2"/>
      <c r="V659" s="2"/>
      <c r="W659" s="2"/>
      <c r="X659" s="2"/>
      <c r="Y659" s="2"/>
      <c r="Z659" s="2"/>
      <c r="AA659" s="2"/>
      <c r="AB659" s="343"/>
      <c r="AC659" s="343"/>
      <c r="AD659" s="343"/>
      <c r="AE659" s="343"/>
      <c r="AF659" s="343"/>
      <c r="AG659" s="343"/>
      <c r="AH659" s="343"/>
      <c r="AI659" s="343"/>
      <c r="AJ659" s="343"/>
      <c r="AK659" s="343"/>
      <c r="AL659" s="343"/>
      <c r="AM659" s="349"/>
    </row>
    <row r="660" spans="1:39" ht="12.75" customHeight="1" x14ac:dyDescent="0.25">
      <c r="A660" s="2"/>
      <c r="B660" s="3"/>
      <c r="C660" s="370"/>
      <c r="D660" s="359"/>
      <c r="E660" s="2610" t="str">
        <f>Translations!$B$716</f>
        <v>Värdena för i och ii genereras automatiskt utifrån inmatningarna i punkterna a och c ovan.</v>
      </c>
      <c r="F660" s="1960"/>
      <c r="G660" s="1960"/>
      <c r="H660" s="1960"/>
      <c r="I660" s="1960"/>
      <c r="J660" s="1960"/>
      <c r="K660" s="1960"/>
      <c r="L660" s="1960"/>
      <c r="M660" s="1960"/>
      <c r="N660" s="2597"/>
      <c r="O660" s="6"/>
      <c r="P660" s="6"/>
      <c r="Q660" s="7"/>
      <c r="R660" s="2"/>
      <c r="S660" s="7"/>
      <c r="T660" s="2"/>
      <c r="U660" s="2"/>
      <c r="V660" s="2"/>
      <c r="W660" s="2"/>
      <c r="X660" s="2"/>
      <c r="Y660" s="2"/>
      <c r="Z660" s="2"/>
      <c r="AA660" s="2"/>
      <c r="AB660" s="343"/>
      <c r="AC660" s="343"/>
      <c r="AD660" s="343"/>
      <c r="AE660" s="343"/>
      <c r="AF660" s="343"/>
      <c r="AG660" s="343"/>
      <c r="AH660" s="343"/>
      <c r="AI660" s="343"/>
      <c r="AJ660" s="343"/>
      <c r="AK660" s="343"/>
      <c r="AL660" s="343"/>
      <c r="AM660" s="349"/>
    </row>
    <row r="661" spans="1:39" ht="12.75" customHeight="1" x14ac:dyDescent="0.25">
      <c r="A661" s="2"/>
      <c r="B661" s="3"/>
      <c r="C661" s="370"/>
      <c r="D661" s="359"/>
      <c r="E661" s="2610" t="str">
        <f>Translations!$B$717</f>
        <v>I iii och iv ska insatsbränslet från restgaser och motsvarande utsläppsfaktor anges.</v>
      </c>
      <c r="F661" s="1960"/>
      <c r="G661" s="1960"/>
      <c r="H661" s="1960"/>
      <c r="I661" s="1960"/>
      <c r="J661" s="1960"/>
      <c r="K661" s="1960"/>
      <c r="L661" s="1960"/>
      <c r="M661" s="1960"/>
      <c r="N661" s="2597"/>
      <c r="O661" s="6"/>
      <c r="P661" s="6"/>
      <c r="Q661" s="7"/>
      <c r="R661" s="2"/>
      <c r="S661" s="7"/>
      <c r="T661" s="2"/>
      <c r="U661" s="2"/>
      <c r="V661" s="2"/>
      <c r="W661" s="2"/>
      <c r="X661" s="2"/>
      <c r="Y661" s="2"/>
      <c r="Z661" s="2"/>
      <c r="AA661" s="2"/>
      <c r="AB661" s="343"/>
      <c r="AC661" s="343"/>
      <c r="AD661" s="343"/>
      <c r="AE661" s="343"/>
      <c r="AF661" s="343"/>
      <c r="AG661" s="343"/>
      <c r="AH661" s="343"/>
      <c r="AI661" s="343"/>
      <c r="AJ661" s="343"/>
      <c r="AK661" s="343"/>
      <c r="AL661" s="343"/>
      <c r="AM661" s="349"/>
    </row>
    <row r="662" spans="1:39" ht="12.75" customHeight="1" x14ac:dyDescent="0.25">
      <c r="A662" s="2"/>
      <c r="B662" s="3"/>
      <c r="C662" s="370"/>
      <c r="D662" s="373"/>
      <c r="E662" s="1716"/>
      <c r="F662" s="1717"/>
      <c r="G662" s="361" t="str">
        <f>EUconst_Unit</f>
        <v>Enhet</v>
      </c>
      <c r="H662" s="362">
        <f t="shared" ref="H662:N662" si="280">H$950</f>
        <v>2019</v>
      </c>
      <c r="I662" s="362">
        <f t="shared" si="280"/>
        <v>2020</v>
      </c>
      <c r="J662" s="362">
        <f t="shared" si="280"/>
        <v>2021</v>
      </c>
      <c r="K662" s="362">
        <f t="shared" si="280"/>
        <v>2022</v>
      </c>
      <c r="L662" s="362">
        <f t="shared" si="280"/>
        <v>2023</v>
      </c>
      <c r="M662" s="362">
        <f t="shared" si="280"/>
        <v>2024</v>
      </c>
      <c r="N662" s="1141">
        <f t="shared" si="280"/>
        <v>2025</v>
      </c>
      <c r="O662" s="6"/>
      <c r="P662" s="6"/>
      <c r="Q662" s="7"/>
      <c r="R662" s="2"/>
      <c r="S662" s="7"/>
      <c r="T662" s="2"/>
      <c r="U662" s="2"/>
      <c r="V662" s="2"/>
      <c r="W662" s="2"/>
      <c r="X662" s="2"/>
      <c r="Y662" s="2"/>
      <c r="Z662" s="2"/>
      <c r="AA662" s="2"/>
      <c r="AB662" s="2"/>
      <c r="AC662" s="1531">
        <f t="shared" ref="AC662:AI662" si="281">H$950</f>
        <v>2019</v>
      </c>
      <c r="AD662" s="1531">
        <f t="shared" si="281"/>
        <v>2020</v>
      </c>
      <c r="AE662" s="1531">
        <f t="shared" si="281"/>
        <v>2021</v>
      </c>
      <c r="AF662" s="1531">
        <f t="shared" si="281"/>
        <v>2022</v>
      </c>
      <c r="AG662" s="1531">
        <f t="shared" si="281"/>
        <v>2023</v>
      </c>
      <c r="AH662" s="1531">
        <f t="shared" si="281"/>
        <v>2024</v>
      </c>
      <c r="AI662" s="1531">
        <f t="shared" si="281"/>
        <v>2025</v>
      </c>
      <c r="AJ662" s="349"/>
      <c r="AK662" s="349"/>
      <c r="AL662" s="349"/>
      <c r="AM662" s="349"/>
    </row>
    <row r="663" spans="1:39" ht="12.75" customHeight="1" x14ac:dyDescent="0.25">
      <c r="A663" s="2"/>
      <c r="B663" s="3"/>
      <c r="C663" s="370"/>
      <c r="D663" s="376" t="s">
        <v>8</v>
      </c>
      <c r="E663" s="2613" t="str">
        <f>Translations!$B$718</f>
        <v>Insatsbränsle enligt punkt a</v>
      </c>
      <c r="F663" s="1997"/>
      <c r="G663" s="364" t="str">
        <f>EUconst_TJpa</f>
        <v>TJ / år</v>
      </c>
      <c r="H663" s="381" t="str">
        <f>H537</f>
        <v/>
      </c>
      <c r="I663" s="381" t="str">
        <f t="shared" ref="I663:N663" si="282">I537</f>
        <v/>
      </c>
      <c r="J663" s="381" t="str">
        <f t="shared" si="282"/>
        <v/>
      </c>
      <c r="K663" s="381" t="str">
        <f t="shared" si="282"/>
        <v/>
      </c>
      <c r="L663" s="381" t="str">
        <f t="shared" si="282"/>
        <v/>
      </c>
      <c r="M663" s="381" t="str">
        <f t="shared" si="282"/>
        <v/>
      </c>
      <c r="N663" s="1742" t="str">
        <f t="shared" si="282"/>
        <v/>
      </c>
      <c r="O663" s="6"/>
      <c r="P663" s="6"/>
      <c r="Q663" s="298" t="str">
        <f>EUconst_CNTR_FuelInput &amp; I650</f>
        <v>FuelInput_Delanläggning med bränsleriktmärke, KL</v>
      </c>
      <c r="R663" s="2"/>
      <c r="S663" s="7"/>
      <c r="T663" s="40">
        <f t="shared" ref="T663:Y663" si="283">H662</f>
        <v>2019</v>
      </c>
      <c r="U663" s="40">
        <f t="shared" si="283"/>
        <v>2020</v>
      </c>
      <c r="V663" s="40">
        <f t="shared" si="283"/>
        <v>2021</v>
      </c>
      <c r="W663" s="40">
        <f t="shared" si="283"/>
        <v>2022</v>
      </c>
      <c r="X663" s="40">
        <f t="shared" si="283"/>
        <v>2023</v>
      </c>
      <c r="Y663" s="40">
        <f t="shared" si="283"/>
        <v>2024</v>
      </c>
      <c r="Z663" s="40">
        <f>N662</f>
        <v>2025</v>
      </c>
      <c r="AA663" s="2"/>
      <c r="AB663" s="672" t="s">
        <v>782</v>
      </c>
      <c r="AC663" s="108" t="b">
        <f>AC657</f>
        <v>0</v>
      </c>
      <c r="AD663" s="108" t="b">
        <f t="shared" ref="AD663:AI663" si="284">AD657</f>
        <v>0</v>
      </c>
      <c r="AE663" s="108" t="b">
        <f t="shared" si="284"/>
        <v>0</v>
      </c>
      <c r="AF663" s="108" t="b">
        <f t="shared" si="284"/>
        <v>0</v>
      </c>
      <c r="AG663" s="108" t="b">
        <f t="shared" si="284"/>
        <v>0</v>
      </c>
      <c r="AH663" s="108" t="b">
        <f t="shared" si="284"/>
        <v>0</v>
      </c>
      <c r="AI663" s="108" t="b">
        <f t="shared" si="284"/>
        <v>0</v>
      </c>
      <c r="AJ663" s="349"/>
      <c r="AK663" s="553" t="s">
        <v>2248</v>
      </c>
      <c r="AL663" s="663" t="str">
        <f>IF(AND(CNTR_ExistSubInstEntries,COUNTIFS(AC663:AI663,2,H663:N663,"")&gt;0),EUconst_Error&amp;"FB"&amp;Q529,"")</f>
        <v/>
      </c>
      <c r="AM663" s="349"/>
    </row>
    <row r="664" spans="1:39" ht="12.75" customHeight="1" x14ac:dyDescent="0.25">
      <c r="A664" s="2"/>
      <c r="B664" s="3"/>
      <c r="C664" s="370"/>
      <c r="D664" s="376" t="s">
        <v>9</v>
      </c>
      <c r="E664" s="2613" t="str">
        <f>Translations!$B$719</f>
        <v>Viktad utsläppsfaktor (= c/d)</v>
      </c>
      <c r="F664" s="1997"/>
      <c r="G664" s="449" t="str">
        <f>EUconst_tCO2pTJ</f>
        <v>t CO2 / TJ</v>
      </c>
      <c r="H664" s="381" t="str">
        <f t="shared" ref="H664:N664" si="285">IF(COUNT(H657,H663)=2,H657/H663,"")</f>
        <v/>
      </c>
      <c r="I664" s="381" t="str">
        <f t="shared" si="285"/>
        <v/>
      </c>
      <c r="J664" s="381" t="str">
        <f t="shared" si="285"/>
        <v/>
      </c>
      <c r="K664" s="381" t="str">
        <f t="shared" si="285"/>
        <v/>
      </c>
      <c r="L664" s="381" t="str">
        <f t="shared" si="285"/>
        <v/>
      </c>
      <c r="M664" s="381" t="str">
        <f t="shared" si="285"/>
        <v/>
      </c>
      <c r="N664" s="1742" t="str">
        <f t="shared" si="285"/>
        <v/>
      </c>
      <c r="O664" s="6"/>
      <c r="P664" s="6"/>
      <c r="Q664" s="298" t="str">
        <f>EUconst_CNTR_FuelEF &amp;I650</f>
        <v>FuelEF_Delanläggning med bränsleriktmärke, KL</v>
      </c>
      <c r="R664" s="2"/>
      <c r="S664" s="1749" t="str">
        <f>EUconst_ERR_AttrEmBMapplied &amp; I650</f>
        <v>ERR_AttrEmBM_Delanläggning med bränsleriktmärke, KL</v>
      </c>
      <c r="T664" s="108">
        <f t="shared" ref="T664:Z664" si="286">IF(AND(OR(H666&lt;&gt;0,AND(H669&lt;&gt;0,H670="")),EUconst_StatusOfDataCollection=FALSE),1,0)</f>
        <v>0</v>
      </c>
      <c r="U664" s="108">
        <f t="shared" si="286"/>
        <v>0</v>
      </c>
      <c r="V664" s="108">
        <f t="shared" si="286"/>
        <v>0</v>
      </c>
      <c r="W664" s="108">
        <f t="shared" si="286"/>
        <v>0</v>
      </c>
      <c r="X664" s="108">
        <f t="shared" si="286"/>
        <v>0</v>
      </c>
      <c r="Y664" s="108">
        <f t="shared" si="286"/>
        <v>0</v>
      </c>
      <c r="Z664" s="108">
        <f t="shared" si="286"/>
        <v>0</v>
      </c>
      <c r="AA664" s="2"/>
      <c r="AB664" s="343"/>
      <c r="AC664" s="108" t="b">
        <f>AC663</f>
        <v>0</v>
      </c>
      <c r="AD664" s="108" t="b">
        <f t="shared" ref="AD664:AI664" si="287">AD663</f>
        <v>0</v>
      </c>
      <c r="AE664" s="108" t="b">
        <f t="shared" si="287"/>
        <v>0</v>
      </c>
      <c r="AF664" s="108" t="b">
        <f t="shared" si="287"/>
        <v>0</v>
      </c>
      <c r="AG664" s="108" t="b">
        <f t="shared" si="287"/>
        <v>0</v>
      </c>
      <c r="AH664" s="108" t="b">
        <f t="shared" si="287"/>
        <v>0</v>
      </c>
      <c r="AI664" s="108" t="b">
        <f t="shared" si="287"/>
        <v>0</v>
      </c>
      <c r="AJ664" s="349"/>
      <c r="AK664" s="553" t="s">
        <v>2248</v>
      </c>
      <c r="AL664" s="663" t="str">
        <f>IF(AND(CNTR_ExistSubInstEntries,COUNTIFS(AC664:AI664,2,H664:N664,"")&gt;0),EUconst_Error&amp;"FB"&amp;Q529,"")</f>
        <v/>
      </c>
      <c r="AM664" s="349"/>
    </row>
    <row r="665" spans="1:39" ht="5.15" customHeight="1" x14ac:dyDescent="0.25">
      <c r="A665" s="2"/>
      <c r="B665" s="3"/>
      <c r="C665" s="370"/>
      <c r="D665" s="359"/>
      <c r="E665" s="359"/>
      <c r="F665" s="359"/>
      <c r="G665" s="359"/>
      <c r="H665" s="359"/>
      <c r="I665" s="359"/>
      <c r="J665" s="359"/>
      <c r="K665" s="359"/>
      <c r="L665" s="359"/>
      <c r="M665" s="359"/>
      <c r="N665" s="1150"/>
      <c r="O665" s="6"/>
      <c r="P665" s="6"/>
      <c r="Q665" s="7"/>
      <c r="R665" s="2"/>
      <c r="S665" s="2"/>
      <c r="T665" s="2"/>
      <c r="U665" s="2"/>
      <c r="V665" s="2"/>
      <c r="W665" s="2"/>
      <c r="X665" s="2"/>
      <c r="Y665" s="2"/>
      <c r="Z665" s="2"/>
      <c r="AA665" s="2"/>
      <c r="AB665" s="343"/>
      <c r="AC665" s="2"/>
      <c r="AD665" s="2"/>
      <c r="AE665" s="2"/>
      <c r="AF665" s="2"/>
      <c r="AG665" s="2"/>
      <c r="AH665" s="2"/>
      <c r="AI665" s="2"/>
      <c r="AJ665" s="349"/>
      <c r="AK665" s="349"/>
      <c r="AL665" s="349"/>
      <c r="AM665" s="349"/>
    </row>
    <row r="666" spans="1:39" ht="12.75" customHeight="1" x14ac:dyDescent="0.25">
      <c r="A666" s="2"/>
      <c r="B666" s="3"/>
      <c r="C666" s="370"/>
      <c r="D666" s="376" t="s">
        <v>10</v>
      </c>
      <c r="E666" s="2613" t="str">
        <f>Translations!$B$688</f>
        <v>Insatsbränsle från restgaser</v>
      </c>
      <c r="F666" s="1997"/>
      <c r="G666" s="364" t="str">
        <f>EUconst_TJpa</f>
        <v>TJ / år</v>
      </c>
      <c r="H666" s="582"/>
      <c r="I666" s="582"/>
      <c r="J666" s="1315"/>
      <c r="K666" s="582"/>
      <c r="L666" s="582"/>
      <c r="M666" s="582"/>
      <c r="N666" s="1146"/>
      <c r="O666" s="6"/>
      <c r="P666" s="6"/>
      <c r="Q666" s="355" t="str">
        <f>EUconst_CNTR_WGConsumed &amp; I650</f>
        <v>WasteGasCons_Delanläggning med bränsleriktmärke, KL</v>
      </c>
      <c r="R666" s="2"/>
      <c r="S666" s="2"/>
      <c r="T666" s="2"/>
      <c r="U666" s="2"/>
      <c r="V666" s="2"/>
      <c r="W666" s="2"/>
      <c r="X666" s="2"/>
      <c r="Y666" s="2"/>
      <c r="Z666" s="2"/>
      <c r="AA666" s="2"/>
      <c r="AB666" s="343"/>
      <c r="AC666" s="108" t="b">
        <f>AC663</f>
        <v>0</v>
      </c>
      <c r="AD666" s="108" t="b">
        <f t="shared" ref="AD666:AI666" si="288">AD663</f>
        <v>0</v>
      </c>
      <c r="AE666" s="108" t="b">
        <f t="shared" si="288"/>
        <v>0</v>
      </c>
      <c r="AF666" s="108" t="b">
        <f t="shared" si="288"/>
        <v>0</v>
      </c>
      <c r="AG666" s="108" t="b">
        <f t="shared" si="288"/>
        <v>0</v>
      </c>
      <c r="AH666" s="108" t="b">
        <f t="shared" si="288"/>
        <v>0</v>
      </c>
      <c r="AI666" s="108" t="b">
        <f t="shared" si="288"/>
        <v>0</v>
      </c>
      <c r="AJ666" s="349"/>
      <c r="AK666" s="553" t="s">
        <v>2248</v>
      </c>
      <c r="AL666" s="663" t="str">
        <f>IF(AND(CNTR_ExistSubInstEntries,COUNTIFS(AC666:AI666,2,H666:N666,"")&gt;0),EUconst_Error&amp;"FB"&amp;Q529,"")</f>
        <v/>
      </c>
      <c r="AM666" s="349"/>
    </row>
    <row r="667" spans="1:39" ht="12.75" customHeight="1" x14ac:dyDescent="0.3">
      <c r="A667" s="2"/>
      <c r="B667" s="3"/>
      <c r="C667" s="370"/>
      <c r="D667" s="376" t="s">
        <v>23</v>
      </c>
      <c r="E667" s="2613" t="str">
        <f>Translations!$B$689</f>
        <v>Särskild utsläppsfaktor (restgas)</v>
      </c>
      <c r="F667" s="1997"/>
      <c r="G667" s="449" t="str">
        <f>EUconst_tCO2pTJ</f>
        <v>t CO2 / TJ</v>
      </c>
      <c r="H667" s="747"/>
      <c r="I667" s="747"/>
      <c r="J667" s="747"/>
      <c r="K667" s="747"/>
      <c r="L667" s="747"/>
      <c r="M667" s="747"/>
      <c r="N667" s="1297"/>
      <c r="O667" s="6"/>
      <c r="P667" s="6"/>
      <c r="Q667" s="298" t="str">
        <f>EUconst_CNTR_WGConsumedEF &amp; I650</f>
        <v>WasteGasConsEF_Delanläggning med bränsleriktmärke, KL</v>
      </c>
      <c r="R667" s="2"/>
      <c r="S667" s="665" t="str">
        <f>EUconst_CNTR_AttributedEmissions &amp; I650</f>
        <v>AttrEmissions_Delanläggning med bränsleriktmärke, KL</v>
      </c>
      <c r="T667" s="108" t="str">
        <f t="shared" ref="T667:Z667" si="289">IF(T537,SUM(H666)*EUconst_FuelBMvalue,"")</f>
        <v/>
      </c>
      <c r="U667" s="108" t="str">
        <f t="shared" si="289"/>
        <v/>
      </c>
      <c r="V667" s="108" t="str">
        <f t="shared" si="289"/>
        <v/>
      </c>
      <c r="W667" s="108" t="str">
        <f t="shared" si="289"/>
        <v/>
      </c>
      <c r="X667" s="108" t="str">
        <f t="shared" si="289"/>
        <v/>
      </c>
      <c r="Y667" s="108" t="str">
        <f t="shared" si="289"/>
        <v/>
      </c>
      <c r="Z667" s="108" t="str">
        <f t="shared" si="289"/>
        <v/>
      </c>
      <c r="AA667" s="2"/>
      <c r="AB667" s="343"/>
      <c r="AC667" s="108" t="b">
        <f>AC664</f>
        <v>0</v>
      </c>
      <c r="AD667" s="108" t="b">
        <f t="shared" ref="AD667:AI667" si="290">AD664</f>
        <v>0</v>
      </c>
      <c r="AE667" s="108" t="b">
        <f t="shared" si="290"/>
        <v>0</v>
      </c>
      <c r="AF667" s="108" t="b">
        <f t="shared" si="290"/>
        <v>0</v>
      </c>
      <c r="AG667" s="108" t="b">
        <f t="shared" si="290"/>
        <v>0</v>
      </c>
      <c r="AH667" s="108" t="b">
        <f t="shared" si="290"/>
        <v>0</v>
      </c>
      <c r="AI667" s="108" t="b">
        <f t="shared" si="290"/>
        <v>0</v>
      </c>
      <c r="AJ667" s="349"/>
      <c r="AK667" s="553" t="s">
        <v>2248</v>
      </c>
      <c r="AL667" s="663" t="str">
        <f>IF(AND(CNTR_ExistSubInstEntries,COUNTIFS(AC667:AI667,2,H667:N667,"")&gt;0),EUconst_Error&amp;"FB"&amp;Q529,"")</f>
        <v/>
      </c>
      <c r="AM667" s="349"/>
    </row>
    <row r="668" spans="1:39" ht="5.15" customHeight="1" x14ac:dyDescent="0.25">
      <c r="A668" s="2"/>
      <c r="B668" s="3"/>
      <c r="C668" s="370"/>
      <c r="D668" s="359"/>
      <c r="E668" s="359"/>
      <c r="F668" s="359"/>
      <c r="G668" s="359"/>
      <c r="H668" s="359"/>
      <c r="I668" s="359"/>
      <c r="J668" s="359"/>
      <c r="K668" s="359"/>
      <c r="L668" s="359"/>
      <c r="M668" s="359"/>
      <c r="N668" s="374"/>
      <c r="O668" s="6"/>
      <c r="P668" s="6"/>
      <c r="Q668" s="7"/>
      <c r="R668" s="2"/>
      <c r="S668" s="2"/>
      <c r="T668" s="2"/>
      <c r="U668" s="2"/>
      <c r="V668" s="2"/>
      <c r="W668" s="2"/>
      <c r="X668" s="2"/>
      <c r="Y668" s="2"/>
      <c r="Z668" s="2"/>
      <c r="AA668" s="2"/>
      <c r="AB668" s="2"/>
      <c r="AC668" s="2"/>
      <c r="AD668" s="2"/>
      <c r="AE668" s="2"/>
      <c r="AF668" s="2"/>
      <c r="AG668" s="2"/>
      <c r="AH668" s="2"/>
      <c r="AI668" s="2"/>
      <c r="AJ668" s="349"/>
      <c r="AK668" s="349"/>
      <c r="AL668" s="349"/>
      <c r="AM668" s="349"/>
    </row>
    <row r="669" spans="1:39" ht="12.75" customHeight="1" x14ac:dyDescent="0.3">
      <c r="A669" s="2"/>
      <c r="B669" s="3"/>
      <c r="C669" s="370"/>
      <c r="D669" s="373" t="s">
        <v>65</v>
      </c>
      <c r="E669" s="2747" t="str">
        <f>Translations!$B$610</f>
        <v>Nettomängd exporterad värme</v>
      </c>
      <c r="F669" s="1997"/>
      <c r="G669" s="364" t="str">
        <f>EUconst_TJpa</f>
        <v>TJ / år</v>
      </c>
      <c r="H669" s="582"/>
      <c r="I669" s="582"/>
      <c r="J669" s="582"/>
      <c r="K669" s="582"/>
      <c r="L669" s="582"/>
      <c r="M669" s="582"/>
      <c r="N669" s="1146"/>
      <c r="O669" s="6"/>
      <c r="P669" s="6"/>
      <c r="Q669" s="451" t="str">
        <f>EUconst_CNTR_HeatExport &amp; I650</f>
        <v>HeatEx_Delanläggning med bränsleriktmärke, KL</v>
      </c>
      <c r="R669" s="2"/>
      <c r="S669" s="665" t="str">
        <f>EUconst_CNTR_AttributedEmissions &amp; I650</f>
        <v>AttrEmissions_Delanläggning med bränsleriktmärke, KL</v>
      </c>
      <c r="T669" s="108" t="str">
        <f t="shared" ref="T669:Z669" si="291">IF(T537,-SUM(H669)*IF(ISNUMBER(H670),H670,EUconst_HeatBMvalue),"")</f>
        <v/>
      </c>
      <c r="U669" s="108" t="str">
        <f t="shared" si="291"/>
        <v/>
      </c>
      <c r="V669" s="108" t="str">
        <f t="shared" si="291"/>
        <v/>
      </c>
      <c r="W669" s="108" t="str">
        <f t="shared" si="291"/>
        <v/>
      </c>
      <c r="X669" s="108" t="str">
        <f t="shared" si="291"/>
        <v/>
      </c>
      <c r="Y669" s="108" t="str">
        <f t="shared" si="291"/>
        <v/>
      </c>
      <c r="Z669" s="108" t="str">
        <f t="shared" si="291"/>
        <v/>
      </c>
      <c r="AA669" s="2"/>
      <c r="AB669" s="2"/>
      <c r="AC669" s="108" t="b">
        <f>AC666</f>
        <v>0</v>
      </c>
      <c r="AD669" s="108" t="b">
        <f t="shared" ref="AD669:AI669" si="292">AD666</f>
        <v>0</v>
      </c>
      <c r="AE669" s="108" t="b">
        <f t="shared" si="292"/>
        <v>0</v>
      </c>
      <c r="AF669" s="108" t="b">
        <f t="shared" si="292"/>
        <v>0</v>
      </c>
      <c r="AG669" s="108" t="b">
        <f t="shared" si="292"/>
        <v>0</v>
      </c>
      <c r="AH669" s="108" t="b">
        <f t="shared" si="292"/>
        <v>0</v>
      </c>
      <c r="AI669" s="108" t="b">
        <f t="shared" si="292"/>
        <v>0</v>
      </c>
      <c r="AJ669" s="349"/>
      <c r="AK669" s="553" t="s">
        <v>2248</v>
      </c>
      <c r="AL669" s="663" t="str">
        <f>IF(AND(CNTR_ExistSubInstEntries,COUNTIFS(AC669:AI669,2,H669:N669,"")&gt;0),EUconst_Error&amp;"FB"&amp;Q529,"")</f>
        <v/>
      </c>
      <c r="AM669" s="349"/>
    </row>
    <row r="670" spans="1:39" ht="12.75" customHeight="1" x14ac:dyDescent="0.3">
      <c r="A670" s="2"/>
      <c r="B670" s="3"/>
      <c r="C670" s="370"/>
      <c r="D670" s="373"/>
      <c r="E670" s="2613" t="str">
        <f>Translations!$B$720</f>
        <v>Särskild emissionsfaktor (värmeexport)</v>
      </c>
      <c r="F670" s="1997"/>
      <c r="G670" s="449" t="str">
        <f>EUconst_tCO2pTJ</f>
        <v>t CO2 / TJ</v>
      </c>
      <c r="H670" s="747"/>
      <c r="I670" s="747"/>
      <c r="J670" s="747"/>
      <c r="K670" s="747"/>
      <c r="L670" s="747"/>
      <c r="M670" s="747"/>
      <c r="N670" s="1297"/>
      <c r="O670" s="6"/>
      <c r="P670" s="6"/>
      <c r="Q670" s="451" t="str">
        <f>EUconst_CNTR_HeatExportEF &amp; I650</f>
        <v>HeatExEF_Delanläggning med bränsleriktmärke, KL</v>
      </c>
      <c r="R670" s="2"/>
      <c r="S670" s="746"/>
      <c r="T670" s="2"/>
      <c r="U670" s="2"/>
      <c r="V670" s="2"/>
      <c r="W670" s="2"/>
      <c r="X670" s="2"/>
      <c r="Y670" s="2"/>
      <c r="Z670" s="2"/>
      <c r="AA670" s="2"/>
      <c r="AB670" s="2"/>
      <c r="AC670" s="108" t="b">
        <f>AC667</f>
        <v>0</v>
      </c>
      <c r="AD670" s="108" t="b">
        <f t="shared" ref="AD670:AI670" si="293">AD667</f>
        <v>0</v>
      </c>
      <c r="AE670" s="108" t="b">
        <f t="shared" si="293"/>
        <v>0</v>
      </c>
      <c r="AF670" s="108" t="b">
        <f t="shared" si="293"/>
        <v>0</v>
      </c>
      <c r="AG670" s="108" t="b">
        <f t="shared" si="293"/>
        <v>0</v>
      </c>
      <c r="AH670" s="108" t="b">
        <f t="shared" si="293"/>
        <v>0</v>
      </c>
      <c r="AI670" s="108" t="b">
        <f t="shared" si="293"/>
        <v>0</v>
      </c>
      <c r="AJ670" s="349"/>
      <c r="AK670" s="553" t="s">
        <v>2248</v>
      </c>
      <c r="AL670" s="663" t="str">
        <f>IF(AND(CNTR_ExistSubInstEntries,COUNTIFS(AC670:AI670,2,H670:N670,"")&gt;0),EUconst_Error&amp;"FB"&amp;Q529,"")</f>
        <v/>
      </c>
      <c r="AM670" s="349"/>
    </row>
    <row r="671" spans="1:39" ht="12.75" customHeight="1" x14ac:dyDescent="0.3">
      <c r="A671" s="2"/>
      <c r="B671" s="3"/>
      <c r="C671" s="370"/>
      <c r="D671" s="373"/>
      <c r="E671" s="2637" t="str">
        <f>Translations!$B$598</f>
        <v>De uppgifter som anges här påverkar de utsläpp som kan tillskrivas i enlighet med avsnitt 10.1.2 och 10.1.3 i bilaga VII till FAR.</v>
      </c>
      <c r="F671" s="2634"/>
      <c r="G671" s="2634"/>
      <c r="H671" s="2634"/>
      <c r="I671" s="2634"/>
      <c r="J671" s="2634"/>
      <c r="K671" s="2634"/>
      <c r="L671" s="2634"/>
      <c r="M671" s="2634"/>
      <c r="N671" s="2638"/>
      <c r="O671" s="6"/>
      <c r="P671" s="6"/>
      <c r="Q671" s="7"/>
      <c r="R671" s="2"/>
      <c r="S671" s="746"/>
      <c r="T671" s="2"/>
      <c r="U671" s="2"/>
      <c r="V671" s="2"/>
      <c r="W671" s="2"/>
      <c r="X671" s="2"/>
      <c r="Y671" s="2"/>
      <c r="Z671" s="2"/>
      <c r="AA671" s="2"/>
      <c r="AB671" s="2"/>
      <c r="AC671" s="2"/>
      <c r="AD671" s="2"/>
      <c r="AE671" s="2"/>
      <c r="AF671" s="2"/>
      <c r="AG671" s="2"/>
      <c r="AH671" s="2"/>
      <c r="AI671" s="2"/>
      <c r="AJ671" s="349"/>
      <c r="AK671" s="349"/>
      <c r="AL671" s="349"/>
      <c r="AM671" s="349"/>
    </row>
    <row r="672" spans="1:39" ht="12.75" customHeight="1" x14ac:dyDescent="0.25">
      <c r="A672" s="2"/>
      <c r="B672" s="3"/>
      <c r="C672" s="370"/>
      <c r="D672" s="359"/>
      <c r="E672" s="2641" t="str">
        <f>Translations!$B$721</f>
        <v>Detta innefattar all spillvärme som återvinns och är berättigande för en delanläggning med värmeriktmärke eller fjärrvärmedelanläggning.</v>
      </c>
      <c r="F672" s="2635"/>
      <c r="G672" s="2635"/>
      <c r="H672" s="2635"/>
      <c r="I672" s="2635"/>
      <c r="J672" s="2635"/>
      <c r="K672" s="2635"/>
      <c r="L672" s="2635"/>
      <c r="M672" s="2635"/>
      <c r="N672" s="2636"/>
      <c r="O672" s="6"/>
      <c r="P672" s="6"/>
      <c r="Q672" s="7"/>
      <c r="R672" s="2"/>
      <c r="S672" s="7"/>
      <c r="T672" s="2"/>
      <c r="U672" s="2"/>
      <c r="V672" s="2"/>
      <c r="W672" s="2"/>
      <c r="X672" s="2"/>
      <c r="Y672" s="2"/>
      <c r="Z672" s="2"/>
      <c r="AA672" s="2"/>
      <c r="AB672" s="2"/>
      <c r="AC672" s="2"/>
      <c r="AD672" s="2"/>
      <c r="AE672" s="2"/>
      <c r="AF672" s="2"/>
      <c r="AG672" s="2"/>
      <c r="AH672" s="2"/>
      <c r="AI672" s="2"/>
      <c r="AJ672" s="349"/>
      <c r="AK672" s="349"/>
      <c r="AL672" s="349"/>
      <c r="AM672" s="349"/>
    </row>
    <row r="673" spans="1:39" ht="12.75" customHeight="1" thickBot="1" x14ac:dyDescent="0.3">
      <c r="A673" s="2"/>
      <c r="B673" s="3"/>
      <c r="C673" s="377"/>
      <c r="D673" s="378"/>
      <c r="E673" s="378"/>
      <c r="F673" s="378"/>
      <c r="G673" s="378"/>
      <c r="H673" s="378"/>
      <c r="I673" s="378"/>
      <c r="J673" s="378"/>
      <c r="K673" s="378"/>
      <c r="L673" s="378"/>
      <c r="M673" s="379"/>
      <c r="N673" s="380"/>
      <c r="O673" s="6"/>
      <c r="P673" s="6"/>
      <c r="Q673" s="7"/>
      <c r="R673" s="2"/>
      <c r="S673" s="7"/>
      <c r="T673" s="2"/>
      <c r="U673" s="2"/>
      <c r="V673" s="2"/>
      <c r="W673" s="2"/>
      <c r="X673" s="2"/>
      <c r="Y673" s="2"/>
      <c r="Z673" s="2"/>
      <c r="AA673" s="2"/>
      <c r="AB673" s="2"/>
      <c r="AC673" s="2"/>
      <c r="AD673" s="2"/>
      <c r="AE673" s="2"/>
      <c r="AF673" s="2"/>
      <c r="AG673" s="2"/>
      <c r="AH673" s="2"/>
      <c r="AI673" s="2"/>
      <c r="AJ673" s="349"/>
      <c r="AK673" s="349"/>
      <c r="AL673" s="349"/>
      <c r="AM673" s="349"/>
    </row>
    <row r="674" spans="1:39" ht="25.5" customHeight="1" thickBot="1" x14ac:dyDescent="0.3">
      <c r="A674" s="2"/>
      <c r="B674" s="19"/>
      <c r="C674" s="19"/>
      <c r="D674" s="19"/>
      <c r="E674" s="19"/>
      <c r="F674" s="19"/>
      <c r="G674" s="19"/>
      <c r="H674" s="19"/>
      <c r="I674" s="19"/>
      <c r="J674" s="19"/>
      <c r="K674" s="19"/>
      <c r="L674" s="19"/>
      <c r="M674" s="19"/>
      <c r="N674" s="19"/>
      <c r="O674" s="6"/>
      <c r="P674" s="6"/>
      <c r="Q674" s="2"/>
      <c r="R674" s="2"/>
      <c r="S674" s="2"/>
      <c r="T674" s="2"/>
      <c r="U674" s="2"/>
      <c r="V674" s="2"/>
      <c r="W674" s="2"/>
      <c r="X674" s="2"/>
      <c r="Y674" s="2"/>
      <c r="Z674" s="2"/>
      <c r="AA674" s="2"/>
      <c r="AB674" s="2"/>
      <c r="AC674" s="2"/>
      <c r="AD674" s="2"/>
      <c r="AE674" s="349"/>
      <c r="AF674" s="349"/>
      <c r="AG674" s="349"/>
      <c r="AH674" s="349"/>
      <c r="AI674" s="349"/>
      <c r="AJ674" s="349"/>
      <c r="AK674" s="349"/>
      <c r="AL674" s="349"/>
      <c r="AM674" s="349"/>
    </row>
    <row r="675" spans="1:39" ht="5.15" customHeight="1" thickBot="1" x14ac:dyDescent="0.3">
      <c r="A675" s="343"/>
      <c r="B675" s="3"/>
      <c r="C675" s="230"/>
      <c r="D675" s="230"/>
      <c r="E675" s="230"/>
      <c r="F675" s="230"/>
      <c r="G675" s="230"/>
      <c r="H675" s="230"/>
      <c r="I675" s="230"/>
      <c r="J675" s="230"/>
      <c r="K675" s="230"/>
      <c r="L675" s="230"/>
      <c r="M675" s="230"/>
      <c r="N675" s="230"/>
      <c r="O675" s="6"/>
      <c r="P675" s="6"/>
      <c r="Q675" s="1767"/>
      <c r="R675" s="1767"/>
      <c r="S675" s="1767"/>
      <c r="T675" s="1767"/>
      <c r="U675" s="1767"/>
      <c r="V675" s="1767"/>
      <c r="W675" s="1767"/>
      <c r="X675" s="1767"/>
      <c r="Y675" s="1767"/>
      <c r="Z675" s="1767"/>
      <c r="AA675" s="1767"/>
      <c r="AB675" s="1767"/>
      <c r="AC675" s="1767"/>
      <c r="AD675" s="1767"/>
      <c r="AE675" s="1767"/>
      <c r="AF675" s="1767"/>
      <c r="AG675" s="1767"/>
      <c r="AH675" s="1767"/>
      <c r="AI675" s="1767"/>
      <c r="AJ675" s="1767"/>
      <c r="AK675" s="1767"/>
      <c r="AL675" s="1767"/>
      <c r="AM675" s="1767"/>
    </row>
    <row r="676" spans="1:39" ht="14.5" thickBot="1" x14ac:dyDescent="0.35">
      <c r="A676" s="2"/>
      <c r="B676" s="3"/>
      <c r="C676" s="17">
        <f>C529+1</f>
        <v>5</v>
      </c>
      <c r="D676" s="2053" t="str">
        <f>EUconst_FBSubinst &amp; ":"</f>
        <v>”Fall-back”-delanläggning:</v>
      </c>
      <c r="E676" s="1963"/>
      <c r="F676" s="1963"/>
      <c r="G676" s="1963"/>
      <c r="H676" s="2060"/>
      <c r="I676" s="2090" t="str">
        <f>INDEX(EUconst_FallBackListNames,$C676)</f>
        <v>Delanläggning med bränsleriktmärke, ej KL</v>
      </c>
      <c r="J676" s="2120"/>
      <c r="K676" s="2120"/>
      <c r="L676" s="2648"/>
      <c r="M676" s="2085" t="str">
        <f>IF(INDEX(CNTR_FallBackSubInstRelevant,C676)="","",IF(INDEX(CNTR_FallBackSubInstRelevant,C676),EUconst_Relevant,EUconst_NotRelevant))</f>
        <v/>
      </c>
      <c r="N676" s="2086"/>
      <c r="O676" s="6"/>
      <c r="P676" s="6"/>
      <c r="Q676" s="452">
        <f>C676</f>
        <v>5</v>
      </c>
      <c r="R676" s="2"/>
      <c r="S676" s="553" t="s">
        <v>608</v>
      </c>
      <c r="T676" s="979" t="str">
        <f>IF(M676&lt;&gt;EUconst_Relevant,"",MAX(INDEX(CNTR_SubInstStartDate,MATCH($I676,CNTR_SubInstListNames,0)),DATE(2005,1,1)))</f>
        <v/>
      </c>
      <c r="U676" s="343" t="s">
        <v>1873</v>
      </c>
      <c r="V676" s="663">
        <f>IF(ISNUMBER(T676),YEAR($T676-IF(YEAR(T676)&gt;=2022,0,1))+1,2005)</f>
        <v>2005</v>
      </c>
      <c r="W676" s="553" t="s">
        <v>1876</v>
      </c>
      <c r="X676" s="979" t="str">
        <f>IF(M676&lt;&gt;EUconst_Relevant,"",INDEX(CNTR_SubInstCessationDate,MATCH($I676,CNTR_SubInstListNames,0)))</f>
        <v/>
      </c>
      <c r="Y676" s="553" t="s">
        <v>1877</v>
      </c>
      <c r="Z676" s="663">
        <f>IF(SUM(X676)=0,2050,YEAR($X676))</f>
        <v>2050</v>
      </c>
      <c r="AA676" s="553" t="s">
        <v>2201</v>
      </c>
      <c r="AB676" s="663" t="b">
        <f>CNTR_ReportingYear&gt;V676</f>
        <v>1</v>
      </c>
      <c r="AC676" s="553" t="s">
        <v>1475</v>
      </c>
      <c r="AD676" s="555" t="b">
        <f>AND(CNTR_ExistSubInstEntries,M676=EUconst_NotRelevant)</f>
        <v>0</v>
      </c>
      <c r="AE676" s="349"/>
      <c r="AF676" s="349"/>
      <c r="AG676" s="349"/>
      <c r="AH676" s="349"/>
      <c r="AI676" s="349"/>
      <c r="AJ676" s="349"/>
      <c r="AK676" s="349"/>
      <c r="AL676" s="349"/>
      <c r="AM676" s="349"/>
    </row>
    <row r="677" spans="1:39" ht="12.75" customHeight="1" x14ac:dyDescent="0.25">
      <c r="A677" s="2"/>
      <c r="B677" s="19"/>
      <c r="C677" s="19"/>
      <c r="D677" s="19"/>
      <c r="E677" s="19"/>
      <c r="F677" s="19"/>
      <c r="G677" s="19"/>
      <c r="H677" s="45"/>
      <c r="I677" s="2683" t="str">
        <f>IF(M676&lt;&gt;EUconst_Relevant,"",IF(M676=EUconst_Relevant,HYPERLINK("",EUconst_MsgEnterThisSection),HYPERLINK(R677,EUconst_MsgGoToNextSubInst)))</f>
        <v/>
      </c>
      <c r="J677" s="2684"/>
      <c r="K677" s="2684"/>
      <c r="L677" s="2684"/>
      <c r="M677" s="2685"/>
      <c r="N677" s="2686"/>
      <c r="O677" s="6"/>
      <c r="P677" s="6"/>
      <c r="Q677" s="2" t="s">
        <v>484</v>
      </c>
      <c r="R677" s="394" t="str">
        <f>"#JUMP_G"&amp;Q676+1</f>
        <v>#JUMP_G6</v>
      </c>
      <c r="S677" s="2"/>
      <c r="T677" s="2"/>
      <c r="U677" s="2"/>
      <c r="V677" s="2"/>
      <c r="W677" s="2"/>
      <c r="X677" s="2"/>
      <c r="Y677" s="2"/>
      <c r="Z677" s="343"/>
      <c r="AA677" s="2"/>
      <c r="AB677" s="2"/>
      <c r="AC677" s="2"/>
      <c r="AD677" s="2"/>
      <c r="AE677" s="349"/>
      <c r="AF677" s="349"/>
      <c r="AG677" s="349"/>
      <c r="AH677" s="349"/>
      <c r="AI677" s="349"/>
      <c r="AJ677" s="349"/>
      <c r="AK677" s="349"/>
      <c r="AL677" s="349"/>
      <c r="AM677" s="349"/>
    </row>
    <row r="678" spans="1:39" ht="12.75" customHeight="1" x14ac:dyDescent="0.25">
      <c r="A678" s="2"/>
      <c r="B678" s="3"/>
      <c r="C678" s="3"/>
      <c r="D678" s="15"/>
      <c r="E678" s="2061" t="str">
        <f>Translations!$B$663</f>
        <v>Namnet på ”fall-back”-delanläggningen visas automatiskt på grundval av den sammanställda listan över möjliga ”fall-back”-anläggningar.</v>
      </c>
      <c r="F678" s="1963"/>
      <c r="G678" s="1963"/>
      <c r="H678" s="1963"/>
      <c r="I678" s="1963"/>
      <c r="J678" s="1963"/>
      <c r="K678" s="1963"/>
      <c r="L678" s="1963"/>
      <c r="M678" s="1963"/>
      <c r="N678" s="1963"/>
      <c r="O678" s="6"/>
      <c r="P678" s="6"/>
      <c r="Q678" s="7"/>
      <c r="R678" s="7"/>
      <c r="S678" s="2"/>
      <c r="T678" s="2"/>
      <c r="U678" s="2"/>
      <c r="V678" s="2"/>
      <c r="W678" s="2"/>
      <c r="X678" s="2"/>
      <c r="Y678" s="2"/>
      <c r="Z678" s="2"/>
      <c r="AA678" s="2"/>
      <c r="AB678" s="2"/>
      <c r="AC678" s="2"/>
      <c r="AD678" s="2"/>
      <c r="AE678" s="349"/>
      <c r="AF678" s="349"/>
      <c r="AG678" s="349"/>
      <c r="AH678" s="349"/>
      <c r="AI678" s="349"/>
      <c r="AJ678" s="349"/>
      <c r="AK678" s="349"/>
      <c r="AL678" s="349"/>
      <c r="AM678" s="349"/>
    </row>
    <row r="679" spans="1:39" ht="5.15" customHeight="1" x14ac:dyDescent="0.25">
      <c r="A679" s="2"/>
      <c r="B679" s="3"/>
      <c r="C679" s="3"/>
      <c r="D679" s="3"/>
      <c r="E679" s="3"/>
      <c r="F679" s="3"/>
      <c r="G679" s="3"/>
      <c r="H679" s="3"/>
      <c r="I679" s="3"/>
      <c r="J679" s="3"/>
      <c r="K679" s="3"/>
      <c r="L679" s="3"/>
      <c r="M679" s="6"/>
      <c r="N679" s="6"/>
      <c r="O679" s="6"/>
      <c r="P679" s="6"/>
      <c r="Q679" s="7"/>
      <c r="R679" s="7"/>
      <c r="S679" s="7"/>
      <c r="T679" s="7"/>
      <c r="U679" s="7"/>
      <c r="V679" s="7"/>
      <c r="W679" s="7"/>
      <c r="X679" s="7"/>
      <c r="Y679" s="7"/>
      <c r="Z679" s="2"/>
      <c r="AA679" s="2"/>
      <c r="AB679" s="2"/>
      <c r="AC679" s="2"/>
      <c r="AD679" s="2"/>
      <c r="AE679" s="349"/>
      <c r="AF679" s="349"/>
      <c r="AG679" s="349"/>
      <c r="AH679" s="349"/>
      <c r="AI679" s="349"/>
      <c r="AJ679" s="349"/>
      <c r="AK679" s="349"/>
      <c r="AL679" s="349"/>
      <c r="AM679" s="349"/>
    </row>
    <row r="680" spans="1:39" ht="12.75" customHeight="1" x14ac:dyDescent="0.25">
      <c r="A680" s="2"/>
      <c r="B680" s="3"/>
      <c r="C680" s="13"/>
      <c r="D680" s="13" t="s">
        <v>442</v>
      </c>
      <c r="E680" s="1943" t="str">
        <f>Translations!$B$1466</f>
        <v>Verksamhetsnivåer</v>
      </c>
      <c r="F680" s="1963"/>
      <c r="G680" s="1963"/>
      <c r="H680" s="1963"/>
      <c r="I680" s="1963"/>
      <c r="J680" s="1963"/>
      <c r="K680" s="1963"/>
      <c r="L680" s="1963"/>
      <c r="M680" s="1963"/>
      <c r="N680" s="1963"/>
      <c r="O680" s="6"/>
      <c r="P680" s="6"/>
      <c r="Q680" s="7"/>
      <c r="R680" s="7"/>
      <c r="S680" s="7"/>
      <c r="T680" s="7"/>
      <c r="U680" s="7"/>
      <c r="V680" s="7"/>
      <c r="W680" s="7"/>
      <c r="X680" s="7"/>
      <c r="Y680" s="7"/>
      <c r="Z680" s="2"/>
      <c r="AA680" s="2"/>
      <c r="AB680" s="343"/>
      <c r="AC680" s="2"/>
      <c r="AD680" s="2"/>
      <c r="AE680" s="349"/>
      <c r="AF680" s="349"/>
      <c r="AG680" s="349"/>
      <c r="AH680" s="349"/>
      <c r="AI680" s="349"/>
      <c r="AJ680" s="349"/>
      <c r="AK680" s="349"/>
      <c r="AL680" s="349"/>
      <c r="AM680" s="349"/>
    </row>
    <row r="681" spans="1:39" ht="12.75" customHeight="1" x14ac:dyDescent="0.25">
      <c r="A681" s="2"/>
      <c r="B681" s="3"/>
      <c r="C681" s="15"/>
      <c r="D681" s="15"/>
      <c r="E681" s="2682" t="str">
        <f>Translations!$B$1527</f>
        <v>Följande uppgifter hämtas automatiskt från bladet ”E_EnergyFlows”, avsnitt E.I.Uppgifter måste därför matas in där.</v>
      </c>
      <c r="F681" s="2682"/>
      <c r="G681" s="2682"/>
      <c r="H681" s="2682"/>
      <c r="I681" s="2682"/>
      <c r="J681" s="2682"/>
      <c r="K681" s="2682"/>
      <c r="L681" s="2682"/>
      <c r="M681" s="2682"/>
      <c r="N681" s="2682"/>
      <c r="O681" s="6"/>
      <c r="P681" s="6"/>
      <c r="Q681" s="7"/>
      <c r="R681" s="2"/>
      <c r="S681" s="2"/>
      <c r="T681" s="2"/>
      <c r="U681" s="2"/>
      <c r="V681" s="2"/>
      <c r="W681" s="2"/>
      <c r="X681" s="2"/>
      <c r="Y681" s="2"/>
      <c r="Z681" s="2"/>
      <c r="AA681" s="2"/>
      <c r="AB681" s="2"/>
      <c r="AC681" s="2"/>
      <c r="AD681" s="2"/>
      <c r="AE681" s="349"/>
      <c r="AF681" s="349"/>
      <c r="AG681" s="349"/>
      <c r="AH681" s="349"/>
      <c r="AI681" s="349"/>
      <c r="AJ681" s="349"/>
      <c r="AK681" s="349"/>
      <c r="AL681" s="349"/>
      <c r="AM681" s="349"/>
    </row>
    <row r="682" spans="1:39" ht="12.75" customHeight="1" x14ac:dyDescent="0.25">
      <c r="A682" s="2"/>
      <c r="B682" s="3"/>
      <c r="C682" s="3"/>
      <c r="D682" s="15"/>
      <c r="E682" s="2095" t="str">
        <f>Translations!$B$1486</f>
        <v>Baserat på när start av drift inträffade enligt avsnitt B+C.I i bladet "B+C_SubInstallations" kommer den historiska verksamhetsnivån (HAL) antingen att baseras på värdena enligt de nationella genomförandeåtgärderna (visas under ii) eller det första hela kalenderårets drift för nya delanläggningar (visas under iv).</v>
      </c>
      <c r="F682" s="2706"/>
      <c r="G682" s="2706"/>
      <c r="H682" s="2706"/>
      <c r="I682" s="2706"/>
      <c r="J682" s="2706"/>
      <c r="K682" s="2706"/>
      <c r="L682" s="2706"/>
      <c r="M682" s="2706"/>
      <c r="N682" s="2706"/>
      <c r="O682" s="6"/>
      <c r="P682" s="6"/>
      <c r="Q682" s="7"/>
      <c r="R682" s="2"/>
      <c r="S682" s="2"/>
      <c r="T682" s="2"/>
      <c r="U682" s="2"/>
      <c r="V682" s="2"/>
      <c r="W682" s="2"/>
      <c r="X682" s="2"/>
      <c r="Y682" s="2"/>
      <c r="Z682" s="2"/>
      <c r="AA682" s="343"/>
      <c r="AB682" s="343"/>
      <c r="AC682" s="2"/>
      <c r="AD682" s="2"/>
      <c r="AE682" s="349"/>
      <c r="AF682" s="349"/>
      <c r="AG682" s="349"/>
      <c r="AH682" s="349"/>
      <c r="AI682" s="349"/>
      <c r="AJ682" s="349"/>
      <c r="AK682" s="349"/>
      <c r="AL682" s="349"/>
      <c r="AM682" s="349"/>
    </row>
    <row r="683" spans="1:39" ht="12.75" customHeight="1" thickBot="1" x14ac:dyDescent="0.3">
      <c r="A683" s="2"/>
      <c r="B683" s="19"/>
      <c r="C683" s="13"/>
      <c r="D683" s="13"/>
      <c r="E683" s="42" t="str">
        <f>Translations!$B$665</f>
        <v>Huvudsaklig verksamhetsnivå:</v>
      </c>
      <c r="F683" s="913"/>
      <c r="G683" s="30" t="str">
        <f>EUconst_Unit</f>
        <v>Enhet</v>
      </c>
      <c r="H683" s="320">
        <f t="shared" ref="H683:N683" si="294">H$950</f>
        <v>2019</v>
      </c>
      <c r="I683" s="342">
        <f t="shared" si="294"/>
        <v>2020</v>
      </c>
      <c r="J683" s="987">
        <f t="shared" si="294"/>
        <v>2021</v>
      </c>
      <c r="K683" s="320">
        <f t="shared" si="294"/>
        <v>2022</v>
      </c>
      <c r="L683" s="320">
        <f t="shared" si="294"/>
        <v>2023</v>
      </c>
      <c r="M683" s="320">
        <f t="shared" si="294"/>
        <v>2024</v>
      </c>
      <c r="N683" s="350">
        <f t="shared" si="294"/>
        <v>2025</v>
      </c>
      <c r="O683" s="6"/>
      <c r="P683" s="6"/>
      <c r="Q683" s="152" t="s">
        <v>594</v>
      </c>
      <c r="R683" s="2"/>
      <c r="S683" s="2"/>
      <c r="T683" s="1044">
        <f t="shared" ref="T683:Z683" si="295">H683</f>
        <v>2019</v>
      </c>
      <c r="U683" s="1044">
        <f t="shared" si="295"/>
        <v>2020</v>
      </c>
      <c r="V683" s="1044">
        <f t="shared" si="295"/>
        <v>2021</v>
      </c>
      <c r="W683" s="1044">
        <f t="shared" si="295"/>
        <v>2022</v>
      </c>
      <c r="X683" s="1044">
        <f t="shared" si="295"/>
        <v>2023</v>
      </c>
      <c r="Y683" s="1044">
        <f t="shared" si="295"/>
        <v>2024</v>
      </c>
      <c r="Z683" s="1044">
        <f t="shared" si="295"/>
        <v>2025</v>
      </c>
      <c r="AA683" s="343"/>
      <c r="AB683" s="343"/>
      <c r="AC683" s="2"/>
      <c r="AD683" s="2"/>
      <c r="AE683" s="349"/>
      <c r="AF683" s="349"/>
      <c r="AG683" s="349"/>
      <c r="AH683" s="349"/>
      <c r="AI683" s="349"/>
      <c r="AJ683" s="349"/>
      <c r="AK683" s="349"/>
      <c r="AL683" s="349"/>
      <c r="AM683" s="349"/>
    </row>
    <row r="684" spans="1:39" ht="12.75" customHeight="1" thickBot="1" x14ac:dyDescent="0.3">
      <c r="A684" s="2"/>
      <c r="B684" s="19"/>
      <c r="C684" s="19"/>
      <c r="D684" s="175" t="s">
        <v>8</v>
      </c>
      <c r="E684" s="2655" t="str">
        <f>I676</f>
        <v>Delanläggning med bränsleriktmärke, ej KL</v>
      </c>
      <c r="F684" s="2655"/>
      <c r="G684" s="91" t="str">
        <f>INDEX(EUconst_FallBackListUnits,MATCH(E684,EUconst_FallBackListNames,0))</f>
        <v>TJ</v>
      </c>
      <c r="H684" s="258" t="str">
        <f>IF($M676&lt;&gt;EUconst_Relevant,"",IF(H683&gt;=CNTR_ReportingYear,"",IF(AND(H683&gt;=$V676-1,ISNUMBER(INDEX(E_EnergyFlows!H$400:H$406,MATCH($E684,E_EnergyFlows!$E$400:$E$406,0)))),INDEX(E_EnergyFlows!H$400:H$406,MATCH($E684,E_EnergyFlows!$E$400:$E$406,0)),0)))</f>
        <v/>
      </c>
      <c r="I684" s="695" t="str">
        <f>IF($M676&lt;&gt;EUconst_Relevant,"",IF(I683&gt;=CNTR_ReportingYear,"",IF(AND(I683&gt;=$V676-1,ISNUMBER(INDEX(E_EnergyFlows!I$400:I$406,MATCH($E684,E_EnergyFlows!$E$400:$E$406,0)))),INDEX(E_EnergyFlows!I$400:I$406,MATCH($E684,E_EnergyFlows!$E$400:$E$406,0)),0)))</f>
        <v/>
      </c>
      <c r="J684" s="696" t="str">
        <f>IF($M676&lt;&gt;EUconst_Relevant,"",IF(J683&gt;=CNTR_ReportingYear,"",IF(AND(J683&gt;=$V676-1,ISNUMBER(INDEX(E_EnergyFlows!J$400:J$406,MATCH($E684,E_EnergyFlows!$E$400:$E$406,0)))),INDEX(E_EnergyFlows!J$400:J$406,MATCH($E684,E_EnergyFlows!$E$400:$E$406,0)),0)))</f>
        <v/>
      </c>
      <c r="K684" s="258" t="str">
        <f>IF($M676&lt;&gt;EUconst_Relevant,"",IF(K683&gt;=CNTR_ReportingYear,"",IF(AND(K683&gt;=$V676-1,ISNUMBER(INDEX(E_EnergyFlows!K$400:K$406,MATCH($E684,E_EnergyFlows!$E$400:$E$406,0)))),INDEX(E_EnergyFlows!K$400:K$406,MATCH($E684,E_EnergyFlows!$E$400:$E$406,0)),0)))</f>
        <v/>
      </c>
      <c r="L684" s="258" t="str">
        <f>IF($M676&lt;&gt;EUconst_Relevant,"",IF(L683&gt;=CNTR_ReportingYear,"",IF(AND(L683&gt;=$V676-1,ISNUMBER(INDEX(E_EnergyFlows!L$400:L$406,MATCH($E684,E_EnergyFlows!$E$400:$E$406,0)))),INDEX(E_EnergyFlows!L$400:L$406,MATCH($E684,E_EnergyFlows!$E$400:$E$406,0)),0)))</f>
        <v/>
      </c>
      <c r="M684" s="258" t="str">
        <f>IF($M676&lt;&gt;EUconst_Relevant,"",IF(M683&gt;=CNTR_ReportingYear,"",IF(AND(M683&gt;=$V676-1,ISNUMBER(INDEX(E_EnergyFlows!M$400:M$406,MATCH($E684,E_EnergyFlows!$E$400:$E$406,0)))),INDEX(E_EnergyFlows!M$400:M$406,MATCH($E684,E_EnergyFlows!$E$400:$E$406,0)),0)))</f>
        <v/>
      </c>
      <c r="N684" s="258" t="str">
        <f>IF($M676&lt;&gt;EUconst_Relevant,"",IF(N683&gt;=CNTR_ReportingYear,"",IF(AND(N683&gt;=$V676-1,ISNUMBER(INDEX(E_EnergyFlows!N$400:N$406,MATCH($E684,E_EnergyFlows!$E$400:$E$406,0)))),INDEX(E_EnergyFlows!N$400:N$406,MATCH($E684,E_EnergyFlows!$E$400:$E$406,0)),0)))</f>
        <v/>
      </c>
      <c r="O684" s="918"/>
      <c r="P684" s="6"/>
      <c r="Q684" s="154" t="str">
        <f>EUconst_CNTR_HAL&amp;E684</f>
        <v>HAL_Delanläggning med bränsleriktmärke, ej KL</v>
      </c>
      <c r="R684" s="2"/>
      <c r="S684" s="309" t="s">
        <v>1874</v>
      </c>
      <c r="T684" s="1126" t="b">
        <f t="shared" ref="T684:Z684" si="296">AND($M676=EUconst_Relevant,T683&lt;CNTR_ReportingYear,T683&gt;=$V676-1)</f>
        <v>0</v>
      </c>
      <c r="U684" s="1127" t="b">
        <f t="shared" si="296"/>
        <v>0</v>
      </c>
      <c r="V684" s="1127" t="b">
        <f t="shared" si="296"/>
        <v>0</v>
      </c>
      <c r="W684" s="1127" t="b">
        <f t="shared" si="296"/>
        <v>0</v>
      </c>
      <c r="X684" s="1127" t="b">
        <f t="shared" si="296"/>
        <v>0</v>
      </c>
      <c r="Y684" s="1127" t="b">
        <f t="shared" si="296"/>
        <v>0</v>
      </c>
      <c r="Z684" s="1128" t="b">
        <f t="shared" si="296"/>
        <v>0</v>
      </c>
      <c r="AA684" s="2"/>
      <c r="AB684" s="2"/>
      <c r="AC684" s="309"/>
      <c r="AD684" s="2"/>
      <c r="AE684" s="349"/>
      <c r="AF684" s="349"/>
      <c r="AG684" s="349"/>
      <c r="AH684" s="349"/>
      <c r="AI684" s="349"/>
      <c r="AJ684" s="349"/>
      <c r="AK684" s="553" t="s">
        <v>2242</v>
      </c>
      <c r="AL684" s="108" t="str">
        <f>IF(COUNTIFS(H683:N683,"&lt;"&amp;YEAR(SUM(T676)),H684:N684,"&gt;"&amp;0)&gt;0,EUconst_Error&amp;"FB"&amp;Q676,"")</f>
        <v/>
      </c>
      <c r="AM684" s="349"/>
    </row>
    <row r="685" spans="1:39" ht="5.15" customHeight="1" x14ac:dyDescent="0.25">
      <c r="A685" s="2"/>
      <c r="B685" s="178"/>
      <c r="C685" s="178"/>
      <c r="D685" s="15"/>
      <c r="E685" s="15"/>
      <c r="F685" s="15"/>
      <c r="G685" s="15"/>
      <c r="H685" s="15"/>
      <c r="I685" s="15"/>
      <c r="J685" s="15"/>
      <c r="K685" s="15"/>
      <c r="L685" s="15"/>
      <c r="M685" s="15"/>
      <c r="N685" s="15"/>
      <c r="O685" s="15"/>
      <c r="P685" s="6"/>
      <c r="Q685" s="343"/>
      <c r="R685" s="2"/>
      <c r="S685" s="343"/>
      <c r="T685" s="343"/>
      <c r="U685" s="2"/>
      <c r="V685" s="2"/>
      <c r="W685" s="2"/>
      <c r="X685" s="2"/>
      <c r="Y685" s="2"/>
      <c r="Z685" s="343"/>
      <c r="AA685" s="2"/>
      <c r="AB685" s="343"/>
      <c r="AC685" s="2"/>
      <c r="AD685" s="2"/>
      <c r="AE685" s="349"/>
      <c r="AF685" s="349"/>
      <c r="AG685" s="349"/>
      <c r="AH685" s="349"/>
      <c r="AI685" s="349"/>
      <c r="AJ685" s="349"/>
      <c r="AK685" s="349"/>
      <c r="AL685" s="349"/>
      <c r="AM685" s="349"/>
    </row>
    <row r="686" spans="1:39" ht="25.5" customHeight="1" x14ac:dyDescent="0.25">
      <c r="A686" s="2"/>
      <c r="B686" s="178"/>
      <c r="C686" s="178"/>
      <c r="D686" s="15"/>
      <c r="E686" s="2061" t="str">
        <f>Translations!$B$1487</f>
        <v>Baserat på värdena för historisk verksamhetsnivå (HAL) och värdena under punkt a) ovan bestäms de genomsnittliga verksamhetsnivåerna här. Tilldelningen kommer endast att ändras om alla följande tröskelvärden i artiklarna 5 och 6 i verksamhetsändringsförordningen överskrids:</v>
      </c>
      <c r="F686" s="1963"/>
      <c r="G686" s="1963"/>
      <c r="H686" s="1963"/>
      <c r="I686" s="1963"/>
      <c r="J686" s="1963"/>
      <c r="K686" s="1963"/>
      <c r="L686" s="1963"/>
      <c r="M686" s="1963"/>
      <c r="N686" s="1963"/>
      <c r="O686" s="15"/>
      <c r="P686" s="6"/>
      <c r="Q686" s="343"/>
      <c r="R686" s="2"/>
      <c r="S686" s="343"/>
      <c r="T686" s="343"/>
      <c r="U686" s="343"/>
      <c r="V686" s="2"/>
      <c r="W686" s="2"/>
      <c r="X686" s="2"/>
      <c r="Y686" s="2"/>
      <c r="Z686" s="2"/>
      <c r="AA686" s="2"/>
      <c r="AB686" s="2"/>
      <c r="AC686" s="2"/>
      <c r="AD686" s="2"/>
      <c r="AE686" s="2"/>
      <c r="AF686" s="2"/>
      <c r="AG686" s="2"/>
      <c r="AH686" s="2"/>
      <c r="AI686" s="2"/>
      <c r="AJ686" s="2"/>
      <c r="AK686" s="2"/>
      <c r="AL686" s="2"/>
      <c r="AM686" s="349"/>
    </row>
    <row r="687" spans="1:39" ht="12.75" customHeight="1" x14ac:dyDescent="0.25">
      <c r="A687" s="2"/>
      <c r="B687" s="178"/>
      <c r="C687" s="178"/>
      <c r="D687" s="15"/>
      <c r="E687" s="1102" t="s">
        <v>1112</v>
      </c>
      <c r="F687" s="2095" t="str">
        <f>Translations!$B$1470</f>
        <v>De relativa tröskelvärdena (15 % och 5 % för efterföljande ändringar) för de genomsnittliga verksamhetsnivåerna jämfört med HAL</v>
      </c>
      <c r="G687" s="2159"/>
      <c r="H687" s="2159"/>
      <c r="I687" s="2159"/>
      <c r="J687" s="2159"/>
      <c r="K687" s="2159"/>
      <c r="L687" s="2159"/>
      <c r="M687" s="2159"/>
      <c r="N687" s="2159"/>
      <c r="O687" s="15"/>
      <c r="P687" s="6"/>
      <c r="Q687" s="343"/>
      <c r="R687" s="2"/>
      <c r="S687" s="343"/>
      <c r="T687" s="343"/>
      <c r="U687" s="343"/>
      <c r="V687" s="2"/>
      <c r="W687" s="2"/>
      <c r="X687" s="2"/>
      <c r="Y687" s="2"/>
      <c r="Z687" s="2"/>
      <c r="AA687" s="2"/>
      <c r="AB687" s="2"/>
      <c r="AC687" s="2"/>
      <c r="AD687" s="2"/>
      <c r="AE687" s="2"/>
      <c r="AF687" s="2"/>
      <c r="AG687" s="2"/>
      <c r="AH687" s="2"/>
      <c r="AI687" s="2"/>
      <c r="AJ687" s="2"/>
      <c r="AK687" s="2"/>
      <c r="AL687" s="2"/>
      <c r="AM687" s="349"/>
    </row>
    <row r="688" spans="1:39" ht="12.75" customHeight="1" x14ac:dyDescent="0.25">
      <c r="A688" s="2"/>
      <c r="B688" s="178"/>
      <c r="C688" s="178"/>
      <c r="D688" s="15"/>
      <c r="E688" s="1102" t="s">
        <v>1112</v>
      </c>
      <c r="F688" s="2095" t="str">
        <f>Translations!$B$1471</f>
        <v>Det absoluta tröskelvärdet, dvs. en ändring skulle leda till en ändring av den preliminära tilldelningen på minst 100 utsläppsrätter</v>
      </c>
      <c r="G688" s="2159"/>
      <c r="H688" s="2159"/>
      <c r="I688" s="2159"/>
      <c r="J688" s="2159"/>
      <c r="K688" s="2159"/>
      <c r="L688" s="2159"/>
      <c r="M688" s="2159"/>
      <c r="N688" s="2159"/>
      <c r="O688" s="15"/>
      <c r="P688" s="6"/>
      <c r="Q688" s="343"/>
      <c r="R688" s="2"/>
      <c r="S688" s="343"/>
      <c r="T688" s="343"/>
      <c r="U688" s="343"/>
      <c r="V688" s="2"/>
      <c r="W688" s="2"/>
      <c r="X688" s="2"/>
      <c r="Y688" s="2"/>
      <c r="Z688" s="2"/>
      <c r="AA688" s="2"/>
      <c r="AB688" s="2"/>
      <c r="AC688" s="2"/>
      <c r="AD688" s="2"/>
      <c r="AE688" s="2"/>
      <c r="AF688" s="2"/>
      <c r="AG688" s="2"/>
      <c r="AH688" s="2"/>
      <c r="AI688" s="2"/>
      <c r="AJ688" s="2"/>
      <c r="AK688" s="2"/>
      <c r="AL688" s="2"/>
      <c r="AM688" s="349"/>
    </row>
    <row r="689" spans="1:39" ht="12.75" customHeight="1" thickBot="1" x14ac:dyDescent="0.3">
      <c r="A689" s="2"/>
      <c r="B689" s="178"/>
      <c r="C689" s="178"/>
      <c r="D689" s="15"/>
      <c r="E689" s="1102" t="s">
        <v>1112</v>
      </c>
      <c r="F689" s="2095" t="str">
        <f>Translations!$B$1488</f>
        <v>De ändrade verksamhetsnivåerna uppvägs inte av de ändringar av energieffektiviteten som fastställs i punkt b), b.1) och b.2) nedan.</v>
      </c>
      <c r="G689" s="2159"/>
      <c r="H689" s="2159"/>
      <c r="I689" s="2159"/>
      <c r="J689" s="2159"/>
      <c r="K689" s="2159"/>
      <c r="L689" s="2159"/>
      <c r="M689" s="2159"/>
      <c r="N689" s="2159"/>
      <c r="O689" s="15"/>
      <c r="P689" s="6"/>
      <c r="Q689" s="343"/>
      <c r="R689" s="2"/>
      <c r="S689" s="343"/>
      <c r="T689" s="343"/>
      <c r="U689" s="343"/>
      <c r="V689" s="2"/>
      <c r="W689" s="2"/>
      <c r="X689" s="2"/>
      <c r="Y689" s="2"/>
      <c r="Z689" s="2"/>
      <c r="AA689" s="2"/>
      <c r="AB689" s="2"/>
      <c r="AC689" s="2"/>
      <c r="AD689" s="2"/>
      <c r="AE689" s="2"/>
      <c r="AF689" s="2"/>
      <c r="AG689" s="2"/>
      <c r="AH689" s="2"/>
      <c r="AI689" s="2"/>
      <c r="AJ689" s="2"/>
      <c r="AK689" s="2"/>
      <c r="AL689" s="2"/>
      <c r="AM689" s="349"/>
    </row>
    <row r="690" spans="1:39" ht="5.15" customHeight="1" thickBot="1" x14ac:dyDescent="0.3">
      <c r="A690" s="2"/>
      <c r="B690" s="178"/>
      <c r="C690" s="178"/>
      <c r="D690" s="1238"/>
      <c r="E690" s="1278"/>
      <c r="F690" s="1239"/>
      <c r="G690" s="1279"/>
      <c r="H690" s="1279"/>
      <c r="I690" s="1279"/>
      <c r="J690" s="1279"/>
      <c r="K690" s="1279"/>
      <c r="L690" s="1279"/>
      <c r="M690" s="1279"/>
      <c r="N690" s="1280"/>
      <c r="O690" s="15"/>
      <c r="P690" s="6"/>
      <c r="Q690" s="343"/>
      <c r="R690" s="2"/>
      <c r="S690" s="343"/>
      <c r="T690" s="343"/>
      <c r="U690" s="343"/>
      <c r="V690" s="2"/>
      <c r="W690" s="2"/>
      <c r="X690" s="2"/>
      <c r="Y690" s="2"/>
      <c r="Z690" s="2"/>
      <c r="AA690" s="2"/>
      <c r="AB690" s="2"/>
      <c r="AC690" s="2"/>
      <c r="AD690" s="2"/>
      <c r="AE690" s="2"/>
      <c r="AF690" s="2"/>
      <c r="AG690" s="2"/>
      <c r="AH690" s="2"/>
      <c r="AI690" s="2"/>
      <c r="AJ690" s="2"/>
      <c r="AK690" s="2"/>
      <c r="AL690" s="2"/>
      <c r="AM690" s="349"/>
    </row>
    <row r="691" spans="1:39" ht="12.75" customHeight="1" x14ac:dyDescent="0.25">
      <c r="A691" s="2"/>
      <c r="B691" s="178"/>
      <c r="C691" s="178"/>
      <c r="D691" s="1242"/>
      <c r="E691" s="1243" t="str">
        <f>Translations!$B$1489</f>
        <v>Preliminär justering</v>
      </c>
      <c r="F691" s="1244"/>
      <c r="G691" s="1244"/>
      <c r="H691" s="1228" t="str">
        <f>EUconst_Unit</f>
        <v>Enhet</v>
      </c>
      <c r="I691" s="1229" t="str">
        <f>Translations!$B$1472</f>
        <v>HAL</v>
      </c>
      <c r="J691" s="1268">
        <f>J$950</f>
        <v>2021</v>
      </c>
      <c r="K691" s="1230">
        <f>K$950</f>
        <v>2022</v>
      </c>
      <c r="L691" s="1230">
        <f>L$950</f>
        <v>2023</v>
      </c>
      <c r="M691" s="1230">
        <f>M$950</f>
        <v>2024</v>
      </c>
      <c r="N691" s="1258">
        <f>N$950</f>
        <v>2025</v>
      </c>
      <c r="O691" s="15"/>
      <c r="P691" s="6"/>
      <c r="Q691" s="343"/>
      <c r="R691" s="2"/>
      <c r="S691" s="343"/>
      <c r="T691" s="343"/>
      <c r="U691" s="772"/>
      <c r="V691" s="1077">
        <f>J691</f>
        <v>2021</v>
      </c>
      <c r="W691" s="1077">
        <f>K691</f>
        <v>2022</v>
      </c>
      <c r="X691" s="1077">
        <f>L691</f>
        <v>2023</v>
      </c>
      <c r="Y691" s="1077">
        <f>M691</f>
        <v>2024</v>
      </c>
      <c r="Z691" s="1078">
        <f>N691</f>
        <v>2025</v>
      </c>
      <c r="AA691" s="2"/>
      <c r="AB691" s="343"/>
      <c r="AC691" s="2"/>
      <c r="AD691" s="2"/>
      <c r="AE691" s="349"/>
      <c r="AF691" s="349"/>
      <c r="AG691" s="349"/>
      <c r="AH691" s="349"/>
      <c r="AI691" s="349"/>
      <c r="AJ691" s="349"/>
      <c r="AK691" s="349"/>
      <c r="AL691" s="349"/>
      <c r="AM691" s="349"/>
    </row>
    <row r="692" spans="1:39" ht="12.75" customHeight="1" x14ac:dyDescent="0.25">
      <c r="A692" s="2"/>
      <c r="B692" s="178"/>
      <c r="C692" s="178"/>
      <c r="D692" s="1246" t="s">
        <v>9</v>
      </c>
      <c r="E692" s="1231" t="str">
        <f>Translations!$B$1473</f>
        <v>Genomsnittlig årlig verksamhetsnivå</v>
      </c>
      <c r="F692" s="1231"/>
      <c r="G692" s="1231"/>
      <c r="H692" s="1232" t="str">
        <f>G684</f>
        <v>TJ</v>
      </c>
      <c r="I692" s="1021" t="str">
        <f>IF(V676&gt;($J$950-3),EUconst_NA,INDEX('B+C_SubInstallations'!$I:$I,MATCH(Q692,'B+C_SubInstallations'!$T:$T,0)))</f>
        <v/>
      </c>
      <c r="J692" s="1022" t="str">
        <f>IF(AND(V692&gt;=3,CNTR_ReportingYear&gt;J691-1),AVERAGE(SUM(H684),SUM(I684)),"")</f>
        <v/>
      </c>
      <c r="K692" s="1023" t="str">
        <f>IF(AND(W692&gt;=3,CNTR_ReportingYear&gt;K691-1),AVERAGE(SUM(I684),SUM(J684)),"")</f>
        <v/>
      </c>
      <c r="L692" s="1023" t="str">
        <f>IF(AND(X692&gt;=3,CNTR_ReportingYear&gt;L691-1),AVERAGE(SUM(J684),SUM(K684)),"")</f>
        <v/>
      </c>
      <c r="M692" s="1023" t="str">
        <f>IF(AND(Y692&gt;=3,CNTR_ReportingYear&gt;M691-1),AVERAGE(SUM(K684),SUM(L684)),"")</f>
        <v/>
      </c>
      <c r="N692" s="1226" t="str">
        <f>IF(AND(Z692&gt;=3,CNTR_ReportingYear&gt;N691-1),AVERAGE(SUM(L684),SUM(M684)),"")</f>
        <v/>
      </c>
      <c r="O692" s="15"/>
      <c r="P692" s="6"/>
      <c r="Q692" s="1217" t="str">
        <f>EUconst_CNTR_HALinitial&amp;I676</f>
        <v>HALini_Delanläggning med bränsleriktmärke, ej KL</v>
      </c>
      <c r="R692" s="2"/>
      <c r="S692" s="343"/>
      <c r="T692" s="343"/>
      <c r="U692" s="1079" t="s">
        <v>1850</v>
      </c>
      <c r="V692" s="9">
        <f>IF($M676&lt;&gt;EUconst_Relevant,0,V691-$V676+1)</f>
        <v>0</v>
      </c>
      <c r="W692" s="9">
        <f>IF($M676&lt;&gt;EUconst_Relevant,0,W691-$V676+1)</f>
        <v>0</v>
      </c>
      <c r="X692" s="9">
        <f>IF($M676&lt;&gt;EUconst_Relevant,0,X691-$V676+1)</f>
        <v>0</v>
      </c>
      <c r="Y692" s="9">
        <f>IF($M676&lt;&gt;EUconst_Relevant,0,Y691-$V676+1)</f>
        <v>0</v>
      </c>
      <c r="Z692" s="1089">
        <f>IF($M676&lt;&gt;EUconst_Relevant,0,Z691-$V676+1)</f>
        <v>0</v>
      </c>
      <c r="AA692" s="2"/>
      <c r="AB692" s="343"/>
      <c r="AC692" s="2"/>
      <c r="AD692" s="2"/>
      <c r="AE692" s="349"/>
      <c r="AF692" s="349"/>
      <c r="AG692" s="349"/>
      <c r="AH692" s="349"/>
      <c r="AI692" s="349"/>
      <c r="AJ692" s="349"/>
      <c r="AK692" s="349"/>
      <c r="AL692" s="349"/>
      <c r="AM692" s="349"/>
    </row>
    <row r="693" spans="1:39" ht="12.75" hidden="1" customHeight="1" x14ac:dyDescent="0.25">
      <c r="A693" s="343" t="s">
        <v>346</v>
      </c>
      <c r="B693" s="178"/>
      <c r="C693" s="178"/>
      <c r="D693" s="1246"/>
      <c r="E693" s="1231" t="s">
        <v>1848</v>
      </c>
      <c r="F693" s="1231"/>
      <c r="G693" s="1231"/>
      <c r="H693" s="1233"/>
      <c r="I693" s="1235"/>
      <c r="J693" s="1013" t="str">
        <f>IF(J692="","",IF($I695=0,IF(J692=0,0%,100%),J692/$I695-1))</f>
        <v/>
      </c>
      <c r="K693" s="938" t="str">
        <f>IF(K692="","",IF($I695=0,IF(K692=0,0%,100%),K692/$I695-1))</f>
        <v/>
      </c>
      <c r="L693" s="938" t="str">
        <f>IF(L692="","",IF($I695=0,IF(L692=0,0%,100%),L692/$I695-1))</f>
        <v/>
      </c>
      <c r="M693" s="938" t="str">
        <f>IF(M692="","",IF($I695=0,IF(M692=0,0%,100%),M692/$I695-1))</f>
        <v/>
      </c>
      <c r="N693" s="1223" t="str">
        <f>IF(N692="","",IF($I695=0,IF(N692=0,0%,100%),N692/$I695-1))</f>
        <v/>
      </c>
      <c r="O693" s="15"/>
      <c r="P693" s="6"/>
      <c r="Q693" s="165" t="str">
        <f>EUconst_CNTR_RelThreshold &amp;I676</f>
        <v>RelThresh_Delanläggning med bränsleriktmärke, ej KL</v>
      </c>
      <c r="R693" s="2"/>
      <c r="S693" s="343"/>
      <c r="T693" s="343"/>
      <c r="U693" s="1079" t="s">
        <v>1855</v>
      </c>
      <c r="V693" s="603" t="str">
        <f>IF(J692="","",ABS(J693)&gt;15%)</f>
        <v/>
      </c>
      <c r="W693" s="603" t="str">
        <f>IF(K692="","",ABS(K693)&gt;15%)</f>
        <v/>
      </c>
      <c r="X693" s="603" t="str">
        <f>IF(L692="","",ABS(L693)&gt;15%)</f>
        <v/>
      </c>
      <c r="Y693" s="603" t="str">
        <f>IF(M692="","",ABS(M693)&gt;15%)</f>
        <v/>
      </c>
      <c r="Z693" s="1756" t="str">
        <f>IF(N692="","",ABS(N693)&gt;15%)</f>
        <v/>
      </c>
      <c r="AA693" s="2"/>
      <c r="AB693" s="343"/>
      <c r="AC693" s="2"/>
      <c r="AD693" s="2"/>
      <c r="AE693" s="349"/>
      <c r="AF693" s="349"/>
      <c r="AG693" s="349"/>
      <c r="AH693" s="349"/>
      <c r="AI693" s="349"/>
      <c r="AJ693" s="349"/>
      <c r="AK693" s="349"/>
      <c r="AL693" s="349"/>
      <c r="AM693" s="349"/>
    </row>
    <row r="694" spans="1:39" ht="12.75" customHeight="1" x14ac:dyDescent="0.25">
      <c r="A694" s="343"/>
      <c r="B694" s="178"/>
      <c r="C694" s="178"/>
      <c r="D694" s="1246" t="s">
        <v>10</v>
      </c>
      <c r="E694" s="1231" t="str">
        <f>Translations!$B$1474</f>
        <v>Preliminär justering (om relativa tröskelvärden överskrids)</v>
      </c>
      <c r="F694" s="1231"/>
      <c r="G694" s="1231"/>
      <c r="H694" s="1233"/>
      <c r="I694" s="1235"/>
      <c r="J694" s="992" t="str">
        <f>IF(J692="","",IF(V693=FALSE,0%,IF(V694,J693,I790)))</f>
        <v/>
      </c>
      <c r="K694" s="937" t="str">
        <f>IF(K692="","",IF(W693=FALSE,0%,IF(W694,K693,J790)))</f>
        <v/>
      </c>
      <c r="L694" s="937" t="str">
        <f>IF(L692="","",IF(X693=FALSE,0%,IF(X694,L693,K790)))</f>
        <v/>
      </c>
      <c r="M694" s="937" t="str">
        <f>IF(M692="","",IF(Y693=FALSE,0%,IF(Y694,M693,L790)))</f>
        <v/>
      </c>
      <c r="N694" s="1220" t="str">
        <f>IF(N692="","",IF(Z693=FALSE,0%,IF(Z694,N693,M790)))</f>
        <v/>
      </c>
      <c r="O694" s="15"/>
      <c r="P694" s="6"/>
      <c r="Q694" s="343"/>
      <c r="R694" s="2"/>
      <c r="S694" s="343"/>
      <c r="T694" s="343"/>
      <c r="U694" s="1079" t="s">
        <v>1856</v>
      </c>
      <c r="V694" s="603" t="str">
        <f>IF(J692="","",AND(V693,IF(SUM(I790)&lt;0,OR(SUM(J693)&lt;SUM(I790)-MOD(SUM(I790),5%),J693&gt;=SUM(I790)+5%-MOD(SUM(I790),5%)),OR(SUM(J693)&lt;=SUM(I790)-MOD(SUM(I790),5%),SUM(J693)&gt;SUM(I790)+5%-MOD(SUM(I790),5%)))))</f>
        <v/>
      </c>
      <c r="W694" s="603" t="str">
        <f>IF(K692="","",AND(W693,IF(SUM(J790)&lt;0,OR(SUM(K693)&lt;SUM(J790)-MOD(SUM(J790),5%),K693&gt;=SUM(J790)+5%-MOD(SUM(J790),5%)),OR(SUM(K693)&lt;=SUM(J790)-MOD(SUM(J790),5%),SUM(K693)&gt;SUM(J790)+5%-MOD(SUM(J790),5%)))))</f>
        <v/>
      </c>
      <c r="X694" s="603" t="str">
        <f>IF(L692="","",AND(X693,IF(SUM(K790)&lt;0,OR(SUM(L693)&lt;SUM(K790)-MOD(SUM(K790),5%),L693&gt;=SUM(K790)+5%-MOD(SUM(K790),5%)),OR(SUM(L693)&lt;=SUM(K790)-MOD(SUM(K790),5%),SUM(L693)&gt;SUM(K790)+5%-MOD(SUM(K790),5%)))))</f>
        <v/>
      </c>
      <c r="Y694" s="603" t="str">
        <f>IF(M692="","",AND(Y693,IF(SUM(L790)&lt;0,OR(SUM(M693)&lt;SUM(L790)-MOD(SUM(L790),5%),M693&gt;=SUM(L790)+5%-MOD(SUM(L790),5%)),OR(SUM(M693)&lt;=SUM(L790)-MOD(SUM(L790),5%),SUM(M693)&gt;SUM(L790)+5%-MOD(SUM(L790),5%)))))</f>
        <v/>
      </c>
      <c r="Z694" s="1756" t="str">
        <f>IF(N692="","",AND(Z693,IF(SUM(M790)&lt;0,OR(SUM(N693)&lt;SUM(M790)-MOD(SUM(M790),5%),N693&gt;=SUM(M790)+5%-MOD(SUM(M790),5%)),OR(SUM(N693)&lt;=SUM(M790)-MOD(SUM(M790),5%),SUM(N693)&gt;SUM(M790)+5%-MOD(SUM(M790),5%)))))</f>
        <v/>
      </c>
      <c r="AA694" s="2"/>
      <c r="AB694" s="343"/>
      <c r="AC694" s="2"/>
      <c r="AD694" s="2"/>
      <c r="AE694" s="349"/>
      <c r="AF694" s="349"/>
      <c r="AG694" s="349"/>
      <c r="AH694" s="349"/>
      <c r="AI694" s="349"/>
      <c r="AJ694" s="349"/>
      <c r="AK694" s="349"/>
      <c r="AL694" s="349"/>
      <c r="AM694" s="349"/>
    </row>
    <row r="695" spans="1:39" ht="12.75" customHeight="1" thickBot="1" x14ac:dyDescent="0.3">
      <c r="A695" s="343"/>
      <c r="B695" s="178"/>
      <c r="C695" s="178"/>
      <c r="D695" s="1246" t="s">
        <v>23</v>
      </c>
      <c r="E695" s="1231" t="str">
        <f>Translations!$B$1490</f>
        <v>Preliminär verksamhetsnivå</v>
      </c>
      <c r="F695" s="1231"/>
      <c r="G695" s="1231"/>
      <c r="H695" s="1232" t="str">
        <f>H692</f>
        <v>TJ</v>
      </c>
      <c r="I695" s="1021" t="str">
        <f>IF(M676&lt;&gt;EUconst_Relevant,"",IF(AB676=FALSE,EUconst_NA,IF(V676&gt;($J$950-3),INDEX(H684:N684,MATCH($V676,H683:N683,0)),I692)))</f>
        <v/>
      </c>
      <c r="J695" s="1022" t="str">
        <f>IF($M676&lt;&gt;EUconst_Relevant,"",IF(V692&lt;2,SUM(J684),IF(V692&lt;3,SUM(I684),IF(V695="",I695,V695))))</f>
        <v/>
      </c>
      <c r="K695" s="1023" t="str">
        <f>IF($M676&lt;&gt;EUconst_Relevant,"",IF(W692&lt;2,SUM(K684),IF(W692&lt;3,SUM(J684),IF(W695="",J695,W695))))</f>
        <v/>
      </c>
      <c r="L695" s="1023" t="str">
        <f>IF($M676&lt;&gt;EUconst_Relevant,"",IF(X692&lt;2,SUM(L684),IF(X692&lt;3,SUM(K684),IF(X695="",K695,X695))))</f>
        <v/>
      </c>
      <c r="M695" s="1023" t="str">
        <f>IF($M676&lt;&gt;EUconst_Relevant,"",IF(Y692&lt;2,SUM(M684),IF(Y692&lt;3,SUM(L684),IF(Y695="",L695,Y695))))</f>
        <v/>
      </c>
      <c r="N695" s="1226" t="str">
        <f>IF($M676&lt;&gt;EUconst_Relevant,"",IF(Z692&lt;2,SUM(N684),IF(Z692&lt;3,SUM(M684),IF(Z695="",M695,Z695))))</f>
        <v/>
      </c>
      <c r="O695" s="918"/>
      <c r="P695" s="6"/>
      <c r="Q695" s="165" t="str">
        <f>EUconst_CNTR_HALprelim&amp;I676</f>
        <v>HALprelim_Delanläggning med bränsleriktmärke, ej KL</v>
      </c>
      <c r="R695" s="2"/>
      <c r="S695" s="343"/>
      <c r="T695" s="343"/>
      <c r="U695" s="1082" t="s">
        <v>1851</v>
      </c>
      <c r="V695" s="1091" t="str">
        <f>IF(J692="","",IF(CNTR_ReportingYear&lt;J691,I694,IF($I695=0,J692,$I695*(1+J694))))</f>
        <v/>
      </c>
      <c r="W695" s="1091" t="str">
        <f>IF(K692="","",IF(CNTR_ReportingYear&lt;K691,J694,IF($I695=0,K692,$I695*(1+K694))))</f>
        <v/>
      </c>
      <c r="X695" s="1091" t="str">
        <f>IF(L692="","",IF(CNTR_ReportingYear&lt;L691,K694,IF($I695=0,L692,$I695*(1+L694))))</f>
        <v/>
      </c>
      <c r="Y695" s="1091" t="str">
        <f>IF(M692="","",IF(CNTR_ReportingYear&lt;M691,L694,IF($I695=0,M692,$I695*(1+M694))))</f>
        <v/>
      </c>
      <c r="Z695" s="1092" t="str">
        <f>IF(N692="","",IF(CNTR_ReportingYear&lt;N691,M694,IF($I695=0,N692,$I695*(1+N694))))</f>
        <v/>
      </c>
      <c r="AA695" s="2"/>
      <c r="AB695" s="343"/>
      <c r="AC695" s="2"/>
      <c r="AD695" s="2"/>
      <c r="AE695" s="349"/>
      <c r="AF695" s="349"/>
      <c r="AG695" s="349"/>
      <c r="AH695" s="349"/>
      <c r="AI695" s="349"/>
      <c r="AJ695" s="349"/>
      <c r="AK695" s="349"/>
      <c r="AL695" s="349"/>
      <c r="AM695" s="349"/>
    </row>
    <row r="696" spans="1:39" ht="5.15" customHeight="1" thickBot="1" x14ac:dyDescent="0.3">
      <c r="A696" s="343"/>
      <c r="B696" s="19"/>
      <c r="C696" s="3"/>
      <c r="D696" s="1249"/>
      <c r="E696" s="1250"/>
      <c r="F696" s="1250"/>
      <c r="G696" s="1250"/>
      <c r="H696" s="1250"/>
      <c r="I696" s="1250"/>
      <c r="J696" s="1250"/>
      <c r="K696" s="1250"/>
      <c r="L696" s="1250"/>
      <c r="M696" s="1250"/>
      <c r="N696" s="1289"/>
      <c r="O696" s="6"/>
      <c r="P696" s="6"/>
      <c r="Q696" s="2"/>
      <c r="R696" s="2"/>
      <c r="S696" s="343"/>
      <c r="T696" s="343"/>
      <c r="U696" s="2"/>
      <c r="V696" s="2"/>
      <c r="W696" s="2"/>
      <c r="X696" s="2"/>
      <c r="Y696" s="2"/>
      <c r="Z696" s="343"/>
      <c r="AA696" s="343"/>
      <c r="AB696" s="343"/>
      <c r="AC696" s="2"/>
      <c r="AD696" s="2"/>
      <c r="AE696" s="349"/>
      <c r="AF696" s="349"/>
      <c r="AG696" s="349"/>
      <c r="AH696" s="349"/>
      <c r="AI696" s="349"/>
      <c r="AJ696" s="349"/>
      <c r="AK696" s="349"/>
      <c r="AL696" s="349"/>
      <c r="AM696" s="349"/>
    </row>
    <row r="697" spans="1:39" ht="5.15" customHeight="1" x14ac:dyDescent="0.25">
      <c r="A697" s="343"/>
      <c r="B697" s="19"/>
      <c r="C697" s="3"/>
      <c r="D697" s="3"/>
      <c r="E697" s="3"/>
      <c r="F697" s="3"/>
      <c r="G697" s="3"/>
      <c r="H697" s="3"/>
      <c r="I697" s="3"/>
      <c r="J697" s="3"/>
      <c r="K697" s="3"/>
      <c r="L697" s="3"/>
      <c r="M697" s="3"/>
      <c r="N697" s="3"/>
      <c r="O697" s="6"/>
      <c r="P697" s="6"/>
      <c r="Q697" s="2"/>
      <c r="R697" s="2"/>
      <c r="S697" s="343"/>
      <c r="T697" s="343"/>
      <c r="U697" s="2"/>
      <c r="V697" s="2"/>
      <c r="W697" s="2"/>
      <c r="X697" s="2"/>
      <c r="Y697" s="2"/>
      <c r="Z697" s="343"/>
      <c r="AA697" s="343"/>
      <c r="AB697" s="343"/>
      <c r="AC697" s="2"/>
      <c r="AD697" s="2"/>
      <c r="AE697" s="349"/>
      <c r="AF697" s="349"/>
      <c r="AG697" s="349"/>
      <c r="AH697" s="349"/>
      <c r="AI697" s="349"/>
      <c r="AJ697" s="349"/>
      <c r="AK697" s="349"/>
      <c r="AL697" s="349"/>
      <c r="AM697" s="349"/>
    </row>
    <row r="698" spans="1:39" ht="15" customHeight="1" x14ac:dyDescent="0.3">
      <c r="A698" s="343"/>
      <c r="B698" s="19"/>
      <c r="C698" s="18"/>
      <c r="D698" s="2053" t="str">
        <f>Translations!$B$541</f>
        <v>Produktionsuppgifter</v>
      </c>
      <c r="E698" s="1963"/>
      <c r="F698" s="1963"/>
      <c r="G698" s="1963"/>
      <c r="H698" s="1963"/>
      <c r="I698" s="1963"/>
      <c r="J698" s="1963"/>
      <c r="K698" s="1963"/>
      <c r="L698" s="1963"/>
      <c r="M698" s="1963"/>
      <c r="N698" s="1963"/>
      <c r="O698" s="6"/>
      <c r="P698" s="6"/>
      <c r="Q698" s="2"/>
      <c r="R698" s="2"/>
      <c r="S698" s="2"/>
      <c r="T698" s="2"/>
      <c r="U698" s="2"/>
      <c r="V698" s="2"/>
      <c r="W698" s="2"/>
      <c r="X698" s="2"/>
      <c r="Y698" s="2"/>
      <c r="Z698" s="343"/>
      <c r="AA698" s="343"/>
      <c r="AB698" s="343"/>
      <c r="AC698" s="2"/>
      <c r="AD698" s="2"/>
      <c r="AE698" s="349"/>
      <c r="AF698" s="349"/>
      <c r="AG698" s="349"/>
      <c r="AH698" s="349"/>
      <c r="AI698" s="349"/>
      <c r="AJ698" s="349"/>
      <c r="AK698" s="349"/>
      <c r="AL698" s="349"/>
      <c r="AM698" s="349"/>
    </row>
    <row r="699" spans="1:39" ht="5.15" customHeight="1" x14ac:dyDescent="0.25">
      <c r="A699" s="343"/>
      <c r="B699" s="3"/>
      <c r="C699" s="3"/>
      <c r="D699" s="3"/>
      <c r="E699" s="3"/>
      <c r="F699" s="3"/>
      <c r="G699" s="3"/>
      <c r="H699" s="3"/>
      <c r="I699" s="3"/>
      <c r="J699" s="3"/>
      <c r="K699" s="3"/>
      <c r="L699" s="3"/>
      <c r="M699" s="3"/>
      <c r="N699" s="3"/>
      <c r="O699" s="6"/>
      <c r="P699" s="6"/>
      <c r="Q699" s="7"/>
      <c r="R699" s="7"/>
      <c r="S699" s="2"/>
      <c r="T699" s="2"/>
      <c r="U699" s="2"/>
      <c r="V699" s="2"/>
      <c r="W699" s="2"/>
      <c r="X699" s="2"/>
      <c r="Y699" s="2"/>
      <c r="Z699" s="343"/>
      <c r="AA699" s="343"/>
      <c r="AB699" s="343"/>
      <c r="AC699" s="2"/>
      <c r="AD699" s="2"/>
      <c r="AE699" s="349"/>
      <c r="AF699" s="349"/>
      <c r="AG699" s="349"/>
      <c r="AH699" s="349"/>
      <c r="AI699" s="349"/>
      <c r="AJ699" s="349"/>
      <c r="AK699" s="349"/>
      <c r="AL699" s="349"/>
      <c r="AM699" s="349"/>
    </row>
    <row r="700" spans="1:39" ht="12.75" customHeight="1" x14ac:dyDescent="0.25">
      <c r="A700" s="2"/>
      <c r="B700" s="3"/>
      <c r="C700" s="13"/>
      <c r="D700" s="13" t="s">
        <v>955</v>
      </c>
      <c r="E700" s="1943" t="str">
        <f>Translations!$B$666</f>
        <v>Identifiering av relevanta produkter eller tjänster med koppling till delanläggningen</v>
      </c>
      <c r="F700" s="1963"/>
      <c r="G700" s="1963"/>
      <c r="H700" s="1963"/>
      <c r="I700" s="1963"/>
      <c r="J700" s="1963"/>
      <c r="K700" s="1963"/>
      <c r="L700" s="1963"/>
      <c r="M700" s="1963"/>
      <c r="N700" s="1963"/>
      <c r="O700" s="6"/>
      <c r="P700" s="6"/>
      <c r="Q700" s="7"/>
      <c r="R700" s="2"/>
      <c r="S700" s="2"/>
      <c r="T700" s="2"/>
      <c r="U700" s="2"/>
      <c r="V700" s="2"/>
      <c r="W700" s="2"/>
      <c r="X700" s="2"/>
      <c r="Y700" s="2"/>
      <c r="Z700" s="2"/>
      <c r="AA700" s="2"/>
      <c r="AB700" s="343"/>
      <c r="AC700" s="2"/>
      <c r="AD700" s="2"/>
      <c r="AE700" s="349"/>
      <c r="AF700" s="349"/>
      <c r="AG700" s="349"/>
      <c r="AH700" s="349"/>
      <c r="AI700" s="349"/>
      <c r="AJ700" s="349"/>
      <c r="AK700" s="349"/>
      <c r="AL700" s="349"/>
      <c r="AM700" s="349"/>
    </row>
    <row r="701" spans="1:39" ht="12.75" customHeight="1" x14ac:dyDescent="0.25">
      <c r="A701" s="343"/>
      <c r="B701" s="3"/>
      <c r="C701" s="15"/>
      <c r="D701" s="15"/>
      <c r="E701" s="2061" t="str">
        <f>Translations!$B$667</f>
        <v>Var god ange vilka produktionsprocesser eller tjänster som är kopplade till delanläggningen. Detta kan innefatta följande:</v>
      </c>
      <c r="F701" s="1963"/>
      <c r="G701" s="1963"/>
      <c r="H701" s="1963"/>
      <c r="I701" s="1963"/>
      <c r="J701" s="1963"/>
      <c r="K701" s="1963"/>
      <c r="L701" s="1963"/>
      <c r="M701" s="1963"/>
      <c r="N701" s="1963"/>
      <c r="O701" s="6"/>
      <c r="P701" s="6"/>
      <c r="Q701" s="7"/>
      <c r="R701" s="7"/>
      <c r="S701" s="7"/>
      <c r="T701" s="7"/>
      <c r="U701" s="7"/>
      <c r="V701" s="7"/>
      <c r="W701" s="7"/>
      <c r="X701" s="7"/>
      <c r="Y701" s="7"/>
      <c r="Z701" s="7"/>
      <c r="AA701" s="7"/>
      <c r="AB701" s="343"/>
      <c r="AC701" s="2"/>
      <c r="AD701" s="2"/>
      <c r="AE701" s="349"/>
      <c r="AF701" s="349"/>
      <c r="AG701" s="349"/>
      <c r="AH701" s="349"/>
      <c r="AI701" s="349"/>
      <c r="AJ701" s="349"/>
      <c r="AK701" s="349"/>
      <c r="AL701" s="349"/>
      <c r="AM701" s="349"/>
    </row>
    <row r="702" spans="1:39" ht="12.75" customHeight="1" x14ac:dyDescent="0.25">
      <c r="A702" s="2"/>
      <c r="B702" s="3"/>
      <c r="C702" s="15"/>
      <c r="D702" s="15"/>
      <c r="E702" s="92" t="s">
        <v>1006</v>
      </c>
      <c r="F702" s="2061" t="str">
        <f>Translations!$B$668</f>
        <v>Produktion av varor som inte omfattas av produktriktmärken inom delanläggningen (var god ange produkttyper).</v>
      </c>
      <c r="G702" s="1963"/>
      <c r="H702" s="1963"/>
      <c r="I702" s="1963"/>
      <c r="J702" s="1963"/>
      <c r="K702" s="1963"/>
      <c r="L702" s="1963"/>
      <c r="M702" s="1963"/>
      <c r="N702" s="1963"/>
      <c r="O702" s="6"/>
      <c r="P702" s="6"/>
      <c r="Q702" s="7"/>
      <c r="R702" s="7"/>
      <c r="S702" s="7"/>
      <c r="T702" s="7"/>
      <c r="U702" s="7"/>
      <c r="V702" s="7"/>
      <c r="W702" s="7"/>
      <c r="X702" s="7"/>
      <c r="Y702" s="7"/>
      <c r="Z702" s="7"/>
      <c r="AA702" s="7"/>
      <c r="AB702" s="343"/>
      <c r="AC702" s="2"/>
      <c r="AD702" s="2"/>
      <c r="AE702" s="349"/>
      <c r="AF702" s="349"/>
      <c r="AG702" s="349"/>
      <c r="AH702" s="349"/>
      <c r="AI702" s="349"/>
      <c r="AJ702" s="349"/>
      <c r="AK702" s="349"/>
      <c r="AL702" s="349"/>
      <c r="AM702" s="349"/>
    </row>
    <row r="703" spans="1:39" ht="12.75" customHeight="1" x14ac:dyDescent="0.25">
      <c r="A703" s="2"/>
      <c r="B703" s="3"/>
      <c r="C703" s="15"/>
      <c r="D703" s="15"/>
      <c r="E703" s="92" t="s">
        <v>1006</v>
      </c>
      <c r="F703" s="2061" t="str">
        <f>Translations!$B$712</f>
        <v>produktion av mekanisk energi, värmning eller kylning (alla användningssätt förutom elproduktion).</v>
      </c>
      <c r="G703" s="1963"/>
      <c r="H703" s="1963"/>
      <c r="I703" s="1963"/>
      <c r="J703" s="1963"/>
      <c r="K703" s="1963"/>
      <c r="L703" s="1963"/>
      <c r="M703" s="1963"/>
      <c r="N703" s="1963"/>
      <c r="O703" s="6"/>
      <c r="P703" s="6"/>
      <c r="Q703" s="7"/>
      <c r="R703" s="7"/>
      <c r="S703" s="7"/>
      <c r="T703" s="7"/>
      <c r="U703" s="7"/>
      <c r="V703" s="7"/>
      <c r="W703" s="7"/>
      <c r="X703" s="7"/>
      <c r="Y703" s="7"/>
      <c r="Z703" s="2"/>
      <c r="AA703" s="2"/>
      <c r="AB703" s="343"/>
      <c r="AC703" s="2"/>
      <c r="AD703" s="2"/>
      <c r="AE703" s="349"/>
      <c r="AF703" s="349"/>
      <c r="AG703" s="349"/>
      <c r="AH703" s="349"/>
      <c r="AI703" s="349"/>
      <c r="AJ703" s="349"/>
      <c r="AK703" s="349"/>
      <c r="AL703" s="349"/>
      <c r="AM703" s="349"/>
    </row>
    <row r="704" spans="1:39" ht="25.5" customHeight="1" x14ac:dyDescent="0.25">
      <c r="A704" s="2"/>
      <c r="B704" s="3"/>
      <c r="C704" s="15"/>
      <c r="D704" s="15"/>
      <c r="E704" s="2061" t="str">
        <f>Translations!$B$543</f>
        <v>Prodcom-koder ska anges i formatet ”nnnnnnnn”, dvs. utan punkter eller andra avgränsare. Endast om Prodcom-koder inte finns ska en Nace-kod på fyra siffror anges i formatet ”nnnn”.</v>
      </c>
      <c r="F704" s="1963"/>
      <c r="G704" s="1963"/>
      <c r="H704" s="1963"/>
      <c r="I704" s="1963"/>
      <c r="J704" s="1963"/>
      <c r="K704" s="1963"/>
      <c r="L704" s="1963"/>
      <c r="M704" s="1963"/>
      <c r="N704" s="1963"/>
      <c r="O704" s="6"/>
      <c r="P704" s="6"/>
      <c r="Q704" s="7"/>
      <c r="R704" s="2"/>
      <c r="S704" s="2"/>
      <c r="T704" s="2"/>
      <c r="U704" s="2"/>
      <c r="V704" s="2"/>
      <c r="W704" s="2"/>
      <c r="X704" s="2"/>
      <c r="Y704" s="2"/>
      <c r="Z704" s="2"/>
      <c r="AA704" s="2"/>
      <c r="AB704" s="343"/>
      <c r="AC704" s="2"/>
      <c r="AD704" s="2"/>
      <c r="AE704" s="349"/>
      <c r="AF704" s="349"/>
      <c r="AG704" s="349"/>
      <c r="AH704" s="349"/>
      <c r="AI704" s="349"/>
      <c r="AJ704" s="349"/>
      <c r="AK704" s="349"/>
      <c r="AL704" s="349"/>
      <c r="AM704" s="349"/>
    </row>
    <row r="705" spans="1:39" ht="12.75" customHeight="1" x14ac:dyDescent="0.25">
      <c r="A705" s="2"/>
      <c r="B705" s="3"/>
      <c r="C705" s="15"/>
      <c r="D705" s="15"/>
      <c r="E705" s="2061" t="str">
        <f>Translations!$B$544</f>
        <v>En förteckning över 2010 års Prodcom-koder finns här:</v>
      </c>
      <c r="F705" s="1963"/>
      <c r="G705" s="1963"/>
      <c r="H705" s="1963"/>
      <c r="I705" s="1963"/>
      <c r="J705" s="1963"/>
      <c r="K705" s="1963"/>
      <c r="L705" s="1963"/>
      <c r="M705" s="1963"/>
      <c r="N705" s="1963"/>
      <c r="O705" s="6"/>
      <c r="P705" s="6"/>
      <c r="Q705" s="7"/>
      <c r="R705" s="2"/>
      <c r="S705" s="2"/>
      <c r="T705" s="2"/>
      <c r="U705" s="2"/>
      <c r="V705" s="2"/>
      <c r="W705" s="2"/>
      <c r="X705" s="2"/>
      <c r="Y705" s="2"/>
      <c r="Z705" s="2"/>
      <c r="AA705" s="2"/>
      <c r="AB705" s="343"/>
      <c r="AC705" s="2"/>
      <c r="AD705" s="2"/>
      <c r="AE705" s="349"/>
      <c r="AF705" s="349"/>
      <c r="AG705" s="349"/>
      <c r="AH705" s="349"/>
      <c r="AI705" s="349"/>
      <c r="AJ705" s="349"/>
      <c r="AK705" s="349"/>
      <c r="AL705" s="349"/>
      <c r="AM705" s="349"/>
    </row>
    <row r="706" spans="1:39" ht="12.75" customHeight="1" x14ac:dyDescent="0.25">
      <c r="A706" s="2"/>
      <c r="B706" s="3"/>
      <c r="C706" s="15"/>
      <c r="D706" s="15"/>
      <c r="E706" s="2644" t="str">
        <f>Translations!$B$545</f>
        <v>http://ec.europa.eu/eurostat/ramon/nomenclatures/index.cfm?TargetUrl=LST_CLS_DLD&amp;StrNom=PRD_2010&amp;StrLanguageCode=EN&amp;StrLayoutCode=HIERARCHIC</v>
      </c>
      <c r="F706" s="2708"/>
      <c r="G706" s="2708"/>
      <c r="H706" s="2708"/>
      <c r="I706" s="2708"/>
      <c r="J706" s="2708"/>
      <c r="K706" s="2708"/>
      <c r="L706" s="2708"/>
      <c r="M706" s="2708"/>
      <c r="N706" s="2708"/>
      <c r="O706" s="6"/>
      <c r="P706" s="6"/>
      <c r="Q706" s="7"/>
      <c r="R706" s="2"/>
      <c r="S706" s="2"/>
      <c r="T706" s="2"/>
      <c r="U706" s="2"/>
      <c r="V706" s="2"/>
      <c r="W706" s="2"/>
      <c r="X706" s="2"/>
      <c r="Y706" s="2"/>
      <c r="Z706" s="2"/>
      <c r="AA706" s="2"/>
      <c r="AB706" s="343"/>
      <c r="AC706" s="2"/>
      <c r="AD706" s="2"/>
      <c r="AE706" s="349"/>
      <c r="AF706" s="349"/>
      <c r="AG706" s="349"/>
      <c r="AH706" s="349"/>
      <c r="AI706" s="349"/>
      <c r="AJ706" s="349"/>
      <c r="AK706" s="349"/>
      <c r="AL706" s="349"/>
      <c r="AM706" s="349"/>
    </row>
    <row r="707" spans="1:39" ht="12.75" customHeight="1" x14ac:dyDescent="0.25">
      <c r="A707" s="2"/>
      <c r="B707" s="3"/>
      <c r="C707" s="15"/>
      <c r="D707" s="15"/>
      <c r="E707" s="2061" t="str">
        <f>Translations!$B$671</f>
        <v>Nace-koder kan användas i stället för Prodcom-koder om flera liknande produkter inom samma Nace-grupp omfattas.</v>
      </c>
      <c r="F707" s="1963"/>
      <c r="G707" s="1963"/>
      <c r="H707" s="1963"/>
      <c r="I707" s="1963"/>
      <c r="J707" s="1963"/>
      <c r="K707" s="1963"/>
      <c r="L707" s="1963"/>
      <c r="M707" s="1963"/>
      <c r="N707" s="1963"/>
      <c r="O707" s="6"/>
      <c r="P707" s="6"/>
      <c r="Q707" s="7"/>
      <c r="R707" s="7"/>
      <c r="S707" s="7"/>
      <c r="T707" s="7"/>
      <c r="U707" s="7"/>
      <c r="V707" s="7"/>
      <c r="W707" s="7"/>
      <c r="X707" s="7"/>
      <c r="Y707" s="7"/>
      <c r="Z707" s="2"/>
      <c r="AA707" s="2"/>
      <c r="AB707" s="343"/>
      <c r="AC707" s="2"/>
      <c r="AD707" s="2"/>
      <c r="AE707" s="349"/>
      <c r="AF707" s="349"/>
      <c r="AG707" s="349"/>
      <c r="AH707" s="349"/>
      <c r="AI707" s="349"/>
      <c r="AJ707" s="349"/>
      <c r="AK707" s="349"/>
      <c r="AL707" s="349"/>
      <c r="AM707" s="349"/>
    </row>
    <row r="708" spans="1:39" ht="5.15" customHeight="1" x14ac:dyDescent="0.25">
      <c r="A708" s="2"/>
      <c r="B708" s="3"/>
      <c r="C708" s="15"/>
      <c r="D708" s="15"/>
      <c r="E708" s="16"/>
      <c r="F708" s="16"/>
      <c r="G708" s="16"/>
      <c r="H708" s="16"/>
      <c r="I708" s="16"/>
      <c r="J708" s="20"/>
      <c r="K708" s="20"/>
      <c r="L708" s="20"/>
      <c r="M708" s="6"/>
      <c r="N708" s="6"/>
      <c r="O708" s="6"/>
      <c r="P708" s="6"/>
      <c r="Q708" s="7"/>
      <c r="R708" s="2"/>
      <c r="S708" s="2"/>
      <c r="T708" s="2"/>
      <c r="U708" s="2"/>
      <c r="V708" s="2"/>
      <c r="W708" s="2"/>
      <c r="X708" s="2"/>
      <c r="Y708" s="2"/>
      <c r="Z708" s="2"/>
      <c r="AA708" s="2"/>
      <c r="AB708" s="343"/>
      <c r="AC708" s="2"/>
      <c r="AD708" s="2"/>
      <c r="AE708" s="349"/>
      <c r="AF708" s="349"/>
      <c r="AG708" s="349"/>
      <c r="AH708" s="349"/>
      <c r="AI708" s="349"/>
      <c r="AJ708" s="349"/>
      <c r="AK708" s="349"/>
      <c r="AL708" s="349"/>
      <c r="AM708" s="349"/>
    </row>
    <row r="709" spans="1:39" ht="25.5" customHeight="1" x14ac:dyDescent="0.25">
      <c r="A709" s="2"/>
      <c r="B709" s="19"/>
      <c r="C709" s="13"/>
      <c r="D709" s="38"/>
      <c r="E709" s="2694" t="str">
        <f>Translations!$B$672</f>
        <v>Användningstyp</v>
      </c>
      <c r="F709" s="2695"/>
      <c r="G709" s="2734" t="str">
        <f>Translations!$B$713</f>
        <v>Produktnamn eller typ av tjänst</v>
      </c>
      <c r="H709" s="2106"/>
      <c r="I709" s="2106"/>
      <c r="J709" s="2106"/>
      <c r="K709" s="2106"/>
      <c r="L709" s="2107"/>
      <c r="M709" s="321" t="s">
        <v>1030</v>
      </c>
      <c r="N709" s="6"/>
      <c r="O709" s="6"/>
      <c r="P709" s="6"/>
      <c r="Q709" s="2"/>
      <c r="R709" s="2"/>
      <c r="S709" s="310" t="s">
        <v>2177</v>
      </c>
      <c r="T709" s="2"/>
      <c r="U709" s="2"/>
      <c r="V709" s="2"/>
      <c r="W709" s="2"/>
      <c r="X709" s="2"/>
      <c r="Y709" s="2"/>
      <c r="Z709" s="7"/>
      <c r="AA709" s="7"/>
      <c r="AB709" s="343"/>
      <c r="AC709" s="2"/>
      <c r="AD709" s="2"/>
      <c r="AE709" s="349"/>
      <c r="AF709" s="349"/>
      <c r="AG709" s="349"/>
      <c r="AH709" s="349"/>
      <c r="AI709" s="349"/>
      <c r="AJ709" s="349"/>
      <c r="AK709" s="349"/>
      <c r="AL709" s="349"/>
      <c r="AM709" s="349"/>
    </row>
    <row r="710" spans="1:39" ht="12.75" customHeight="1" x14ac:dyDescent="0.25">
      <c r="A710" s="2"/>
      <c r="B710" s="19"/>
      <c r="C710" s="45"/>
      <c r="D710" s="32">
        <v>1</v>
      </c>
      <c r="E710" s="2365"/>
      <c r="F710" s="2363"/>
      <c r="G710" s="2249"/>
      <c r="H710" s="2735"/>
      <c r="I710" s="2735"/>
      <c r="J710" s="2735"/>
      <c r="K710" s="2735"/>
      <c r="L710" s="2736"/>
      <c r="M710" s="1167"/>
      <c r="N710" s="6"/>
      <c r="O710" s="6"/>
      <c r="P710" s="1362"/>
      <c r="Q710" s="2"/>
      <c r="R710" s="553"/>
      <c r="S710" s="108" t="b">
        <f>TRUE</f>
        <v>1</v>
      </c>
      <c r="T710" s="1915" t="s">
        <v>2305</v>
      </c>
      <c r="U710" s="2"/>
      <c r="V710" s="2"/>
      <c r="W710" s="2"/>
      <c r="X710" s="2"/>
      <c r="Y710" s="2"/>
      <c r="Z710" s="2"/>
      <c r="AA710" s="2"/>
      <c r="AB710" s="343"/>
      <c r="AC710" s="2"/>
      <c r="AD710" s="2"/>
      <c r="AE710" s="349"/>
      <c r="AF710" s="349"/>
      <c r="AG710" s="349"/>
      <c r="AH710" s="349"/>
      <c r="AI710" s="349"/>
      <c r="AJ710" s="349"/>
      <c r="AK710" s="553" t="s">
        <v>2248</v>
      </c>
      <c r="AL710" s="663" t="str">
        <f>IF(AND($M676=EUconst_Relevant,COUNTA(E710:L710)&lt;2),EUconst_Error&amp;"FB"&amp;Q676,"")</f>
        <v/>
      </c>
      <c r="AM710" s="349"/>
    </row>
    <row r="711" spans="1:39" ht="12.75" customHeight="1" x14ac:dyDescent="0.25">
      <c r="A711" s="2"/>
      <c r="B711" s="19"/>
      <c r="C711" s="45"/>
      <c r="D711" s="33">
        <f>D710+1</f>
        <v>2</v>
      </c>
      <c r="E711" s="2195"/>
      <c r="F711" s="2194"/>
      <c r="G711" s="2687"/>
      <c r="H711" s="2745"/>
      <c r="I711" s="2745"/>
      <c r="J711" s="2745"/>
      <c r="K711" s="2745"/>
      <c r="L711" s="2273"/>
      <c r="M711" s="1741"/>
      <c r="N711" s="6"/>
      <c r="O711" s="6"/>
      <c r="P711" s="1362"/>
      <c r="Q711" s="2"/>
      <c r="R711" s="2"/>
      <c r="S711" s="108" t="b">
        <f>TRUE</f>
        <v>1</v>
      </c>
      <c r="T711" s="2"/>
      <c r="U711" s="2"/>
      <c r="V711" s="2"/>
      <c r="W711" s="2"/>
      <c r="X711" s="2"/>
      <c r="Y711" s="2"/>
      <c r="Z711" s="2"/>
      <c r="AA711" s="2"/>
      <c r="AB711" s="343"/>
      <c r="AC711" s="2"/>
      <c r="AD711" s="2"/>
      <c r="AE711" s="349"/>
      <c r="AF711" s="349"/>
      <c r="AG711" s="349"/>
      <c r="AH711" s="349"/>
      <c r="AI711" s="349"/>
      <c r="AJ711" s="349"/>
      <c r="AK711" s="349"/>
      <c r="AL711" s="349"/>
      <c r="AM711" s="349"/>
    </row>
    <row r="712" spans="1:39" ht="12.75" customHeight="1" x14ac:dyDescent="0.25">
      <c r="A712" s="2"/>
      <c r="B712" s="19"/>
      <c r="C712" s="45"/>
      <c r="D712" s="33">
        <f t="shared" ref="D712:D719" si="297">D711+1</f>
        <v>3</v>
      </c>
      <c r="E712" s="2195"/>
      <c r="F712" s="2194"/>
      <c r="G712" s="2687"/>
      <c r="H712" s="2745"/>
      <c r="I712" s="2745"/>
      <c r="J712" s="2745"/>
      <c r="K712" s="2745"/>
      <c r="L712" s="2273"/>
      <c r="M712" s="433"/>
      <c r="N712" s="6"/>
      <c r="O712" s="6"/>
      <c r="P712" s="1362"/>
      <c r="Q712" s="2"/>
      <c r="R712" s="2"/>
      <c r="S712" s="108" t="b">
        <f>TRUE</f>
        <v>1</v>
      </c>
      <c r="T712" s="2"/>
      <c r="U712" s="2"/>
      <c r="V712" s="2"/>
      <c r="W712" s="2"/>
      <c r="X712" s="2"/>
      <c r="Y712" s="2"/>
      <c r="Z712" s="2"/>
      <c r="AA712" s="2"/>
      <c r="AB712" s="343"/>
      <c r="AC712" s="2"/>
      <c r="AD712" s="2"/>
      <c r="AE712" s="349"/>
      <c r="AF712" s="349"/>
      <c r="AG712" s="349"/>
      <c r="AH712" s="349"/>
      <c r="AI712" s="349"/>
      <c r="AJ712" s="349"/>
      <c r="AK712" s="349"/>
      <c r="AL712" s="349"/>
      <c r="AM712" s="349"/>
    </row>
    <row r="713" spans="1:39" ht="12.75" customHeight="1" x14ac:dyDescent="0.25">
      <c r="A713" s="2"/>
      <c r="B713" s="19"/>
      <c r="C713" s="45"/>
      <c r="D713" s="33">
        <f t="shared" si="297"/>
        <v>4</v>
      </c>
      <c r="E713" s="2195"/>
      <c r="F713" s="2194"/>
      <c r="G713" s="2687"/>
      <c r="H713" s="2745"/>
      <c r="I713" s="2745"/>
      <c r="J713" s="2745"/>
      <c r="K713" s="2745"/>
      <c r="L713" s="2273"/>
      <c r="M713" s="433"/>
      <c r="N713" s="6"/>
      <c r="O713" s="6"/>
      <c r="P713" s="1362"/>
      <c r="Q713" s="2"/>
      <c r="R713" s="2"/>
      <c r="S713" s="108" t="b">
        <f>TRUE</f>
        <v>1</v>
      </c>
      <c r="T713" s="2"/>
      <c r="U713" s="2"/>
      <c r="V713" s="2"/>
      <c r="W713" s="2"/>
      <c r="X713" s="2"/>
      <c r="Y713" s="2"/>
      <c r="Z713" s="2"/>
      <c r="AA713" s="2"/>
      <c r="AB713" s="343"/>
      <c r="AC713" s="2"/>
      <c r="AD713" s="2"/>
      <c r="AE713" s="349"/>
      <c r="AF713" s="349"/>
      <c r="AG713" s="349"/>
      <c r="AH713" s="349"/>
      <c r="AI713" s="349"/>
      <c r="AJ713" s="349"/>
      <c r="AK713" s="349"/>
      <c r="AL713" s="349"/>
      <c r="AM713" s="349"/>
    </row>
    <row r="714" spans="1:39" ht="12.75" customHeight="1" x14ac:dyDescent="0.25">
      <c r="A714" s="2"/>
      <c r="B714" s="19"/>
      <c r="C714" s="45"/>
      <c r="D714" s="33">
        <f t="shared" si="297"/>
        <v>5</v>
      </c>
      <c r="E714" s="2195"/>
      <c r="F714" s="2194"/>
      <c r="G714" s="2687"/>
      <c r="H714" s="2745"/>
      <c r="I714" s="2745"/>
      <c r="J714" s="2745"/>
      <c r="K714" s="2745"/>
      <c r="L714" s="2273"/>
      <c r="M714" s="433"/>
      <c r="N714" s="6"/>
      <c r="O714" s="6"/>
      <c r="P714" s="1362"/>
      <c r="Q714" s="2"/>
      <c r="R714" s="2"/>
      <c r="S714" s="108" t="b">
        <f>TRUE</f>
        <v>1</v>
      </c>
      <c r="T714" s="2"/>
      <c r="U714" s="2"/>
      <c r="V714" s="2"/>
      <c r="W714" s="2"/>
      <c r="X714" s="2"/>
      <c r="Y714" s="2"/>
      <c r="Z714" s="7"/>
      <c r="AA714" s="7"/>
      <c r="AB714" s="343"/>
      <c r="AC714" s="2"/>
      <c r="AD714" s="2"/>
      <c r="AE714" s="349"/>
      <c r="AF714" s="349"/>
      <c r="AG714" s="349"/>
      <c r="AH714" s="349"/>
      <c r="AI714" s="349"/>
      <c r="AJ714" s="349"/>
      <c r="AK714" s="349"/>
      <c r="AL714" s="349"/>
      <c r="AM714" s="349"/>
    </row>
    <row r="715" spans="1:39" ht="12.75" customHeight="1" x14ac:dyDescent="0.25">
      <c r="A715" s="2"/>
      <c r="B715" s="19"/>
      <c r="C715" s="45"/>
      <c r="D715" s="33">
        <f t="shared" si="297"/>
        <v>6</v>
      </c>
      <c r="E715" s="2195"/>
      <c r="F715" s="2194"/>
      <c r="G715" s="2269"/>
      <c r="H715" s="2745"/>
      <c r="I715" s="2745"/>
      <c r="J715" s="2745"/>
      <c r="K715" s="2745"/>
      <c r="L715" s="2273"/>
      <c r="M715" s="433"/>
      <c r="N715" s="6"/>
      <c r="O715" s="6"/>
      <c r="P715" s="1362"/>
      <c r="Q715" s="2"/>
      <c r="R715" s="2"/>
      <c r="S715" s="108" t="b">
        <f>TRUE</f>
        <v>1</v>
      </c>
      <c r="T715" s="2"/>
      <c r="U715" s="2"/>
      <c r="V715" s="2"/>
      <c r="W715" s="2"/>
      <c r="X715" s="2"/>
      <c r="Y715" s="2"/>
      <c r="Z715" s="2"/>
      <c r="AA715" s="2"/>
      <c r="AB715" s="343"/>
      <c r="AC715" s="2"/>
      <c r="AD715" s="2"/>
      <c r="AE715" s="349"/>
      <c r="AF715" s="349"/>
      <c r="AG715" s="349"/>
      <c r="AH715" s="349"/>
      <c r="AI715" s="349"/>
      <c r="AJ715" s="349"/>
      <c r="AK715" s="349"/>
      <c r="AL715" s="349"/>
      <c r="AM715" s="349"/>
    </row>
    <row r="716" spans="1:39" ht="12.75" customHeight="1" x14ac:dyDescent="0.25">
      <c r="A716" s="2"/>
      <c r="B716" s="19"/>
      <c r="C716" s="45"/>
      <c r="D716" s="33">
        <f t="shared" si="297"/>
        <v>7</v>
      </c>
      <c r="E716" s="2195"/>
      <c r="F716" s="2194"/>
      <c r="G716" s="2269"/>
      <c r="H716" s="2745"/>
      <c r="I716" s="2745"/>
      <c r="J716" s="2745"/>
      <c r="K716" s="2745"/>
      <c r="L716" s="2273"/>
      <c r="M716" s="433"/>
      <c r="N716" s="6"/>
      <c r="O716" s="6"/>
      <c r="P716" s="1362"/>
      <c r="Q716" s="2"/>
      <c r="R716" s="2"/>
      <c r="S716" s="108" t="b">
        <f>TRUE</f>
        <v>1</v>
      </c>
      <c r="T716" s="2"/>
      <c r="U716" s="2"/>
      <c r="V716" s="2"/>
      <c r="W716" s="2"/>
      <c r="X716" s="2"/>
      <c r="Y716" s="2"/>
      <c r="Z716" s="2"/>
      <c r="AA716" s="2"/>
      <c r="AB716" s="343"/>
      <c r="AC716" s="2"/>
      <c r="AD716" s="2"/>
      <c r="AE716" s="349"/>
      <c r="AF716" s="349"/>
      <c r="AG716" s="349"/>
      <c r="AH716" s="349"/>
      <c r="AI716" s="349"/>
      <c r="AJ716" s="349"/>
      <c r="AK716" s="349"/>
      <c r="AL716" s="349"/>
      <c r="AM716" s="349"/>
    </row>
    <row r="717" spans="1:39" ht="12.75" customHeight="1" x14ac:dyDescent="0.25">
      <c r="A717" s="2"/>
      <c r="B717" s="19"/>
      <c r="C717" s="45"/>
      <c r="D717" s="33">
        <f t="shared" si="297"/>
        <v>8</v>
      </c>
      <c r="E717" s="2195"/>
      <c r="F717" s="2194"/>
      <c r="G717" s="2269"/>
      <c r="H717" s="2745"/>
      <c r="I717" s="2745"/>
      <c r="J717" s="2745"/>
      <c r="K717" s="2745"/>
      <c r="L717" s="2273"/>
      <c r="M717" s="433"/>
      <c r="N717" s="6"/>
      <c r="O717" s="6"/>
      <c r="P717" s="1362"/>
      <c r="Q717" s="2"/>
      <c r="R717" s="2"/>
      <c r="S717" s="108" t="b">
        <f>TRUE</f>
        <v>1</v>
      </c>
      <c r="T717" s="2"/>
      <c r="U717" s="2"/>
      <c r="V717" s="2"/>
      <c r="W717" s="2"/>
      <c r="X717" s="2"/>
      <c r="Y717" s="2"/>
      <c r="Z717" s="2"/>
      <c r="AA717" s="2"/>
      <c r="AB717" s="343"/>
      <c r="AC717" s="2"/>
      <c r="AD717" s="2"/>
      <c r="AE717" s="349"/>
      <c r="AF717" s="349"/>
      <c r="AG717" s="349"/>
      <c r="AH717" s="349"/>
      <c r="AI717" s="349"/>
      <c r="AJ717" s="349"/>
      <c r="AK717" s="349"/>
      <c r="AL717" s="349"/>
      <c r="AM717" s="349"/>
    </row>
    <row r="718" spans="1:39" ht="12.75" customHeight="1" x14ac:dyDescent="0.25">
      <c r="A718" s="2"/>
      <c r="B718" s="19"/>
      <c r="C718" s="45"/>
      <c r="D718" s="33">
        <f t="shared" si="297"/>
        <v>9</v>
      </c>
      <c r="E718" s="2195"/>
      <c r="F718" s="2194"/>
      <c r="G718" s="2269"/>
      <c r="H718" s="2745"/>
      <c r="I718" s="2745"/>
      <c r="J718" s="2745"/>
      <c r="K718" s="2745"/>
      <c r="L718" s="2273"/>
      <c r="M718" s="433"/>
      <c r="N718" s="6"/>
      <c r="O718" s="6"/>
      <c r="P718" s="1362"/>
      <c r="Q718" s="2"/>
      <c r="R718" s="2"/>
      <c r="S718" s="108" t="b">
        <f>TRUE</f>
        <v>1</v>
      </c>
      <c r="T718" s="2"/>
      <c r="U718" s="2"/>
      <c r="V718" s="2"/>
      <c r="W718" s="2"/>
      <c r="X718" s="2"/>
      <c r="Y718" s="2"/>
      <c r="Z718" s="2"/>
      <c r="AA718" s="2"/>
      <c r="AB718" s="343"/>
      <c r="AC718" s="2"/>
      <c r="AD718" s="2"/>
      <c r="AE718" s="349"/>
      <c r="AF718" s="349"/>
      <c r="AG718" s="349"/>
      <c r="AH718" s="349"/>
      <c r="AI718" s="349"/>
      <c r="AJ718" s="349"/>
      <c r="AK718" s="349"/>
      <c r="AL718" s="349"/>
      <c r="AM718" s="349"/>
    </row>
    <row r="719" spans="1:39" ht="12.75" customHeight="1" x14ac:dyDescent="0.25">
      <c r="A719" s="2"/>
      <c r="B719" s="19"/>
      <c r="C719" s="45"/>
      <c r="D719" s="36">
        <f t="shared" si="297"/>
        <v>10</v>
      </c>
      <c r="E719" s="2266"/>
      <c r="F719" s="2267"/>
      <c r="G719" s="2369"/>
      <c r="H719" s="2744"/>
      <c r="I719" s="2744"/>
      <c r="J719" s="2744"/>
      <c r="K719" s="2744"/>
      <c r="L719" s="2371"/>
      <c r="M719" s="434"/>
      <c r="N719" s="6"/>
      <c r="O719" s="6"/>
      <c r="P719" s="1362"/>
      <c r="Q719" s="2"/>
      <c r="R719" s="2"/>
      <c r="S719" s="108" t="b">
        <f>TRUE</f>
        <v>1</v>
      </c>
      <c r="T719" s="2"/>
      <c r="U719" s="2"/>
      <c r="V719" s="2"/>
      <c r="W719" s="2"/>
      <c r="X719" s="2"/>
      <c r="Y719" s="2"/>
      <c r="Z719" s="7"/>
      <c r="AA719" s="7"/>
      <c r="AB719" s="343"/>
      <c r="AC719" s="2"/>
      <c r="AD719" s="2"/>
      <c r="AE719" s="349"/>
      <c r="AF719" s="349"/>
      <c r="AG719" s="349"/>
      <c r="AH719" s="349"/>
      <c r="AI719" s="349"/>
      <c r="AJ719" s="349"/>
      <c r="AK719" s="349"/>
      <c r="AL719" s="349"/>
      <c r="AM719" s="349"/>
    </row>
    <row r="720" spans="1:39" ht="5.15" customHeight="1" x14ac:dyDescent="0.25">
      <c r="A720" s="2"/>
      <c r="B720" s="3"/>
      <c r="C720" s="3"/>
      <c r="D720" s="3"/>
      <c r="E720" s="3"/>
      <c r="F720" s="3"/>
      <c r="G720" s="3"/>
      <c r="H720" s="3"/>
      <c r="I720" s="3"/>
      <c r="J720" s="3"/>
      <c r="K720" s="3"/>
      <c r="L720" s="3"/>
      <c r="M720" s="3"/>
      <c r="N720" s="3"/>
      <c r="O720" s="6"/>
      <c r="P720" s="6"/>
      <c r="Q720" s="7"/>
      <c r="R720" s="7"/>
      <c r="S720" s="2"/>
      <c r="T720" s="2"/>
      <c r="U720" s="2"/>
      <c r="V720" s="2"/>
      <c r="W720" s="2"/>
      <c r="X720" s="2"/>
      <c r="Y720" s="2"/>
      <c r="Z720" s="2"/>
      <c r="AA720" s="2"/>
      <c r="AB720" s="343"/>
      <c r="AC720" s="2"/>
      <c r="AD720" s="2"/>
      <c r="AE720" s="349"/>
      <c r="AF720" s="349"/>
      <c r="AG720" s="349"/>
      <c r="AH720" s="349"/>
      <c r="AI720" s="349"/>
      <c r="AJ720" s="349"/>
      <c r="AK720" s="349"/>
      <c r="AL720" s="349"/>
      <c r="AM720" s="349"/>
    </row>
    <row r="721" spans="1:39" ht="12.75" customHeight="1" x14ac:dyDescent="0.25">
      <c r="A721" s="2"/>
      <c r="B721" s="3"/>
      <c r="C721" s="13"/>
      <c r="D721" s="13"/>
      <c r="E721" s="1943" t="str">
        <f>Translations!$B$675</f>
        <v>Produktionsnivåer:</v>
      </c>
      <c r="F721" s="1963"/>
      <c r="G721" s="1963"/>
      <c r="H721" s="1963"/>
      <c r="I721" s="1963"/>
      <c r="J721" s="1963"/>
      <c r="K721" s="1963"/>
      <c r="L721" s="1963"/>
      <c r="M721" s="1963"/>
      <c r="N721" s="1963"/>
      <c r="O721" s="6"/>
      <c r="P721" s="6"/>
      <c r="Q721" s="7"/>
      <c r="R721" s="2"/>
      <c r="S721" s="2"/>
      <c r="T721" s="2"/>
      <c r="U721" s="2"/>
      <c r="V721" s="2"/>
      <c r="W721" s="2"/>
      <c r="X721" s="2"/>
      <c r="Y721" s="2"/>
      <c r="Z721" s="2"/>
      <c r="AA721" s="2"/>
      <c r="AB721" s="343"/>
      <c r="AC721" s="2"/>
      <c r="AD721" s="2"/>
      <c r="AE721" s="349"/>
      <c r="AF721" s="349"/>
      <c r="AG721" s="349"/>
      <c r="AH721" s="349"/>
      <c r="AI721" s="349"/>
      <c r="AJ721" s="349"/>
      <c r="AK721" s="349"/>
      <c r="AL721" s="349"/>
      <c r="AM721" s="349"/>
    </row>
    <row r="722" spans="1:39" ht="25.5" customHeight="1" x14ac:dyDescent="0.25">
      <c r="A722" s="2"/>
      <c r="B722" s="3"/>
      <c r="C722" s="13"/>
      <c r="D722" s="13"/>
      <c r="E722" s="2061" t="str">
        <f>Translations!$B$1492</f>
        <v>Observera att energieffektivitetsregeln endast kan tillämpas på fall där värme eller bränsle används för produktion av en specifik produkt. Därför kan regeln inte tillämpas om det inte går att tilldela en PRODCOM-kod till produkten.</v>
      </c>
      <c r="F722" s="1963"/>
      <c r="G722" s="1963"/>
      <c r="H722" s="1963"/>
      <c r="I722" s="1963"/>
      <c r="J722" s="1963"/>
      <c r="K722" s="1963"/>
      <c r="L722" s="1963"/>
      <c r="M722" s="1963"/>
      <c r="N722" s="1963"/>
      <c r="O722" s="6"/>
      <c r="P722" s="6"/>
      <c r="Q722" s="7"/>
      <c r="R722" s="2"/>
      <c r="S722" s="2"/>
      <c r="T722" s="2"/>
      <c r="U722" s="2"/>
      <c r="V722" s="2"/>
      <c r="W722" s="2"/>
      <c r="X722" s="2"/>
      <c r="Y722" s="2"/>
      <c r="Z722" s="2"/>
      <c r="AA722" s="2"/>
      <c r="AB722" s="343"/>
      <c r="AC722" s="2"/>
      <c r="AD722" s="2"/>
      <c r="AE722" s="349"/>
      <c r="AF722" s="349"/>
      <c r="AG722" s="349"/>
      <c r="AH722" s="349"/>
      <c r="AI722" s="349"/>
      <c r="AJ722" s="349"/>
      <c r="AK722" s="349"/>
      <c r="AL722" s="349"/>
      <c r="AM722" s="349"/>
    </row>
    <row r="723" spans="1:39" ht="25.5" customHeight="1" x14ac:dyDescent="0.25">
      <c r="A723" s="2"/>
      <c r="B723" s="3"/>
      <c r="C723" s="13"/>
      <c r="D723" s="13"/>
      <c r="E723" s="2061" t="str">
        <f>Translations!$B$1493</f>
        <v>Om ingen PRODCOM-kod kan tilldelas en produkt kan energieffektivitetsregeln därmed inte tillämpas, eftersom nedanstående effektivitet endast kan beräknas om alla ”produkter” är relaterade till samma enhet, vanligtvis ton.</v>
      </c>
      <c r="F723" s="1963"/>
      <c r="G723" s="1963"/>
      <c r="H723" s="1963"/>
      <c r="I723" s="1963"/>
      <c r="J723" s="1963"/>
      <c r="K723" s="1963"/>
      <c r="L723" s="1963"/>
      <c r="M723" s="1963"/>
      <c r="N723" s="1963"/>
      <c r="O723" s="6"/>
      <c r="P723" s="6"/>
      <c r="Q723" s="7"/>
      <c r="R723" s="2"/>
      <c r="S723" s="2"/>
      <c r="T723" s="2"/>
      <c r="U723" s="2"/>
      <c r="V723" s="2"/>
      <c r="W723" s="2"/>
      <c r="X723" s="2"/>
      <c r="Y723" s="2"/>
      <c r="Z723" s="2"/>
      <c r="AA723" s="2"/>
      <c r="AB723" s="343"/>
      <c r="AC723" s="2"/>
      <c r="AD723" s="2"/>
      <c r="AE723" s="349"/>
      <c r="AF723" s="349"/>
      <c r="AG723" s="349"/>
      <c r="AH723" s="349"/>
      <c r="AI723" s="349"/>
      <c r="AJ723" s="349"/>
      <c r="AK723" s="349"/>
      <c r="AL723" s="349"/>
      <c r="AM723" s="349"/>
    </row>
    <row r="724" spans="1:39" ht="12.75" customHeight="1" x14ac:dyDescent="0.25">
      <c r="A724" s="2"/>
      <c r="B724" s="3"/>
      <c r="C724" s="13"/>
      <c r="D724" s="13"/>
      <c r="E724" s="2061" t="str">
        <f>Translations!$B$1494</f>
        <v>Värdet för de nationella genomförandeåtgärderna (NIMs-värde) hänför sig till den genomsnittliga produktionen under referensperioden för NIMs (i likhet med historisk verksamhetsnivå) och är endast relevant för existerande delanläggningar inom befintliga anläggningar.</v>
      </c>
      <c r="F724" s="1963"/>
      <c r="G724" s="1963"/>
      <c r="H724" s="1963"/>
      <c r="I724" s="1963"/>
      <c r="J724" s="1963"/>
      <c r="K724" s="1963"/>
      <c r="L724" s="1963"/>
      <c r="M724" s="1963"/>
      <c r="N724" s="1963"/>
      <c r="O724" s="6"/>
      <c r="P724" s="6"/>
      <c r="Q724" s="7"/>
      <c r="R724" s="2"/>
      <c r="S724" s="2"/>
      <c r="T724" s="2"/>
      <c r="U724" s="2"/>
      <c r="V724" s="2"/>
      <c r="W724" s="2"/>
      <c r="X724" s="2"/>
      <c r="Y724" s="2"/>
      <c r="Z724" s="2"/>
      <c r="AA724" s="2"/>
      <c r="AB724" s="343"/>
      <c r="AC724" s="2"/>
      <c r="AD724" s="2"/>
      <c r="AE724" s="349"/>
      <c r="AF724" s="349"/>
      <c r="AG724" s="349"/>
      <c r="AH724" s="349"/>
      <c r="AI724" s="349"/>
      <c r="AJ724" s="349"/>
      <c r="AK724" s="349"/>
      <c r="AL724" s="349"/>
      <c r="AM724" s="349"/>
    </row>
    <row r="725" spans="1:39" ht="5.15" customHeight="1" x14ac:dyDescent="0.25">
      <c r="A725" s="2"/>
      <c r="B725" s="3"/>
      <c r="C725" s="15"/>
      <c r="D725" s="15"/>
      <c r="E725" s="16"/>
      <c r="F725" s="16"/>
      <c r="G725" s="16"/>
      <c r="H725" s="16"/>
      <c r="I725" s="16"/>
      <c r="J725" s="20"/>
      <c r="K725" s="20"/>
      <c r="L725" s="20"/>
      <c r="M725" s="6"/>
      <c r="N725" s="6"/>
      <c r="O725" s="6"/>
      <c r="P725" s="6"/>
      <c r="Q725" s="7"/>
      <c r="R725" s="2"/>
      <c r="S725" s="2"/>
      <c r="T725" s="2"/>
      <c r="U725" s="2"/>
      <c r="V725" s="2"/>
      <c r="W725" s="2"/>
      <c r="X725" s="2"/>
      <c r="Y725" s="2"/>
      <c r="Z725" s="2"/>
      <c r="AA725" s="2"/>
      <c r="AB725" s="343"/>
      <c r="AC725" s="2"/>
      <c r="AD725" s="2"/>
      <c r="AE725" s="349"/>
      <c r="AF725" s="349"/>
      <c r="AG725" s="349"/>
      <c r="AH725" s="349"/>
      <c r="AI725" s="349"/>
      <c r="AJ725" s="349"/>
      <c r="AK725" s="349"/>
      <c r="AL725" s="349"/>
      <c r="AM725" s="349"/>
    </row>
    <row r="726" spans="1:39" s="1195" customFormat="1" ht="25.5" customHeight="1" thickBot="1" x14ac:dyDescent="0.35">
      <c r="A726" s="1189"/>
      <c r="B726" s="1190"/>
      <c r="C726" s="1191"/>
      <c r="D726" s="1192"/>
      <c r="E726" s="866" t="str">
        <f>G709</f>
        <v>Produktnamn eller typ av tjänst</v>
      </c>
      <c r="F726" s="1095" t="str">
        <f>EUconst_Unit</f>
        <v>Enhet</v>
      </c>
      <c r="G726" s="1204" t="str">
        <f>Translations!$B$1495</f>
        <v>NIMs-värde</v>
      </c>
      <c r="H726" s="1205">
        <f t="shared" ref="H726:N726" si="298">H$950</f>
        <v>2019</v>
      </c>
      <c r="I726" s="1204">
        <f t="shared" si="298"/>
        <v>2020</v>
      </c>
      <c r="J726" s="1205">
        <f t="shared" si="298"/>
        <v>2021</v>
      </c>
      <c r="K726" s="1193">
        <f t="shared" si="298"/>
        <v>2022</v>
      </c>
      <c r="L726" s="1193">
        <f t="shared" si="298"/>
        <v>2023</v>
      </c>
      <c r="M726" s="1193">
        <f t="shared" si="298"/>
        <v>2024</v>
      </c>
      <c r="N726" s="1193">
        <f t="shared" si="298"/>
        <v>2025</v>
      </c>
      <c r="O726" s="6"/>
      <c r="P726" s="6"/>
      <c r="Q726" s="1189"/>
      <c r="R726" s="1189"/>
      <c r="S726" s="1189"/>
      <c r="T726" s="1189"/>
      <c r="U726" s="1189"/>
      <c r="V726" s="1189"/>
      <c r="W726" s="1189"/>
      <c r="X726" s="1189"/>
      <c r="Y726" s="1189"/>
      <c r="Z726" s="1189"/>
      <c r="AA726" s="1189"/>
      <c r="AB726" s="7" t="s">
        <v>1846</v>
      </c>
      <c r="AC726" s="1189">
        <f t="shared" ref="AC726:AI726" si="299">H726</f>
        <v>2019</v>
      </c>
      <c r="AD726" s="1189">
        <f t="shared" si="299"/>
        <v>2020</v>
      </c>
      <c r="AE726" s="1189">
        <f t="shared" si="299"/>
        <v>2021</v>
      </c>
      <c r="AF726" s="1189">
        <f t="shared" si="299"/>
        <v>2022</v>
      </c>
      <c r="AG726" s="1189">
        <f t="shared" si="299"/>
        <v>2023</v>
      </c>
      <c r="AH726" s="1194">
        <f t="shared" si="299"/>
        <v>2024</v>
      </c>
      <c r="AI726" s="1194">
        <f t="shared" si="299"/>
        <v>2025</v>
      </c>
      <c r="AJ726" s="1194"/>
      <c r="AK726" s="1194"/>
      <c r="AL726" s="1194"/>
      <c r="AM726" s="1194"/>
    </row>
    <row r="727" spans="1:39" ht="12.75" customHeight="1" x14ac:dyDescent="0.25">
      <c r="A727" s="2"/>
      <c r="B727" s="19"/>
      <c r="C727" s="45"/>
      <c r="D727" s="32">
        <v>1</v>
      </c>
      <c r="E727" s="1037" t="str">
        <f t="shared" ref="E727:E736" si="300">IF(ISBLANK(G710),"",G710)</f>
        <v/>
      </c>
      <c r="F727" s="1524"/>
      <c r="G727" s="467"/>
      <c r="H727" s="1106"/>
      <c r="I727" s="467"/>
      <c r="J727" s="1106"/>
      <c r="K727" s="383"/>
      <c r="L727" s="383"/>
      <c r="M727" s="383"/>
      <c r="N727" s="383"/>
      <c r="O727" s="6"/>
      <c r="P727" s="1362"/>
      <c r="Q727" s="2"/>
      <c r="R727" s="2"/>
      <c r="S727" s="2"/>
      <c r="T727" s="2"/>
      <c r="U727" s="2"/>
      <c r="V727" s="2"/>
      <c r="W727" s="2"/>
      <c r="X727" s="2"/>
      <c r="Y727" s="2"/>
      <c r="Z727" s="672" t="s">
        <v>1899</v>
      </c>
      <c r="AA727" s="1705">
        <f>MAX(AC727:AI727)</f>
        <v>2</v>
      </c>
      <c r="AB727" s="1174">
        <f>IF(CNTR_ExistSubInstEntries,IF(OR($M676&lt;&gt;EUconst_Relevant,$V676&gt;2018,$E727=""),0,2),2)</f>
        <v>2</v>
      </c>
      <c r="AC727" s="1174">
        <f t="shared" ref="AC727:AI727" si="301">IF(CNTR_ExistSubInstEntries,IF(OR($M676&lt;&gt;EUconst_Relevant,AC726&gt;=CNTR_ReportingYear,AC726&lt;$V676-1,$E727=""),0,2),2)</f>
        <v>2</v>
      </c>
      <c r="AD727" s="1173">
        <f t="shared" si="301"/>
        <v>2</v>
      </c>
      <c r="AE727" s="1173">
        <f t="shared" si="301"/>
        <v>2</v>
      </c>
      <c r="AF727" s="1173">
        <f t="shared" si="301"/>
        <v>2</v>
      </c>
      <c r="AG727" s="1173">
        <f t="shared" si="301"/>
        <v>2</v>
      </c>
      <c r="AH727" s="1175">
        <f t="shared" si="301"/>
        <v>2</v>
      </c>
      <c r="AI727" s="1176">
        <f t="shared" si="301"/>
        <v>2</v>
      </c>
      <c r="AJ727" s="349"/>
      <c r="AK727" s="553" t="s">
        <v>2248</v>
      </c>
      <c r="AL727" s="663" t="str">
        <f>IF(AND(CNTR_ExistSubInstEntries,COUNTIFS(AB727:AI727,2,G727:N727,"")&gt;0),EUconst_Error&amp;"FB"&amp;Q676,"")</f>
        <v/>
      </c>
      <c r="AM727" s="349"/>
    </row>
    <row r="728" spans="1:39" ht="12.75" customHeight="1" x14ac:dyDescent="0.25">
      <c r="A728" s="2"/>
      <c r="B728" s="19"/>
      <c r="C728" s="45"/>
      <c r="D728" s="33">
        <f>D727+1</f>
        <v>2</v>
      </c>
      <c r="E728" s="1036" t="str">
        <f t="shared" si="300"/>
        <v/>
      </c>
      <c r="F728" s="1522" t="str">
        <f>IF(OR(F727="",E728=""),"",F727)</f>
        <v/>
      </c>
      <c r="G728" s="468"/>
      <c r="H728" s="1120"/>
      <c r="I728" s="468"/>
      <c r="J728" s="1120"/>
      <c r="K728" s="431"/>
      <c r="L728" s="431"/>
      <c r="M728" s="431"/>
      <c r="N728" s="431"/>
      <c r="O728" s="6"/>
      <c r="P728" s="1362"/>
      <c r="Q728" s="2"/>
      <c r="R728" s="2"/>
      <c r="S728" s="2"/>
      <c r="T728" s="2"/>
      <c r="U728" s="2"/>
      <c r="V728" s="2"/>
      <c r="W728" s="2"/>
      <c r="X728" s="2"/>
      <c r="Y728" s="2"/>
      <c r="Z728" s="2"/>
      <c r="AA728" s="1177">
        <f t="shared" ref="AA728:AA736" si="302">MAX(AC728:AI728)</f>
        <v>2</v>
      </c>
      <c r="AB728" s="935">
        <f>IF(CNTR_ExistSubInstEntries,IF(OR($M676&lt;&gt;EUconst_Relevant,$V676&gt;2018,$E728=""),0,2),2)</f>
        <v>2</v>
      </c>
      <c r="AC728" s="935">
        <f t="shared" ref="AC728:AI728" si="303">IF(CNTR_ExistSubInstEntries,IF(OR($M676&lt;&gt;EUconst_Relevant,AC726&gt;=CNTR_ReportingYear,AC726&lt;$V676-1,$E728=""),0,2),2)</f>
        <v>2</v>
      </c>
      <c r="AD728" s="935">
        <f t="shared" si="303"/>
        <v>2</v>
      </c>
      <c r="AE728" s="935">
        <f t="shared" si="303"/>
        <v>2</v>
      </c>
      <c r="AF728" s="935">
        <f t="shared" si="303"/>
        <v>2</v>
      </c>
      <c r="AG728" s="935">
        <f t="shared" si="303"/>
        <v>2</v>
      </c>
      <c r="AH728" s="1039">
        <f t="shared" si="303"/>
        <v>2</v>
      </c>
      <c r="AI728" s="1178">
        <f t="shared" si="303"/>
        <v>2</v>
      </c>
      <c r="AJ728" s="349"/>
      <c r="AK728" s="553" t="s">
        <v>2248</v>
      </c>
      <c r="AL728" s="663" t="str">
        <f>IF(AND(CNTR_ExistSubInstEntries,COUNTIFS(AB728:AI728,2,G728:N728,"")&gt;0),EUconst_Error&amp;"FB"&amp;Q676,"")</f>
        <v/>
      </c>
      <c r="AM728" s="349"/>
    </row>
    <row r="729" spans="1:39" ht="12.75" customHeight="1" x14ac:dyDescent="0.25">
      <c r="A729" s="2"/>
      <c r="B729" s="19"/>
      <c r="C729" s="45"/>
      <c r="D729" s="33">
        <f t="shared" ref="D729:D736" si="304">D728+1</f>
        <v>3</v>
      </c>
      <c r="E729" s="1036" t="str">
        <f t="shared" si="300"/>
        <v/>
      </c>
      <c r="F729" s="1522" t="str">
        <f t="shared" ref="F729:F736" si="305">IF(OR(F728="",E729=""),"",F728)</f>
        <v/>
      </c>
      <c r="G729" s="468"/>
      <c r="H729" s="1120"/>
      <c r="I729" s="468"/>
      <c r="J729" s="1120"/>
      <c r="K729" s="431"/>
      <c r="L729" s="431"/>
      <c r="M729" s="431"/>
      <c r="N729" s="431"/>
      <c r="O729" s="6"/>
      <c r="P729" s="1362"/>
      <c r="Q729" s="2"/>
      <c r="R729" s="2"/>
      <c r="S729" s="2"/>
      <c r="T729" s="2"/>
      <c r="U729" s="2"/>
      <c r="V729" s="2"/>
      <c r="W729" s="2"/>
      <c r="X729" s="2"/>
      <c r="Y729" s="2"/>
      <c r="Z729" s="2"/>
      <c r="AA729" s="1177">
        <f t="shared" si="302"/>
        <v>2</v>
      </c>
      <c r="AB729" s="935">
        <f>IF(CNTR_ExistSubInstEntries,IF(OR($M676&lt;&gt;EUconst_Relevant,$V676&gt;2018,$E729=""),0,2),2)</f>
        <v>2</v>
      </c>
      <c r="AC729" s="935">
        <f t="shared" ref="AC729:AI729" si="306">IF(CNTR_ExistSubInstEntries,IF(OR($M676&lt;&gt;EUconst_Relevant,AC726&gt;=CNTR_ReportingYear,AC726&lt;$V676-1,$E729=""),0,2),2)</f>
        <v>2</v>
      </c>
      <c r="AD729" s="935">
        <f t="shared" si="306"/>
        <v>2</v>
      </c>
      <c r="AE729" s="935">
        <f t="shared" si="306"/>
        <v>2</v>
      </c>
      <c r="AF729" s="935">
        <f t="shared" si="306"/>
        <v>2</v>
      </c>
      <c r="AG729" s="935">
        <f t="shared" si="306"/>
        <v>2</v>
      </c>
      <c r="AH729" s="1039">
        <f t="shared" si="306"/>
        <v>2</v>
      </c>
      <c r="AI729" s="1178">
        <f t="shared" si="306"/>
        <v>2</v>
      </c>
      <c r="AJ729" s="349"/>
      <c r="AK729" s="553" t="s">
        <v>2248</v>
      </c>
      <c r="AL729" s="663" t="str">
        <f>IF(AND(CNTR_ExistSubInstEntries,COUNTIFS(AB729:AI729,2,G729:N729,"")&gt;0),EUconst_Error&amp;"FB"&amp;Q676,"")</f>
        <v/>
      </c>
      <c r="AM729" s="349"/>
    </row>
    <row r="730" spans="1:39" ht="12.75" customHeight="1" x14ac:dyDescent="0.25">
      <c r="A730" s="2"/>
      <c r="B730" s="19"/>
      <c r="C730" s="45"/>
      <c r="D730" s="33">
        <f t="shared" si="304"/>
        <v>4</v>
      </c>
      <c r="E730" s="1036" t="str">
        <f t="shared" si="300"/>
        <v/>
      </c>
      <c r="F730" s="1522" t="str">
        <f t="shared" si="305"/>
        <v/>
      </c>
      <c r="G730" s="468"/>
      <c r="H730" s="1120"/>
      <c r="I730" s="468"/>
      <c r="J730" s="1120"/>
      <c r="K730" s="431"/>
      <c r="L730" s="431"/>
      <c r="M730" s="431"/>
      <c r="N730" s="431"/>
      <c r="O730" s="6"/>
      <c r="P730" s="1362"/>
      <c r="Q730" s="2"/>
      <c r="R730" s="2"/>
      <c r="S730" s="2"/>
      <c r="T730" s="2"/>
      <c r="U730" s="343"/>
      <c r="V730" s="343"/>
      <c r="W730" s="2"/>
      <c r="X730" s="2"/>
      <c r="Y730" s="2"/>
      <c r="Z730" s="2"/>
      <c r="AA730" s="1177">
        <f t="shared" si="302"/>
        <v>2</v>
      </c>
      <c r="AB730" s="935">
        <f>IF(CNTR_ExistSubInstEntries,IF(OR($M676&lt;&gt;EUconst_Relevant,$V676&gt;2018,$E730=""),0,2),2)</f>
        <v>2</v>
      </c>
      <c r="AC730" s="935">
        <f t="shared" ref="AC730:AI730" si="307">IF(CNTR_ExistSubInstEntries,IF(OR($M676&lt;&gt;EUconst_Relevant,AC726&gt;=CNTR_ReportingYear,AC726&lt;$V676-1,$E730=""),0,2),2)</f>
        <v>2</v>
      </c>
      <c r="AD730" s="935">
        <f t="shared" si="307"/>
        <v>2</v>
      </c>
      <c r="AE730" s="935">
        <f t="shared" si="307"/>
        <v>2</v>
      </c>
      <c r="AF730" s="935">
        <f t="shared" si="307"/>
        <v>2</v>
      </c>
      <c r="AG730" s="935">
        <f t="shared" si="307"/>
        <v>2</v>
      </c>
      <c r="AH730" s="1039">
        <f t="shared" si="307"/>
        <v>2</v>
      </c>
      <c r="AI730" s="1178">
        <f t="shared" si="307"/>
        <v>2</v>
      </c>
      <c r="AJ730" s="349"/>
      <c r="AK730" s="553" t="s">
        <v>2248</v>
      </c>
      <c r="AL730" s="663" t="str">
        <f>IF(AND(CNTR_ExistSubInstEntries,COUNTIFS(AB730:AI730,2,G730:N730,"")&gt;0),EUconst_Error&amp;"FB"&amp;Q676,"")</f>
        <v/>
      </c>
      <c r="AM730" s="349"/>
    </row>
    <row r="731" spans="1:39" ht="12.75" customHeight="1" x14ac:dyDescent="0.25">
      <c r="A731" s="2"/>
      <c r="B731" s="19"/>
      <c r="C731" s="45"/>
      <c r="D731" s="33">
        <f t="shared" si="304"/>
        <v>5</v>
      </c>
      <c r="E731" s="1036" t="str">
        <f t="shared" si="300"/>
        <v/>
      </c>
      <c r="F731" s="1522" t="str">
        <f t="shared" si="305"/>
        <v/>
      </c>
      <c r="G731" s="468"/>
      <c r="H731" s="1120"/>
      <c r="I731" s="468"/>
      <c r="J731" s="1120"/>
      <c r="K731" s="431"/>
      <c r="L731" s="431"/>
      <c r="M731" s="431"/>
      <c r="N731" s="431"/>
      <c r="O731" s="6"/>
      <c r="P731" s="1362"/>
      <c r="Q731" s="2"/>
      <c r="R731" s="2"/>
      <c r="S731" s="2"/>
      <c r="T731" s="2"/>
      <c r="U731" s="343"/>
      <c r="V731" s="2"/>
      <c r="W731" s="2"/>
      <c r="X731" s="2"/>
      <c r="Y731" s="2"/>
      <c r="Z731" s="2"/>
      <c r="AA731" s="1177">
        <f t="shared" si="302"/>
        <v>2</v>
      </c>
      <c r="AB731" s="935">
        <f>IF(CNTR_ExistSubInstEntries,IF(OR($M676&lt;&gt;EUconst_Relevant,$V676&gt;2018,$E731=""),0,2),2)</f>
        <v>2</v>
      </c>
      <c r="AC731" s="935">
        <f t="shared" ref="AC731:AI731" si="308">IF(CNTR_ExistSubInstEntries,IF(OR($M676&lt;&gt;EUconst_Relevant,AC726&gt;=CNTR_ReportingYear,AC726&lt;$V676-1,$E731=""),0,2),2)</f>
        <v>2</v>
      </c>
      <c r="AD731" s="935">
        <f t="shared" si="308"/>
        <v>2</v>
      </c>
      <c r="AE731" s="935">
        <f t="shared" si="308"/>
        <v>2</v>
      </c>
      <c r="AF731" s="935">
        <f t="shared" si="308"/>
        <v>2</v>
      </c>
      <c r="AG731" s="935">
        <f t="shared" si="308"/>
        <v>2</v>
      </c>
      <c r="AH731" s="1039">
        <f t="shared" si="308"/>
        <v>2</v>
      </c>
      <c r="AI731" s="1178">
        <f t="shared" si="308"/>
        <v>2</v>
      </c>
      <c r="AJ731" s="349"/>
      <c r="AK731" s="553" t="s">
        <v>2248</v>
      </c>
      <c r="AL731" s="663" t="str">
        <f>IF(AND(CNTR_ExistSubInstEntries,COUNTIFS(AB731:AI731,2,G731:N731,"")&gt;0),EUconst_Error&amp;"FB"&amp;Q676,"")</f>
        <v/>
      </c>
      <c r="AM731" s="349"/>
    </row>
    <row r="732" spans="1:39" ht="12.75" customHeight="1" x14ac:dyDescent="0.25">
      <c r="A732" s="2"/>
      <c r="B732" s="19"/>
      <c r="C732" s="45"/>
      <c r="D732" s="33">
        <f t="shared" si="304"/>
        <v>6</v>
      </c>
      <c r="E732" s="1036" t="str">
        <f t="shared" si="300"/>
        <v/>
      </c>
      <c r="F732" s="1522" t="str">
        <f t="shared" si="305"/>
        <v/>
      </c>
      <c r="G732" s="468"/>
      <c r="H732" s="1120"/>
      <c r="I732" s="468"/>
      <c r="J732" s="1120"/>
      <c r="K732" s="431"/>
      <c r="L732" s="431"/>
      <c r="M732" s="431"/>
      <c r="N732" s="431"/>
      <c r="O732" s="6"/>
      <c r="P732" s="1362"/>
      <c r="Q732" s="2"/>
      <c r="R732" s="2"/>
      <c r="S732" s="2"/>
      <c r="T732" s="2"/>
      <c r="U732" s="2"/>
      <c r="V732" s="2"/>
      <c r="W732" s="2"/>
      <c r="X732" s="2"/>
      <c r="Y732" s="2"/>
      <c r="Z732" s="2"/>
      <c r="AA732" s="1177">
        <f t="shared" si="302"/>
        <v>2</v>
      </c>
      <c r="AB732" s="935">
        <f>IF(CNTR_ExistSubInstEntries,IF(OR($M676&lt;&gt;EUconst_Relevant,$V676&gt;2018,$E732=""),0,2),2)</f>
        <v>2</v>
      </c>
      <c r="AC732" s="935">
        <f t="shared" ref="AC732:AI732" si="309">IF(CNTR_ExistSubInstEntries,IF(OR($M676&lt;&gt;EUconst_Relevant,AC726&gt;=CNTR_ReportingYear,AC726&lt;$V676-1,$E732=""),0,2),2)</f>
        <v>2</v>
      </c>
      <c r="AD732" s="935">
        <f t="shared" si="309"/>
        <v>2</v>
      </c>
      <c r="AE732" s="935">
        <f t="shared" si="309"/>
        <v>2</v>
      </c>
      <c r="AF732" s="935">
        <f t="shared" si="309"/>
        <v>2</v>
      </c>
      <c r="AG732" s="935">
        <f t="shared" si="309"/>
        <v>2</v>
      </c>
      <c r="AH732" s="1039">
        <f t="shared" si="309"/>
        <v>2</v>
      </c>
      <c r="AI732" s="1178">
        <f t="shared" si="309"/>
        <v>2</v>
      </c>
      <c r="AJ732" s="349"/>
      <c r="AK732" s="553" t="s">
        <v>2248</v>
      </c>
      <c r="AL732" s="663" t="str">
        <f>IF(AND(CNTR_ExistSubInstEntries,COUNTIFS(AB732:AI732,2,G732:N732,"")&gt;0),EUconst_Error&amp;"FB"&amp;Q676,"")</f>
        <v/>
      </c>
      <c r="AM732" s="349"/>
    </row>
    <row r="733" spans="1:39" ht="12.75" customHeight="1" x14ac:dyDescent="0.25">
      <c r="A733" s="2"/>
      <c r="B733" s="19"/>
      <c r="C733" s="45"/>
      <c r="D733" s="33">
        <f t="shared" si="304"/>
        <v>7</v>
      </c>
      <c r="E733" s="1036" t="str">
        <f t="shared" si="300"/>
        <v/>
      </c>
      <c r="F733" s="1522" t="str">
        <f t="shared" si="305"/>
        <v/>
      </c>
      <c r="G733" s="468"/>
      <c r="H733" s="1120"/>
      <c r="I733" s="468"/>
      <c r="J733" s="1120"/>
      <c r="K733" s="431"/>
      <c r="L733" s="431"/>
      <c r="M733" s="431"/>
      <c r="N733" s="431"/>
      <c r="O733" s="6"/>
      <c r="P733" s="1362"/>
      <c r="Q733" s="2"/>
      <c r="R733" s="2"/>
      <c r="S733" s="2"/>
      <c r="T733" s="2"/>
      <c r="U733" s="2"/>
      <c r="V733" s="2"/>
      <c r="W733" s="2"/>
      <c r="X733" s="2"/>
      <c r="Y733" s="2"/>
      <c r="Z733" s="2"/>
      <c r="AA733" s="1177">
        <f t="shared" si="302"/>
        <v>2</v>
      </c>
      <c r="AB733" s="935">
        <f>IF(CNTR_ExistSubInstEntries,IF(OR($M676&lt;&gt;EUconst_Relevant,$V676&gt;2018,$E733=""),0,2),2)</f>
        <v>2</v>
      </c>
      <c r="AC733" s="935">
        <f t="shared" ref="AC733:AI733" si="310">IF(CNTR_ExistSubInstEntries,IF(OR($M676&lt;&gt;EUconst_Relevant,AC726&gt;=CNTR_ReportingYear,AC726&lt;$V676-1,$E733=""),0,2),2)</f>
        <v>2</v>
      </c>
      <c r="AD733" s="935">
        <f t="shared" si="310"/>
        <v>2</v>
      </c>
      <c r="AE733" s="935">
        <f t="shared" si="310"/>
        <v>2</v>
      </c>
      <c r="AF733" s="935">
        <f t="shared" si="310"/>
        <v>2</v>
      </c>
      <c r="AG733" s="935">
        <f t="shared" si="310"/>
        <v>2</v>
      </c>
      <c r="AH733" s="1039">
        <f t="shared" si="310"/>
        <v>2</v>
      </c>
      <c r="AI733" s="1178">
        <f t="shared" si="310"/>
        <v>2</v>
      </c>
      <c r="AJ733" s="349"/>
      <c r="AK733" s="553" t="s">
        <v>2248</v>
      </c>
      <c r="AL733" s="663" t="str">
        <f>IF(AND(CNTR_ExistSubInstEntries,COUNTIFS(AB733:AI733,2,G733:N733,"")&gt;0),EUconst_Error&amp;"FB"&amp;Q676,"")</f>
        <v/>
      </c>
      <c r="AM733" s="349"/>
    </row>
    <row r="734" spans="1:39" ht="12.75" customHeight="1" x14ac:dyDescent="0.25">
      <c r="A734" s="2"/>
      <c r="B734" s="19"/>
      <c r="C734" s="45"/>
      <c r="D734" s="33">
        <f t="shared" si="304"/>
        <v>8</v>
      </c>
      <c r="E734" s="1036" t="str">
        <f t="shared" si="300"/>
        <v/>
      </c>
      <c r="F734" s="1522" t="str">
        <f t="shared" si="305"/>
        <v/>
      </c>
      <c r="G734" s="468"/>
      <c r="H734" s="1120"/>
      <c r="I734" s="468"/>
      <c r="J734" s="1120"/>
      <c r="K734" s="431"/>
      <c r="L734" s="431"/>
      <c r="M734" s="431"/>
      <c r="N734" s="431"/>
      <c r="O734" s="6"/>
      <c r="P734" s="1362"/>
      <c r="Q734" s="2"/>
      <c r="R734" s="2"/>
      <c r="S734" s="2"/>
      <c r="T734" s="2"/>
      <c r="U734" s="2"/>
      <c r="V734" s="2"/>
      <c r="W734" s="2"/>
      <c r="X734" s="2"/>
      <c r="Y734" s="2"/>
      <c r="Z734" s="2"/>
      <c r="AA734" s="1177">
        <f t="shared" si="302"/>
        <v>2</v>
      </c>
      <c r="AB734" s="935">
        <f>IF(CNTR_ExistSubInstEntries,IF(OR($M676&lt;&gt;EUconst_Relevant,$V676&gt;2018,$E734=""),0,2),2)</f>
        <v>2</v>
      </c>
      <c r="AC734" s="935">
        <f t="shared" ref="AC734:AI734" si="311">IF(CNTR_ExistSubInstEntries,IF(OR($M676&lt;&gt;EUconst_Relevant,AC726&gt;=CNTR_ReportingYear,AC726&lt;$V676-1,$E734=""),0,2),2)</f>
        <v>2</v>
      </c>
      <c r="AD734" s="935">
        <f t="shared" si="311"/>
        <v>2</v>
      </c>
      <c r="AE734" s="935">
        <f t="shared" si="311"/>
        <v>2</v>
      </c>
      <c r="AF734" s="935">
        <f t="shared" si="311"/>
        <v>2</v>
      </c>
      <c r="AG734" s="935">
        <f t="shared" si="311"/>
        <v>2</v>
      </c>
      <c r="AH734" s="1039">
        <f t="shared" si="311"/>
        <v>2</v>
      </c>
      <c r="AI734" s="1178">
        <f t="shared" si="311"/>
        <v>2</v>
      </c>
      <c r="AJ734" s="349"/>
      <c r="AK734" s="553" t="s">
        <v>2248</v>
      </c>
      <c r="AL734" s="663" t="str">
        <f>IF(AND(CNTR_ExistSubInstEntries,COUNTIFS(AB734:AI734,2,G734:N734,"")&gt;0),EUconst_Error&amp;"FB"&amp;Q676,"")</f>
        <v/>
      </c>
      <c r="AM734" s="349"/>
    </row>
    <row r="735" spans="1:39" ht="12.75" customHeight="1" x14ac:dyDescent="0.25">
      <c r="A735" s="2"/>
      <c r="B735" s="19"/>
      <c r="C735" s="45"/>
      <c r="D735" s="33">
        <f t="shared" si="304"/>
        <v>9</v>
      </c>
      <c r="E735" s="1036" t="str">
        <f t="shared" si="300"/>
        <v/>
      </c>
      <c r="F735" s="1522" t="str">
        <f t="shared" si="305"/>
        <v/>
      </c>
      <c r="G735" s="468"/>
      <c r="H735" s="1120"/>
      <c r="I735" s="468"/>
      <c r="J735" s="1120"/>
      <c r="K735" s="431"/>
      <c r="L735" s="431"/>
      <c r="M735" s="431"/>
      <c r="N735" s="431"/>
      <c r="O735" s="6"/>
      <c r="P735" s="1362"/>
      <c r="Q735" s="2"/>
      <c r="R735" s="2"/>
      <c r="S735" s="2"/>
      <c r="T735" s="2"/>
      <c r="U735" s="2"/>
      <c r="V735" s="2"/>
      <c r="W735" s="2"/>
      <c r="X735" s="2"/>
      <c r="Y735" s="2"/>
      <c r="Z735" s="2"/>
      <c r="AA735" s="1177">
        <f t="shared" si="302"/>
        <v>2</v>
      </c>
      <c r="AB735" s="935">
        <f>IF(CNTR_ExistSubInstEntries,IF(OR($M676&lt;&gt;EUconst_Relevant,$V676&gt;2018,$E735=""),0,2),2)</f>
        <v>2</v>
      </c>
      <c r="AC735" s="935">
        <f t="shared" ref="AC735:AI735" si="312">IF(CNTR_ExistSubInstEntries,IF(OR($M676&lt;&gt;EUconst_Relevant,AC726&gt;=CNTR_ReportingYear,AC726&lt;$V676-1,$E735=""),0,2),2)</f>
        <v>2</v>
      </c>
      <c r="AD735" s="935">
        <f t="shared" si="312"/>
        <v>2</v>
      </c>
      <c r="AE735" s="935">
        <f t="shared" si="312"/>
        <v>2</v>
      </c>
      <c r="AF735" s="935">
        <f t="shared" si="312"/>
        <v>2</v>
      </c>
      <c r="AG735" s="935">
        <f t="shared" si="312"/>
        <v>2</v>
      </c>
      <c r="AH735" s="1039">
        <f t="shared" si="312"/>
        <v>2</v>
      </c>
      <c r="AI735" s="1178">
        <f t="shared" si="312"/>
        <v>2</v>
      </c>
      <c r="AJ735" s="349"/>
      <c r="AK735" s="553" t="s">
        <v>2248</v>
      </c>
      <c r="AL735" s="663" t="str">
        <f>IF(AND(CNTR_ExistSubInstEntries,COUNTIFS(AB735:AI735,2,G735:N735,"")&gt;0),EUconst_Error&amp;"FB"&amp;Q676,"")</f>
        <v/>
      </c>
      <c r="AM735" s="349"/>
    </row>
    <row r="736" spans="1:39" ht="12.75" customHeight="1" thickBot="1" x14ac:dyDescent="0.3">
      <c r="A736" s="2"/>
      <c r="B736" s="19"/>
      <c r="C736" s="45"/>
      <c r="D736" s="36">
        <f t="shared" si="304"/>
        <v>10</v>
      </c>
      <c r="E736" s="1038" t="str">
        <f t="shared" si="300"/>
        <v/>
      </c>
      <c r="F736" s="1523" t="str">
        <f t="shared" si="305"/>
        <v/>
      </c>
      <c r="G736" s="469"/>
      <c r="H736" s="1112"/>
      <c r="I736" s="469"/>
      <c r="J736" s="1112"/>
      <c r="K736" s="357"/>
      <c r="L736" s="357"/>
      <c r="M736" s="357"/>
      <c r="N736" s="357"/>
      <c r="O736" s="6"/>
      <c r="P736" s="1362"/>
      <c r="Q736" s="2"/>
      <c r="R736" s="2"/>
      <c r="S736" s="2"/>
      <c r="T736" s="2"/>
      <c r="U736" s="2"/>
      <c r="V736" s="2"/>
      <c r="W736" s="2"/>
      <c r="X736" s="2"/>
      <c r="Y736" s="2"/>
      <c r="Z736" s="2"/>
      <c r="AA736" s="1179">
        <f t="shared" si="302"/>
        <v>2</v>
      </c>
      <c r="AB736" s="1180">
        <f>IF(CNTR_ExistSubInstEntries,IF(OR($M676&lt;&gt;EUconst_Relevant,$V676&gt;2018,$E736=""),0,2),2)</f>
        <v>2</v>
      </c>
      <c r="AC736" s="1180">
        <f t="shared" ref="AC736:AI736" si="313">IF(CNTR_ExistSubInstEntries,IF(OR($M676&lt;&gt;EUconst_Relevant,AC726&gt;=CNTR_ReportingYear,AC726&lt;$V676-1,$E736=""),0,2),2)</f>
        <v>2</v>
      </c>
      <c r="AD736" s="1180">
        <f t="shared" si="313"/>
        <v>2</v>
      </c>
      <c r="AE736" s="1180">
        <f t="shared" si="313"/>
        <v>2</v>
      </c>
      <c r="AF736" s="1180">
        <f t="shared" si="313"/>
        <v>2</v>
      </c>
      <c r="AG736" s="1180">
        <f t="shared" si="313"/>
        <v>2</v>
      </c>
      <c r="AH736" s="1181">
        <f t="shared" si="313"/>
        <v>2</v>
      </c>
      <c r="AI736" s="1182">
        <f t="shared" si="313"/>
        <v>2</v>
      </c>
      <c r="AJ736" s="349"/>
      <c r="AK736" s="553" t="s">
        <v>2248</v>
      </c>
      <c r="AL736" s="663" t="str">
        <f>IF(AND(CNTR_ExistSubInstEntries,COUNTIFS(AB736:AI736,2,G736:N736,"")&gt;0),EUconst_Error&amp;"FB"&amp;Q676,"")</f>
        <v/>
      </c>
      <c r="AM736" s="349"/>
    </row>
    <row r="737" spans="1:39" ht="12.75" customHeight="1" x14ac:dyDescent="0.25">
      <c r="A737" s="2"/>
      <c r="B737" s="19"/>
      <c r="C737" s="19"/>
      <c r="D737" s="90"/>
      <c r="E737" s="1026" t="str">
        <f>Translations!$B$548</f>
        <v>Summa av produktionsnivåer</v>
      </c>
      <c r="F737" s="1523" t="str">
        <f>IF(F727="","",F727)</f>
        <v/>
      </c>
      <c r="G737" s="281" t="str">
        <f>IF(COUNT(G727:G736)&gt;0,SUMIF($S710:$S719,TRUE,G727:G736),"")</f>
        <v/>
      </c>
      <c r="H737" s="1118" t="str">
        <f t="shared" ref="H737:N737" si="314">IF(COUNT(H727:H736)&gt;0,SUMIF($S710:$S719,TRUE,H727:H736),"")</f>
        <v/>
      </c>
      <c r="I737" s="281" t="str">
        <f t="shared" si="314"/>
        <v/>
      </c>
      <c r="J737" s="1118" t="str">
        <f t="shared" si="314"/>
        <v/>
      </c>
      <c r="K737" s="275" t="str">
        <f t="shared" si="314"/>
        <v/>
      </c>
      <c r="L737" s="275" t="str">
        <f t="shared" si="314"/>
        <v/>
      </c>
      <c r="M737" s="275" t="str">
        <f t="shared" si="314"/>
        <v/>
      </c>
      <c r="N737" s="275" t="str">
        <f t="shared" si="314"/>
        <v/>
      </c>
      <c r="O737" s="6"/>
      <c r="P737" s="6"/>
      <c r="Q737" s="2"/>
      <c r="R737" s="2"/>
      <c r="S737" s="2"/>
      <c r="T737" s="2"/>
      <c r="U737" s="2"/>
      <c r="V737" s="2"/>
      <c r="W737" s="2"/>
      <c r="X737" s="2"/>
      <c r="Y737" s="2"/>
      <c r="Z737" s="2"/>
      <c r="AA737" s="2"/>
      <c r="AB737" s="343"/>
      <c r="AC737" s="343"/>
      <c r="AD737" s="343"/>
      <c r="AE737" s="343"/>
      <c r="AF737" s="343"/>
      <c r="AG737" s="343"/>
      <c r="AH737" s="343"/>
      <c r="AI737" s="343"/>
      <c r="AJ737" s="349"/>
      <c r="AK737" s="349"/>
      <c r="AL737" s="349"/>
      <c r="AM737" s="349"/>
    </row>
    <row r="738" spans="1:39" ht="5.15" customHeight="1" x14ac:dyDescent="0.25">
      <c r="A738" s="2"/>
      <c r="B738" s="19"/>
      <c r="C738" s="3"/>
      <c r="D738" s="3"/>
      <c r="E738" s="3"/>
      <c r="F738" s="3"/>
      <c r="G738" s="3"/>
      <c r="H738" s="3"/>
      <c r="I738" s="3"/>
      <c r="J738" s="3"/>
      <c r="K738" s="3"/>
      <c r="L738" s="3"/>
      <c r="M738" s="3"/>
      <c r="N738" s="3"/>
      <c r="O738" s="6"/>
      <c r="P738" s="6"/>
      <c r="Q738" s="2"/>
      <c r="R738" s="2"/>
      <c r="S738" s="2"/>
      <c r="T738" s="2"/>
      <c r="U738" s="2"/>
      <c r="V738" s="2"/>
      <c r="W738" s="2"/>
      <c r="X738" s="2"/>
      <c r="Y738" s="2"/>
      <c r="Z738" s="343"/>
      <c r="AA738" s="343"/>
      <c r="AB738" s="343"/>
      <c r="AC738" s="2"/>
      <c r="AD738" s="2"/>
      <c r="AE738" s="349"/>
      <c r="AF738" s="349"/>
      <c r="AG738" s="349"/>
      <c r="AH738" s="349"/>
      <c r="AI738" s="349"/>
      <c r="AJ738" s="349"/>
      <c r="AK738" s="349"/>
      <c r="AL738" s="349"/>
      <c r="AM738" s="349"/>
    </row>
    <row r="739" spans="1:39" ht="12.75" customHeight="1" x14ac:dyDescent="0.25">
      <c r="A739" s="2"/>
      <c r="B739" s="19"/>
      <c r="C739" s="3"/>
      <c r="D739" s="13" t="s">
        <v>1914</v>
      </c>
      <c r="E739" s="1943" t="str">
        <f>Translations!$B$1496</f>
        <v>Energiförbrukning per produkt för fastställande av ändrad energieffektivitet</v>
      </c>
      <c r="F739" s="1963"/>
      <c r="G739" s="1963"/>
      <c r="H739" s="1963"/>
      <c r="I739" s="1963"/>
      <c r="J739" s="1963"/>
      <c r="K739" s="1963"/>
      <c r="L739" s="1963"/>
      <c r="M739" s="1963"/>
      <c r="N739" s="1963"/>
      <c r="O739" s="6"/>
      <c r="P739" s="6"/>
      <c r="Q739" s="7"/>
      <c r="R739" s="2"/>
      <c r="S739" s="715" t="s">
        <v>2206</v>
      </c>
      <c r="T739" s="390" t="str">
        <f>IF(M676&lt;&gt;EUconst_Relevant,"",IF(COUNTIF(J694:N694,"&gt;"&amp;15%)&gt;0,IF(MSconst_RequireEnEffDetails,2,1),1))</f>
        <v/>
      </c>
      <c r="U739" s="343" t="s">
        <v>2196</v>
      </c>
      <c r="V739" s="2"/>
      <c r="W739" s="2"/>
      <c r="X739" s="2"/>
      <c r="Y739" s="2"/>
      <c r="Z739" s="343"/>
      <c r="AA739" s="343"/>
      <c r="AB739" s="343"/>
      <c r="AC739" s="2"/>
      <c r="AD739" s="2"/>
      <c r="AE739" s="349"/>
      <c r="AF739" s="349"/>
      <c r="AG739" s="349"/>
      <c r="AH739" s="349"/>
      <c r="AI739" s="349"/>
      <c r="AJ739" s="349"/>
      <c r="AK739" s="349"/>
      <c r="AL739" s="349"/>
      <c r="AM739" s="349"/>
    </row>
    <row r="740" spans="1:39" ht="12.75" customHeight="1" x14ac:dyDescent="0.25">
      <c r="A740" s="2"/>
      <c r="B740" s="3"/>
      <c r="C740" s="15"/>
      <c r="D740" s="15"/>
      <c r="E740" s="2061" t="str">
        <f>Translations!$B$1497</f>
        <v>Ange den energiförbrukning som kan tillskrivas varje produkt under punkt b) ovan enligt metoderna som beskrivs i övervakningsmetodplanen.</v>
      </c>
      <c r="F740" s="1963"/>
      <c r="G740" s="1963"/>
      <c r="H740" s="1963"/>
      <c r="I740" s="1963"/>
      <c r="J740" s="1963"/>
      <c r="K740" s="1963"/>
      <c r="L740" s="1963"/>
      <c r="M740" s="1963"/>
      <c r="N740" s="1963"/>
      <c r="O740" s="6"/>
      <c r="P740" s="6"/>
      <c r="Q740" s="7"/>
      <c r="R740" s="7"/>
      <c r="S740" s="7"/>
      <c r="T740" s="7"/>
      <c r="U740" s="7"/>
      <c r="V740" s="7"/>
      <c r="W740" s="7"/>
      <c r="X740" s="7"/>
      <c r="Y740" s="7"/>
      <c r="Z740" s="2"/>
      <c r="AA740" s="2"/>
      <c r="AB740" s="343"/>
      <c r="AC740" s="2"/>
      <c r="AD740" s="2"/>
      <c r="AE740" s="349"/>
      <c r="AF740" s="349"/>
      <c r="AG740" s="349"/>
      <c r="AH740" s="349"/>
      <c r="AI740" s="349"/>
      <c r="AJ740" s="349"/>
      <c r="AK740" s="349"/>
      <c r="AL740" s="349"/>
      <c r="AM740" s="349"/>
    </row>
    <row r="741" spans="1:39" ht="12.75" customHeight="1" x14ac:dyDescent="0.25">
      <c r="A741" s="2"/>
      <c r="B741" s="19"/>
      <c r="C741" s="3"/>
      <c r="D741" s="3"/>
      <c r="E741" s="2070" t="str">
        <f>Translations!$B$1498</f>
        <v>Om den genomsnittliga årliga verksamhetsnivån har minskat med mer än 15 % kan du ange uppgifter här för att visa att denna minskning kan förklaras av förbättringar av energieffektiviteten.</v>
      </c>
      <c r="F741" s="2071"/>
      <c r="G741" s="2071"/>
      <c r="H741" s="2071"/>
      <c r="I741" s="2071"/>
      <c r="J741" s="2071"/>
      <c r="K741" s="2071"/>
      <c r="L741" s="2071"/>
      <c r="M741" s="2071"/>
      <c r="N741" s="2071"/>
      <c r="O741" s="6"/>
      <c r="P741" s="978"/>
      <c r="Q741" s="2"/>
      <c r="R741" s="2"/>
      <c r="S741" s="2"/>
      <c r="T741" s="2"/>
      <c r="U741" s="2"/>
      <c r="V741" s="2"/>
      <c r="W741" s="2"/>
      <c r="X741" s="2"/>
      <c r="Y741" s="2"/>
      <c r="Z741" s="343"/>
      <c r="AA741" s="343"/>
      <c r="AB741" s="343"/>
      <c r="AC741" s="343"/>
      <c r="AD741" s="2"/>
      <c r="AE741" s="349"/>
      <c r="AF741" s="349"/>
      <c r="AG741" s="349"/>
      <c r="AH741" s="349"/>
      <c r="AI741" s="349"/>
      <c r="AJ741" s="349"/>
      <c r="AK741" s="349"/>
      <c r="AL741" s="349"/>
      <c r="AM741" s="349"/>
    </row>
    <row r="742" spans="1:39" ht="12.75" customHeight="1" x14ac:dyDescent="0.25">
      <c r="A742" s="2"/>
      <c r="B742" s="19"/>
      <c r="C742" s="3"/>
      <c r="D742" s="3"/>
      <c r="E742" s="2070" t="str">
        <f>Translations!$B$1499</f>
        <v>Uppgifter här är endast obligatoriska för alla år om SAMTLIGA följande villkor uppfylls:</v>
      </c>
      <c r="F742" s="2071"/>
      <c r="G742" s="2071"/>
      <c r="H742" s="2071"/>
      <c r="I742" s="2071"/>
      <c r="J742" s="2071"/>
      <c r="K742" s="2071"/>
      <c r="L742" s="2071"/>
      <c r="M742" s="2071"/>
      <c r="N742" s="2071"/>
      <c r="O742" s="6"/>
      <c r="P742" s="6"/>
      <c r="Q742" s="2"/>
      <c r="R742" s="2"/>
      <c r="S742" s="2"/>
      <c r="T742" s="2"/>
      <c r="U742" s="2"/>
      <c r="V742" s="2"/>
      <c r="W742" s="2"/>
      <c r="X742" s="2"/>
      <c r="Y742" s="2"/>
      <c r="Z742" s="343"/>
      <c r="AA742" s="343"/>
      <c r="AB742" s="343"/>
      <c r="AC742" s="343"/>
      <c r="AD742" s="2"/>
      <c r="AE742" s="349"/>
      <c r="AF742" s="349"/>
      <c r="AG742" s="349"/>
      <c r="AH742" s="349"/>
      <c r="AI742" s="349"/>
      <c r="AJ742" s="349"/>
      <c r="AK742" s="349"/>
      <c r="AL742" s="349"/>
      <c r="AM742" s="349"/>
    </row>
    <row r="743" spans="1:39" ht="12.75" customHeight="1" x14ac:dyDescent="0.25">
      <c r="A743" s="2"/>
      <c r="B743" s="19"/>
      <c r="C743" s="3"/>
      <c r="D743" s="3"/>
      <c r="E743" s="486" t="s">
        <v>1112</v>
      </c>
      <c r="F743" s="2070" t="str">
        <f>Translations!$B$1500</f>
        <v>Den genomsnittliga årliga verksamhetsnivån enligt a) har ökat med mer än 15 % jämfört med den historiska verksamhetsnivån under något år.</v>
      </c>
      <c r="G743" s="2071"/>
      <c r="H743" s="2071"/>
      <c r="I743" s="2071"/>
      <c r="J743" s="2071"/>
      <c r="K743" s="2071"/>
      <c r="L743" s="2071"/>
      <c r="M743" s="2071"/>
      <c r="N743" s="2071"/>
      <c r="O743" s="6"/>
      <c r="P743" s="978"/>
      <c r="Q743" s="2"/>
      <c r="R743" s="2"/>
      <c r="S743" s="2"/>
      <c r="T743" s="2"/>
      <c r="U743" s="2"/>
      <c r="V743" s="2"/>
      <c r="W743" s="2"/>
      <c r="X743" s="2"/>
      <c r="Y743" s="2"/>
      <c r="Z743" s="343"/>
      <c r="AA743" s="343"/>
      <c r="AB743" s="343"/>
      <c r="AC743" s="343"/>
      <c r="AD743" s="2"/>
      <c r="AE743" s="349"/>
      <c r="AF743" s="349"/>
      <c r="AG743" s="349"/>
      <c r="AH743" s="349"/>
      <c r="AI743" s="349"/>
      <c r="AJ743" s="349"/>
      <c r="AK743" s="349"/>
      <c r="AL743" s="349"/>
      <c r="AM743" s="349"/>
    </row>
    <row r="744" spans="1:39" ht="12.75" customHeight="1" x14ac:dyDescent="0.25">
      <c r="A744" s="2"/>
      <c r="B744" s="19"/>
      <c r="C744" s="3"/>
      <c r="D744" s="3"/>
      <c r="E744" s="486" t="s">
        <v>1112</v>
      </c>
      <c r="F744" s="2070" t="str">
        <f>Translations!$B$1528</f>
        <v>Värmen används för ”produktion av varor” enligt punkt b) ovan</v>
      </c>
      <c r="G744" s="2071"/>
      <c r="H744" s="2071"/>
      <c r="I744" s="2071"/>
      <c r="J744" s="2071"/>
      <c r="K744" s="2071"/>
      <c r="L744" s="2071"/>
      <c r="M744" s="2071"/>
      <c r="N744" s="2071"/>
      <c r="O744" s="6"/>
      <c r="P744" s="978"/>
      <c r="Q744" s="2"/>
      <c r="R744" s="2"/>
      <c r="S744" s="2"/>
      <c r="T744" s="2"/>
      <c r="U744" s="2"/>
      <c r="V744" s="2"/>
      <c r="W744" s="2"/>
      <c r="X744" s="2"/>
      <c r="Y744" s="2"/>
      <c r="Z744" s="343"/>
      <c r="AA744" s="343"/>
      <c r="AB744" s="343"/>
      <c r="AC744" s="343"/>
      <c r="AD744" s="2"/>
      <c r="AE744" s="349"/>
      <c r="AF744" s="349"/>
      <c r="AG744" s="349"/>
      <c r="AH744" s="349"/>
      <c r="AI744" s="349"/>
      <c r="AJ744" s="349"/>
      <c r="AK744" s="349"/>
      <c r="AL744" s="349"/>
      <c r="AM744" s="349"/>
    </row>
    <row r="745" spans="1:39" ht="12.75" customHeight="1" x14ac:dyDescent="0.25">
      <c r="A745" s="2"/>
      <c r="B745" s="19"/>
      <c r="C745" s="3"/>
      <c r="D745" s="3"/>
      <c r="E745" s="486" t="s">
        <v>1112</v>
      </c>
      <c r="F745" s="2070" t="str">
        <f>Translations!$B$1502</f>
        <v>Medlemsstaten har valt att uppgifterna ska vara obligatoriska som standard om ovanstående villkor uppfylls.</v>
      </c>
      <c r="G745" s="2071"/>
      <c r="H745" s="2071"/>
      <c r="I745" s="2071"/>
      <c r="J745" s="2071"/>
      <c r="K745" s="2071"/>
      <c r="L745" s="2071"/>
      <c r="M745" s="2071"/>
      <c r="N745" s="2071"/>
      <c r="O745" s="6"/>
      <c r="P745" s="978"/>
      <c r="Q745" s="2"/>
      <c r="R745" s="2"/>
      <c r="S745" s="2"/>
      <c r="T745" s="2"/>
      <c r="U745" s="2"/>
      <c r="V745" s="2"/>
      <c r="W745" s="2"/>
      <c r="X745" s="2"/>
      <c r="Y745" s="2"/>
      <c r="Z745" s="343"/>
      <c r="AA745" s="343"/>
      <c r="AB745" s="343"/>
      <c r="AC745" s="343"/>
      <c r="AD745" s="2"/>
      <c r="AE745" s="349"/>
      <c r="AF745" s="349"/>
      <c r="AG745" s="349"/>
      <c r="AH745" s="349"/>
      <c r="AI745" s="349"/>
      <c r="AJ745" s="349"/>
      <c r="AK745" s="349"/>
      <c r="AL745" s="349"/>
      <c r="AM745" s="349"/>
    </row>
    <row r="746" spans="1:39" ht="12.75" customHeight="1" x14ac:dyDescent="0.25">
      <c r="A746" s="2"/>
      <c r="B746" s="19"/>
      <c r="C746" s="3"/>
      <c r="D746" s="3"/>
      <c r="E746" s="2061" t="str">
        <f>Translations!$B$1503</f>
        <v>Observera att uppgifterna i samtliga andra fall antingen inte är relevanta eller är valfria (indikeras) och kommer inte att tas i beaktande vid bedömningen av förbättrad energieffektivitet i följande steg nedan.</v>
      </c>
      <c r="F746" s="1963"/>
      <c r="G746" s="1963"/>
      <c r="H746" s="1963"/>
      <c r="I746" s="1963"/>
      <c r="J746" s="1963"/>
      <c r="K746" s="1963"/>
      <c r="L746" s="1963"/>
      <c r="M746" s="1963"/>
      <c r="N746" s="1963"/>
      <c r="O746" s="6"/>
      <c r="P746" s="978"/>
      <c r="Q746" s="2"/>
      <c r="R746" s="2"/>
      <c r="S746" s="2"/>
      <c r="T746" s="2"/>
      <c r="U746" s="2"/>
      <c r="V746" s="2"/>
      <c r="W746" s="2"/>
      <c r="X746" s="2"/>
      <c r="Y746" s="2"/>
      <c r="Z746" s="343"/>
      <c r="AA746" s="343"/>
      <c r="AB746" s="343"/>
      <c r="AC746" s="343"/>
      <c r="AD746" s="2"/>
      <c r="AE746" s="349"/>
      <c r="AF746" s="349"/>
      <c r="AG746" s="349"/>
      <c r="AH746" s="349"/>
      <c r="AI746" s="349"/>
      <c r="AJ746" s="349"/>
      <c r="AK746" s="349"/>
      <c r="AL746" s="349"/>
      <c r="AM746" s="349"/>
    </row>
    <row r="747" spans="1:39" ht="12.75" customHeight="1" x14ac:dyDescent="0.25">
      <c r="A747" s="2"/>
      <c r="B747" s="19"/>
      <c r="C747" s="3"/>
      <c r="D747" s="3"/>
      <c r="E747" s="2061" t="str">
        <f>Translations!$B$1504</f>
        <v>Ytterligare vägledning finns i avsnitt 6.1 i vägledningsdokument 7.</v>
      </c>
      <c r="F747" s="1963"/>
      <c r="G747" s="1963"/>
      <c r="H747" s="1963"/>
      <c r="I747" s="1963"/>
      <c r="J747" s="1963"/>
      <c r="K747" s="1963"/>
      <c r="L747" s="1963"/>
      <c r="M747" s="1963"/>
      <c r="N747" s="1963"/>
      <c r="O747" s="6"/>
      <c r="P747" s="978"/>
      <c r="Q747" s="2"/>
      <c r="R747" s="2"/>
      <c r="S747" s="2"/>
      <c r="T747" s="2"/>
      <c r="U747" s="2"/>
      <c r="V747" s="2"/>
      <c r="W747" s="2"/>
      <c r="X747" s="2"/>
      <c r="Y747" s="2"/>
      <c r="Z747" s="343"/>
      <c r="AA747" s="343"/>
      <c r="AB747" s="343"/>
      <c r="AC747" s="343"/>
      <c r="AD747" s="2"/>
      <c r="AE747" s="349"/>
      <c r="AF747" s="349"/>
      <c r="AG747" s="349"/>
      <c r="AH747" s="349"/>
      <c r="AI747" s="349"/>
      <c r="AJ747" s="349"/>
      <c r="AK747" s="349"/>
      <c r="AL747" s="349"/>
      <c r="AM747" s="349"/>
    </row>
    <row r="748" spans="1:39" ht="5.15" customHeight="1" x14ac:dyDescent="0.25">
      <c r="A748" s="2"/>
      <c r="B748" s="19"/>
      <c r="C748" s="3"/>
      <c r="D748" s="3"/>
      <c r="E748" s="2061"/>
      <c r="F748" s="1963"/>
      <c r="G748" s="1963"/>
      <c r="H748" s="1963"/>
      <c r="I748" s="1963"/>
      <c r="J748" s="1963"/>
      <c r="K748" s="1963"/>
      <c r="L748" s="1963"/>
      <c r="M748" s="1963"/>
      <c r="N748" s="1963"/>
      <c r="O748" s="6"/>
      <c r="P748" s="978"/>
      <c r="Q748" s="2"/>
      <c r="R748" s="2"/>
      <c r="S748" s="2"/>
      <c r="T748" s="2"/>
      <c r="U748" s="2"/>
      <c r="V748" s="2"/>
      <c r="W748" s="2"/>
      <c r="X748" s="2"/>
      <c r="Y748" s="2"/>
      <c r="Z748" s="343"/>
      <c r="AA748" s="343"/>
      <c r="AB748" s="343"/>
      <c r="AC748" s="343"/>
      <c r="AD748" s="2"/>
      <c r="AE748" s="349"/>
      <c r="AF748" s="349"/>
      <c r="AG748" s="349"/>
      <c r="AH748" s="349"/>
      <c r="AI748" s="349"/>
      <c r="AJ748" s="349"/>
      <c r="AK748" s="349"/>
      <c r="AL748" s="349"/>
      <c r="AM748" s="349"/>
    </row>
    <row r="749" spans="1:39" s="1195" customFormat="1" ht="25.5" customHeight="1" thickBot="1" x14ac:dyDescent="0.35">
      <c r="A749" s="1189"/>
      <c r="B749" s="1190"/>
      <c r="C749" s="1191"/>
      <c r="D749" s="1192"/>
      <c r="E749" s="866" t="str">
        <f t="shared" ref="E749:E759" si="315">E726</f>
        <v>Produktnamn eller typ av tjänst</v>
      </c>
      <c r="F749" s="1095" t="str">
        <f>EUconst_Unit</f>
        <v>Enhet</v>
      </c>
      <c r="G749" s="1204" t="str">
        <f>Translations!$B$1495</f>
        <v>NIMs-värde</v>
      </c>
      <c r="H749" s="1205">
        <f t="shared" ref="H749:N749" si="316">H$950</f>
        <v>2019</v>
      </c>
      <c r="I749" s="1204">
        <f t="shared" si="316"/>
        <v>2020</v>
      </c>
      <c r="J749" s="1205">
        <f t="shared" si="316"/>
        <v>2021</v>
      </c>
      <c r="K749" s="1193">
        <f t="shared" si="316"/>
        <v>2022</v>
      </c>
      <c r="L749" s="1193">
        <f t="shared" si="316"/>
        <v>2023</v>
      </c>
      <c r="M749" s="1193">
        <f t="shared" si="316"/>
        <v>2024</v>
      </c>
      <c r="N749" s="1193">
        <f t="shared" si="316"/>
        <v>2025</v>
      </c>
      <c r="O749" s="6"/>
      <c r="P749" s="978"/>
      <c r="Q749" s="1189"/>
      <c r="R749" s="1189"/>
      <c r="S749" s="7" t="s">
        <v>1875</v>
      </c>
      <c r="T749" s="1189">
        <f t="shared" ref="T749:Z749" si="317">H749</f>
        <v>2019</v>
      </c>
      <c r="U749" s="1189">
        <f t="shared" si="317"/>
        <v>2020</v>
      </c>
      <c r="V749" s="1189">
        <f t="shared" si="317"/>
        <v>2021</v>
      </c>
      <c r="W749" s="1189">
        <f t="shared" si="317"/>
        <v>2022</v>
      </c>
      <c r="X749" s="1189">
        <f t="shared" si="317"/>
        <v>2023</v>
      </c>
      <c r="Y749" s="1189">
        <f t="shared" si="317"/>
        <v>2024</v>
      </c>
      <c r="Z749" s="1189">
        <f t="shared" si="317"/>
        <v>2025</v>
      </c>
      <c r="AA749" s="1189"/>
      <c r="AB749" s="7" t="s">
        <v>1846</v>
      </c>
      <c r="AC749" s="1189">
        <f t="shared" ref="AC749:AI749" si="318">H749</f>
        <v>2019</v>
      </c>
      <c r="AD749" s="1189">
        <f t="shared" si="318"/>
        <v>2020</v>
      </c>
      <c r="AE749" s="1189">
        <f t="shared" si="318"/>
        <v>2021</v>
      </c>
      <c r="AF749" s="1189">
        <f t="shared" si="318"/>
        <v>2022</v>
      </c>
      <c r="AG749" s="1189">
        <f t="shared" si="318"/>
        <v>2023</v>
      </c>
      <c r="AH749" s="1194">
        <f t="shared" si="318"/>
        <v>2024</v>
      </c>
      <c r="AI749" s="1194">
        <f t="shared" si="318"/>
        <v>2025</v>
      </c>
      <c r="AJ749" s="1194"/>
      <c r="AK749" s="1194"/>
      <c r="AL749" s="1194"/>
      <c r="AM749" s="1194"/>
    </row>
    <row r="750" spans="1:39" ht="12.75" customHeight="1" x14ac:dyDescent="0.25">
      <c r="A750" s="2"/>
      <c r="B750" s="19"/>
      <c r="C750" s="45"/>
      <c r="D750" s="32">
        <v>1</v>
      </c>
      <c r="E750" s="1037" t="str">
        <f t="shared" si="315"/>
        <v/>
      </c>
      <c r="F750" s="549" t="str">
        <f t="shared" ref="F750:F761" si="319">EUconst_TJ</f>
        <v>TJ</v>
      </c>
      <c r="G750" s="1292"/>
      <c r="H750" s="1106"/>
      <c r="I750" s="467"/>
      <c r="J750" s="1106"/>
      <c r="K750" s="383"/>
      <c r="L750" s="383"/>
      <c r="M750" s="383"/>
      <c r="N750" s="383"/>
      <c r="O750" s="6"/>
      <c r="P750" s="1362"/>
      <c r="Q750" s="2"/>
      <c r="R750" s="2"/>
      <c r="S750" s="1186" t="str">
        <f>IF($M676&lt;&gt;EUconst_Relevant,"",
IF($V676&gt;($J$950-3),
              IF(INDEX(H727:N727,MATCH($V676,$T749:$Z749,0))=0,0,INDEX(H750:N750,MATCH($V676,$T749:$Z749,0))/INDEX(H727:N727,MATCH($V676,$T749:$Z749,0))),
                             IF(ISNUMBER(G727),
                                            IF(OR(G727=0,$S710=FALSE),0,G750/G727),"")))</f>
        <v/>
      </c>
      <c r="T750" s="1908" t="str">
        <f>IF($E727="","",IF($S710=FALSE,0,IF(SUM($S750)=0,SUM(H750),SUM(H727)*SUM($S750))))</f>
        <v/>
      </c>
      <c r="U750" s="1908" t="str">
        <f t="shared" ref="U750:U759" si="320">IF($E727="","",IF($S710=FALSE,0,IF(SUM($S750)=0,SUM(I750),SUM(I727)*SUM($S750))))</f>
        <v/>
      </c>
      <c r="V750" s="1908" t="str">
        <f t="shared" ref="V750:V759" si="321">IF($E727="","",IF($S710=FALSE,0,IF(SUM($S750)=0,SUM(J750),SUM(J727)*SUM($S750))))</f>
        <v/>
      </c>
      <c r="W750" s="1908" t="str">
        <f t="shared" ref="W750:W759" si="322">IF($E727="","",IF($S710=FALSE,0,IF(SUM($S750)=0,SUM(K750),SUM(K727)*SUM($S750))))</f>
        <v/>
      </c>
      <c r="X750" s="1908" t="str">
        <f t="shared" ref="X750:X759" si="323">IF($E727="","",IF($S710=FALSE,0,IF(SUM($S750)=0,SUM(L750),SUM(L727)*SUM($S750))))</f>
        <v/>
      </c>
      <c r="Y750" s="1908" t="str">
        <f t="shared" ref="Y750:Y759" si="324">IF($E727="","",IF($S710=FALSE,0,IF(SUM($S750)=0,SUM(M750),SUM(M727)*SUM($S750))))</f>
        <v/>
      </c>
      <c r="Z750" s="1909" t="str">
        <f t="shared" ref="Z750:Z759" si="325">IF($E727="","",IF($S710=FALSE,0,IF(SUM($S750)=0,SUM(N750),SUM(N727)*SUM($S750))))</f>
        <v/>
      </c>
      <c r="AA750" s="1185" t="s">
        <v>1899</v>
      </c>
      <c r="AB750" s="1172">
        <f>AC750</f>
        <v>2</v>
      </c>
      <c r="AC750" s="1174">
        <f>IF(CNTR_ExistSubInstEntries,IF(OR($M676&lt;&gt;EUconst_Relevant,AC749&gt;=CNTR_ReportingYear,AC749&lt;V676-1,$E750=""),0,IF(AND($T739=2,$S710),2,1)),2)</f>
        <v>2</v>
      </c>
      <c r="AD750" s="1173">
        <f>IF(CNTR_ExistSubInstEntries,IF(OR($M676&lt;&gt;EUconst_Relevant,AD749&gt;=CNTR_ReportingYear,AD749&lt;V676-1,$E750=""),0,IF(AND($T739=2,$S710),2,1)),2)</f>
        <v>2</v>
      </c>
      <c r="AE750" s="1173">
        <f>IF(CNTR_ExistSubInstEntries,IF(OR($M676&lt;&gt;EUconst_Relevant,AE749&gt;=CNTR_ReportingYear,AE749&lt;V676-1,$E750=""),0,IF(AND($T739=2,$S710),2,1)),2)</f>
        <v>2</v>
      </c>
      <c r="AF750" s="1173">
        <f>IF(CNTR_ExistSubInstEntries,IF(OR($M676&lt;&gt;EUconst_Relevant,AF749&gt;=CNTR_ReportingYear,AF749&lt;V676-1,$E750=""),0,IF(AND($T739=2,$S710),2,1)),2)</f>
        <v>2</v>
      </c>
      <c r="AG750" s="1173">
        <f>IF(CNTR_ExistSubInstEntries,IF(OR($M676&lt;&gt;EUconst_Relevant,AG749&gt;=CNTR_ReportingYear,AG749&lt;V676-1,$E750=""),0,IF(AND($T739=2,$S710),2,1)),2)</f>
        <v>2</v>
      </c>
      <c r="AH750" s="1175">
        <f>IF(CNTR_ExistSubInstEntries,IF(OR($M676&lt;&gt;EUconst_Relevant,AH749&gt;=CNTR_ReportingYear,AH749&lt;V676-1,$E750=""),0,IF(AND($T739=2,$S710),2,1)),2)</f>
        <v>2</v>
      </c>
      <c r="AI750" s="1176">
        <f>IF(CNTR_ExistSubInstEntries,IF(OR($M676&lt;&gt;EUconst_Relevant,AI749&gt;=CNTR_ReportingYear,AI749&lt;V676-1,$E750=""),0,IF(AND($T739=2,$S710),2,1)),2)</f>
        <v>2</v>
      </c>
      <c r="AJ750" s="349"/>
      <c r="AK750" s="553" t="s">
        <v>2248</v>
      </c>
      <c r="AL750" s="663" t="str">
        <f>IF(AND(CNTR_ExistSubInstEntries,COUNTIFS(AB750:AI750,2,G750:N750,"")&gt;0),EUconst_Error&amp;"FB"&amp;Q676,"")</f>
        <v/>
      </c>
      <c r="AM750" s="349"/>
    </row>
    <row r="751" spans="1:39" ht="12.75" customHeight="1" x14ac:dyDescent="0.25">
      <c r="A751" s="2"/>
      <c r="B751" s="19"/>
      <c r="C751" s="45"/>
      <c r="D751" s="33">
        <f>D750+1</f>
        <v>2</v>
      </c>
      <c r="E751" s="1036" t="str">
        <f t="shared" si="315"/>
        <v/>
      </c>
      <c r="F751" s="550" t="str">
        <f t="shared" si="319"/>
        <v>TJ</v>
      </c>
      <c r="G751" s="1291"/>
      <c r="H751" s="1120"/>
      <c r="I751" s="468"/>
      <c r="J751" s="1120"/>
      <c r="K751" s="431"/>
      <c r="L751" s="431"/>
      <c r="M751" s="431"/>
      <c r="N751" s="431"/>
      <c r="O751" s="6"/>
      <c r="P751" s="1362"/>
      <c r="Q751" s="2"/>
      <c r="R751" s="2"/>
      <c r="S751" s="1187" t="str">
        <f>IF($M676&lt;&gt;EUconst_Relevant,"",
IF($V676&gt;($J$950-3),
              IF(INDEX(H728:N728,MATCH($V676,$T749:$Z749,0))=0,0,INDEX(H751:N751,MATCH($V676,$T749:$Z749,0))/INDEX(H728:N728,MATCH($V676,$T749:$Z749,0))),
                             IF(ISNUMBER(G728),
                                            IF(OR(G728=0,$S711=FALSE),0,G751/G728),"")))</f>
        <v/>
      </c>
      <c r="T751" s="1910" t="str">
        <f t="shared" ref="T751:T759" si="326">IF($E728="","",IF($S711=FALSE,0,IF(SUM($S751)=0,SUM(H751),SUM(H728)*SUM($S751))))</f>
        <v/>
      </c>
      <c r="U751" s="1910" t="str">
        <f t="shared" si="320"/>
        <v/>
      </c>
      <c r="V751" s="1910" t="str">
        <f t="shared" si="321"/>
        <v/>
      </c>
      <c r="W751" s="1910" t="str">
        <f t="shared" si="322"/>
        <v/>
      </c>
      <c r="X751" s="1910" t="str">
        <f t="shared" si="323"/>
        <v/>
      </c>
      <c r="Y751" s="1910" t="str">
        <f t="shared" si="324"/>
        <v/>
      </c>
      <c r="Z751" s="1911" t="str">
        <f t="shared" si="325"/>
        <v/>
      </c>
      <c r="AA751" s="2"/>
      <c r="AB751" s="1177">
        <f t="shared" ref="AB751:AB759" si="327">AC751</f>
        <v>2</v>
      </c>
      <c r="AC751" s="935">
        <f>IF(CNTR_ExistSubInstEntries,IF(OR($M676&lt;&gt;EUconst_Relevant,AC749&gt;=CNTR_ReportingYear,AC749&lt;V676-1,$E751=""),0,IF(AND($T739=2,$S711),2,1)),2)</f>
        <v>2</v>
      </c>
      <c r="AD751" s="935">
        <f>IF(CNTR_ExistSubInstEntries,IF(OR($M676&lt;&gt;EUconst_Relevant,AD749&gt;=CNTR_ReportingYear,AD749&lt;V676-1,$E751=""),0,IF(AND($T739=2,$S711),2,1)),2)</f>
        <v>2</v>
      </c>
      <c r="AE751" s="935">
        <f>IF(CNTR_ExistSubInstEntries,IF(OR($M676&lt;&gt;EUconst_Relevant,AE749&gt;=CNTR_ReportingYear,AE749&lt;V676-1,$E751=""),0,IF(AND($T739=2,$S711),2,1)),2)</f>
        <v>2</v>
      </c>
      <c r="AF751" s="935">
        <f>IF(CNTR_ExistSubInstEntries,IF(OR($M676&lt;&gt;EUconst_Relevant,AF749&gt;=CNTR_ReportingYear,AF749&lt;V676-1,$E751=""),0,IF(AND($T739=2,$S711),2,1)),2)</f>
        <v>2</v>
      </c>
      <c r="AG751" s="935">
        <f>IF(CNTR_ExistSubInstEntries,IF(OR($M676&lt;&gt;EUconst_Relevant,AG749&gt;=CNTR_ReportingYear,AG749&lt;V676-1,$E751=""),0,IF(AND($T739=2,$S711),2,1)),2)</f>
        <v>2</v>
      </c>
      <c r="AH751" s="935">
        <f>IF(CNTR_ExistSubInstEntries,IF(OR($M676&lt;&gt;EUconst_Relevant,AH749&gt;=CNTR_ReportingYear,AH749&lt;V676-1,$E751=""),0,IF(AND($T739=2,$S711),2,1)),2)</f>
        <v>2</v>
      </c>
      <c r="AI751" s="1183">
        <f>IF(CNTR_ExistSubInstEntries,IF(OR($M676&lt;&gt;EUconst_Relevant,AI749&gt;=CNTR_ReportingYear,AI749&lt;V676-1,$E751=""),0,IF(AND($T739=2,$S711),2,1)),2)</f>
        <v>2</v>
      </c>
      <c r="AJ751" s="349"/>
      <c r="AK751" s="553" t="s">
        <v>2248</v>
      </c>
      <c r="AL751" s="663" t="str">
        <f>IF(AND(CNTR_ExistSubInstEntries,COUNTIFS(AB751:AI751,2,G751:N751,"")&gt;0),EUconst_Error&amp;"FB"&amp;Q676,"")</f>
        <v/>
      </c>
      <c r="AM751" s="349"/>
    </row>
    <row r="752" spans="1:39" ht="12.75" customHeight="1" x14ac:dyDescent="0.25">
      <c r="A752" s="2"/>
      <c r="B752" s="19"/>
      <c r="C752" s="45"/>
      <c r="D752" s="33">
        <f t="shared" ref="D752:D759" si="328">D751+1</f>
        <v>3</v>
      </c>
      <c r="E752" s="1036" t="str">
        <f t="shared" si="315"/>
        <v/>
      </c>
      <c r="F752" s="550" t="str">
        <f t="shared" si="319"/>
        <v>TJ</v>
      </c>
      <c r="G752" s="468"/>
      <c r="H752" s="1120"/>
      <c r="I752" s="468"/>
      <c r="J752" s="1120"/>
      <c r="K752" s="431"/>
      <c r="L752" s="431"/>
      <c r="M752" s="431"/>
      <c r="N752" s="431"/>
      <c r="O752" s="6"/>
      <c r="P752" s="1362"/>
      <c r="Q752" s="2"/>
      <c r="R752" s="2"/>
      <c r="S752" s="1187" t="str">
        <f>IF($M676&lt;&gt;EUconst_Relevant,"",
IF($V676&gt;($J$950-3),
              IF(INDEX(H729:N729,MATCH($V676,$T749:$Z749,0))=0,0,INDEX(H752:N752,MATCH($V676,$T749:$Z749,0))/INDEX(H729:N729,MATCH($V676,$T749:$Z749,0))),
                             IF(ISNUMBER(G729),
                                            IF(OR(G729=0,$S712=FALSE),0,G752/G729),"")))</f>
        <v/>
      </c>
      <c r="T752" s="1910" t="str">
        <f t="shared" si="326"/>
        <v/>
      </c>
      <c r="U752" s="1910" t="str">
        <f t="shared" si="320"/>
        <v/>
      </c>
      <c r="V752" s="1910" t="str">
        <f t="shared" si="321"/>
        <v/>
      </c>
      <c r="W752" s="1910" t="str">
        <f t="shared" si="322"/>
        <v/>
      </c>
      <c r="X752" s="1910" t="str">
        <f t="shared" si="323"/>
        <v/>
      </c>
      <c r="Y752" s="1910" t="str">
        <f t="shared" si="324"/>
        <v/>
      </c>
      <c r="Z752" s="1911" t="str">
        <f t="shared" si="325"/>
        <v/>
      </c>
      <c r="AA752" s="2"/>
      <c r="AB752" s="1177">
        <f t="shared" si="327"/>
        <v>2</v>
      </c>
      <c r="AC752" s="935">
        <f>IF(CNTR_ExistSubInstEntries,IF(OR($M676&lt;&gt;EUconst_Relevant,AC749&gt;=CNTR_ReportingYear,AC749&lt;V676-1,$E752=""),0,IF(AND($T739=2,$S712),2,1)),2)</f>
        <v>2</v>
      </c>
      <c r="AD752" s="935">
        <f>IF(CNTR_ExistSubInstEntries,IF(OR($M676&lt;&gt;EUconst_Relevant,AD749&gt;=CNTR_ReportingYear,AD749&lt;V676-1,$E752=""),0,IF(AND($T739=2,$S712),2,1)),2)</f>
        <v>2</v>
      </c>
      <c r="AE752" s="935">
        <f>IF(CNTR_ExistSubInstEntries,IF(OR($M676&lt;&gt;EUconst_Relevant,AE749&gt;=CNTR_ReportingYear,AE749&lt;V676-1,$E752=""),0,IF(AND($T739=2,$S712),2,1)),2)</f>
        <v>2</v>
      </c>
      <c r="AF752" s="935">
        <f>IF(CNTR_ExistSubInstEntries,IF(OR($M676&lt;&gt;EUconst_Relevant,AF749&gt;=CNTR_ReportingYear,AF749&lt;V676-1,$E752=""),0,IF(AND($T739=2,$S712),2,1)),2)</f>
        <v>2</v>
      </c>
      <c r="AG752" s="935">
        <f>IF(CNTR_ExistSubInstEntries,IF(OR($M676&lt;&gt;EUconst_Relevant,AG749&gt;=CNTR_ReportingYear,AG749&lt;V676-1,$E752=""),0,IF(AND($T739=2,$S712),2,1)),2)</f>
        <v>2</v>
      </c>
      <c r="AH752" s="935">
        <f>IF(CNTR_ExistSubInstEntries,IF(OR($M676&lt;&gt;EUconst_Relevant,AH749&gt;=CNTR_ReportingYear,AH749&lt;V676-1,$E752=""),0,IF(AND($T739=2,$S712),2,1)),2)</f>
        <v>2</v>
      </c>
      <c r="AI752" s="1183">
        <f>IF(CNTR_ExistSubInstEntries,IF(OR($M676&lt;&gt;EUconst_Relevant,AI749&gt;=CNTR_ReportingYear,AI749&lt;V676-1,$E752=""),0,IF(AND($T739=2,$S712),2,1)),2)</f>
        <v>2</v>
      </c>
      <c r="AJ752" s="349"/>
      <c r="AK752" s="553" t="s">
        <v>2248</v>
      </c>
      <c r="AL752" s="663" t="str">
        <f>IF(AND(CNTR_ExistSubInstEntries,COUNTIFS(AB752:AI752,2,G752:N752,"")&gt;0),EUconst_Error&amp;"FB"&amp;Q676,"")</f>
        <v/>
      </c>
      <c r="AM752" s="349"/>
    </row>
    <row r="753" spans="1:39" ht="12.75" customHeight="1" x14ac:dyDescent="0.25">
      <c r="A753" s="2"/>
      <c r="B753" s="19"/>
      <c r="C753" s="45"/>
      <c r="D753" s="33">
        <f t="shared" si="328"/>
        <v>4</v>
      </c>
      <c r="E753" s="1036" t="str">
        <f t="shared" si="315"/>
        <v/>
      </c>
      <c r="F753" s="550" t="str">
        <f t="shared" si="319"/>
        <v>TJ</v>
      </c>
      <c r="G753" s="468"/>
      <c r="H753" s="1120"/>
      <c r="I753" s="468"/>
      <c r="J753" s="1120"/>
      <c r="K753" s="431"/>
      <c r="L753" s="431"/>
      <c r="M753" s="431"/>
      <c r="N753" s="431"/>
      <c r="O753" s="6"/>
      <c r="P753" s="1362"/>
      <c r="Q753" s="2"/>
      <c r="R753" s="2"/>
      <c r="S753" s="1187" t="str">
        <f>IF($M676&lt;&gt;EUconst_Relevant,"",
IF($V676&gt;($J$950-3),
              IF(INDEX(H730:N730,MATCH($V676,$T749:$Z749,0))=0,0,INDEX(H753:N753,MATCH($V676,$T749:$Z749,0))/INDEX(H730:N730,MATCH($V676,$T749:$Z749,0))),
                             IF(ISNUMBER(G730),
                                            IF(OR(G730=0,$S713=FALSE),0,G753/G730),"")))</f>
        <v/>
      </c>
      <c r="T753" s="1910" t="str">
        <f t="shared" si="326"/>
        <v/>
      </c>
      <c r="U753" s="1910" t="str">
        <f t="shared" si="320"/>
        <v/>
      </c>
      <c r="V753" s="1910" t="str">
        <f t="shared" si="321"/>
        <v/>
      </c>
      <c r="W753" s="1910" t="str">
        <f t="shared" si="322"/>
        <v/>
      </c>
      <c r="X753" s="1910" t="str">
        <f t="shared" si="323"/>
        <v/>
      </c>
      <c r="Y753" s="1910" t="str">
        <f t="shared" si="324"/>
        <v/>
      </c>
      <c r="Z753" s="1911" t="str">
        <f t="shared" si="325"/>
        <v/>
      </c>
      <c r="AA753" s="2"/>
      <c r="AB753" s="1177">
        <f t="shared" si="327"/>
        <v>2</v>
      </c>
      <c r="AC753" s="935">
        <f>IF(CNTR_ExistSubInstEntries,IF(OR($M676&lt;&gt;EUconst_Relevant,AC749&gt;=CNTR_ReportingYear,AC749&lt;V676-1,$E753=""),0,IF(AND($T739=2,$S713),2,1)),2)</f>
        <v>2</v>
      </c>
      <c r="AD753" s="935">
        <f>IF(CNTR_ExistSubInstEntries,IF(OR($M676&lt;&gt;EUconst_Relevant,AD749&gt;=CNTR_ReportingYear,AD749&lt;V676-1,$E753=""),0,IF(AND($T739=2,$S713),2,1)),2)</f>
        <v>2</v>
      </c>
      <c r="AE753" s="935">
        <f>IF(CNTR_ExistSubInstEntries,IF(OR($M676&lt;&gt;EUconst_Relevant,AE749&gt;=CNTR_ReportingYear,AE749&lt;V676-1,$E753=""),0,IF(AND($T739=2,$S713),2,1)),2)</f>
        <v>2</v>
      </c>
      <c r="AF753" s="935">
        <f>IF(CNTR_ExistSubInstEntries,IF(OR($M676&lt;&gt;EUconst_Relevant,AF749&gt;=CNTR_ReportingYear,AF749&lt;V676-1,$E753=""),0,IF(AND($T739=2,$S713),2,1)),2)</f>
        <v>2</v>
      </c>
      <c r="AG753" s="935">
        <f>IF(CNTR_ExistSubInstEntries,IF(OR($M676&lt;&gt;EUconst_Relevant,AG749&gt;=CNTR_ReportingYear,AG749&lt;V676-1,$E753=""),0,IF(AND($T739=2,$S713),2,1)),2)</f>
        <v>2</v>
      </c>
      <c r="AH753" s="935">
        <f>IF(CNTR_ExistSubInstEntries,IF(OR($M676&lt;&gt;EUconst_Relevant,AH749&gt;=CNTR_ReportingYear,AH749&lt;V676-1,$E753=""),0,IF(AND($T739=2,$S713),2,1)),2)</f>
        <v>2</v>
      </c>
      <c r="AI753" s="1183">
        <f>IF(CNTR_ExistSubInstEntries,IF(OR($M676&lt;&gt;EUconst_Relevant,AI749&gt;=CNTR_ReportingYear,AI749&lt;V676-1,$E753=""),0,IF(AND($T739=2,$S713),2,1)),2)</f>
        <v>2</v>
      </c>
      <c r="AJ753" s="349"/>
      <c r="AK753" s="553" t="s">
        <v>2248</v>
      </c>
      <c r="AL753" s="663" t="str">
        <f>IF(AND(CNTR_ExistSubInstEntries,COUNTIFS(AB753:AI753,2,G753:N753,"")&gt;0),EUconst_Error&amp;"FB"&amp;Q676,"")</f>
        <v/>
      </c>
      <c r="AM753" s="349"/>
    </row>
    <row r="754" spans="1:39" ht="12.75" customHeight="1" x14ac:dyDescent="0.25">
      <c r="A754" s="2"/>
      <c r="B754" s="19"/>
      <c r="C754" s="45"/>
      <c r="D754" s="33">
        <f t="shared" si="328"/>
        <v>5</v>
      </c>
      <c r="E754" s="1036" t="str">
        <f t="shared" si="315"/>
        <v/>
      </c>
      <c r="F754" s="550" t="str">
        <f t="shared" si="319"/>
        <v>TJ</v>
      </c>
      <c r="G754" s="468"/>
      <c r="H754" s="1120"/>
      <c r="I754" s="468"/>
      <c r="J754" s="1120"/>
      <c r="K754" s="431"/>
      <c r="L754" s="431"/>
      <c r="M754" s="431"/>
      <c r="N754" s="431"/>
      <c r="O754" s="6"/>
      <c r="P754" s="1362"/>
      <c r="Q754" s="2"/>
      <c r="R754" s="2"/>
      <c r="S754" s="1187" t="str">
        <f>IF($M676&lt;&gt;EUconst_Relevant,"",
IF($V676&gt;($J$950-3),
              IF(INDEX(H731:N731,MATCH($V676,$T749:$Z749,0))=0,0,INDEX(H754:N754,MATCH($V676,$T749:$Z749,0))/INDEX(H731:N731,MATCH($V676,$T749:$Z749,0))),
                             IF(ISNUMBER(G731),
                                            IF(OR(G731=0,$S714=FALSE),0,G754/G731),"")))</f>
        <v/>
      </c>
      <c r="T754" s="1910" t="str">
        <f t="shared" si="326"/>
        <v/>
      </c>
      <c r="U754" s="1910" t="str">
        <f t="shared" si="320"/>
        <v/>
      </c>
      <c r="V754" s="1910" t="str">
        <f t="shared" si="321"/>
        <v/>
      </c>
      <c r="W754" s="1910" t="str">
        <f t="shared" si="322"/>
        <v/>
      </c>
      <c r="X754" s="1910" t="str">
        <f t="shared" si="323"/>
        <v/>
      </c>
      <c r="Y754" s="1910" t="str">
        <f t="shared" si="324"/>
        <v/>
      </c>
      <c r="Z754" s="1911" t="str">
        <f t="shared" si="325"/>
        <v/>
      </c>
      <c r="AA754" s="2"/>
      <c r="AB754" s="1177">
        <f t="shared" si="327"/>
        <v>2</v>
      </c>
      <c r="AC754" s="935">
        <f>IF(CNTR_ExistSubInstEntries,IF(OR($M676&lt;&gt;EUconst_Relevant,AC749&gt;=CNTR_ReportingYear,AC749&lt;V676-1,$E754=""),0,IF(AND($T739=2,$S714),2,1)),2)</f>
        <v>2</v>
      </c>
      <c r="AD754" s="935">
        <f>IF(CNTR_ExistSubInstEntries,IF(OR($M676&lt;&gt;EUconst_Relevant,AD749&gt;=CNTR_ReportingYear,AD749&lt;V676-1,$E754=""),0,IF(AND($T739=2,$S714),2,1)),2)</f>
        <v>2</v>
      </c>
      <c r="AE754" s="935">
        <f>IF(CNTR_ExistSubInstEntries,IF(OR($M676&lt;&gt;EUconst_Relevant,AE749&gt;=CNTR_ReportingYear,AE749&lt;V676-1,$E754=""),0,IF(AND($T739=2,$S714),2,1)),2)</f>
        <v>2</v>
      </c>
      <c r="AF754" s="935">
        <f>IF(CNTR_ExistSubInstEntries,IF(OR($M676&lt;&gt;EUconst_Relevant,AF749&gt;=CNTR_ReportingYear,AF749&lt;V676-1,$E754=""),0,IF(AND($T739=2,$S714),2,1)),2)</f>
        <v>2</v>
      </c>
      <c r="AG754" s="935">
        <f>IF(CNTR_ExistSubInstEntries,IF(OR($M676&lt;&gt;EUconst_Relevant,AG749&gt;=CNTR_ReportingYear,AG749&lt;V676-1,$E754=""),0,IF(AND($T739=2,$S714),2,1)),2)</f>
        <v>2</v>
      </c>
      <c r="AH754" s="935">
        <f>IF(CNTR_ExistSubInstEntries,IF(OR($M676&lt;&gt;EUconst_Relevant,AH749&gt;=CNTR_ReportingYear,AH749&lt;V676-1,$E754=""),0,IF(AND($T739=2,$S714),2,1)),2)</f>
        <v>2</v>
      </c>
      <c r="AI754" s="1183">
        <f>IF(CNTR_ExistSubInstEntries,IF(OR($M676&lt;&gt;EUconst_Relevant,AI749&gt;=CNTR_ReportingYear,AI749&lt;V676-1,$E754=""),0,IF(AND($T739=2,$S714),2,1)),2)</f>
        <v>2</v>
      </c>
      <c r="AJ754" s="349"/>
      <c r="AK754" s="553" t="s">
        <v>2248</v>
      </c>
      <c r="AL754" s="663" t="str">
        <f>IF(AND(CNTR_ExistSubInstEntries,COUNTIFS(AB754:AI754,2,G754:N754,"")&gt;0),EUconst_Error&amp;"FB"&amp;Q676,"")</f>
        <v/>
      </c>
      <c r="AM754" s="349"/>
    </row>
    <row r="755" spans="1:39" ht="12.75" customHeight="1" x14ac:dyDescent="0.25">
      <c r="A755" s="2"/>
      <c r="B755" s="19"/>
      <c r="C755" s="45"/>
      <c r="D755" s="33">
        <f t="shared" si="328"/>
        <v>6</v>
      </c>
      <c r="E755" s="1036" t="str">
        <f t="shared" si="315"/>
        <v/>
      </c>
      <c r="F755" s="550" t="str">
        <f t="shared" si="319"/>
        <v>TJ</v>
      </c>
      <c r="G755" s="468"/>
      <c r="H755" s="1120"/>
      <c r="I755" s="468"/>
      <c r="J755" s="1120"/>
      <c r="K755" s="431"/>
      <c r="L755" s="431"/>
      <c r="M755" s="431"/>
      <c r="N755" s="431"/>
      <c r="O755" s="6"/>
      <c r="P755" s="1362"/>
      <c r="Q755" s="2"/>
      <c r="R755" s="2"/>
      <c r="S755" s="1187" t="str">
        <f>IF($M676&lt;&gt;EUconst_Relevant,"",
IF($V676&gt;($J$950-3),
              IF(INDEX(H732:N732,MATCH($V676,$T749:$Z749,0))=0,0,INDEX(H755:N755,MATCH($V676,$T749:$Z749,0))/INDEX(H732:N732,MATCH($V676,$T749:$Z749,0))),
                             IF(ISNUMBER(G732),
                                            IF(OR(G732=0,$S715=FALSE),0,G755/G732),"")))</f>
        <v/>
      </c>
      <c r="T755" s="1910" t="str">
        <f t="shared" si="326"/>
        <v/>
      </c>
      <c r="U755" s="1910" t="str">
        <f t="shared" si="320"/>
        <v/>
      </c>
      <c r="V755" s="1910" t="str">
        <f t="shared" si="321"/>
        <v/>
      </c>
      <c r="W755" s="1910" t="str">
        <f t="shared" si="322"/>
        <v/>
      </c>
      <c r="X755" s="1910" t="str">
        <f t="shared" si="323"/>
        <v/>
      </c>
      <c r="Y755" s="1910" t="str">
        <f t="shared" si="324"/>
        <v/>
      </c>
      <c r="Z755" s="1911" t="str">
        <f t="shared" si="325"/>
        <v/>
      </c>
      <c r="AA755" s="2"/>
      <c r="AB755" s="1177">
        <f t="shared" si="327"/>
        <v>2</v>
      </c>
      <c r="AC755" s="935">
        <f>IF(CNTR_ExistSubInstEntries,IF(OR($M676&lt;&gt;EUconst_Relevant,AC749&gt;=CNTR_ReportingYear,AC749&lt;V676-1,$E755=""),0,IF(AND($T739=2,$S715),2,1)),2)</f>
        <v>2</v>
      </c>
      <c r="AD755" s="935">
        <f>IF(CNTR_ExistSubInstEntries,IF(OR($M676&lt;&gt;EUconst_Relevant,AD749&gt;=CNTR_ReportingYear,AD749&lt;V676-1,$E755=""),0,IF(AND($T739=2,$S715),2,1)),2)</f>
        <v>2</v>
      </c>
      <c r="AE755" s="935">
        <f>IF(CNTR_ExistSubInstEntries,IF(OR($M676&lt;&gt;EUconst_Relevant,AE749&gt;=CNTR_ReportingYear,AE749&lt;V676-1,$E755=""),0,IF(AND($T739=2,$S715),2,1)),2)</f>
        <v>2</v>
      </c>
      <c r="AF755" s="935">
        <f>IF(CNTR_ExistSubInstEntries,IF(OR($M676&lt;&gt;EUconst_Relevant,AF749&gt;=CNTR_ReportingYear,AF749&lt;V676-1,$E755=""),0,IF(AND($T739=2,$S715),2,1)),2)</f>
        <v>2</v>
      </c>
      <c r="AG755" s="935">
        <f>IF(CNTR_ExistSubInstEntries,IF(OR($M676&lt;&gt;EUconst_Relevant,AG749&gt;=CNTR_ReportingYear,AG749&lt;V676-1,$E755=""),0,IF(AND($T739=2,$S715),2,1)),2)</f>
        <v>2</v>
      </c>
      <c r="AH755" s="935">
        <f>IF(CNTR_ExistSubInstEntries,IF(OR($M676&lt;&gt;EUconst_Relevant,AH749&gt;=CNTR_ReportingYear,AH749&lt;V676-1,$E755=""),0,IF(AND($T739=2,$S715),2,1)),2)</f>
        <v>2</v>
      </c>
      <c r="AI755" s="1183">
        <f>IF(CNTR_ExistSubInstEntries,IF(OR($M676&lt;&gt;EUconst_Relevant,AI749&gt;=CNTR_ReportingYear,AI749&lt;V676-1,$E755=""),0,IF(AND($T739=2,$S715),2,1)),2)</f>
        <v>2</v>
      </c>
      <c r="AJ755" s="349"/>
      <c r="AK755" s="553" t="s">
        <v>2248</v>
      </c>
      <c r="AL755" s="663" t="str">
        <f>IF(AND(CNTR_ExistSubInstEntries,COUNTIFS(AB755:AI755,2,G755:N755,"")&gt;0),EUconst_Error&amp;"FB"&amp;Q676,"")</f>
        <v/>
      </c>
      <c r="AM755" s="349"/>
    </row>
    <row r="756" spans="1:39" ht="12.75" customHeight="1" x14ac:dyDescent="0.25">
      <c r="A756" s="2"/>
      <c r="B756" s="19"/>
      <c r="C756" s="45"/>
      <c r="D756" s="33">
        <f t="shared" si="328"/>
        <v>7</v>
      </c>
      <c r="E756" s="1036" t="str">
        <f t="shared" si="315"/>
        <v/>
      </c>
      <c r="F756" s="550" t="str">
        <f t="shared" si="319"/>
        <v>TJ</v>
      </c>
      <c r="G756" s="468"/>
      <c r="H756" s="1120"/>
      <c r="I756" s="468"/>
      <c r="J756" s="1120"/>
      <c r="K756" s="431"/>
      <c r="L756" s="431"/>
      <c r="M756" s="431"/>
      <c r="N756" s="431"/>
      <c r="O756" s="6"/>
      <c r="P756" s="1362"/>
      <c r="Q756" s="2"/>
      <c r="R756" s="2"/>
      <c r="S756" s="1187" t="str">
        <f>IF($M676&lt;&gt;EUconst_Relevant,"",
IF($V676&gt;($J$950-3),
              IF(INDEX(H733:N733,MATCH($V676,$T749:$Z749,0))=0,0,INDEX(H756:N756,MATCH($V676,$T749:$Z749,0))/INDEX(H733:N733,MATCH($V676,$T749:$Z749,0))),
                             IF(ISNUMBER(G733),
                                            IF(OR(G733=0,$S716=FALSE),0,G756/G733),"")))</f>
        <v/>
      </c>
      <c r="T756" s="1910" t="str">
        <f t="shared" si="326"/>
        <v/>
      </c>
      <c r="U756" s="1910" t="str">
        <f t="shared" si="320"/>
        <v/>
      </c>
      <c r="V756" s="1910" t="str">
        <f t="shared" si="321"/>
        <v/>
      </c>
      <c r="W756" s="1910" t="str">
        <f t="shared" si="322"/>
        <v/>
      </c>
      <c r="X756" s="1910" t="str">
        <f t="shared" si="323"/>
        <v/>
      </c>
      <c r="Y756" s="1910" t="str">
        <f t="shared" si="324"/>
        <v/>
      </c>
      <c r="Z756" s="1911" t="str">
        <f t="shared" si="325"/>
        <v/>
      </c>
      <c r="AA756" s="2"/>
      <c r="AB756" s="1177">
        <f t="shared" si="327"/>
        <v>2</v>
      </c>
      <c r="AC756" s="935">
        <f>IF(CNTR_ExistSubInstEntries,IF(OR($M676&lt;&gt;EUconst_Relevant,AC749&gt;=CNTR_ReportingYear,AC749&lt;V676-1,$E756=""),0,IF(AND($T739=2,$S716),2,1)),2)</f>
        <v>2</v>
      </c>
      <c r="AD756" s="935">
        <f>IF(CNTR_ExistSubInstEntries,IF(OR($M676&lt;&gt;EUconst_Relevant,AD749&gt;=CNTR_ReportingYear,AD749&lt;V676-1,$E756=""),0,IF(AND($T739=2,$S716),2,1)),2)</f>
        <v>2</v>
      </c>
      <c r="AE756" s="935">
        <f>IF(CNTR_ExistSubInstEntries,IF(OR($M676&lt;&gt;EUconst_Relevant,AE749&gt;=CNTR_ReportingYear,AE749&lt;V676-1,$E756=""),0,IF(AND($T739=2,$S716),2,1)),2)</f>
        <v>2</v>
      </c>
      <c r="AF756" s="935">
        <f>IF(CNTR_ExistSubInstEntries,IF(OR($M676&lt;&gt;EUconst_Relevant,AF749&gt;=CNTR_ReportingYear,AF749&lt;V676-1,$E756=""),0,IF(AND($T739=2,$S716),2,1)),2)</f>
        <v>2</v>
      </c>
      <c r="AG756" s="935">
        <f>IF(CNTR_ExistSubInstEntries,IF(OR($M676&lt;&gt;EUconst_Relevant,AG749&gt;=CNTR_ReportingYear,AG749&lt;V676-1,$E756=""),0,IF(AND($T739=2,$S716),2,1)),2)</f>
        <v>2</v>
      </c>
      <c r="AH756" s="935">
        <f>IF(CNTR_ExistSubInstEntries,IF(OR($M676&lt;&gt;EUconst_Relevant,AH749&gt;=CNTR_ReportingYear,AH749&lt;V676-1,$E756=""),0,IF(AND($T739=2,$S716),2,1)),2)</f>
        <v>2</v>
      </c>
      <c r="AI756" s="1183">
        <f>IF(CNTR_ExistSubInstEntries,IF(OR($M676&lt;&gt;EUconst_Relevant,AI749&gt;=CNTR_ReportingYear,AI749&lt;V676-1,$E756=""),0,IF(AND($T739=2,$S716),2,1)),2)</f>
        <v>2</v>
      </c>
      <c r="AJ756" s="349"/>
      <c r="AK756" s="553" t="s">
        <v>2248</v>
      </c>
      <c r="AL756" s="663" t="str">
        <f>IF(AND(CNTR_ExistSubInstEntries,COUNTIFS(AB756:AI756,2,G756:N756,"")&gt;0),EUconst_Error&amp;"FB"&amp;Q676,"")</f>
        <v/>
      </c>
      <c r="AM756" s="349"/>
    </row>
    <row r="757" spans="1:39" ht="12.75" customHeight="1" x14ac:dyDescent="0.25">
      <c r="A757" s="2"/>
      <c r="B757" s="19"/>
      <c r="C757" s="45"/>
      <c r="D757" s="33">
        <f t="shared" si="328"/>
        <v>8</v>
      </c>
      <c r="E757" s="1036" t="str">
        <f t="shared" si="315"/>
        <v/>
      </c>
      <c r="F757" s="550" t="str">
        <f t="shared" si="319"/>
        <v>TJ</v>
      </c>
      <c r="G757" s="468"/>
      <c r="H757" s="1120"/>
      <c r="I757" s="468"/>
      <c r="J757" s="1120"/>
      <c r="K757" s="431"/>
      <c r="L757" s="431"/>
      <c r="M757" s="431"/>
      <c r="N757" s="431"/>
      <c r="O757" s="6"/>
      <c r="P757" s="1362"/>
      <c r="Q757" s="2"/>
      <c r="R757" s="2"/>
      <c r="S757" s="1187" t="str">
        <f>IF($M676&lt;&gt;EUconst_Relevant,"",
IF($V676&gt;($J$950-3),
              IF(INDEX(H734:N734,MATCH($V676,$T749:$Z749,0))=0,0,INDEX(H757:N757,MATCH($V676,$T749:$Z749,0))/INDEX(H734:N734,MATCH($V676,$T749:$Z749,0))),
                             IF(ISNUMBER(G734),
                                            IF(OR(G734=0,$S717=FALSE),0,G757/G734),"")))</f>
        <v/>
      </c>
      <c r="T757" s="1910" t="str">
        <f t="shared" si="326"/>
        <v/>
      </c>
      <c r="U757" s="1910" t="str">
        <f t="shared" si="320"/>
        <v/>
      </c>
      <c r="V757" s="1910" t="str">
        <f t="shared" si="321"/>
        <v/>
      </c>
      <c r="W757" s="1910" t="str">
        <f t="shared" si="322"/>
        <v/>
      </c>
      <c r="X757" s="1910" t="str">
        <f t="shared" si="323"/>
        <v/>
      </c>
      <c r="Y757" s="1910" t="str">
        <f t="shared" si="324"/>
        <v/>
      </c>
      <c r="Z757" s="1911" t="str">
        <f t="shared" si="325"/>
        <v/>
      </c>
      <c r="AA757" s="2"/>
      <c r="AB757" s="1177">
        <f t="shared" si="327"/>
        <v>2</v>
      </c>
      <c r="AC757" s="935">
        <f>IF(CNTR_ExistSubInstEntries,IF(OR($M676&lt;&gt;EUconst_Relevant,AC749&gt;=CNTR_ReportingYear,AC749&lt;V676-1,$E757=""),0,IF(AND($T739=2,$S717),2,1)),2)</f>
        <v>2</v>
      </c>
      <c r="AD757" s="935">
        <f>IF(CNTR_ExistSubInstEntries,IF(OR($M676&lt;&gt;EUconst_Relevant,AD749&gt;=CNTR_ReportingYear,AD749&lt;V676-1,$E757=""),0,IF(AND($T739=2,$S717),2,1)),2)</f>
        <v>2</v>
      </c>
      <c r="AE757" s="935">
        <f>IF(CNTR_ExistSubInstEntries,IF(OR($M676&lt;&gt;EUconst_Relevant,AE749&gt;=CNTR_ReportingYear,AE749&lt;V676-1,$E757=""),0,IF(AND($T739=2,$S717),2,1)),2)</f>
        <v>2</v>
      </c>
      <c r="AF757" s="935">
        <f>IF(CNTR_ExistSubInstEntries,IF(OR($M676&lt;&gt;EUconst_Relevant,AF749&gt;=CNTR_ReportingYear,AF749&lt;V676-1,$E757=""),0,IF(AND($T739=2,$S717),2,1)),2)</f>
        <v>2</v>
      </c>
      <c r="AG757" s="935">
        <f>IF(CNTR_ExistSubInstEntries,IF(OR($M676&lt;&gt;EUconst_Relevant,AG749&gt;=CNTR_ReportingYear,AG749&lt;V676-1,$E757=""),0,IF(AND($T739=2,$S717),2,1)),2)</f>
        <v>2</v>
      </c>
      <c r="AH757" s="935">
        <f>IF(CNTR_ExistSubInstEntries,IF(OR($M676&lt;&gt;EUconst_Relevant,AH749&gt;=CNTR_ReportingYear,AH749&lt;V676-1,$E757=""),0,IF(AND($T739=2,$S717),2,1)),2)</f>
        <v>2</v>
      </c>
      <c r="AI757" s="1183">
        <f>IF(CNTR_ExistSubInstEntries,IF(OR($M676&lt;&gt;EUconst_Relevant,AI749&gt;=CNTR_ReportingYear,AI749&lt;V676-1,$E757=""),0,IF(AND($T739=2,$S717),2,1)),2)</f>
        <v>2</v>
      </c>
      <c r="AJ757" s="349"/>
      <c r="AK757" s="553" t="s">
        <v>2248</v>
      </c>
      <c r="AL757" s="663" t="str">
        <f>IF(AND(CNTR_ExistSubInstEntries,COUNTIFS(AB757:AI757,2,G757:N757,"")&gt;0),EUconst_Error&amp;"FB"&amp;Q676,"")</f>
        <v/>
      </c>
      <c r="AM757" s="349"/>
    </row>
    <row r="758" spans="1:39" ht="12.75" customHeight="1" x14ac:dyDescent="0.25">
      <c r="A758" s="2"/>
      <c r="B758" s="19"/>
      <c r="C758" s="45"/>
      <c r="D758" s="33">
        <f t="shared" si="328"/>
        <v>9</v>
      </c>
      <c r="E758" s="1036" t="str">
        <f t="shared" si="315"/>
        <v/>
      </c>
      <c r="F758" s="550" t="str">
        <f t="shared" si="319"/>
        <v>TJ</v>
      </c>
      <c r="G758" s="468"/>
      <c r="H758" s="1120"/>
      <c r="I758" s="468"/>
      <c r="J758" s="1120"/>
      <c r="K758" s="431"/>
      <c r="L758" s="431"/>
      <c r="M758" s="431"/>
      <c r="N758" s="431"/>
      <c r="O758" s="6"/>
      <c r="P758" s="1362"/>
      <c r="Q758" s="2"/>
      <c r="R758" s="2"/>
      <c r="S758" s="1187" t="str">
        <f>IF($M676&lt;&gt;EUconst_Relevant,"",
IF($V676&gt;($J$950-3),
              IF(INDEX(H735:N735,MATCH($V676,$T749:$Z749,0))=0,0,INDEX(H758:N758,MATCH($V676,$T749:$Z749,0))/INDEX(H735:N735,MATCH($V676,$T749:$Z749,0))),
                             IF(ISNUMBER(G735),
                                            IF(OR(G735=0,$S718=FALSE),0,G758/G735),"")))</f>
        <v/>
      </c>
      <c r="T758" s="1910" t="str">
        <f t="shared" si="326"/>
        <v/>
      </c>
      <c r="U758" s="1910" t="str">
        <f t="shared" si="320"/>
        <v/>
      </c>
      <c r="V758" s="1910" t="str">
        <f t="shared" si="321"/>
        <v/>
      </c>
      <c r="W758" s="1910" t="str">
        <f t="shared" si="322"/>
        <v/>
      </c>
      <c r="X758" s="1910" t="str">
        <f t="shared" si="323"/>
        <v/>
      </c>
      <c r="Y758" s="1910" t="str">
        <f t="shared" si="324"/>
        <v/>
      </c>
      <c r="Z758" s="1911" t="str">
        <f t="shared" si="325"/>
        <v/>
      </c>
      <c r="AA758" s="2"/>
      <c r="AB758" s="1177">
        <f t="shared" si="327"/>
        <v>2</v>
      </c>
      <c r="AC758" s="935">
        <f>IF(CNTR_ExistSubInstEntries,IF(OR($M676&lt;&gt;EUconst_Relevant,AC749&gt;=CNTR_ReportingYear,AC749&lt;V676-1,$E758=""),0,IF(AND($T739=2,$S718),2,1)),2)</f>
        <v>2</v>
      </c>
      <c r="AD758" s="935">
        <f>IF(CNTR_ExistSubInstEntries,IF(OR($M676&lt;&gt;EUconst_Relevant,AD749&gt;=CNTR_ReportingYear,AD749&lt;V676-1,$E758=""),0,IF(AND($T739=2,$S718),2,1)),2)</f>
        <v>2</v>
      </c>
      <c r="AE758" s="935">
        <f>IF(CNTR_ExistSubInstEntries,IF(OR($M676&lt;&gt;EUconst_Relevant,AE749&gt;=CNTR_ReportingYear,AE749&lt;V676-1,$E758=""),0,IF(AND($T739=2,$S718),2,1)),2)</f>
        <v>2</v>
      </c>
      <c r="AF758" s="935">
        <f>IF(CNTR_ExistSubInstEntries,IF(OR($M676&lt;&gt;EUconst_Relevant,AF749&gt;=CNTR_ReportingYear,AF749&lt;V676-1,$E758=""),0,IF(AND($T739=2,$S718),2,1)),2)</f>
        <v>2</v>
      </c>
      <c r="AG758" s="935">
        <f>IF(CNTR_ExistSubInstEntries,IF(OR($M676&lt;&gt;EUconst_Relevant,AG749&gt;=CNTR_ReportingYear,AG749&lt;V676-1,$E758=""),0,IF(AND($T739=2,$S718),2,1)),2)</f>
        <v>2</v>
      </c>
      <c r="AH758" s="935">
        <f>IF(CNTR_ExistSubInstEntries,IF(OR($M676&lt;&gt;EUconst_Relevant,AH749&gt;=CNTR_ReportingYear,AH749&lt;V676-1,$E758=""),0,IF(AND($T739=2,$S718),2,1)),2)</f>
        <v>2</v>
      </c>
      <c r="AI758" s="1183">
        <f>IF(CNTR_ExistSubInstEntries,IF(OR($M676&lt;&gt;EUconst_Relevant,AI749&gt;=CNTR_ReportingYear,AI749&lt;V676-1,$E758=""),0,IF(AND($T739=2,$S718),2,1)),2)</f>
        <v>2</v>
      </c>
      <c r="AJ758" s="349"/>
      <c r="AK758" s="553" t="s">
        <v>2248</v>
      </c>
      <c r="AL758" s="663" t="str">
        <f>IF(AND(CNTR_ExistSubInstEntries,COUNTIFS(AB758:AI758,2,G758:N758,"")&gt;0),EUconst_Error&amp;"FB"&amp;Q676,"")</f>
        <v/>
      </c>
      <c r="AM758" s="349"/>
    </row>
    <row r="759" spans="1:39" ht="12.75" customHeight="1" thickBot="1" x14ac:dyDescent="0.3">
      <c r="A759" s="2"/>
      <c r="B759" s="19"/>
      <c r="C759" s="45"/>
      <c r="D759" s="36">
        <f t="shared" si="328"/>
        <v>10</v>
      </c>
      <c r="E759" s="1038" t="str">
        <f t="shared" si="315"/>
        <v/>
      </c>
      <c r="F759" s="551" t="str">
        <f t="shared" si="319"/>
        <v>TJ</v>
      </c>
      <c r="G759" s="469"/>
      <c r="H759" s="1112"/>
      <c r="I759" s="469"/>
      <c r="J759" s="1112"/>
      <c r="K759" s="357"/>
      <c r="L759" s="357"/>
      <c r="M759" s="357"/>
      <c r="N759" s="357"/>
      <c r="O759" s="6"/>
      <c r="P759" s="1362"/>
      <c r="Q759" s="2"/>
      <c r="R759" s="2"/>
      <c r="S759" s="1188" t="str">
        <f>IF($M676&lt;&gt;EUconst_Relevant,"",
IF($V676&gt;($J$950-3),
              IF(INDEX(H736:N736,MATCH($V676,$T749:$Z749,0))=0,0,INDEX(H759:N759,MATCH($V676,$T749:$Z749,0))/INDEX(H736:N736,MATCH($V676,$T749:$Z749,0))),
                             IF(ISNUMBER(G736),
                                            IF(OR(G736=0,$S719=FALSE),0,G759/G736),"")))</f>
        <v/>
      </c>
      <c r="T759" s="1912" t="str">
        <f t="shared" si="326"/>
        <v/>
      </c>
      <c r="U759" s="1912" t="str">
        <f t="shared" si="320"/>
        <v/>
      </c>
      <c r="V759" s="1912" t="str">
        <f t="shared" si="321"/>
        <v/>
      </c>
      <c r="W759" s="1912" t="str">
        <f t="shared" si="322"/>
        <v/>
      </c>
      <c r="X759" s="1912" t="str">
        <f t="shared" si="323"/>
        <v/>
      </c>
      <c r="Y759" s="1912" t="str">
        <f t="shared" si="324"/>
        <v/>
      </c>
      <c r="Z759" s="1913" t="str">
        <f t="shared" si="325"/>
        <v/>
      </c>
      <c r="AA759" s="2"/>
      <c r="AB759" s="1179">
        <f t="shared" si="327"/>
        <v>2</v>
      </c>
      <c r="AC759" s="1180">
        <f>IF(CNTR_ExistSubInstEntries,IF(OR($M676&lt;&gt;EUconst_Relevant,AC749&gt;=CNTR_ReportingYear,AC749&lt;V676-1,$E759=""),0,IF(AND($T739=2,$S719),2,1)),2)</f>
        <v>2</v>
      </c>
      <c r="AD759" s="1180">
        <f>IF(CNTR_ExistSubInstEntries,IF(OR($M676&lt;&gt;EUconst_Relevant,AD749&gt;=CNTR_ReportingYear,AD749&lt;V676-1,$E759=""),0,IF(AND($T739=2,$S719),2,1)),2)</f>
        <v>2</v>
      </c>
      <c r="AE759" s="1180">
        <f>IF(CNTR_ExistSubInstEntries,IF(OR($M676&lt;&gt;EUconst_Relevant,AE749&gt;=CNTR_ReportingYear,AE749&lt;V676-1,$E759=""),0,IF(AND($T739=2,$S719),2,1)),2)</f>
        <v>2</v>
      </c>
      <c r="AF759" s="1180">
        <f>IF(CNTR_ExistSubInstEntries,IF(OR($M676&lt;&gt;EUconst_Relevant,AF749&gt;=CNTR_ReportingYear,AF749&lt;V676-1,$E759=""),0,IF(AND($T739=2,$S719),2,1)),2)</f>
        <v>2</v>
      </c>
      <c r="AG759" s="1180">
        <f>IF(CNTR_ExistSubInstEntries,IF(OR($M676&lt;&gt;EUconst_Relevant,AG749&gt;=CNTR_ReportingYear,AG749&lt;V676-1,$E759=""),0,IF(AND($T739=2,$S719),2,1)),2)</f>
        <v>2</v>
      </c>
      <c r="AH759" s="1180">
        <f>IF(CNTR_ExistSubInstEntries,IF(OR($M676&lt;&gt;EUconst_Relevant,AH749&gt;=CNTR_ReportingYear,AH749&lt;V676-1,$E759=""),0,IF(AND($T739=2,$S719),2,1)),2)</f>
        <v>2</v>
      </c>
      <c r="AI759" s="1184">
        <f>IF(CNTR_ExistSubInstEntries,IF(OR($M676&lt;&gt;EUconst_Relevant,AI749&gt;=CNTR_ReportingYear,AI749&lt;V676-1,$E759=""),0,IF(AND($T739=2,$S719),2,1)),2)</f>
        <v>2</v>
      </c>
      <c r="AJ759" s="349"/>
      <c r="AK759" s="553" t="s">
        <v>2248</v>
      </c>
      <c r="AL759" s="663" t="str">
        <f>IF(AND(CNTR_ExistSubInstEntries,COUNTIFS(AB759:AI759,2,G759:N759,"")&gt;0),EUconst_Error&amp;"FB"&amp;Q676,"")</f>
        <v/>
      </c>
      <c r="AM759" s="349"/>
    </row>
    <row r="760" spans="1:39" ht="12.75" customHeight="1" thickBot="1" x14ac:dyDescent="0.3">
      <c r="A760" s="2"/>
      <c r="B760" s="19"/>
      <c r="C760" s="19"/>
      <c r="D760" s="90"/>
      <c r="E760" s="1135" t="str">
        <f>Translations!$B$1505</f>
        <v>Summa förbrukning</v>
      </c>
      <c r="F760" s="551" t="str">
        <f t="shared" si="319"/>
        <v>TJ</v>
      </c>
      <c r="G760" s="281" t="str">
        <f>IF(COUNT(G750:G759)&gt;0,SUMIF($S710:$S719,TRUE,G750:G759),"")</f>
        <v/>
      </c>
      <c r="H760" s="1118" t="str">
        <f t="shared" ref="H760:N760" si="329">IF(COUNT(H750:H759)&gt;0,SUMIF($S710:$S719,TRUE,H750:H759),"")</f>
        <v/>
      </c>
      <c r="I760" s="281" t="str">
        <f t="shared" si="329"/>
        <v/>
      </c>
      <c r="J760" s="1118" t="str">
        <f t="shared" si="329"/>
        <v/>
      </c>
      <c r="K760" s="275" t="str">
        <f t="shared" si="329"/>
        <v/>
      </c>
      <c r="L760" s="275" t="str">
        <f t="shared" si="329"/>
        <v/>
      </c>
      <c r="M760" s="275" t="str">
        <f t="shared" si="329"/>
        <v/>
      </c>
      <c r="N760" s="275" t="str">
        <f t="shared" si="329"/>
        <v/>
      </c>
      <c r="O760" s="6"/>
      <c r="P760" s="6"/>
      <c r="Q760" s="2"/>
      <c r="R760" s="2"/>
      <c r="S760" s="1914" t="str">
        <f>IF(AND(SUM(S750:S759)&gt;0,G766=""),INDEX(H760:N760,MATCH($V676,T749:Z749,0))/INDEX(H737:N737,MATCH($V676,T749:Z749,0)),G766)</f>
        <v/>
      </c>
      <c r="T760" s="2"/>
      <c r="U760" s="2"/>
      <c r="V760" s="2"/>
      <c r="W760" s="2"/>
      <c r="X760" s="2"/>
      <c r="Y760" s="2"/>
      <c r="Z760" s="2"/>
      <c r="AA760" s="2"/>
      <c r="AB760" s="343"/>
      <c r="AC760" s="2"/>
      <c r="AD760" s="2"/>
      <c r="AE760" s="349"/>
      <c r="AF760" s="349"/>
      <c r="AG760" s="349"/>
      <c r="AH760" s="349"/>
      <c r="AI760" s="349"/>
      <c r="AJ760" s="349"/>
      <c r="AK760" s="349"/>
      <c r="AL760" s="349"/>
      <c r="AM760" s="349"/>
    </row>
    <row r="761" spans="1:39" ht="12.75" customHeight="1" x14ac:dyDescent="0.25">
      <c r="A761" s="2"/>
      <c r="B761" s="19"/>
      <c r="C761" s="19"/>
      <c r="D761" s="1203"/>
      <c r="E761" s="931" t="str">
        <f>Translations!$B$1506</f>
        <v>Andel av a)</v>
      </c>
      <c r="F761" s="633" t="str">
        <f t="shared" si="319"/>
        <v>TJ</v>
      </c>
      <c r="G761" s="1649" t="str">
        <f>IF(COUNT(I692,G760)=2,IF(I692=0,EUconst_NA,G760/I692),"")</f>
        <v/>
      </c>
      <c r="H761" s="1650" t="str">
        <f t="shared" ref="H761:N761" si="330">IF(COUNT(H684,H760)=2,IF(H684=0,EUconst_NA,H760/H684),"")</f>
        <v/>
      </c>
      <c r="I761" s="1651" t="str">
        <f t="shared" si="330"/>
        <v/>
      </c>
      <c r="J761" s="1650" t="str">
        <f t="shared" si="330"/>
        <v/>
      </c>
      <c r="K761" s="1652" t="str">
        <f t="shared" si="330"/>
        <v/>
      </c>
      <c r="L761" s="1652" t="str">
        <f t="shared" si="330"/>
        <v/>
      </c>
      <c r="M761" s="1652" t="str">
        <f t="shared" si="330"/>
        <v/>
      </c>
      <c r="N761" s="1652" t="str">
        <f t="shared" si="330"/>
        <v/>
      </c>
      <c r="O761" s="6"/>
      <c r="P761" s="6"/>
      <c r="Q761" s="2"/>
      <c r="R761" s="2"/>
      <c r="S761" s="2"/>
      <c r="T761" s="2"/>
      <c r="U761" s="2"/>
      <c r="V761" s="2"/>
      <c r="W761" s="2"/>
      <c r="X761" s="2"/>
      <c r="Y761" s="2"/>
      <c r="Z761" s="2"/>
      <c r="AA761" s="2"/>
      <c r="AB761" s="343"/>
      <c r="AC761" s="2"/>
      <c r="AD761" s="2"/>
      <c r="AE761" s="349"/>
      <c r="AF761" s="349"/>
      <c r="AG761" s="349"/>
      <c r="AH761" s="349"/>
      <c r="AI761" s="349"/>
      <c r="AJ761" s="349"/>
      <c r="AK761" s="349"/>
      <c r="AL761" s="349"/>
      <c r="AM761" s="349"/>
    </row>
    <row r="762" spans="1:39" ht="5.15" customHeight="1" x14ac:dyDescent="0.25">
      <c r="A762" s="2"/>
      <c r="B762" s="19"/>
      <c r="C762" s="3"/>
      <c r="D762" s="3"/>
      <c r="E762" s="3"/>
      <c r="F762" s="3"/>
      <c r="G762" s="3"/>
      <c r="H762" s="3"/>
      <c r="I762" s="3"/>
      <c r="J762" s="3"/>
      <c r="K762" s="3"/>
      <c r="L762" s="3"/>
      <c r="M762" s="3"/>
      <c r="N762" s="3"/>
      <c r="O762" s="6"/>
      <c r="P762" s="6"/>
      <c r="Q762" s="2"/>
      <c r="R762" s="2"/>
      <c r="S762" s="2"/>
      <c r="T762" s="2"/>
      <c r="U762" s="2"/>
      <c r="V762" s="2"/>
      <c r="W762" s="2"/>
      <c r="X762" s="2"/>
      <c r="Y762" s="2"/>
      <c r="Z762" s="343"/>
      <c r="AA762" s="343"/>
      <c r="AB762" s="343"/>
      <c r="AC762" s="2"/>
      <c r="AD762" s="2"/>
      <c r="AE762" s="349"/>
      <c r="AF762" s="349"/>
      <c r="AG762" s="349"/>
      <c r="AH762" s="349"/>
      <c r="AI762" s="349"/>
      <c r="AJ762" s="349"/>
      <c r="AK762" s="349"/>
      <c r="AL762" s="349"/>
      <c r="AM762" s="349"/>
    </row>
    <row r="763" spans="1:39" ht="12.75" customHeight="1" x14ac:dyDescent="0.25">
      <c r="A763" s="2"/>
      <c r="B763" s="3"/>
      <c r="C763" s="13"/>
      <c r="D763" s="13" t="s">
        <v>1920</v>
      </c>
      <c r="E763" s="1943" t="str">
        <f>Translations!$B$1507</f>
        <v>Specifik energiförbrukning</v>
      </c>
      <c r="F763" s="1963"/>
      <c r="G763" s="1963"/>
      <c r="H763" s="1963"/>
      <c r="I763" s="1963"/>
      <c r="J763" s="1963"/>
      <c r="K763" s="1963"/>
      <c r="L763" s="1963"/>
      <c r="M763" s="1963"/>
      <c r="N763" s="1963"/>
      <c r="O763" s="6"/>
      <c r="P763" s="6"/>
      <c r="Q763" s="7"/>
      <c r="R763" s="2"/>
      <c r="S763" s="2"/>
      <c r="T763" s="2"/>
      <c r="U763" s="2"/>
      <c r="V763" s="2"/>
      <c r="W763" s="2"/>
      <c r="X763" s="2"/>
      <c r="Y763" s="2"/>
      <c r="Z763" s="2"/>
      <c r="AA763" s="2"/>
      <c r="AB763" s="343"/>
      <c r="AC763" s="2"/>
      <c r="AD763" s="2"/>
      <c r="AE763" s="349"/>
      <c r="AF763" s="349"/>
      <c r="AG763" s="349"/>
      <c r="AH763" s="349"/>
      <c r="AI763" s="349"/>
      <c r="AJ763" s="349"/>
      <c r="AK763" s="349"/>
      <c r="AL763" s="349"/>
      <c r="AM763" s="349"/>
    </row>
    <row r="764" spans="1:39" ht="12.75" customHeight="1" x14ac:dyDescent="0.25">
      <c r="A764" s="2"/>
      <c r="B764" s="19"/>
      <c r="C764" s="3"/>
      <c r="D764" s="3"/>
      <c r="E764" s="2061" t="str">
        <f>Translations!$B$1508</f>
        <v>Den specifika energiförbrukningen fastställs i enlighet med avsnitt 6.1 i vägledningsdokument 7 för värden som uppfyller kriterierna under punkt b.1 ovan.</v>
      </c>
      <c r="F764" s="1963"/>
      <c r="G764" s="1963"/>
      <c r="H764" s="1963"/>
      <c r="I764" s="1963"/>
      <c r="J764" s="1963"/>
      <c r="K764" s="1963"/>
      <c r="L764" s="1963"/>
      <c r="M764" s="1963"/>
      <c r="N764" s="1963"/>
      <c r="O764" s="6"/>
      <c r="P764" s="6"/>
      <c r="Q764" s="2"/>
      <c r="R764" s="2"/>
      <c r="S764" s="2"/>
      <c r="T764" s="2"/>
      <c r="U764" s="2"/>
      <c r="V764" s="2"/>
      <c r="W764" s="2"/>
      <c r="X764" s="2"/>
      <c r="Y764" s="2"/>
      <c r="Z764" s="343"/>
      <c r="AA764" s="343"/>
      <c r="AB764" s="343"/>
      <c r="AC764" s="2"/>
      <c r="AD764" s="2"/>
      <c r="AE764" s="349"/>
      <c r="AF764" s="349"/>
      <c r="AG764" s="349"/>
      <c r="AH764" s="349"/>
      <c r="AI764" s="349"/>
      <c r="AJ764" s="349"/>
      <c r="AK764" s="349"/>
      <c r="AL764" s="349"/>
      <c r="AM764" s="349"/>
    </row>
    <row r="765" spans="1:39" s="1195" customFormat="1" ht="12.75" customHeight="1" x14ac:dyDescent="0.3">
      <c r="A765" s="1189"/>
      <c r="B765" s="1190"/>
      <c r="C765" s="1190"/>
      <c r="D765" s="1191"/>
      <c r="E765" s="1093"/>
      <c r="F765" s="1095" t="str">
        <f>EUconst_Unit</f>
        <v>Enhet</v>
      </c>
      <c r="G765" s="1204" t="str">
        <f>Translations!$B$1495</f>
        <v>NIMs-värde</v>
      </c>
      <c r="H765" s="1193">
        <f t="shared" ref="H765:N765" si="331">H$950</f>
        <v>2019</v>
      </c>
      <c r="I765" s="1204">
        <f t="shared" si="331"/>
        <v>2020</v>
      </c>
      <c r="J765" s="1205">
        <f t="shared" si="331"/>
        <v>2021</v>
      </c>
      <c r="K765" s="1193">
        <f t="shared" si="331"/>
        <v>2022</v>
      </c>
      <c r="L765" s="1193">
        <f t="shared" si="331"/>
        <v>2023</v>
      </c>
      <c r="M765" s="1193">
        <f t="shared" si="331"/>
        <v>2024</v>
      </c>
      <c r="N765" s="1193">
        <f t="shared" si="331"/>
        <v>2025</v>
      </c>
      <c r="O765" s="978"/>
      <c r="P765" s="6"/>
      <c r="Q765" s="1189"/>
      <c r="R765" s="1189"/>
      <c r="S765" s="1189"/>
      <c r="T765" s="1189"/>
      <c r="U765" s="1189"/>
      <c r="V765" s="1189"/>
      <c r="W765" s="1189"/>
      <c r="X765" s="1189"/>
      <c r="Y765" s="1189"/>
      <c r="Z765" s="1189"/>
      <c r="AA765" s="711"/>
      <c r="AB765" s="7"/>
      <c r="AC765" s="1189"/>
      <c r="AD765" s="1189"/>
      <c r="AE765" s="1189"/>
      <c r="AF765" s="1189"/>
      <c r="AG765" s="1189"/>
      <c r="AH765" s="1189"/>
      <c r="AI765" s="1189"/>
      <c r="AJ765" s="1189"/>
      <c r="AK765" s="1189"/>
      <c r="AL765" s="1189"/>
      <c r="AM765" s="1194"/>
    </row>
    <row r="766" spans="1:39" ht="25.5" customHeight="1" x14ac:dyDescent="0.25">
      <c r="A766" s="2"/>
      <c r="B766" s="19"/>
      <c r="C766" s="19"/>
      <c r="D766" s="175"/>
      <c r="E766" s="931" t="str">
        <f>Translations!$B$1507</f>
        <v>Specifik energiförbrukning</v>
      </c>
      <c r="F766" s="1654" t="str">
        <f>EUconst_TJ &amp; " / " &amp; IF(F737="",EUconst_Unit,F737)</f>
        <v>TJ / Enhet</v>
      </c>
      <c r="G766" s="1532" t="str">
        <f>IF(AND(SUM(G760)&gt;0,V676&lt;=$H$950),SUMPRODUCT(S750:S759,G750:G759)/G760,"")</f>
        <v/>
      </c>
      <c r="H766" s="1533" t="str">
        <f t="shared" ref="H766:N766" si="332">IF(SUM(H760)&gt;0,$S760*H760/SUM(T750:T759),"")</f>
        <v/>
      </c>
      <c r="I766" s="1534" t="str">
        <f t="shared" si="332"/>
        <v/>
      </c>
      <c r="J766" s="1535" t="str">
        <f t="shared" si="332"/>
        <v/>
      </c>
      <c r="K766" s="1536" t="str">
        <f t="shared" si="332"/>
        <v/>
      </c>
      <c r="L766" s="1536" t="str">
        <f t="shared" si="332"/>
        <v/>
      </c>
      <c r="M766" s="1536" t="str">
        <f t="shared" si="332"/>
        <v/>
      </c>
      <c r="N766" s="1536" t="str">
        <f t="shared" si="332"/>
        <v/>
      </c>
      <c r="O766" s="918"/>
      <c r="P766" s="6"/>
      <c r="Q766" s="165" t="str">
        <f>EUconst_CNTR_EnEff&amp;I676</f>
        <v>EnEff_Delanläggning med bränsleriktmärke, ej KL</v>
      </c>
      <c r="R766" s="2"/>
      <c r="S766" s="2"/>
      <c r="T766" s="2"/>
      <c r="U766" s="2"/>
      <c r="V766" s="2"/>
      <c r="W766" s="2"/>
      <c r="X766" s="2"/>
      <c r="Y766" s="2"/>
      <c r="Z766" s="2"/>
      <c r="AA766" s="2"/>
      <c r="AB766" s="343"/>
      <c r="AC766" s="2"/>
      <c r="AD766" s="2"/>
      <c r="AE766" s="2"/>
      <c r="AF766" s="2"/>
      <c r="AG766" s="2"/>
      <c r="AH766" s="2"/>
      <c r="AI766" s="2"/>
      <c r="AJ766" s="2"/>
      <c r="AK766" s="2"/>
      <c r="AL766" s="2"/>
      <c r="AM766" s="349"/>
    </row>
    <row r="767" spans="1:39" ht="5.15" customHeight="1" thickBot="1" x14ac:dyDescent="0.3">
      <c r="A767" s="2"/>
      <c r="B767" s="19"/>
      <c r="C767" s="19"/>
      <c r="D767" s="19"/>
      <c r="E767" s="19"/>
      <c r="F767" s="19"/>
      <c r="G767" s="19"/>
      <c r="H767" s="19"/>
      <c r="I767" s="99"/>
      <c r="J767" s="19"/>
      <c r="K767" s="19"/>
      <c r="L767" s="19"/>
      <c r="M767" s="19"/>
      <c r="N767" s="19"/>
      <c r="O767" s="15"/>
      <c r="P767" s="6"/>
      <c r="Q767" s="130"/>
      <c r="R767" s="2"/>
      <c r="S767" s="343"/>
      <c r="T767" s="343"/>
      <c r="U767" s="2"/>
      <c r="V767" s="2"/>
      <c r="W767" s="2"/>
      <c r="X767" s="2"/>
      <c r="Y767" s="2"/>
      <c r="Z767" s="2"/>
      <c r="AA767" s="2"/>
      <c r="AB767" s="343"/>
      <c r="AC767" s="2"/>
      <c r="AD767" s="2"/>
      <c r="AE767" s="2"/>
      <c r="AF767" s="2"/>
      <c r="AG767" s="2"/>
      <c r="AH767" s="2"/>
      <c r="AI767" s="2"/>
      <c r="AJ767" s="2"/>
      <c r="AK767" s="2"/>
      <c r="AL767" s="2"/>
      <c r="AM767" s="349"/>
    </row>
    <row r="768" spans="1:39" ht="5.15" customHeight="1" thickBot="1" x14ac:dyDescent="0.3">
      <c r="A768" s="2"/>
      <c r="B768" s="19"/>
      <c r="C768" s="19"/>
      <c r="D768" s="1285"/>
      <c r="E768" s="1286"/>
      <c r="F768" s="1286"/>
      <c r="G768" s="1286"/>
      <c r="H768" s="1286"/>
      <c r="I768" s="1287"/>
      <c r="J768" s="1286"/>
      <c r="K768" s="1286"/>
      <c r="L768" s="1286"/>
      <c r="M768" s="1286"/>
      <c r="N768" s="1288"/>
      <c r="O768" s="15"/>
      <c r="P768" s="6"/>
      <c r="Q768" s="130"/>
      <c r="R768" s="2"/>
      <c r="S768" s="343"/>
      <c r="T768" s="343"/>
      <c r="U768" s="2"/>
      <c r="V768" s="2"/>
      <c r="W768" s="2"/>
      <c r="X768" s="2"/>
      <c r="Y768" s="2"/>
      <c r="Z768" s="2"/>
      <c r="AA768" s="2"/>
      <c r="AB768" s="343"/>
      <c r="AC768" s="2"/>
      <c r="AD768" s="2"/>
      <c r="AE768" s="2"/>
      <c r="AF768" s="2"/>
      <c r="AG768" s="2"/>
      <c r="AH768" s="2"/>
      <c r="AI768" s="2"/>
      <c r="AJ768" s="2"/>
      <c r="AK768" s="2"/>
      <c r="AL768" s="2"/>
      <c r="AM768" s="349"/>
    </row>
    <row r="769" spans="1:39" ht="12.75" customHeight="1" x14ac:dyDescent="0.25">
      <c r="A769" s="343"/>
      <c r="B769" s="178"/>
      <c r="C769" s="19"/>
      <c r="D769" s="1242"/>
      <c r="E769" s="1243" t="str">
        <f>Translations!$B$1509</f>
        <v>Justeringar: Effektivitetsförbättringar</v>
      </c>
      <c r="F769" s="1244"/>
      <c r="G769" s="1244"/>
      <c r="H769" s="1228" t="str">
        <f>EUconst_Unit</f>
        <v>Enhet</v>
      </c>
      <c r="I769" s="1229" t="str">
        <f>Translations!$B$1510</f>
        <v>Basvärde</v>
      </c>
      <c r="J769" s="1268">
        <f>J$950</f>
        <v>2021</v>
      </c>
      <c r="K769" s="1230">
        <f>K$950</f>
        <v>2022</v>
      </c>
      <c r="L769" s="1230">
        <f>L$950</f>
        <v>2023</v>
      </c>
      <c r="M769" s="1230">
        <f>M$950</f>
        <v>2024</v>
      </c>
      <c r="N769" s="1245">
        <f>N$950</f>
        <v>2025</v>
      </c>
      <c r="O769" s="15"/>
      <c r="P769" s="6"/>
      <c r="Q769" s="343"/>
      <c r="R769" s="2"/>
      <c r="S769" s="2"/>
      <c r="T769" s="2"/>
      <c r="U769" s="772"/>
      <c r="V769" s="1077">
        <f>J769</f>
        <v>2021</v>
      </c>
      <c r="W769" s="1077">
        <f>K769</f>
        <v>2022</v>
      </c>
      <c r="X769" s="1077">
        <f>L769</f>
        <v>2023</v>
      </c>
      <c r="Y769" s="1077">
        <f>M769</f>
        <v>2024</v>
      </c>
      <c r="Z769" s="1078">
        <f>N769</f>
        <v>2025</v>
      </c>
      <c r="AA769" s="2"/>
      <c r="AB769" s="343"/>
      <c r="AC769" s="2"/>
      <c r="AD769" s="2"/>
      <c r="AE769" s="2"/>
      <c r="AF769" s="2"/>
      <c r="AG769" s="2"/>
      <c r="AH769" s="2"/>
      <c r="AI769" s="2"/>
      <c r="AJ769" s="2"/>
      <c r="AK769" s="2"/>
      <c r="AL769" s="2"/>
      <c r="AM769" s="349"/>
    </row>
    <row r="770" spans="1:39" ht="12.75" customHeight="1" x14ac:dyDescent="0.25">
      <c r="A770" s="343"/>
      <c r="B770" s="178"/>
      <c r="C770" s="19"/>
      <c r="D770" s="1246" t="s">
        <v>9</v>
      </c>
      <c r="E770" s="2712" t="str">
        <f>Translations!$B$1511</f>
        <v>Genomsnittlig årlig effektivitet</v>
      </c>
      <c r="F770" s="2712"/>
      <c r="G770" s="2712"/>
      <c r="H770" s="1777" t="str">
        <f>F766</f>
        <v>TJ / Enhet</v>
      </c>
      <c r="I770" s="1129" t="str">
        <f>IF(M676&lt;&gt;EUconst_Relevant,"",IF(V676&gt;($J$950-3),INDEX(H766:N766,MATCH($V676,H765:N765,0)),G766))</f>
        <v/>
      </c>
      <c r="J770" s="1012" t="str">
        <f>IF(AND(V770&gt;=3,COUNT(H766:I766)=2),IF(CNTR_ReportingYear&gt;J765-1,AVERAGE(H766:I766),""),"")</f>
        <v/>
      </c>
      <c r="K770" s="927" t="str">
        <f>IF(AND(W770&gt;=3,COUNT(I766:J766)=2),IF(CNTR_ReportingYear&gt;K765-1,AVERAGE(I766:J766),""),"")</f>
        <v/>
      </c>
      <c r="L770" s="927" t="str">
        <f>IF(AND(X770&gt;=3,COUNT(J766:K766)=2),IF(CNTR_ReportingYear&gt;L765-1,AVERAGE(J766:K766),""),"")</f>
        <v/>
      </c>
      <c r="M770" s="927" t="str">
        <f>IF(AND(Y770&gt;=3,COUNT(K766:L766)=2),IF(CNTR_ReportingYear&gt;M765-1,AVERAGE(K766:L766),""),"")</f>
        <v/>
      </c>
      <c r="N770" s="1222" t="str">
        <f>IF(AND(Z770&gt;=3,COUNT(L766:M766)=2),IF(CNTR_ReportingYear&gt;N765-1,AVERAGE(L766:M766),""),"")</f>
        <v/>
      </c>
      <c r="O770" s="15"/>
      <c r="P770" s="6"/>
      <c r="Q770" s="1217" t="str">
        <f>EUconst_CNTR_EnEffInitial &amp; I676</f>
        <v>EnEffIni_Delanläggning med bränsleriktmärke, ej KL</v>
      </c>
      <c r="R770" s="2"/>
      <c r="S770" s="2"/>
      <c r="T770" s="2"/>
      <c r="U770" s="1079" t="s">
        <v>1850</v>
      </c>
      <c r="V770" s="9">
        <f>V692</f>
        <v>0</v>
      </c>
      <c r="W770" s="9">
        <f>W692</f>
        <v>0</v>
      </c>
      <c r="X770" s="9">
        <f>X692</f>
        <v>0</v>
      </c>
      <c r="Y770" s="9">
        <f>Y692</f>
        <v>0</v>
      </c>
      <c r="Z770" s="1089">
        <f>Z692</f>
        <v>0</v>
      </c>
      <c r="AA770" s="2"/>
      <c r="AB770" s="343"/>
      <c r="AC770" s="2"/>
      <c r="AD770" s="2"/>
      <c r="AE770" s="2"/>
      <c r="AF770" s="2"/>
      <c r="AG770" s="2"/>
      <c r="AH770" s="2"/>
      <c r="AI770" s="2"/>
      <c r="AJ770" s="2"/>
      <c r="AK770" s="2"/>
      <c r="AL770" s="2"/>
      <c r="AM770" s="349"/>
    </row>
    <row r="771" spans="1:39" ht="12.75" customHeight="1" x14ac:dyDescent="0.25">
      <c r="A771" s="343"/>
      <c r="B771" s="178"/>
      <c r="C771" s="19"/>
      <c r="D771" s="1246" t="s">
        <v>10</v>
      </c>
      <c r="E771" s="2712" t="str">
        <f>Translations!$B$1512</f>
        <v>Effektivitetsförbättringar jämfört med basvärde</v>
      </c>
      <c r="F771" s="2717"/>
      <c r="G771" s="2717"/>
      <c r="H771" s="2717"/>
      <c r="I771" s="2720"/>
      <c r="J771" s="1013" t="str">
        <f>IF(J770="","",IF(SUM($I770)=0,IF(J770=0,0%,100%),1-J770/$I770))</f>
        <v/>
      </c>
      <c r="K771" s="938" t="str">
        <f>IF(K770="","",IF(SUM($I770)=0,IF(K770=0,0%,100%),1-K770/$I770))</f>
        <v/>
      </c>
      <c r="L771" s="938" t="str">
        <f>IF(L770="","",IF(SUM($I770)=0,IF(L770=0,0%,100%),1-L770/$I770))</f>
        <v/>
      </c>
      <c r="M771" s="938" t="str">
        <f>IF(M770="","",IF(SUM($I770)=0,IF(M770=0,0%,100%),1-M770/$I770))</f>
        <v/>
      </c>
      <c r="N771" s="1223" t="str">
        <f>IF(N770="","",IF(SUM($I770)=0,IF(N770=0,0%,100%),1-N770/$I770))</f>
        <v/>
      </c>
      <c r="O771" s="15"/>
      <c r="P771" s="6"/>
      <c r="Q771" s="165" t="str">
        <f>EUconst_CNTR_EnEffPct&amp;I676</f>
        <v>EnEffPct_Delanläggning med bränsleriktmärke, ej KL</v>
      </c>
      <c r="R771" s="2"/>
      <c r="S771" s="2"/>
      <c r="T771" s="2"/>
      <c r="U771" s="1079" t="s">
        <v>1855</v>
      </c>
      <c r="V771" s="603" t="str">
        <f>IF(J770="","",J771&gt;15%)</f>
        <v/>
      </c>
      <c r="W771" s="603" t="str">
        <f>IF(K770="","",K771&gt;15%)</f>
        <v/>
      </c>
      <c r="X771" s="603" t="str">
        <f>IF(L770="","",L771&gt;15%)</f>
        <v/>
      </c>
      <c r="Y771" s="603" t="str">
        <f>IF(M770="","",M771&gt;15%)</f>
        <v/>
      </c>
      <c r="Z771" s="1756" t="str">
        <f>IF(N770="","",N771&gt;15%)</f>
        <v/>
      </c>
      <c r="AA771" s="2"/>
      <c r="AB771" s="343"/>
      <c r="AC771" s="2"/>
      <c r="AD771" s="2"/>
      <c r="AE771" s="2"/>
      <c r="AF771" s="2"/>
      <c r="AG771" s="2"/>
      <c r="AH771" s="2"/>
      <c r="AI771" s="2"/>
      <c r="AJ771" s="2"/>
      <c r="AK771" s="2"/>
      <c r="AL771" s="2"/>
      <c r="AM771" s="349"/>
    </row>
    <row r="772" spans="1:39" ht="5.15" customHeight="1" x14ac:dyDescent="0.25">
      <c r="A772" s="343"/>
      <c r="B772" s="178"/>
      <c r="C772" s="19"/>
      <c r="D772" s="1242"/>
      <c r="E772" s="1244"/>
      <c r="F772" s="1244"/>
      <c r="G772" s="1244"/>
      <c r="H772" s="1244"/>
      <c r="I772" s="1244"/>
      <c r="J772" s="1244"/>
      <c r="K772" s="1244"/>
      <c r="L772" s="1244"/>
      <c r="M772" s="1244"/>
      <c r="N772" s="1248"/>
      <c r="O772" s="15"/>
      <c r="P772" s="6"/>
      <c r="Q772" s="343"/>
      <c r="R772" s="2"/>
      <c r="S772" s="2"/>
      <c r="T772" s="2"/>
      <c r="U772" s="1086"/>
      <c r="V772" s="936"/>
      <c r="W772" s="936"/>
      <c r="X772" s="936"/>
      <c r="Y772" s="936"/>
      <c r="Z772" s="1090"/>
      <c r="AA772" s="2"/>
      <c r="AB772" s="343"/>
      <c r="AC772" s="2"/>
      <c r="AD772" s="2"/>
      <c r="AE772" s="349"/>
      <c r="AF772" s="349"/>
      <c r="AG772" s="349"/>
      <c r="AH772" s="349"/>
      <c r="AI772" s="349"/>
      <c r="AJ772" s="349"/>
      <c r="AK772" s="349"/>
      <c r="AL772" s="349"/>
      <c r="AM772" s="349"/>
    </row>
    <row r="773" spans="1:39" ht="12.75" customHeight="1" x14ac:dyDescent="0.25">
      <c r="A773" s="2"/>
      <c r="B773" s="178"/>
      <c r="C773" s="19"/>
      <c r="D773" s="1290" t="s">
        <v>1983</v>
      </c>
      <c r="E773" s="2709" t="str">
        <f>Translations!$B$1513</f>
        <v>Justeringar: Absolut tröskelvärde</v>
      </c>
      <c r="F773" s="2710"/>
      <c r="G773" s="2710"/>
      <c r="H773" s="2710"/>
      <c r="I773" s="2710"/>
      <c r="J773" s="2710"/>
      <c r="K773" s="2710"/>
      <c r="L773" s="2710"/>
      <c r="M773" s="2710"/>
      <c r="N773" s="2711"/>
      <c r="O773" s="15"/>
      <c r="P773" s="6"/>
      <c r="Q773" s="343"/>
      <c r="R773" s="2"/>
      <c r="S773" s="2"/>
      <c r="T773" s="2"/>
      <c r="U773" s="1086"/>
      <c r="V773" s="343"/>
      <c r="W773" s="2"/>
      <c r="X773" s="2"/>
      <c r="Y773" s="2"/>
      <c r="Z773" s="228"/>
      <c r="AA773" s="2"/>
      <c r="AB773" s="343"/>
      <c r="AC773" s="2"/>
      <c r="AD773" s="2"/>
      <c r="AE773" s="349"/>
      <c r="AF773" s="349"/>
      <c r="AG773" s="349"/>
      <c r="AH773" s="349"/>
      <c r="AI773" s="349"/>
      <c r="AJ773" s="349"/>
      <c r="AK773" s="349"/>
      <c r="AL773" s="349"/>
      <c r="AM773" s="349"/>
    </row>
    <row r="774" spans="1:39" ht="12.75" customHeight="1" x14ac:dyDescent="0.25">
      <c r="A774" s="2"/>
      <c r="B774" s="178"/>
      <c r="C774" s="19"/>
      <c r="D774" s="1242"/>
      <c r="E774" s="1234" t="str">
        <f>Translations!$B$1514</f>
        <v>Absolut tröskelvärde</v>
      </c>
      <c r="F774" s="1234"/>
      <c r="G774" s="1234"/>
      <c r="H774" s="1234"/>
      <c r="I774" s="1234"/>
      <c r="J774" s="1268">
        <f>J$950</f>
        <v>2021</v>
      </c>
      <c r="K774" s="1230">
        <f>K$950</f>
        <v>2022</v>
      </c>
      <c r="L774" s="1230">
        <f>L$950</f>
        <v>2023</v>
      </c>
      <c r="M774" s="1230">
        <f>M$950</f>
        <v>2024</v>
      </c>
      <c r="N774" s="1245">
        <f>N$950</f>
        <v>2025</v>
      </c>
      <c r="O774" s="15"/>
      <c r="P774" s="6"/>
      <c r="Q774" s="343"/>
      <c r="R774" s="2"/>
      <c r="S774" s="2"/>
      <c r="T774" s="2"/>
      <c r="U774" s="1086"/>
      <c r="V774" s="2"/>
      <c r="W774" s="2"/>
      <c r="X774" s="2"/>
      <c r="Y774" s="2"/>
      <c r="Z774" s="228"/>
      <c r="AA774" s="2"/>
      <c r="AB774" s="343"/>
      <c r="AC774" s="2"/>
      <c r="AD774" s="2"/>
      <c r="AE774" s="349"/>
      <c r="AF774" s="349"/>
      <c r="AG774" s="349"/>
      <c r="AH774" s="349"/>
      <c r="AI774" s="349"/>
      <c r="AJ774" s="349"/>
      <c r="AK774" s="349"/>
      <c r="AL774" s="349"/>
      <c r="AM774" s="349"/>
    </row>
    <row r="775" spans="1:39" ht="12.75" customHeight="1" x14ac:dyDescent="0.25">
      <c r="A775" s="343"/>
      <c r="B775" s="178"/>
      <c r="C775" s="19"/>
      <c r="D775" s="1242"/>
      <c r="E775" s="2712" t="str">
        <f>Translations!$B$1476</f>
        <v>&gt;= 100 utsläppsrätter kriterium uppnått?</v>
      </c>
      <c r="F775" s="2712"/>
      <c r="G775" s="2712"/>
      <c r="H775" s="2712"/>
      <c r="I775" s="2714"/>
      <c r="J775" s="994" t="str">
        <f>IF($M676&lt;&gt;EUconst_Relevant,"",INDEX(K_Summary!J:J,MATCH($Q775,K_Summary!$P:$P,0)))</f>
        <v/>
      </c>
      <c r="K775" s="912" t="str">
        <f>IF($M676&lt;&gt;EUconst_Relevant,"",INDEX(K_Summary!K:K,MATCH($Q775,K_Summary!$P:$P,0)))</f>
        <v/>
      </c>
      <c r="L775" s="912" t="str">
        <f>IF($M676&lt;&gt;EUconst_Relevant,"",INDEX(K_Summary!L:L,MATCH($Q775,K_Summary!$P:$P,0)))</f>
        <v/>
      </c>
      <c r="M775" s="912" t="str">
        <f>IF($M676&lt;&gt;EUconst_Relevant,"",INDEX(K_Summary!M:M,MATCH($Q775,K_Summary!$P:$P,0)))</f>
        <v/>
      </c>
      <c r="N775" s="1221" t="str">
        <f>IF($M676&lt;&gt;EUconst_Relevant,"",INDEX(K_Summary!N:N,MATCH($Q775,K_Summary!$P:$P,0)))</f>
        <v/>
      </c>
      <c r="O775" s="15"/>
      <c r="P775" s="6"/>
      <c r="Q775" s="165" t="str">
        <f>EUconst_CNTR_100EUA_ActivityLevel&amp;I676</f>
        <v>EUA100AL_Delanläggning med bränsleriktmärke, ej KL</v>
      </c>
      <c r="R775" s="2"/>
      <c r="S775" s="2"/>
      <c r="T775" s="2"/>
      <c r="U775" s="1086"/>
      <c r="V775" s="2"/>
      <c r="W775" s="2"/>
      <c r="X775" s="2"/>
      <c r="Y775" s="2"/>
      <c r="Z775" s="228"/>
      <c r="AA775" s="2"/>
      <c r="AB775" s="343"/>
      <c r="AC775" s="2"/>
      <c r="AD775" s="2"/>
      <c r="AE775" s="349"/>
      <c r="AF775" s="349"/>
      <c r="AG775" s="349"/>
      <c r="AH775" s="349"/>
      <c r="AI775" s="349"/>
      <c r="AJ775" s="349"/>
      <c r="AK775" s="349"/>
      <c r="AL775" s="349"/>
      <c r="AM775" s="349"/>
    </row>
    <row r="776" spans="1:39" ht="5.15" customHeight="1" x14ac:dyDescent="0.25">
      <c r="A776" s="343"/>
      <c r="B776" s="178"/>
      <c r="C776" s="19"/>
      <c r="D776" s="1242"/>
      <c r="E776" s="1244"/>
      <c r="F776" s="1244"/>
      <c r="G776" s="1244"/>
      <c r="H776" s="1244"/>
      <c r="I776" s="1244"/>
      <c r="J776" s="1244"/>
      <c r="K776" s="1244"/>
      <c r="L776" s="1244"/>
      <c r="M776" s="1244"/>
      <c r="N776" s="1248"/>
      <c r="O776" s="15"/>
      <c r="P776" s="6"/>
      <c r="Q776" s="343"/>
      <c r="R776" s="2"/>
      <c r="S776" s="2"/>
      <c r="T776" s="2"/>
      <c r="U776" s="1086"/>
      <c r="V776" s="343"/>
      <c r="W776" s="2"/>
      <c r="X776" s="2"/>
      <c r="Y776" s="2"/>
      <c r="Z776" s="228"/>
      <c r="AA776" s="2"/>
      <c r="AB776" s="343"/>
      <c r="AC776" s="2"/>
      <c r="AD776" s="2"/>
      <c r="AE776" s="349"/>
      <c r="AF776" s="349"/>
      <c r="AG776" s="349"/>
      <c r="AH776" s="349"/>
      <c r="AI776" s="349"/>
      <c r="AJ776" s="349"/>
      <c r="AK776" s="349"/>
      <c r="AL776" s="349"/>
      <c r="AM776" s="349"/>
    </row>
    <row r="777" spans="1:39" ht="12.75" customHeight="1" x14ac:dyDescent="0.25">
      <c r="A777" s="2"/>
      <c r="B777" s="178"/>
      <c r="C777" s="19"/>
      <c r="D777" s="1290" t="s">
        <v>1984</v>
      </c>
      <c r="E777" s="2709" t="str">
        <f>Translations!$B$1515</f>
        <v>Bestämning av justering av faktisk verksamhetsnivå inklusive effektivitetsändringar</v>
      </c>
      <c r="F777" s="2710"/>
      <c r="G777" s="2710"/>
      <c r="H777" s="2710"/>
      <c r="I777" s="2710"/>
      <c r="J777" s="2710"/>
      <c r="K777" s="2710"/>
      <c r="L777" s="2710"/>
      <c r="M777" s="2710"/>
      <c r="N777" s="2711"/>
      <c r="O777" s="15"/>
      <c r="P777" s="6"/>
      <c r="Q777" s="343"/>
      <c r="R777" s="2"/>
      <c r="S777" s="2"/>
      <c r="T777" s="2"/>
      <c r="U777" s="1086"/>
      <c r="V777" s="343"/>
      <c r="W777" s="2"/>
      <c r="X777" s="2"/>
      <c r="Y777" s="2"/>
      <c r="Z777" s="228"/>
      <c r="AA777" s="2"/>
      <c r="AB777" s="343"/>
      <c r="AC777" s="2"/>
      <c r="AD777" s="2"/>
      <c r="AE777" s="349"/>
      <c r="AF777" s="349"/>
      <c r="AG777" s="349"/>
      <c r="AH777" s="349"/>
      <c r="AI777" s="349"/>
      <c r="AJ777" s="349"/>
      <c r="AK777" s="349"/>
      <c r="AL777" s="349"/>
      <c r="AM777" s="349"/>
    </row>
    <row r="778" spans="1:39" ht="12.75" customHeight="1" x14ac:dyDescent="0.25">
      <c r="A778" s="2"/>
      <c r="B778" s="178"/>
      <c r="C778" s="19"/>
      <c r="D778" s="1242"/>
      <c r="E778" s="1234" t="str">
        <f>Translations!$B$1475</f>
        <v>Faktisk justering (grund för följande år)</v>
      </c>
      <c r="F778" s="1234"/>
      <c r="G778" s="1234"/>
      <c r="H778" s="1234"/>
      <c r="I778" s="1234"/>
      <c r="J778" s="1268">
        <f>J$950</f>
        <v>2021</v>
      </c>
      <c r="K778" s="1230">
        <f>K$950</f>
        <v>2022</v>
      </c>
      <c r="L778" s="1230">
        <f>L$950</f>
        <v>2023</v>
      </c>
      <c r="M778" s="1230">
        <f>M$950</f>
        <v>2024</v>
      </c>
      <c r="N778" s="1245">
        <f>N$950</f>
        <v>2025</v>
      </c>
      <c r="O778" s="15"/>
      <c r="P778" s="6"/>
      <c r="Q778" s="343"/>
      <c r="R778" s="2"/>
      <c r="S778" s="2"/>
      <c r="T778" s="2"/>
      <c r="U778" s="584"/>
      <c r="V778" s="2"/>
      <c r="W778" s="2"/>
      <c r="X778" s="2"/>
      <c r="Y778" s="2"/>
      <c r="Z778" s="228"/>
      <c r="AA778" s="2"/>
      <c r="AB778" s="343"/>
      <c r="AC778" s="2"/>
      <c r="AD778" s="2"/>
      <c r="AE778" s="349"/>
      <c r="AF778" s="349"/>
      <c r="AG778" s="349"/>
      <c r="AH778" s="349"/>
      <c r="AI778" s="349"/>
      <c r="AJ778" s="349"/>
      <c r="AK778" s="349"/>
      <c r="AL778" s="349"/>
      <c r="AM778" s="349"/>
    </row>
    <row r="779" spans="1:39" ht="12.75" customHeight="1" x14ac:dyDescent="0.25">
      <c r="A779" s="2"/>
      <c r="B779" s="178"/>
      <c r="C779" s="19"/>
      <c r="D779" s="1246" t="s">
        <v>8</v>
      </c>
      <c r="E779" s="2712" t="str">
        <f>Translations!$B$1516</f>
        <v>Behövs godkännande från behörig myndighet?</v>
      </c>
      <c r="F779" s="2712"/>
      <c r="G779" s="2712"/>
      <c r="H779" s="2712"/>
      <c r="I779" s="2714"/>
      <c r="J779" s="994" t="str">
        <f>IF($M676&lt;&gt;EUconst_Relevant,"",AND(J775,OR(AND(SUM(J693)&lt;-15%,SUM(J771)&gt;15%),AND(SUM(J693)&gt;15%,SUM(J771&lt;-15%)))))</f>
        <v/>
      </c>
      <c r="K779" s="912" t="str">
        <f>IF($M676&lt;&gt;EUconst_Relevant,"",AND(K775,OR(AND(SUM(K693)&lt;-15%,SUM(K771)&gt;15%),AND(SUM(K693)&gt;15%,SUM(K771&lt;-15%)))))</f>
        <v/>
      </c>
      <c r="L779" s="912" t="str">
        <f>IF($M676&lt;&gt;EUconst_Relevant,"",AND(L775,OR(AND(SUM(L693)&lt;-15%,SUM(L771)&gt;15%),AND(SUM(L693)&gt;15%,SUM(L771&lt;-15%)))))</f>
        <v/>
      </c>
      <c r="M779" s="912" t="str">
        <f>IF($M676&lt;&gt;EUconst_Relevant,"",AND(M775,OR(AND(SUM(M693)&lt;-15%,SUM(M771)&gt;15%),AND(SUM(M693)&gt;15%,SUM(M771&lt;-15%)))))</f>
        <v/>
      </c>
      <c r="N779" s="1221" t="str">
        <f>IF($M676&lt;&gt;EUconst_Relevant,"",AND(N775,OR(AND(SUM(N693)&lt;-15%,SUM(N771)&gt;15%),AND(SUM(N693)&gt;15%,SUM(N771&lt;-15%)))))</f>
        <v/>
      </c>
      <c r="O779" s="15"/>
      <c r="P779" s="6"/>
      <c r="Q779" s="165" t="str">
        <f>EUconst_CNTR_CARejectionRelevant&amp;I676</f>
        <v>CARejectRel_Delanläggning med bränsleriktmärke, ej KL</v>
      </c>
      <c r="R779" s="2"/>
      <c r="S779" s="2"/>
      <c r="T779" s="2"/>
      <c r="U779" s="1086"/>
      <c r="V779" s="343"/>
      <c r="W779" s="2"/>
      <c r="X779" s="2"/>
      <c r="Y779" s="2"/>
      <c r="Z779" s="228"/>
      <c r="AA779" s="2"/>
      <c r="AB779" s="343"/>
      <c r="AC779" s="2"/>
      <c r="AD779" s="2"/>
      <c r="AE779" s="349"/>
      <c r="AF779" s="349"/>
      <c r="AG779" s="349"/>
      <c r="AH779" s="349"/>
      <c r="AI779" s="349"/>
      <c r="AJ779" s="349"/>
      <c r="AK779" s="349"/>
      <c r="AL779" s="349"/>
      <c r="AM779" s="349"/>
    </row>
    <row r="780" spans="1:39" ht="25.5" customHeight="1" x14ac:dyDescent="0.25">
      <c r="A780" s="2"/>
      <c r="B780" s="19"/>
      <c r="C780" s="19"/>
      <c r="D780" s="1256"/>
      <c r="E780" s="2713" t="str">
        <f>Translations!$B$1517</f>
        <v>Om ”SANT” visas här har antingen den genomsnittliga verksamhetsnivån minskat med 15 % jämfört med den historiska verksamhetsnivån samtidigt som energieffektiviteten har ökat med mer än 15 %, eller tvärtom. Om detta är fallet bedömer den behöriga myndigheten (se ii nedan) huruvida tilldelningen ska justeras.</v>
      </c>
      <c r="F780" s="2710"/>
      <c r="G780" s="2710"/>
      <c r="H780" s="2710"/>
      <c r="I780" s="2710"/>
      <c r="J780" s="2710"/>
      <c r="K780" s="2710"/>
      <c r="L780" s="2710"/>
      <c r="M780" s="2710"/>
      <c r="N780" s="2711"/>
      <c r="O780" s="15"/>
      <c r="P780" s="6"/>
      <c r="Q780" s="2"/>
      <c r="R780" s="2"/>
      <c r="S780" s="2"/>
      <c r="T780" s="2"/>
      <c r="U780" s="1086"/>
      <c r="V780" s="2"/>
      <c r="W780" s="2"/>
      <c r="X780" s="2"/>
      <c r="Y780" s="2"/>
      <c r="Z780" s="228"/>
      <c r="AA780" s="343"/>
      <c r="AB780" s="343"/>
      <c r="AC780" s="2"/>
      <c r="AD780" s="2"/>
      <c r="AE780" s="349"/>
      <c r="AF780" s="349"/>
      <c r="AG780" s="349"/>
      <c r="AH780" s="349"/>
      <c r="AI780" s="349"/>
      <c r="AJ780" s="349"/>
      <c r="AK780" s="349"/>
      <c r="AL780" s="349"/>
      <c r="AM780" s="349"/>
    </row>
    <row r="781" spans="1:39" ht="12.75" customHeight="1" x14ac:dyDescent="0.25">
      <c r="A781" s="2"/>
      <c r="B781" s="19"/>
      <c r="C781" s="19"/>
      <c r="D781" s="1256"/>
      <c r="E781" s="2713" t="str">
        <f>Translations!$B$1518</f>
        <v>Detta beslut bygger på huruvida det kan bevisas att ändringarna av verksamhetsnivån kan förklaras av den ändrade energieffektiviteten.</v>
      </c>
      <c r="F781" s="2710"/>
      <c r="G781" s="2710"/>
      <c r="H781" s="2710"/>
      <c r="I781" s="2710"/>
      <c r="J781" s="2710"/>
      <c r="K781" s="2710"/>
      <c r="L781" s="2710"/>
      <c r="M781" s="2710"/>
      <c r="N781" s="2711"/>
      <c r="O781" s="15"/>
      <c r="P781" s="6"/>
      <c r="Q781" s="2"/>
      <c r="R781" s="2"/>
      <c r="S781" s="2"/>
      <c r="T781" s="2"/>
      <c r="U781" s="1086"/>
      <c r="V781" s="2"/>
      <c r="W781" s="2"/>
      <c r="X781" s="2"/>
      <c r="Y781" s="2"/>
      <c r="Z781" s="228"/>
      <c r="AA781" s="343"/>
      <c r="AB781" s="343"/>
      <c r="AC781" s="2"/>
      <c r="AD781" s="2"/>
      <c r="AE781" s="349"/>
      <c r="AF781" s="349"/>
      <c r="AG781" s="349"/>
      <c r="AH781" s="349"/>
      <c r="AI781" s="349"/>
      <c r="AJ781" s="349"/>
      <c r="AK781" s="349"/>
      <c r="AL781" s="349"/>
      <c r="AM781" s="349"/>
    </row>
    <row r="782" spans="1:39" ht="5.15" customHeight="1" x14ac:dyDescent="0.25">
      <c r="A782" s="2"/>
      <c r="B782" s="178"/>
      <c r="C782" s="19"/>
      <c r="D782" s="1246"/>
      <c r="E782" s="1244"/>
      <c r="F782" s="1244"/>
      <c r="G782" s="1244"/>
      <c r="H782" s="1244"/>
      <c r="I782" s="1244"/>
      <c r="J782" s="1244"/>
      <c r="K782" s="1244"/>
      <c r="L782" s="1244"/>
      <c r="M782" s="1244"/>
      <c r="N782" s="1248"/>
      <c r="O782" s="15"/>
      <c r="P782" s="6"/>
      <c r="Q782" s="343"/>
      <c r="R782" s="2"/>
      <c r="S782" s="2"/>
      <c r="T782" s="2"/>
      <c r="U782" s="1086"/>
      <c r="V782" s="343"/>
      <c r="W782" s="2"/>
      <c r="X782" s="2"/>
      <c r="Y782" s="2"/>
      <c r="Z782" s="228"/>
      <c r="AA782" s="2"/>
      <c r="AB782" s="343"/>
      <c r="AC782" s="2"/>
      <c r="AD782" s="2"/>
      <c r="AE782" s="349"/>
      <c r="AF782" s="349"/>
      <c r="AG782" s="349"/>
      <c r="AH782" s="349"/>
      <c r="AI782" s="349"/>
      <c r="AJ782" s="349"/>
      <c r="AK782" s="349"/>
      <c r="AL782" s="349"/>
      <c r="AM782" s="349"/>
    </row>
    <row r="783" spans="1:39" ht="12.75" customHeight="1" x14ac:dyDescent="0.25">
      <c r="A783" s="2"/>
      <c r="B783" s="178"/>
      <c r="C783" s="19"/>
      <c r="D783" s="1246" t="s">
        <v>9</v>
      </c>
      <c r="E783" s="2712" t="str">
        <f>Translations!$B$1519</f>
        <v>Behörig myndighet avslår justeringen?</v>
      </c>
      <c r="F783" s="2717"/>
      <c r="G783" s="2717"/>
      <c r="H783" s="2717"/>
      <c r="I783" s="2720"/>
      <c r="J783" s="1725" t="b">
        <v>0</v>
      </c>
      <c r="K783" s="1726" t="b">
        <v>0</v>
      </c>
      <c r="L783" s="1726" t="b">
        <v>0</v>
      </c>
      <c r="M783" s="1726" t="b">
        <v>0</v>
      </c>
      <c r="N783" s="1727" t="b">
        <v>0</v>
      </c>
      <c r="O783" s="15"/>
      <c r="P783" s="1362"/>
      <c r="Q783" s="165" t="str">
        <f>EUconst_CNTR_CARejection &amp; I676</f>
        <v>CAReject_Delanläggning med bränsleriktmärke, ej KL</v>
      </c>
      <c r="R783" s="2"/>
      <c r="S783" s="2"/>
      <c r="T783" s="2"/>
      <c r="U783" s="1086"/>
      <c r="V783" s="343"/>
      <c r="W783" s="2"/>
      <c r="X783" s="2"/>
      <c r="Y783" s="2"/>
      <c r="Z783" s="228"/>
      <c r="AA783" s="2"/>
      <c r="AB783" s="2"/>
      <c r="AC783" s="2"/>
      <c r="AD783" s="343" t="s">
        <v>1213</v>
      </c>
      <c r="AE783" s="1528" t="b">
        <f>AND($M676=EUconst_Relevant,J779=FALSE)</f>
        <v>0</v>
      </c>
      <c r="AF783" s="165" t="b">
        <f>AND($M676=EUconst_Relevant,K779=FALSE)</f>
        <v>0</v>
      </c>
      <c r="AG783" s="165" t="b">
        <f>AND($M676=EUconst_Relevant,L779=FALSE)</f>
        <v>0</v>
      </c>
      <c r="AH783" s="165" t="b">
        <f>AND($M676=EUconst_Relevant,M779=FALSE)</f>
        <v>0</v>
      </c>
      <c r="AI783" s="165" t="b">
        <f>AND($M676=EUconst_Relevant,N779=FALSE)</f>
        <v>0</v>
      </c>
      <c r="AJ783" s="349"/>
      <c r="AK783" s="349"/>
      <c r="AL783" s="349"/>
      <c r="AM783" s="349"/>
    </row>
    <row r="784" spans="1:39" ht="12.75" customHeight="1" x14ac:dyDescent="0.25">
      <c r="A784" s="2"/>
      <c r="B784" s="19"/>
      <c r="C784" s="19"/>
      <c r="D784" s="1256"/>
      <c r="E784" s="2722" t="str">
        <f>Translations!$B$1520</f>
        <v>VIKTIG ANMÄRKNING: Det här avsnittet är reserverat för den behöriga myndigheten, och du ska endast fylla i det om den behöriga myndigheten har anvisat detta.</v>
      </c>
      <c r="F784" s="2709"/>
      <c r="G784" s="2709"/>
      <c r="H784" s="2709"/>
      <c r="I784" s="2709"/>
      <c r="J784" s="2709"/>
      <c r="K784" s="2709"/>
      <c r="L784" s="2709"/>
      <c r="M784" s="2709"/>
      <c r="N784" s="2723"/>
      <c r="O784" s="15"/>
      <c r="P784" s="6"/>
      <c r="Q784" s="2"/>
      <c r="R784" s="2"/>
      <c r="S784" s="2"/>
      <c r="T784" s="2"/>
      <c r="U784" s="1086"/>
      <c r="V784" s="2"/>
      <c r="W784" s="2"/>
      <c r="X784" s="2"/>
      <c r="Y784" s="2"/>
      <c r="Z784" s="228"/>
      <c r="AA784" s="343"/>
      <c r="AB784" s="343"/>
      <c r="AC784" s="2"/>
      <c r="AD784" s="2"/>
      <c r="AE784" s="349"/>
      <c r="AF784" s="349"/>
      <c r="AG784" s="349"/>
      <c r="AH784" s="349"/>
      <c r="AI784" s="349"/>
      <c r="AJ784" s="349"/>
      <c r="AK784" s="349"/>
      <c r="AL784" s="349"/>
      <c r="AM784" s="349"/>
    </row>
    <row r="785" spans="1:39" ht="12.75" customHeight="1" x14ac:dyDescent="0.25">
      <c r="A785" s="2"/>
      <c r="B785" s="19"/>
      <c r="C785" s="19"/>
      <c r="D785" s="1256"/>
      <c r="E785" s="2713" t="str">
        <f>Translations!$B$1521</f>
        <v>Enligt artikel 6.1 och 6.2 kan den behöriga myndigheten avslå justering av gratis tilldelning. Välj SANT här för att avslå en eventuell justering i förekommande fall.</v>
      </c>
      <c r="F785" s="2710"/>
      <c r="G785" s="2710"/>
      <c r="H785" s="2710"/>
      <c r="I785" s="2710"/>
      <c r="J785" s="2710"/>
      <c r="K785" s="2710"/>
      <c r="L785" s="2710"/>
      <c r="M785" s="2710"/>
      <c r="N785" s="2711"/>
      <c r="O785" s="15"/>
      <c r="P785" s="6"/>
      <c r="Q785" s="2"/>
      <c r="R785" s="2"/>
      <c r="S785" s="2"/>
      <c r="T785" s="2"/>
      <c r="U785" s="1086"/>
      <c r="V785" s="2"/>
      <c r="W785" s="2"/>
      <c r="X785" s="2"/>
      <c r="Y785" s="2"/>
      <c r="Z785" s="228"/>
      <c r="AA785" s="343"/>
      <c r="AB785" s="343"/>
      <c r="AC785" s="2"/>
      <c r="AD785" s="2"/>
      <c r="AE785" s="349"/>
      <c r="AF785" s="349"/>
      <c r="AG785" s="349"/>
      <c r="AH785" s="349"/>
      <c r="AI785" s="349"/>
      <c r="AJ785" s="349"/>
      <c r="AK785" s="349"/>
      <c r="AL785" s="349"/>
      <c r="AM785" s="349"/>
    </row>
    <row r="786" spans="1:39" ht="25.5" customHeight="1" x14ac:dyDescent="0.25">
      <c r="A786" s="2"/>
      <c r="B786" s="19"/>
      <c r="C786" s="19"/>
      <c r="D786" s="1256"/>
      <c r="E786" s="2713" t="str">
        <f>Translations!$B$1522</f>
        <v>Som standard kommer tomma fält här att behandlas som icke-avslag (dvs. FALSKT) för att utföra de följande beräkningarna i mallen. Du kan därför fortsätta med inlämningen av rapporten. Den behöriga myndigheten kan fatta ett beslut vid ett senare tillfälle som leder till att mallen måste lämnas in på nytt.</v>
      </c>
      <c r="F786" s="2710"/>
      <c r="G786" s="2710"/>
      <c r="H786" s="2710"/>
      <c r="I786" s="2710"/>
      <c r="J786" s="2710"/>
      <c r="K786" s="2710"/>
      <c r="L786" s="2710"/>
      <c r="M786" s="2710"/>
      <c r="N786" s="2711"/>
      <c r="O786" s="15"/>
      <c r="P786" s="6"/>
      <c r="Q786" s="2"/>
      <c r="R786" s="2"/>
      <c r="S786" s="2"/>
      <c r="T786" s="2"/>
      <c r="U786" s="1086"/>
      <c r="V786" s="2"/>
      <c r="W786" s="2"/>
      <c r="X786" s="2"/>
      <c r="Y786" s="2"/>
      <c r="Z786" s="228"/>
      <c r="AA786" s="343"/>
      <c r="AB786" s="343"/>
      <c r="AC786" s="2"/>
      <c r="AD786" s="2"/>
      <c r="AE786" s="349"/>
      <c r="AF786" s="349"/>
      <c r="AG786" s="349"/>
      <c r="AH786" s="349"/>
      <c r="AI786" s="349"/>
      <c r="AJ786" s="349"/>
      <c r="AK786" s="349"/>
      <c r="AL786" s="349"/>
      <c r="AM786" s="349"/>
    </row>
    <row r="787" spans="1:39" ht="5.15" customHeight="1" x14ac:dyDescent="0.25">
      <c r="A787" s="2"/>
      <c r="B787" s="178"/>
      <c r="C787" s="19"/>
      <c r="D787" s="1242"/>
      <c r="E787" s="1244"/>
      <c r="F787" s="1244"/>
      <c r="G787" s="1244"/>
      <c r="H787" s="1244"/>
      <c r="I787" s="1244"/>
      <c r="J787" s="1244"/>
      <c r="K787" s="1244"/>
      <c r="L787" s="1244"/>
      <c r="M787" s="1244"/>
      <c r="N787" s="1248"/>
      <c r="O787" s="15"/>
      <c r="P787" s="6"/>
      <c r="Q787" s="343"/>
      <c r="R787" s="2"/>
      <c r="S787" s="2"/>
      <c r="T787" s="2"/>
      <c r="U787" s="1086"/>
      <c r="V787" s="343"/>
      <c r="W787" s="2"/>
      <c r="X787" s="2"/>
      <c r="Y787" s="2"/>
      <c r="Z787" s="228"/>
      <c r="AA787" s="2"/>
      <c r="AB787" s="343"/>
      <c r="AC787" s="2"/>
      <c r="AD787" s="2"/>
      <c r="AE787" s="349"/>
      <c r="AF787" s="349"/>
      <c r="AG787" s="349"/>
      <c r="AH787" s="349"/>
      <c r="AI787" s="349"/>
      <c r="AJ787" s="349"/>
      <c r="AK787" s="349"/>
      <c r="AL787" s="349"/>
      <c r="AM787" s="349"/>
    </row>
    <row r="788" spans="1:39" ht="12.75" customHeight="1" x14ac:dyDescent="0.25">
      <c r="A788" s="2"/>
      <c r="B788" s="178"/>
      <c r="C788" s="19"/>
      <c r="D788" s="1290" t="s">
        <v>2146</v>
      </c>
      <c r="E788" s="2709" t="str">
        <f>Translations!$B$1515</f>
        <v>Bestämning av justering av faktisk verksamhetsnivå inklusive effektivitetsändringar</v>
      </c>
      <c r="F788" s="2710"/>
      <c r="G788" s="2710"/>
      <c r="H788" s="2710"/>
      <c r="I788" s="2710"/>
      <c r="J788" s="2710"/>
      <c r="K788" s="2710"/>
      <c r="L788" s="2710"/>
      <c r="M788" s="2710"/>
      <c r="N788" s="2711"/>
      <c r="O788" s="15"/>
      <c r="P788" s="6"/>
      <c r="Q788" s="343"/>
      <c r="R788" s="2"/>
      <c r="S788" s="2"/>
      <c r="T788" s="2"/>
      <c r="U788" s="1086"/>
      <c r="V788" s="343"/>
      <c r="W788" s="2"/>
      <c r="X788" s="2"/>
      <c r="Y788" s="2"/>
      <c r="Z788" s="228"/>
      <c r="AA788" s="2"/>
      <c r="AB788" s="343"/>
      <c r="AC788" s="2"/>
      <c r="AD788" s="2"/>
      <c r="AE788" s="349"/>
      <c r="AF788" s="349"/>
      <c r="AG788" s="349"/>
      <c r="AH788" s="349"/>
      <c r="AI788" s="349"/>
      <c r="AJ788" s="349"/>
      <c r="AK788" s="349"/>
      <c r="AL788" s="349"/>
      <c r="AM788" s="349"/>
    </row>
    <row r="789" spans="1:39" ht="12.75" customHeight="1" thickBot="1" x14ac:dyDescent="0.3">
      <c r="A789" s="2"/>
      <c r="B789" s="19"/>
      <c r="C789" s="19"/>
      <c r="D789" s="1256"/>
      <c r="E789" s="2713" t="str">
        <f>Translations!$B$1523</f>
        <v>Detta är det slutgiltiga resultatet som tar hänsyn till eventuella ändringar av energieffektiviteten samt den behöriga myndighetens beslut, i förekommande fall.</v>
      </c>
      <c r="F789" s="2710"/>
      <c r="G789" s="2710"/>
      <c r="H789" s="2710"/>
      <c r="I789" s="2710"/>
      <c r="J789" s="2710"/>
      <c r="K789" s="2710"/>
      <c r="L789" s="2710"/>
      <c r="M789" s="2710"/>
      <c r="N789" s="2711"/>
      <c r="O789" s="6"/>
      <c r="P789" s="6"/>
      <c r="Q789" s="2"/>
      <c r="R789" s="2"/>
      <c r="S789" s="2"/>
      <c r="T789" s="2"/>
      <c r="U789" s="1086"/>
      <c r="V789" s="2"/>
      <c r="W789" s="2"/>
      <c r="X789" s="2"/>
      <c r="Y789" s="2"/>
      <c r="Z789" s="228"/>
      <c r="AA789" s="343"/>
      <c r="AB789" s="343"/>
      <c r="AC789" s="2"/>
      <c r="AD789" s="2"/>
      <c r="AE789" s="349"/>
      <c r="AF789" s="349"/>
      <c r="AG789" s="349"/>
      <c r="AH789" s="349"/>
      <c r="AI789" s="349"/>
      <c r="AJ789" s="349"/>
      <c r="AK789" s="349"/>
      <c r="AL789" s="349"/>
      <c r="AM789" s="349"/>
    </row>
    <row r="790" spans="1:39" ht="12.75" customHeight="1" thickBot="1" x14ac:dyDescent="0.3">
      <c r="A790" s="2"/>
      <c r="B790" s="178"/>
      <c r="C790" s="19"/>
      <c r="D790" s="1246"/>
      <c r="E790" s="2712" t="str">
        <f>Translations!$B$1477</f>
        <v>Faktisk justering (om alla tröskelvärden överskrids)</v>
      </c>
      <c r="F790" s="2712"/>
      <c r="G790" s="2712"/>
      <c r="H790" s="2712"/>
      <c r="I790" s="1697"/>
      <c r="J790" s="1099" t="str">
        <f>IF(J775="","",IF(J778&gt;$Z676,-100%,IF(OR(AND(J775,J779=FALSE),AND(J779,J783=FALSE),V770&lt;1),J694,IF(J783=TRUE,0%,I790))))</f>
        <v/>
      </c>
      <c r="K790" s="1100" t="str">
        <f>IF(K775="","",IF(K778&gt;$Z676,-100%,IF(OR(AND(K775,K779=FALSE),AND(K779,K783=FALSE),W770&lt;1),K694,IF(K783=TRUE,0%,J790))))</f>
        <v/>
      </c>
      <c r="L790" s="1100" t="str">
        <f>IF(L775="","",IF(L778&gt;$Z676,-100%,IF(OR(AND(L775,L779=FALSE),AND(L779,L783=FALSE),X770&lt;1),L694,IF(L783=TRUE,0%,K790))))</f>
        <v/>
      </c>
      <c r="M790" s="1100" t="str">
        <f>IF(M775="","",IF(M778&gt;$Z676,-100%,IF(OR(AND(M775,M779=FALSE),AND(M779,M783=FALSE),Y770&lt;1),M694,IF(M783=TRUE,0%,L790))))</f>
        <v/>
      </c>
      <c r="N790" s="1101" t="str">
        <f>IF(N775="","",IF(N778&gt;$Z676,-100%,IF(OR(AND(N775,N779=FALSE),AND(N779,N783=FALSE),Z770&lt;1),N694,IF(N783=TRUE,0%,M790))))</f>
        <v/>
      </c>
      <c r="O790" s="15"/>
      <c r="P790" s="6"/>
      <c r="Q790" s="165" t="str">
        <f>EUconst_CNTR_HALAdjPct &amp; I676</f>
        <v>HALAdjPct_Delanläggning med bränsleriktmärke, ej KL</v>
      </c>
      <c r="R790" s="2"/>
      <c r="S790" s="2"/>
      <c r="T790" s="2"/>
      <c r="U790" s="1086" t="s">
        <v>1858</v>
      </c>
      <c r="V790" s="1068">
        <f>J774</f>
        <v>2021</v>
      </c>
      <c r="W790" s="1068">
        <f>K774</f>
        <v>2022</v>
      </c>
      <c r="X790" s="1068">
        <f>L774</f>
        <v>2023</v>
      </c>
      <c r="Y790" s="1068">
        <f>M774</f>
        <v>2024</v>
      </c>
      <c r="Z790" s="1087">
        <f>N774</f>
        <v>2025</v>
      </c>
      <c r="AA790" s="2"/>
      <c r="AB790" s="343"/>
      <c r="AC790" s="2"/>
      <c r="AD790" s="2"/>
      <c r="AE790" s="349"/>
      <c r="AF790" s="349"/>
      <c r="AG790" s="349"/>
      <c r="AH790" s="349"/>
      <c r="AI790" s="349"/>
      <c r="AJ790" s="349"/>
      <c r="AK790" s="349"/>
      <c r="AL790" s="349"/>
      <c r="AM790" s="349"/>
    </row>
    <row r="791" spans="1:39" ht="12.75" customHeight="1" thickBot="1" x14ac:dyDescent="0.3">
      <c r="A791" s="343"/>
      <c r="B791" s="178"/>
      <c r="C791" s="19"/>
      <c r="D791" s="1242"/>
      <c r="E791" s="2712" t="str">
        <f>Translations!$B$1524</f>
        <v>Faktisk verksamhetsnivå</v>
      </c>
      <c r="F791" s="2717"/>
      <c r="G791" s="2717"/>
      <c r="H791" s="917" t="str">
        <f>H692</f>
        <v>TJ</v>
      </c>
      <c r="I791" s="1021" t="str">
        <f>I695</f>
        <v/>
      </c>
      <c r="J791" s="735" t="str">
        <f>IF($M676&lt;&gt;EUconst_Relevant,"",IF(OR(J790="",$I791=0,$I791=EUconst_NA),IF(OR(J775=TRUE,J778&lt;=$V676),J695,SUM(I791)),$I791*(1+SUM(J790))))</f>
        <v/>
      </c>
      <c r="K791" s="736" t="str">
        <f>IF($M676&lt;&gt;EUconst_Relevant,"",IF(OR(K790="",$I791=0,$I791=EUconst_NA),IF(OR(K775=TRUE,K778&lt;=$V676),K695,SUM(J791)),$I791*(1+SUM(K790))))</f>
        <v/>
      </c>
      <c r="L791" s="736" t="str">
        <f>IF($M676&lt;&gt;EUconst_Relevant,"",IF(OR(L790="",$I791=0,$I791=EUconst_NA),IF(OR(L775=TRUE,L778&lt;=$V676),L695,SUM(K791)),$I791*(1+SUM(L790))))</f>
        <v/>
      </c>
      <c r="M791" s="736" t="str">
        <f>IF($M676&lt;&gt;EUconst_Relevant,"",IF(OR(M790="",$I791=0,$I791=EUconst_NA),IF(OR(M775=TRUE,M778&lt;=$V676),M695,SUM(L791)),$I791*(1+SUM(M790))))</f>
        <v/>
      </c>
      <c r="N791" s="737" t="str">
        <f>IF($M676&lt;&gt;EUconst_Relevant,"",IF(OR(N790="",$I791=0,$I791=EUconst_NA),IF(OR(N775=TRUE,N778&lt;=$V676),N695,SUM(M791)),$I791*(1+SUM(N790))))</f>
        <v/>
      </c>
      <c r="O791" s="15"/>
      <c r="P791" s="6"/>
      <c r="Q791" s="165" t="str">
        <f>EUconst_CNTR_HALfinal&amp;I676</f>
        <v>HALfinal_Delanläggning med bränsleriktmärke, ej KL</v>
      </c>
      <c r="R791" s="2"/>
      <c r="S791" s="2"/>
      <c r="T791" s="2"/>
      <c r="U791" s="1085" t="b">
        <v>0</v>
      </c>
      <c r="V791" s="1757" t="b">
        <f>IF(J775=TRUE,V693,U791)</f>
        <v>0</v>
      </c>
      <c r="W791" s="1757" t="b">
        <f>IF(K775=TRUE,W693,V791)</f>
        <v>0</v>
      </c>
      <c r="X791" s="1757" t="b">
        <f>IF(L775=TRUE,X693,W791)</f>
        <v>0</v>
      </c>
      <c r="Y791" s="1757" t="b">
        <f>IF(M775=TRUE,Y693,X791)</f>
        <v>0</v>
      </c>
      <c r="Z791" s="1758" t="b">
        <f>IF(N775=TRUE,Z693,Y791)</f>
        <v>0</v>
      </c>
      <c r="AA791" s="553" t="s">
        <v>2242</v>
      </c>
      <c r="AB791" s="108" t="str">
        <f>IF(OR(ISERROR(J791),ISERROR(K791),ISERROR(L791),ISERROR(M791),ISERROR(N791)),EUconst_Error&amp;"FB"&amp; Q676,"")</f>
        <v/>
      </c>
      <c r="AC791" s="2"/>
      <c r="AD791" s="2"/>
      <c r="AE791" s="349"/>
      <c r="AF791" s="349"/>
      <c r="AG791" s="349"/>
      <c r="AH791" s="349"/>
      <c r="AI791" s="349"/>
      <c r="AJ791" s="349"/>
      <c r="AK791" s="349"/>
      <c r="AL791" s="349"/>
      <c r="AM791" s="349"/>
    </row>
    <row r="792" spans="1:39" ht="5.15" customHeight="1" thickBot="1" x14ac:dyDescent="0.3">
      <c r="A792" s="2"/>
      <c r="B792" s="19"/>
      <c r="C792" s="19"/>
      <c r="D792" s="1274"/>
      <c r="E792" s="1275"/>
      <c r="F792" s="1275"/>
      <c r="G792" s="1275"/>
      <c r="H792" s="1275"/>
      <c r="I792" s="1275"/>
      <c r="J792" s="1275"/>
      <c r="K792" s="1275"/>
      <c r="L792" s="1275"/>
      <c r="M792" s="1275"/>
      <c r="N792" s="1277"/>
      <c r="O792" s="6"/>
      <c r="P792" s="6"/>
      <c r="Q792" s="2"/>
      <c r="R792" s="2"/>
      <c r="S792" s="2"/>
      <c r="T792" s="2"/>
      <c r="U792" s="2"/>
      <c r="V792" s="2"/>
      <c r="W792" s="2"/>
      <c r="X792" s="2"/>
      <c r="Y792" s="2"/>
      <c r="Z792" s="2"/>
      <c r="AA792" s="2"/>
      <c r="AB792" s="343"/>
      <c r="AC792" s="2"/>
      <c r="AD792" s="2"/>
      <c r="AE792" s="349"/>
      <c r="AF792" s="349"/>
      <c r="AG792" s="349"/>
      <c r="AH792" s="349"/>
      <c r="AI792" s="349"/>
      <c r="AJ792" s="349"/>
      <c r="AK792" s="349"/>
      <c r="AL792" s="349"/>
      <c r="AM792" s="349"/>
    </row>
    <row r="793" spans="1:39" ht="12.75" customHeight="1" thickBot="1" x14ac:dyDescent="0.3">
      <c r="A793" s="2"/>
      <c r="B793" s="19"/>
      <c r="C793" s="19"/>
      <c r="D793" s="19"/>
      <c r="E793" s="19"/>
      <c r="F793" s="19"/>
      <c r="G793" s="19"/>
      <c r="H793" s="19"/>
      <c r="I793" s="19"/>
      <c r="J793" s="19"/>
      <c r="K793" s="19"/>
      <c r="L793" s="19"/>
      <c r="M793" s="19"/>
      <c r="N793" s="19"/>
      <c r="O793" s="6"/>
      <c r="P793" s="6"/>
      <c r="Q793" s="2"/>
      <c r="R793" s="2"/>
      <c r="S793" s="2"/>
      <c r="T793" s="2"/>
      <c r="U793" s="2"/>
      <c r="V793" s="2"/>
      <c r="W793" s="2"/>
      <c r="X793" s="2"/>
      <c r="Y793" s="2"/>
      <c r="Z793" s="2"/>
      <c r="AA793" s="2"/>
      <c r="AB793" s="343"/>
      <c r="AC793" s="2"/>
      <c r="AD793" s="2"/>
      <c r="AE793" s="349"/>
      <c r="AF793" s="349"/>
      <c r="AG793" s="349"/>
      <c r="AH793" s="349"/>
      <c r="AI793" s="349"/>
      <c r="AJ793" s="349"/>
      <c r="AK793" s="349"/>
      <c r="AL793" s="349"/>
      <c r="AM793" s="349"/>
    </row>
    <row r="794" spans="1:39" ht="5.15" customHeight="1" x14ac:dyDescent="0.25">
      <c r="A794" s="2"/>
      <c r="B794" s="3"/>
      <c r="C794" s="366"/>
      <c r="D794" s="367"/>
      <c r="E794" s="367"/>
      <c r="F794" s="367"/>
      <c r="G794" s="367"/>
      <c r="H794" s="367"/>
      <c r="I794" s="367"/>
      <c r="J794" s="367"/>
      <c r="K794" s="367"/>
      <c r="L794" s="367"/>
      <c r="M794" s="368"/>
      <c r="N794" s="369"/>
      <c r="O794" s="6"/>
      <c r="P794" s="6"/>
      <c r="Q794" s="7"/>
      <c r="R794" s="2"/>
      <c r="S794" s="7"/>
      <c r="T794" s="7"/>
      <c r="U794" s="2"/>
      <c r="V794" s="2"/>
      <c r="W794" s="2"/>
      <c r="X794" s="2"/>
      <c r="Y794" s="2"/>
      <c r="Z794" s="2"/>
      <c r="AA794" s="2"/>
      <c r="AB794" s="2"/>
      <c r="AC794" s="2"/>
      <c r="AD794" s="2"/>
      <c r="AE794" s="349"/>
      <c r="AF794" s="349"/>
      <c r="AG794" s="349"/>
      <c r="AH794" s="349"/>
      <c r="AI794" s="349"/>
      <c r="AJ794" s="349"/>
      <c r="AK794" s="349"/>
      <c r="AL794" s="349"/>
      <c r="AM794" s="349"/>
    </row>
    <row r="795" spans="1:39" ht="15" customHeight="1" x14ac:dyDescent="0.25">
      <c r="A795" s="2"/>
      <c r="B795" s="19"/>
      <c r="C795" s="370"/>
      <c r="D795" s="2645" t="str">
        <f>Translations!$B$549</f>
        <v>Uppgifter som krävs för att fastställa den riktmärkesrelaterade förbättringsfaktorn enligt artikel 10a.2 i ETS-direktivet</v>
      </c>
      <c r="E795" s="2635"/>
      <c r="F795" s="2635"/>
      <c r="G795" s="2635"/>
      <c r="H795" s="2635"/>
      <c r="I795" s="2635"/>
      <c r="J795" s="2635"/>
      <c r="K795" s="2635"/>
      <c r="L795" s="2635"/>
      <c r="M795" s="2635"/>
      <c r="N795" s="2636"/>
      <c r="O795" s="6"/>
      <c r="P795" s="6"/>
      <c r="Q795" s="2"/>
      <c r="R795" s="2"/>
      <c r="S795" s="7"/>
      <c r="T795" s="7"/>
      <c r="U795" s="2"/>
      <c r="V795" s="2"/>
      <c r="W795" s="2"/>
      <c r="X795" s="2"/>
      <c r="Y795" s="2"/>
      <c r="Z795" s="2"/>
      <c r="AA795" s="2"/>
      <c r="AB795" s="2"/>
      <c r="AC795" s="2"/>
      <c r="AD795" s="2"/>
      <c r="AE795" s="349"/>
      <c r="AF795" s="349"/>
      <c r="AG795" s="349"/>
      <c r="AH795" s="349"/>
      <c r="AI795" s="349"/>
      <c r="AJ795" s="349"/>
      <c r="AK795" s="349"/>
      <c r="AL795" s="349"/>
      <c r="AM795" s="349"/>
    </row>
    <row r="796" spans="1:39" ht="5.15" customHeight="1" x14ac:dyDescent="0.25">
      <c r="A796" s="2"/>
      <c r="B796" s="19"/>
      <c r="C796" s="371"/>
      <c r="D796" s="360"/>
      <c r="E796" s="360"/>
      <c r="F796" s="360"/>
      <c r="G796" s="360"/>
      <c r="H796" s="360"/>
      <c r="I796" s="360"/>
      <c r="J796" s="360"/>
      <c r="K796" s="360"/>
      <c r="L796" s="360"/>
      <c r="M796" s="360"/>
      <c r="N796" s="372"/>
      <c r="O796" s="6"/>
      <c r="P796" s="6"/>
      <c r="Q796" s="2"/>
      <c r="R796" s="2"/>
      <c r="S796" s="7"/>
      <c r="T796" s="7"/>
      <c r="U796" s="2"/>
      <c r="V796" s="2"/>
      <c r="W796" s="2"/>
      <c r="X796" s="2"/>
      <c r="Y796" s="2"/>
      <c r="Z796" s="2"/>
      <c r="AA796" s="2"/>
      <c r="AB796" s="2"/>
      <c r="AC796" s="2"/>
      <c r="AD796" s="2"/>
      <c r="AE796" s="349"/>
      <c r="AF796" s="349"/>
      <c r="AG796" s="349"/>
      <c r="AH796" s="349"/>
      <c r="AI796" s="349"/>
      <c r="AJ796" s="349"/>
      <c r="AK796" s="349"/>
      <c r="AL796" s="349"/>
      <c r="AM796" s="349"/>
    </row>
    <row r="797" spans="1:39" ht="15" customHeight="1" x14ac:dyDescent="0.25">
      <c r="A797" s="2"/>
      <c r="B797" s="19"/>
      <c r="C797" s="371"/>
      <c r="D797" s="2646" t="str">
        <f>EUconst_FBSubinst &amp; ":"</f>
        <v>”Fall-back”-delanläggning:</v>
      </c>
      <c r="E797" s="2642"/>
      <c r="F797" s="2642"/>
      <c r="G797" s="2642"/>
      <c r="H797" s="2647"/>
      <c r="I797" s="2090" t="str">
        <f>I676</f>
        <v>Delanläggning med bränsleriktmärke, ej KL</v>
      </c>
      <c r="J797" s="2120"/>
      <c r="K797" s="2120"/>
      <c r="L797" s="2120"/>
      <c r="M797" s="2120"/>
      <c r="N797" s="2648"/>
      <c r="O797" s="6"/>
      <c r="P797" s="6"/>
      <c r="Q797" s="2"/>
      <c r="R797" s="2"/>
      <c r="S797" s="7"/>
      <c r="T797" s="7"/>
      <c r="U797" s="2"/>
      <c r="V797" s="2"/>
      <c r="W797" s="2"/>
      <c r="X797" s="2"/>
      <c r="Y797" s="2"/>
      <c r="Z797" s="2"/>
      <c r="AA797" s="2"/>
      <c r="AB797" s="2"/>
      <c r="AC797" s="2"/>
      <c r="AD797" s="2"/>
      <c r="AE797" s="349"/>
      <c r="AF797" s="349"/>
      <c r="AG797" s="349"/>
      <c r="AH797" s="349"/>
      <c r="AI797" s="349"/>
      <c r="AJ797" s="349"/>
      <c r="AK797" s="349"/>
      <c r="AL797" s="349"/>
      <c r="AM797" s="349"/>
    </row>
    <row r="798" spans="1:39" ht="5.15" customHeight="1" x14ac:dyDescent="0.25">
      <c r="A798" s="2"/>
      <c r="B798" s="19"/>
      <c r="C798" s="371"/>
      <c r="D798" s="360"/>
      <c r="E798" s="360"/>
      <c r="F798" s="360"/>
      <c r="G798" s="360"/>
      <c r="H798" s="360"/>
      <c r="I798" s="360"/>
      <c r="J798" s="360"/>
      <c r="K798" s="360"/>
      <c r="L798" s="360"/>
      <c r="M798" s="360"/>
      <c r="N798" s="372"/>
      <c r="O798" s="6"/>
      <c r="P798" s="6"/>
      <c r="Q798" s="2"/>
      <c r="R798" s="2"/>
      <c r="S798" s="7"/>
      <c r="T798" s="7"/>
      <c r="U798" s="2"/>
      <c r="V798" s="2"/>
      <c r="W798" s="2"/>
      <c r="X798" s="2"/>
      <c r="Y798" s="2"/>
      <c r="Z798" s="2"/>
      <c r="AA798" s="2"/>
      <c r="AB798" s="2"/>
      <c r="AC798" s="2"/>
      <c r="AD798" s="2"/>
      <c r="AE798" s="349"/>
      <c r="AF798" s="349"/>
      <c r="AG798" s="349"/>
      <c r="AH798" s="349"/>
      <c r="AI798" s="349"/>
      <c r="AJ798" s="349"/>
      <c r="AK798" s="349"/>
      <c r="AL798" s="349"/>
      <c r="AM798" s="349"/>
    </row>
    <row r="799" spans="1:39" ht="12.75" customHeight="1" x14ac:dyDescent="0.25">
      <c r="A799" s="2"/>
      <c r="B799" s="3"/>
      <c r="C799" s="370"/>
      <c r="D799" s="373" t="s">
        <v>55</v>
      </c>
      <c r="E799" s="2634" t="str">
        <f>Translations!$B$676</f>
        <v>Utsläpp som direkt kan tillskrivas (DirEm*) delanläggningen</v>
      </c>
      <c r="F799" s="2635"/>
      <c r="G799" s="2635"/>
      <c r="H799" s="2635"/>
      <c r="I799" s="2635"/>
      <c r="J799" s="2635"/>
      <c r="K799" s="2635"/>
      <c r="L799" s="2635"/>
      <c r="M799" s="2635"/>
      <c r="N799" s="2636"/>
      <c r="O799" s="6"/>
      <c r="P799" s="6"/>
      <c r="Q799" s="7"/>
      <c r="R799" s="2"/>
      <c r="S799" s="7"/>
      <c r="T799" s="7"/>
      <c r="U799" s="2"/>
      <c r="V799" s="2"/>
      <c r="W799" s="2"/>
      <c r="X799" s="2"/>
      <c r="Y799" s="2"/>
      <c r="Z799" s="2"/>
      <c r="AA799" s="2"/>
      <c r="AB799" s="2"/>
      <c r="AC799" s="2"/>
      <c r="AD799" s="2"/>
      <c r="AE799" s="349"/>
      <c r="AF799" s="349"/>
      <c r="AG799" s="349"/>
      <c r="AH799" s="349"/>
      <c r="AI799" s="349"/>
      <c r="AJ799" s="349"/>
      <c r="AK799" s="349"/>
      <c r="AL799" s="349"/>
      <c r="AM799" s="349"/>
    </row>
    <row r="800" spans="1:39" ht="12.75" customHeight="1" x14ac:dyDescent="0.25">
      <c r="A800" s="2"/>
      <c r="B800" s="3"/>
      <c r="C800" s="370"/>
      <c r="D800" s="373"/>
      <c r="E800" s="2680" t="str">
        <f>Translations!$B$556</f>
        <v>De uppgifter som anges här påverkar de utsläpp som kan tillskrivas i enlighet med avsnitt 10.1.1 i bilaga VII till FAR.</v>
      </c>
      <c r="F800" s="2680"/>
      <c r="G800" s="2680"/>
      <c r="H800" s="2680"/>
      <c r="I800" s="2680"/>
      <c r="J800" s="2680"/>
      <c r="K800" s="2680"/>
      <c r="L800" s="2680"/>
      <c r="M800" s="2680"/>
      <c r="N800" s="2681"/>
      <c r="O800" s="6"/>
      <c r="P800" s="6"/>
      <c r="Q800" s="7"/>
      <c r="R800" s="2"/>
      <c r="S800" s="7"/>
      <c r="T800" s="7"/>
      <c r="U800" s="2"/>
      <c r="V800" s="2"/>
      <c r="W800" s="2"/>
      <c r="X800" s="2"/>
      <c r="Y800" s="2"/>
      <c r="Z800" s="2"/>
      <c r="AA800" s="2"/>
      <c r="AB800" s="2"/>
      <c r="AC800" s="2"/>
      <c r="AD800" s="2"/>
      <c r="AE800" s="349"/>
      <c r="AF800" s="349"/>
      <c r="AG800" s="349"/>
      <c r="AH800" s="349"/>
      <c r="AI800" s="349"/>
      <c r="AJ800" s="349"/>
      <c r="AK800" s="349"/>
      <c r="AL800" s="349"/>
      <c r="AM800" s="349"/>
    </row>
    <row r="801" spans="1:39" ht="25.5" customHeight="1" x14ac:dyDescent="0.25">
      <c r="A801" s="2"/>
      <c r="B801" s="3"/>
      <c r="C801" s="370"/>
      <c r="D801" s="359"/>
      <c r="E801" s="2639" t="str">
        <f>Translations!$B$714</f>
        <v>Var god ange de direkta utsläpp som övervakas enligt den övervakningsplan som ska godkännas enligt M&amp;R-förordningen, dvs. med hänsyn tagen till de utsläpp som fastställts utifrån beräkningsbaserade metoder (med hjälp av bränsle-/materialmängder), mätbaserade metoder (Cems) och nivålösa metoder (”alternativa övervakningsmetoder”/”fall-back”).</v>
      </c>
      <c r="F801" s="2639"/>
      <c r="G801" s="2639"/>
      <c r="H801" s="2639"/>
      <c r="I801" s="2639"/>
      <c r="J801" s="2639"/>
      <c r="K801" s="2639"/>
      <c r="L801" s="2639"/>
      <c r="M801" s="2639"/>
      <c r="N801" s="2640"/>
      <c r="O801" s="6"/>
      <c r="P801" s="6"/>
      <c r="Q801" s="7"/>
      <c r="R801" s="2"/>
      <c r="S801" s="7"/>
      <c r="T801" s="2"/>
      <c r="U801" s="2"/>
      <c r="V801" s="2"/>
      <c r="W801" s="2"/>
      <c r="X801" s="2"/>
      <c r="Y801" s="2"/>
      <c r="Z801" s="2"/>
      <c r="AA801" s="2"/>
      <c r="AB801" s="2"/>
      <c r="AC801" s="2"/>
      <c r="AD801" s="2"/>
      <c r="AE801" s="349"/>
      <c r="AF801" s="349"/>
      <c r="AG801" s="349"/>
      <c r="AH801" s="349"/>
      <c r="AI801" s="349"/>
      <c r="AJ801" s="349"/>
      <c r="AK801" s="349"/>
      <c r="AL801" s="349"/>
      <c r="AM801" s="349"/>
    </row>
    <row r="802" spans="1:39" ht="25.5" customHeight="1" thickBot="1" x14ac:dyDescent="0.3">
      <c r="A802" s="2"/>
      <c r="B802" s="3"/>
      <c r="C802" s="370"/>
      <c r="D802" s="359"/>
      <c r="E802" s="2639" t="str">
        <f>Translations!$B$715</f>
        <v>Utsläpp från restgasförbränning ska dock aldrig tas med här utan i punkt d.iii nedan.</v>
      </c>
      <c r="F802" s="2639"/>
      <c r="G802" s="2639"/>
      <c r="H802" s="2639"/>
      <c r="I802" s="2639"/>
      <c r="J802" s="2639"/>
      <c r="K802" s="2639"/>
      <c r="L802" s="2639"/>
      <c r="M802" s="2639"/>
      <c r="N802" s="2640"/>
      <c r="O802" s="6"/>
      <c r="P802" s="6"/>
      <c r="Q802" s="7"/>
      <c r="R802" s="2"/>
      <c r="S802" s="7"/>
      <c r="T802" s="2"/>
      <c r="U802" s="2"/>
      <c r="V802" s="2"/>
      <c r="W802" s="2"/>
      <c r="X802" s="2"/>
      <c r="Y802" s="2"/>
      <c r="Z802" s="2"/>
      <c r="AA802" s="2"/>
      <c r="AB802" s="343"/>
      <c r="AC802" s="343"/>
      <c r="AD802" s="343"/>
      <c r="AE802" s="343"/>
      <c r="AF802" s="343"/>
      <c r="AG802" s="343"/>
      <c r="AH802" s="343"/>
      <c r="AI802" s="343"/>
      <c r="AJ802" s="343"/>
      <c r="AK802" s="343"/>
      <c r="AL802" s="343"/>
      <c r="AM802" s="349"/>
    </row>
    <row r="803" spans="1:39" ht="12.75" customHeight="1" thickBot="1" x14ac:dyDescent="0.3">
      <c r="A803" s="2"/>
      <c r="B803" s="3"/>
      <c r="C803" s="370"/>
      <c r="D803" s="373"/>
      <c r="E803" s="1716" t="str">
        <f>Translations!$B$531</f>
        <v>Totala direkta utsläpp</v>
      </c>
      <c r="F803" s="1717"/>
      <c r="G803" s="361" t="str">
        <f>EUconst_Unit</f>
        <v>Enhet</v>
      </c>
      <c r="H803" s="362">
        <f t="shared" ref="H803:N803" si="333">H$950</f>
        <v>2019</v>
      </c>
      <c r="I803" s="362">
        <f t="shared" si="333"/>
        <v>2020</v>
      </c>
      <c r="J803" s="362">
        <f t="shared" si="333"/>
        <v>2021</v>
      </c>
      <c r="K803" s="362">
        <f t="shared" si="333"/>
        <v>2022</v>
      </c>
      <c r="L803" s="362">
        <f t="shared" si="333"/>
        <v>2023</v>
      </c>
      <c r="M803" s="362">
        <f t="shared" si="333"/>
        <v>2024</v>
      </c>
      <c r="N803" s="1141">
        <f t="shared" si="333"/>
        <v>2025</v>
      </c>
      <c r="O803" s="6"/>
      <c r="P803" s="6"/>
      <c r="Q803" s="7"/>
      <c r="R803" s="2"/>
      <c r="S803" s="608"/>
      <c r="T803" s="609">
        <f t="shared" ref="T803:Z803" si="334">H803</f>
        <v>2019</v>
      </c>
      <c r="U803" s="609">
        <f t="shared" si="334"/>
        <v>2020</v>
      </c>
      <c r="V803" s="609">
        <f t="shared" si="334"/>
        <v>2021</v>
      </c>
      <c r="W803" s="609">
        <f t="shared" si="334"/>
        <v>2022</v>
      </c>
      <c r="X803" s="609">
        <f t="shared" si="334"/>
        <v>2023</v>
      </c>
      <c r="Y803" s="609">
        <f t="shared" si="334"/>
        <v>2024</v>
      </c>
      <c r="Z803" s="610">
        <f t="shared" si="334"/>
        <v>2025</v>
      </c>
      <c r="AA803" s="2"/>
      <c r="AB803" s="2"/>
      <c r="AC803" s="1044">
        <f t="shared" ref="AC803:AI803" si="335">H$950</f>
        <v>2019</v>
      </c>
      <c r="AD803" s="1044">
        <f t="shared" si="335"/>
        <v>2020</v>
      </c>
      <c r="AE803" s="1044">
        <f t="shared" si="335"/>
        <v>2021</v>
      </c>
      <c r="AF803" s="1044">
        <f t="shared" si="335"/>
        <v>2022</v>
      </c>
      <c r="AG803" s="1044">
        <f t="shared" si="335"/>
        <v>2023</v>
      </c>
      <c r="AH803" s="1044">
        <f t="shared" si="335"/>
        <v>2024</v>
      </c>
      <c r="AI803" s="1044">
        <f t="shared" si="335"/>
        <v>2025</v>
      </c>
      <c r="AJ803" s="343"/>
      <c r="AK803" s="343"/>
      <c r="AL803" s="343"/>
      <c r="AM803" s="349"/>
    </row>
    <row r="804" spans="1:39" ht="12.75" customHeight="1" thickBot="1" x14ac:dyDescent="0.35">
      <c r="A804" s="2"/>
      <c r="B804" s="3"/>
      <c r="C804" s="370"/>
      <c r="D804" s="359"/>
      <c r="E804" s="2617" t="str">
        <f>I797</f>
        <v>Delanläggning med bränsleriktmärke, ej KL</v>
      </c>
      <c r="F804" s="1997"/>
      <c r="G804" s="363" t="str">
        <f>EUconst_tCO2epa</f>
        <v>t CO2e/år</v>
      </c>
      <c r="H804" s="1529"/>
      <c r="I804" s="1529"/>
      <c r="J804" s="1529"/>
      <c r="K804" s="1529"/>
      <c r="L804" s="1529"/>
      <c r="M804" s="1529"/>
      <c r="N804" s="1530"/>
      <c r="O804" s="6"/>
      <c r="P804" s="6"/>
      <c r="Q804" s="298" t="str">
        <f>EUconst_CNTR_Emissions &amp; I797</f>
        <v>DirEmissions_Delanläggning med bränsleriktmärke, ej KL</v>
      </c>
      <c r="R804" s="2"/>
      <c r="S804" s="611" t="str">
        <f>EUconst_CNTR_AttributedEmissions &amp; I797</f>
        <v>AttrEmissions_Delanläggning med bränsleriktmärke, ej KL</v>
      </c>
      <c r="T804" s="111" t="str">
        <f t="shared" ref="T804:Z804" si="336">IF(T684,SUM(H804),"")</f>
        <v/>
      </c>
      <c r="U804" s="111" t="str">
        <f t="shared" si="336"/>
        <v/>
      </c>
      <c r="V804" s="111" t="str">
        <f t="shared" si="336"/>
        <v/>
      </c>
      <c r="W804" s="111" t="str">
        <f t="shared" si="336"/>
        <v/>
      </c>
      <c r="X804" s="111" t="str">
        <f t="shared" si="336"/>
        <v/>
      </c>
      <c r="Y804" s="111" t="str">
        <f t="shared" si="336"/>
        <v/>
      </c>
      <c r="Z804" s="112" t="str">
        <f t="shared" si="336"/>
        <v/>
      </c>
      <c r="AA804" s="2"/>
      <c r="AB804" s="672" t="s">
        <v>782</v>
      </c>
      <c r="AC804" s="1755" t="b">
        <f t="shared" ref="AC804:AI804" si="337">IF(CNTR_ExistSubInstEntries,OR($M676&lt;&gt;EUconst_Relevant,AC803&gt;=CNTR_ReportingYear,AC803&lt;$V676-1),FALSE)</f>
        <v>0</v>
      </c>
      <c r="AD804" s="1042" t="b">
        <f t="shared" si="337"/>
        <v>0</v>
      </c>
      <c r="AE804" s="1042" t="b">
        <f t="shared" si="337"/>
        <v>0</v>
      </c>
      <c r="AF804" s="1042" t="b">
        <f t="shared" si="337"/>
        <v>0</v>
      </c>
      <c r="AG804" s="1042" t="b">
        <f t="shared" si="337"/>
        <v>0</v>
      </c>
      <c r="AH804" s="1042" t="b">
        <f t="shared" si="337"/>
        <v>0</v>
      </c>
      <c r="AI804" s="1043" t="b">
        <f t="shared" si="337"/>
        <v>0</v>
      </c>
      <c r="AJ804" s="343"/>
      <c r="AK804" s="553" t="s">
        <v>2248</v>
      </c>
      <c r="AL804" s="663" t="str">
        <f>IF(AND(CNTR_ExistSubInstEntries,COUNTIFS(AC804:AI804,2,H804:N804,"")&gt;0),EUconst_Error&amp;"FB"&amp;Q676,"")</f>
        <v/>
      </c>
      <c r="AM804" s="349"/>
    </row>
    <row r="805" spans="1:39" ht="5.15" customHeight="1" x14ac:dyDescent="0.25">
      <c r="A805" s="2"/>
      <c r="B805" s="3"/>
      <c r="C805" s="370"/>
      <c r="D805" s="359"/>
      <c r="E805" s="359"/>
      <c r="F805" s="359"/>
      <c r="G805" s="359"/>
      <c r="H805" s="359"/>
      <c r="I805" s="359"/>
      <c r="J805" s="359"/>
      <c r="K805" s="359"/>
      <c r="L805" s="359"/>
      <c r="M805" s="359"/>
      <c r="N805" s="374"/>
      <c r="O805" s="6"/>
      <c r="P805" s="6"/>
      <c r="Q805" s="7"/>
      <c r="R805" s="2"/>
      <c r="S805" s="7"/>
      <c r="T805" s="2"/>
      <c r="U805" s="2"/>
      <c r="V805" s="2"/>
      <c r="W805" s="2"/>
      <c r="X805" s="2"/>
      <c r="Y805" s="2"/>
      <c r="Z805" s="2"/>
      <c r="AA805" s="2"/>
      <c r="AB805" s="343"/>
      <c r="AC805" s="343"/>
      <c r="AD805" s="343"/>
      <c r="AE805" s="343"/>
      <c r="AF805" s="343"/>
      <c r="AG805" s="343"/>
      <c r="AH805" s="343"/>
      <c r="AI805" s="343"/>
      <c r="AJ805" s="343"/>
      <c r="AK805" s="343"/>
      <c r="AL805" s="343"/>
      <c r="AM805" s="349"/>
    </row>
    <row r="806" spans="1:39" ht="12.75" customHeight="1" x14ac:dyDescent="0.25">
      <c r="A806" s="2"/>
      <c r="B806" s="3"/>
      <c r="C806" s="370"/>
      <c r="D806" s="373" t="s">
        <v>960</v>
      </c>
      <c r="E806" s="2614" t="str">
        <f>Translations!$B$566</f>
        <v>Insatsbränsle till delanläggningen och relevant emissionsfaktor</v>
      </c>
      <c r="F806" s="1960"/>
      <c r="G806" s="1960"/>
      <c r="H806" s="1960"/>
      <c r="I806" s="1960"/>
      <c r="J806" s="1960"/>
      <c r="K806" s="1960"/>
      <c r="L806" s="1960"/>
      <c r="M806" s="1960"/>
      <c r="N806" s="2597"/>
      <c r="O806" s="6"/>
      <c r="P806" s="6"/>
      <c r="Q806" s="2"/>
      <c r="R806" s="2"/>
      <c r="S806" s="7"/>
      <c r="T806" s="2"/>
      <c r="U806" s="2"/>
      <c r="V806" s="2"/>
      <c r="W806" s="2"/>
      <c r="X806" s="2"/>
      <c r="Y806" s="2"/>
      <c r="Z806" s="2"/>
      <c r="AA806" s="2"/>
      <c r="AB806" s="343"/>
      <c r="AC806" s="343"/>
      <c r="AD806" s="343"/>
      <c r="AE806" s="343"/>
      <c r="AF806" s="343"/>
      <c r="AG806" s="343"/>
      <c r="AH806" s="343"/>
      <c r="AI806" s="343"/>
      <c r="AJ806" s="343"/>
      <c r="AK806" s="343"/>
      <c r="AL806" s="343"/>
      <c r="AM806" s="349"/>
    </row>
    <row r="807" spans="1:39" ht="12.75" customHeight="1" x14ac:dyDescent="0.25">
      <c r="A807" s="2"/>
      <c r="B807" s="3"/>
      <c r="C807" s="370"/>
      <c r="D807" s="359"/>
      <c r="E807" s="2610" t="str">
        <f>Translations!$B$716</f>
        <v>Värdena för i och ii genereras automatiskt utifrån inmatningarna i punkterna a och c ovan.</v>
      </c>
      <c r="F807" s="1960"/>
      <c r="G807" s="1960"/>
      <c r="H807" s="1960"/>
      <c r="I807" s="1960"/>
      <c r="J807" s="1960"/>
      <c r="K807" s="1960"/>
      <c r="L807" s="1960"/>
      <c r="M807" s="1960"/>
      <c r="N807" s="2597"/>
      <c r="O807" s="6"/>
      <c r="P807" s="6"/>
      <c r="Q807" s="7"/>
      <c r="R807" s="2"/>
      <c r="S807" s="7"/>
      <c r="T807" s="2"/>
      <c r="U807" s="2"/>
      <c r="V807" s="2"/>
      <c r="W807" s="2"/>
      <c r="X807" s="2"/>
      <c r="Y807" s="2"/>
      <c r="Z807" s="2"/>
      <c r="AA807" s="2"/>
      <c r="AB807" s="343"/>
      <c r="AC807" s="343"/>
      <c r="AD807" s="343"/>
      <c r="AE807" s="343"/>
      <c r="AF807" s="343"/>
      <c r="AG807" s="343"/>
      <c r="AH807" s="343"/>
      <c r="AI807" s="343"/>
      <c r="AJ807" s="343"/>
      <c r="AK807" s="343"/>
      <c r="AL807" s="343"/>
      <c r="AM807" s="349"/>
    </row>
    <row r="808" spans="1:39" ht="12.75" customHeight="1" x14ac:dyDescent="0.25">
      <c r="A808" s="2"/>
      <c r="B808" s="3"/>
      <c r="C808" s="370"/>
      <c r="D808" s="359"/>
      <c r="E808" s="2610" t="str">
        <f>Translations!$B$717</f>
        <v>I iii och iv ska insatsbränslet från restgaser och motsvarande utsläppsfaktor anges.</v>
      </c>
      <c r="F808" s="1960"/>
      <c r="G808" s="1960"/>
      <c r="H808" s="1960"/>
      <c r="I808" s="1960"/>
      <c r="J808" s="1960"/>
      <c r="K808" s="1960"/>
      <c r="L808" s="1960"/>
      <c r="M808" s="1960"/>
      <c r="N808" s="2597"/>
      <c r="O808" s="6"/>
      <c r="P808" s="6"/>
      <c r="Q808" s="7"/>
      <c r="R808" s="2"/>
      <c r="S808" s="7"/>
      <c r="T808" s="2"/>
      <c r="U808" s="2"/>
      <c r="V808" s="2"/>
      <c r="W808" s="2"/>
      <c r="X808" s="2"/>
      <c r="Y808" s="2"/>
      <c r="Z808" s="2"/>
      <c r="AA808" s="2"/>
      <c r="AB808" s="343"/>
      <c r="AC808" s="343"/>
      <c r="AD808" s="343"/>
      <c r="AE808" s="343"/>
      <c r="AF808" s="343"/>
      <c r="AG808" s="343"/>
      <c r="AH808" s="343"/>
      <c r="AI808" s="343"/>
      <c r="AJ808" s="343"/>
      <c r="AK808" s="343"/>
      <c r="AL808" s="343"/>
      <c r="AM808" s="349"/>
    </row>
    <row r="809" spans="1:39" ht="12.75" customHeight="1" x14ac:dyDescent="0.25">
      <c r="A809" s="2"/>
      <c r="B809" s="3"/>
      <c r="C809" s="370"/>
      <c r="D809" s="373"/>
      <c r="E809" s="1716"/>
      <c r="F809" s="1717"/>
      <c r="G809" s="361" t="str">
        <f>EUconst_Unit</f>
        <v>Enhet</v>
      </c>
      <c r="H809" s="362">
        <f t="shared" ref="H809:N809" si="338">H$950</f>
        <v>2019</v>
      </c>
      <c r="I809" s="362">
        <f t="shared" si="338"/>
        <v>2020</v>
      </c>
      <c r="J809" s="362">
        <f t="shared" si="338"/>
        <v>2021</v>
      </c>
      <c r="K809" s="362">
        <f t="shared" si="338"/>
        <v>2022</v>
      </c>
      <c r="L809" s="362">
        <f t="shared" si="338"/>
        <v>2023</v>
      </c>
      <c r="M809" s="362">
        <f t="shared" si="338"/>
        <v>2024</v>
      </c>
      <c r="N809" s="1141">
        <f t="shared" si="338"/>
        <v>2025</v>
      </c>
      <c r="O809" s="6"/>
      <c r="P809" s="6"/>
      <c r="Q809" s="7"/>
      <c r="R809" s="2"/>
      <c r="S809" s="7"/>
      <c r="T809" s="2"/>
      <c r="U809" s="2"/>
      <c r="V809" s="2"/>
      <c r="W809" s="2"/>
      <c r="X809" s="2"/>
      <c r="Y809" s="2"/>
      <c r="Z809" s="2"/>
      <c r="AA809" s="2"/>
      <c r="AB809" s="2"/>
      <c r="AC809" s="1531">
        <f t="shared" ref="AC809:AI809" si="339">H$950</f>
        <v>2019</v>
      </c>
      <c r="AD809" s="1531">
        <f t="shared" si="339"/>
        <v>2020</v>
      </c>
      <c r="AE809" s="1531">
        <f t="shared" si="339"/>
        <v>2021</v>
      </c>
      <c r="AF809" s="1531">
        <f t="shared" si="339"/>
        <v>2022</v>
      </c>
      <c r="AG809" s="1531">
        <f t="shared" si="339"/>
        <v>2023</v>
      </c>
      <c r="AH809" s="1531">
        <f t="shared" si="339"/>
        <v>2024</v>
      </c>
      <c r="AI809" s="1531">
        <f t="shared" si="339"/>
        <v>2025</v>
      </c>
      <c r="AJ809" s="349"/>
      <c r="AK809" s="349"/>
      <c r="AL809" s="349"/>
      <c r="AM809" s="349"/>
    </row>
    <row r="810" spans="1:39" ht="12.75" customHeight="1" x14ac:dyDescent="0.25">
      <c r="A810" s="2"/>
      <c r="B810" s="3"/>
      <c r="C810" s="370"/>
      <c r="D810" s="376" t="s">
        <v>8</v>
      </c>
      <c r="E810" s="2613" t="str">
        <f>Translations!$B$718</f>
        <v>Insatsbränsle enligt punkt a</v>
      </c>
      <c r="F810" s="1997"/>
      <c r="G810" s="364" t="str">
        <f>EUconst_TJpa</f>
        <v>TJ / år</v>
      </c>
      <c r="H810" s="381" t="str">
        <f>H684</f>
        <v/>
      </c>
      <c r="I810" s="381" t="str">
        <f t="shared" ref="I810:N810" si="340">I684</f>
        <v/>
      </c>
      <c r="J810" s="381" t="str">
        <f t="shared" si="340"/>
        <v/>
      </c>
      <c r="K810" s="381" t="str">
        <f t="shared" si="340"/>
        <v/>
      </c>
      <c r="L810" s="381" t="str">
        <f t="shared" si="340"/>
        <v/>
      </c>
      <c r="M810" s="381" t="str">
        <f t="shared" si="340"/>
        <v/>
      </c>
      <c r="N810" s="1742" t="str">
        <f t="shared" si="340"/>
        <v/>
      </c>
      <c r="O810" s="6"/>
      <c r="P810" s="6"/>
      <c r="Q810" s="298" t="str">
        <f>EUconst_CNTR_FuelInput &amp; I797</f>
        <v>FuelInput_Delanläggning med bränsleriktmärke, ej KL</v>
      </c>
      <c r="R810" s="2"/>
      <c r="S810" s="7"/>
      <c r="T810" s="40">
        <f t="shared" ref="T810:Z810" si="341">H809</f>
        <v>2019</v>
      </c>
      <c r="U810" s="40">
        <f t="shared" si="341"/>
        <v>2020</v>
      </c>
      <c r="V810" s="40">
        <f t="shared" si="341"/>
        <v>2021</v>
      </c>
      <c r="W810" s="40">
        <f t="shared" si="341"/>
        <v>2022</v>
      </c>
      <c r="X810" s="40">
        <f t="shared" si="341"/>
        <v>2023</v>
      </c>
      <c r="Y810" s="40">
        <f t="shared" si="341"/>
        <v>2024</v>
      </c>
      <c r="Z810" s="40">
        <f t="shared" si="341"/>
        <v>2025</v>
      </c>
      <c r="AA810" s="2"/>
      <c r="AB810" s="672" t="s">
        <v>782</v>
      </c>
      <c r="AC810" s="108" t="b">
        <f>AC804</f>
        <v>0</v>
      </c>
      <c r="AD810" s="108" t="b">
        <f t="shared" ref="AD810:AI810" si="342">AD804</f>
        <v>0</v>
      </c>
      <c r="AE810" s="108" t="b">
        <f t="shared" si="342"/>
        <v>0</v>
      </c>
      <c r="AF810" s="108" t="b">
        <f t="shared" si="342"/>
        <v>0</v>
      </c>
      <c r="AG810" s="108" t="b">
        <f t="shared" si="342"/>
        <v>0</v>
      </c>
      <c r="AH810" s="108" t="b">
        <f t="shared" si="342"/>
        <v>0</v>
      </c>
      <c r="AI810" s="108" t="b">
        <f t="shared" si="342"/>
        <v>0</v>
      </c>
      <c r="AJ810" s="349"/>
      <c r="AK810" s="553" t="s">
        <v>2248</v>
      </c>
      <c r="AL810" s="663" t="str">
        <f>IF(AND(CNTR_ExistSubInstEntries,COUNTIFS(AC810:AI810,2,H810:N810,"")&gt;0),EUconst_Error&amp;"FB"&amp;Q676,"")</f>
        <v/>
      </c>
      <c r="AM810" s="349"/>
    </row>
    <row r="811" spans="1:39" ht="12.75" customHeight="1" x14ac:dyDescent="0.25">
      <c r="A811" s="2"/>
      <c r="B811" s="3"/>
      <c r="C811" s="370"/>
      <c r="D811" s="376" t="s">
        <v>9</v>
      </c>
      <c r="E811" s="2613" t="str">
        <f>Translations!$B$719</f>
        <v>Viktad utsläppsfaktor (= c/d)</v>
      </c>
      <c r="F811" s="1997"/>
      <c r="G811" s="449" t="str">
        <f>EUconst_tCO2pTJ</f>
        <v>t CO2 / TJ</v>
      </c>
      <c r="H811" s="381" t="str">
        <f t="shared" ref="H811:N811" si="343">IF(COUNT(H804,H810)=2,H804/H810,"")</f>
        <v/>
      </c>
      <c r="I811" s="381" t="str">
        <f t="shared" si="343"/>
        <v/>
      </c>
      <c r="J811" s="381" t="str">
        <f t="shared" si="343"/>
        <v/>
      </c>
      <c r="K811" s="381" t="str">
        <f t="shared" si="343"/>
        <v/>
      </c>
      <c r="L811" s="381" t="str">
        <f t="shared" si="343"/>
        <v/>
      </c>
      <c r="M811" s="381" t="str">
        <f t="shared" si="343"/>
        <v/>
      </c>
      <c r="N811" s="1742" t="str">
        <f t="shared" si="343"/>
        <v/>
      </c>
      <c r="O811" s="6"/>
      <c r="P811" s="6"/>
      <c r="Q811" s="298" t="str">
        <f>EUconst_CNTR_FuelEF &amp;I797</f>
        <v>FuelEF_Delanläggning med bränsleriktmärke, ej KL</v>
      </c>
      <c r="R811" s="2"/>
      <c r="S811" s="1749" t="str">
        <f>EUconst_ERR_AttrEmBMapplied &amp; I797</f>
        <v>ERR_AttrEmBM_Delanläggning med bränsleriktmärke, ej KL</v>
      </c>
      <c r="T811" s="108">
        <f t="shared" ref="T811:Z811" si="344">IF(AND(OR(H813&lt;&gt;0,AND(H816&lt;&gt;0,H817="")),EUconst_StatusOfDataCollection=FALSE),1,0)</f>
        <v>0</v>
      </c>
      <c r="U811" s="108">
        <f t="shared" si="344"/>
        <v>0</v>
      </c>
      <c r="V811" s="108">
        <f t="shared" si="344"/>
        <v>0</v>
      </c>
      <c r="W811" s="108">
        <f t="shared" si="344"/>
        <v>0</v>
      </c>
      <c r="X811" s="108">
        <f t="shared" si="344"/>
        <v>0</v>
      </c>
      <c r="Y811" s="108">
        <f t="shared" si="344"/>
        <v>0</v>
      </c>
      <c r="Z811" s="108">
        <f t="shared" si="344"/>
        <v>0</v>
      </c>
      <c r="AA811" s="2"/>
      <c r="AB811" s="343"/>
      <c r="AC811" s="108" t="b">
        <f>AC810</f>
        <v>0</v>
      </c>
      <c r="AD811" s="108" t="b">
        <f t="shared" ref="AD811:AI811" si="345">AD810</f>
        <v>0</v>
      </c>
      <c r="AE811" s="108" t="b">
        <f t="shared" si="345"/>
        <v>0</v>
      </c>
      <c r="AF811" s="108" t="b">
        <f t="shared" si="345"/>
        <v>0</v>
      </c>
      <c r="AG811" s="108" t="b">
        <f t="shared" si="345"/>
        <v>0</v>
      </c>
      <c r="AH811" s="108" t="b">
        <f t="shared" si="345"/>
        <v>0</v>
      </c>
      <c r="AI811" s="108" t="b">
        <f t="shared" si="345"/>
        <v>0</v>
      </c>
      <c r="AJ811" s="349"/>
      <c r="AK811" s="553" t="s">
        <v>2248</v>
      </c>
      <c r="AL811" s="663" t="str">
        <f>IF(AND(CNTR_ExistSubInstEntries,COUNTIFS(AC811:AI811,2,H811:N811,"")&gt;0),EUconst_Error&amp;"FB"&amp;Q676,"")</f>
        <v/>
      </c>
      <c r="AM811" s="349"/>
    </row>
    <row r="812" spans="1:39" ht="5.15" customHeight="1" x14ac:dyDescent="0.25">
      <c r="A812" s="2"/>
      <c r="B812" s="3"/>
      <c r="C812" s="370"/>
      <c r="D812" s="359"/>
      <c r="E812" s="359"/>
      <c r="F812" s="359"/>
      <c r="G812" s="359"/>
      <c r="H812" s="359"/>
      <c r="I812" s="359"/>
      <c r="J812" s="359"/>
      <c r="K812" s="359"/>
      <c r="L812" s="359"/>
      <c r="M812" s="359"/>
      <c r="N812" s="1150"/>
      <c r="O812" s="6"/>
      <c r="P812" s="6"/>
      <c r="Q812" s="7"/>
      <c r="R812" s="2"/>
      <c r="S812" s="2"/>
      <c r="T812" s="2"/>
      <c r="U812" s="2"/>
      <c r="V812" s="2"/>
      <c r="W812" s="2"/>
      <c r="X812" s="2"/>
      <c r="Y812" s="2"/>
      <c r="Z812" s="2"/>
      <c r="AA812" s="2"/>
      <c r="AB812" s="343"/>
      <c r="AC812" s="2"/>
      <c r="AD812" s="2"/>
      <c r="AE812" s="2"/>
      <c r="AF812" s="2"/>
      <c r="AG812" s="2"/>
      <c r="AH812" s="2"/>
      <c r="AI812" s="2"/>
      <c r="AJ812" s="349"/>
      <c r="AK812" s="349"/>
      <c r="AL812" s="349"/>
      <c r="AM812" s="349"/>
    </row>
    <row r="813" spans="1:39" ht="12.75" customHeight="1" x14ac:dyDescent="0.25">
      <c r="A813" s="2"/>
      <c r="B813" s="3"/>
      <c r="C813" s="370"/>
      <c r="D813" s="376" t="s">
        <v>10</v>
      </c>
      <c r="E813" s="2613" t="str">
        <f>Translations!$B$688</f>
        <v>Insatsbränsle från restgaser</v>
      </c>
      <c r="F813" s="1997"/>
      <c r="G813" s="364" t="str">
        <f>EUconst_TJpa</f>
        <v>TJ / år</v>
      </c>
      <c r="H813" s="582"/>
      <c r="I813" s="582"/>
      <c r="J813" s="582"/>
      <c r="K813" s="582"/>
      <c r="L813" s="582"/>
      <c r="M813" s="582"/>
      <c r="N813" s="1146"/>
      <c r="O813" s="6"/>
      <c r="P813" s="6"/>
      <c r="Q813" s="355" t="str">
        <f>EUconst_CNTR_WGConsumed &amp; I797</f>
        <v>WasteGasCons_Delanläggning med bränsleriktmärke, ej KL</v>
      </c>
      <c r="R813" s="2"/>
      <c r="S813" s="2"/>
      <c r="T813" s="2"/>
      <c r="U813" s="2"/>
      <c r="V813" s="2"/>
      <c r="W813" s="2"/>
      <c r="X813" s="2"/>
      <c r="Y813" s="2"/>
      <c r="Z813" s="2"/>
      <c r="AA813" s="2"/>
      <c r="AB813" s="343"/>
      <c r="AC813" s="108" t="b">
        <f>AC810</f>
        <v>0</v>
      </c>
      <c r="AD813" s="108" t="b">
        <f t="shared" ref="AD813:AI813" si="346">AD810</f>
        <v>0</v>
      </c>
      <c r="AE813" s="108" t="b">
        <f t="shared" si="346"/>
        <v>0</v>
      </c>
      <c r="AF813" s="108" t="b">
        <f t="shared" si="346"/>
        <v>0</v>
      </c>
      <c r="AG813" s="108" t="b">
        <f t="shared" si="346"/>
        <v>0</v>
      </c>
      <c r="AH813" s="108" t="b">
        <f t="shared" si="346"/>
        <v>0</v>
      </c>
      <c r="AI813" s="108" t="b">
        <f t="shared" si="346"/>
        <v>0</v>
      </c>
      <c r="AJ813" s="349"/>
      <c r="AK813" s="553" t="s">
        <v>2248</v>
      </c>
      <c r="AL813" s="663" t="str">
        <f>IF(AND(CNTR_ExistSubInstEntries,COUNTIFS(AC813:AI813,2,H813:N813,"")&gt;0),EUconst_Error&amp;"FB"&amp;Q676,"")</f>
        <v/>
      </c>
      <c r="AM813" s="349"/>
    </row>
    <row r="814" spans="1:39" ht="12.75" customHeight="1" x14ac:dyDescent="0.3">
      <c r="A814" s="2"/>
      <c r="B814" s="3"/>
      <c r="C814" s="370"/>
      <c r="D814" s="376" t="s">
        <v>23</v>
      </c>
      <c r="E814" s="2613" t="str">
        <f>Translations!$B$689</f>
        <v>Särskild utsläppsfaktor (restgas)</v>
      </c>
      <c r="F814" s="1997"/>
      <c r="G814" s="449" t="str">
        <f>EUconst_tCO2pTJ</f>
        <v>t CO2 / TJ</v>
      </c>
      <c r="H814" s="747"/>
      <c r="I814" s="747"/>
      <c r="J814" s="747"/>
      <c r="K814" s="747"/>
      <c r="L814" s="747"/>
      <c r="M814" s="747"/>
      <c r="N814" s="1297"/>
      <c r="O814" s="6"/>
      <c r="P814" s="6"/>
      <c r="Q814" s="298" t="str">
        <f>EUconst_CNTR_WGConsumedEF &amp; I797</f>
        <v>WasteGasConsEF_Delanläggning med bränsleriktmärke, ej KL</v>
      </c>
      <c r="R814" s="2"/>
      <c r="S814" s="665" t="str">
        <f>EUconst_CNTR_AttributedEmissions &amp; I797</f>
        <v>AttrEmissions_Delanläggning med bränsleriktmärke, ej KL</v>
      </c>
      <c r="T814" s="108" t="str">
        <f t="shared" ref="T814:Z814" si="347">IF(T684,SUM(H813)*EUconst_FuelBMvalue,"")</f>
        <v/>
      </c>
      <c r="U814" s="108" t="str">
        <f t="shared" si="347"/>
        <v/>
      </c>
      <c r="V814" s="108" t="str">
        <f t="shared" si="347"/>
        <v/>
      </c>
      <c r="W814" s="108" t="str">
        <f t="shared" si="347"/>
        <v/>
      </c>
      <c r="X814" s="108" t="str">
        <f t="shared" si="347"/>
        <v/>
      </c>
      <c r="Y814" s="108" t="str">
        <f t="shared" si="347"/>
        <v/>
      </c>
      <c r="Z814" s="108" t="str">
        <f t="shared" si="347"/>
        <v/>
      </c>
      <c r="AA814" s="2"/>
      <c r="AB814" s="343"/>
      <c r="AC814" s="108" t="b">
        <f>AC811</f>
        <v>0</v>
      </c>
      <c r="AD814" s="108" t="b">
        <f t="shared" ref="AD814:AI814" si="348">AD811</f>
        <v>0</v>
      </c>
      <c r="AE814" s="108" t="b">
        <f t="shared" si="348"/>
        <v>0</v>
      </c>
      <c r="AF814" s="108" t="b">
        <f t="shared" si="348"/>
        <v>0</v>
      </c>
      <c r="AG814" s="108" t="b">
        <f t="shared" si="348"/>
        <v>0</v>
      </c>
      <c r="AH814" s="108" t="b">
        <f t="shared" si="348"/>
        <v>0</v>
      </c>
      <c r="AI814" s="108" t="b">
        <f t="shared" si="348"/>
        <v>0</v>
      </c>
      <c r="AJ814" s="349"/>
      <c r="AK814" s="553" t="s">
        <v>2248</v>
      </c>
      <c r="AL814" s="663" t="str">
        <f>IF(AND(CNTR_ExistSubInstEntries,COUNTIFS(AC814:AI814,2,H814:N814,"")&gt;0),EUconst_Error&amp;"FB"&amp;Q676,"")</f>
        <v/>
      </c>
      <c r="AM814" s="349"/>
    </row>
    <row r="815" spans="1:39" ht="5.15" customHeight="1" x14ac:dyDescent="0.25">
      <c r="A815" s="2"/>
      <c r="B815" s="3"/>
      <c r="C815" s="370"/>
      <c r="D815" s="359"/>
      <c r="E815" s="359"/>
      <c r="F815" s="359"/>
      <c r="G815" s="359"/>
      <c r="H815" s="359"/>
      <c r="I815" s="359"/>
      <c r="J815" s="359"/>
      <c r="K815" s="359"/>
      <c r="L815" s="359"/>
      <c r="M815" s="359"/>
      <c r="N815" s="374"/>
      <c r="O815" s="6"/>
      <c r="P815" s="6"/>
      <c r="Q815" s="7"/>
      <c r="R815" s="2"/>
      <c r="S815" s="2"/>
      <c r="T815" s="2"/>
      <c r="U815" s="2"/>
      <c r="V815" s="2"/>
      <c r="W815" s="2"/>
      <c r="X815" s="2"/>
      <c r="Y815" s="2"/>
      <c r="Z815" s="2"/>
      <c r="AA815" s="2"/>
      <c r="AB815" s="2"/>
      <c r="AC815" s="2"/>
      <c r="AD815" s="2"/>
      <c r="AE815" s="2"/>
      <c r="AF815" s="2"/>
      <c r="AG815" s="2"/>
      <c r="AH815" s="2"/>
      <c r="AI815" s="2"/>
      <c r="AJ815" s="349"/>
      <c r="AK815" s="349"/>
      <c r="AL815" s="349"/>
      <c r="AM815" s="349"/>
    </row>
    <row r="816" spans="1:39" ht="12.75" customHeight="1" x14ac:dyDescent="0.3">
      <c r="A816" s="2"/>
      <c r="B816" s="3"/>
      <c r="C816" s="370"/>
      <c r="D816" s="373" t="s">
        <v>65</v>
      </c>
      <c r="E816" s="2747" t="str">
        <f>Translations!$B$610</f>
        <v>Nettomängd exporterad värme</v>
      </c>
      <c r="F816" s="1997"/>
      <c r="G816" s="364" t="str">
        <f>EUconst_TJpa</f>
        <v>TJ / år</v>
      </c>
      <c r="H816" s="582"/>
      <c r="I816" s="582"/>
      <c r="J816" s="582"/>
      <c r="K816" s="582"/>
      <c r="L816" s="582"/>
      <c r="M816" s="582"/>
      <c r="N816" s="1146"/>
      <c r="O816" s="6"/>
      <c r="P816" s="6"/>
      <c r="Q816" s="451" t="str">
        <f>EUconst_CNTR_HeatExport &amp; I797</f>
        <v>HeatEx_Delanläggning med bränsleriktmärke, ej KL</v>
      </c>
      <c r="R816" s="2"/>
      <c r="S816" s="665" t="str">
        <f>EUconst_CNTR_AttributedEmissions &amp; I797</f>
        <v>AttrEmissions_Delanläggning med bränsleriktmärke, ej KL</v>
      </c>
      <c r="T816" s="108" t="str">
        <f t="shared" ref="T816:Z816" si="349">IF(T684,-SUM(H816)*IF(ISNUMBER(H817),H817,EUconst_HeatBMvalue),"")</f>
        <v/>
      </c>
      <c r="U816" s="108" t="str">
        <f t="shared" si="349"/>
        <v/>
      </c>
      <c r="V816" s="108" t="str">
        <f t="shared" si="349"/>
        <v/>
      </c>
      <c r="W816" s="108" t="str">
        <f t="shared" si="349"/>
        <v/>
      </c>
      <c r="X816" s="108" t="str">
        <f t="shared" si="349"/>
        <v/>
      </c>
      <c r="Y816" s="108" t="str">
        <f t="shared" si="349"/>
        <v/>
      </c>
      <c r="Z816" s="108" t="str">
        <f t="shared" si="349"/>
        <v/>
      </c>
      <c r="AA816" s="2"/>
      <c r="AB816" s="2"/>
      <c r="AC816" s="108" t="b">
        <f>AC813</f>
        <v>0</v>
      </c>
      <c r="AD816" s="108" t="b">
        <f t="shared" ref="AD816:AI816" si="350">AD813</f>
        <v>0</v>
      </c>
      <c r="AE816" s="108" t="b">
        <f t="shared" si="350"/>
        <v>0</v>
      </c>
      <c r="AF816" s="108" t="b">
        <f t="shared" si="350"/>
        <v>0</v>
      </c>
      <c r="AG816" s="108" t="b">
        <f t="shared" si="350"/>
        <v>0</v>
      </c>
      <c r="AH816" s="108" t="b">
        <f t="shared" si="350"/>
        <v>0</v>
      </c>
      <c r="AI816" s="108" t="b">
        <f t="shared" si="350"/>
        <v>0</v>
      </c>
      <c r="AJ816" s="349"/>
      <c r="AK816" s="553" t="s">
        <v>2248</v>
      </c>
      <c r="AL816" s="663" t="str">
        <f>IF(AND(CNTR_ExistSubInstEntries,COUNTIFS(AC816:AI816,2,H816:N816,"")&gt;0),EUconst_Error&amp;"FB"&amp;Q676,"")</f>
        <v/>
      </c>
      <c r="AM816" s="349"/>
    </row>
    <row r="817" spans="1:39" ht="12.75" customHeight="1" x14ac:dyDescent="0.3">
      <c r="A817" s="2"/>
      <c r="B817" s="3"/>
      <c r="C817" s="370"/>
      <c r="D817" s="373"/>
      <c r="E817" s="2613" t="str">
        <f>Translations!$B$720</f>
        <v>Särskild emissionsfaktor (värmeexport)</v>
      </c>
      <c r="F817" s="1997"/>
      <c r="G817" s="449" t="str">
        <f>EUconst_tCO2pTJ</f>
        <v>t CO2 / TJ</v>
      </c>
      <c r="H817" s="747"/>
      <c r="I817" s="747"/>
      <c r="J817" s="747"/>
      <c r="K817" s="747"/>
      <c r="L817" s="747"/>
      <c r="M817" s="747"/>
      <c r="N817" s="1297"/>
      <c r="O817" s="6"/>
      <c r="P817" s="6"/>
      <c r="Q817" s="451" t="str">
        <f>EUconst_CNTR_HeatExportEF &amp; I797</f>
        <v>HeatExEF_Delanläggning med bränsleriktmärke, ej KL</v>
      </c>
      <c r="R817" s="2"/>
      <c r="S817" s="746"/>
      <c r="T817" s="2"/>
      <c r="U817" s="2"/>
      <c r="V817" s="2"/>
      <c r="W817" s="2"/>
      <c r="X817" s="2"/>
      <c r="Y817" s="2"/>
      <c r="Z817" s="2"/>
      <c r="AA817" s="2"/>
      <c r="AB817" s="2"/>
      <c r="AC817" s="108" t="b">
        <f>AC814</f>
        <v>0</v>
      </c>
      <c r="AD817" s="108" t="b">
        <f t="shared" ref="AD817:AI817" si="351">AD814</f>
        <v>0</v>
      </c>
      <c r="AE817" s="108" t="b">
        <f t="shared" si="351"/>
        <v>0</v>
      </c>
      <c r="AF817" s="108" t="b">
        <f t="shared" si="351"/>
        <v>0</v>
      </c>
      <c r="AG817" s="108" t="b">
        <f t="shared" si="351"/>
        <v>0</v>
      </c>
      <c r="AH817" s="108" t="b">
        <f t="shared" si="351"/>
        <v>0</v>
      </c>
      <c r="AI817" s="108" t="b">
        <f t="shared" si="351"/>
        <v>0</v>
      </c>
      <c r="AJ817" s="349"/>
      <c r="AK817" s="553" t="s">
        <v>2248</v>
      </c>
      <c r="AL817" s="663" t="str">
        <f>IF(AND(CNTR_ExistSubInstEntries,COUNTIFS(AC817:AI817,2,H817:N817,"")&gt;0),EUconst_Error&amp;"FB"&amp;Q676,"")</f>
        <v/>
      </c>
      <c r="AM817" s="349"/>
    </row>
    <row r="818" spans="1:39" ht="12.75" customHeight="1" x14ac:dyDescent="0.3">
      <c r="A818" s="2"/>
      <c r="B818" s="3"/>
      <c r="C818" s="370"/>
      <c r="D818" s="373"/>
      <c r="E818" s="2637" t="str">
        <f>Translations!$B$598</f>
        <v>De uppgifter som anges här påverkar de utsläpp som kan tillskrivas i enlighet med avsnitt 10.1.2 och 10.1.3 i bilaga VII till FAR.</v>
      </c>
      <c r="F818" s="2634"/>
      <c r="G818" s="2634"/>
      <c r="H818" s="2634"/>
      <c r="I818" s="2634"/>
      <c r="J818" s="2634"/>
      <c r="K818" s="2634"/>
      <c r="L818" s="2634"/>
      <c r="M818" s="2634"/>
      <c r="N818" s="2638"/>
      <c r="O818" s="6"/>
      <c r="P818" s="6"/>
      <c r="Q818" s="7"/>
      <c r="R818" s="2"/>
      <c r="S818" s="746"/>
      <c r="T818" s="2"/>
      <c r="U818" s="2"/>
      <c r="V818" s="2"/>
      <c r="W818" s="2"/>
      <c r="X818" s="2"/>
      <c r="Y818" s="2"/>
      <c r="Z818" s="2"/>
      <c r="AA818" s="2"/>
      <c r="AB818" s="2"/>
      <c r="AC818" s="2"/>
      <c r="AD818" s="2"/>
      <c r="AE818" s="2"/>
      <c r="AF818" s="2"/>
      <c r="AG818" s="2"/>
      <c r="AH818" s="2"/>
      <c r="AI818" s="2"/>
      <c r="AJ818" s="349"/>
      <c r="AK818" s="349"/>
      <c r="AL818" s="349"/>
      <c r="AM818" s="349"/>
    </row>
    <row r="819" spans="1:39" ht="12.75" customHeight="1" x14ac:dyDescent="0.25">
      <c r="A819" s="2"/>
      <c r="B819" s="3"/>
      <c r="C819" s="370"/>
      <c r="D819" s="359"/>
      <c r="E819" s="2641" t="str">
        <f>Translations!$B$721</f>
        <v>Detta innefattar all spillvärme som återvinns och är berättigande för en delanläggning med värmeriktmärke eller fjärrvärmedelanläggning.</v>
      </c>
      <c r="F819" s="2635"/>
      <c r="G819" s="2635"/>
      <c r="H819" s="2635"/>
      <c r="I819" s="2635"/>
      <c r="J819" s="2635"/>
      <c r="K819" s="2635"/>
      <c r="L819" s="2635"/>
      <c r="M819" s="2635"/>
      <c r="N819" s="2636"/>
      <c r="O819" s="6"/>
      <c r="P819" s="6"/>
      <c r="Q819" s="7"/>
      <c r="R819" s="2"/>
      <c r="S819" s="7"/>
      <c r="T819" s="2"/>
      <c r="U819" s="2"/>
      <c r="V819" s="2"/>
      <c r="W819" s="2"/>
      <c r="X819" s="2"/>
      <c r="Y819" s="2"/>
      <c r="Z819" s="2"/>
      <c r="AA819" s="2"/>
      <c r="AB819" s="2"/>
      <c r="AC819" s="2"/>
      <c r="AD819" s="2"/>
      <c r="AE819" s="2"/>
      <c r="AF819" s="2"/>
      <c r="AG819" s="2"/>
      <c r="AH819" s="2"/>
      <c r="AI819" s="2"/>
      <c r="AJ819" s="349"/>
      <c r="AK819" s="349"/>
      <c r="AL819" s="349"/>
      <c r="AM819" s="349"/>
    </row>
    <row r="820" spans="1:39" ht="12.75" customHeight="1" thickBot="1" x14ac:dyDescent="0.3">
      <c r="A820" s="2"/>
      <c r="B820" s="3"/>
      <c r="C820" s="377"/>
      <c r="D820" s="378"/>
      <c r="E820" s="378"/>
      <c r="F820" s="378"/>
      <c r="G820" s="378"/>
      <c r="H820" s="378"/>
      <c r="I820" s="378"/>
      <c r="J820" s="378"/>
      <c r="K820" s="378"/>
      <c r="L820" s="378"/>
      <c r="M820" s="379"/>
      <c r="N820" s="380"/>
      <c r="O820" s="6"/>
      <c r="P820" s="6"/>
      <c r="Q820" s="7"/>
      <c r="R820" s="2"/>
      <c r="S820" s="7"/>
      <c r="T820" s="2"/>
      <c r="U820" s="2"/>
      <c r="V820" s="2"/>
      <c r="W820" s="2"/>
      <c r="X820" s="2"/>
      <c r="Y820" s="2"/>
      <c r="Z820" s="2"/>
      <c r="AA820" s="2"/>
      <c r="AB820" s="2"/>
      <c r="AC820" s="2"/>
      <c r="AD820" s="2"/>
      <c r="AE820" s="2"/>
      <c r="AF820" s="2"/>
      <c r="AG820" s="2"/>
      <c r="AH820" s="2"/>
      <c r="AI820" s="2"/>
      <c r="AJ820" s="349"/>
      <c r="AK820" s="349"/>
      <c r="AL820" s="349"/>
      <c r="AM820" s="349"/>
    </row>
    <row r="821" spans="1:39" ht="25.5" customHeight="1" thickBot="1" x14ac:dyDescent="0.3">
      <c r="A821" s="2"/>
      <c r="B821" s="19"/>
      <c r="C821" s="19"/>
      <c r="D821" s="19"/>
      <c r="E821" s="19"/>
      <c r="F821" s="19"/>
      <c r="G821" s="19"/>
      <c r="H821" s="19"/>
      <c r="I821" s="19"/>
      <c r="J821" s="19"/>
      <c r="K821" s="19"/>
      <c r="L821" s="19"/>
      <c r="M821" s="19"/>
      <c r="N821" s="19"/>
      <c r="O821" s="6"/>
      <c r="P821" s="6"/>
      <c r="Q821" s="2"/>
      <c r="R821" s="2"/>
      <c r="S821" s="2"/>
      <c r="T821" s="2"/>
      <c r="U821" s="2"/>
      <c r="V821" s="2"/>
      <c r="W821" s="2"/>
      <c r="X821" s="2"/>
      <c r="Y821" s="2"/>
      <c r="Z821" s="2"/>
      <c r="AA821" s="2"/>
      <c r="AB821" s="2"/>
      <c r="AC821" s="2"/>
      <c r="AD821" s="2"/>
      <c r="AE821" s="349"/>
      <c r="AF821" s="349"/>
      <c r="AG821" s="349"/>
      <c r="AH821" s="349"/>
      <c r="AI821" s="349"/>
      <c r="AJ821" s="349"/>
      <c r="AK821" s="349"/>
      <c r="AL821" s="349"/>
      <c r="AM821" s="349"/>
    </row>
    <row r="822" spans="1:39" ht="5.15" customHeight="1" thickBot="1" x14ac:dyDescent="0.3">
      <c r="A822" s="343"/>
      <c r="B822" s="3"/>
      <c r="C822" s="230"/>
      <c r="D822" s="230"/>
      <c r="E822" s="230"/>
      <c r="F822" s="230"/>
      <c r="G822" s="230"/>
      <c r="H822" s="230"/>
      <c r="I822" s="230"/>
      <c r="J822" s="230"/>
      <c r="K822" s="230"/>
      <c r="L822" s="230"/>
      <c r="M822" s="230"/>
      <c r="N822" s="230"/>
      <c r="O822" s="6"/>
      <c r="P822" s="6"/>
      <c r="Q822" s="1767"/>
      <c r="R822" s="1767"/>
      <c r="S822" s="1767"/>
      <c r="T822" s="1767"/>
      <c r="U822" s="1767"/>
      <c r="V822" s="1767"/>
      <c r="W822" s="1767"/>
      <c r="X822" s="1767"/>
      <c r="Y822" s="1767"/>
      <c r="Z822" s="1767"/>
      <c r="AA822" s="1767"/>
      <c r="AB822" s="1767"/>
      <c r="AC822" s="1767"/>
      <c r="AD822" s="1767"/>
      <c r="AE822" s="1767"/>
      <c r="AF822" s="1767"/>
      <c r="AG822" s="1767"/>
      <c r="AH822" s="1767"/>
      <c r="AI822" s="1767"/>
      <c r="AJ822" s="1767"/>
      <c r="AK822" s="1767"/>
      <c r="AL822" s="1767"/>
      <c r="AM822" s="1767"/>
    </row>
    <row r="823" spans="1:39" ht="14.5" thickBot="1" x14ac:dyDescent="0.35">
      <c r="A823" s="2"/>
      <c r="B823" s="3"/>
      <c r="C823" s="17">
        <f>C676+1</f>
        <v>6</v>
      </c>
      <c r="D823" s="2053" t="str">
        <f>EUconst_FBSubinst &amp; ":"</f>
        <v>”Fall-back”-delanläggning:</v>
      </c>
      <c r="E823" s="1963"/>
      <c r="F823" s="1963"/>
      <c r="G823" s="1963"/>
      <c r="H823" s="2060"/>
      <c r="I823" s="2090" t="str">
        <f>INDEX(EUconst_FallBackListNames,$C823)</f>
        <v>Delanläggning med processutsläpp, KL</v>
      </c>
      <c r="J823" s="2120"/>
      <c r="K823" s="2120"/>
      <c r="L823" s="2648"/>
      <c r="M823" s="2085" t="str">
        <f>IF(INDEX(CNTR_FallBackSubInstRelevant,C823)="","",IF(INDEX(CNTR_FallBackSubInstRelevant,C823),EUconst_Relevant,EUconst_NotRelevant))</f>
        <v/>
      </c>
      <c r="N823" s="2086"/>
      <c r="O823" s="6"/>
      <c r="P823" s="6"/>
      <c r="Q823" s="452">
        <f>C823</f>
        <v>6</v>
      </c>
      <c r="R823" s="2"/>
      <c r="S823" s="553" t="s">
        <v>608</v>
      </c>
      <c r="T823" s="979" t="str">
        <f>IF(M823&lt;&gt;EUconst_Relevant,"",MAX(INDEX(CNTR_SubInstStartDate,MATCH($I823,CNTR_SubInstListNames,0)),DATE(2005,1,1)))</f>
        <v/>
      </c>
      <c r="U823" s="343" t="s">
        <v>1873</v>
      </c>
      <c r="V823" s="663">
        <f>IF(ISNUMBER(T823),YEAR($T823-IF(YEAR(T823)&gt;=2022,0,1))+1,2005)</f>
        <v>2005</v>
      </c>
      <c r="W823" s="553" t="s">
        <v>1876</v>
      </c>
      <c r="X823" s="979" t="str">
        <f>IF(M823&lt;&gt;EUconst_Relevant,"",INDEX(CNTR_SubInstCessationDate,MATCH($I823,CNTR_SubInstListNames,0)))</f>
        <v/>
      </c>
      <c r="Y823" s="553" t="s">
        <v>1877</v>
      </c>
      <c r="Z823" s="663">
        <f>IF(SUM(X823)=0,2050,YEAR($X823))</f>
        <v>2050</v>
      </c>
      <c r="AA823" s="553" t="s">
        <v>2201</v>
      </c>
      <c r="AB823" s="663" t="b">
        <f>CNTR_ReportingYear&gt;V823</f>
        <v>1</v>
      </c>
      <c r="AC823" s="553" t="s">
        <v>1475</v>
      </c>
      <c r="AD823" s="555" t="b">
        <f>AND(CNTR_ExistSubInstEntries,M823=EUconst_NotRelevant)</f>
        <v>0</v>
      </c>
      <c r="AE823" s="349"/>
      <c r="AF823" s="349"/>
      <c r="AG823" s="349"/>
      <c r="AH823" s="349"/>
      <c r="AI823" s="349"/>
      <c r="AJ823" s="349"/>
      <c r="AK823" s="349"/>
      <c r="AL823" s="349"/>
      <c r="AM823" s="349"/>
    </row>
    <row r="824" spans="1:39" ht="12.75" customHeight="1" x14ac:dyDescent="0.25">
      <c r="A824" s="2"/>
      <c r="B824" s="19"/>
      <c r="C824" s="19"/>
      <c r="D824" s="19"/>
      <c r="E824" s="19"/>
      <c r="F824" s="19"/>
      <c r="G824" s="19"/>
      <c r="H824" s="45"/>
      <c r="I824" s="2683" t="str">
        <f>IF(M823&lt;&gt;EUconst_Relevant,"",IF(M823=EUconst_Relevant,HYPERLINK("",EUconst_MsgEnterThisSection),HYPERLINK(R824,EUconst_MsgGoToNextSubInst)))</f>
        <v/>
      </c>
      <c r="J824" s="2684"/>
      <c r="K824" s="2684"/>
      <c r="L824" s="2684"/>
      <c r="M824" s="2685"/>
      <c r="N824" s="2686"/>
      <c r="O824" s="6"/>
      <c r="P824" s="6"/>
      <c r="Q824" s="2" t="s">
        <v>484</v>
      </c>
      <c r="R824" s="394" t="str">
        <f>"#JUMP_G"&amp;Q823+1</f>
        <v>#JUMP_G7</v>
      </c>
      <c r="S824" s="2"/>
      <c r="T824" s="2"/>
      <c r="U824" s="2"/>
      <c r="V824" s="2"/>
      <c r="W824" s="2"/>
      <c r="X824" s="2"/>
      <c r="Y824" s="2"/>
      <c r="Z824" s="343"/>
      <c r="AA824" s="2"/>
      <c r="AB824" s="2"/>
      <c r="AC824" s="2"/>
      <c r="AD824" s="2"/>
      <c r="AE824" s="349"/>
      <c r="AF824" s="349"/>
      <c r="AG824" s="349"/>
      <c r="AH824" s="349"/>
      <c r="AI824" s="349"/>
      <c r="AJ824" s="349"/>
      <c r="AK824" s="349"/>
      <c r="AL824" s="349"/>
      <c r="AM824" s="349"/>
    </row>
    <row r="825" spans="1:39" ht="12.75" customHeight="1" x14ac:dyDescent="0.25">
      <c r="A825" s="2"/>
      <c r="B825" s="3"/>
      <c r="C825" s="3"/>
      <c r="D825" s="15"/>
      <c r="E825" s="2061" t="str">
        <f>Translations!$B$663</f>
        <v>Namnet på ”fall-back”-delanläggningen visas automatiskt på grundval av den sammanställda listan över möjliga ”fall-back”-anläggningar.</v>
      </c>
      <c r="F825" s="1963"/>
      <c r="G825" s="1963"/>
      <c r="H825" s="1963"/>
      <c r="I825" s="1963"/>
      <c r="J825" s="1963"/>
      <c r="K825" s="1963"/>
      <c r="L825" s="1963"/>
      <c r="M825" s="1963"/>
      <c r="N825" s="1963"/>
      <c r="O825" s="6"/>
      <c r="P825" s="6"/>
      <c r="Q825" s="7"/>
      <c r="R825" s="7"/>
      <c r="S825" s="2"/>
      <c r="T825" s="2"/>
      <c r="U825" s="2"/>
      <c r="V825" s="2"/>
      <c r="W825" s="2"/>
      <c r="X825" s="2"/>
      <c r="Y825" s="2"/>
      <c r="Z825" s="2"/>
      <c r="AA825" s="2"/>
      <c r="AB825" s="2"/>
      <c r="AC825" s="2"/>
      <c r="AD825" s="2"/>
      <c r="AE825" s="349"/>
      <c r="AF825" s="349"/>
      <c r="AG825" s="349"/>
      <c r="AH825" s="349"/>
      <c r="AI825" s="349"/>
      <c r="AJ825" s="349"/>
      <c r="AK825" s="349"/>
      <c r="AL825" s="349"/>
      <c r="AM825" s="349"/>
    </row>
    <row r="826" spans="1:39" ht="5.15" customHeight="1" x14ac:dyDescent="0.25">
      <c r="A826" s="2"/>
      <c r="B826" s="3"/>
      <c r="C826" s="3"/>
      <c r="D826" s="3"/>
      <c r="E826" s="3"/>
      <c r="F826" s="3"/>
      <c r="G826" s="3"/>
      <c r="H826" s="3"/>
      <c r="I826" s="3"/>
      <c r="J826" s="3"/>
      <c r="K826" s="3"/>
      <c r="L826" s="3"/>
      <c r="M826" s="6"/>
      <c r="N826" s="6"/>
      <c r="O826" s="6"/>
      <c r="P826" s="6"/>
      <c r="Q826" s="7"/>
      <c r="R826" s="7"/>
      <c r="S826" s="7"/>
      <c r="T826" s="7"/>
      <c r="U826" s="7"/>
      <c r="V826" s="7"/>
      <c r="W826" s="7"/>
      <c r="X826" s="7"/>
      <c r="Y826" s="7"/>
      <c r="Z826" s="2"/>
      <c r="AA826" s="2"/>
      <c r="AB826" s="2"/>
      <c r="AC826" s="2"/>
      <c r="AD826" s="2"/>
      <c r="AE826" s="349"/>
      <c r="AF826" s="349"/>
      <c r="AG826" s="349"/>
      <c r="AH826" s="349"/>
      <c r="AI826" s="349"/>
      <c r="AJ826" s="349"/>
      <c r="AK826" s="349"/>
      <c r="AL826" s="349"/>
      <c r="AM826" s="349"/>
    </row>
    <row r="827" spans="1:39" ht="12.75" customHeight="1" x14ac:dyDescent="0.25">
      <c r="A827" s="2"/>
      <c r="B827" s="3"/>
      <c r="C827" s="13"/>
      <c r="D827" s="13" t="s">
        <v>442</v>
      </c>
      <c r="E827" s="1943" t="str">
        <f>Translations!$B$1466</f>
        <v>Verksamhetsnivåer</v>
      </c>
      <c r="F827" s="1963"/>
      <c r="G827" s="1963"/>
      <c r="H827" s="1963"/>
      <c r="I827" s="1963"/>
      <c r="J827" s="1963"/>
      <c r="K827" s="1963"/>
      <c r="L827" s="1963"/>
      <c r="M827" s="1963"/>
      <c r="N827" s="1963"/>
      <c r="O827" s="6"/>
      <c r="P827" s="6"/>
      <c r="Q827" s="7"/>
      <c r="R827" s="2"/>
      <c r="S827" s="2"/>
      <c r="T827" s="2"/>
      <c r="U827" s="2"/>
      <c r="V827" s="2"/>
      <c r="W827" s="2"/>
      <c r="X827" s="2"/>
      <c r="Y827" s="2"/>
      <c r="Z827" s="2"/>
      <c r="AA827" s="2"/>
      <c r="AB827" s="343"/>
      <c r="AC827" s="2"/>
      <c r="AD827" s="2"/>
      <c r="AE827" s="349"/>
      <c r="AF827" s="349"/>
      <c r="AG827" s="349"/>
      <c r="AH827" s="349"/>
      <c r="AI827" s="349"/>
      <c r="AJ827" s="349"/>
      <c r="AK827" s="349"/>
      <c r="AL827" s="349"/>
      <c r="AM827" s="349"/>
    </row>
    <row r="828" spans="1:39" ht="12.75" customHeight="1" x14ac:dyDescent="0.25">
      <c r="A828" s="343"/>
      <c r="B828" s="3"/>
      <c r="C828" s="15"/>
      <c r="D828" s="15"/>
      <c r="E828" s="2740" t="str">
        <f>Translations!$B$722</f>
        <v>De värden som anges här bör innefatta berättigande utsläpp från restgaser i enlighet med avsnitt D.IV i bladet "D_Emissions"</v>
      </c>
      <c r="F828" s="2740"/>
      <c r="G828" s="2740"/>
      <c r="H828" s="2740"/>
      <c r="I828" s="2740"/>
      <c r="J828" s="2740"/>
      <c r="K828" s="2740"/>
      <c r="L828" s="2740"/>
      <c r="M828" s="2740"/>
      <c r="N828" s="2740"/>
      <c r="O828" s="6"/>
      <c r="P828" s="6"/>
      <c r="Q828" s="7"/>
      <c r="R828" s="2"/>
      <c r="S828" s="2"/>
      <c r="T828" s="2"/>
      <c r="U828" s="2"/>
      <c r="V828" s="2"/>
      <c r="W828" s="2"/>
      <c r="X828" s="2"/>
      <c r="Y828" s="2"/>
      <c r="Z828" s="2"/>
      <c r="AA828" s="2"/>
      <c r="AB828" s="2"/>
      <c r="AC828" s="2"/>
      <c r="AD828" s="2"/>
      <c r="AE828" s="349"/>
      <c r="AF828" s="349"/>
      <c r="AG828" s="349"/>
      <c r="AH828" s="349"/>
      <c r="AI828" s="349"/>
      <c r="AJ828" s="349"/>
      <c r="AK828" s="349"/>
      <c r="AL828" s="349"/>
      <c r="AM828" s="349"/>
    </row>
    <row r="829" spans="1:39" ht="12.75" customHeight="1" thickBot="1" x14ac:dyDescent="0.3">
      <c r="A829" s="2"/>
      <c r="B829" s="19"/>
      <c r="C829" s="13"/>
      <c r="D829" s="13"/>
      <c r="E829" s="1708" t="str">
        <f>Translations!$B$665</f>
        <v>Huvudsaklig verksamhetsnivå:</v>
      </c>
      <c r="F829" s="1709"/>
      <c r="G829" s="1710" t="str">
        <f>EUconst_Unit</f>
        <v>Enhet</v>
      </c>
      <c r="H829" s="1711">
        <f t="shared" ref="H829:N829" si="352">H$950</f>
        <v>2019</v>
      </c>
      <c r="I829" s="1712">
        <f t="shared" si="352"/>
        <v>2020</v>
      </c>
      <c r="J829" s="1713">
        <f t="shared" si="352"/>
        <v>2021</v>
      </c>
      <c r="K829" s="1711">
        <f t="shared" si="352"/>
        <v>2022</v>
      </c>
      <c r="L829" s="1711">
        <f t="shared" si="352"/>
        <v>2023</v>
      </c>
      <c r="M829" s="1711">
        <f t="shared" si="352"/>
        <v>2024</v>
      </c>
      <c r="N829" s="1714">
        <f t="shared" si="352"/>
        <v>2025</v>
      </c>
      <c r="O829" s="6"/>
      <c r="P829" s="6"/>
      <c r="Q829" s="152" t="s">
        <v>594</v>
      </c>
      <c r="R829" s="2"/>
      <c r="S829" s="2"/>
      <c r="T829" s="1044">
        <f t="shared" ref="T829:Z829" si="353">H829</f>
        <v>2019</v>
      </c>
      <c r="U829" s="1044">
        <f t="shared" si="353"/>
        <v>2020</v>
      </c>
      <c r="V829" s="1044">
        <f t="shared" si="353"/>
        <v>2021</v>
      </c>
      <c r="W829" s="1044">
        <f t="shared" si="353"/>
        <v>2022</v>
      </c>
      <c r="X829" s="1044">
        <f t="shared" si="353"/>
        <v>2023</v>
      </c>
      <c r="Y829" s="1044">
        <f t="shared" si="353"/>
        <v>2024</v>
      </c>
      <c r="Z829" s="1044">
        <f t="shared" si="353"/>
        <v>2025</v>
      </c>
      <c r="AA829" s="343"/>
      <c r="AB829" s="2"/>
      <c r="AC829" s="1044">
        <f>T829</f>
        <v>2019</v>
      </c>
      <c r="AD829" s="1044">
        <f t="shared" ref="AD829:AI829" si="354">U829</f>
        <v>2020</v>
      </c>
      <c r="AE829" s="1044">
        <f t="shared" si="354"/>
        <v>2021</v>
      </c>
      <c r="AF829" s="1044">
        <f t="shared" si="354"/>
        <v>2022</v>
      </c>
      <c r="AG829" s="1044">
        <f t="shared" si="354"/>
        <v>2023</v>
      </c>
      <c r="AH829" s="1044">
        <f t="shared" si="354"/>
        <v>2024</v>
      </c>
      <c r="AI829" s="1044">
        <f t="shared" si="354"/>
        <v>2025</v>
      </c>
      <c r="AJ829" s="349"/>
      <c r="AK829" s="349"/>
      <c r="AL829" s="349"/>
      <c r="AM829" s="349"/>
    </row>
    <row r="830" spans="1:39" ht="12.75" customHeight="1" thickBot="1" x14ac:dyDescent="0.3">
      <c r="A830" s="2"/>
      <c r="B830" s="19"/>
      <c r="C830" s="19"/>
      <c r="D830" s="175" t="s">
        <v>8</v>
      </c>
      <c r="E830" s="2655" t="str">
        <f>I823</f>
        <v>Delanläggning med processutsläpp, KL</v>
      </c>
      <c r="F830" s="2655"/>
      <c r="G830" s="91" t="str">
        <f>INDEX(EUconst_FallBackListUnits,MATCH(E830,EUconst_FallBackListNames,0))</f>
        <v>t CO2e</v>
      </c>
      <c r="H830" s="382"/>
      <c r="I830" s="1706"/>
      <c r="J830" s="1707"/>
      <c r="K830" s="382"/>
      <c r="L830" s="382"/>
      <c r="M830" s="382"/>
      <c r="N830" s="382"/>
      <c r="O830" s="918"/>
      <c r="P830" s="6"/>
      <c r="Q830" s="154" t="str">
        <f>EUconst_CNTR_HAL&amp;E830</f>
        <v>HAL_Delanläggning med processutsläpp, KL</v>
      </c>
      <c r="R830" s="2"/>
      <c r="S830" s="309" t="s">
        <v>1874</v>
      </c>
      <c r="T830" s="1126" t="b">
        <f t="shared" ref="T830:Z830" si="355">AND($M823=EUconst_Relevant,T829&lt;CNTR_ReportingYear,T829&gt;=$V823-1)</f>
        <v>0</v>
      </c>
      <c r="U830" s="1127" t="b">
        <f t="shared" si="355"/>
        <v>0</v>
      </c>
      <c r="V830" s="1127" t="b">
        <f t="shared" si="355"/>
        <v>0</v>
      </c>
      <c r="W830" s="1127" t="b">
        <f t="shared" si="355"/>
        <v>0</v>
      </c>
      <c r="X830" s="1127" t="b">
        <f t="shared" si="355"/>
        <v>0</v>
      </c>
      <c r="Y830" s="1127" t="b">
        <f t="shared" si="355"/>
        <v>0</v>
      </c>
      <c r="Z830" s="1128" t="b">
        <f t="shared" si="355"/>
        <v>0</v>
      </c>
      <c r="AA830" s="2"/>
      <c r="AB830" s="672" t="s">
        <v>782</v>
      </c>
      <c r="AC830" s="1755" t="b">
        <f t="shared" ref="AC830:AI830" si="356">IF(CNTR_ExistSubInstEntries,OR($M823=EUconst_NotRelevant,AC829&gt;=CNTR_ReportingYear,AC829&lt;$V823-1),FALSE)</f>
        <v>0</v>
      </c>
      <c r="AD830" s="1042" t="b">
        <f t="shared" si="356"/>
        <v>0</v>
      </c>
      <c r="AE830" s="1042" t="b">
        <f t="shared" si="356"/>
        <v>0</v>
      </c>
      <c r="AF830" s="1042" t="b">
        <f t="shared" si="356"/>
        <v>0</v>
      </c>
      <c r="AG830" s="1042" t="b">
        <f t="shared" si="356"/>
        <v>0</v>
      </c>
      <c r="AH830" s="1042" t="b">
        <f t="shared" si="356"/>
        <v>0</v>
      </c>
      <c r="AI830" s="1043" t="b">
        <f t="shared" si="356"/>
        <v>0</v>
      </c>
      <c r="AJ830" s="349"/>
      <c r="AK830" s="553" t="s">
        <v>2242</v>
      </c>
      <c r="AL830" s="108" t="str">
        <f>IF(COUNTIFS(H829:N829,"&lt;"&amp;YEAR(SUM(T823)),H830:N830,"&gt;"&amp;0)&gt;0,EUconst_Error&amp;"FB"&amp;Q823,"")</f>
        <v/>
      </c>
      <c r="AM830" s="349"/>
    </row>
    <row r="831" spans="1:39" ht="5.15" customHeight="1" x14ac:dyDescent="0.25">
      <c r="A831" s="2"/>
      <c r="B831" s="178"/>
      <c r="C831" s="178"/>
      <c r="D831" s="15"/>
      <c r="E831" s="15"/>
      <c r="F831" s="15"/>
      <c r="G831" s="15"/>
      <c r="H831" s="15"/>
      <c r="I831" s="15"/>
      <c r="J831" s="15"/>
      <c r="K831" s="15"/>
      <c r="L831" s="15"/>
      <c r="M831" s="15"/>
      <c r="N831" s="15"/>
      <c r="O831" s="15"/>
      <c r="P831" s="6"/>
      <c r="Q831" s="343"/>
      <c r="R831" s="2"/>
      <c r="S831" s="343"/>
      <c r="T831" s="343"/>
      <c r="U831" s="2"/>
      <c r="V831" s="2"/>
      <c r="W831" s="2"/>
      <c r="X831" s="2"/>
      <c r="Y831" s="2"/>
      <c r="Z831" s="343"/>
      <c r="AA831" s="2"/>
      <c r="AB831" s="343"/>
      <c r="AC831" s="2"/>
      <c r="AD831" s="2"/>
      <c r="AE831" s="349"/>
      <c r="AF831" s="349"/>
      <c r="AG831" s="349"/>
      <c r="AH831" s="349"/>
      <c r="AI831" s="349"/>
      <c r="AJ831" s="349"/>
      <c r="AK831" s="349"/>
      <c r="AL831" s="349"/>
      <c r="AM831" s="349"/>
    </row>
    <row r="832" spans="1:39" ht="25.5" customHeight="1" x14ac:dyDescent="0.25">
      <c r="A832" s="2"/>
      <c r="B832" s="178"/>
      <c r="C832" s="178"/>
      <c r="D832" s="15"/>
      <c r="E832" s="2061" t="str">
        <f>Translations!$B$1487</f>
        <v>Baserat på värdena för historisk verksamhetsnivå (HAL) och värdena under punkt a) ovan bestäms de genomsnittliga verksamhetsnivåerna här. Tilldelningen kommer endast att ändras om alla följande tröskelvärden i artiklarna 5 och 6 i verksamhetsändringsförordningen överskrids:</v>
      </c>
      <c r="F832" s="1963"/>
      <c r="G832" s="1963"/>
      <c r="H832" s="1963"/>
      <c r="I832" s="1963"/>
      <c r="J832" s="1963"/>
      <c r="K832" s="1963"/>
      <c r="L832" s="1963"/>
      <c r="M832" s="1963"/>
      <c r="N832" s="1963"/>
      <c r="O832" s="15"/>
      <c r="P832" s="6"/>
      <c r="Q832" s="343"/>
      <c r="R832" s="2"/>
      <c r="S832" s="343"/>
      <c r="T832" s="343"/>
      <c r="U832" s="343"/>
      <c r="V832" s="2"/>
      <c r="W832" s="2"/>
      <c r="X832" s="2"/>
      <c r="Y832" s="2"/>
      <c r="Z832" s="2"/>
      <c r="AA832" s="2"/>
      <c r="AB832" s="2"/>
      <c r="AC832" s="2"/>
      <c r="AD832" s="2"/>
      <c r="AE832" s="2"/>
      <c r="AF832" s="2"/>
      <c r="AG832" s="2"/>
      <c r="AH832" s="2"/>
      <c r="AI832" s="2"/>
      <c r="AJ832" s="2"/>
      <c r="AK832" s="2"/>
      <c r="AL832" s="2"/>
      <c r="AM832" s="349"/>
    </row>
    <row r="833" spans="1:39" ht="12.75" customHeight="1" x14ac:dyDescent="0.25">
      <c r="A833" s="2"/>
      <c r="B833" s="178"/>
      <c r="C833" s="178"/>
      <c r="D833" s="15"/>
      <c r="E833" s="1102" t="s">
        <v>1112</v>
      </c>
      <c r="F833" s="2095" t="str">
        <f>Translations!$B$1470</f>
        <v>De relativa tröskelvärdena (15 % och 5 % för efterföljande ändringar) för de genomsnittliga verksamhetsnivåerna jämfört med HAL</v>
      </c>
      <c r="G833" s="2159"/>
      <c r="H833" s="2159"/>
      <c r="I833" s="2159"/>
      <c r="J833" s="2159"/>
      <c r="K833" s="2159"/>
      <c r="L833" s="2159"/>
      <c r="M833" s="2159"/>
      <c r="N833" s="2159"/>
      <c r="O833" s="15"/>
      <c r="P833" s="6"/>
      <c r="Q833" s="343"/>
      <c r="R833" s="2"/>
      <c r="S833" s="343"/>
      <c r="T833" s="343"/>
      <c r="U833" s="343"/>
      <c r="V833" s="2"/>
      <c r="W833" s="2"/>
      <c r="X833" s="2"/>
      <c r="Y833" s="2"/>
      <c r="Z833" s="2"/>
      <c r="AA833" s="2"/>
      <c r="AB833" s="2"/>
      <c r="AC833" s="2"/>
      <c r="AD833" s="2"/>
      <c r="AE833" s="2"/>
      <c r="AF833" s="2"/>
      <c r="AG833" s="2"/>
      <c r="AH833" s="2"/>
      <c r="AI833" s="2"/>
      <c r="AJ833" s="2"/>
      <c r="AK833" s="2"/>
      <c r="AL833" s="2"/>
      <c r="AM833" s="349"/>
    </row>
    <row r="834" spans="1:39" ht="12.75" customHeight="1" x14ac:dyDescent="0.25">
      <c r="A834" s="2"/>
      <c r="B834" s="178"/>
      <c r="C834" s="178"/>
      <c r="D834" s="15"/>
      <c r="E834" s="1102" t="s">
        <v>1112</v>
      </c>
      <c r="F834" s="2095" t="str">
        <f>Translations!$B$1471</f>
        <v>Det absoluta tröskelvärdet, dvs. en ändring skulle leda till en ändring av den preliminära tilldelningen på minst 100 utsläppsrätter</v>
      </c>
      <c r="G834" s="2159"/>
      <c r="H834" s="2159"/>
      <c r="I834" s="2159"/>
      <c r="J834" s="2159"/>
      <c r="K834" s="2159"/>
      <c r="L834" s="2159"/>
      <c r="M834" s="2159"/>
      <c r="N834" s="2159"/>
      <c r="O834" s="15"/>
      <c r="P834" s="6"/>
      <c r="Q834" s="343"/>
      <c r="R834" s="2"/>
      <c r="S834" s="343"/>
      <c r="T834" s="343"/>
      <c r="U834" s="343"/>
      <c r="V834" s="2"/>
      <c r="W834" s="2"/>
      <c r="X834" s="2"/>
      <c r="Y834" s="2"/>
      <c r="Z834" s="2"/>
      <c r="AA834" s="2"/>
      <c r="AB834" s="2"/>
      <c r="AC834" s="2"/>
      <c r="AD834" s="2"/>
      <c r="AE834" s="2"/>
      <c r="AF834" s="2"/>
      <c r="AG834" s="2"/>
      <c r="AH834" s="2"/>
      <c r="AI834" s="2"/>
      <c r="AJ834" s="2"/>
      <c r="AK834" s="2"/>
      <c r="AL834" s="2"/>
      <c r="AM834" s="349"/>
    </row>
    <row r="835" spans="1:39" ht="12.75" customHeight="1" thickBot="1" x14ac:dyDescent="0.3">
      <c r="A835" s="2"/>
      <c r="B835" s="178"/>
      <c r="C835" s="178"/>
      <c r="D835" s="15"/>
      <c r="E835" s="1102" t="s">
        <v>1112</v>
      </c>
      <c r="F835" s="2095" t="str">
        <f>Translations!$B$1488</f>
        <v>De ändrade verksamhetsnivåerna uppvägs inte av de ändringar av energieffektiviteten som fastställs i punkt b), b.1) och b.2) nedan.</v>
      </c>
      <c r="G835" s="2159"/>
      <c r="H835" s="2159"/>
      <c r="I835" s="2159"/>
      <c r="J835" s="2159"/>
      <c r="K835" s="2159"/>
      <c r="L835" s="2159"/>
      <c r="M835" s="2159"/>
      <c r="N835" s="2159"/>
      <c r="O835" s="15"/>
      <c r="P835" s="6"/>
      <c r="Q835" s="343"/>
      <c r="R835" s="2"/>
      <c r="S835" s="343"/>
      <c r="T835" s="343"/>
      <c r="U835" s="343"/>
      <c r="V835" s="2"/>
      <c r="W835" s="2"/>
      <c r="X835" s="2"/>
      <c r="Y835" s="2"/>
      <c r="Z835" s="2"/>
      <c r="AA835" s="2"/>
      <c r="AB835" s="2"/>
      <c r="AC835" s="2"/>
      <c r="AD835" s="2"/>
      <c r="AE835" s="2"/>
      <c r="AF835" s="2"/>
      <c r="AG835" s="2"/>
      <c r="AH835" s="2"/>
      <c r="AI835" s="2"/>
      <c r="AJ835" s="2"/>
      <c r="AK835" s="2"/>
      <c r="AL835" s="2"/>
      <c r="AM835" s="349"/>
    </row>
    <row r="836" spans="1:39" ht="5.15" customHeight="1" thickBot="1" x14ac:dyDescent="0.3">
      <c r="A836" s="2"/>
      <c r="B836" s="178"/>
      <c r="C836" s="178"/>
      <c r="D836" s="1238"/>
      <c r="E836" s="1278"/>
      <c r="F836" s="1239"/>
      <c r="G836" s="1279"/>
      <c r="H836" s="1279"/>
      <c r="I836" s="1279"/>
      <c r="J836" s="1279"/>
      <c r="K836" s="1279"/>
      <c r="L836" s="1279"/>
      <c r="M836" s="1279"/>
      <c r="N836" s="1280"/>
      <c r="O836" s="15"/>
      <c r="P836" s="6"/>
      <c r="Q836" s="343"/>
      <c r="R836" s="2"/>
      <c r="S836" s="343"/>
      <c r="T836" s="343"/>
      <c r="U836" s="343"/>
      <c r="V836" s="2"/>
      <c r="W836" s="2"/>
      <c r="X836" s="2"/>
      <c r="Y836" s="2"/>
      <c r="Z836" s="2"/>
      <c r="AA836" s="2"/>
      <c r="AB836" s="2"/>
      <c r="AC836" s="2"/>
      <c r="AD836" s="2"/>
      <c r="AE836" s="2"/>
      <c r="AF836" s="2"/>
      <c r="AG836" s="2"/>
      <c r="AH836" s="2"/>
      <c r="AI836" s="2"/>
      <c r="AJ836" s="2"/>
      <c r="AK836" s="2"/>
      <c r="AL836" s="2"/>
      <c r="AM836" s="349"/>
    </row>
    <row r="837" spans="1:39" ht="12.75" customHeight="1" x14ac:dyDescent="0.25">
      <c r="A837" s="2"/>
      <c r="B837" s="178"/>
      <c r="C837" s="178"/>
      <c r="D837" s="1242"/>
      <c r="E837" s="1243" t="str">
        <f>Translations!$B$1489</f>
        <v>Preliminär justering</v>
      </c>
      <c r="F837" s="1244"/>
      <c r="G837" s="1244"/>
      <c r="H837" s="1228" t="str">
        <f>EUconst_Unit</f>
        <v>Enhet</v>
      </c>
      <c r="I837" s="1229" t="str">
        <f>Translations!$B$1472</f>
        <v>HAL</v>
      </c>
      <c r="J837" s="1268">
        <f>J$950</f>
        <v>2021</v>
      </c>
      <c r="K837" s="1230">
        <f>K$950</f>
        <v>2022</v>
      </c>
      <c r="L837" s="1230">
        <f>L$950</f>
        <v>2023</v>
      </c>
      <c r="M837" s="1230">
        <f>M$950</f>
        <v>2024</v>
      </c>
      <c r="N837" s="1258">
        <f>N$950</f>
        <v>2025</v>
      </c>
      <c r="O837" s="15"/>
      <c r="P837" s="6"/>
      <c r="Q837" s="343"/>
      <c r="R837" s="2"/>
      <c r="S837" s="343"/>
      <c r="T837" s="343"/>
      <c r="U837" s="772"/>
      <c r="V837" s="1077">
        <f>J837</f>
        <v>2021</v>
      </c>
      <c r="W837" s="1077">
        <f>K837</f>
        <v>2022</v>
      </c>
      <c r="X837" s="1077">
        <f>L837</f>
        <v>2023</v>
      </c>
      <c r="Y837" s="1077">
        <f>M837</f>
        <v>2024</v>
      </c>
      <c r="Z837" s="1078">
        <f>N837</f>
        <v>2025</v>
      </c>
      <c r="AA837" s="2"/>
      <c r="AB837" s="343"/>
      <c r="AC837" s="2"/>
      <c r="AD837" s="2"/>
      <c r="AE837" s="349"/>
      <c r="AF837" s="349"/>
      <c r="AG837" s="349"/>
      <c r="AH837" s="349"/>
      <c r="AI837" s="349"/>
      <c r="AJ837" s="349"/>
      <c r="AK837" s="349"/>
      <c r="AL837" s="349"/>
      <c r="AM837" s="349"/>
    </row>
    <row r="838" spans="1:39" ht="12.75" customHeight="1" x14ac:dyDescent="0.25">
      <c r="A838" s="2"/>
      <c r="B838" s="178"/>
      <c r="C838" s="178"/>
      <c r="D838" s="1246" t="s">
        <v>9</v>
      </c>
      <c r="E838" s="1231" t="str">
        <f>Translations!$B$1473</f>
        <v>Genomsnittlig årlig verksamhetsnivå</v>
      </c>
      <c r="F838" s="1231"/>
      <c r="G838" s="1231"/>
      <c r="H838" s="1232" t="str">
        <f>G830</f>
        <v>t CO2e</v>
      </c>
      <c r="I838" s="1021" t="str">
        <f>IF(V823&gt;($J$950-3),EUconst_NA,INDEX('B+C_SubInstallations'!$I:$I,MATCH(Q838,'B+C_SubInstallations'!$T:$T,0)))</f>
        <v/>
      </c>
      <c r="J838" s="1022" t="str">
        <f>IF(AND(V838&gt;=3,CNTR_ReportingYear&gt;J837-1),AVERAGE(SUM(H830),SUM(I830)),"")</f>
        <v/>
      </c>
      <c r="K838" s="1023" t="str">
        <f>IF(AND(W838&gt;=3,CNTR_ReportingYear&gt;K837-1),AVERAGE(SUM(I830),SUM(J830)),"")</f>
        <v/>
      </c>
      <c r="L838" s="1023" t="str">
        <f>IF(AND(X838&gt;=3,CNTR_ReportingYear&gt;L837-1),AVERAGE(SUM(J830),SUM(K830)),"")</f>
        <v/>
      </c>
      <c r="M838" s="1023" t="str">
        <f>IF(AND(Y838&gt;=3,CNTR_ReportingYear&gt;M837-1),AVERAGE(SUM(K830),SUM(L830)),"")</f>
        <v/>
      </c>
      <c r="N838" s="1226" t="str">
        <f>IF(AND(Z838&gt;=3,CNTR_ReportingYear&gt;N837-1),AVERAGE(SUM(L830),SUM(M830)),"")</f>
        <v/>
      </c>
      <c r="O838" s="15"/>
      <c r="P838" s="6"/>
      <c r="Q838" s="1217" t="str">
        <f>EUconst_CNTR_HALinitial&amp;I823</f>
        <v>HALini_Delanläggning med processutsläpp, KL</v>
      </c>
      <c r="R838" s="2"/>
      <c r="S838" s="343"/>
      <c r="T838" s="343"/>
      <c r="U838" s="1079" t="s">
        <v>1850</v>
      </c>
      <c r="V838" s="9">
        <f>IF($M823&lt;&gt;EUconst_Relevant,0,V837-$V823+1)</f>
        <v>0</v>
      </c>
      <c r="W838" s="9">
        <f>IF($M823&lt;&gt;EUconst_Relevant,0,W837-$V823+1)</f>
        <v>0</v>
      </c>
      <c r="X838" s="9">
        <f>IF($M823&lt;&gt;EUconst_Relevant,0,X837-$V823+1)</f>
        <v>0</v>
      </c>
      <c r="Y838" s="9">
        <f>IF($M823&lt;&gt;EUconst_Relevant,0,Y837-$V823+1)</f>
        <v>0</v>
      </c>
      <c r="Z838" s="1089">
        <f>IF($M823&lt;&gt;EUconst_Relevant,0,Z837-$V823+1)</f>
        <v>0</v>
      </c>
      <c r="AA838" s="2"/>
      <c r="AB838" s="343"/>
      <c r="AC838" s="2"/>
      <c r="AD838" s="2"/>
      <c r="AE838" s="349"/>
      <c r="AF838" s="349"/>
      <c r="AG838" s="349"/>
      <c r="AH838" s="349"/>
      <c r="AI838" s="349"/>
      <c r="AJ838" s="349"/>
      <c r="AK838" s="349"/>
      <c r="AL838" s="349"/>
      <c r="AM838" s="349"/>
    </row>
    <row r="839" spans="1:39" ht="12.75" hidden="1" customHeight="1" x14ac:dyDescent="0.25">
      <c r="A839" s="343" t="s">
        <v>346</v>
      </c>
      <c r="B839" s="178"/>
      <c r="C839" s="178"/>
      <c r="D839" s="1246"/>
      <c r="E839" s="1231" t="s">
        <v>1848</v>
      </c>
      <c r="F839" s="1231"/>
      <c r="G839" s="1231"/>
      <c r="H839" s="1233"/>
      <c r="I839" s="1235"/>
      <c r="J839" s="1013" t="str">
        <f>IF(J838="","",IF($I841=0,IF(J838=0,0%,100%),J838/$I841-1))</f>
        <v/>
      </c>
      <c r="K839" s="938" t="str">
        <f>IF(K838="","",IF($I841=0,IF(K838=0,0%,100%),K838/$I841-1))</f>
        <v/>
      </c>
      <c r="L839" s="938" t="str">
        <f>IF(L838="","",IF($I841=0,IF(L838=0,0%,100%),L838/$I841-1))</f>
        <v/>
      </c>
      <c r="M839" s="938" t="str">
        <f>IF(M838="","",IF($I841=0,IF(M838=0,0%,100%),M838/$I841-1))</f>
        <v/>
      </c>
      <c r="N839" s="1223" t="str">
        <f>IF(N838="","",IF($I841=0,IF(N838=0,0%,100%),N838/$I841-1))</f>
        <v/>
      </c>
      <c r="O839" s="15"/>
      <c r="P839" s="6"/>
      <c r="Q839" s="165" t="str">
        <f>EUconst_CNTR_RelThreshold &amp;I823</f>
        <v>RelThresh_Delanläggning med processutsläpp, KL</v>
      </c>
      <c r="R839" s="2"/>
      <c r="S839" s="343"/>
      <c r="T839" s="343"/>
      <c r="U839" s="1079" t="s">
        <v>1855</v>
      </c>
      <c r="V839" s="603" t="str">
        <f>IF(J838="","",ABS(J839)&gt;15%)</f>
        <v/>
      </c>
      <c r="W839" s="603" t="str">
        <f>IF(K838="","",ABS(K839)&gt;15%)</f>
        <v/>
      </c>
      <c r="X839" s="603" t="str">
        <f>IF(L838="","",ABS(L839)&gt;15%)</f>
        <v/>
      </c>
      <c r="Y839" s="603" t="str">
        <f>IF(M838="","",ABS(M839)&gt;15%)</f>
        <v/>
      </c>
      <c r="Z839" s="1756" t="str">
        <f>IF(N838="","",ABS(N839)&gt;15%)</f>
        <v/>
      </c>
      <c r="AA839" s="2"/>
      <c r="AB839" s="343"/>
      <c r="AC839" s="2"/>
      <c r="AD839" s="2"/>
      <c r="AE839" s="349"/>
      <c r="AF839" s="349"/>
      <c r="AG839" s="349"/>
      <c r="AH839" s="349"/>
      <c r="AI839" s="349"/>
      <c r="AJ839" s="349"/>
      <c r="AK839" s="349"/>
      <c r="AL839" s="349"/>
      <c r="AM839" s="349"/>
    </row>
    <row r="840" spans="1:39" ht="12.75" customHeight="1" x14ac:dyDescent="0.25">
      <c r="A840" s="343"/>
      <c r="B840" s="178"/>
      <c r="C840" s="178"/>
      <c r="D840" s="1246" t="s">
        <v>10</v>
      </c>
      <c r="E840" s="1231" t="str">
        <f>Translations!$B$1474</f>
        <v>Preliminär justering (om relativa tröskelvärden överskrids)</v>
      </c>
      <c r="F840" s="1231"/>
      <c r="G840" s="1231"/>
      <c r="H840" s="1233"/>
      <c r="I840" s="1235"/>
      <c r="J840" s="992" t="str">
        <f>IF(J838="","",IF(V839=FALSE,0%,IF(V840,J839,I846)))</f>
        <v/>
      </c>
      <c r="K840" s="937" t="str">
        <f>IF(K838="","",IF(W839=FALSE,0%,IF(W840,K839,J846)))</f>
        <v/>
      </c>
      <c r="L840" s="937" t="str">
        <f>IF(L838="","",IF(X839=FALSE,0%,IF(X840,L839,K846)))</f>
        <v/>
      </c>
      <c r="M840" s="937" t="str">
        <f>IF(M838="","",IF(Y839=FALSE,0%,IF(Y840,M839,L846)))</f>
        <v/>
      </c>
      <c r="N840" s="1220" t="str">
        <f>IF(N838="","",IF(Z839=FALSE,0%,IF(Z840,N839,M846)))</f>
        <v/>
      </c>
      <c r="O840" s="15"/>
      <c r="P840" s="6"/>
      <c r="Q840" s="343"/>
      <c r="R840" s="2"/>
      <c r="S840" s="343"/>
      <c r="T840" s="343"/>
      <c r="U840" s="1079" t="s">
        <v>1856</v>
      </c>
      <c r="V840" s="603" t="str">
        <f>IF(J838="","",AND(V839,IF(SUM(I846)&lt;0,OR(SUM(J839)&lt;SUM(I846)-MOD(SUM(I846),5%),J839&gt;=SUM(I846)+5%-MOD(SUM(I846),5%)),OR(SUM(J839)&lt;=SUM(I846)-MOD(SUM(I846),5%),SUM(J839)&gt;SUM(I846)+5%-MOD(SUM(I846),5%)))))</f>
        <v/>
      </c>
      <c r="W840" s="603" t="str">
        <f>IF(K838="","",AND(W839,IF(SUM(J846)&lt;0,OR(SUM(K839)&lt;SUM(J846)-MOD(SUM(J846),5%),K839&gt;=SUM(J846)+5%-MOD(SUM(J846),5%)),OR(SUM(K839)&lt;=SUM(J846)-MOD(SUM(J846),5%),SUM(K839)&gt;SUM(J846)+5%-MOD(SUM(J846),5%)))))</f>
        <v/>
      </c>
      <c r="X840" s="603" t="str">
        <f>IF(L838="","",AND(X839,IF(SUM(K846)&lt;0,OR(SUM(L839)&lt;SUM(K846)-MOD(SUM(K846),5%),L839&gt;=SUM(K846)+5%-MOD(SUM(K846),5%)),OR(SUM(L839)&lt;=SUM(K846)-MOD(SUM(K846),5%),SUM(L839)&gt;SUM(K846)+5%-MOD(SUM(K846),5%)))))</f>
        <v/>
      </c>
      <c r="Y840" s="603" t="str">
        <f>IF(M838="","",AND(Y839,IF(SUM(L846)&lt;0,OR(SUM(M839)&lt;SUM(L846)-MOD(SUM(L846),5%),M839&gt;=SUM(L846)+5%-MOD(SUM(L846),5%)),OR(SUM(M839)&lt;=SUM(L846)-MOD(SUM(L846),5%),SUM(M839)&gt;SUM(L846)+5%-MOD(SUM(L846),5%)))))</f>
        <v/>
      </c>
      <c r="Z840" s="1756" t="str">
        <f>IF(N838="","",AND(Z839,IF(SUM(M846)&lt;0,OR(SUM(N839)&lt;SUM(M846)-MOD(SUM(M846),5%),N839&gt;=SUM(M846)+5%-MOD(SUM(M846),5%)),OR(SUM(N839)&lt;=SUM(M846)-MOD(SUM(M846),5%),SUM(N839)&gt;SUM(M846)+5%-MOD(SUM(M846),5%)))))</f>
        <v/>
      </c>
      <c r="AA840" s="2"/>
      <c r="AB840" s="343"/>
      <c r="AC840" s="2"/>
      <c r="AD840" s="2"/>
      <c r="AE840" s="349"/>
      <c r="AF840" s="349"/>
      <c r="AG840" s="349"/>
      <c r="AH840" s="349"/>
      <c r="AI840" s="349"/>
      <c r="AJ840" s="349"/>
      <c r="AK840" s="349"/>
      <c r="AL840" s="349"/>
      <c r="AM840" s="349"/>
    </row>
    <row r="841" spans="1:39" ht="12.75" customHeight="1" x14ac:dyDescent="0.25">
      <c r="A841" s="343"/>
      <c r="B841" s="178"/>
      <c r="C841" s="178"/>
      <c r="D841" s="1246" t="s">
        <v>23</v>
      </c>
      <c r="E841" s="1231" t="str">
        <f>Translations!$B$1490</f>
        <v>Preliminär verksamhetsnivå</v>
      </c>
      <c r="F841" s="1231"/>
      <c r="G841" s="1231"/>
      <c r="H841" s="1232" t="str">
        <f>H838</f>
        <v>t CO2e</v>
      </c>
      <c r="I841" s="1021" t="str">
        <f>IF(M823&lt;&gt;EUconst_Relevant,"",IF(AB823=FALSE,EUconst_NA,IF(V823&gt;($J$950-3),INDEX(H830:N830,MATCH($V823,H829:N829,0)),I838)))</f>
        <v/>
      </c>
      <c r="J841" s="1022" t="str">
        <f>IF($M823&lt;&gt;EUconst_Relevant,"",IF(V838&lt;2,SUM(J830),IF(V838&lt;3,SUM(I830),IF(V841="",I841,V841))))</f>
        <v/>
      </c>
      <c r="K841" s="1023" t="str">
        <f>IF($M823&lt;&gt;EUconst_Relevant,"",IF(W838&lt;2,SUM(K830),IF(W838&lt;3,SUM(J830),IF(W841="",J841,W841))))</f>
        <v/>
      </c>
      <c r="L841" s="1023" t="str">
        <f>IF($M823&lt;&gt;EUconst_Relevant,"",IF(X838&lt;2,SUM(L830),IF(X838&lt;3,SUM(K830),IF(X841="",K841,X841))))</f>
        <v/>
      </c>
      <c r="M841" s="1023" t="str">
        <f>IF($M823&lt;&gt;EUconst_Relevant,"",IF(Y838&lt;2,SUM(M830),IF(Y838&lt;3,SUM(L830),IF(Y841="",L841,Y841))))</f>
        <v/>
      </c>
      <c r="N841" s="1226" t="str">
        <f>IF($M823&lt;&gt;EUconst_Relevant,"",IF(Z838&lt;2,SUM(N830),IF(Z838&lt;3,SUM(M830),IF(Z841="",M841,Z841))))</f>
        <v/>
      </c>
      <c r="O841" s="918"/>
      <c r="P841" s="6"/>
      <c r="Q841" s="165" t="str">
        <f>EUconst_CNTR_HALprelim&amp;I823</f>
        <v>HALprelim_Delanläggning med processutsläpp, KL</v>
      </c>
      <c r="R841" s="2"/>
      <c r="S841" s="343"/>
      <c r="T841" s="343"/>
      <c r="U841" s="1079" t="s">
        <v>1851</v>
      </c>
      <c r="V841" s="1752" t="str">
        <f>IF(J838="","",IF(CNTR_ReportingYear&lt;J837,I840,IF($I841=0,J838,$I841*(1+J840))))</f>
        <v/>
      </c>
      <c r="W841" s="1752" t="str">
        <f>IF(K838="","",IF(CNTR_ReportingYear&lt;K837,J840,IF($I841=0,K838,$I841*(1+K840))))</f>
        <v/>
      </c>
      <c r="X841" s="1752" t="str">
        <f>IF(L838="","",IF(CNTR_ReportingYear&lt;L837,K840,IF($I841=0,L838,$I841*(1+L840))))</f>
        <v/>
      </c>
      <c r="Y841" s="1752" t="str">
        <f>IF(M838="","",IF(CNTR_ReportingYear&lt;M837,L840,IF($I841=0,M838,$I841*(1+M840))))</f>
        <v/>
      </c>
      <c r="Z841" s="1761" t="str">
        <f>IF(N838="","",IF(CNTR_ReportingYear&lt;N837,M840,IF($I841=0,N838,$I841*(1+N840))))</f>
        <v/>
      </c>
      <c r="AA841" s="2"/>
      <c r="AB841" s="343"/>
      <c r="AC841" s="2"/>
      <c r="AD841" s="2"/>
      <c r="AE841" s="349"/>
      <c r="AF841" s="349"/>
      <c r="AG841" s="349"/>
      <c r="AH841" s="349"/>
      <c r="AI841" s="349"/>
      <c r="AJ841" s="349"/>
      <c r="AK841" s="349"/>
      <c r="AL841" s="349"/>
      <c r="AM841" s="349"/>
    </row>
    <row r="842" spans="1:39" ht="5.15" customHeight="1" x14ac:dyDescent="0.25">
      <c r="A842" s="343"/>
      <c r="B842" s="178"/>
      <c r="C842" s="178"/>
      <c r="D842" s="1242"/>
      <c r="E842" s="1244"/>
      <c r="F842" s="1244"/>
      <c r="G842" s="1244"/>
      <c r="H842" s="1244"/>
      <c r="I842" s="1244"/>
      <c r="J842" s="1236"/>
      <c r="K842" s="1236"/>
      <c r="L842" s="1236"/>
      <c r="M842" s="1236"/>
      <c r="N842" s="1247"/>
      <c r="O842" s="15"/>
      <c r="P842" s="15"/>
      <c r="Q842" s="343"/>
      <c r="R842" s="2"/>
      <c r="S842" s="2"/>
      <c r="T842" s="2"/>
      <c r="U842" s="1086"/>
      <c r="V842" s="343"/>
      <c r="W842" s="2"/>
      <c r="X842" s="2"/>
      <c r="Y842" s="2"/>
      <c r="Z842" s="228"/>
      <c r="AA842" s="2"/>
      <c r="AB842" s="2"/>
      <c r="AC842" s="2"/>
      <c r="AD842" s="2"/>
      <c r="AE842" s="2"/>
      <c r="AF842" s="2"/>
      <c r="AG842" s="2"/>
      <c r="AH842" s="2"/>
      <c r="AI842" s="2"/>
      <c r="AJ842" s="343"/>
      <c r="AK842" s="343"/>
      <c r="AL842" s="343"/>
      <c r="AM842" s="349"/>
    </row>
    <row r="843" spans="1:39" ht="12.75" customHeight="1" x14ac:dyDescent="0.25">
      <c r="A843" s="343"/>
      <c r="B843" s="178"/>
      <c r="C843" s="178"/>
      <c r="D843" s="1242"/>
      <c r="E843" s="1234" t="str">
        <f>Translations!$B$1475</f>
        <v>Faktisk justering (grund för följande år)</v>
      </c>
      <c r="F843" s="1234"/>
      <c r="G843" s="1234"/>
      <c r="H843" s="1234"/>
      <c r="I843" s="1234"/>
      <c r="J843" s="1268">
        <f>J$950</f>
        <v>2021</v>
      </c>
      <c r="K843" s="1230">
        <f>K$950</f>
        <v>2022</v>
      </c>
      <c r="L843" s="1230">
        <f>L$950</f>
        <v>2023</v>
      </c>
      <c r="M843" s="1230">
        <f>M$950</f>
        <v>2024</v>
      </c>
      <c r="N843" s="1258">
        <f>N$950</f>
        <v>2025</v>
      </c>
      <c r="O843" s="15"/>
      <c r="P843" s="15"/>
      <c r="Q843" s="343"/>
      <c r="R843" s="2"/>
      <c r="S843" s="2"/>
      <c r="T843" s="2"/>
      <c r="U843" s="584"/>
      <c r="V843" s="2"/>
      <c r="W843" s="2"/>
      <c r="X843" s="2"/>
      <c r="Y843" s="2"/>
      <c r="Z843" s="228"/>
      <c r="AA843" s="2"/>
      <c r="AB843" s="2"/>
      <c r="AC843" s="2"/>
      <c r="AD843" s="2"/>
      <c r="AE843" s="2"/>
      <c r="AF843" s="2"/>
      <c r="AG843" s="2"/>
      <c r="AH843" s="2"/>
      <c r="AI843" s="2"/>
      <c r="AJ843" s="343"/>
      <c r="AK843" s="343"/>
      <c r="AL843" s="343"/>
      <c r="AM843" s="349"/>
    </row>
    <row r="844" spans="1:39" ht="12.75" customHeight="1" x14ac:dyDescent="0.25">
      <c r="A844" s="343"/>
      <c r="B844" s="178"/>
      <c r="C844" s="178"/>
      <c r="D844" s="1246" t="s">
        <v>10</v>
      </c>
      <c r="E844" s="1231" t="str">
        <f>Translations!$B$1476</f>
        <v>&gt;= 100 utsläppsrätter kriterium uppnått?</v>
      </c>
      <c r="F844" s="1231"/>
      <c r="G844" s="1231"/>
      <c r="H844" s="1231"/>
      <c r="I844" s="1231"/>
      <c r="J844" s="994" t="str">
        <f>IF($M823&lt;&gt;EUconst_Relevant,"",INDEX(K_Summary!J:J,MATCH($Q844,K_Summary!$P:$P,0)))</f>
        <v/>
      </c>
      <c r="K844" s="912" t="str">
        <f>IF($M823&lt;&gt;EUconst_Relevant,"",INDEX(K_Summary!K:K,MATCH($Q844,K_Summary!$P:$P,0)))</f>
        <v/>
      </c>
      <c r="L844" s="912" t="str">
        <f>IF($M823&lt;&gt;EUconst_Relevant,"",INDEX(K_Summary!L:L,MATCH($Q844,K_Summary!$P:$P,0)))</f>
        <v/>
      </c>
      <c r="M844" s="912" t="str">
        <f>IF($M823&lt;&gt;EUconst_Relevant,"",INDEX(K_Summary!M:M,MATCH($Q844,K_Summary!$P:$P,0)))</f>
        <v/>
      </c>
      <c r="N844" s="1221" t="str">
        <f>IF($M823&lt;&gt;EUconst_Relevant,"",INDEX(K_Summary!N:N,MATCH($Q844,K_Summary!$P:$P,0)))</f>
        <v/>
      </c>
      <c r="O844" s="15"/>
      <c r="P844" s="15"/>
      <c r="Q844" s="672" t="str">
        <f>EUconst_CNTR_100EUA_ActivityLevel&amp;I823</f>
        <v>EUA100AL_Delanläggning med processutsläpp, KL</v>
      </c>
      <c r="R844" s="2"/>
      <c r="S844" s="2"/>
      <c r="T844" s="2"/>
      <c r="U844" s="584"/>
      <c r="V844" s="1123"/>
      <c r="W844" s="1123"/>
      <c r="X844" s="1123"/>
      <c r="Y844" s="1123"/>
      <c r="Z844" s="228"/>
      <c r="AA844" s="2"/>
      <c r="AB844" s="2"/>
      <c r="AC844" s="2"/>
      <c r="AD844" s="2"/>
      <c r="AE844" s="2"/>
      <c r="AF844" s="2"/>
      <c r="AG844" s="2"/>
      <c r="AH844" s="2"/>
      <c r="AI844" s="2"/>
      <c r="AJ844" s="343"/>
      <c r="AK844" s="343"/>
      <c r="AL844" s="343"/>
      <c r="AM844" s="349"/>
    </row>
    <row r="845" spans="1:39" ht="5.15" customHeight="1" thickBot="1" x14ac:dyDescent="0.3">
      <c r="A845" s="343"/>
      <c r="B845" s="178"/>
      <c r="C845" s="178"/>
      <c r="D845" s="1242"/>
      <c r="E845" s="1244"/>
      <c r="F845" s="1244"/>
      <c r="G845" s="1244"/>
      <c r="H845" s="1244"/>
      <c r="I845" s="1244"/>
      <c r="J845" s="1244"/>
      <c r="K845" s="1244"/>
      <c r="L845" s="1244"/>
      <c r="M845" s="1244"/>
      <c r="N845" s="1248"/>
      <c r="O845" s="15"/>
      <c r="P845" s="15"/>
      <c r="Q845" s="343"/>
      <c r="R845" s="2"/>
      <c r="S845" s="2"/>
      <c r="T845" s="2"/>
      <c r="U845" s="1086"/>
      <c r="V845" s="343"/>
      <c r="W845" s="2"/>
      <c r="X845" s="2"/>
      <c r="Y845" s="2"/>
      <c r="Z845" s="228"/>
      <c r="AA845" s="2"/>
      <c r="AB845" s="2"/>
      <c r="AC845" s="2"/>
      <c r="AD845" s="2"/>
      <c r="AE845" s="2"/>
      <c r="AF845" s="2"/>
      <c r="AG845" s="2"/>
      <c r="AH845" s="2"/>
      <c r="AI845" s="2"/>
      <c r="AJ845" s="343"/>
      <c r="AK845" s="343"/>
      <c r="AL845" s="343"/>
      <c r="AM845" s="349"/>
    </row>
    <row r="846" spans="1:39" ht="12.75" customHeight="1" thickBot="1" x14ac:dyDescent="0.3">
      <c r="A846" s="2"/>
      <c r="B846" s="178"/>
      <c r="C846" s="178"/>
      <c r="D846" s="1246" t="s">
        <v>23</v>
      </c>
      <c r="E846" s="1231" t="str">
        <f>Translations!$B$1477</f>
        <v>Faktisk justering (om alla tröskelvärden överskrids)</v>
      </c>
      <c r="F846" s="1231"/>
      <c r="G846" s="1231"/>
      <c r="H846" s="1233"/>
      <c r="I846" s="1237"/>
      <c r="J846" s="1099" t="str">
        <f>IF(J844="","",IF(J837&gt;$Z823,-100%,IF(OR(J844,V838&lt;1),J840,I846)))</f>
        <v/>
      </c>
      <c r="K846" s="1100" t="str">
        <f>IF(K844="","",IF(K837&gt;$Z823,-100%,IF(OR(K844,W838&lt;1),K840,J846)))</f>
        <v/>
      </c>
      <c r="L846" s="1100" t="str">
        <f>IF(L844="","",IF(L837&gt;$Z823,-100%,IF(OR(L844,X838&lt;1),L840,K846)))</f>
        <v/>
      </c>
      <c r="M846" s="1100" t="str">
        <f>IF(M844="","",IF(M837&gt;$Z823,-100%,IF(OR(M844,Y838&lt;1),M840,L846)))</f>
        <v/>
      </c>
      <c r="N846" s="1101" t="str">
        <f>IF(N844="","",IF(N837&gt;$Z823,-100%,IF(OR(N844,Z838&lt;1),N840,M846)))</f>
        <v/>
      </c>
      <c r="O846" s="15"/>
      <c r="P846" s="918"/>
      <c r="Q846" s="165" t="str">
        <f>EUconst_CNTR_HALAdjPct &amp; I823</f>
        <v>HALAdjPct_Delanläggning med processutsläpp, KL</v>
      </c>
      <c r="R846" s="2"/>
      <c r="S846" s="2"/>
      <c r="T846" s="2"/>
      <c r="U846" s="1086" t="s">
        <v>1858</v>
      </c>
      <c r="V846" s="1068">
        <f>J843</f>
        <v>2021</v>
      </c>
      <c r="W846" s="1068">
        <f>K843</f>
        <v>2022</v>
      </c>
      <c r="X846" s="1068">
        <f>L843</f>
        <v>2023</v>
      </c>
      <c r="Y846" s="1068">
        <f>M843</f>
        <v>2024</v>
      </c>
      <c r="Z846" s="1087">
        <f>N843</f>
        <v>2025</v>
      </c>
      <c r="AA846" s="2"/>
      <c r="AB846" s="2"/>
      <c r="AC846" s="2"/>
      <c r="AD846" s="2"/>
      <c r="AE846" s="2"/>
      <c r="AF846" s="2"/>
      <c r="AG846" s="2"/>
      <c r="AH846" s="2"/>
      <c r="AI846" s="2"/>
      <c r="AJ846" s="343"/>
      <c r="AK846" s="343"/>
      <c r="AL846" s="343"/>
      <c r="AM846" s="349"/>
    </row>
    <row r="847" spans="1:39" ht="12.75" customHeight="1" thickBot="1" x14ac:dyDescent="0.3">
      <c r="A847" s="343"/>
      <c r="B847" s="178"/>
      <c r="C847" s="178"/>
      <c r="D847" s="1246" t="s">
        <v>859</v>
      </c>
      <c r="E847" s="1231" t="str">
        <f>Translations!$B$1478</f>
        <v>Faktiskt värde</v>
      </c>
      <c r="F847" s="1231"/>
      <c r="G847" s="1231"/>
      <c r="H847" s="917" t="str">
        <f>H838</f>
        <v>t CO2e</v>
      </c>
      <c r="I847" s="990" t="str">
        <f>I841</f>
        <v/>
      </c>
      <c r="J847" s="1072" t="str">
        <f>IF($M823&lt;&gt;EUconst_Relevant,"",IF(OR($I847=0,J846="",$I847=EUconst_NA),IF(OR(J844=TRUE,J843&lt;=$V823),J841,SUM(I847)),$I847*(1+SUM(J846))))</f>
        <v/>
      </c>
      <c r="K847" s="1073" t="str">
        <f>IF($M823&lt;&gt;EUconst_Relevant,"",IF(OR($I847=0,K846="",$I847=EUconst_NA),IF(OR(K844=TRUE,K843&lt;=$V823),K841,SUM(J847)),$I847*(1+SUM(K846))))</f>
        <v/>
      </c>
      <c r="L847" s="1073" t="str">
        <f>IF($M823&lt;&gt;EUconst_Relevant,"",IF(OR($I847=0,L846="",$I847=EUconst_NA),IF(OR(L844=TRUE,L843&lt;=$V823),L841,SUM(K847)),$I847*(1+SUM(L846))))</f>
        <v/>
      </c>
      <c r="M847" s="1073" t="str">
        <f>IF($M823&lt;&gt;EUconst_Relevant,"",IF(OR($I847=0,M846="",$I847=EUconst_NA),IF(OR(M844=TRUE,M843&lt;=$V823),M841,SUM(L847)),$I847*(1+SUM(M846))))</f>
        <v/>
      </c>
      <c r="N847" s="1074" t="str">
        <f>IF($M823&lt;&gt;EUconst_Relevant,"",IF(OR($I847=0,N846="",$I847=EUconst_NA),IF(OR(N844=TRUE,N843&lt;=$V823),N841,SUM(M847)),$I847*(1+SUM(N846))))</f>
        <v/>
      </c>
      <c r="O847" s="15"/>
      <c r="P847" s="15"/>
      <c r="Q847" s="672" t="str">
        <f>EUconst_CNTR_HALfinal&amp;I823</f>
        <v>HALfinal_Delanläggning med processutsläpp, KL</v>
      </c>
      <c r="R847" s="2"/>
      <c r="S847" s="2"/>
      <c r="T847" s="2"/>
      <c r="U847" s="1765" t="b">
        <v>0</v>
      </c>
      <c r="V847" s="1757" t="str">
        <f>IF(V830,IF(J844=TRUE,V839,U847),"")</f>
        <v/>
      </c>
      <c r="W847" s="1757" t="str">
        <f>IF(W830,IF(K844=TRUE,W839,V847),"")</f>
        <v/>
      </c>
      <c r="X847" s="1757" t="str">
        <f>IF(X830,IF(L844=TRUE,X839,W847),"")</f>
        <v/>
      </c>
      <c r="Y847" s="1757" t="str">
        <f>IF(Y830,IF(M844=TRUE,Y839,X847),"")</f>
        <v/>
      </c>
      <c r="Z847" s="1758" t="str">
        <f>IF(Z830,IF(N844=TRUE,Z839,Y847),"")</f>
        <v/>
      </c>
      <c r="AA847" s="2"/>
      <c r="AB847" s="2"/>
      <c r="AC847" s="2"/>
      <c r="AD847" s="2"/>
      <c r="AE847" s="2"/>
      <c r="AF847" s="2"/>
      <c r="AG847" s="2"/>
      <c r="AH847" s="2"/>
      <c r="AI847" s="2"/>
      <c r="AJ847" s="343"/>
      <c r="AK847" s="343"/>
      <c r="AL847" s="343"/>
      <c r="AM847" s="349"/>
    </row>
    <row r="848" spans="1:39" ht="5.15" customHeight="1" thickBot="1" x14ac:dyDescent="0.3">
      <c r="A848" s="2"/>
      <c r="B848" s="178"/>
      <c r="C848" s="178"/>
      <c r="D848" s="1282"/>
      <c r="E848" s="1272"/>
      <c r="F848" s="1272"/>
      <c r="G848" s="1272"/>
      <c r="H848" s="1272"/>
      <c r="I848" s="1272"/>
      <c r="J848" s="1272"/>
      <c r="K848" s="1272"/>
      <c r="L848" s="1272"/>
      <c r="M848" s="1272"/>
      <c r="N848" s="1273"/>
      <c r="O848" s="15"/>
      <c r="P848" s="15"/>
      <c r="Q848" s="343"/>
      <c r="R848" s="2"/>
      <c r="S848" s="2"/>
      <c r="T848" s="2"/>
      <c r="U848" s="343"/>
      <c r="V848" s="343"/>
      <c r="W848" s="2"/>
      <c r="X848" s="2"/>
      <c r="Y848" s="2"/>
      <c r="Z848" s="2"/>
      <c r="AA848" s="2"/>
      <c r="AB848" s="2"/>
      <c r="AC848" s="2"/>
      <c r="AD848" s="2"/>
      <c r="AE848" s="2"/>
      <c r="AF848" s="2"/>
      <c r="AG848" s="2"/>
      <c r="AH848" s="2"/>
      <c r="AI848" s="2"/>
      <c r="AJ848" s="343"/>
      <c r="AK848" s="343"/>
      <c r="AL848" s="343"/>
      <c r="AM848" s="349"/>
    </row>
    <row r="849" spans="1:39" ht="5.15" customHeight="1" x14ac:dyDescent="0.25">
      <c r="A849" s="343"/>
      <c r="B849" s="19"/>
      <c r="C849" s="3"/>
      <c r="D849" s="3"/>
      <c r="E849" s="3"/>
      <c r="F849" s="3"/>
      <c r="G849" s="3"/>
      <c r="H849" s="3"/>
      <c r="I849" s="3"/>
      <c r="J849" s="3"/>
      <c r="K849" s="3"/>
      <c r="L849" s="3"/>
      <c r="M849" s="3"/>
      <c r="N849" s="3"/>
      <c r="O849" s="6"/>
      <c r="P849" s="6"/>
      <c r="Q849" s="2"/>
      <c r="R849" s="2"/>
      <c r="S849" s="343"/>
      <c r="T849" s="343"/>
      <c r="U849" s="2"/>
      <c r="V849" s="2"/>
      <c r="W849" s="2"/>
      <c r="X849" s="2"/>
      <c r="Y849" s="2"/>
      <c r="Z849" s="343"/>
      <c r="AA849" s="343"/>
      <c r="AB849" s="343"/>
      <c r="AC849" s="2"/>
      <c r="AD849" s="2"/>
      <c r="AE849" s="349"/>
      <c r="AF849" s="349"/>
      <c r="AG849" s="349"/>
      <c r="AH849" s="349"/>
      <c r="AI849" s="349"/>
      <c r="AJ849" s="349"/>
      <c r="AK849" s="349"/>
      <c r="AL849" s="349"/>
      <c r="AM849" s="349"/>
    </row>
    <row r="850" spans="1:39" ht="14" x14ac:dyDescent="0.3">
      <c r="A850" s="343"/>
      <c r="B850" s="19"/>
      <c r="C850" s="18"/>
      <c r="D850" s="2053" t="str">
        <f>Translations!$B$541</f>
        <v>Produktionsuppgifter</v>
      </c>
      <c r="E850" s="1963"/>
      <c r="F850" s="1963"/>
      <c r="G850" s="1963"/>
      <c r="H850" s="1963"/>
      <c r="I850" s="1963"/>
      <c r="J850" s="1963"/>
      <c r="K850" s="1963"/>
      <c r="L850" s="1963"/>
      <c r="M850" s="1963"/>
      <c r="N850" s="1963"/>
      <c r="O850" s="6"/>
      <c r="P850" s="6"/>
      <c r="Q850" s="2"/>
      <c r="R850" s="2"/>
      <c r="S850" s="2"/>
      <c r="T850" s="2"/>
      <c r="U850" s="2"/>
      <c r="V850" s="2"/>
      <c r="W850" s="2"/>
      <c r="X850" s="2"/>
      <c r="Y850" s="2"/>
      <c r="Z850" s="7"/>
      <c r="AA850" s="7"/>
      <c r="AB850" s="7"/>
      <c r="AC850" s="7"/>
      <c r="AD850" s="2"/>
      <c r="AE850" s="349"/>
      <c r="AF850" s="349"/>
      <c r="AG850" s="349"/>
      <c r="AH850" s="349"/>
      <c r="AI850" s="349"/>
      <c r="AJ850" s="349"/>
      <c r="AK850" s="349"/>
      <c r="AL850" s="349"/>
      <c r="AM850" s="349"/>
    </row>
    <row r="851" spans="1:39" ht="5.15" customHeight="1" x14ac:dyDescent="0.25">
      <c r="A851" s="343"/>
      <c r="B851" s="3"/>
      <c r="C851" s="3"/>
      <c r="D851" s="3"/>
      <c r="E851" s="3"/>
      <c r="F851" s="3"/>
      <c r="G851" s="3"/>
      <c r="H851" s="3"/>
      <c r="I851" s="3"/>
      <c r="J851" s="3"/>
      <c r="K851" s="3"/>
      <c r="L851" s="3"/>
      <c r="M851" s="3"/>
      <c r="N851" s="3"/>
      <c r="O851" s="6"/>
      <c r="P851" s="6"/>
      <c r="Q851" s="7"/>
      <c r="R851" s="7"/>
      <c r="S851" s="2"/>
      <c r="T851" s="2"/>
      <c r="U851" s="2"/>
      <c r="V851" s="2"/>
      <c r="W851" s="2"/>
      <c r="X851" s="2"/>
      <c r="Y851" s="2"/>
      <c r="Z851" s="2"/>
      <c r="AA851" s="2"/>
      <c r="AB851" s="2"/>
      <c r="AC851" s="2"/>
      <c r="AD851" s="2"/>
      <c r="AE851" s="349"/>
      <c r="AF851" s="349"/>
      <c r="AG851" s="349"/>
      <c r="AH851" s="349"/>
      <c r="AI851" s="349"/>
      <c r="AJ851" s="349"/>
      <c r="AK851" s="349"/>
      <c r="AL851" s="349"/>
      <c r="AM851" s="349"/>
    </row>
    <row r="852" spans="1:39" s="534" customFormat="1" ht="13" x14ac:dyDescent="0.25">
      <c r="A852" s="343"/>
      <c r="B852" s="3"/>
      <c r="C852" s="13"/>
      <c r="D852" s="13" t="s">
        <v>955</v>
      </c>
      <c r="E852" s="1943" t="str">
        <f>Translations!$B$666</f>
        <v>Identifiering av relevanta produkter eller tjänster med koppling till delanläggningen</v>
      </c>
      <c r="F852" s="1963"/>
      <c r="G852" s="1963"/>
      <c r="H852" s="1963"/>
      <c r="I852" s="1963"/>
      <c r="J852" s="1963"/>
      <c r="K852" s="1963"/>
      <c r="L852" s="1963"/>
      <c r="M852" s="1963"/>
      <c r="N852" s="1963"/>
      <c r="O852" s="6"/>
      <c r="P852" s="6"/>
      <c r="Q852" s="7"/>
      <c r="R852" s="343"/>
      <c r="S852" s="343"/>
      <c r="T852" s="343"/>
      <c r="U852" s="343"/>
      <c r="V852" s="343"/>
      <c r="W852" s="343"/>
      <c r="X852" s="343"/>
      <c r="Y852" s="343"/>
      <c r="Z852" s="343"/>
      <c r="AA852" s="343"/>
      <c r="AB852" s="343"/>
      <c r="AC852" s="343"/>
      <c r="AD852" s="343"/>
      <c r="AE852" s="936"/>
      <c r="AF852" s="936"/>
      <c r="AG852" s="936"/>
      <c r="AH852" s="936"/>
      <c r="AI852" s="936"/>
      <c r="AJ852" s="936"/>
      <c r="AK852" s="936"/>
      <c r="AL852" s="936"/>
      <c r="AM852" s="349"/>
    </row>
    <row r="853" spans="1:39" s="534" customFormat="1" x14ac:dyDescent="0.25">
      <c r="A853" s="343"/>
      <c r="B853" s="3"/>
      <c r="C853" s="3"/>
      <c r="D853" s="15"/>
      <c r="E853" s="2061" t="str">
        <f>Translations!$B$723</f>
        <v>Delanläggningar av denna typ avser alltid produktion av varor som inte omfattas av produktriktmärken inom anläggningen.</v>
      </c>
      <c r="F853" s="1963"/>
      <c r="G853" s="1963"/>
      <c r="H853" s="1963"/>
      <c r="I853" s="1963"/>
      <c r="J853" s="1963"/>
      <c r="K853" s="1963"/>
      <c r="L853" s="1963"/>
      <c r="M853" s="1963"/>
      <c r="N853" s="1963"/>
      <c r="O853" s="6"/>
      <c r="P853" s="6"/>
      <c r="Q853" s="7"/>
      <c r="R853" s="7"/>
      <c r="S853" s="7"/>
      <c r="T853" s="7"/>
      <c r="U853" s="7"/>
      <c r="V853" s="7"/>
      <c r="W853" s="7"/>
      <c r="X853" s="7"/>
      <c r="Y853" s="7"/>
      <c r="Z853" s="343"/>
      <c r="AA853" s="343"/>
      <c r="AB853" s="343"/>
      <c r="AC853" s="343"/>
      <c r="AD853" s="343"/>
      <c r="AE853" s="936"/>
      <c r="AF853" s="936"/>
      <c r="AG853" s="936"/>
      <c r="AH853" s="936"/>
      <c r="AI853" s="936"/>
      <c r="AJ853" s="936"/>
      <c r="AK853" s="936"/>
      <c r="AL853" s="936"/>
      <c r="AM853" s="349"/>
    </row>
    <row r="854" spans="1:39" s="534" customFormat="1" ht="5.15" customHeight="1" x14ac:dyDescent="0.25">
      <c r="A854" s="343"/>
      <c r="B854" s="3"/>
      <c r="C854" s="3"/>
      <c r="D854" s="3"/>
      <c r="E854" s="3"/>
      <c r="F854" s="3"/>
      <c r="G854" s="3"/>
      <c r="H854" s="3"/>
      <c r="I854" s="3"/>
      <c r="J854" s="3"/>
      <c r="K854" s="3"/>
      <c r="L854" s="3"/>
      <c r="M854" s="3"/>
      <c r="N854" s="3"/>
      <c r="O854" s="6"/>
      <c r="P854" s="6"/>
      <c r="Q854" s="7"/>
      <c r="R854" s="7"/>
      <c r="S854" s="343"/>
      <c r="T854" s="343"/>
      <c r="U854" s="343"/>
      <c r="V854" s="343"/>
      <c r="W854" s="343"/>
      <c r="X854" s="343"/>
      <c r="Y854" s="343"/>
      <c r="Z854" s="343"/>
      <c r="AA854" s="343"/>
      <c r="AB854" s="343"/>
      <c r="AC854" s="343"/>
      <c r="AD854" s="343"/>
      <c r="AE854" s="936"/>
      <c r="AF854" s="936"/>
      <c r="AG854" s="936"/>
      <c r="AH854" s="936"/>
      <c r="AI854" s="936"/>
      <c r="AJ854" s="936"/>
      <c r="AK854" s="936"/>
      <c r="AL854" s="936"/>
      <c r="AM854" s="349"/>
    </row>
    <row r="855" spans="1:39" s="534" customFormat="1" ht="25.5" customHeight="1" x14ac:dyDescent="0.3">
      <c r="A855" s="343"/>
      <c r="B855" s="15"/>
      <c r="C855" s="15"/>
      <c r="D855" s="38"/>
      <c r="E855" s="197" t="str">
        <f>Translations!$B$724</f>
        <v>Typ av processutsläpp</v>
      </c>
      <c r="F855" s="24"/>
      <c r="G855" s="198"/>
      <c r="H855" s="2734" t="str">
        <f>Translations!$B$713</f>
        <v>Produktnamn eller typ av tjänst</v>
      </c>
      <c r="I855" s="2106"/>
      <c r="J855" s="2106"/>
      <c r="K855" s="2106"/>
      <c r="L855" s="2107"/>
      <c r="M855" s="321" t="s">
        <v>1030</v>
      </c>
      <c r="N855" s="15"/>
      <c r="O855" s="6"/>
      <c r="P855" s="6"/>
      <c r="Q855" s="343"/>
      <c r="R855" s="343"/>
      <c r="S855" s="7"/>
      <c r="T855" s="711">
        <f t="shared" ref="T855:Z855" si="357">H829</f>
        <v>2019</v>
      </c>
      <c r="U855" s="711">
        <f t="shared" si="357"/>
        <v>2020</v>
      </c>
      <c r="V855" s="711">
        <f t="shared" si="357"/>
        <v>2021</v>
      </c>
      <c r="W855" s="711">
        <f t="shared" si="357"/>
        <v>2022</v>
      </c>
      <c r="X855" s="711">
        <f t="shared" si="357"/>
        <v>2023</v>
      </c>
      <c r="Y855" s="711">
        <f t="shared" si="357"/>
        <v>2024</v>
      </c>
      <c r="Z855" s="711">
        <f t="shared" si="357"/>
        <v>2025</v>
      </c>
      <c r="AA855" s="343"/>
      <c r="AB855" s="343"/>
      <c r="AC855" s="343"/>
      <c r="AD855" s="343"/>
      <c r="AE855" s="936"/>
      <c r="AF855" s="936"/>
      <c r="AG855" s="936"/>
      <c r="AH855" s="936"/>
      <c r="AI855" s="936"/>
      <c r="AJ855" s="936"/>
      <c r="AK855" s="936"/>
      <c r="AL855" s="936"/>
      <c r="AM855" s="349"/>
    </row>
    <row r="856" spans="1:39" s="534" customFormat="1" ht="13" x14ac:dyDescent="0.3">
      <c r="A856" s="343"/>
      <c r="B856" s="15"/>
      <c r="C856" s="15"/>
      <c r="D856" s="456">
        <v>1</v>
      </c>
      <c r="E856" s="2737"/>
      <c r="F856" s="2738"/>
      <c r="G856" s="2739"/>
      <c r="H856" s="2249"/>
      <c r="I856" s="2735"/>
      <c r="J856" s="2735"/>
      <c r="K856" s="2735"/>
      <c r="L856" s="2736"/>
      <c r="M856" s="432"/>
      <c r="N856" s="15"/>
      <c r="O856" s="6"/>
      <c r="P856" s="6"/>
      <c r="Q856" s="343"/>
      <c r="R856" s="343"/>
      <c r="S856" s="665" t="str">
        <f>EUconst_CNTR_AttributedEmissions &amp;I823</f>
        <v>AttrEmissions_Delanläggning med processutsläpp, KL</v>
      </c>
      <c r="T856" s="165" t="str">
        <f t="shared" ref="T856:Z856" si="358">IF(T830,SUM(H830),"")</f>
        <v/>
      </c>
      <c r="U856" s="165" t="str">
        <f t="shared" si="358"/>
        <v/>
      </c>
      <c r="V856" s="165" t="str">
        <f t="shared" si="358"/>
        <v/>
      </c>
      <c r="W856" s="165" t="str">
        <f t="shared" si="358"/>
        <v/>
      </c>
      <c r="X856" s="165" t="str">
        <f t="shared" si="358"/>
        <v/>
      </c>
      <c r="Y856" s="165" t="str">
        <f t="shared" si="358"/>
        <v/>
      </c>
      <c r="Z856" s="165" t="str">
        <f t="shared" si="358"/>
        <v/>
      </c>
      <c r="AA856" s="343"/>
      <c r="AB856" s="343"/>
      <c r="AC856" s="343"/>
      <c r="AD856" s="343"/>
      <c r="AE856" s="936"/>
      <c r="AF856" s="936"/>
      <c r="AG856" s="936"/>
      <c r="AH856" s="936"/>
      <c r="AI856" s="936"/>
      <c r="AJ856" s="936"/>
      <c r="AK856" s="553" t="s">
        <v>2248</v>
      </c>
      <c r="AL856" s="663" t="str">
        <f>IF(AND($M823=EUconst_Relevant,COUNTA(E856:L856)&lt;2),EUconst_Error&amp;"FB"&amp;Q823,"")</f>
        <v/>
      </c>
      <c r="AM856" s="349"/>
    </row>
    <row r="857" spans="1:39" s="534" customFormat="1" x14ac:dyDescent="0.25">
      <c r="A857" s="343"/>
      <c r="B857" s="15"/>
      <c r="C857" s="15"/>
      <c r="D857" s="459">
        <f>D856+1</f>
        <v>2</v>
      </c>
      <c r="E857" s="2677"/>
      <c r="F857" s="2678"/>
      <c r="G857" s="2679"/>
      <c r="H857" s="2262"/>
      <c r="I857" s="2699"/>
      <c r="J857" s="2699"/>
      <c r="K857" s="2699"/>
      <c r="L857" s="2700"/>
      <c r="M857" s="433"/>
      <c r="N857" s="15"/>
      <c r="O857" s="6"/>
      <c r="P857" s="6"/>
      <c r="Q857" s="343"/>
      <c r="R857" s="343"/>
      <c r="S857" s="343"/>
      <c r="T857" s="343"/>
      <c r="U857" s="343"/>
      <c r="V857" s="343"/>
      <c r="W857" s="343"/>
      <c r="X857" s="343"/>
      <c r="Y857" s="343"/>
      <c r="Z857" s="343"/>
      <c r="AA857" s="343"/>
      <c r="AB857" s="343"/>
      <c r="AC857" s="343"/>
      <c r="AD857" s="343"/>
      <c r="AE857" s="936"/>
      <c r="AF857" s="936"/>
      <c r="AG857" s="936"/>
      <c r="AH857" s="936"/>
      <c r="AI857" s="936"/>
      <c r="AJ857" s="936"/>
      <c r="AK857" s="349"/>
      <c r="AL857" s="349"/>
      <c r="AM857" s="349"/>
    </row>
    <row r="858" spans="1:39" s="534" customFormat="1" x14ac:dyDescent="0.25">
      <c r="A858" s="343"/>
      <c r="B858" s="15"/>
      <c r="C858" s="15"/>
      <c r="D858" s="459">
        <f t="shared" ref="D858:D865" si="359">D857+1</f>
        <v>3</v>
      </c>
      <c r="E858" s="2677"/>
      <c r="F858" s="2678"/>
      <c r="G858" s="2679"/>
      <c r="H858" s="2262"/>
      <c r="I858" s="2699"/>
      <c r="J858" s="2699"/>
      <c r="K858" s="2699"/>
      <c r="L858" s="2700"/>
      <c r="M858" s="433"/>
      <c r="N858" s="15"/>
      <c r="O858" s="6"/>
      <c r="P858" s="6"/>
      <c r="Q858" s="343"/>
      <c r="R858" s="343"/>
      <c r="S858" s="343"/>
      <c r="T858" s="343"/>
      <c r="U858" s="343"/>
      <c r="V858" s="343"/>
      <c r="W858" s="343"/>
      <c r="X858" s="343"/>
      <c r="Y858" s="343"/>
      <c r="Z858" s="343"/>
      <c r="AA858" s="343"/>
      <c r="AB858" s="343"/>
      <c r="AC858" s="343"/>
      <c r="AD858" s="343"/>
      <c r="AE858" s="936"/>
      <c r="AF858" s="936"/>
      <c r="AG858" s="936"/>
      <c r="AH858" s="936"/>
      <c r="AI858" s="936"/>
      <c r="AJ858" s="936"/>
      <c r="AK858" s="349"/>
      <c r="AL858" s="349"/>
      <c r="AM858" s="349"/>
    </row>
    <row r="859" spans="1:39" s="534" customFormat="1" x14ac:dyDescent="0.25">
      <c r="A859" s="343"/>
      <c r="B859" s="15"/>
      <c r="C859" s="15"/>
      <c r="D859" s="459">
        <f t="shared" si="359"/>
        <v>4</v>
      </c>
      <c r="E859" s="2677"/>
      <c r="F859" s="2678"/>
      <c r="G859" s="2679"/>
      <c r="H859" s="2262"/>
      <c r="I859" s="2699"/>
      <c r="J859" s="2699"/>
      <c r="K859" s="2699"/>
      <c r="L859" s="2700"/>
      <c r="M859" s="433"/>
      <c r="N859" s="15"/>
      <c r="O859" s="6"/>
      <c r="P859" s="6"/>
      <c r="Q859" s="343"/>
      <c r="R859" s="343"/>
      <c r="S859" s="343"/>
      <c r="T859" s="343"/>
      <c r="U859" s="343"/>
      <c r="V859" s="343"/>
      <c r="W859" s="343"/>
      <c r="X859" s="343"/>
      <c r="Y859" s="343"/>
      <c r="Z859" s="343"/>
      <c r="AA859" s="343"/>
      <c r="AB859" s="343"/>
      <c r="AC859" s="343"/>
      <c r="AD859" s="343"/>
      <c r="AE859" s="936"/>
      <c r="AF859" s="936"/>
      <c r="AG859" s="936"/>
      <c r="AH859" s="936"/>
      <c r="AI859" s="936"/>
      <c r="AJ859" s="936"/>
      <c r="AK859" s="349"/>
      <c r="AL859" s="349"/>
      <c r="AM859" s="349"/>
    </row>
    <row r="860" spans="1:39" s="534" customFormat="1" x14ac:dyDescent="0.25">
      <c r="A860" s="343"/>
      <c r="B860" s="15"/>
      <c r="C860" s="15"/>
      <c r="D860" s="459">
        <f t="shared" si="359"/>
        <v>5</v>
      </c>
      <c r="E860" s="2677"/>
      <c r="F860" s="2678"/>
      <c r="G860" s="2679"/>
      <c r="H860" s="2262"/>
      <c r="I860" s="2699"/>
      <c r="J860" s="2699"/>
      <c r="K860" s="2699"/>
      <c r="L860" s="2700"/>
      <c r="M860" s="433"/>
      <c r="N860" s="15"/>
      <c r="O860" s="6"/>
      <c r="P860" s="6"/>
      <c r="Q860" s="343"/>
      <c r="R860" s="343"/>
      <c r="S860" s="343"/>
      <c r="T860" s="343"/>
      <c r="U860" s="343"/>
      <c r="V860" s="343"/>
      <c r="W860" s="343"/>
      <c r="X860" s="343"/>
      <c r="Y860" s="343"/>
      <c r="Z860" s="343"/>
      <c r="AA860" s="343"/>
      <c r="AB860" s="343"/>
      <c r="AC860" s="343"/>
      <c r="AD860" s="343"/>
      <c r="AE860" s="936"/>
      <c r="AF860" s="936"/>
      <c r="AG860" s="936"/>
      <c r="AH860" s="936"/>
      <c r="AI860" s="936"/>
      <c r="AJ860" s="936"/>
      <c r="AK860" s="349"/>
      <c r="AL860" s="349"/>
      <c r="AM860" s="349"/>
    </row>
    <row r="861" spans="1:39" s="534" customFormat="1" x14ac:dyDescent="0.25">
      <c r="A861" s="343"/>
      <c r="B861" s="15"/>
      <c r="C861" s="15"/>
      <c r="D861" s="459">
        <f t="shared" si="359"/>
        <v>6</v>
      </c>
      <c r="E861" s="2677"/>
      <c r="F861" s="2678"/>
      <c r="G861" s="2679"/>
      <c r="H861" s="2262"/>
      <c r="I861" s="2699"/>
      <c r="J861" s="2699"/>
      <c r="K861" s="2699"/>
      <c r="L861" s="2700"/>
      <c r="M861" s="433"/>
      <c r="N861" s="15"/>
      <c r="O861" s="6"/>
      <c r="P861" s="6"/>
      <c r="Q861" s="343"/>
      <c r="R861" s="343"/>
      <c r="S861" s="343"/>
      <c r="T861" s="343"/>
      <c r="U861" s="343"/>
      <c r="V861" s="343"/>
      <c r="W861" s="343"/>
      <c r="X861" s="343"/>
      <c r="Y861" s="343"/>
      <c r="Z861" s="343"/>
      <c r="AA861" s="343"/>
      <c r="AB861" s="343"/>
      <c r="AC861" s="343"/>
      <c r="AD861" s="343"/>
      <c r="AE861" s="936"/>
      <c r="AF861" s="936"/>
      <c r="AG861" s="936"/>
      <c r="AH861" s="936"/>
      <c r="AI861" s="936"/>
      <c r="AJ861" s="936"/>
      <c r="AK861" s="349"/>
      <c r="AL861" s="349"/>
      <c r="AM861" s="349"/>
    </row>
    <row r="862" spans="1:39" s="534" customFormat="1" x14ac:dyDescent="0.25">
      <c r="A862" s="343"/>
      <c r="B862" s="15"/>
      <c r="C862" s="15"/>
      <c r="D862" s="459">
        <f t="shared" si="359"/>
        <v>7</v>
      </c>
      <c r="E862" s="2677"/>
      <c r="F862" s="2678"/>
      <c r="G862" s="2679"/>
      <c r="H862" s="2262"/>
      <c r="I862" s="2699"/>
      <c r="J862" s="2699"/>
      <c r="K862" s="2699"/>
      <c r="L862" s="2700"/>
      <c r="M862" s="433"/>
      <c r="N862" s="15"/>
      <c r="O862" s="6"/>
      <c r="P862" s="6"/>
      <c r="Q862" s="343"/>
      <c r="R862" s="343"/>
      <c r="S862" s="343"/>
      <c r="T862" s="343"/>
      <c r="U862" s="343"/>
      <c r="V862" s="343"/>
      <c r="W862" s="343"/>
      <c r="X862" s="343"/>
      <c r="Y862" s="343"/>
      <c r="Z862" s="343"/>
      <c r="AA862" s="343"/>
      <c r="AB862" s="343"/>
      <c r="AC862" s="343"/>
      <c r="AD862" s="343"/>
      <c r="AE862" s="936"/>
      <c r="AF862" s="936"/>
      <c r="AG862" s="936"/>
      <c r="AH862" s="936"/>
      <c r="AI862" s="936"/>
      <c r="AJ862" s="936"/>
      <c r="AK862" s="349"/>
      <c r="AL862" s="349"/>
      <c r="AM862" s="936"/>
    </row>
    <row r="863" spans="1:39" s="534" customFormat="1" x14ac:dyDescent="0.25">
      <c r="A863" s="343"/>
      <c r="B863" s="15"/>
      <c r="C863" s="15"/>
      <c r="D863" s="459">
        <f t="shared" si="359"/>
        <v>8</v>
      </c>
      <c r="E863" s="2677"/>
      <c r="F863" s="2678"/>
      <c r="G863" s="2679"/>
      <c r="H863" s="2262"/>
      <c r="I863" s="2699"/>
      <c r="J863" s="2699"/>
      <c r="K863" s="2699"/>
      <c r="L863" s="2700"/>
      <c r="M863" s="433"/>
      <c r="N863" s="15"/>
      <c r="O863" s="6"/>
      <c r="P863" s="6"/>
      <c r="Q863" s="343"/>
      <c r="R863" s="343"/>
      <c r="S863" s="343"/>
      <c r="T863" s="343"/>
      <c r="U863" s="343"/>
      <c r="V863" s="343"/>
      <c r="W863" s="343"/>
      <c r="X863" s="343"/>
      <c r="Y863" s="343"/>
      <c r="Z863" s="343"/>
      <c r="AA863" s="343"/>
      <c r="AB863" s="343"/>
      <c r="AC863" s="343"/>
      <c r="AD863" s="343"/>
      <c r="AE863" s="936"/>
      <c r="AF863" s="936"/>
      <c r="AG863" s="936"/>
      <c r="AH863" s="936"/>
      <c r="AI863" s="936"/>
      <c r="AJ863" s="936"/>
      <c r="AK863" s="349"/>
      <c r="AL863" s="349"/>
      <c r="AM863" s="936"/>
    </row>
    <row r="864" spans="1:39" s="534" customFormat="1" x14ac:dyDescent="0.25">
      <c r="A864" s="343"/>
      <c r="B864" s="15"/>
      <c r="C864" s="15"/>
      <c r="D864" s="459">
        <f t="shared" si="359"/>
        <v>9</v>
      </c>
      <c r="E864" s="2677"/>
      <c r="F864" s="2678"/>
      <c r="G864" s="2679"/>
      <c r="H864" s="2262"/>
      <c r="I864" s="2699"/>
      <c r="J864" s="2699"/>
      <c r="K864" s="2699"/>
      <c r="L864" s="2700"/>
      <c r="M864" s="433"/>
      <c r="N864" s="15"/>
      <c r="O864" s="6"/>
      <c r="P864" s="6"/>
      <c r="Q864" s="343"/>
      <c r="R864" s="343"/>
      <c r="S864" s="343"/>
      <c r="T864" s="343"/>
      <c r="U864" s="343"/>
      <c r="V864" s="343"/>
      <c r="W864" s="343"/>
      <c r="X864" s="343"/>
      <c r="Y864" s="343"/>
      <c r="Z864" s="343"/>
      <c r="AA864" s="343"/>
      <c r="AB864" s="343"/>
      <c r="AC864" s="343"/>
      <c r="AD864" s="343"/>
      <c r="AE864" s="936"/>
      <c r="AF864" s="936"/>
      <c r="AG864" s="936"/>
      <c r="AH864" s="936"/>
      <c r="AI864" s="936"/>
      <c r="AJ864" s="936"/>
      <c r="AK864" s="349"/>
      <c r="AL864" s="349"/>
      <c r="AM864" s="936"/>
    </row>
    <row r="865" spans="1:39" s="534" customFormat="1" x14ac:dyDescent="0.25">
      <c r="A865" s="343"/>
      <c r="B865" s="15"/>
      <c r="C865" s="15"/>
      <c r="D865" s="461">
        <f t="shared" si="359"/>
        <v>10</v>
      </c>
      <c r="E865" s="2701"/>
      <c r="F865" s="2702"/>
      <c r="G865" s="2703"/>
      <c r="H865" s="2234"/>
      <c r="I865" s="2732"/>
      <c r="J865" s="2732"/>
      <c r="K865" s="2732"/>
      <c r="L865" s="2733"/>
      <c r="M865" s="434"/>
      <c r="N865" s="15"/>
      <c r="O865" s="6"/>
      <c r="P865" s="6"/>
      <c r="Q865" s="343"/>
      <c r="R865" s="343"/>
      <c r="S865" s="343"/>
      <c r="T865" s="343"/>
      <c r="U865" s="343"/>
      <c r="V865" s="343"/>
      <c r="W865" s="343"/>
      <c r="X865" s="343"/>
      <c r="Y865" s="343"/>
      <c r="Z865" s="343"/>
      <c r="AA865" s="343"/>
      <c r="AB865" s="343"/>
      <c r="AC865" s="343"/>
      <c r="AD865" s="343"/>
      <c r="AE865" s="936"/>
      <c r="AF865" s="936"/>
      <c r="AG865" s="936"/>
      <c r="AH865" s="936"/>
      <c r="AI865" s="936"/>
      <c r="AJ865" s="936"/>
      <c r="AK865" s="349"/>
      <c r="AL865" s="349"/>
      <c r="AM865" s="936"/>
    </row>
    <row r="866" spans="1:39" s="534" customFormat="1" ht="5.15" customHeight="1" x14ac:dyDescent="0.25">
      <c r="A866" s="343"/>
      <c r="B866" s="3"/>
      <c r="C866" s="15"/>
      <c r="D866" s="15"/>
      <c r="E866" s="16"/>
      <c r="F866" s="16"/>
      <c r="G866" s="16"/>
      <c r="H866" s="16"/>
      <c r="I866" s="16"/>
      <c r="J866" s="20"/>
      <c r="K866" s="20"/>
      <c r="L866" s="20"/>
      <c r="M866" s="6"/>
      <c r="N866" s="6"/>
      <c r="O866" s="6"/>
      <c r="P866" s="6"/>
      <c r="Q866" s="7"/>
      <c r="R866" s="343"/>
      <c r="S866" s="343"/>
      <c r="T866" s="343"/>
      <c r="U866" s="343"/>
      <c r="V866" s="343"/>
      <c r="W866" s="343"/>
      <c r="X866" s="343"/>
      <c r="Y866" s="343"/>
      <c r="Z866" s="343"/>
      <c r="AA866" s="343"/>
      <c r="AB866" s="343"/>
      <c r="AC866" s="343"/>
      <c r="AD866" s="343"/>
      <c r="AE866" s="936"/>
      <c r="AF866" s="936"/>
      <c r="AG866" s="936"/>
      <c r="AH866" s="936"/>
      <c r="AI866" s="936"/>
      <c r="AJ866" s="936"/>
      <c r="AK866" s="349"/>
      <c r="AL866" s="349"/>
      <c r="AM866" s="936"/>
    </row>
    <row r="867" spans="1:39" s="534" customFormat="1" ht="12.75" customHeight="1" x14ac:dyDescent="0.25">
      <c r="A867" s="343"/>
      <c r="B867" s="3"/>
      <c r="C867" s="13"/>
      <c r="D867" s="13" t="s">
        <v>55</v>
      </c>
      <c r="E867" s="1943" t="str">
        <f>Translations!$B$675</f>
        <v>Produktionsnivåer:</v>
      </c>
      <c r="F867" s="1963"/>
      <c r="G867" s="1963"/>
      <c r="H867" s="1963"/>
      <c r="I867" s="1963"/>
      <c r="J867" s="1963"/>
      <c r="K867" s="1963"/>
      <c r="L867" s="1963"/>
      <c r="M867" s="1963"/>
      <c r="N867" s="1963"/>
      <c r="O867" s="6"/>
      <c r="P867" s="6"/>
      <c r="Q867" s="7"/>
      <c r="R867" s="343"/>
      <c r="S867" s="343"/>
      <c r="T867" s="343"/>
      <c r="U867" s="343"/>
      <c r="V867" s="343"/>
      <c r="W867" s="343"/>
      <c r="X867" s="343"/>
      <c r="Y867" s="343"/>
      <c r="Z867" s="343"/>
      <c r="AA867" s="343"/>
      <c r="AB867" s="343"/>
      <c r="AC867" s="343"/>
      <c r="AD867" s="343"/>
      <c r="AE867" s="936"/>
      <c r="AF867" s="936"/>
      <c r="AG867" s="936"/>
      <c r="AH867" s="936"/>
      <c r="AI867" s="936"/>
      <c r="AJ867" s="936"/>
      <c r="AK867" s="349"/>
      <c r="AL867" s="349"/>
      <c r="AM867" s="936"/>
    </row>
    <row r="868" spans="1:39" s="534" customFormat="1" ht="5.15" customHeight="1" x14ac:dyDescent="0.25">
      <c r="A868" s="343"/>
      <c r="B868" s="3"/>
      <c r="C868" s="3"/>
      <c r="D868" s="3"/>
      <c r="E868" s="3"/>
      <c r="F868" s="3"/>
      <c r="G868" s="3"/>
      <c r="H868" s="3"/>
      <c r="I868" s="3"/>
      <c r="J868" s="3"/>
      <c r="K868" s="3"/>
      <c r="L868" s="3"/>
      <c r="M868" s="3"/>
      <c r="N868" s="6"/>
      <c r="O868" s="6"/>
      <c r="P868" s="6"/>
      <c r="Q868" s="7"/>
      <c r="R868" s="7"/>
      <c r="S868" s="343"/>
      <c r="T868" s="343"/>
      <c r="U868" s="343"/>
      <c r="V868" s="343"/>
      <c r="W868" s="343"/>
      <c r="X868" s="343"/>
      <c r="Y868" s="343"/>
      <c r="Z868" s="343"/>
      <c r="AA868" s="343"/>
      <c r="AB868" s="343"/>
      <c r="AC868" s="343"/>
      <c r="AD868" s="343"/>
      <c r="AE868" s="936"/>
      <c r="AF868" s="936"/>
      <c r="AG868" s="936"/>
      <c r="AH868" s="936"/>
      <c r="AI868" s="936"/>
      <c r="AJ868" s="936"/>
      <c r="AK868" s="349"/>
      <c r="AL868" s="349"/>
      <c r="AM868" s="936"/>
    </row>
    <row r="869" spans="1:39" s="534" customFormat="1" ht="13" x14ac:dyDescent="0.25">
      <c r="A869" s="343"/>
      <c r="B869" s="15"/>
      <c r="C869" s="13"/>
      <c r="D869" s="38"/>
      <c r="E869" s="2734" t="str">
        <f>Translations!$B$713</f>
        <v>Produktnamn eller typ av tjänst</v>
      </c>
      <c r="F869" s="2106"/>
      <c r="G869" s="774" t="str">
        <f>EUconst_Unit</f>
        <v>Enhet</v>
      </c>
      <c r="H869" s="320">
        <f t="shared" ref="H869:N869" si="360">H$950</f>
        <v>2019</v>
      </c>
      <c r="I869" s="320">
        <f t="shared" si="360"/>
        <v>2020</v>
      </c>
      <c r="J869" s="320">
        <f t="shared" si="360"/>
        <v>2021</v>
      </c>
      <c r="K869" s="320">
        <f t="shared" si="360"/>
        <v>2022</v>
      </c>
      <c r="L869" s="320">
        <f t="shared" si="360"/>
        <v>2023</v>
      </c>
      <c r="M869" s="320">
        <f t="shared" si="360"/>
        <v>2024</v>
      </c>
      <c r="N869" s="342">
        <f t="shared" si="360"/>
        <v>2025</v>
      </c>
      <c r="O869" s="6"/>
      <c r="P869" s="6"/>
      <c r="Q869" s="343"/>
      <c r="R869" s="343"/>
      <c r="S869" s="343"/>
      <c r="T869" s="343"/>
      <c r="U869" s="343"/>
      <c r="V869" s="343"/>
      <c r="W869" s="343"/>
      <c r="X869" s="343"/>
      <c r="Y869" s="343"/>
      <c r="Z869" s="343"/>
      <c r="AA869" s="343"/>
      <c r="AB869" s="343"/>
      <c r="AC869" s="343"/>
      <c r="AD869" s="343"/>
      <c r="AE869" s="936"/>
      <c r="AF869" s="936"/>
      <c r="AG869" s="936"/>
      <c r="AH869" s="936"/>
      <c r="AI869" s="936"/>
      <c r="AJ869" s="936"/>
      <c r="AK869" s="349"/>
      <c r="AL869" s="349"/>
      <c r="AM869" s="936"/>
    </row>
    <row r="870" spans="1:39" ht="12.75" customHeight="1" x14ac:dyDescent="0.25">
      <c r="A870" s="343"/>
      <c r="B870" s="19"/>
      <c r="C870" s="45"/>
      <c r="D870" s="32">
        <v>1</v>
      </c>
      <c r="E870" s="2746" t="str">
        <f t="shared" ref="E870:E879" si="361">IF(ISBLANK(H856),"",H856)</f>
        <v/>
      </c>
      <c r="F870" s="2484"/>
      <c r="G870" s="1750"/>
      <c r="H870" s="383"/>
      <c r="I870" s="383"/>
      <c r="J870" s="383"/>
      <c r="K870" s="383"/>
      <c r="L870" s="383"/>
      <c r="M870" s="383"/>
      <c r="N870" s="467"/>
      <c r="O870" s="6"/>
      <c r="P870" s="6"/>
      <c r="Q870" s="2"/>
      <c r="R870" s="2"/>
      <c r="S870" s="2"/>
      <c r="T870" s="2"/>
      <c r="U870" s="2"/>
      <c r="V870" s="2"/>
      <c r="W870" s="2"/>
      <c r="X870" s="2"/>
      <c r="Y870" s="2"/>
      <c r="Z870" s="2"/>
      <c r="AA870" s="2"/>
      <c r="AB870" s="2"/>
      <c r="AC870" s="2"/>
      <c r="AD870" s="2"/>
      <c r="AE870" s="349"/>
      <c r="AF870" s="349"/>
      <c r="AG870" s="349"/>
      <c r="AH870" s="349"/>
      <c r="AI870" s="349"/>
      <c r="AJ870" s="349"/>
      <c r="AK870" s="349"/>
      <c r="AL870" s="349"/>
      <c r="AM870" s="349"/>
    </row>
    <row r="871" spans="1:39" ht="12.75" customHeight="1" x14ac:dyDescent="0.25">
      <c r="A871" s="343"/>
      <c r="B871" s="19"/>
      <c r="C871" s="45"/>
      <c r="D871" s="33">
        <f>D870+1</f>
        <v>2</v>
      </c>
      <c r="E871" s="2741" t="str">
        <f t="shared" si="361"/>
        <v/>
      </c>
      <c r="F871" s="2476"/>
      <c r="G871" s="446"/>
      <c r="H871" s="431"/>
      <c r="I871" s="431"/>
      <c r="J871" s="431"/>
      <c r="K871" s="431"/>
      <c r="L871" s="431"/>
      <c r="M871" s="431"/>
      <c r="N871" s="468"/>
      <c r="O871" s="6"/>
      <c r="P871" s="6"/>
      <c r="Q871" s="2"/>
      <c r="R871" s="2"/>
      <c r="S871" s="2"/>
      <c r="T871" s="2"/>
      <c r="U871" s="2"/>
      <c r="V871" s="2"/>
      <c r="W871" s="2"/>
      <c r="X871" s="2"/>
      <c r="Y871" s="2"/>
      <c r="Z871" s="2"/>
      <c r="AA871" s="2"/>
      <c r="AB871" s="2"/>
      <c r="AC871" s="2"/>
      <c r="AD871" s="2"/>
      <c r="AE871" s="349"/>
      <c r="AF871" s="349"/>
      <c r="AG871" s="349"/>
      <c r="AH871" s="349"/>
      <c r="AI871" s="349"/>
      <c r="AJ871" s="349"/>
      <c r="AK871" s="349"/>
      <c r="AL871" s="349"/>
      <c r="AM871" s="349"/>
    </row>
    <row r="872" spans="1:39" ht="12.75" customHeight="1" x14ac:dyDescent="0.25">
      <c r="A872" s="343"/>
      <c r="B872" s="19"/>
      <c r="C872" s="45"/>
      <c r="D872" s="33">
        <f t="shared" ref="D872:D879" si="362">D871+1</f>
        <v>3</v>
      </c>
      <c r="E872" s="2741" t="str">
        <f t="shared" si="361"/>
        <v/>
      </c>
      <c r="F872" s="2476"/>
      <c r="G872" s="446"/>
      <c r="H872" s="431"/>
      <c r="I872" s="431"/>
      <c r="J872" s="431"/>
      <c r="K872" s="431"/>
      <c r="L872" s="431"/>
      <c r="M872" s="431"/>
      <c r="N872" s="468"/>
      <c r="O872" s="6"/>
      <c r="P872" s="6"/>
      <c r="Q872" s="2"/>
      <c r="R872" s="2"/>
      <c r="S872" s="2"/>
      <c r="T872" s="2"/>
      <c r="U872" s="2"/>
      <c r="V872" s="2"/>
      <c r="W872" s="2"/>
      <c r="X872" s="2"/>
      <c r="Y872" s="2"/>
      <c r="Z872" s="2"/>
      <c r="AA872" s="2"/>
      <c r="AB872" s="2"/>
      <c r="AC872" s="2"/>
      <c r="AD872" s="2"/>
      <c r="AE872" s="349"/>
      <c r="AF872" s="349"/>
      <c r="AG872" s="349"/>
      <c r="AH872" s="349"/>
      <c r="AI872" s="349"/>
      <c r="AJ872" s="349"/>
      <c r="AK872" s="1194"/>
      <c r="AL872" s="1194"/>
      <c r="AM872" s="349"/>
    </row>
    <row r="873" spans="1:39" ht="12.75" customHeight="1" x14ac:dyDescent="0.25">
      <c r="A873" s="343"/>
      <c r="B873" s="19"/>
      <c r="C873" s="45"/>
      <c r="D873" s="33">
        <f t="shared" si="362"/>
        <v>4</v>
      </c>
      <c r="E873" s="2741" t="str">
        <f t="shared" si="361"/>
        <v/>
      </c>
      <c r="F873" s="2476"/>
      <c r="G873" s="446"/>
      <c r="H873" s="431"/>
      <c r="I873" s="431"/>
      <c r="J873" s="431"/>
      <c r="K873" s="431"/>
      <c r="L873" s="431"/>
      <c r="M873" s="431"/>
      <c r="N873" s="468"/>
      <c r="O873" s="6"/>
      <c r="P873" s="6"/>
      <c r="Q873" s="2"/>
      <c r="R873" s="2"/>
      <c r="S873" s="2"/>
      <c r="T873" s="2"/>
      <c r="U873" s="2"/>
      <c r="V873" s="2"/>
      <c r="W873" s="2"/>
      <c r="X873" s="2"/>
      <c r="Y873" s="2"/>
      <c r="Z873" s="2"/>
      <c r="AA873" s="2"/>
      <c r="AB873" s="2"/>
      <c r="AC873" s="2"/>
      <c r="AD873" s="2"/>
      <c r="AE873" s="349"/>
      <c r="AF873" s="349"/>
      <c r="AG873" s="349"/>
      <c r="AH873" s="349"/>
      <c r="AI873" s="349"/>
      <c r="AJ873" s="349"/>
      <c r="AK873" s="349"/>
      <c r="AL873" s="349"/>
      <c r="AM873" s="349"/>
    </row>
    <row r="874" spans="1:39" ht="12.75" customHeight="1" x14ac:dyDescent="0.25">
      <c r="A874" s="343"/>
      <c r="B874" s="19"/>
      <c r="C874" s="45"/>
      <c r="D874" s="33">
        <f t="shared" si="362"/>
        <v>5</v>
      </c>
      <c r="E874" s="2741" t="str">
        <f t="shared" si="361"/>
        <v/>
      </c>
      <c r="F874" s="2476"/>
      <c r="G874" s="446"/>
      <c r="H874" s="431"/>
      <c r="I874" s="431"/>
      <c r="J874" s="431"/>
      <c r="K874" s="431"/>
      <c r="L874" s="431"/>
      <c r="M874" s="431"/>
      <c r="N874" s="468"/>
      <c r="O874" s="6"/>
      <c r="P874" s="6"/>
      <c r="Q874" s="2"/>
      <c r="R874" s="2"/>
      <c r="S874" s="2"/>
      <c r="T874" s="2"/>
      <c r="U874" s="2"/>
      <c r="V874" s="2"/>
      <c r="W874" s="2"/>
      <c r="X874" s="2"/>
      <c r="Y874" s="2"/>
      <c r="Z874" s="2"/>
      <c r="AA874" s="2"/>
      <c r="AB874" s="2"/>
      <c r="AC874" s="2"/>
      <c r="AD874" s="2"/>
      <c r="AE874" s="349"/>
      <c r="AF874" s="349"/>
      <c r="AG874" s="349"/>
      <c r="AH874" s="349"/>
      <c r="AI874" s="349"/>
      <c r="AJ874" s="349"/>
      <c r="AK874" s="349"/>
      <c r="AL874" s="349"/>
      <c r="AM874" s="349"/>
    </row>
    <row r="875" spans="1:39" ht="12.75" customHeight="1" x14ac:dyDescent="0.25">
      <c r="A875" s="343"/>
      <c r="B875" s="19"/>
      <c r="C875" s="45"/>
      <c r="D875" s="33">
        <f t="shared" si="362"/>
        <v>6</v>
      </c>
      <c r="E875" s="2741" t="str">
        <f t="shared" si="361"/>
        <v/>
      </c>
      <c r="F875" s="2476"/>
      <c r="G875" s="446"/>
      <c r="H875" s="431"/>
      <c r="I875" s="431"/>
      <c r="J875" s="431"/>
      <c r="K875" s="431"/>
      <c r="L875" s="431"/>
      <c r="M875" s="431"/>
      <c r="N875" s="468"/>
      <c r="O875" s="6"/>
      <c r="P875" s="6"/>
      <c r="Q875" s="2"/>
      <c r="R875" s="2"/>
      <c r="S875" s="2"/>
      <c r="T875" s="2"/>
      <c r="U875" s="2"/>
      <c r="V875" s="2"/>
      <c r="W875" s="2"/>
      <c r="X875" s="2"/>
      <c r="Y875" s="2"/>
      <c r="Z875" s="2"/>
      <c r="AA875" s="2"/>
      <c r="AB875" s="2"/>
      <c r="AC875" s="2"/>
      <c r="AD875" s="2"/>
      <c r="AE875" s="349"/>
      <c r="AF875" s="349"/>
      <c r="AG875" s="349"/>
      <c r="AH875" s="349"/>
      <c r="AI875" s="349"/>
      <c r="AJ875" s="349"/>
      <c r="AK875" s="349"/>
      <c r="AL875" s="349"/>
      <c r="AM875" s="349"/>
    </row>
    <row r="876" spans="1:39" ht="12.75" customHeight="1" x14ac:dyDescent="0.25">
      <c r="A876" s="343"/>
      <c r="B876" s="19"/>
      <c r="C876" s="45"/>
      <c r="D876" s="33">
        <f t="shared" si="362"/>
        <v>7</v>
      </c>
      <c r="E876" s="2741" t="str">
        <f t="shared" si="361"/>
        <v/>
      </c>
      <c r="F876" s="2476"/>
      <c r="G876" s="446"/>
      <c r="H876" s="431"/>
      <c r="I876" s="431"/>
      <c r="J876" s="431"/>
      <c r="K876" s="431"/>
      <c r="L876" s="431"/>
      <c r="M876" s="431"/>
      <c r="N876" s="468"/>
      <c r="O876" s="6"/>
      <c r="P876" s="6"/>
      <c r="Q876" s="2"/>
      <c r="R876" s="2"/>
      <c r="S876" s="2"/>
      <c r="T876" s="2"/>
      <c r="U876" s="2"/>
      <c r="V876" s="2"/>
      <c r="W876" s="2"/>
      <c r="X876" s="2"/>
      <c r="Y876" s="2"/>
      <c r="Z876" s="2"/>
      <c r="AA876" s="2"/>
      <c r="AB876" s="2"/>
      <c r="AC876" s="2"/>
      <c r="AD876" s="2"/>
      <c r="AE876" s="349"/>
      <c r="AF876" s="349"/>
      <c r="AG876" s="349"/>
      <c r="AH876" s="349"/>
      <c r="AI876" s="349"/>
      <c r="AJ876" s="349"/>
      <c r="AK876" s="349"/>
      <c r="AL876" s="349"/>
      <c r="AM876" s="349"/>
    </row>
    <row r="877" spans="1:39" ht="12.75" customHeight="1" x14ac:dyDescent="0.25">
      <c r="A877" s="343"/>
      <c r="B877" s="19"/>
      <c r="C877" s="45"/>
      <c r="D877" s="33">
        <f t="shared" si="362"/>
        <v>8</v>
      </c>
      <c r="E877" s="2741" t="str">
        <f t="shared" si="361"/>
        <v/>
      </c>
      <c r="F877" s="2476"/>
      <c r="G877" s="446"/>
      <c r="H877" s="431"/>
      <c r="I877" s="431"/>
      <c r="J877" s="431"/>
      <c r="K877" s="431"/>
      <c r="L877" s="431"/>
      <c r="M877" s="431"/>
      <c r="N877" s="468"/>
      <c r="O877" s="6"/>
      <c r="P877" s="6"/>
      <c r="Q877" s="2"/>
      <c r="R877" s="2"/>
      <c r="S877" s="2"/>
      <c r="T877" s="2"/>
      <c r="U877" s="2"/>
      <c r="V877" s="2"/>
      <c r="W877" s="2"/>
      <c r="X877" s="2"/>
      <c r="Y877" s="2"/>
      <c r="Z877" s="2"/>
      <c r="AA877" s="2"/>
      <c r="AB877" s="2"/>
      <c r="AC877" s="2"/>
      <c r="AD877" s="2"/>
      <c r="AE877" s="349"/>
      <c r="AF877" s="349"/>
      <c r="AG877" s="349"/>
      <c r="AH877" s="349"/>
      <c r="AI877" s="349"/>
      <c r="AJ877" s="349"/>
      <c r="AK877" s="349"/>
      <c r="AL877" s="349"/>
      <c r="AM877" s="349"/>
    </row>
    <row r="878" spans="1:39" ht="12.75" customHeight="1" x14ac:dyDescent="0.25">
      <c r="A878" s="343"/>
      <c r="B878" s="19"/>
      <c r="C878" s="45"/>
      <c r="D878" s="33">
        <f t="shared" si="362"/>
        <v>9</v>
      </c>
      <c r="E878" s="2741" t="str">
        <f t="shared" si="361"/>
        <v/>
      </c>
      <c r="F878" s="2476"/>
      <c r="G878" s="446"/>
      <c r="H878" s="431"/>
      <c r="I878" s="431"/>
      <c r="J878" s="431"/>
      <c r="K878" s="431"/>
      <c r="L878" s="431"/>
      <c r="M878" s="431"/>
      <c r="N878" s="468"/>
      <c r="O878" s="6"/>
      <c r="P878" s="6"/>
      <c r="Q878" s="2"/>
      <c r="R878" s="2"/>
      <c r="S878" s="2"/>
      <c r="T878" s="2"/>
      <c r="U878" s="2"/>
      <c r="V878" s="2"/>
      <c r="W878" s="2"/>
      <c r="X878" s="2"/>
      <c r="Y878" s="2"/>
      <c r="Z878" s="2"/>
      <c r="AA878" s="2"/>
      <c r="AB878" s="2"/>
      <c r="AC878" s="2"/>
      <c r="AD878" s="2"/>
      <c r="AE878" s="349"/>
      <c r="AF878" s="349"/>
      <c r="AG878" s="349"/>
      <c r="AH878" s="349"/>
      <c r="AI878" s="349"/>
      <c r="AJ878" s="349"/>
      <c r="AK878" s="349"/>
      <c r="AL878" s="349"/>
      <c r="AM878" s="349"/>
    </row>
    <row r="879" spans="1:39" ht="12.75" customHeight="1" x14ac:dyDescent="0.25">
      <c r="A879" s="343"/>
      <c r="B879" s="19"/>
      <c r="C879" s="45"/>
      <c r="D879" s="36">
        <f t="shared" si="362"/>
        <v>10</v>
      </c>
      <c r="E879" s="2742" t="str">
        <f t="shared" si="361"/>
        <v/>
      </c>
      <c r="F879" s="2487"/>
      <c r="G879" s="447"/>
      <c r="H879" s="357"/>
      <c r="I879" s="357"/>
      <c r="J879" s="357"/>
      <c r="K879" s="357"/>
      <c r="L879" s="357"/>
      <c r="M879" s="357"/>
      <c r="N879" s="469"/>
      <c r="O879" s="6"/>
      <c r="P879" s="6"/>
      <c r="Q879" s="2"/>
      <c r="R879" s="2"/>
      <c r="S879" s="2"/>
      <c r="T879" s="2"/>
      <c r="U879" s="2"/>
      <c r="V879" s="2"/>
      <c r="W879" s="2"/>
      <c r="X879" s="2"/>
      <c r="Y879" s="2"/>
      <c r="Z879" s="2"/>
      <c r="AA879" s="2"/>
      <c r="AB879" s="2"/>
      <c r="AC879" s="2"/>
      <c r="AD879" s="2"/>
      <c r="AE879" s="349"/>
      <c r="AF879" s="349"/>
      <c r="AG879" s="349"/>
      <c r="AH879" s="349"/>
      <c r="AI879" s="349"/>
      <c r="AJ879" s="349"/>
      <c r="AK879" s="349"/>
      <c r="AL879" s="349"/>
      <c r="AM879" s="349"/>
    </row>
    <row r="880" spans="1:39" ht="12.75" customHeight="1" x14ac:dyDescent="0.25">
      <c r="A880" s="343"/>
      <c r="B880" s="19"/>
      <c r="C880" s="19"/>
      <c r="D880" s="90"/>
      <c r="E880" s="2743" t="str">
        <f>Translations!$B$548</f>
        <v>Summa av produktionsnivåer</v>
      </c>
      <c r="F880" s="1997"/>
      <c r="G880" s="554"/>
      <c r="H880" s="275" t="str">
        <f t="shared" ref="H880:N880" si="363">IF(COUNT(H870:H879)&gt;0,SUM(H870:H879),"")</f>
        <v/>
      </c>
      <c r="I880" s="275" t="str">
        <f t="shared" si="363"/>
        <v/>
      </c>
      <c r="J880" s="275" t="str">
        <f t="shared" si="363"/>
        <v/>
      </c>
      <c r="K880" s="275" t="str">
        <f t="shared" si="363"/>
        <v/>
      </c>
      <c r="L880" s="275" t="str">
        <f t="shared" si="363"/>
        <v/>
      </c>
      <c r="M880" s="275" t="str">
        <f t="shared" si="363"/>
        <v/>
      </c>
      <c r="N880" s="281" t="str">
        <f t="shared" si="363"/>
        <v/>
      </c>
      <c r="O880" s="6"/>
      <c r="P880" s="6"/>
      <c r="Q880" s="2"/>
      <c r="R880" s="2"/>
      <c r="S880" s="2"/>
      <c r="T880" s="2"/>
      <c r="U880" s="2"/>
      <c r="V880" s="2"/>
      <c r="W880" s="2"/>
      <c r="X880" s="2"/>
      <c r="Y880" s="2"/>
      <c r="Z880" s="2"/>
      <c r="AA880" s="2"/>
      <c r="AB880" s="2"/>
      <c r="AC880" s="2"/>
      <c r="AD880" s="2"/>
      <c r="AE880" s="349"/>
      <c r="AF880" s="349"/>
      <c r="AG880" s="349"/>
      <c r="AH880" s="349"/>
      <c r="AI880" s="349"/>
      <c r="AJ880" s="349"/>
      <c r="AK880" s="349"/>
      <c r="AL880" s="349"/>
      <c r="AM880" s="349"/>
    </row>
    <row r="881" spans="1:39" ht="25.5" customHeight="1" thickBot="1" x14ac:dyDescent="0.3">
      <c r="A881" s="343"/>
      <c r="B881" s="19"/>
      <c r="C881" s="19"/>
      <c r="D881" s="19"/>
      <c r="E881" s="19"/>
      <c r="F881" s="19"/>
      <c r="G881" s="19"/>
      <c r="H881" s="19"/>
      <c r="I881" s="19"/>
      <c r="J881" s="19"/>
      <c r="K881" s="19"/>
      <c r="L881" s="19"/>
      <c r="M881" s="19"/>
      <c r="N881" s="19"/>
      <c r="O881" s="6"/>
      <c r="P881" s="6"/>
      <c r="Q881" s="2"/>
      <c r="R881" s="2"/>
      <c r="S881" s="2"/>
      <c r="T881" s="2"/>
      <c r="U881" s="2"/>
      <c r="V881" s="2"/>
      <c r="W881" s="2"/>
      <c r="X881" s="2"/>
      <c r="Y881" s="2"/>
      <c r="Z881" s="2"/>
      <c r="AA881" s="2"/>
      <c r="AB881" s="2"/>
      <c r="AC881" s="2"/>
      <c r="AD881" s="2"/>
      <c r="AE881" s="349"/>
      <c r="AF881" s="349"/>
      <c r="AG881" s="349"/>
      <c r="AH881" s="349"/>
      <c r="AI881" s="349"/>
      <c r="AJ881" s="349"/>
      <c r="AK881" s="349"/>
      <c r="AL881" s="349"/>
      <c r="AM881" s="349"/>
    </row>
    <row r="882" spans="1:39" ht="5.15" customHeight="1" thickBot="1" x14ac:dyDescent="0.3">
      <c r="A882" s="343"/>
      <c r="B882" s="3"/>
      <c r="C882" s="230"/>
      <c r="D882" s="230"/>
      <c r="E882" s="230"/>
      <c r="F882" s="230"/>
      <c r="G882" s="230"/>
      <c r="H882" s="230"/>
      <c r="I882" s="230"/>
      <c r="J882" s="230"/>
      <c r="K882" s="230"/>
      <c r="L882" s="230"/>
      <c r="M882" s="230"/>
      <c r="N882" s="230"/>
      <c r="O882" s="6"/>
      <c r="P882" s="6"/>
      <c r="Q882" s="1767"/>
      <c r="R882" s="1767"/>
      <c r="S882" s="1767"/>
      <c r="T882" s="1767"/>
      <c r="U882" s="1767"/>
      <c r="V882" s="1767"/>
      <c r="W882" s="1767"/>
      <c r="X882" s="1767"/>
      <c r="Y882" s="1767"/>
      <c r="Z882" s="1767"/>
      <c r="AA882" s="1767"/>
      <c r="AB882" s="1767"/>
      <c r="AC882" s="1767"/>
      <c r="AD882" s="1767"/>
      <c r="AE882" s="1767"/>
      <c r="AF882" s="1767"/>
      <c r="AG882" s="1767"/>
      <c r="AH882" s="1767"/>
      <c r="AI882" s="1767"/>
      <c r="AJ882" s="1767"/>
      <c r="AK882" s="1767"/>
      <c r="AL882" s="1767"/>
      <c r="AM882" s="1767"/>
    </row>
    <row r="883" spans="1:39" ht="14.5" thickBot="1" x14ac:dyDescent="0.35">
      <c r="A883" s="2"/>
      <c r="B883" s="3"/>
      <c r="C883" s="17">
        <f>C823+1</f>
        <v>7</v>
      </c>
      <c r="D883" s="2053" t="str">
        <f>EUconst_FBSubinst &amp; ":"</f>
        <v>”Fall-back”-delanläggning:</v>
      </c>
      <c r="E883" s="1963"/>
      <c r="F883" s="1963"/>
      <c r="G883" s="1963"/>
      <c r="H883" s="2060"/>
      <c r="I883" s="2090" t="str">
        <f>INDEX(EUconst_FallBackListNames,$C883)</f>
        <v>Delanläggning med processutsläpp, ej KL</v>
      </c>
      <c r="J883" s="2120"/>
      <c r="K883" s="2120"/>
      <c r="L883" s="2648"/>
      <c r="M883" s="2085" t="str">
        <f>IF(INDEX(CNTR_FallBackSubInstRelevant,C883)="","",IF(INDEX(CNTR_FallBackSubInstRelevant,C883),EUconst_Relevant,EUconst_NotRelevant))</f>
        <v/>
      </c>
      <c r="N883" s="2086"/>
      <c r="O883" s="6"/>
      <c r="P883" s="6"/>
      <c r="Q883" s="452">
        <f>C883</f>
        <v>7</v>
      </c>
      <c r="R883" s="2"/>
      <c r="S883" s="553" t="s">
        <v>608</v>
      </c>
      <c r="T883" s="979" t="str">
        <f>IF(M883&lt;&gt;EUconst_Relevant,"",MAX(INDEX(CNTR_SubInstStartDate,MATCH($I883,CNTR_SubInstListNames,0)),DATE(2005,1,1)))</f>
        <v/>
      </c>
      <c r="U883" s="343" t="s">
        <v>1873</v>
      </c>
      <c r="V883" s="663">
        <f>IF(ISNUMBER(T883),YEAR($T883-IF(YEAR(T883)&gt;=2022,0,1))+1,2005)</f>
        <v>2005</v>
      </c>
      <c r="W883" s="553" t="s">
        <v>1876</v>
      </c>
      <c r="X883" s="979" t="str">
        <f>IF(M883&lt;&gt;EUconst_Relevant,"",INDEX(CNTR_SubInstCessationDate,MATCH($I883,CNTR_SubInstListNames,0)))</f>
        <v/>
      </c>
      <c r="Y883" s="553" t="s">
        <v>1877</v>
      </c>
      <c r="Z883" s="663">
        <f>IF(SUM(X883)=0,2050,YEAR($X883))</f>
        <v>2050</v>
      </c>
      <c r="AA883" s="553" t="s">
        <v>2201</v>
      </c>
      <c r="AB883" s="663" t="b">
        <f>CNTR_ReportingYear&gt;V883</f>
        <v>1</v>
      </c>
      <c r="AC883" s="553" t="s">
        <v>1475</v>
      </c>
      <c r="AD883" s="555" t="b">
        <f>AND(CNTR_ExistSubInstEntries,M883=EUconst_NotRelevant)</f>
        <v>0</v>
      </c>
      <c r="AE883" s="349"/>
      <c r="AF883" s="349"/>
      <c r="AG883" s="349"/>
      <c r="AH883" s="349"/>
      <c r="AI883" s="349"/>
      <c r="AJ883" s="349"/>
      <c r="AK883" s="349"/>
      <c r="AL883" s="349"/>
      <c r="AM883" s="349"/>
    </row>
    <row r="884" spans="1:39" ht="12.75" customHeight="1" x14ac:dyDescent="0.25">
      <c r="A884" s="2"/>
      <c r="B884" s="19"/>
      <c r="C884" s="19"/>
      <c r="D884" s="19"/>
      <c r="E884" s="19"/>
      <c r="F884" s="19"/>
      <c r="G884" s="19"/>
      <c r="H884" s="45"/>
      <c r="I884" s="2683" t="str">
        <f>IF(M883&lt;&gt;EUconst_Relevant,"",IF(M883=EUconst_Relevant,HYPERLINK("",EUconst_MsgEnterThisSection),HYPERLINK(R884,EUconst_MsgGoToNextSubInst)))</f>
        <v/>
      </c>
      <c r="J884" s="2684"/>
      <c r="K884" s="2684"/>
      <c r="L884" s="2684"/>
      <c r="M884" s="2685"/>
      <c r="N884" s="2686"/>
      <c r="O884" s="6"/>
      <c r="P884" s="6"/>
      <c r="Q884" s="2" t="s">
        <v>484</v>
      </c>
      <c r="R884" s="394" t="str">
        <f>"#JUMP_G"&amp;Q883+1</f>
        <v>#JUMP_G8</v>
      </c>
      <c r="S884" s="2"/>
      <c r="T884" s="2"/>
      <c r="U884" s="2"/>
      <c r="V884" s="2"/>
      <c r="W884" s="2"/>
      <c r="X884" s="2"/>
      <c r="Y884" s="2"/>
      <c r="Z884" s="343"/>
      <c r="AA884" s="2"/>
      <c r="AB884" s="2"/>
      <c r="AC884" s="2"/>
      <c r="AD884" s="2"/>
      <c r="AE884" s="349"/>
      <c r="AF884" s="349"/>
      <c r="AG884" s="349"/>
      <c r="AH884" s="349"/>
      <c r="AI884" s="349"/>
      <c r="AJ884" s="349"/>
      <c r="AK884" s="349"/>
      <c r="AL884" s="349"/>
      <c r="AM884" s="349"/>
    </row>
    <row r="885" spans="1:39" ht="12.75" customHeight="1" x14ac:dyDescent="0.25">
      <c r="A885" s="2"/>
      <c r="B885" s="3"/>
      <c r="C885" s="3"/>
      <c r="D885" s="15"/>
      <c r="E885" s="2061" t="str">
        <f>Translations!$B$663</f>
        <v>Namnet på ”fall-back”-delanläggningen visas automatiskt på grundval av den sammanställda listan över möjliga ”fall-back”-anläggningar.</v>
      </c>
      <c r="F885" s="1963"/>
      <c r="G885" s="1963"/>
      <c r="H885" s="1963"/>
      <c r="I885" s="1963"/>
      <c r="J885" s="1963"/>
      <c r="K885" s="1963"/>
      <c r="L885" s="1963"/>
      <c r="M885" s="1963"/>
      <c r="N885" s="1963"/>
      <c r="O885" s="6"/>
      <c r="P885" s="6"/>
      <c r="Q885" s="7"/>
      <c r="R885" s="7"/>
      <c r="S885" s="2"/>
      <c r="T885" s="2"/>
      <c r="U885" s="2"/>
      <c r="V885" s="2"/>
      <c r="W885" s="2"/>
      <c r="X885" s="2"/>
      <c r="Y885" s="2"/>
      <c r="Z885" s="2"/>
      <c r="AA885" s="2"/>
      <c r="AB885" s="2"/>
      <c r="AC885" s="2"/>
      <c r="AD885" s="2"/>
      <c r="AE885" s="349"/>
      <c r="AF885" s="349"/>
      <c r="AG885" s="349"/>
      <c r="AH885" s="349"/>
      <c r="AI885" s="349"/>
      <c r="AJ885" s="349"/>
      <c r="AK885" s="349"/>
      <c r="AL885" s="349"/>
      <c r="AM885" s="349"/>
    </row>
    <row r="886" spans="1:39" ht="5.15" customHeight="1" x14ac:dyDescent="0.25">
      <c r="A886" s="2"/>
      <c r="B886" s="3"/>
      <c r="C886" s="3"/>
      <c r="D886" s="3"/>
      <c r="E886" s="3"/>
      <c r="F886" s="3"/>
      <c r="G886" s="3"/>
      <c r="H886" s="3"/>
      <c r="I886" s="3"/>
      <c r="J886" s="3"/>
      <c r="K886" s="3"/>
      <c r="L886" s="3"/>
      <c r="M886" s="6"/>
      <c r="N886" s="6"/>
      <c r="O886" s="6"/>
      <c r="P886" s="6"/>
      <c r="Q886" s="7"/>
      <c r="R886" s="7"/>
      <c r="S886" s="7"/>
      <c r="T886" s="7"/>
      <c r="U886" s="7"/>
      <c r="V886" s="7"/>
      <c r="W886" s="7"/>
      <c r="X886" s="7"/>
      <c r="Y886" s="7"/>
      <c r="Z886" s="2"/>
      <c r="AA886" s="2"/>
      <c r="AB886" s="2"/>
      <c r="AC886" s="2"/>
      <c r="AD886" s="2"/>
      <c r="AE886" s="349"/>
      <c r="AF886" s="349"/>
      <c r="AG886" s="349"/>
      <c r="AH886" s="349"/>
      <c r="AI886" s="349"/>
      <c r="AJ886" s="349"/>
      <c r="AK886" s="349"/>
      <c r="AL886" s="349"/>
      <c r="AM886" s="349"/>
    </row>
    <row r="887" spans="1:39" ht="12.75" customHeight="1" x14ac:dyDescent="0.25">
      <c r="A887" s="2"/>
      <c r="B887" s="3"/>
      <c r="C887" s="13"/>
      <c r="D887" s="13" t="s">
        <v>442</v>
      </c>
      <c r="E887" s="1943" t="str">
        <f>Translations!$B$1466</f>
        <v>Verksamhetsnivåer</v>
      </c>
      <c r="F887" s="1963"/>
      <c r="G887" s="1963"/>
      <c r="H887" s="1963"/>
      <c r="I887" s="1963"/>
      <c r="J887" s="1963"/>
      <c r="K887" s="1963"/>
      <c r="L887" s="1963"/>
      <c r="M887" s="1963"/>
      <c r="N887" s="1963"/>
      <c r="O887" s="6"/>
      <c r="P887" s="6"/>
      <c r="Q887" s="7"/>
      <c r="R887" s="2"/>
      <c r="S887" s="2"/>
      <c r="T887" s="2"/>
      <c r="U887" s="2"/>
      <c r="V887" s="2"/>
      <c r="W887" s="2"/>
      <c r="X887" s="2"/>
      <c r="Y887" s="2"/>
      <c r="Z887" s="2"/>
      <c r="AA887" s="2"/>
      <c r="AB887" s="343"/>
      <c r="AC887" s="2"/>
      <c r="AD887" s="2"/>
      <c r="AE887" s="349"/>
      <c r="AF887" s="349"/>
      <c r="AG887" s="349"/>
      <c r="AH887" s="349"/>
      <c r="AI887" s="349"/>
      <c r="AJ887" s="349"/>
      <c r="AK887" s="349"/>
      <c r="AL887" s="349"/>
      <c r="AM887" s="349"/>
    </row>
    <row r="888" spans="1:39" ht="12.75" customHeight="1" x14ac:dyDescent="0.25">
      <c r="A888" s="343"/>
      <c r="B888" s="3"/>
      <c r="C888" s="15"/>
      <c r="D888" s="15"/>
      <c r="E888" s="2740" t="str">
        <f>Translations!$B$722</f>
        <v>De värden som anges här bör innefatta berättigande utsläpp från restgaser i enlighet med avsnitt D.IV i bladet "D_Emissions"</v>
      </c>
      <c r="F888" s="2740"/>
      <c r="G888" s="2740"/>
      <c r="H888" s="2740"/>
      <c r="I888" s="2740"/>
      <c r="J888" s="2740"/>
      <c r="K888" s="2740"/>
      <c r="L888" s="2740"/>
      <c r="M888" s="2740"/>
      <c r="N888" s="2740"/>
      <c r="O888" s="6"/>
      <c r="P888" s="6"/>
      <c r="Q888" s="7"/>
      <c r="R888" s="2"/>
      <c r="S888" s="2"/>
      <c r="T888" s="2"/>
      <c r="U888" s="2"/>
      <c r="V888" s="2"/>
      <c r="W888" s="2"/>
      <c r="X888" s="2"/>
      <c r="Y888" s="2"/>
      <c r="Z888" s="2"/>
      <c r="AA888" s="2"/>
      <c r="AB888" s="2"/>
      <c r="AC888" s="2"/>
      <c r="AD888" s="2"/>
      <c r="AE888" s="349"/>
      <c r="AF888" s="349"/>
      <c r="AG888" s="349"/>
      <c r="AH888" s="349"/>
      <c r="AI888" s="349"/>
      <c r="AJ888" s="349"/>
      <c r="AK888" s="349"/>
      <c r="AL888" s="349"/>
      <c r="AM888" s="349"/>
    </row>
    <row r="889" spans="1:39" ht="12.75" customHeight="1" thickBot="1" x14ac:dyDescent="0.3">
      <c r="A889" s="2"/>
      <c r="B889" s="19"/>
      <c r="C889" s="13"/>
      <c r="D889" s="13"/>
      <c r="E889" s="1708" t="str">
        <f>Translations!$B$665</f>
        <v>Huvudsaklig verksamhetsnivå:</v>
      </c>
      <c r="F889" s="1709"/>
      <c r="G889" s="1710" t="str">
        <f>EUconst_Unit</f>
        <v>Enhet</v>
      </c>
      <c r="H889" s="1711">
        <f t="shared" ref="H889:N889" si="364">H$950</f>
        <v>2019</v>
      </c>
      <c r="I889" s="1712">
        <f t="shared" si="364"/>
        <v>2020</v>
      </c>
      <c r="J889" s="1713">
        <f t="shared" si="364"/>
        <v>2021</v>
      </c>
      <c r="K889" s="1711">
        <f t="shared" si="364"/>
        <v>2022</v>
      </c>
      <c r="L889" s="1711">
        <f t="shared" si="364"/>
        <v>2023</v>
      </c>
      <c r="M889" s="1711">
        <f t="shared" si="364"/>
        <v>2024</v>
      </c>
      <c r="N889" s="1714">
        <f t="shared" si="364"/>
        <v>2025</v>
      </c>
      <c r="O889" s="6"/>
      <c r="P889" s="6"/>
      <c r="Q889" s="152" t="s">
        <v>594</v>
      </c>
      <c r="R889" s="2"/>
      <c r="S889" s="2"/>
      <c r="T889" s="1044">
        <f t="shared" ref="T889:Z889" si="365">H889</f>
        <v>2019</v>
      </c>
      <c r="U889" s="1044">
        <f t="shared" si="365"/>
        <v>2020</v>
      </c>
      <c r="V889" s="1044">
        <f t="shared" si="365"/>
        <v>2021</v>
      </c>
      <c r="W889" s="1044">
        <f t="shared" si="365"/>
        <v>2022</v>
      </c>
      <c r="X889" s="1044">
        <f t="shared" si="365"/>
        <v>2023</v>
      </c>
      <c r="Y889" s="1044">
        <f t="shared" si="365"/>
        <v>2024</v>
      </c>
      <c r="Z889" s="1044">
        <f t="shared" si="365"/>
        <v>2025</v>
      </c>
      <c r="AA889" s="343"/>
      <c r="AB889" s="2"/>
      <c r="AC889" s="1044">
        <f t="shared" ref="AC889:AI889" si="366">T889</f>
        <v>2019</v>
      </c>
      <c r="AD889" s="1044">
        <f t="shared" si="366"/>
        <v>2020</v>
      </c>
      <c r="AE889" s="1044">
        <f t="shared" si="366"/>
        <v>2021</v>
      </c>
      <c r="AF889" s="1044">
        <f t="shared" si="366"/>
        <v>2022</v>
      </c>
      <c r="AG889" s="1044">
        <f t="shared" si="366"/>
        <v>2023</v>
      </c>
      <c r="AH889" s="1044">
        <f t="shared" si="366"/>
        <v>2024</v>
      </c>
      <c r="AI889" s="1044">
        <f t="shared" si="366"/>
        <v>2025</v>
      </c>
      <c r="AJ889" s="349"/>
      <c r="AK889" s="349"/>
      <c r="AL889" s="349"/>
      <c r="AM889" s="349"/>
    </row>
    <row r="890" spans="1:39" ht="12.75" customHeight="1" thickBot="1" x14ac:dyDescent="0.3">
      <c r="A890" s="2"/>
      <c r="B890" s="19"/>
      <c r="C890" s="19"/>
      <c r="D890" s="175" t="s">
        <v>8</v>
      </c>
      <c r="E890" s="2655" t="str">
        <f>I883</f>
        <v>Delanläggning med processutsläpp, ej KL</v>
      </c>
      <c r="F890" s="2655"/>
      <c r="G890" s="91" t="str">
        <f>INDEX(EUconst_FallBackListUnits,MATCH(E890,EUconst_FallBackListNames,0))</f>
        <v>t CO2e</v>
      </c>
      <c r="H890" s="382"/>
      <c r="I890" s="1706"/>
      <c r="J890" s="1707"/>
      <c r="K890" s="1740"/>
      <c r="L890" s="382"/>
      <c r="M890" s="382"/>
      <c r="N890" s="382"/>
      <c r="O890" s="918"/>
      <c r="P890" s="6"/>
      <c r="Q890" s="154" t="str">
        <f>EUconst_CNTR_HAL&amp;E890</f>
        <v>HAL_Delanläggning med processutsläpp, ej KL</v>
      </c>
      <c r="R890" s="2"/>
      <c r="S890" s="309" t="s">
        <v>1874</v>
      </c>
      <c r="T890" s="1126" t="b">
        <f t="shared" ref="T890:Z890" si="367">AND($M883=EUconst_Relevant,T889&lt;CNTR_ReportingYear,T889&gt;=$V883-1)</f>
        <v>0</v>
      </c>
      <c r="U890" s="1127" t="b">
        <f t="shared" si="367"/>
        <v>0</v>
      </c>
      <c r="V890" s="1127" t="b">
        <f t="shared" si="367"/>
        <v>0</v>
      </c>
      <c r="W890" s="1127" t="b">
        <f t="shared" si="367"/>
        <v>0</v>
      </c>
      <c r="X890" s="1127" t="b">
        <f t="shared" si="367"/>
        <v>0</v>
      </c>
      <c r="Y890" s="1127" t="b">
        <f t="shared" si="367"/>
        <v>0</v>
      </c>
      <c r="Z890" s="1128" t="b">
        <f t="shared" si="367"/>
        <v>0</v>
      </c>
      <c r="AA890" s="2"/>
      <c r="AB890" s="672" t="s">
        <v>782</v>
      </c>
      <c r="AC890" s="1755" t="b">
        <f t="shared" ref="AC890:AI890" si="368">IF(CNTR_ExistSubInstEntries,OR($M883=EUconst_NotRelevant,AC889&gt;=CNTR_ReportingYear,AC889&lt;$V883-1),FALSE)</f>
        <v>0</v>
      </c>
      <c r="AD890" s="1042" t="b">
        <f t="shared" si="368"/>
        <v>0</v>
      </c>
      <c r="AE890" s="1042" t="b">
        <f t="shared" si="368"/>
        <v>0</v>
      </c>
      <c r="AF890" s="1042" t="b">
        <f t="shared" si="368"/>
        <v>0</v>
      </c>
      <c r="AG890" s="1042" t="b">
        <f t="shared" si="368"/>
        <v>0</v>
      </c>
      <c r="AH890" s="1042" t="b">
        <f t="shared" si="368"/>
        <v>0</v>
      </c>
      <c r="AI890" s="1043" t="b">
        <f t="shared" si="368"/>
        <v>0</v>
      </c>
      <c r="AJ890" s="349"/>
      <c r="AK890" s="553" t="s">
        <v>2242</v>
      </c>
      <c r="AL890" s="108" t="str">
        <f>IF(COUNTIFS(H889:N889,"&lt;"&amp;YEAR(SUM(T883)),H890:N890,"&gt;"&amp;0)&gt;0,EUconst_Error&amp;"FB"&amp;Q883,"")</f>
        <v/>
      </c>
      <c r="AM890" s="349"/>
    </row>
    <row r="891" spans="1:39" ht="5.15" customHeight="1" x14ac:dyDescent="0.25">
      <c r="A891" s="2"/>
      <c r="B891" s="178"/>
      <c r="C891" s="178"/>
      <c r="D891" s="15"/>
      <c r="E891" s="15"/>
      <c r="F891" s="15"/>
      <c r="G891" s="15"/>
      <c r="H891" s="15"/>
      <c r="I891" s="15"/>
      <c r="J891" s="15"/>
      <c r="K891" s="15"/>
      <c r="L891" s="15"/>
      <c r="M891" s="15"/>
      <c r="N891" s="15"/>
      <c r="O891" s="15"/>
      <c r="P891" s="6"/>
      <c r="Q891" s="343"/>
      <c r="R891" s="2"/>
      <c r="S891" s="343"/>
      <c r="T891" s="343"/>
      <c r="U891" s="2"/>
      <c r="V891" s="2"/>
      <c r="W891" s="2"/>
      <c r="X891" s="2"/>
      <c r="Y891" s="2"/>
      <c r="Z891" s="343"/>
      <c r="AA891" s="2"/>
      <c r="AB891" s="343"/>
      <c r="AC891" s="2"/>
      <c r="AD891" s="2"/>
      <c r="AE891" s="349"/>
      <c r="AF891" s="349"/>
      <c r="AG891" s="349"/>
      <c r="AH891" s="349"/>
      <c r="AI891" s="349"/>
      <c r="AJ891" s="349"/>
      <c r="AK891" s="349"/>
      <c r="AL891" s="349"/>
      <c r="AM891" s="349"/>
    </row>
    <row r="892" spans="1:39" ht="25.5" customHeight="1" x14ac:dyDescent="0.25">
      <c r="A892" s="2"/>
      <c r="B892" s="178"/>
      <c r="C892" s="178"/>
      <c r="D892" s="15"/>
      <c r="E892" s="2061" t="str">
        <f>Translations!$B$1487</f>
        <v>Baserat på värdena för historisk verksamhetsnivå (HAL) och värdena under punkt a) ovan bestäms de genomsnittliga verksamhetsnivåerna här. Tilldelningen kommer endast att ändras om alla följande tröskelvärden i artiklarna 5 och 6 i verksamhetsändringsförordningen överskrids:</v>
      </c>
      <c r="F892" s="1963"/>
      <c r="G892" s="1963"/>
      <c r="H892" s="1963"/>
      <c r="I892" s="1963"/>
      <c r="J892" s="1963"/>
      <c r="K892" s="1963"/>
      <c r="L892" s="1963"/>
      <c r="M892" s="1963"/>
      <c r="N892" s="1963"/>
      <c r="O892" s="15"/>
      <c r="P892" s="6"/>
      <c r="Q892" s="343"/>
      <c r="R892" s="2"/>
      <c r="S892" s="343"/>
      <c r="T892" s="343"/>
      <c r="U892" s="343"/>
      <c r="V892" s="2"/>
      <c r="W892" s="2"/>
      <c r="X892" s="2"/>
      <c r="Y892" s="2"/>
      <c r="Z892" s="2"/>
      <c r="AA892" s="2"/>
      <c r="AB892" s="2"/>
      <c r="AC892" s="2"/>
      <c r="AD892" s="2"/>
      <c r="AE892" s="2"/>
      <c r="AF892" s="2"/>
      <c r="AG892" s="2"/>
      <c r="AH892" s="2"/>
      <c r="AI892" s="2"/>
      <c r="AJ892" s="2"/>
      <c r="AK892" s="2"/>
      <c r="AL892" s="2"/>
      <c r="AM892" s="349"/>
    </row>
    <row r="893" spans="1:39" ht="12.75" customHeight="1" x14ac:dyDescent="0.25">
      <c r="A893" s="2"/>
      <c r="B893" s="178"/>
      <c r="C893" s="178"/>
      <c r="D893" s="15"/>
      <c r="E893" s="1102" t="s">
        <v>1112</v>
      </c>
      <c r="F893" s="2095" t="str">
        <f>Translations!$B$1470</f>
        <v>De relativa tröskelvärdena (15 % och 5 % för efterföljande ändringar) för de genomsnittliga verksamhetsnivåerna jämfört med HAL</v>
      </c>
      <c r="G893" s="2159"/>
      <c r="H893" s="2159"/>
      <c r="I893" s="2159"/>
      <c r="J893" s="2159"/>
      <c r="K893" s="2159"/>
      <c r="L893" s="2159"/>
      <c r="M893" s="2159"/>
      <c r="N893" s="2159"/>
      <c r="O893" s="15"/>
      <c r="P893" s="6"/>
      <c r="Q893" s="343"/>
      <c r="R893" s="2"/>
      <c r="S893" s="343"/>
      <c r="T893" s="343"/>
      <c r="U893" s="343"/>
      <c r="V893" s="2"/>
      <c r="W893" s="2"/>
      <c r="X893" s="2"/>
      <c r="Y893" s="2"/>
      <c r="Z893" s="2"/>
      <c r="AA893" s="2"/>
      <c r="AB893" s="2"/>
      <c r="AC893" s="2"/>
      <c r="AD893" s="2"/>
      <c r="AE893" s="2"/>
      <c r="AF893" s="2"/>
      <c r="AG893" s="2"/>
      <c r="AH893" s="2"/>
      <c r="AI893" s="2"/>
      <c r="AJ893" s="2"/>
      <c r="AK893" s="2"/>
      <c r="AL893" s="2"/>
      <c r="AM893" s="349"/>
    </row>
    <row r="894" spans="1:39" ht="12.75" customHeight="1" x14ac:dyDescent="0.25">
      <c r="A894" s="2"/>
      <c r="B894" s="178"/>
      <c r="C894" s="178"/>
      <c r="D894" s="15"/>
      <c r="E894" s="1102" t="s">
        <v>1112</v>
      </c>
      <c r="F894" s="2095" t="str">
        <f>Translations!$B$1471</f>
        <v>Det absoluta tröskelvärdet, dvs. en ändring skulle leda till en ändring av den preliminära tilldelningen på minst 100 utsläppsrätter</v>
      </c>
      <c r="G894" s="2159"/>
      <c r="H894" s="2159"/>
      <c r="I894" s="2159"/>
      <c r="J894" s="2159"/>
      <c r="K894" s="2159"/>
      <c r="L894" s="2159"/>
      <c r="M894" s="2159"/>
      <c r="N894" s="2159"/>
      <c r="O894" s="15"/>
      <c r="P894" s="6"/>
      <c r="Q894" s="343"/>
      <c r="R894" s="2"/>
      <c r="S894" s="343"/>
      <c r="T894" s="343"/>
      <c r="U894" s="343"/>
      <c r="V894" s="2"/>
      <c r="W894" s="2"/>
      <c r="X894" s="2"/>
      <c r="Y894" s="2"/>
      <c r="Z894" s="2"/>
      <c r="AA894" s="2"/>
      <c r="AB894" s="2"/>
      <c r="AC894" s="2"/>
      <c r="AD894" s="2"/>
      <c r="AE894" s="2"/>
      <c r="AF894" s="2"/>
      <c r="AG894" s="2"/>
      <c r="AH894" s="2"/>
      <c r="AI894" s="2"/>
      <c r="AJ894" s="2"/>
      <c r="AK894" s="2"/>
      <c r="AL894" s="2"/>
      <c r="AM894" s="349"/>
    </row>
    <row r="895" spans="1:39" ht="12.75" customHeight="1" thickBot="1" x14ac:dyDescent="0.3">
      <c r="A895" s="2"/>
      <c r="B895" s="178"/>
      <c r="C895" s="178"/>
      <c r="D895" s="15"/>
      <c r="E895" s="1102" t="s">
        <v>1112</v>
      </c>
      <c r="F895" s="2095" t="str">
        <f>Translations!$B$1488</f>
        <v>De ändrade verksamhetsnivåerna uppvägs inte av de ändringar av energieffektiviteten som fastställs i punkt b), b.1) och b.2) nedan.</v>
      </c>
      <c r="G895" s="2159"/>
      <c r="H895" s="2159"/>
      <c r="I895" s="2159"/>
      <c r="J895" s="2159"/>
      <c r="K895" s="2159"/>
      <c r="L895" s="2159"/>
      <c r="M895" s="2159"/>
      <c r="N895" s="2159"/>
      <c r="O895" s="15"/>
      <c r="P895" s="6"/>
      <c r="Q895" s="343"/>
      <c r="R895" s="2"/>
      <c r="S895" s="343"/>
      <c r="T895" s="343"/>
      <c r="U895" s="343"/>
      <c r="V895" s="2"/>
      <c r="W895" s="2"/>
      <c r="X895" s="2"/>
      <c r="Y895" s="2"/>
      <c r="Z895" s="2"/>
      <c r="AA895" s="2"/>
      <c r="AB895" s="2"/>
      <c r="AC895" s="2"/>
      <c r="AD895" s="2"/>
      <c r="AE895" s="2"/>
      <c r="AF895" s="2"/>
      <c r="AG895" s="2"/>
      <c r="AH895" s="2"/>
      <c r="AI895" s="2"/>
      <c r="AJ895" s="2"/>
      <c r="AK895" s="2"/>
      <c r="AL895" s="2"/>
      <c r="AM895" s="349"/>
    </row>
    <row r="896" spans="1:39" ht="5.15" customHeight="1" thickBot="1" x14ac:dyDescent="0.3">
      <c r="A896" s="2"/>
      <c r="B896" s="178"/>
      <c r="C896" s="178"/>
      <c r="D896" s="1238"/>
      <c r="E896" s="1278"/>
      <c r="F896" s="1239"/>
      <c r="G896" s="1279"/>
      <c r="H896" s="1279"/>
      <c r="I896" s="1279"/>
      <c r="J896" s="1279"/>
      <c r="K896" s="1279"/>
      <c r="L896" s="1279"/>
      <c r="M896" s="1279"/>
      <c r="N896" s="1280"/>
      <c r="O896" s="15"/>
      <c r="P896" s="6"/>
      <c r="Q896" s="343"/>
      <c r="R896" s="2"/>
      <c r="S896" s="343"/>
      <c r="T896" s="343"/>
      <c r="U896" s="343"/>
      <c r="V896" s="2"/>
      <c r="W896" s="2"/>
      <c r="X896" s="2"/>
      <c r="Y896" s="2"/>
      <c r="Z896" s="2"/>
      <c r="AA896" s="2"/>
      <c r="AB896" s="2"/>
      <c r="AC896" s="2"/>
      <c r="AD896" s="2"/>
      <c r="AE896" s="2"/>
      <c r="AF896" s="2"/>
      <c r="AG896" s="2"/>
      <c r="AH896" s="2"/>
      <c r="AI896" s="2"/>
      <c r="AJ896" s="2"/>
      <c r="AK896" s="2"/>
      <c r="AL896" s="2"/>
      <c r="AM896" s="349"/>
    </row>
    <row r="897" spans="1:39" ht="12.75" customHeight="1" x14ac:dyDescent="0.25">
      <c r="A897" s="2"/>
      <c r="B897" s="178"/>
      <c r="C897" s="178"/>
      <c r="D897" s="1242"/>
      <c r="E897" s="1243" t="str">
        <f>Translations!$B$1489</f>
        <v>Preliminär justering</v>
      </c>
      <c r="F897" s="1244"/>
      <c r="G897" s="1244"/>
      <c r="H897" s="1228" t="str">
        <f>EUconst_Unit</f>
        <v>Enhet</v>
      </c>
      <c r="I897" s="1229" t="str">
        <f>Translations!$B$1472</f>
        <v>HAL</v>
      </c>
      <c r="J897" s="1268">
        <f>J$950</f>
        <v>2021</v>
      </c>
      <c r="K897" s="1230">
        <f>K$950</f>
        <v>2022</v>
      </c>
      <c r="L897" s="1230">
        <f>L$950</f>
        <v>2023</v>
      </c>
      <c r="M897" s="1230">
        <f>M$950</f>
        <v>2024</v>
      </c>
      <c r="N897" s="1258">
        <f>N$950</f>
        <v>2025</v>
      </c>
      <c r="O897" s="15"/>
      <c r="P897" s="6"/>
      <c r="Q897" s="343"/>
      <c r="R897" s="2"/>
      <c r="S897" s="343"/>
      <c r="T897" s="343"/>
      <c r="U897" s="772"/>
      <c r="V897" s="1077">
        <f>J897</f>
        <v>2021</v>
      </c>
      <c r="W897" s="1077">
        <f>K897</f>
        <v>2022</v>
      </c>
      <c r="X897" s="1077">
        <f>L897</f>
        <v>2023</v>
      </c>
      <c r="Y897" s="1077">
        <f>M897</f>
        <v>2024</v>
      </c>
      <c r="Z897" s="1078">
        <f>N897</f>
        <v>2025</v>
      </c>
      <c r="AA897" s="2"/>
      <c r="AB897" s="343"/>
      <c r="AC897" s="2"/>
      <c r="AD897" s="2"/>
      <c r="AE897" s="349"/>
      <c r="AF897" s="349"/>
      <c r="AG897" s="349"/>
      <c r="AH897" s="349"/>
      <c r="AI897" s="349"/>
      <c r="AJ897" s="349"/>
      <c r="AK897" s="349"/>
      <c r="AL897" s="349"/>
      <c r="AM897" s="349"/>
    </row>
    <row r="898" spans="1:39" ht="12.75" customHeight="1" x14ac:dyDescent="0.25">
      <c r="A898" s="2"/>
      <c r="B898" s="178"/>
      <c r="C898" s="178"/>
      <c r="D898" s="1246" t="s">
        <v>9</v>
      </c>
      <c r="E898" s="1231" t="str">
        <f>Translations!$B$1473</f>
        <v>Genomsnittlig årlig verksamhetsnivå</v>
      </c>
      <c r="F898" s="1231"/>
      <c r="G898" s="1231"/>
      <c r="H898" s="1232" t="str">
        <f>G890</f>
        <v>t CO2e</v>
      </c>
      <c r="I898" s="1021" t="str">
        <f>IF(V883&gt;($J$950-3),EUconst_NA,INDEX('B+C_SubInstallations'!$I:$I,MATCH(Q898,'B+C_SubInstallations'!$T:$T,0)))</f>
        <v/>
      </c>
      <c r="J898" s="1022" t="str">
        <f>IF(AND(V898&gt;=3,CNTR_ReportingYear&gt;J897-1),AVERAGE(SUM(H890),SUM(I890)),"")</f>
        <v/>
      </c>
      <c r="K898" s="1023" t="str">
        <f>IF(AND(W898&gt;=3,CNTR_ReportingYear&gt;K897-1),AVERAGE(SUM(I890),SUM(J890)),"")</f>
        <v/>
      </c>
      <c r="L898" s="1023" t="str">
        <f>IF(AND(X898&gt;=3,CNTR_ReportingYear&gt;L897-1),AVERAGE(SUM(J890),SUM(K890)),"")</f>
        <v/>
      </c>
      <c r="M898" s="1023" t="str">
        <f>IF(AND(Y898&gt;=3,CNTR_ReportingYear&gt;M897-1),AVERAGE(SUM(K890),SUM(L890)),"")</f>
        <v/>
      </c>
      <c r="N898" s="1226" t="str">
        <f>IF(AND(Z898&gt;=3,CNTR_ReportingYear&gt;N897-1),AVERAGE(SUM(L890),SUM(M890)),"")</f>
        <v/>
      </c>
      <c r="O898" s="15"/>
      <c r="P898" s="6"/>
      <c r="Q898" s="1217" t="str">
        <f>EUconst_CNTR_HALinitial&amp;I883</f>
        <v>HALini_Delanläggning med processutsläpp, ej KL</v>
      </c>
      <c r="R898" s="2"/>
      <c r="S898" s="343"/>
      <c r="T898" s="343"/>
      <c r="U898" s="1079" t="s">
        <v>1850</v>
      </c>
      <c r="V898" s="9">
        <f>IF($M883&lt;&gt;EUconst_Relevant,0,V897-$V883+1)</f>
        <v>0</v>
      </c>
      <c r="W898" s="9">
        <f>IF($M883&lt;&gt;EUconst_Relevant,0,W897-$V883+1)</f>
        <v>0</v>
      </c>
      <c r="X898" s="9">
        <f>IF($M883&lt;&gt;EUconst_Relevant,0,X897-$V883+1)</f>
        <v>0</v>
      </c>
      <c r="Y898" s="9">
        <f>IF($M883&lt;&gt;EUconst_Relevant,0,Y897-$V883+1)</f>
        <v>0</v>
      </c>
      <c r="Z898" s="1089">
        <f>IF($M883&lt;&gt;EUconst_Relevant,0,Z897-$V883+1)</f>
        <v>0</v>
      </c>
      <c r="AA898" s="2"/>
      <c r="AB898" s="343"/>
      <c r="AC898" s="2"/>
      <c r="AD898" s="2"/>
      <c r="AE898" s="349"/>
      <c r="AF898" s="349"/>
      <c r="AG898" s="349"/>
      <c r="AH898" s="349"/>
      <c r="AI898" s="349"/>
      <c r="AJ898" s="349"/>
      <c r="AK898" s="349"/>
      <c r="AL898" s="349"/>
      <c r="AM898" s="349"/>
    </row>
    <row r="899" spans="1:39" ht="12.75" hidden="1" customHeight="1" x14ac:dyDescent="0.25">
      <c r="A899" s="343" t="s">
        <v>346</v>
      </c>
      <c r="B899" s="178"/>
      <c r="C899" s="178"/>
      <c r="D899" s="1246"/>
      <c r="E899" s="1231" t="s">
        <v>1848</v>
      </c>
      <c r="F899" s="1231"/>
      <c r="G899" s="1231"/>
      <c r="H899" s="1233"/>
      <c r="I899" s="1235"/>
      <c r="J899" s="1013" t="str">
        <f>IF(J898="","",IF($I901=0,IF(J898=0,0%,100%),J898/$I901-1))</f>
        <v/>
      </c>
      <c r="K899" s="938" t="str">
        <f>IF(K898="","",IF($I901=0,IF(K898=0,0%,100%),K898/$I901-1))</f>
        <v/>
      </c>
      <c r="L899" s="938" t="str">
        <f>IF(L898="","",IF($I901=0,IF(L898=0,0%,100%),L898/$I901-1))</f>
        <v/>
      </c>
      <c r="M899" s="938" t="str">
        <f>IF(M898="","",IF($I901=0,IF(M898=0,0%,100%),M898/$I901-1))</f>
        <v/>
      </c>
      <c r="N899" s="1223" t="str">
        <f>IF(N898="","",IF($I901=0,IF(N898=0,0%,100%),N898/$I901-1))</f>
        <v/>
      </c>
      <c r="O899" s="15"/>
      <c r="P899" s="6"/>
      <c r="Q899" s="165" t="str">
        <f>EUconst_CNTR_RelThreshold &amp;I883</f>
        <v>RelThresh_Delanläggning med processutsläpp, ej KL</v>
      </c>
      <c r="R899" s="2"/>
      <c r="S899" s="343"/>
      <c r="T899" s="343"/>
      <c r="U899" s="1079" t="s">
        <v>1855</v>
      </c>
      <c r="V899" s="603" t="str">
        <f>IF(J898="","",ABS(J899)&gt;15%)</f>
        <v/>
      </c>
      <c r="W899" s="603" t="str">
        <f>IF(K898="","",ABS(K899)&gt;15%)</f>
        <v/>
      </c>
      <c r="X899" s="603" t="str">
        <f>IF(L898="","",ABS(L899)&gt;15%)</f>
        <v/>
      </c>
      <c r="Y899" s="603" t="str">
        <f>IF(M898="","",ABS(M899)&gt;15%)</f>
        <v/>
      </c>
      <c r="Z899" s="1756" t="str">
        <f>IF(N898="","",ABS(N899)&gt;15%)</f>
        <v/>
      </c>
      <c r="AA899" s="2"/>
      <c r="AB899" s="343"/>
      <c r="AC899" s="2"/>
      <c r="AD899" s="2"/>
      <c r="AE899" s="349"/>
      <c r="AF899" s="349"/>
      <c r="AG899" s="349"/>
      <c r="AH899" s="349"/>
      <c r="AI899" s="349"/>
      <c r="AJ899" s="349"/>
      <c r="AK899" s="349"/>
      <c r="AL899" s="349"/>
      <c r="AM899" s="349"/>
    </row>
    <row r="900" spans="1:39" ht="12.75" customHeight="1" x14ac:dyDescent="0.25">
      <c r="A900" s="343"/>
      <c r="B900" s="178"/>
      <c r="C900" s="178"/>
      <c r="D900" s="1246" t="s">
        <v>10</v>
      </c>
      <c r="E900" s="1231" t="str">
        <f>Translations!$B$1474</f>
        <v>Preliminär justering (om relativa tröskelvärden överskrids)</v>
      </c>
      <c r="F900" s="1231"/>
      <c r="G900" s="1231"/>
      <c r="H900" s="1233"/>
      <c r="I900" s="1235"/>
      <c r="J900" s="992" t="str">
        <f>IF(J898="","",IF(V899=FALSE,0%,IF(V900,J899,I906)))</f>
        <v/>
      </c>
      <c r="K900" s="937" t="str">
        <f>IF(K898="","",IF(W899=FALSE,0%,IF(W900,K899,J906)))</f>
        <v/>
      </c>
      <c r="L900" s="937" t="str">
        <f>IF(L898="","",IF(X899=FALSE,0%,IF(X900,L899,K906)))</f>
        <v/>
      </c>
      <c r="M900" s="937" t="str">
        <f>IF(M898="","",IF(Y899=FALSE,0%,IF(Y900,M899,L906)))</f>
        <v/>
      </c>
      <c r="N900" s="1220" t="str">
        <f>IF(N898="","",IF(Z899=FALSE,0%,IF(Z900,N899,M906)))</f>
        <v/>
      </c>
      <c r="O900" s="15"/>
      <c r="P900" s="6"/>
      <c r="Q900" s="343"/>
      <c r="R900" s="2"/>
      <c r="S900" s="343"/>
      <c r="T900" s="343"/>
      <c r="U900" s="1079" t="s">
        <v>1856</v>
      </c>
      <c r="V900" s="603" t="str">
        <f>IF(J898="","",AND(V899,IF(SUM(I906)&lt;0,OR(SUM(J899)&lt;SUM(I906)-MOD(SUM(I906),5%),J899&gt;=SUM(I906)+5%-MOD(SUM(I906),5%)),OR(SUM(J899)&lt;=SUM(I906)-MOD(SUM(I906),5%),SUM(J899)&gt;SUM(I906)+5%-MOD(SUM(I906),5%)))))</f>
        <v/>
      </c>
      <c r="W900" s="603" t="str">
        <f>IF(K898="","",AND(W899,IF(SUM(J906)&lt;0,OR(SUM(K899)&lt;SUM(J906)-MOD(SUM(J906),5%),K899&gt;=SUM(J906)+5%-MOD(SUM(J906),5%)),OR(SUM(K899)&lt;=SUM(J906)-MOD(SUM(J906),5%),SUM(K899)&gt;SUM(J906)+5%-MOD(SUM(J906),5%)))))</f>
        <v/>
      </c>
      <c r="X900" s="603" t="str">
        <f>IF(L898="","",AND(X899,IF(SUM(K906)&lt;0,OR(SUM(L899)&lt;SUM(K906)-MOD(SUM(K906),5%),L899&gt;=SUM(K906)+5%-MOD(SUM(K906),5%)),OR(SUM(L899)&lt;=SUM(K906)-MOD(SUM(K906),5%),SUM(L899)&gt;SUM(K906)+5%-MOD(SUM(K906),5%)))))</f>
        <v/>
      </c>
      <c r="Y900" s="603" t="str">
        <f>IF(M898="","",AND(Y899,IF(SUM(L906)&lt;0,OR(SUM(M899)&lt;SUM(L906)-MOD(SUM(L906),5%),M899&gt;=SUM(L906)+5%-MOD(SUM(L906),5%)),OR(SUM(M899)&lt;=SUM(L906)-MOD(SUM(L906),5%),SUM(M899)&gt;SUM(L906)+5%-MOD(SUM(L906),5%)))))</f>
        <v/>
      </c>
      <c r="Z900" s="1756" t="str">
        <f>IF(N898="","",AND(Z899,IF(SUM(M906)&lt;0,OR(SUM(N899)&lt;SUM(M906)-MOD(SUM(M906),5%),N899&gt;=SUM(M906)+5%-MOD(SUM(M906),5%)),OR(SUM(N899)&lt;=SUM(M906)-MOD(SUM(M906),5%),SUM(N899)&gt;SUM(M906)+5%-MOD(SUM(M906),5%)))))</f>
        <v/>
      </c>
      <c r="AA900" s="2"/>
      <c r="AB900" s="343"/>
      <c r="AC900" s="2"/>
      <c r="AD900" s="2"/>
      <c r="AE900" s="349"/>
      <c r="AF900" s="349"/>
      <c r="AG900" s="349"/>
      <c r="AH900" s="349"/>
      <c r="AI900" s="349"/>
      <c r="AJ900" s="349"/>
      <c r="AK900" s="349"/>
      <c r="AL900" s="349"/>
      <c r="AM900" s="349"/>
    </row>
    <row r="901" spans="1:39" ht="12.75" customHeight="1" x14ac:dyDescent="0.25">
      <c r="A901" s="343"/>
      <c r="B901" s="178"/>
      <c r="C901" s="178"/>
      <c r="D901" s="1246" t="s">
        <v>23</v>
      </c>
      <c r="E901" s="1231" t="str">
        <f>Translations!$B$1490</f>
        <v>Preliminär verksamhetsnivå</v>
      </c>
      <c r="F901" s="1231"/>
      <c r="G901" s="1231"/>
      <c r="H901" s="1232" t="str">
        <f>H898</f>
        <v>t CO2e</v>
      </c>
      <c r="I901" s="1021" t="str">
        <f>IF(M883&lt;&gt;EUconst_Relevant,"",IF(AB883=FALSE,EUconst_NA,IF(V883&gt;($J$950-3),INDEX(H890:N890,MATCH($V883,H889:N889,0)),I898)))</f>
        <v/>
      </c>
      <c r="J901" s="1022" t="str">
        <f>IF($M883&lt;&gt;EUconst_Relevant,"",IF(V898&lt;2,SUM(J890),IF(V898&lt;3,SUM(I890),IF(V901="",I901,V901))))</f>
        <v/>
      </c>
      <c r="K901" s="1023" t="str">
        <f>IF($M883&lt;&gt;EUconst_Relevant,"",IF(W898&lt;2,SUM(K890),IF(W898&lt;3,SUM(J890),IF(W901="",J901,W901))))</f>
        <v/>
      </c>
      <c r="L901" s="1023" t="str">
        <f>IF($M883&lt;&gt;EUconst_Relevant,"",IF(X898&lt;2,SUM(L890),IF(X898&lt;3,SUM(K890),IF(X901="",K901,X901))))</f>
        <v/>
      </c>
      <c r="M901" s="1023" t="str">
        <f>IF($M883&lt;&gt;EUconst_Relevant,"",IF(Y898&lt;2,SUM(M890),IF(Y898&lt;3,SUM(L890),IF(Y901="",L901,Y901))))</f>
        <v/>
      </c>
      <c r="N901" s="1226" t="str">
        <f>IF($M883&lt;&gt;EUconst_Relevant,"",IF(Z898&lt;2,SUM(N890),IF(Z898&lt;3,SUM(M890),IF(Z901="",M901,Z901))))</f>
        <v/>
      </c>
      <c r="O901" s="918"/>
      <c r="P901" s="6"/>
      <c r="Q901" s="165" t="str">
        <f>EUconst_CNTR_HALprelim&amp;I883</f>
        <v>HALprelim_Delanläggning med processutsläpp, ej KL</v>
      </c>
      <c r="R901" s="2"/>
      <c r="S901" s="343"/>
      <c r="T901" s="343"/>
      <c r="U901" s="1079" t="s">
        <v>1851</v>
      </c>
      <c r="V901" s="1752" t="str">
        <f>IF(J898="","",IF(CNTR_ReportingYear&lt;J897,I900,IF($I901=0,J898,$I901*(1+J900))))</f>
        <v/>
      </c>
      <c r="W901" s="1752" t="str">
        <f>IF(K898="","",IF(CNTR_ReportingYear&lt;K897,J900,IF($I901=0,K898,$I901*(1+K900))))</f>
        <v/>
      </c>
      <c r="X901" s="1752" t="str">
        <f>IF(L898="","",IF(CNTR_ReportingYear&lt;L897,K900,IF($I901=0,L898,$I901*(1+L900))))</f>
        <v/>
      </c>
      <c r="Y901" s="1752" t="str">
        <f>IF(M898="","",IF(CNTR_ReportingYear&lt;M897,L900,IF($I901=0,M898,$I901*(1+M900))))</f>
        <v/>
      </c>
      <c r="Z901" s="1761" t="str">
        <f>IF(N898="","",IF(CNTR_ReportingYear&lt;N897,M900,IF($I901=0,N898,$I901*(1+N900))))</f>
        <v/>
      </c>
      <c r="AA901" s="2"/>
      <c r="AB901" s="343"/>
      <c r="AC901" s="2"/>
      <c r="AD901" s="2"/>
      <c r="AE901" s="349"/>
      <c r="AF901" s="349"/>
      <c r="AG901" s="349"/>
      <c r="AH901" s="349"/>
      <c r="AI901" s="349"/>
      <c r="AJ901" s="349"/>
      <c r="AK901" s="349"/>
      <c r="AL901" s="349"/>
      <c r="AM901" s="349"/>
    </row>
    <row r="902" spans="1:39" ht="5.15" customHeight="1" x14ac:dyDescent="0.25">
      <c r="A902" s="343"/>
      <c r="B902" s="178"/>
      <c r="C902" s="178"/>
      <c r="D902" s="1242"/>
      <c r="E902" s="1244"/>
      <c r="F902" s="1244"/>
      <c r="G902" s="1244"/>
      <c r="H902" s="1244"/>
      <c r="I902" s="1244"/>
      <c r="J902" s="1236"/>
      <c r="K902" s="1236"/>
      <c r="L902" s="1236"/>
      <c r="M902" s="1236"/>
      <c r="N902" s="1247"/>
      <c r="O902" s="15"/>
      <c r="P902" s="15"/>
      <c r="Q902" s="343"/>
      <c r="R902" s="2"/>
      <c r="S902" s="2"/>
      <c r="T902" s="2"/>
      <c r="U902" s="1086"/>
      <c r="V902" s="343"/>
      <c r="W902" s="2"/>
      <c r="X902" s="2"/>
      <c r="Y902" s="2"/>
      <c r="Z902" s="228"/>
      <c r="AA902" s="2"/>
      <c r="AB902" s="2"/>
      <c r="AC902" s="2"/>
      <c r="AD902" s="2"/>
      <c r="AE902" s="2"/>
      <c r="AF902" s="2"/>
      <c r="AG902" s="2"/>
      <c r="AH902" s="2"/>
      <c r="AI902" s="2"/>
      <c r="AJ902" s="343"/>
      <c r="AK902" s="343"/>
      <c r="AL902" s="343"/>
      <c r="AM902" s="349"/>
    </row>
    <row r="903" spans="1:39" ht="12.75" customHeight="1" x14ac:dyDescent="0.25">
      <c r="A903" s="343"/>
      <c r="B903" s="178"/>
      <c r="C903" s="178"/>
      <c r="D903" s="1242"/>
      <c r="E903" s="1234" t="str">
        <f>Translations!$B$1475</f>
        <v>Faktisk justering (grund för följande år)</v>
      </c>
      <c r="F903" s="1234"/>
      <c r="G903" s="1234"/>
      <c r="H903" s="1234"/>
      <c r="I903" s="1234"/>
      <c r="J903" s="1268">
        <f>J$950</f>
        <v>2021</v>
      </c>
      <c r="K903" s="1230">
        <f>K$950</f>
        <v>2022</v>
      </c>
      <c r="L903" s="1230">
        <f>L$950</f>
        <v>2023</v>
      </c>
      <c r="M903" s="1230">
        <f>M$950</f>
        <v>2024</v>
      </c>
      <c r="N903" s="1258">
        <f>N$950</f>
        <v>2025</v>
      </c>
      <c r="O903" s="15"/>
      <c r="P903" s="15"/>
      <c r="Q903" s="343"/>
      <c r="R903" s="2"/>
      <c r="S903" s="2"/>
      <c r="T903" s="2"/>
      <c r="U903" s="584"/>
      <c r="V903" s="2"/>
      <c r="W903" s="2"/>
      <c r="X903" s="2"/>
      <c r="Y903" s="2"/>
      <c r="Z903" s="228"/>
      <c r="AA903" s="2"/>
      <c r="AB903" s="2"/>
      <c r="AC903" s="2"/>
      <c r="AD903" s="2"/>
      <c r="AE903" s="2"/>
      <c r="AF903" s="2"/>
      <c r="AG903" s="2"/>
      <c r="AH903" s="2"/>
      <c r="AI903" s="2"/>
      <c r="AJ903" s="343"/>
      <c r="AK903" s="343"/>
      <c r="AL903" s="343"/>
      <c r="AM903" s="349"/>
    </row>
    <row r="904" spans="1:39" ht="12.75" customHeight="1" x14ac:dyDescent="0.25">
      <c r="A904" s="343"/>
      <c r="B904" s="178"/>
      <c r="C904" s="178"/>
      <c r="D904" s="1246" t="s">
        <v>10</v>
      </c>
      <c r="E904" s="1231" t="str">
        <f>Translations!$B$1476</f>
        <v>&gt;= 100 utsläppsrätter kriterium uppnått?</v>
      </c>
      <c r="F904" s="1231"/>
      <c r="G904" s="1231"/>
      <c r="H904" s="1231"/>
      <c r="I904" s="1231"/>
      <c r="J904" s="994" t="str">
        <f>IF($M883&lt;&gt;EUconst_Relevant,"",INDEX(K_Summary!J:J,MATCH($Q904,K_Summary!$P:$P,0)))</f>
        <v/>
      </c>
      <c r="K904" s="912" t="str">
        <f>IF($M883&lt;&gt;EUconst_Relevant,"",INDEX(K_Summary!K:K,MATCH($Q904,K_Summary!$P:$P,0)))</f>
        <v/>
      </c>
      <c r="L904" s="912" t="str">
        <f>IF($M883&lt;&gt;EUconst_Relevant,"",INDEX(K_Summary!L:L,MATCH($Q904,K_Summary!$P:$P,0)))</f>
        <v/>
      </c>
      <c r="M904" s="912" t="str">
        <f>IF($M883&lt;&gt;EUconst_Relevant,"",INDEX(K_Summary!M:M,MATCH($Q904,K_Summary!$P:$P,0)))</f>
        <v/>
      </c>
      <c r="N904" s="1221" t="str">
        <f>IF($M883&lt;&gt;EUconst_Relevant,"",INDEX(K_Summary!N:N,MATCH($Q904,K_Summary!$P:$P,0)))</f>
        <v/>
      </c>
      <c r="O904" s="15"/>
      <c r="P904" s="15"/>
      <c r="Q904" s="672" t="str">
        <f>EUconst_CNTR_100EUA_ActivityLevel&amp;I883</f>
        <v>EUA100AL_Delanläggning med processutsläpp, ej KL</v>
      </c>
      <c r="R904" s="2"/>
      <c r="S904" s="2"/>
      <c r="T904" s="2"/>
      <c r="U904" s="584"/>
      <c r="V904" s="1123"/>
      <c r="W904" s="1123"/>
      <c r="X904" s="1123"/>
      <c r="Y904" s="1123"/>
      <c r="Z904" s="228"/>
      <c r="AA904" s="2"/>
      <c r="AB904" s="2"/>
      <c r="AC904" s="2"/>
      <c r="AD904" s="2"/>
      <c r="AE904" s="2"/>
      <c r="AF904" s="2"/>
      <c r="AG904" s="2"/>
      <c r="AH904" s="2"/>
      <c r="AI904" s="2"/>
      <c r="AJ904" s="343"/>
      <c r="AK904" s="343"/>
      <c r="AL904" s="343"/>
      <c r="AM904" s="349"/>
    </row>
    <row r="905" spans="1:39" ht="5.15" customHeight="1" thickBot="1" x14ac:dyDescent="0.3">
      <c r="A905" s="343"/>
      <c r="B905" s="178"/>
      <c r="C905" s="178"/>
      <c r="D905" s="1242"/>
      <c r="E905" s="1244"/>
      <c r="F905" s="1244"/>
      <c r="G905" s="1244"/>
      <c r="H905" s="1244"/>
      <c r="I905" s="1244"/>
      <c r="J905" s="1244"/>
      <c r="K905" s="1244"/>
      <c r="L905" s="1244"/>
      <c r="M905" s="1244"/>
      <c r="N905" s="1248"/>
      <c r="O905" s="15"/>
      <c r="P905" s="15"/>
      <c r="Q905" s="343"/>
      <c r="R905" s="2"/>
      <c r="S905" s="2"/>
      <c r="T905" s="2"/>
      <c r="U905" s="1086"/>
      <c r="V905" s="343"/>
      <c r="W905" s="2"/>
      <c r="X905" s="2"/>
      <c r="Y905" s="2"/>
      <c r="Z905" s="228"/>
      <c r="AA905" s="2"/>
      <c r="AB905" s="2"/>
      <c r="AC905" s="2"/>
      <c r="AD905" s="2"/>
      <c r="AE905" s="2"/>
      <c r="AF905" s="2"/>
      <c r="AG905" s="2"/>
      <c r="AH905" s="2"/>
      <c r="AI905" s="2"/>
      <c r="AJ905" s="343"/>
      <c r="AK905" s="343"/>
      <c r="AL905" s="343"/>
      <c r="AM905" s="349"/>
    </row>
    <row r="906" spans="1:39" ht="12.75" customHeight="1" thickBot="1" x14ac:dyDescent="0.3">
      <c r="A906" s="2"/>
      <c r="B906" s="178"/>
      <c r="C906" s="178"/>
      <c r="D906" s="1246" t="s">
        <v>23</v>
      </c>
      <c r="E906" s="1231" t="str">
        <f>Translations!$B$1477</f>
        <v>Faktisk justering (om alla tröskelvärden överskrids)</v>
      </c>
      <c r="F906" s="1231"/>
      <c r="G906" s="1231"/>
      <c r="H906" s="1233"/>
      <c r="I906" s="1237"/>
      <c r="J906" s="1099" t="str">
        <f>IF(J904="","",IF(J897&gt;$Z883,-100%,IF(OR(J904,V898&lt;1),J900,I906)))</f>
        <v/>
      </c>
      <c r="K906" s="1100" t="str">
        <f>IF(K904="","",IF(K897&gt;$Z883,-100%,IF(OR(K904,W898&lt;1),K900,J906)))</f>
        <v/>
      </c>
      <c r="L906" s="1100" t="str">
        <f>IF(L904="","",IF(L897&gt;$Z883,-100%,IF(OR(L904,X898&lt;1),L900,K906)))</f>
        <v/>
      </c>
      <c r="M906" s="1100" t="str">
        <f>IF(M904="","",IF(M897&gt;$Z883,-100%,IF(OR(M904,Y898&lt;1),M900,L906)))</f>
        <v/>
      </c>
      <c r="N906" s="1101" t="str">
        <f>IF(N904="","",IF(N897&gt;$Z883,-100%,IF(OR(N904,Z898&lt;1),N900,M906)))</f>
        <v/>
      </c>
      <c r="O906" s="15"/>
      <c r="P906" s="918"/>
      <c r="Q906" s="165" t="str">
        <f>EUconst_CNTR_HALAdjPct &amp; I883</f>
        <v>HALAdjPct_Delanläggning med processutsläpp, ej KL</v>
      </c>
      <c r="R906" s="2"/>
      <c r="S906" s="2"/>
      <c r="T906" s="2"/>
      <c r="U906" s="1086" t="s">
        <v>1858</v>
      </c>
      <c r="V906" s="1068">
        <f>J903</f>
        <v>2021</v>
      </c>
      <c r="W906" s="1068">
        <f>K903</f>
        <v>2022</v>
      </c>
      <c r="X906" s="1068">
        <f>L903</f>
        <v>2023</v>
      </c>
      <c r="Y906" s="1068">
        <f>M903</f>
        <v>2024</v>
      </c>
      <c r="Z906" s="1087">
        <f>N903</f>
        <v>2025</v>
      </c>
      <c r="AA906" s="2"/>
      <c r="AB906" s="2"/>
      <c r="AC906" s="2"/>
      <c r="AD906" s="2"/>
      <c r="AE906" s="2"/>
      <c r="AF906" s="2"/>
      <c r="AG906" s="2"/>
      <c r="AH906" s="2"/>
      <c r="AI906" s="2"/>
      <c r="AJ906" s="343"/>
      <c r="AK906" s="343"/>
      <c r="AL906" s="343"/>
      <c r="AM906" s="349"/>
    </row>
    <row r="907" spans="1:39" ht="12.75" customHeight="1" thickBot="1" x14ac:dyDescent="0.3">
      <c r="A907" s="343"/>
      <c r="B907" s="178"/>
      <c r="C907" s="178"/>
      <c r="D907" s="1246" t="s">
        <v>859</v>
      </c>
      <c r="E907" s="1231" t="str">
        <f>Translations!$B$1478</f>
        <v>Faktiskt värde</v>
      </c>
      <c r="F907" s="1231"/>
      <c r="G907" s="1231"/>
      <c r="H907" s="917" t="str">
        <f>H898</f>
        <v>t CO2e</v>
      </c>
      <c r="I907" s="990" t="str">
        <f>I901</f>
        <v/>
      </c>
      <c r="J907" s="1072" t="str">
        <f>IF($M883&lt;&gt;EUconst_Relevant,"",IF(OR($I907=0,J906="",$I907=EUconst_NA),IF(OR(J904=TRUE,J903&lt;=$V883),J901,SUM(I907)),$I907*(1+SUM(J906))))</f>
        <v/>
      </c>
      <c r="K907" s="1073" t="str">
        <f>IF($M883&lt;&gt;EUconst_Relevant,"",IF(OR($I907=0,K906="",$I907=EUconst_NA),IF(OR(K904=TRUE,K903&lt;=$V883),K901,SUM(J907)),$I907*(1+SUM(K906))))</f>
        <v/>
      </c>
      <c r="L907" s="1073" t="str">
        <f>IF($M883&lt;&gt;EUconst_Relevant,"",IF(OR($I907=0,L906="",$I907=EUconst_NA),IF(OR(L904=TRUE,L903&lt;=$V883),L901,SUM(K907)),$I907*(1+SUM(L906))))</f>
        <v/>
      </c>
      <c r="M907" s="1073" t="str">
        <f>IF($M883&lt;&gt;EUconst_Relevant,"",IF(OR($I907=0,M906="",$I907=EUconst_NA),IF(OR(M904=TRUE,M903&lt;=$V883),M901,SUM(L907)),$I907*(1+SUM(M906))))</f>
        <v/>
      </c>
      <c r="N907" s="1074" t="str">
        <f>IF($M883&lt;&gt;EUconst_Relevant,"",IF(OR($I907=0,N906="",$I907=EUconst_NA),IF(OR(N904=TRUE,N903&lt;=$V883),N901,SUM(M907)),$I907*(1+SUM(N906))))</f>
        <v/>
      </c>
      <c r="O907" s="15"/>
      <c r="P907" s="15"/>
      <c r="Q907" s="672" t="str">
        <f>EUconst_CNTR_HALfinal&amp;I883</f>
        <v>HALfinal_Delanläggning med processutsläpp, ej KL</v>
      </c>
      <c r="R907" s="2"/>
      <c r="S907" s="2"/>
      <c r="T907" s="2"/>
      <c r="U907" s="1765" t="b">
        <v>0</v>
      </c>
      <c r="V907" s="1757" t="str">
        <f>IF(V890,IF(J904=TRUE,V899,U907),"")</f>
        <v/>
      </c>
      <c r="W907" s="1757" t="str">
        <f>IF(W890,IF(K904=TRUE,W899,V907),"")</f>
        <v/>
      </c>
      <c r="X907" s="1757" t="str">
        <f>IF(X890,IF(L904=TRUE,X899,W907),"")</f>
        <v/>
      </c>
      <c r="Y907" s="1757" t="str">
        <f>IF(Y890,IF(M904=TRUE,Y899,X907),"")</f>
        <v/>
      </c>
      <c r="Z907" s="1758" t="str">
        <f>IF(Z890,IF(N904=TRUE,Z899,Y907),"")</f>
        <v/>
      </c>
      <c r="AA907" s="2"/>
      <c r="AB907" s="2"/>
      <c r="AC907" s="2"/>
      <c r="AD907" s="2"/>
      <c r="AE907" s="2"/>
      <c r="AF907" s="2"/>
      <c r="AG907" s="2"/>
      <c r="AH907" s="2"/>
      <c r="AI907" s="2"/>
      <c r="AJ907" s="343"/>
      <c r="AK907" s="343"/>
      <c r="AL907" s="343"/>
      <c r="AM907" s="349"/>
    </row>
    <row r="908" spans="1:39" ht="5.15" customHeight="1" thickBot="1" x14ac:dyDescent="0.3">
      <c r="A908" s="2"/>
      <c r="B908" s="178"/>
      <c r="C908" s="178"/>
      <c r="D908" s="1282"/>
      <c r="E908" s="1272"/>
      <c r="F908" s="1272"/>
      <c r="G908" s="1272"/>
      <c r="H908" s="1272"/>
      <c r="I908" s="1272"/>
      <c r="J908" s="1272"/>
      <c r="K908" s="1272"/>
      <c r="L908" s="1272"/>
      <c r="M908" s="1272"/>
      <c r="N908" s="1273"/>
      <c r="O908" s="15"/>
      <c r="P908" s="15"/>
      <c r="Q908" s="343"/>
      <c r="R908" s="2"/>
      <c r="S908" s="2"/>
      <c r="T908" s="2"/>
      <c r="U908" s="343"/>
      <c r="V908" s="343"/>
      <c r="W908" s="2"/>
      <c r="X908" s="2"/>
      <c r="Y908" s="2"/>
      <c r="Z908" s="2"/>
      <c r="AA908" s="2"/>
      <c r="AB908" s="2"/>
      <c r="AC908" s="2"/>
      <c r="AD908" s="2"/>
      <c r="AE908" s="2"/>
      <c r="AF908" s="2"/>
      <c r="AG908" s="2"/>
      <c r="AH908" s="2"/>
      <c r="AI908" s="2"/>
      <c r="AJ908" s="343"/>
      <c r="AK908" s="343"/>
      <c r="AL908" s="343"/>
      <c r="AM908" s="349"/>
    </row>
    <row r="909" spans="1:39" ht="5.15" customHeight="1" x14ac:dyDescent="0.25">
      <c r="A909" s="343"/>
      <c r="B909" s="19"/>
      <c r="C909" s="3"/>
      <c r="D909" s="3"/>
      <c r="E909" s="3"/>
      <c r="F909" s="3"/>
      <c r="G909" s="3"/>
      <c r="H909" s="3"/>
      <c r="I909" s="3"/>
      <c r="J909" s="3"/>
      <c r="K909" s="3"/>
      <c r="L909" s="3"/>
      <c r="M909" s="3"/>
      <c r="N909" s="3"/>
      <c r="O909" s="6"/>
      <c r="P909" s="6"/>
      <c r="Q909" s="2"/>
      <c r="R909" s="2"/>
      <c r="S909" s="343"/>
      <c r="T909" s="343"/>
      <c r="U909" s="2"/>
      <c r="V909" s="2"/>
      <c r="W909" s="2"/>
      <c r="X909" s="2"/>
      <c r="Y909" s="2"/>
      <c r="Z909" s="343"/>
      <c r="AA909" s="343"/>
      <c r="AB909" s="343"/>
      <c r="AC909" s="2"/>
      <c r="AD909" s="2"/>
      <c r="AE909" s="349"/>
      <c r="AF909" s="349"/>
      <c r="AG909" s="349"/>
      <c r="AH909" s="349"/>
      <c r="AI909" s="349"/>
      <c r="AJ909" s="349"/>
      <c r="AK909" s="349"/>
      <c r="AL909" s="349"/>
      <c r="AM909" s="349"/>
    </row>
    <row r="910" spans="1:39" ht="14" x14ac:dyDescent="0.3">
      <c r="A910" s="343"/>
      <c r="B910" s="19"/>
      <c r="C910" s="18"/>
      <c r="D910" s="2053" t="str">
        <f>Translations!$B$541</f>
        <v>Produktionsuppgifter</v>
      </c>
      <c r="E910" s="1963"/>
      <c r="F910" s="1963"/>
      <c r="G910" s="1963"/>
      <c r="H910" s="1963"/>
      <c r="I910" s="1963"/>
      <c r="J910" s="1963"/>
      <c r="K910" s="1963"/>
      <c r="L910" s="1963"/>
      <c r="M910" s="1963"/>
      <c r="N910" s="1963"/>
      <c r="O910" s="6"/>
      <c r="P910" s="6"/>
      <c r="Q910" s="2"/>
      <c r="R910" s="2"/>
      <c r="S910" s="2"/>
      <c r="T910" s="2"/>
      <c r="U910" s="2"/>
      <c r="V910" s="2"/>
      <c r="W910" s="2"/>
      <c r="X910" s="2"/>
      <c r="Y910" s="2"/>
      <c r="Z910" s="7"/>
      <c r="AA910" s="7"/>
      <c r="AB910" s="7"/>
      <c r="AC910" s="7"/>
      <c r="AD910" s="2"/>
      <c r="AE910" s="349"/>
      <c r="AF910" s="349"/>
      <c r="AG910" s="349"/>
      <c r="AH910" s="349"/>
      <c r="AI910" s="349"/>
      <c r="AJ910" s="349"/>
      <c r="AK910" s="349"/>
      <c r="AL910" s="349"/>
      <c r="AM910" s="349"/>
    </row>
    <row r="911" spans="1:39" ht="5.15" customHeight="1" x14ac:dyDescent="0.25">
      <c r="A911" s="343"/>
      <c r="B911" s="3"/>
      <c r="C911" s="3"/>
      <c r="D911" s="3"/>
      <c r="E911" s="3"/>
      <c r="F911" s="3"/>
      <c r="G911" s="3"/>
      <c r="H911" s="3"/>
      <c r="I911" s="3"/>
      <c r="J911" s="3"/>
      <c r="K911" s="3"/>
      <c r="L911" s="3"/>
      <c r="M911" s="3"/>
      <c r="N911" s="3"/>
      <c r="O911" s="6"/>
      <c r="P911" s="6"/>
      <c r="Q911" s="7"/>
      <c r="R911" s="7"/>
      <c r="S911" s="2"/>
      <c r="T911" s="2"/>
      <c r="U911" s="2"/>
      <c r="V911" s="2"/>
      <c r="W911" s="2"/>
      <c r="X911" s="2"/>
      <c r="Y911" s="2"/>
      <c r="Z911" s="2"/>
      <c r="AA911" s="2"/>
      <c r="AB911" s="2"/>
      <c r="AC911" s="2"/>
      <c r="AD911" s="2"/>
      <c r="AE911" s="349"/>
      <c r="AF911" s="349"/>
      <c r="AG911" s="349"/>
      <c r="AH911" s="349"/>
      <c r="AI911" s="349"/>
      <c r="AJ911" s="349"/>
      <c r="AK911" s="349"/>
      <c r="AL911" s="349"/>
      <c r="AM911" s="349"/>
    </row>
    <row r="912" spans="1:39" s="534" customFormat="1" ht="13" x14ac:dyDescent="0.25">
      <c r="A912" s="343"/>
      <c r="B912" s="3"/>
      <c r="C912" s="13"/>
      <c r="D912" s="13" t="s">
        <v>955</v>
      </c>
      <c r="E912" s="1943" t="str">
        <f>Translations!$B$666</f>
        <v>Identifiering av relevanta produkter eller tjänster med koppling till delanläggningen</v>
      </c>
      <c r="F912" s="1963"/>
      <c r="G912" s="1963"/>
      <c r="H912" s="1963"/>
      <c r="I912" s="1963"/>
      <c r="J912" s="1963"/>
      <c r="K912" s="1963"/>
      <c r="L912" s="1963"/>
      <c r="M912" s="1963"/>
      <c r="N912" s="1963"/>
      <c r="O912" s="6"/>
      <c r="P912" s="6"/>
      <c r="Q912" s="7"/>
      <c r="R912" s="343"/>
      <c r="S912" s="343"/>
      <c r="T912" s="343"/>
      <c r="U912" s="343"/>
      <c r="V912" s="343"/>
      <c r="W912" s="343"/>
      <c r="X912" s="343"/>
      <c r="Y912" s="343"/>
      <c r="Z912" s="343"/>
      <c r="AA912" s="343"/>
      <c r="AB912" s="343"/>
      <c r="AC912" s="343"/>
      <c r="AD912" s="343"/>
      <c r="AE912" s="936"/>
      <c r="AF912" s="936"/>
      <c r="AG912" s="936"/>
      <c r="AH912" s="936"/>
      <c r="AI912" s="936"/>
      <c r="AJ912" s="936"/>
      <c r="AK912" s="936"/>
      <c r="AL912" s="936"/>
      <c r="AM912" s="349"/>
    </row>
    <row r="913" spans="1:39" s="534" customFormat="1" x14ac:dyDescent="0.25">
      <c r="A913" s="343"/>
      <c r="B913" s="3"/>
      <c r="C913" s="3"/>
      <c r="D913" s="15"/>
      <c r="E913" s="2061" t="str">
        <f>Translations!$B$723</f>
        <v>Delanläggningar av denna typ avser alltid produktion av varor som inte omfattas av produktriktmärken inom anläggningen.</v>
      </c>
      <c r="F913" s="1963"/>
      <c r="G913" s="1963"/>
      <c r="H913" s="1963"/>
      <c r="I913" s="1963"/>
      <c r="J913" s="1963"/>
      <c r="K913" s="1963"/>
      <c r="L913" s="1963"/>
      <c r="M913" s="1963"/>
      <c r="N913" s="1963"/>
      <c r="O913" s="6"/>
      <c r="P913" s="6"/>
      <c r="Q913" s="7"/>
      <c r="R913" s="7"/>
      <c r="S913" s="7"/>
      <c r="T913" s="7"/>
      <c r="U913" s="7"/>
      <c r="V913" s="7"/>
      <c r="W913" s="7"/>
      <c r="X913" s="7"/>
      <c r="Y913" s="7"/>
      <c r="Z913" s="343"/>
      <c r="AA913" s="343"/>
      <c r="AB913" s="343"/>
      <c r="AC913" s="343"/>
      <c r="AD913" s="343"/>
      <c r="AE913" s="936"/>
      <c r="AF913" s="936"/>
      <c r="AG913" s="936"/>
      <c r="AH913" s="936"/>
      <c r="AI913" s="936"/>
      <c r="AJ913" s="936"/>
      <c r="AK913" s="936"/>
      <c r="AL913" s="936"/>
      <c r="AM913" s="349"/>
    </row>
    <row r="914" spans="1:39" s="534" customFormat="1" ht="5.15" customHeight="1" x14ac:dyDescent="0.25">
      <c r="A914" s="343"/>
      <c r="B914" s="3"/>
      <c r="C914" s="3"/>
      <c r="D914" s="3"/>
      <c r="E914" s="3"/>
      <c r="F914" s="3"/>
      <c r="G914" s="3"/>
      <c r="H914" s="3"/>
      <c r="I914" s="3"/>
      <c r="J914" s="3"/>
      <c r="K914" s="3"/>
      <c r="L914" s="3"/>
      <c r="M914" s="3"/>
      <c r="N914" s="3"/>
      <c r="O914" s="6"/>
      <c r="P914" s="6"/>
      <c r="Q914" s="7"/>
      <c r="R914" s="7"/>
      <c r="S914" s="343"/>
      <c r="T914" s="343"/>
      <c r="U914" s="343"/>
      <c r="V914" s="343"/>
      <c r="W914" s="343"/>
      <c r="X914" s="343"/>
      <c r="Y914" s="343"/>
      <c r="Z914" s="343"/>
      <c r="AA914" s="343"/>
      <c r="AB914" s="343"/>
      <c r="AC914" s="343"/>
      <c r="AD914" s="343"/>
      <c r="AE914" s="936"/>
      <c r="AF914" s="936"/>
      <c r="AG914" s="936"/>
      <c r="AH914" s="936"/>
      <c r="AI914" s="936"/>
      <c r="AJ914" s="936"/>
      <c r="AK914" s="936"/>
      <c r="AL914" s="936"/>
      <c r="AM914" s="349"/>
    </row>
    <row r="915" spans="1:39" s="534" customFormat="1" ht="25.5" customHeight="1" x14ac:dyDescent="0.3">
      <c r="A915" s="343"/>
      <c r="B915" s="15"/>
      <c r="C915" s="15"/>
      <c r="D915" s="38"/>
      <c r="E915" s="197" t="str">
        <f>Translations!$B$724</f>
        <v>Typ av processutsläpp</v>
      </c>
      <c r="F915" s="24"/>
      <c r="G915" s="198"/>
      <c r="H915" s="2734" t="str">
        <f>Translations!$B$713</f>
        <v>Produktnamn eller typ av tjänst</v>
      </c>
      <c r="I915" s="2106"/>
      <c r="J915" s="2106"/>
      <c r="K915" s="2106"/>
      <c r="L915" s="2107"/>
      <c r="M915" s="321" t="s">
        <v>1030</v>
      </c>
      <c r="N915" s="15"/>
      <c r="O915" s="6"/>
      <c r="P915" s="6"/>
      <c r="Q915" s="343"/>
      <c r="R915" s="343"/>
      <c r="S915" s="7"/>
      <c r="T915" s="711">
        <f t="shared" ref="T915:Y915" si="369">H889</f>
        <v>2019</v>
      </c>
      <c r="U915" s="711">
        <f t="shared" si="369"/>
        <v>2020</v>
      </c>
      <c r="V915" s="711">
        <f t="shared" si="369"/>
        <v>2021</v>
      </c>
      <c r="W915" s="711">
        <f t="shared" si="369"/>
        <v>2022</v>
      </c>
      <c r="X915" s="711">
        <f t="shared" si="369"/>
        <v>2023</v>
      </c>
      <c r="Y915" s="711">
        <f t="shared" si="369"/>
        <v>2024</v>
      </c>
      <c r="Z915" s="711">
        <f>N889</f>
        <v>2025</v>
      </c>
      <c r="AA915" s="343"/>
      <c r="AB915" s="343"/>
      <c r="AC915" s="343"/>
      <c r="AD915" s="343"/>
      <c r="AE915" s="936"/>
      <c r="AF915" s="936"/>
      <c r="AG915" s="936"/>
      <c r="AH915" s="936"/>
      <c r="AI915" s="936"/>
      <c r="AJ915" s="936"/>
      <c r="AK915" s="936"/>
      <c r="AL915" s="936"/>
      <c r="AM915" s="349"/>
    </row>
    <row r="916" spans="1:39" s="534" customFormat="1" ht="13" x14ac:dyDescent="0.3">
      <c r="A916" s="343"/>
      <c r="B916" s="15"/>
      <c r="C916" s="15"/>
      <c r="D916" s="456">
        <v>1</v>
      </c>
      <c r="E916" s="2737"/>
      <c r="F916" s="2738"/>
      <c r="G916" s="2739"/>
      <c r="H916" s="2249"/>
      <c r="I916" s="2735"/>
      <c r="J916" s="2735"/>
      <c r="K916" s="2735"/>
      <c r="L916" s="2736"/>
      <c r="M916" s="432"/>
      <c r="N916" s="15"/>
      <c r="O916" s="6"/>
      <c r="P916" s="6"/>
      <c r="Q916" s="343"/>
      <c r="R916" s="343"/>
      <c r="S916" s="665" t="str">
        <f>EUconst_CNTR_AttributedEmissions &amp;I883</f>
        <v>AttrEmissions_Delanläggning med processutsläpp, ej KL</v>
      </c>
      <c r="T916" s="165" t="str">
        <f t="shared" ref="T916:Y916" si="370">IF(T890,SUM(H890),"")</f>
        <v/>
      </c>
      <c r="U916" s="165" t="str">
        <f t="shared" si="370"/>
        <v/>
      </c>
      <c r="V916" s="165" t="str">
        <f t="shared" si="370"/>
        <v/>
      </c>
      <c r="W916" s="165" t="str">
        <f t="shared" si="370"/>
        <v/>
      </c>
      <c r="X916" s="165" t="str">
        <f t="shared" si="370"/>
        <v/>
      </c>
      <c r="Y916" s="165" t="str">
        <f t="shared" si="370"/>
        <v/>
      </c>
      <c r="Z916" s="165" t="str">
        <f>IF(Z890,SUM(N890),"")</f>
        <v/>
      </c>
      <c r="AA916" s="343"/>
      <c r="AB916" s="343"/>
      <c r="AC916" s="343"/>
      <c r="AD916" s="343"/>
      <c r="AE916" s="936"/>
      <c r="AF916" s="936"/>
      <c r="AG916" s="936"/>
      <c r="AH916" s="936"/>
      <c r="AI916" s="936"/>
      <c r="AJ916" s="936"/>
      <c r="AK916" s="553" t="s">
        <v>2248</v>
      </c>
      <c r="AL916" s="663" t="str">
        <f>IF(AND($M883=EUconst_Relevant,COUNTA(E916:L916)&lt;2),EUconst_Error&amp;"FB"&amp;Q883,"")</f>
        <v/>
      </c>
      <c r="AM916" s="349"/>
    </row>
    <row r="917" spans="1:39" s="534" customFormat="1" x14ac:dyDescent="0.25">
      <c r="A917" s="343"/>
      <c r="B917" s="15"/>
      <c r="C917" s="15"/>
      <c r="D917" s="459">
        <f>D916+1</f>
        <v>2</v>
      </c>
      <c r="E917" s="2677"/>
      <c r="F917" s="2678"/>
      <c r="G917" s="2679"/>
      <c r="H917" s="2262"/>
      <c r="I917" s="2699"/>
      <c r="J917" s="2699"/>
      <c r="K917" s="2699"/>
      <c r="L917" s="2700"/>
      <c r="M917" s="433"/>
      <c r="N917" s="15"/>
      <c r="O917" s="6"/>
      <c r="P917" s="6"/>
      <c r="Q917" s="343"/>
      <c r="R917" s="343"/>
      <c r="S917" s="343"/>
      <c r="T917" s="343"/>
      <c r="U917" s="343"/>
      <c r="V917" s="343"/>
      <c r="W917" s="343"/>
      <c r="X917" s="343"/>
      <c r="Y917" s="343"/>
      <c r="Z917" s="343"/>
      <c r="AA917" s="343"/>
      <c r="AB917" s="343"/>
      <c r="AC917" s="343"/>
      <c r="AD917" s="343"/>
      <c r="AE917" s="936"/>
      <c r="AF917" s="936"/>
      <c r="AG917" s="936"/>
      <c r="AH917" s="936"/>
      <c r="AI917" s="936"/>
      <c r="AJ917" s="936"/>
      <c r="AK917" s="936"/>
      <c r="AL917" s="936"/>
      <c r="AM917" s="349"/>
    </row>
    <row r="918" spans="1:39" s="534" customFormat="1" x14ac:dyDescent="0.25">
      <c r="A918" s="343"/>
      <c r="B918" s="15"/>
      <c r="C918" s="15"/>
      <c r="D918" s="459">
        <f t="shared" ref="D918:D925" si="371">D917+1</f>
        <v>3</v>
      </c>
      <c r="E918" s="2677"/>
      <c r="F918" s="2678"/>
      <c r="G918" s="2679"/>
      <c r="H918" s="2262"/>
      <c r="I918" s="2699"/>
      <c r="J918" s="2699"/>
      <c r="K918" s="2699"/>
      <c r="L918" s="2700"/>
      <c r="M918" s="433"/>
      <c r="N918" s="15"/>
      <c r="O918" s="6"/>
      <c r="P918" s="6"/>
      <c r="Q918" s="343"/>
      <c r="R918" s="343"/>
      <c r="S918" s="343"/>
      <c r="T918" s="343"/>
      <c r="U918" s="343"/>
      <c r="V918" s="343"/>
      <c r="W918" s="343"/>
      <c r="X918" s="343"/>
      <c r="Y918" s="343"/>
      <c r="Z918" s="343"/>
      <c r="AA918" s="343"/>
      <c r="AB918" s="343"/>
      <c r="AC918" s="343"/>
      <c r="AD918" s="343"/>
      <c r="AE918" s="936"/>
      <c r="AF918" s="936"/>
      <c r="AG918" s="936"/>
      <c r="AH918" s="936"/>
      <c r="AI918" s="936"/>
      <c r="AJ918" s="936"/>
      <c r="AK918" s="936"/>
      <c r="AL918" s="936"/>
      <c r="AM918" s="349"/>
    </row>
    <row r="919" spans="1:39" s="534" customFormat="1" x14ac:dyDescent="0.25">
      <c r="A919" s="343"/>
      <c r="B919" s="15"/>
      <c r="C919" s="15"/>
      <c r="D919" s="459">
        <f t="shared" si="371"/>
        <v>4</v>
      </c>
      <c r="E919" s="2677"/>
      <c r="F919" s="2678"/>
      <c r="G919" s="2679"/>
      <c r="H919" s="2262"/>
      <c r="I919" s="2699"/>
      <c r="J919" s="2699"/>
      <c r="K919" s="2699"/>
      <c r="L919" s="2700"/>
      <c r="M919" s="433"/>
      <c r="N919" s="15"/>
      <c r="O919" s="6"/>
      <c r="P919" s="6"/>
      <c r="Q919" s="343"/>
      <c r="R919" s="343"/>
      <c r="S919" s="343"/>
      <c r="T919" s="343"/>
      <c r="U919" s="343"/>
      <c r="V919" s="343"/>
      <c r="W919" s="343"/>
      <c r="X919" s="343"/>
      <c r="Y919" s="343"/>
      <c r="Z919" s="343"/>
      <c r="AA919" s="343"/>
      <c r="AB919" s="343"/>
      <c r="AC919" s="343"/>
      <c r="AD919" s="343"/>
      <c r="AE919" s="936"/>
      <c r="AF919" s="936"/>
      <c r="AG919" s="936"/>
      <c r="AH919" s="936"/>
      <c r="AI919" s="936"/>
      <c r="AJ919" s="936"/>
      <c r="AK919" s="936"/>
      <c r="AL919" s="936"/>
      <c r="AM919" s="349"/>
    </row>
    <row r="920" spans="1:39" s="534" customFormat="1" x14ac:dyDescent="0.25">
      <c r="A920" s="343"/>
      <c r="B920" s="15"/>
      <c r="C920" s="15"/>
      <c r="D920" s="459">
        <f t="shared" si="371"/>
        <v>5</v>
      </c>
      <c r="E920" s="2677"/>
      <c r="F920" s="2678"/>
      <c r="G920" s="2679"/>
      <c r="H920" s="2262"/>
      <c r="I920" s="2699"/>
      <c r="J920" s="2699"/>
      <c r="K920" s="2699"/>
      <c r="L920" s="2700"/>
      <c r="M920" s="433"/>
      <c r="N920" s="15"/>
      <c r="O920" s="6"/>
      <c r="P920" s="6"/>
      <c r="Q920" s="343"/>
      <c r="R920" s="343"/>
      <c r="S920" s="343"/>
      <c r="T920" s="343"/>
      <c r="U920" s="343"/>
      <c r="V920" s="343"/>
      <c r="W920" s="343"/>
      <c r="X920" s="343"/>
      <c r="Y920" s="343"/>
      <c r="Z920" s="343"/>
      <c r="AA920" s="343"/>
      <c r="AB920" s="343"/>
      <c r="AC920" s="343"/>
      <c r="AD920" s="343"/>
      <c r="AE920" s="936"/>
      <c r="AF920" s="936"/>
      <c r="AG920" s="936"/>
      <c r="AH920" s="936"/>
      <c r="AI920" s="936"/>
      <c r="AJ920" s="936"/>
      <c r="AK920" s="936"/>
      <c r="AL920" s="936"/>
      <c r="AM920" s="349"/>
    </row>
    <row r="921" spans="1:39" s="534" customFormat="1" x14ac:dyDescent="0.25">
      <c r="A921" s="343"/>
      <c r="B921" s="15"/>
      <c r="C921" s="15"/>
      <c r="D921" s="459">
        <f t="shared" si="371"/>
        <v>6</v>
      </c>
      <c r="E921" s="2677"/>
      <c r="F921" s="2678"/>
      <c r="G921" s="2679"/>
      <c r="H921" s="2262"/>
      <c r="I921" s="2699"/>
      <c r="J921" s="2699"/>
      <c r="K921" s="2699"/>
      <c r="L921" s="2700"/>
      <c r="M921" s="433"/>
      <c r="N921" s="15"/>
      <c r="O921" s="6"/>
      <c r="P921" s="6"/>
      <c r="Q921" s="343"/>
      <c r="R921" s="343"/>
      <c r="S921" s="343"/>
      <c r="T921" s="343"/>
      <c r="U921" s="343"/>
      <c r="V921" s="343"/>
      <c r="W921" s="343"/>
      <c r="X921" s="343"/>
      <c r="Y921" s="343"/>
      <c r="Z921" s="343"/>
      <c r="AA921" s="343"/>
      <c r="AB921" s="343"/>
      <c r="AC921" s="343"/>
      <c r="AD921" s="343"/>
      <c r="AE921" s="936"/>
      <c r="AF921" s="936"/>
      <c r="AG921" s="936"/>
      <c r="AH921" s="936"/>
      <c r="AI921" s="936"/>
      <c r="AJ921" s="936"/>
      <c r="AK921" s="936"/>
      <c r="AL921" s="936"/>
      <c r="AM921" s="349"/>
    </row>
    <row r="922" spans="1:39" s="534" customFormat="1" x14ac:dyDescent="0.25">
      <c r="A922" s="343"/>
      <c r="B922" s="15"/>
      <c r="C922" s="15"/>
      <c r="D922" s="459">
        <f t="shared" si="371"/>
        <v>7</v>
      </c>
      <c r="E922" s="2677"/>
      <c r="F922" s="2678"/>
      <c r="G922" s="2679"/>
      <c r="H922" s="2262"/>
      <c r="I922" s="2699"/>
      <c r="J922" s="2699"/>
      <c r="K922" s="2699"/>
      <c r="L922" s="2700"/>
      <c r="M922" s="433"/>
      <c r="N922" s="15"/>
      <c r="O922" s="6"/>
      <c r="P922" s="6"/>
      <c r="Q922" s="343"/>
      <c r="R922" s="343"/>
      <c r="S922" s="343"/>
      <c r="T922" s="343"/>
      <c r="U922" s="343"/>
      <c r="V922" s="343"/>
      <c r="W922" s="343"/>
      <c r="X922" s="343"/>
      <c r="Y922" s="343"/>
      <c r="Z922" s="343"/>
      <c r="AA922" s="343"/>
      <c r="AB922" s="343"/>
      <c r="AC922" s="343"/>
      <c r="AD922" s="343"/>
      <c r="AE922" s="936"/>
      <c r="AF922" s="936"/>
      <c r="AG922" s="936"/>
      <c r="AH922" s="936"/>
      <c r="AI922" s="936"/>
      <c r="AJ922" s="936"/>
      <c r="AK922" s="936"/>
      <c r="AL922" s="936"/>
      <c r="AM922" s="936"/>
    </row>
    <row r="923" spans="1:39" s="534" customFormat="1" x14ac:dyDescent="0.25">
      <c r="A923" s="343"/>
      <c r="B923" s="15"/>
      <c r="C923" s="15"/>
      <c r="D923" s="459">
        <f t="shared" si="371"/>
        <v>8</v>
      </c>
      <c r="E923" s="2677"/>
      <c r="F923" s="2678"/>
      <c r="G923" s="2679"/>
      <c r="H923" s="2262"/>
      <c r="I923" s="2699"/>
      <c r="J923" s="2699"/>
      <c r="K923" s="2699"/>
      <c r="L923" s="2700"/>
      <c r="M923" s="433"/>
      <c r="N923" s="15"/>
      <c r="O923" s="6"/>
      <c r="P923" s="6"/>
      <c r="Q923" s="343"/>
      <c r="R923" s="343"/>
      <c r="S923" s="343"/>
      <c r="T923" s="343"/>
      <c r="U923" s="343"/>
      <c r="V923" s="343"/>
      <c r="W923" s="343"/>
      <c r="X923" s="343"/>
      <c r="Y923" s="343"/>
      <c r="Z923" s="343"/>
      <c r="AA923" s="343"/>
      <c r="AB923" s="343"/>
      <c r="AC923" s="343"/>
      <c r="AD923" s="343"/>
      <c r="AE923" s="936"/>
      <c r="AF923" s="936"/>
      <c r="AG923" s="936"/>
      <c r="AH923" s="936"/>
      <c r="AI923" s="936"/>
      <c r="AJ923" s="936"/>
      <c r="AK923" s="936"/>
      <c r="AL923" s="936"/>
      <c r="AM923" s="936"/>
    </row>
    <row r="924" spans="1:39" s="534" customFormat="1" x14ac:dyDescent="0.25">
      <c r="A924" s="343"/>
      <c r="B924" s="15"/>
      <c r="C924" s="15"/>
      <c r="D924" s="459">
        <f t="shared" si="371"/>
        <v>9</v>
      </c>
      <c r="E924" s="2677"/>
      <c r="F924" s="2678"/>
      <c r="G924" s="2679"/>
      <c r="H924" s="2262"/>
      <c r="I924" s="2699"/>
      <c r="J924" s="2699"/>
      <c r="K924" s="2699"/>
      <c r="L924" s="2700"/>
      <c r="M924" s="433"/>
      <c r="N924" s="15"/>
      <c r="O924" s="6"/>
      <c r="P924" s="6"/>
      <c r="Q924" s="343"/>
      <c r="R924" s="343"/>
      <c r="S924" s="343"/>
      <c r="T924" s="343"/>
      <c r="U924" s="343"/>
      <c r="V924" s="343"/>
      <c r="W924" s="343"/>
      <c r="X924" s="343"/>
      <c r="Y924" s="343"/>
      <c r="Z924" s="343"/>
      <c r="AA924" s="343"/>
      <c r="AB924" s="343"/>
      <c r="AC924" s="343"/>
      <c r="AD924" s="343"/>
      <c r="AE924" s="936"/>
      <c r="AF924" s="936"/>
      <c r="AG924" s="936"/>
      <c r="AH924" s="936"/>
      <c r="AI924" s="936"/>
      <c r="AJ924" s="936"/>
      <c r="AK924" s="936"/>
      <c r="AL924" s="936"/>
      <c r="AM924" s="936"/>
    </row>
    <row r="925" spans="1:39" s="534" customFormat="1" x14ac:dyDescent="0.25">
      <c r="A925" s="343"/>
      <c r="B925" s="15"/>
      <c r="C925" s="15"/>
      <c r="D925" s="461">
        <f t="shared" si="371"/>
        <v>10</v>
      </c>
      <c r="E925" s="2701"/>
      <c r="F925" s="2702"/>
      <c r="G925" s="2703"/>
      <c r="H925" s="2234"/>
      <c r="I925" s="2732"/>
      <c r="J925" s="2732"/>
      <c r="K925" s="2732"/>
      <c r="L925" s="2733"/>
      <c r="M925" s="434"/>
      <c r="N925" s="15"/>
      <c r="O925" s="6"/>
      <c r="P925" s="6"/>
      <c r="Q925" s="343"/>
      <c r="R925" s="343"/>
      <c r="S925" s="343"/>
      <c r="T925" s="343"/>
      <c r="U925" s="343"/>
      <c r="V925" s="343"/>
      <c r="W925" s="343"/>
      <c r="X925" s="343"/>
      <c r="Y925" s="343"/>
      <c r="Z925" s="343"/>
      <c r="AA925" s="343"/>
      <c r="AB925" s="343"/>
      <c r="AC925" s="343"/>
      <c r="AD925" s="343"/>
      <c r="AE925" s="936"/>
      <c r="AF925" s="936"/>
      <c r="AG925" s="936"/>
      <c r="AH925" s="936"/>
      <c r="AI925" s="936"/>
      <c r="AJ925" s="936"/>
      <c r="AK925" s="936"/>
      <c r="AL925" s="936"/>
      <c r="AM925" s="936"/>
    </row>
    <row r="926" spans="1:39" s="534" customFormat="1" ht="5.15" customHeight="1" x14ac:dyDescent="0.25">
      <c r="A926" s="343"/>
      <c r="B926" s="3"/>
      <c r="C926" s="15"/>
      <c r="D926" s="15"/>
      <c r="E926" s="16"/>
      <c r="F926" s="16"/>
      <c r="G926" s="16"/>
      <c r="H926" s="16"/>
      <c r="I926" s="16"/>
      <c r="J926" s="20"/>
      <c r="K926" s="20"/>
      <c r="L926" s="20"/>
      <c r="M926" s="6"/>
      <c r="N926" s="6"/>
      <c r="O926" s="6"/>
      <c r="P926" s="6"/>
      <c r="Q926" s="7"/>
      <c r="R926" s="343"/>
      <c r="S926" s="343"/>
      <c r="T926" s="343"/>
      <c r="U926" s="343"/>
      <c r="V926" s="343"/>
      <c r="W926" s="343"/>
      <c r="X926" s="343"/>
      <c r="Y926" s="343"/>
      <c r="Z926" s="343"/>
      <c r="AA926" s="343"/>
      <c r="AB926" s="343"/>
      <c r="AC926" s="343"/>
      <c r="AD926" s="343"/>
      <c r="AE926" s="936"/>
      <c r="AF926" s="936"/>
      <c r="AG926" s="936"/>
      <c r="AH926" s="936"/>
      <c r="AI926" s="936"/>
      <c r="AJ926" s="936"/>
      <c r="AK926" s="936"/>
      <c r="AL926" s="936"/>
      <c r="AM926" s="936"/>
    </row>
    <row r="927" spans="1:39" s="534" customFormat="1" ht="12.75" customHeight="1" x14ac:dyDescent="0.25">
      <c r="A927" s="343"/>
      <c r="B927" s="3"/>
      <c r="C927" s="13"/>
      <c r="D927" s="13" t="s">
        <v>55</v>
      </c>
      <c r="E927" s="1943" t="str">
        <f>Translations!$B$675</f>
        <v>Produktionsnivåer:</v>
      </c>
      <c r="F927" s="1963"/>
      <c r="G927" s="1963"/>
      <c r="H927" s="1963"/>
      <c r="I927" s="1963"/>
      <c r="J927" s="1963"/>
      <c r="K927" s="1963"/>
      <c r="L927" s="1963"/>
      <c r="M927" s="1963"/>
      <c r="N927" s="1963"/>
      <c r="O927" s="6"/>
      <c r="P927" s="6"/>
      <c r="Q927" s="7"/>
      <c r="R927" s="343"/>
      <c r="S927" s="343"/>
      <c r="T927" s="343"/>
      <c r="U927" s="343"/>
      <c r="V927" s="343"/>
      <c r="W927" s="343"/>
      <c r="X927" s="343"/>
      <c r="Y927" s="343"/>
      <c r="Z927" s="343"/>
      <c r="AA927" s="343"/>
      <c r="AB927" s="343"/>
      <c r="AC927" s="343"/>
      <c r="AD927" s="343"/>
      <c r="AE927" s="936"/>
      <c r="AF927" s="936"/>
      <c r="AG927" s="936"/>
      <c r="AH927" s="936"/>
      <c r="AI927" s="936"/>
      <c r="AJ927" s="936"/>
      <c r="AK927" s="936"/>
      <c r="AL927" s="936"/>
      <c r="AM927" s="936"/>
    </row>
    <row r="928" spans="1:39" s="534" customFormat="1" ht="5.15" customHeight="1" x14ac:dyDescent="0.25">
      <c r="A928" s="343"/>
      <c r="B928" s="3"/>
      <c r="C928" s="3"/>
      <c r="D928" s="3"/>
      <c r="E928" s="3"/>
      <c r="F928" s="3"/>
      <c r="G928" s="3"/>
      <c r="H928" s="3"/>
      <c r="I928" s="3"/>
      <c r="J928" s="3"/>
      <c r="K928" s="3"/>
      <c r="L928" s="3"/>
      <c r="M928" s="3"/>
      <c r="N928" s="6"/>
      <c r="O928" s="6"/>
      <c r="P928" s="6"/>
      <c r="Q928" s="7"/>
      <c r="R928" s="7"/>
      <c r="S928" s="343"/>
      <c r="T928" s="343"/>
      <c r="U928" s="343"/>
      <c r="V928" s="343"/>
      <c r="W928" s="343"/>
      <c r="X928" s="343"/>
      <c r="Y928" s="343"/>
      <c r="Z928" s="343"/>
      <c r="AA928" s="343"/>
      <c r="AB928" s="343"/>
      <c r="AC928" s="343"/>
      <c r="AD928" s="343"/>
      <c r="AE928" s="936"/>
      <c r="AF928" s="936"/>
      <c r="AG928" s="936"/>
      <c r="AH928" s="936"/>
      <c r="AI928" s="936"/>
      <c r="AJ928" s="936"/>
      <c r="AK928" s="936"/>
      <c r="AL928" s="936"/>
      <c r="AM928" s="936"/>
    </row>
    <row r="929" spans="1:39" s="534" customFormat="1" ht="13" x14ac:dyDescent="0.25">
      <c r="A929" s="343"/>
      <c r="B929" s="15"/>
      <c r="C929" s="13"/>
      <c r="D929" s="38"/>
      <c r="E929" s="2734" t="str">
        <f>Translations!$B$713</f>
        <v>Produktnamn eller typ av tjänst</v>
      </c>
      <c r="F929" s="2106"/>
      <c r="G929" s="774" t="str">
        <f>EUconst_Unit</f>
        <v>Enhet</v>
      </c>
      <c r="H929" s="320">
        <f t="shared" ref="H929:N929" si="372">H$950</f>
        <v>2019</v>
      </c>
      <c r="I929" s="320">
        <f t="shared" si="372"/>
        <v>2020</v>
      </c>
      <c r="J929" s="320">
        <f t="shared" si="372"/>
        <v>2021</v>
      </c>
      <c r="K929" s="320">
        <f t="shared" si="372"/>
        <v>2022</v>
      </c>
      <c r="L929" s="320">
        <f t="shared" si="372"/>
        <v>2023</v>
      </c>
      <c r="M929" s="320">
        <f t="shared" si="372"/>
        <v>2024</v>
      </c>
      <c r="N929" s="342">
        <f t="shared" si="372"/>
        <v>2025</v>
      </c>
      <c r="O929" s="6"/>
      <c r="P929" s="6"/>
      <c r="Q929" s="343"/>
      <c r="R929" s="343"/>
      <c r="S929" s="343"/>
      <c r="T929" s="343"/>
      <c r="U929" s="343"/>
      <c r="V929" s="343"/>
      <c r="W929" s="343"/>
      <c r="X929" s="343"/>
      <c r="Y929" s="343"/>
      <c r="Z929" s="343"/>
      <c r="AA929" s="343"/>
      <c r="AB929" s="343"/>
      <c r="AC929" s="343"/>
      <c r="AD929" s="343"/>
      <c r="AE929" s="936"/>
      <c r="AF929" s="936"/>
      <c r="AG929" s="936"/>
      <c r="AH929" s="936"/>
      <c r="AI929" s="936"/>
      <c r="AJ929" s="936"/>
      <c r="AK929" s="936"/>
      <c r="AL929" s="936"/>
      <c r="AM929" s="936"/>
    </row>
    <row r="930" spans="1:39" ht="12.75" customHeight="1" x14ac:dyDescent="0.25">
      <c r="A930" s="343"/>
      <c r="B930" s="19"/>
      <c r="C930" s="45"/>
      <c r="D930" s="32">
        <v>1</v>
      </c>
      <c r="E930" s="2746" t="str">
        <f t="shared" ref="E930:E939" si="373">IF(ISBLANK(H916),"",H916)</f>
        <v/>
      </c>
      <c r="F930" s="2484"/>
      <c r="G930" s="1750"/>
      <c r="H930" s="383"/>
      <c r="I930" s="383"/>
      <c r="J930" s="383"/>
      <c r="K930" s="383"/>
      <c r="L930" s="383"/>
      <c r="M930" s="383"/>
      <c r="N930" s="467"/>
      <c r="O930" s="6"/>
      <c r="P930" s="6"/>
      <c r="Q930" s="2"/>
      <c r="R930" s="2"/>
      <c r="S930" s="2"/>
      <c r="T930" s="2"/>
      <c r="U930" s="2"/>
      <c r="V930" s="2"/>
      <c r="W930" s="2"/>
      <c r="X930" s="2"/>
      <c r="Y930" s="2"/>
      <c r="Z930" s="2"/>
      <c r="AA930" s="2"/>
      <c r="AB930" s="2"/>
      <c r="AC930" s="2"/>
      <c r="AD930" s="2"/>
      <c r="AE930" s="349"/>
      <c r="AF930" s="349"/>
      <c r="AG930" s="349"/>
      <c r="AH930" s="349"/>
      <c r="AI930" s="349"/>
      <c r="AJ930" s="349"/>
      <c r="AK930" s="349"/>
      <c r="AL930" s="349"/>
      <c r="AM930" s="349"/>
    </row>
    <row r="931" spans="1:39" ht="12.75" customHeight="1" x14ac:dyDescent="0.25">
      <c r="A931" s="343"/>
      <c r="B931" s="19"/>
      <c r="C931" s="45"/>
      <c r="D931" s="33">
        <f>D930+1</f>
        <v>2</v>
      </c>
      <c r="E931" s="2741" t="str">
        <f t="shared" si="373"/>
        <v/>
      </c>
      <c r="F931" s="2476"/>
      <c r="G931" s="446"/>
      <c r="H931" s="431"/>
      <c r="I931" s="431"/>
      <c r="J931" s="431"/>
      <c r="K931" s="431"/>
      <c r="L931" s="431"/>
      <c r="M931" s="431"/>
      <c r="N931" s="468"/>
      <c r="O931" s="6"/>
      <c r="P931" s="6"/>
      <c r="Q931" s="2"/>
      <c r="R931" s="2"/>
      <c r="S931" s="2"/>
      <c r="T931" s="2"/>
      <c r="U931" s="2"/>
      <c r="V931" s="2"/>
      <c r="W931" s="2"/>
      <c r="X931" s="2"/>
      <c r="Y931" s="2"/>
      <c r="Z931" s="2"/>
      <c r="AA931" s="2"/>
      <c r="AB931" s="2"/>
      <c r="AC931" s="2"/>
      <c r="AD931" s="2"/>
      <c r="AE931" s="349"/>
      <c r="AF931" s="349"/>
      <c r="AG931" s="349"/>
      <c r="AH931" s="349"/>
      <c r="AI931" s="349"/>
      <c r="AJ931" s="349"/>
      <c r="AK931" s="349"/>
      <c r="AL931" s="349"/>
      <c r="AM931" s="349"/>
    </row>
    <row r="932" spans="1:39" ht="12.75" customHeight="1" x14ac:dyDescent="0.25">
      <c r="A932" s="343"/>
      <c r="B932" s="19"/>
      <c r="C932" s="45"/>
      <c r="D932" s="33">
        <f t="shared" ref="D932:D939" si="374">D931+1</f>
        <v>3</v>
      </c>
      <c r="E932" s="2741" t="str">
        <f t="shared" si="373"/>
        <v/>
      </c>
      <c r="F932" s="2476"/>
      <c r="G932" s="446"/>
      <c r="H932" s="431"/>
      <c r="I932" s="431"/>
      <c r="J932" s="431"/>
      <c r="K932" s="431"/>
      <c r="L932" s="431"/>
      <c r="M932" s="431"/>
      <c r="N932" s="468"/>
      <c r="O932" s="6"/>
      <c r="P932" s="6"/>
      <c r="Q932" s="2"/>
      <c r="R932" s="2"/>
      <c r="S932" s="2"/>
      <c r="T932" s="2"/>
      <c r="U932" s="2"/>
      <c r="V932" s="2"/>
      <c r="W932" s="2"/>
      <c r="X932" s="2"/>
      <c r="Y932" s="2"/>
      <c r="Z932" s="2"/>
      <c r="AA932" s="2"/>
      <c r="AB932" s="2"/>
      <c r="AC932" s="2"/>
      <c r="AD932" s="2"/>
      <c r="AE932" s="349"/>
      <c r="AF932" s="349"/>
      <c r="AG932" s="349"/>
      <c r="AH932" s="349"/>
      <c r="AI932" s="349"/>
      <c r="AJ932" s="349"/>
      <c r="AK932" s="349"/>
      <c r="AL932" s="349"/>
      <c r="AM932" s="349"/>
    </row>
    <row r="933" spans="1:39" ht="12.75" customHeight="1" x14ac:dyDescent="0.25">
      <c r="A933" s="343"/>
      <c r="B933" s="19"/>
      <c r="C933" s="45"/>
      <c r="D933" s="33">
        <f t="shared" si="374"/>
        <v>4</v>
      </c>
      <c r="E933" s="2741" t="str">
        <f t="shared" si="373"/>
        <v/>
      </c>
      <c r="F933" s="2476"/>
      <c r="G933" s="446"/>
      <c r="H933" s="431"/>
      <c r="I933" s="431"/>
      <c r="J933" s="431"/>
      <c r="K933" s="431"/>
      <c r="L933" s="431"/>
      <c r="M933" s="431"/>
      <c r="N933" s="468"/>
      <c r="O933" s="6"/>
      <c r="P933" s="6"/>
      <c r="Q933" s="2"/>
      <c r="R933" s="2"/>
      <c r="S933" s="2"/>
      <c r="T933" s="2"/>
      <c r="U933" s="2"/>
      <c r="V933" s="2"/>
      <c r="W933" s="2"/>
      <c r="X933" s="2"/>
      <c r="Y933" s="2"/>
      <c r="Z933" s="2"/>
      <c r="AA933" s="2"/>
      <c r="AB933" s="2"/>
      <c r="AC933" s="2"/>
      <c r="AD933" s="2"/>
      <c r="AE933" s="349"/>
      <c r="AF933" s="349"/>
      <c r="AG933" s="349"/>
      <c r="AH933" s="349"/>
      <c r="AI933" s="349"/>
      <c r="AJ933" s="349"/>
      <c r="AK933" s="349"/>
      <c r="AL933" s="349"/>
      <c r="AM933" s="349"/>
    </row>
    <row r="934" spans="1:39" ht="12.75" customHeight="1" x14ac:dyDescent="0.25">
      <c r="A934" s="343"/>
      <c r="B934" s="19"/>
      <c r="C934" s="45"/>
      <c r="D934" s="33">
        <f t="shared" si="374"/>
        <v>5</v>
      </c>
      <c r="E934" s="2741" t="str">
        <f t="shared" si="373"/>
        <v/>
      </c>
      <c r="F934" s="2476"/>
      <c r="G934" s="446"/>
      <c r="H934" s="431"/>
      <c r="I934" s="431"/>
      <c r="J934" s="431"/>
      <c r="K934" s="431"/>
      <c r="L934" s="431"/>
      <c r="M934" s="431"/>
      <c r="N934" s="468"/>
      <c r="O934" s="6"/>
      <c r="P934" s="6"/>
      <c r="Q934" s="2"/>
      <c r="R934" s="2"/>
      <c r="S934" s="2"/>
      <c r="T934" s="2"/>
      <c r="U934" s="2"/>
      <c r="V934" s="2"/>
      <c r="W934" s="2"/>
      <c r="X934" s="2"/>
      <c r="Y934" s="2"/>
      <c r="Z934" s="2"/>
      <c r="AA934" s="2"/>
      <c r="AB934" s="2"/>
      <c r="AC934" s="2"/>
      <c r="AD934" s="2"/>
      <c r="AE934" s="349"/>
      <c r="AF934" s="349"/>
      <c r="AG934" s="349"/>
      <c r="AH934" s="349"/>
      <c r="AI934" s="349"/>
      <c r="AJ934" s="349"/>
      <c r="AK934" s="349"/>
      <c r="AL934" s="349"/>
      <c r="AM934" s="349"/>
    </row>
    <row r="935" spans="1:39" ht="12.75" customHeight="1" x14ac:dyDescent="0.25">
      <c r="A935" s="343"/>
      <c r="B935" s="19"/>
      <c r="C935" s="45"/>
      <c r="D935" s="33">
        <f t="shared" si="374"/>
        <v>6</v>
      </c>
      <c r="E935" s="2741" t="str">
        <f t="shared" si="373"/>
        <v/>
      </c>
      <c r="F935" s="2476"/>
      <c r="G935" s="446"/>
      <c r="H935" s="431"/>
      <c r="I935" s="431"/>
      <c r="J935" s="431"/>
      <c r="K935" s="431"/>
      <c r="L935" s="431"/>
      <c r="M935" s="431"/>
      <c r="N935" s="468"/>
      <c r="O935" s="6"/>
      <c r="P935" s="6"/>
      <c r="Q935" s="2"/>
      <c r="R935" s="2"/>
      <c r="S935" s="2"/>
      <c r="T935" s="2"/>
      <c r="U935" s="2"/>
      <c r="V935" s="2"/>
      <c r="W935" s="2"/>
      <c r="X935" s="2"/>
      <c r="Y935" s="2"/>
      <c r="Z935" s="2"/>
      <c r="AA935" s="2"/>
      <c r="AB935" s="2"/>
      <c r="AC935" s="2"/>
      <c r="AD935" s="2"/>
      <c r="AE935" s="349"/>
      <c r="AF935" s="349"/>
      <c r="AG935" s="349"/>
      <c r="AH935" s="349"/>
      <c r="AI935" s="349"/>
      <c r="AJ935" s="349"/>
      <c r="AK935" s="349"/>
      <c r="AL935" s="349"/>
      <c r="AM935" s="349"/>
    </row>
    <row r="936" spans="1:39" ht="12.75" customHeight="1" x14ac:dyDescent="0.25">
      <c r="A936" s="343"/>
      <c r="B936" s="19"/>
      <c r="C936" s="45"/>
      <c r="D936" s="33">
        <f t="shared" si="374"/>
        <v>7</v>
      </c>
      <c r="E936" s="2741" t="str">
        <f t="shared" si="373"/>
        <v/>
      </c>
      <c r="F936" s="2476"/>
      <c r="G936" s="446"/>
      <c r="H936" s="431"/>
      <c r="I936" s="431"/>
      <c r="J936" s="431"/>
      <c r="K936" s="431"/>
      <c r="L936" s="431"/>
      <c r="M936" s="431"/>
      <c r="N936" s="468"/>
      <c r="O936" s="6"/>
      <c r="P936" s="6"/>
      <c r="Q936" s="2"/>
      <c r="R936" s="2"/>
      <c r="S936" s="2"/>
      <c r="T936" s="2"/>
      <c r="U936" s="2"/>
      <c r="V936" s="2"/>
      <c r="W936" s="2"/>
      <c r="X936" s="2"/>
      <c r="Y936" s="2"/>
      <c r="Z936" s="2"/>
      <c r="AA936" s="2"/>
      <c r="AB936" s="2"/>
      <c r="AC936" s="2"/>
      <c r="AD936" s="2"/>
      <c r="AE936" s="349"/>
      <c r="AF936" s="349"/>
      <c r="AG936" s="349"/>
      <c r="AH936" s="349"/>
      <c r="AI936" s="349"/>
      <c r="AJ936" s="349"/>
      <c r="AK936" s="349"/>
      <c r="AL936" s="349"/>
      <c r="AM936" s="349"/>
    </row>
    <row r="937" spans="1:39" ht="12.75" customHeight="1" x14ac:dyDescent="0.25">
      <c r="A937" s="343"/>
      <c r="B937" s="19"/>
      <c r="C937" s="45"/>
      <c r="D937" s="33">
        <f t="shared" si="374"/>
        <v>8</v>
      </c>
      <c r="E937" s="2741" t="str">
        <f t="shared" si="373"/>
        <v/>
      </c>
      <c r="F937" s="2476"/>
      <c r="G937" s="446"/>
      <c r="H937" s="431"/>
      <c r="I937" s="431"/>
      <c r="J937" s="431"/>
      <c r="K937" s="431"/>
      <c r="L937" s="431"/>
      <c r="M937" s="431"/>
      <c r="N937" s="468"/>
      <c r="O937" s="6"/>
      <c r="P937" s="6"/>
      <c r="Q937" s="2"/>
      <c r="R937" s="2"/>
      <c r="S937" s="2"/>
      <c r="T937" s="2"/>
      <c r="U937" s="2"/>
      <c r="V937" s="2"/>
      <c r="W937" s="2"/>
      <c r="X937" s="2"/>
      <c r="Y937" s="2"/>
      <c r="Z937" s="2"/>
      <c r="AA937" s="2"/>
      <c r="AB937" s="2"/>
      <c r="AC937" s="2"/>
      <c r="AD937" s="2"/>
      <c r="AE937" s="349"/>
      <c r="AF937" s="349"/>
      <c r="AG937" s="349"/>
      <c r="AH937" s="349"/>
      <c r="AI937" s="349"/>
      <c r="AJ937" s="349"/>
      <c r="AK937" s="349"/>
      <c r="AL937" s="349"/>
      <c r="AM937" s="349"/>
    </row>
    <row r="938" spans="1:39" ht="12.75" customHeight="1" x14ac:dyDescent="0.25">
      <c r="A938" s="343"/>
      <c r="B938" s="19"/>
      <c r="C938" s="45"/>
      <c r="D938" s="33">
        <f t="shared" si="374"/>
        <v>9</v>
      </c>
      <c r="E938" s="2741" t="str">
        <f t="shared" si="373"/>
        <v/>
      </c>
      <c r="F938" s="2476"/>
      <c r="G938" s="446"/>
      <c r="H938" s="431"/>
      <c r="I938" s="431"/>
      <c r="J938" s="431"/>
      <c r="K938" s="431"/>
      <c r="L938" s="431"/>
      <c r="M938" s="431"/>
      <c r="N938" s="468"/>
      <c r="O938" s="6"/>
      <c r="P938" s="6"/>
      <c r="Q938" s="2"/>
      <c r="R938" s="2"/>
      <c r="S938" s="2"/>
      <c r="T938" s="2"/>
      <c r="U938" s="2"/>
      <c r="V938" s="2"/>
      <c r="W938" s="2"/>
      <c r="X938" s="2"/>
      <c r="Y938" s="2"/>
      <c r="Z938" s="2"/>
      <c r="AA938" s="2"/>
      <c r="AB938" s="2"/>
      <c r="AC938" s="2"/>
      <c r="AD938" s="2"/>
      <c r="AE938" s="349"/>
      <c r="AF938" s="349"/>
      <c r="AG938" s="349"/>
      <c r="AH938" s="349"/>
      <c r="AI938" s="349"/>
      <c r="AJ938" s="349"/>
      <c r="AK938" s="349"/>
      <c r="AL938" s="349"/>
      <c r="AM938" s="349"/>
    </row>
    <row r="939" spans="1:39" ht="12.75" customHeight="1" x14ac:dyDescent="0.25">
      <c r="A939" s="343"/>
      <c r="B939" s="19"/>
      <c r="C939" s="45"/>
      <c r="D939" s="36">
        <f t="shared" si="374"/>
        <v>10</v>
      </c>
      <c r="E939" s="2742" t="str">
        <f t="shared" si="373"/>
        <v/>
      </c>
      <c r="F939" s="2487"/>
      <c r="G939" s="447"/>
      <c r="H939" s="357"/>
      <c r="I939" s="357"/>
      <c r="J939" s="357"/>
      <c r="K939" s="357"/>
      <c r="L939" s="357"/>
      <c r="M939" s="357"/>
      <c r="N939" s="469"/>
      <c r="O939" s="6"/>
      <c r="P939" s="6"/>
      <c r="Q939" s="2"/>
      <c r="R939" s="2"/>
      <c r="S939" s="2"/>
      <c r="T939" s="2"/>
      <c r="U939" s="2"/>
      <c r="V939" s="2"/>
      <c r="W939" s="2"/>
      <c r="X939" s="2"/>
      <c r="Y939" s="2"/>
      <c r="Z939" s="2"/>
      <c r="AA939" s="2"/>
      <c r="AB939" s="2"/>
      <c r="AC939" s="2"/>
      <c r="AD939" s="2"/>
      <c r="AE939" s="349"/>
      <c r="AF939" s="349"/>
      <c r="AG939" s="349"/>
      <c r="AH939" s="349"/>
      <c r="AI939" s="349"/>
      <c r="AJ939" s="349"/>
      <c r="AK939" s="349"/>
      <c r="AL939" s="349"/>
      <c r="AM939" s="349"/>
    </row>
    <row r="940" spans="1:39" ht="12.75" customHeight="1" x14ac:dyDescent="0.25">
      <c r="A940" s="343"/>
      <c r="B940" s="19"/>
      <c r="C940" s="19"/>
      <c r="D940" s="90"/>
      <c r="E940" s="2743" t="str">
        <f>Translations!$B$548</f>
        <v>Summa av produktionsnivåer</v>
      </c>
      <c r="F940" s="1997"/>
      <c r="G940" s="554"/>
      <c r="H940" s="275" t="str">
        <f t="shared" ref="H940:N940" si="375">IF(COUNT(H930:H939)&gt;0,SUM(H930:H939),"")</f>
        <v/>
      </c>
      <c r="I940" s="275" t="str">
        <f t="shared" si="375"/>
        <v/>
      </c>
      <c r="J940" s="275" t="str">
        <f t="shared" si="375"/>
        <v/>
      </c>
      <c r="K940" s="275" t="str">
        <f t="shared" si="375"/>
        <v/>
      </c>
      <c r="L940" s="275" t="str">
        <f t="shared" si="375"/>
        <v/>
      </c>
      <c r="M940" s="275" t="str">
        <f t="shared" si="375"/>
        <v/>
      </c>
      <c r="N940" s="281" t="str">
        <f t="shared" si="375"/>
        <v/>
      </c>
      <c r="O940" s="6"/>
      <c r="P940" s="6"/>
      <c r="Q940" s="2"/>
      <c r="R940" s="2"/>
      <c r="S940" s="2"/>
      <c r="T940" s="2"/>
      <c r="U940" s="2"/>
      <c r="V940" s="2"/>
      <c r="W940" s="2"/>
      <c r="X940" s="2"/>
      <c r="Y940" s="2"/>
      <c r="Z940" s="2"/>
      <c r="AA940" s="2"/>
      <c r="AB940" s="2"/>
      <c r="AC940" s="2"/>
      <c r="AD940" s="2"/>
      <c r="AE940" s="349"/>
      <c r="AF940" s="349"/>
      <c r="AG940" s="349"/>
      <c r="AH940" s="349"/>
      <c r="AI940" s="349"/>
      <c r="AJ940" s="349"/>
      <c r="AK940" s="349"/>
      <c r="AL940" s="349"/>
      <c r="AM940" s="349"/>
    </row>
    <row r="941" spans="1:39" ht="25.5" customHeight="1" x14ac:dyDescent="0.25">
      <c r="A941" s="343"/>
      <c r="B941" s="19"/>
      <c r="C941" s="19"/>
      <c r="D941" s="19"/>
      <c r="E941" s="19"/>
      <c r="F941" s="19"/>
      <c r="G941" s="19"/>
      <c r="H941" s="19"/>
      <c r="I941" s="19"/>
      <c r="J941" s="19"/>
      <c r="K941" s="19"/>
      <c r="L941" s="19"/>
      <c r="M941" s="19"/>
      <c r="N941" s="19"/>
      <c r="O941" s="6"/>
      <c r="P941" s="6"/>
      <c r="Q941" s="2"/>
      <c r="R941" s="2"/>
      <c r="S941" s="2"/>
      <c r="T941" s="2"/>
      <c r="U941" s="2"/>
      <c r="V941" s="2"/>
      <c r="W941" s="2"/>
      <c r="X941" s="2"/>
      <c r="Y941" s="2"/>
      <c r="Z941" s="2"/>
      <c r="AA941" s="2"/>
      <c r="AB941" s="2"/>
      <c r="AC941" s="2"/>
      <c r="AD941" s="2"/>
      <c r="AE941" s="349"/>
      <c r="AF941" s="349"/>
      <c r="AG941" s="349"/>
      <c r="AH941" s="349"/>
      <c r="AI941" s="349"/>
      <c r="AJ941" s="349"/>
      <c r="AK941" s="349"/>
      <c r="AL941" s="349"/>
      <c r="AM941" s="349"/>
    </row>
    <row r="942" spans="1:39" ht="12.75" customHeight="1" x14ac:dyDescent="0.25">
      <c r="A942" s="2"/>
      <c r="B942" s="19"/>
      <c r="C942" s="19"/>
      <c r="D942" s="2477" t="str">
        <f>Translations!$B$66</f>
        <v xml:space="preserve">&lt;&lt;&lt; Klicka här för att gå vidare till nästa blad &gt;&gt;&gt; </v>
      </c>
      <c r="E942" s="2477"/>
      <c r="F942" s="2477"/>
      <c r="G942" s="2477"/>
      <c r="H942" s="2477"/>
      <c r="I942" s="2477"/>
      <c r="J942" s="2477"/>
      <c r="K942" s="2477"/>
      <c r="L942" s="2477"/>
      <c r="M942" s="2477"/>
      <c r="N942" s="2477"/>
      <c r="O942" s="6"/>
      <c r="P942" s="6"/>
      <c r="Q942" s="2"/>
      <c r="R942" s="2"/>
      <c r="S942" s="2"/>
      <c r="T942" s="2"/>
      <c r="U942" s="2"/>
      <c r="V942" s="2"/>
      <c r="W942" s="2"/>
      <c r="X942" s="2"/>
      <c r="Y942" s="2"/>
      <c r="Z942" s="2"/>
      <c r="AA942" s="2"/>
      <c r="AB942" s="2"/>
      <c r="AC942" s="2"/>
      <c r="AD942" s="2"/>
      <c r="AE942" s="349"/>
      <c r="AF942" s="349"/>
      <c r="AG942" s="349"/>
      <c r="AH942" s="349"/>
      <c r="AI942" s="349"/>
      <c r="AJ942" s="349"/>
      <c r="AK942" s="349"/>
      <c r="AL942" s="349"/>
      <c r="AM942" s="349"/>
    </row>
    <row r="943" spans="1:39" ht="12.75" customHeight="1" x14ac:dyDescent="0.25">
      <c r="A943" s="2"/>
      <c r="B943" s="19"/>
      <c r="C943" s="19"/>
      <c r="D943" s="19"/>
      <c r="E943" s="19"/>
      <c r="F943" s="19"/>
      <c r="G943" s="19"/>
      <c r="H943" s="19"/>
      <c r="I943" s="19"/>
      <c r="J943" s="19"/>
      <c r="K943" s="19"/>
      <c r="L943" s="19"/>
      <c r="M943" s="19"/>
      <c r="N943" s="19"/>
      <c r="O943" s="6"/>
      <c r="P943" s="6"/>
      <c r="Q943" s="2"/>
      <c r="R943" s="2"/>
      <c r="S943" s="2"/>
      <c r="T943" s="2"/>
      <c r="U943" s="2"/>
      <c r="V943" s="2"/>
      <c r="W943" s="2"/>
      <c r="X943" s="2"/>
      <c r="Y943" s="2"/>
      <c r="Z943" s="2"/>
      <c r="AA943" s="2"/>
      <c r="AB943" s="2"/>
      <c r="AC943" s="2"/>
      <c r="AD943" s="2"/>
      <c r="AE943" s="349"/>
      <c r="AF943" s="349"/>
      <c r="AG943" s="349"/>
      <c r="AH943" s="349"/>
      <c r="AI943" s="349"/>
      <c r="AJ943" s="349"/>
      <c r="AK943" s="349"/>
      <c r="AL943" s="349"/>
      <c r="AM943" s="349"/>
    </row>
    <row r="944" spans="1:39" hidden="1" x14ac:dyDescent="0.25">
      <c r="A944" s="2" t="s">
        <v>346</v>
      </c>
      <c r="B944" s="2" t="s">
        <v>952</v>
      </c>
      <c r="C944" s="2" t="s">
        <v>952</v>
      </c>
      <c r="D944" s="2" t="s">
        <v>952</v>
      </c>
      <c r="E944" s="2" t="s">
        <v>952</v>
      </c>
      <c r="F944" s="2" t="s">
        <v>952</v>
      </c>
      <c r="G944" s="2" t="s">
        <v>952</v>
      </c>
      <c r="H944" s="2" t="s">
        <v>952</v>
      </c>
      <c r="I944" s="2" t="s">
        <v>952</v>
      </c>
      <c r="J944" s="2" t="s">
        <v>952</v>
      </c>
      <c r="K944" s="2" t="s">
        <v>952</v>
      </c>
      <c r="L944" s="2" t="s">
        <v>952</v>
      </c>
      <c r="M944" s="2" t="s">
        <v>952</v>
      </c>
      <c r="N944" s="2" t="s">
        <v>952</v>
      </c>
      <c r="O944" s="2" t="s">
        <v>952</v>
      </c>
      <c r="P944" s="2" t="s">
        <v>952</v>
      </c>
      <c r="Q944" s="2" t="s">
        <v>952</v>
      </c>
      <c r="R944" s="2" t="s">
        <v>952</v>
      </c>
      <c r="S944" s="2" t="s">
        <v>952</v>
      </c>
      <c r="T944" s="2" t="s">
        <v>952</v>
      </c>
      <c r="U944" s="2" t="s">
        <v>952</v>
      </c>
      <c r="V944" s="2" t="s">
        <v>952</v>
      </c>
      <c r="W944" s="2" t="s">
        <v>952</v>
      </c>
      <c r="X944" s="2" t="s">
        <v>952</v>
      </c>
      <c r="Y944" s="2" t="s">
        <v>952</v>
      </c>
      <c r="Z944" s="2" t="s">
        <v>952</v>
      </c>
      <c r="AA944" s="2" t="s">
        <v>952</v>
      </c>
      <c r="AB944" s="2" t="s">
        <v>952</v>
      </c>
      <c r="AC944" s="2" t="s">
        <v>952</v>
      </c>
      <c r="AD944" s="2" t="s">
        <v>952</v>
      </c>
      <c r="AE944" s="2" t="s">
        <v>952</v>
      </c>
      <c r="AF944" s="2" t="s">
        <v>952</v>
      </c>
      <c r="AG944" s="2" t="s">
        <v>952</v>
      </c>
      <c r="AH944" s="2" t="s">
        <v>952</v>
      </c>
      <c r="AI944" s="2" t="s">
        <v>952</v>
      </c>
      <c r="AJ944" s="2" t="s">
        <v>952</v>
      </c>
      <c r="AK944" s="2" t="s">
        <v>952</v>
      </c>
      <c r="AL944" s="2" t="s">
        <v>952</v>
      </c>
      <c r="AM944" s="2" t="s">
        <v>952</v>
      </c>
    </row>
    <row r="945" spans="1:39" hidden="1" x14ac:dyDescent="0.25">
      <c r="A945" s="2" t="s">
        <v>346</v>
      </c>
      <c r="B945" s="1"/>
      <c r="C945" s="1"/>
      <c r="D945" s="1"/>
      <c r="E945" s="1"/>
      <c r="F945" s="1"/>
      <c r="G945" s="1"/>
      <c r="H945" s="1"/>
      <c r="I945" s="1"/>
      <c r="J945" s="1"/>
      <c r="K945" s="1"/>
      <c r="L945" s="1"/>
      <c r="M945" s="1"/>
      <c r="N945" s="1"/>
      <c r="O945" s="1"/>
      <c r="P945" s="1"/>
      <c r="Q945" s="2"/>
      <c r="R945" s="2"/>
      <c r="S945" s="2"/>
      <c r="T945" s="2"/>
      <c r="U945" s="2"/>
      <c r="V945" s="2"/>
      <c r="W945" s="2"/>
      <c r="X945" s="2"/>
      <c r="Y945" s="2"/>
      <c r="Z945" s="2"/>
      <c r="AA945" s="2"/>
      <c r="AB945" s="2"/>
      <c r="AC945" s="2"/>
      <c r="AD945" s="2"/>
      <c r="AE945" s="349"/>
      <c r="AF945" s="349"/>
      <c r="AG945" s="349"/>
      <c r="AH945" s="349"/>
      <c r="AI945" s="349"/>
      <c r="AJ945" s="349"/>
      <c r="AK945" s="349"/>
      <c r="AL945" s="349"/>
      <c r="AM945" s="349"/>
    </row>
    <row r="946" spans="1:39" ht="13.5" hidden="1" thickBot="1" x14ac:dyDescent="0.3">
      <c r="A946" s="2" t="s">
        <v>346</v>
      </c>
      <c r="B946" s="2"/>
      <c r="C946" s="2"/>
      <c r="D946" s="40" t="s">
        <v>953</v>
      </c>
      <c r="E946" s="2"/>
      <c r="F946" s="2"/>
      <c r="G946" s="2"/>
      <c r="H946" s="2"/>
      <c r="I946" s="2"/>
      <c r="J946" s="2"/>
      <c r="K946" s="2"/>
      <c r="L946" s="2"/>
      <c r="M946" s="2"/>
      <c r="N946" s="2"/>
      <c r="O946" s="2"/>
      <c r="P946" s="1"/>
      <c r="Q946" s="2"/>
      <c r="R946" s="2"/>
      <c r="S946" s="2"/>
      <c r="T946" s="2"/>
      <c r="U946" s="2"/>
      <c r="V946" s="2"/>
      <c r="W946" s="2"/>
      <c r="X946" s="2"/>
      <c r="Y946" s="2"/>
      <c r="Z946" s="2"/>
      <c r="AA946" s="2"/>
      <c r="AB946" s="2"/>
      <c r="AC946" s="2"/>
      <c r="AD946" s="2"/>
      <c r="AE946" s="349"/>
      <c r="AF946" s="349"/>
      <c r="AG946" s="349"/>
      <c r="AH946" s="349"/>
      <c r="AI946" s="349"/>
      <c r="AJ946" s="349"/>
      <c r="AK946" s="349"/>
      <c r="AL946" s="349"/>
      <c r="AM946" s="349"/>
    </row>
    <row r="947" spans="1:39" ht="13" hidden="1" x14ac:dyDescent="0.25">
      <c r="A947" s="2" t="s">
        <v>346</v>
      </c>
      <c r="B947" s="1"/>
      <c r="C947" s="1"/>
      <c r="D947" s="41"/>
      <c r="E947" s="151" t="s">
        <v>593</v>
      </c>
      <c r="F947" s="61"/>
      <c r="G947" s="61"/>
      <c r="H947" s="61"/>
      <c r="I947" s="61"/>
      <c r="J947" s="61"/>
      <c r="K947" s="61"/>
      <c r="L947" s="61"/>
      <c r="M947" s="61"/>
      <c r="N947" s="63"/>
      <c r="O947" s="1"/>
      <c r="P947" s="1"/>
      <c r="Q947" s="2"/>
      <c r="R947" s="2"/>
      <c r="S947" s="2"/>
      <c r="T947" s="2"/>
      <c r="U947" s="2"/>
      <c r="V947" s="2"/>
      <c r="W947" s="2"/>
      <c r="X947" s="2"/>
      <c r="Y947" s="2"/>
      <c r="Z947" s="2"/>
      <c r="AA947" s="2"/>
      <c r="AB947" s="2"/>
      <c r="AC947" s="2"/>
      <c r="AD947" s="2"/>
      <c r="AE947" s="349"/>
      <c r="AF947" s="349"/>
      <c r="AG947" s="349"/>
      <c r="AH947" s="349"/>
      <c r="AI947" s="349"/>
      <c r="AJ947" s="349"/>
      <c r="AK947" s="349"/>
      <c r="AL947" s="349"/>
      <c r="AM947" s="349"/>
    </row>
    <row r="948" spans="1:39" hidden="1" x14ac:dyDescent="0.25">
      <c r="A948" s="2" t="s">
        <v>346</v>
      </c>
      <c r="B948" s="1"/>
      <c r="C948" s="1"/>
      <c r="D948" s="1"/>
      <c r="E948" s="93" t="s">
        <v>956</v>
      </c>
      <c r="F948" s="22"/>
      <c r="G948" s="22"/>
      <c r="H948" s="141"/>
      <c r="I948" s="141"/>
      <c r="J948" s="141">
        <v>1</v>
      </c>
      <c r="K948" s="141">
        <v>2</v>
      </c>
      <c r="L948" s="141">
        <v>3</v>
      </c>
      <c r="M948" s="141">
        <v>4</v>
      </c>
      <c r="N948" s="141">
        <v>5</v>
      </c>
      <c r="O948" s="1"/>
      <c r="P948" s="1"/>
      <c r="Q948" s="2"/>
      <c r="R948" s="2"/>
      <c r="S948" s="2"/>
      <c r="T948" s="2"/>
      <c r="U948" s="2"/>
      <c r="V948" s="2"/>
      <c r="W948" s="2"/>
      <c r="X948" s="2"/>
      <c r="Y948" s="2"/>
      <c r="Z948" s="2"/>
      <c r="AA948" s="2"/>
      <c r="AB948" s="2"/>
      <c r="AC948" s="2"/>
      <c r="AD948" s="2"/>
      <c r="AE948" s="349"/>
      <c r="AF948" s="349"/>
      <c r="AG948" s="349"/>
      <c r="AH948" s="349"/>
      <c r="AI948" s="349"/>
      <c r="AJ948" s="349"/>
      <c r="AK948" s="349"/>
      <c r="AL948" s="349"/>
      <c r="AM948" s="349"/>
    </row>
    <row r="949" spans="1:39" hidden="1" x14ac:dyDescent="0.25">
      <c r="A949" s="2" t="s">
        <v>346</v>
      </c>
      <c r="B949" s="1"/>
      <c r="C949" s="1"/>
      <c r="D949" s="1"/>
      <c r="E949" s="145" t="s">
        <v>1228</v>
      </c>
      <c r="F949" s="22"/>
      <c r="G949" s="22"/>
      <c r="H949" s="141">
        <f>A_InstallationData!H414</f>
        <v>2019</v>
      </c>
      <c r="I949" s="141">
        <f>A_InstallationData!I414</f>
        <v>2020</v>
      </c>
      <c r="J949" s="141">
        <f>A_InstallationData!J414</f>
        <v>2021</v>
      </c>
      <c r="K949" s="141">
        <f>A_InstallationData!K414</f>
        <v>2022</v>
      </c>
      <c r="L949" s="141">
        <f>A_InstallationData!L414</f>
        <v>2023</v>
      </c>
      <c r="M949" s="141">
        <f>A_InstallationData!M414</f>
        <v>2024</v>
      </c>
      <c r="N949" s="141">
        <f>A_InstallationData!N414</f>
        <v>2025</v>
      </c>
      <c r="O949" s="1"/>
      <c r="P949" s="1"/>
      <c r="Q949" s="2"/>
      <c r="R949" s="2"/>
      <c r="S949" s="2"/>
      <c r="T949" s="2"/>
      <c r="U949" s="2"/>
      <c r="V949" s="2"/>
      <c r="W949" s="2"/>
      <c r="X949" s="2"/>
      <c r="Y949" s="2"/>
      <c r="Z949" s="2"/>
      <c r="AA949" s="2"/>
      <c r="AB949" s="2"/>
      <c r="AC949" s="2"/>
      <c r="AD949" s="2"/>
      <c r="AE949" s="349"/>
      <c r="AF949" s="349"/>
      <c r="AG949" s="349"/>
      <c r="AH949" s="349"/>
      <c r="AI949" s="349"/>
      <c r="AJ949" s="349"/>
      <c r="AK949" s="349"/>
      <c r="AL949" s="349"/>
      <c r="AM949" s="349"/>
    </row>
    <row r="950" spans="1:39" hidden="1" x14ac:dyDescent="0.25">
      <c r="A950" s="2" t="s">
        <v>346</v>
      </c>
      <c r="B950" s="1"/>
      <c r="C950" s="1"/>
      <c r="D950" s="1"/>
      <c r="E950" s="145" t="s">
        <v>1227</v>
      </c>
      <c r="F950" s="142"/>
      <c r="G950" s="142"/>
      <c r="H950" s="143">
        <f>A_InstallationData!H415</f>
        <v>2019</v>
      </c>
      <c r="I950" s="143">
        <f>A_InstallationData!I415</f>
        <v>2020</v>
      </c>
      <c r="J950" s="143">
        <f>A_InstallationData!J415</f>
        <v>2021</v>
      </c>
      <c r="K950" s="143">
        <f>A_InstallationData!K415</f>
        <v>2022</v>
      </c>
      <c r="L950" s="143">
        <f>A_InstallationData!L415</f>
        <v>2023</v>
      </c>
      <c r="M950" s="143">
        <f>A_InstallationData!M415</f>
        <v>2024</v>
      </c>
      <c r="N950" s="143">
        <f>A_InstallationData!N415</f>
        <v>2025</v>
      </c>
      <c r="O950" s="19"/>
      <c r="P950" s="1"/>
      <c r="Q950" s="2"/>
      <c r="R950" s="2"/>
      <c r="S950" s="2"/>
      <c r="T950" s="2"/>
      <c r="U950" s="2"/>
      <c r="V950" s="2"/>
      <c r="W950" s="2"/>
      <c r="X950" s="2"/>
      <c r="Y950" s="2"/>
      <c r="Z950" s="2"/>
      <c r="AA950" s="2"/>
      <c r="AB950" s="2"/>
      <c r="AC950" s="2"/>
      <c r="AD950" s="2"/>
      <c r="AE950" s="349"/>
      <c r="AF950" s="349"/>
      <c r="AG950" s="349"/>
      <c r="AH950" s="349"/>
      <c r="AI950" s="349"/>
      <c r="AJ950" s="349"/>
      <c r="AK950" s="349"/>
      <c r="AL950" s="349"/>
      <c r="AM950" s="349"/>
    </row>
    <row r="951" spans="1:39" hidden="1" x14ac:dyDescent="0.25">
      <c r="A951" s="2" t="s">
        <v>346</v>
      </c>
      <c r="B951" s="1"/>
      <c r="C951" s="1"/>
      <c r="D951" s="1"/>
      <c r="E951" s="145" t="s">
        <v>592</v>
      </c>
      <c r="F951" s="142"/>
      <c r="G951" s="142"/>
      <c r="H951" s="143"/>
      <c r="I951" s="143"/>
      <c r="J951" s="143"/>
      <c r="K951" s="143"/>
      <c r="L951" s="143"/>
      <c r="M951" s="143"/>
      <c r="N951" s="143"/>
      <c r="O951" s="1"/>
      <c r="P951" s="1"/>
      <c r="Q951" s="2"/>
      <c r="R951" s="2"/>
      <c r="S951" s="2"/>
      <c r="T951" s="2"/>
      <c r="U951" s="2"/>
      <c r="V951" s="2"/>
      <c r="W951" s="2"/>
      <c r="X951" s="2"/>
      <c r="Y951" s="2"/>
      <c r="Z951" s="2"/>
      <c r="AA951" s="2"/>
      <c r="AB951" s="2"/>
      <c r="AC951" s="2"/>
      <c r="AD951" s="2"/>
      <c r="AE951" s="349"/>
      <c r="AF951" s="349"/>
      <c r="AG951" s="349"/>
      <c r="AH951" s="349"/>
      <c r="AI951" s="349"/>
      <c r="AJ951" s="349"/>
      <c r="AK951" s="349"/>
      <c r="AL951" s="349"/>
      <c r="AM951" s="349"/>
    </row>
    <row r="952" spans="1:39" hidden="1" x14ac:dyDescent="0.25">
      <c r="A952" s="2" t="s">
        <v>346</v>
      </c>
      <c r="B952" s="1"/>
      <c r="C952" s="1"/>
      <c r="D952" s="1"/>
      <c r="E952" s="145" t="s">
        <v>590</v>
      </c>
      <c r="F952" s="142"/>
      <c r="G952" s="142"/>
      <c r="H952" s="142"/>
      <c r="I952" s="142"/>
      <c r="J952" s="142"/>
      <c r="K952" s="142"/>
      <c r="L952" s="142"/>
      <c r="M952" s="142"/>
      <c r="N952" s="142"/>
      <c r="O952" s="1"/>
      <c r="P952" s="1"/>
      <c r="Q952" s="2"/>
      <c r="R952" s="2"/>
      <c r="S952" s="2"/>
      <c r="T952" s="2"/>
      <c r="U952" s="2"/>
      <c r="V952" s="2"/>
      <c r="W952" s="2"/>
      <c r="X952" s="2"/>
      <c r="Y952" s="2"/>
      <c r="Z952" s="2"/>
      <c r="AA952" s="2"/>
      <c r="AB952" s="2"/>
      <c r="AC952" s="2"/>
      <c r="AD952" s="2"/>
      <c r="AE952" s="349"/>
      <c r="AF952" s="349"/>
      <c r="AG952" s="349"/>
      <c r="AH952" s="349"/>
      <c r="AI952" s="349"/>
      <c r="AJ952" s="349"/>
      <c r="AK952" s="349"/>
      <c r="AL952" s="349"/>
      <c r="AM952" s="349"/>
    </row>
    <row r="953" spans="1:39" ht="13" hidden="1" thickBot="1" x14ac:dyDescent="0.3">
      <c r="A953" s="2" t="s">
        <v>346</v>
      </c>
      <c r="B953" s="1"/>
      <c r="C953" s="1"/>
      <c r="D953" s="1"/>
      <c r="E953" s="148" t="s">
        <v>591</v>
      </c>
      <c r="F953" s="149"/>
      <c r="G953" s="149"/>
      <c r="H953" s="149"/>
      <c r="I953" s="149"/>
      <c r="J953" s="149"/>
      <c r="K953" s="149"/>
      <c r="L953" s="149"/>
      <c r="M953" s="149"/>
      <c r="N953" s="149"/>
      <c r="O953" s="1"/>
      <c r="P953" s="1"/>
      <c r="Q953" s="2"/>
      <c r="R953" s="2"/>
      <c r="S953" s="2"/>
      <c r="T953" s="2"/>
      <c r="U953" s="2"/>
      <c r="V953" s="2"/>
      <c r="W953" s="2"/>
      <c r="X953" s="2"/>
      <c r="Y953" s="2"/>
      <c r="Z953" s="2"/>
      <c r="AA953" s="2"/>
      <c r="AB953" s="2"/>
      <c r="AC953" s="2"/>
      <c r="AD953" s="2"/>
      <c r="AE953" s="349"/>
      <c r="AF953" s="349"/>
      <c r="AG953" s="349"/>
      <c r="AH953" s="349"/>
      <c r="AI953" s="349"/>
      <c r="AJ953" s="349"/>
      <c r="AK953" s="349"/>
      <c r="AL953" s="349"/>
      <c r="AM953" s="349"/>
    </row>
    <row r="954" spans="1:39" hidden="1" x14ac:dyDescent="0.25">
      <c r="A954" s="2" t="s">
        <v>346</v>
      </c>
      <c r="B954" s="1"/>
      <c r="C954" s="1"/>
      <c r="D954" s="1"/>
      <c r="E954" s="1"/>
      <c r="F954" s="1"/>
      <c r="G954" s="1"/>
      <c r="H954" s="1"/>
      <c r="I954" s="1"/>
      <c r="J954" s="1"/>
      <c r="K954" s="1"/>
      <c r="L954" s="1"/>
      <c r="M954" s="1"/>
      <c r="N954" s="1"/>
      <c r="O954" s="1"/>
      <c r="P954" s="1"/>
      <c r="Q954" s="2"/>
      <c r="R954" s="2"/>
      <c r="S954" s="2"/>
      <c r="T954" s="2"/>
      <c r="U954" s="2"/>
      <c r="V954" s="2"/>
      <c r="W954" s="2"/>
      <c r="X954" s="2"/>
      <c r="Y954" s="2"/>
      <c r="Z954" s="2"/>
      <c r="AA954" s="2"/>
      <c r="AB954" s="2"/>
      <c r="AC954" s="2"/>
      <c r="AD954" s="2"/>
      <c r="AE954" s="349"/>
      <c r="AF954" s="349"/>
      <c r="AG954" s="349"/>
      <c r="AH954" s="349"/>
      <c r="AI954" s="349"/>
      <c r="AJ954" s="349"/>
      <c r="AK954" s="349"/>
      <c r="AL954" s="349"/>
      <c r="AM954" s="349"/>
    </row>
    <row r="955" spans="1:39" hidden="1" x14ac:dyDescent="0.25">
      <c r="A955" s="2" t="s">
        <v>346</v>
      </c>
      <c r="B955" s="1"/>
      <c r="C955" s="1"/>
      <c r="D955" s="1"/>
      <c r="E955" s="1"/>
      <c r="F955" s="1"/>
      <c r="G955" s="1"/>
      <c r="H955" s="1"/>
      <c r="I955" s="1"/>
      <c r="J955" s="1"/>
      <c r="K955" s="1"/>
      <c r="L955" s="1"/>
      <c r="M955" s="1"/>
      <c r="N955" s="1"/>
      <c r="O955" s="1"/>
      <c r="P955" s="1"/>
      <c r="Q955" s="2"/>
      <c r="R955" s="2"/>
      <c r="S955" s="2"/>
      <c r="T955" s="2"/>
      <c r="U955" s="2"/>
      <c r="V955" s="2"/>
      <c r="W955" s="2"/>
      <c r="X955" s="2"/>
      <c r="Y955" s="2"/>
      <c r="Z955" s="2"/>
      <c r="AA955" s="2"/>
      <c r="AB955" s="2"/>
      <c r="AC955" s="2"/>
      <c r="AD955" s="2"/>
      <c r="AE955" s="349"/>
      <c r="AF955" s="349"/>
      <c r="AG955" s="349"/>
      <c r="AH955" s="349"/>
      <c r="AI955" s="349"/>
      <c r="AJ955" s="349"/>
      <c r="AK955" s="349"/>
      <c r="AL955" s="349"/>
      <c r="AM955" s="349"/>
    </row>
    <row r="956" spans="1:39" hidden="1" x14ac:dyDescent="0.25">
      <c r="A956" s="2" t="s">
        <v>346</v>
      </c>
      <c r="B956" s="1"/>
      <c r="C956" s="1"/>
      <c r="D956" s="1"/>
      <c r="E956" s="1" t="s">
        <v>868</v>
      </c>
      <c r="F956" s="1"/>
      <c r="G956" s="1"/>
      <c r="H956" s="1"/>
      <c r="I956" s="1"/>
      <c r="J956" s="1"/>
      <c r="K956" s="1"/>
      <c r="L956" s="1"/>
      <c r="M956" s="1"/>
      <c r="N956" s="1"/>
      <c r="O956" s="1"/>
      <c r="P956" s="1"/>
      <c r="Q956" s="2"/>
      <c r="R956" s="2"/>
      <c r="S956" s="2"/>
      <c r="T956" s="2"/>
      <c r="U956" s="2"/>
      <c r="V956" s="2"/>
      <c r="W956" s="2"/>
      <c r="X956" s="2"/>
      <c r="Y956" s="2"/>
      <c r="Z956" s="2"/>
      <c r="AA956" s="2"/>
      <c r="AB956" s="2"/>
      <c r="AC956" s="2"/>
      <c r="AD956" s="2"/>
      <c r="AE956" s="349"/>
      <c r="AF956" s="349"/>
      <c r="AG956" s="349"/>
      <c r="AH956" s="349"/>
      <c r="AI956" s="349"/>
      <c r="AJ956" s="349"/>
      <c r="AK956" s="349"/>
      <c r="AL956" s="349"/>
      <c r="AM956" s="349"/>
    </row>
    <row r="957" spans="1:39" hidden="1" x14ac:dyDescent="0.25">
      <c r="A957" s="2" t="s">
        <v>346</v>
      </c>
      <c r="B957" s="1"/>
      <c r="C957" s="1"/>
      <c r="D957" s="1"/>
      <c r="E957" s="1"/>
      <c r="F957" s="1" t="s">
        <v>433</v>
      </c>
      <c r="G957" s="44" t="b">
        <f t="shared" ref="G957:G963" si="376">(COUNTIF($AL$11:$AL$944,EUconst_Error&amp;F957)&gt;0)</f>
        <v>0</v>
      </c>
      <c r="H957" s="1"/>
      <c r="I957" s="1"/>
      <c r="J957" s="1"/>
      <c r="K957" s="1"/>
      <c r="L957" s="1"/>
      <c r="M957" s="1"/>
      <c r="N957" s="1"/>
      <c r="O957" s="1"/>
      <c r="P957" s="1"/>
      <c r="Q957" s="2"/>
      <c r="R957" s="2"/>
      <c r="S957" s="2"/>
      <c r="T957" s="2"/>
      <c r="U957" s="2"/>
      <c r="V957" s="2"/>
      <c r="W957" s="2"/>
      <c r="X957" s="2"/>
      <c r="Y957" s="2"/>
      <c r="Z957" s="2"/>
      <c r="AA957" s="2"/>
      <c r="AB957" s="2"/>
      <c r="AC957" s="2"/>
      <c r="AD957" s="2"/>
      <c r="AE957" s="349"/>
      <c r="AF957" s="349"/>
      <c r="AG957" s="349"/>
      <c r="AH957" s="349"/>
      <c r="AI957" s="349"/>
      <c r="AJ957" s="349"/>
      <c r="AK957" s="349"/>
      <c r="AL957" s="349"/>
      <c r="AM957" s="349"/>
    </row>
    <row r="958" spans="1:39" hidden="1" x14ac:dyDescent="0.25">
      <c r="A958" s="2" t="s">
        <v>346</v>
      </c>
      <c r="B958" s="1"/>
      <c r="C958" s="1"/>
      <c r="D958" s="1"/>
      <c r="E958" s="1"/>
      <c r="F958" s="1" t="s">
        <v>434</v>
      </c>
      <c r="G958" s="44" t="b">
        <f t="shared" si="376"/>
        <v>0</v>
      </c>
      <c r="H958" s="1"/>
      <c r="I958" s="1"/>
      <c r="J958" s="1"/>
      <c r="K958" s="1"/>
      <c r="L958" s="1"/>
      <c r="M958" s="1"/>
      <c r="N958" s="1"/>
      <c r="O958" s="1"/>
      <c r="P958" s="1"/>
      <c r="Q958" s="2"/>
      <c r="R958" s="2"/>
      <c r="S958" s="2"/>
      <c r="T958" s="2"/>
      <c r="U958" s="2"/>
      <c r="V958" s="2"/>
      <c r="W958" s="2"/>
      <c r="X958" s="2"/>
      <c r="Y958" s="2"/>
      <c r="Z958" s="2"/>
      <c r="AA958" s="2"/>
      <c r="AB958" s="2"/>
      <c r="AC958" s="2"/>
      <c r="AD958" s="2"/>
      <c r="AE958" s="349"/>
      <c r="AF958" s="349"/>
      <c r="AG958" s="349"/>
      <c r="AH958" s="349"/>
      <c r="AI958" s="349"/>
      <c r="AJ958" s="349"/>
      <c r="AK958" s="349"/>
      <c r="AL958" s="349"/>
      <c r="AM958" s="349"/>
    </row>
    <row r="959" spans="1:39" hidden="1" x14ac:dyDescent="0.25">
      <c r="A959" s="2" t="s">
        <v>346</v>
      </c>
      <c r="B959" s="1"/>
      <c r="C959" s="1"/>
      <c r="D959" s="1"/>
      <c r="E959" s="1"/>
      <c r="F959" s="1" t="s">
        <v>435</v>
      </c>
      <c r="G959" s="44" t="b">
        <f t="shared" si="376"/>
        <v>0</v>
      </c>
      <c r="H959" s="1"/>
      <c r="I959" s="1"/>
      <c r="J959" s="1"/>
      <c r="K959" s="1"/>
      <c r="L959" s="1"/>
      <c r="M959" s="1"/>
      <c r="N959" s="1"/>
      <c r="O959" s="1"/>
      <c r="P959" s="1"/>
      <c r="Q959" s="2"/>
      <c r="R959" s="2"/>
      <c r="S959" s="2"/>
      <c r="T959" s="2"/>
      <c r="U959" s="2"/>
      <c r="V959" s="2"/>
      <c r="W959" s="2"/>
      <c r="X959" s="2"/>
      <c r="Y959" s="2"/>
      <c r="Z959" s="2"/>
      <c r="AA959" s="2"/>
      <c r="AB959" s="2"/>
      <c r="AC959" s="2"/>
      <c r="AD959" s="2"/>
      <c r="AE959" s="349"/>
      <c r="AF959" s="349"/>
      <c r="AG959" s="349"/>
      <c r="AH959" s="349"/>
      <c r="AI959" s="349"/>
      <c r="AJ959" s="349"/>
      <c r="AK959" s="349"/>
      <c r="AL959" s="349"/>
      <c r="AM959" s="349"/>
    </row>
    <row r="960" spans="1:39" hidden="1" x14ac:dyDescent="0.25">
      <c r="A960" s="2" t="s">
        <v>346</v>
      </c>
      <c r="B960" s="1"/>
      <c r="C960" s="1"/>
      <c r="D960" s="1"/>
      <c r="E960" s="1"/>
      <c r="F960" s="1" t="s">
        <v>436</v>
      </c>
      <c r="G960" s="44" t="b">
        <f t="shared" si="376"/>
        <v>0</v>
      </c>
      <c r="H960" s="1"/>
      <c r="I960" s="1"/>
      <c r="J960" s="1"/>
      <c r="K960" s="1"/>
      <c r="L960" s="1"/>
      <c r="M960" s="1"/>
      <c r="N960" s="1"/>
      <c r="O960" s="1"/>
      <c r="P960" s="1"/>
      <c r="Q960" s="2"/>
      <c r="R960" s="2"/>
      <c r="S960" s="2"/>
      <c r="T960" s="2"/>
      <c r="U960" s="2"/>
      <c r="V960" s="2"/>
      <c r="W960" s="2"/>
      <c r="X960" s="2"/>
      <c r="Y960" s="2"/>
      <c r="Z960" s="2"/>
      <c r="AA960" s="2"/>
      <c r="AB960" s="2"/>
      <c r="AC960" s="2"/>
      <c r="AD960" s="2"/>
      <c r="AE960" s="349"/>
      <c r="AF960" s="349"/>
      <c r="AG960" s="349"/>
      <c r="AH960" s="349"/>
      <c r="AI960" s="349"/>
      <c r="AJ960" s="349"/>
      <c r="AK960" s="349"/>
      <c r="AL960" s="349"/>
      <c r="AM960" s="349"/>
    </row>
    <row r="961" spans="1:39" hidden="1" x14ac:dyDescent="0.25">
      <c r="A961" s="2" t="s">
        <v>346</v>
      </c>
      <c r="B961" s="1"/>
      <c r="C961" s="1"/>
      <c r="D961" s="1"/>
      <c r="E961" s="1"/>
      <c r="F961" s="1" t="s">
        <v>437</v>
      </c>
      <c r="G961" s="44" t="b">
        <f t="shared" si="376"/>
        <v>0</v>
      </c>
      <c r="H961" s="1"/>
      <c r="I961" s="1"/>
      <c r="J961" s="1"/>
      <c r="K961" s="1"/>
      <c r="L961" s="1"/>
      <c r="M961" s="1"/>
      <c r="N961" s="1"/>
      <c r="O961" s="1"/>
      <c r="P961" s="1"/>
      <c r="Q961" s="2"/>
      <c r="R961" s="2"/>
      <c r="S961" s="2"/>
      <c r="T961" s="2"/>
      <c r="U961" s="2"/>
      <c r="V961" s="2"/>
      <c r="W961" s="2"/>
      <c r="X961" s="2"/>
      <c r="Y961" s="2"/>
      <c r="Z961" s="2"/>
      <c r="AA961" s="2"/>
      <c r="AB961" s="2"/>
      <c r="AC961" s="2"/>
      <c r="AD961" s="2"/>
      <c r="AE961" s="349"/>
      <c r="AF961" s="349"/>
      <c r="AG961" s="349"/>
      <c r="AH961" s="349"/>
      <c r="AI961" s="349"/>
      <c r="AJ961" s="349"/>
      <c r="AK961" s="349"/>
      <c r="AL961" s="349"/>
      <c r="AM961" s="349"/>
    </row>
    <row r="962" spans="1:39" hidden="1" x14ac:dyDescent="0.25">
      <c r="A962" s="2" t="s">
        <v>346</v>
      </c>
      <c r="B962" s="1"/>
      <c r="C962" s="1"/>
      <c r="D962" s="1"/>
      <c r="E962" s="1"/>
      <c r="F962" s="1" t="s">
        <v>438</v>
      </c>
      <c r="G962" s="44" t="b">
        <f t="shared" si="376"/>
        <v>0</v>
      </c>
      <c r="H962" s="1"/>
      <c r="I962" s="1"/>
      <c r="J962" s="1"/>
      <c r="K962" s="1"/>
      <c r="L962" s="1"/>
      <c r="M962" s="1"/>
      <c r="N962" s="1"/>
      <c r="O962" s="1"/>
      <c r="P962" s="1"/>
      <c r="Q962" s="2"/>
      <c r="R962" s="2"/>
      <c r="S962" s="2"/>
      <c r="T962" s="2"/>
      <c r="U962" s="2"/>
      <c r="V962" s="2"/>
      <c r="W962" s="2"/>
      <c r="X962" s="2"/>
      <c r="Y962" s="2"/>
      <c r="Z962" s="2"/>
      <c r="AA962" s="2"/>
      <c r="AB962" s="2"/>
      <c r="AC962" s="2"/>
      <c r="AD962" s="2"/>
      <c r="AE962" s="349"/>
      <c r="AF962" s="349"/>
      <c r="AG962" s="349"/>
      <c r="AH962" s="349"/>
      <c r="AI962" s="349"/>
      <c r="AJ962" s="349"/>
      <c r="AK962" s="349"/>
      <c r="AL962" s="349"/>
      <c r="AM962" s="349"/>
    </row>
    <row r="963" spans="1:39" ht="13" hidden="1" thickBot="1" x14ac:dyDescent="0.3">
      <c r="A963" s="2" t="s">
        <v>346</v>
      </c>
      <c r="B963" s="1"/>
      <c r="C963" s="1"/>
      <c r="D963" s="1"/>
      <c r="E963" s="1"/>
      <c r="F963" s="453" t="s">
        <v>1350</v>
      </c>
      <c r="G963" s="44" t="b">
        <f t="shared" si="376"/>
        <v>0</v>
      </c>
      <c r="H963" s="1"/>
      <c r="I963" s="1"/>
      <c r="J963" s="1"/>
      <c r="K963" s="1"/>
      <c r="L963" s="1"/>
      <c r="M963" s="1"/>
      <c r="N963" s="1"/>
      <c r="O963" s="1"/>
      <c r="P963" s="1"/>
      <c r="Q963" s="2"/>
      <c r="R963" s="2"/>
      <c r="S963" s="2"/>
      <c r="T963" s="2"/>
      <c r="U963" s="2"/>
      <c r="V963" s="2"/>
      <c r="W963" s="2"/>
      <c r="X963" s="2"/>
      <c r="Y963" s="2"/>
      <c r="Z963" s="2"/>
      <c r="AA963" s="2"/>
      <c r="AB963" s="2"/>
      <c r="AC963" s="2"/>
      <c r="AD963" s="2"/>
      <c r="AE963" s="349"/>
      <c r="AF963" s="349"/>
      <c r="AG963" s="349"/>
      <c r="AH963" s="349"/>
      <c r="AI963" s="349"/>
      <c r="AJ963" s="349"/>
      <c r="AK963" s="349"/>
      <c r="AL963" s="349"/>
      <c r="AM963" s="349"/>
    </row>
    <row r="964" spans="1:39" ht="13.5" hidden="1" thickBot="1" x14ac:dyDescent="0.3">
      <c r="A964" s="2" t="s">
        <v>346</v>
      </c>
      <c r="B964" s="1"/>
      <c r="C964" s="1"/>
      <c r="D964" s="1"/>
      <c r="E964" s="1"/>
      <c r="F964" s="41" t="s">
        <v>869</v>
      </c>
      <c r="G964" s="227" t="b">
        <f>OR(G957:G963)</f>
        <v>0</v>
      </c>
      <c r="H964" s="1"/>
      <c r="I964" s="1"/>
      <c r="J964" s="1"/>
      <c r="K964" s="1"/>
      <c r="L964" s="1"/>
      <c r="M964" s="1"/>
      <c r="N964" s="1"/>
      <c r="O964" s="1"/>
      <c r="P964" s="1"/>
      <c r="Q964" s="2"/>
      <c r="R964" s="2"/>
      <c r="S964" s="2"/>
      <c r="T964" s="2"/>
      <c r="U964" s="2"/>
      <c r="V964" s="2"/>
      <c r="W964" s="2"/>
      <c r="X964" s="2"/>
      <c r="Y964" s="2"/>
      <c r="Z964" s="2"/>
      <c r="AA964" s="2"/>
      <c r="AB964" s="2"/>
      <c r="AC964" s="2"/>
      <c r="AD964" s="2"/>
      <c r="AE964" s="349"/>
      <c r="AF964" s="349"/>
      <c r="AG964" s="349"/>
      <c r="AH964" s="349"/>
      <c r="AI964" s="349"/>
      <c r="AJ964" s="349"/>
      <c r="AK964" s="349"/>
      <c r="AL964" s="349"/>
      <c r="AM964" s="349"/>
    </row>
    <row r="965" spans="1:39" hidden="1" x14ac:dyDescent="0.25">
      <c r="A965" s="2" t="s">
        <v>346</v>
      </c>
      <c r="B965" s="1"/>
      <c r="C965" s="1"/>
      <c r="D965" s="1"/>
      <c r="E965" s="1"/>
      <c r="F965" s="1"/>
      <c r="G965" s="1"/>
      <c r="H965" s="1"/>
      <c r="I965" s="1"/>
      <c r="J965" s="1"/>
      <c r="K965" s="1"/>
      <c r="L965" s="1"/>
      <c r="M965" s="1"/>
      <c r="N965" s="1"/>
      <c r="O965" s="1"/>
      <c r="P965" s="1"/>
      <c r="Q965" s="2"/>
      <c r="R965" s="2"/>
      <c r="S965" s="2"/>
      <c r="T965" s="2"/>
      <c r="U965" s="2"/>
      <c r="V965" s="2"/>
      <c r="W965" s="2"/>
      <c r="X965" s="2"/>
      <c r="Y965" s="2"/>
      <c r="Z965" s="2"/>
      <c r="AA965" s="2"/>
      <c r="AB965" s="2"/>
      <c r="AC965" s="2"/>
      <c r="AD965" s="2"/>
      <c r="AE965" s="349"/>
      <c r="AF965" s="349"/>
      <c r="AG965" s="349"/>
      <c r="AH965" s="349"/>
      <c r="AI965" s="349"/>
      <c r="AJ965" s="349"/>
      <c r="AK965" s="349"/>
      <c r="AL965" s="349"/>
      <c r="AM965" s="349"/>
    </row>
    <row r="966" spans="1:39" hidden="1" x14ac:dyDescent="0.25">
      <c r="A966" s="2" t="s">
        <v>346</v>
      </c>
      <c r="B966" s="1"/>
      <c r="C966" s="626">
        <v>8</v>
      </c>
      <c r="D966" s="453" t="s">
        <v>1673</v>
      </c>
      <c r="E966" s="1"/>
      <c r="F966" s="1"/>
      <c r="G966" s="1"/>
      <c r="H966" s="1"/>
      <c r="I966" s="1"/>
      <c r="J966" s="1"/>
      <c r="K966" s="1"/>
      <c r="L966" s="1"/>
      <c r="M966" s="1"/>
      <c r="N966" s="1"/>
      <c r="O966" s="1"/>
      <c r="P966" s="1"/>
      <c r="Q966" s="2"/>
      <c r="R966" s="2"/>
      <c r="S966" s="2"/>
      <c r="T966" s="2"/>
      <c r="U966" s="2"/>
      <c r="V966" s="2"/>
      <c r="W966" s="2"/>
      <c r="X966" s="2"/>
      <c r="Y966" s="2"/>
      <c r="Z966" s="2"/>
      <c r="AA966" s="2"/>
      <c r="AB966" s="2"/>
      <c r="AC966" s="2"/>
      <c r="AD966" s="2"/>
      <c r="AE966" s="349"/>
      <c r="AF966" s="349"/>
      <c r="AG966" s="349"/>
      <c r="AH966" s="349"/>
      <c r="AI966" s="349"/>
      <c r="AJ966" s="349"/>
      <c r="AK966" s="349"/>
      <c r="AL966" s="349"/>
      <c r="AM966" s="349"/>
    </row>
  </sheetData>
  <sheetProtection sheet="1" objects="1" scenarios="1" formatCells="0" formatColumns="0" formatRows="0"/>
  <mergeCells count="712">
    <mergeCell ref="E741:N741"/>
    <mergeCell ref="E875:F875"/>
    <mergeCell ref="E876:F876"/>
    <mergeCell ref="E817:F817"/>
    <mergeCell ref="E808:N808"/>
    <mergeCell ref="E810:F810"/>
    <mergeCell ref="E811:F811"/>
    <mergeCell ref="E869:F869"/>
    <mergeCell ref="E870:F870"/>
    <mergeCell ref="E871:F871"/>
    <mergeCell ref="E872:F872"/>
    <mergeCell ref="E873:F873"/>
    <mergeCell ref="E874:F874"/>
    <mergeCell ref="E814:F814"/>
    <mergeCell ref="E816:F816"/>
    <mergeCell ref="E804:F804"/>
    <mergeCell ref="E806:N806"/>
    <mergeCell ref="E807:N807"/>
    <mergeCell ref="E935:F935"/>
    <mergeCell ref="E936:F936"/>
    <mergeCell ref="E937:F937"/>
    <mergeCell ref="E938:F938"/>
    <mergeCell ref="E939:F939"/>
    <mergeCell ref="E940:F940"/>
    <mergeCell ref="E929:F929"/>
    <mergeCell ref="E930:F930"/>
    <mergeCell ref="E931:F931"/>
    <mergeCell ref="E932:F932"/>
    <mergeCell ref="E933:F933"/>
    <mergeCell ref="E934:F934"/>
    <mergeCell ref="G569:L569"/>
    <mergeCell ref="G562:L562"/>
    <mergeCell ref="G563:L563"/>
    <mergeCell ref="E667:F667"/>
    <mergeCell ref="F687:N687"/>
    <mergeCell ref="E642:N642"/>
    <mergeCell ref="E643:H643"/>
    <mergeCell ref="E686:N686"/>
    <mergeCell ref="I677:N677"/>
    <mergeCell ref="E678:N678"/>
    <mergeCell ref="E644:G644"/>
    <mergeCell ref="E672:N672"/>
    <mergeCell ref="E594:N594"/>
    <mergeCell ref="E669:F669"/>
    <mergeCell ref="E670:F670"/>
    <mergeCell ref="F894:N894"/>
    <mergeCell ref="F895:N895"/>
    <mergeCell ref="E885:N885"/>
    <mergeCell ref="G445:L445"/>
    <mergeCell ref="G446:L446"/>
    <mergeCell ref="D648:N648"/>
    <mergeCell ref="G566:L566"/>
    <mergeCell ref="G567:L567"/>
    <mergeCell ref="E657:F657"/>
    <mergeCell ref="G568:L568"/>
    <mergeCell ref="G570:L570"/>
    <mergeCell ref="G571:L571"/>
    <mergeCell ref="G572:L572"/>
    <mergeCell ref="E890:F890"/>
    <mergeCell ref="E892:N892"/>
    <mergeCell ref="F893:N893"/>
    <mergeCell ref="E666:F666"/>
    <mergeCell ref="F689:N689"/>
    <mergeCell ref="I676:L676"/>
    <mergeCell ref="D698:N698"/>
    <mergeCell ref="E700:N700"/>
    <mergeCell ref="E671:N671"/>
    <mergeCell ref="E663:F663"/>
    <mergeCell ref="E660:N660"/>
    <mergeCell ref="E813:F813"/>
    <mergeCell ref="E638:N638"/>
    <mergeCell ref="E639:N639"/>
    <mergeCell ref="E641:N641"/>
    <mergeCell ref="G564:L564"/>
    <mergeCell ref="G565:L565"/>
    <mergeCell ref="D650:H650"/>
    <mergeCell ref="I650:N650"/>
    <mergeCell ref="E601:N601"/>
    <mergeCell ref="E616:N616"/>
    <mergeCell ref="E617:N617"/>
    <mergeCell ref="E637:N637"/>
    <mergeCell ref="E599:N599"/>
    <mergeCell ref="E600:N600"/>
    <mergeCell ref="E634:N634"/>
    <mergeCell ref="E632:I632"/>
    <mergeCell ref="E636:I636"/>
    <mergeCell ref="M676:N676"/>
    <mergeCell ref="E652:N652"/>
    <mergeCell ref="E653:N653"/>
    <mergeCell ref="E680:N680"/>
    <mergeCell ref="E681:N681"/>
    <mergeCell ref="E654:N654"/>
    <mergeCell ref="E655:N655"/>
    <mergeCell ref="E715:F715"/>
    <mergeCell ref="G715:L715"/>
    <mergeCell ref="E704:N704"/>
    <mergeCell ref="E705:N705"/>
    <mergeCell ref="E706:N706"/>
    <mergeCell ref="E707:N707"/>
    <mergeCell ref="E714:F714"/>
    <mergeCell ref="G714:L714"/>
    <mergeCell ref="G710:L710"/>
    <mergeCell ref="E711:F711"/>
    <mergeCell ref="G711:L711"/>
    <mergeCell ref="E712:F712"/>
    <mergeCell ref="G712:L712"/>
    <mergeCell ref="E713:F713"/>
    <mergeCell ref="G713:L713"/>
    <mergeCell ref="E710:F710"/>
    <mergeCell ref="E709:F709"/>
    <mergeCell ref="E912:N912"/>
    <mergeCell ref="E913:N913"/>
    <mergeCell ref="E716:F716"/>
    <mergeCell ref="G716:L716"/>
    <mergeCell ref="E717:F717"/>
    <mergeCell ref="G717:L717"/>
    <mergeCell ref="E718:F718"/>
    <mergeCell ref="G718:L718"/>
    <mergeCell ref="E742:N742"/>
    <mergeCell ref="E887:N887"/>
    <mergeCell ref="E763:N763"/>
    <mergeCell ref="E764:N764"/>
    <mergeCell ref="E825:N825"/>
    <mergeCell ref="E827:N827"/>
    <mergeCell ref="E828:N828"/>
    <mergeCell ref="I824:N824"/>
    <mergeCell ref="E863:G863"/>
    <mergeCell ref="H865:L865"/>
    <mergeCell ref="F834:N834"/>
    <mergeCell ref="F835:N835"/>
    <mergeCell ref="E867:N867"/>
    <mergeCell ref="E860:G860"/>
    <mergeCell ref="H860:L860"/>
    <mergeCell ref="I884:N884"/>
    <mergeCell ref="E701:N701"/>
    <mergeCell ref="E574:N574"/>
    <mergeCell ref="E575:N575"/>
    <mergeCell ref="E576:N576"/>
    <mergeCell ref="E592:N592"/>
    <mergeCell ref="E593:N593"/>
    <mergeCell ref="G709:L709"/>
    <mergeCell ref="F702:N702"/>
    <mergeCell ref="F703:N703"/>
    <mergeCell ref="F596:N596"/>
    <mergeCell ref="E633:N633"/>
    <mergeCell ref="F598:N598"/>
    <mergeCell ref="E661:N661"/>
    <mergeCell ref="E664:F664"/>
    <mergeCell ref="F688:N688"/>
    <mergeCell ref="E746:N746"/>
    <mergeCell ref="F597:N597"/>
    <mergeCell ref="E569:F569"/>
    <mergeCell ref="E775:I775"/>
    <mergeCell ref="E570:F570"/>
    <mergeCell ref="E723:N723"/>
    <mergeCell ref="E623:G623"/>
    <mergeCell ref="E624:I624"/>
    <mergeCell ref="E628:I628"/>
    <mergeCell ref="E630:N630"/>
    <mergeCell ref="E722:N722"/>
    <mergeCell ref="E739:N739"/>
    <mergeCell ref="E740:N740"/>
    <mergeCell ref="E571:F571"/>
    <mergeCell ref="E572:F572"/>
    <mergeCell ref="E719:F719"/>
    <mergeCell ref="G719:L719"/>
    <mergeCell ref="E626:N626"/>
    <mergeCell ref="E721:N721"/>
    <mergeCell ref="E724:N724"/>
    <mergeCell ref="E595:N595"/>
    <mergeCell ref="E682:N682"/>
    <mergeCell ref="E684:F684"/>
    <mergeCell ref="D676:H676"/>
    <mergeCell ref="E553:N553"/>
    <mergeCell ref="E554:N554"/>
    <mergeCell ref="F555:N555"/>
    <mergeCell ref="F556:N556"/>
    <mergeCell ref="E557:N557"/>
    <mergeCell ref="E777:N777"/>
    <mergeCell ref="E558:N558"/>
    <mergeCell ref="E559:N559"/>
    <mergeCell ref="E560:N560"/>
    <mergeCell ref="E562:F562"/>
    <mergeCell ref="E563:F563"/>
    <mergeCell ref="E564:F564"/>
    <mergeCell ref="E770:G770"/>
    <mergeCell ref="E771:I771"/>
    <mergeCell ref="E773:N773"/>
    <mergeCell ref="E565:F565"/>
    <mergeCell ref="E566:F566"/>
    <mergeCell ref="E747:N747"/>
    <mergeCell ref="E748:N748"/>
    <mergeCell ref="E567:F567"/>
    <mergeCell ref="E568:F568"/>
    <mergeCell ref="F743:N743"/>
    <mergeCell ref="F744:N744"/>
    <mergeCell ref="F745:N745"/>
    <mergeCell ref="E537:F537"/>
    <mergeCell ref="E539:N539"/>
    <mergeCell ref="F540:N540"/>
    <mergeCell ref="F541:N541"/>
    <mergeCell ref="F542:N542"/>
    <mergeCell ref="D551:N551"/>
    <mergeCell ref="M529:N529"/>
    <mergeCell ref="I530:N530"/>
    <mergeCell ref="E531:N531"/>
    <mergeCell ref="E533:N533"/>
    <mergeCell ref="E534:N534"/>
    <mergeCell ref="E535:N535"/>
    <mergeCell ref="E521:F521"/>
    <mergeCell ref="E522:F522"/>
    <mergeCell ref="E523:F523"/>
    <mergeCell ref="E525:F525"/>
    <mergeCell ref="D529:H529"/>
    <mergeCell ref="I529:L529"/>
    <mergeCell ref="E513:F513"/>
    <mergeCell ref="E514:F514"/>
    <mergeCell ref="E515:F515"/>
    <mergeCell ref="E517:F517"/>
    <mergeCell ref="E518:F518"/>
    <mergeCell ref="E519:F519"/>
    <mergeCell ref="E505:F505"/>
    <mergeCell ref="E506:F506"/>
    <mergeCell ref="E507:F507"/>
    <mergeCell ref="E509:F509"/>
    <mergeCell ref="E510:F510"/>
    <mergeCell ref="E511:F511"/>
    <mergeCell ref="F499:N499"/>
    <mergeCell ref="F500:N500"/>
    <mergeCell ref="F501:N501"/>
    <mergeCell ref="E502:N502"/>
    <mergeCell ref="E503:N503"/>
    <mergeCell ref="E504:M504"/>
    <mergeCell ref="E492:F492"/>
    <mergeCell ref="E494:N494"/>
    <mergeCell ref="E495:N495"/>
    <mergeCell ref="E496:N496"/>
    <mergeCell ref="F497:N497"/>
    <mergeCell ref="F498:N498"/>
    <mergeCell ref="E489:N489"/>
    <mergeCell ref="E490:N490"/>
    <mergeCell ref="E491:F491"/>
    <mergeCell ref="E482:F482"/>
    <mergeCell ref="E483:F483"/>
    <mergeCell ref="E485:F485"/>
    <mergeCell ref="E486:F486"/>
    <mergeCell ref="E477:N477"/>
    <mergeCell ref="E478:N478"/>
    <mergeCell ref="E472:F472"/>
    <mergeCell ref="E479:N479"/>
    <mergeCell ref="E480:N480"/>
    <mergeCell ref="E474:N474"/>
    <mergeCell ref="E475:N475"/>
    <mergeCell ref="E476:N476"/>
    <mergeCell ref="E461:M461"/>
    <mergeCell ref="E463:N463"/>
    <mergeCell ref="E464:N464"/>
    <mergeCell ref="E465:N465"/>
    <mergeCell ref="F466:N466"/>
    <mergeCell ref="F467:N467"/>
    <mergeCell ref="H923:L923"/>
    <mergeCell ref="E788:N788"/>
    <mergeCell ref="E791:G791"/>
    <mergeCell ref="D795:N795"/>
    <mergeCell ref="E919:G919"/>
    <mergeCell ref="E880:F880"/>
    <mergeCell ref="H855:L855"/>
    <mergeCell ref="E858:G858"/>
    <mergeCell ref="H856:L856"/>
    <mergeCell ref="E864:G864"/>
    <mergeCell ref="H864:L864"/>
    <mergeCell ref="H862:L862"/>
    <mergeCell ref="H858:L858"/>
    <mergeCell ref="H859:L859"/>
    <mergeCell ref="E859:G859"/>
    <mergeCell ref="H863:L863"/>
    <mergeCell ref="H861:L861"/>
    <mergeCell ref="E856:G856"/>
    <mergeCell ref="D453:N453"/>
    <mergeCell ref="D455:H455"/>
    <mergeCell ref="I455:N455"/>
    <mergeCell ref="E779:I779"/>
    <mergeCell ref="E780:N780"/>
    <mergeCell ref="E781:N781"/>
    <mergeCell ref="E917:G917"/>
    <mergeCell ref="E888:N888"/>
    <mergeCell ref="D910:N910"/>
    <mergeCell ref="E819:N819"/>
    <mergeCell ref="D823:H823"/>
    <mergeCell ref="E830:F830"/>
    <mergeCell ref="I823:L823"/>
    <mergeCell ref="M823:N823"/>
    <mergeCell ref="M883:N883"/>
    <mergeCell ref="D850:N850"/>
    <mergeCell ref="E818:N818"/>
    <mergeCell ref="F833:N833"/>
    <mergeCell ref="E832:N832"/>
    <mergeCell ref="D883:H883"/>
    <mergeCell ref="E862:G862"/>
    <mergeCell ref="E877:F877"/>
    <mergeCell ref="E878:F878"/>
    <mergeCell ref="E879:F879"/>
    <mergeCell ref="E925:G925"/>
    <mergeCell ref="H925:L925"/>
    <mergeCell ref="E927:N927"/>
    <mergeCell ref="E783:I783"/>
    <mergeCell ref="H919:L919"/>
    <mergeCell ref="H920:L920"/>
    <mergeCell ref="H921:L921"/>
    <mergeCell ref="H922:L922"/>
    <mergeCell ref="E923:G923"/>
    <mergeCell ref="E790:H790"/>
    <mergeCell ref="E924:G924"/>
    <mergeCell ref="H924:L924"/>
    <mergeCell ref="E801:N801"/>
    <mergeCell ref="E802:N802"/>
    <mergeCell ref="H917:L917"/>
    <mergeCell ref="H915:L915"/>
    <mergeCell ref="H916:L916"/>
    <mergeCell ref="E922:G922"/>
    <mergeCell ref="E916:G916"/>
    <mergeCell ref="E920:G920"/>
    <mergeCell ref="E918:G918"/>
    <mergeCell ref="E921:G921"/>
    <mergeCell ref="I883:L883"/>
    <mergeCell ref="H918:L918"/>
    <mergeCell ref="E445:F445"/>
    <mergeCell ref="E446:F446"/>
    <mergeCell ref="D797:H797"/>
    <mergeCell ref="I797:N797"/>
    <mergeCell ref="E799:N799"/>
    <mergeCell ref="E800:N800"/>
    <mergeCell ref="E447:F447"/>
    <mergeCell ref="E448:F448"/>
    <mergeCell ref="G447:L447"/>
    <mergeCell ref="G448:L448"/>
    <mergeCell ref="E449:F449"/>
    <mergeCell ref="G449:L449"/>
    <mergeCell ref="E784:N784"/>
    <mergeCell ref="E785:N785"/>
    <mergeCell ref="E786:N786"/>
    <mergeCell ref="E789:N789"/>
    <mergeCell ref="E457:M457"/>
    <mergeCell ref="E458:M458"/>
    <mergeCell ref="E459:M459"/>
    <mergeCell ref="E460:M460"/>
    <mergeCell ref="E488:N488"/>
    <mergeCell ref="F468:N468"/>
    <mergeCell ref="F469:N469"/>
    <mergeCell ref="F470:N470"/>
    <mergeCell ref="E443:F443"/>
    <mergeCell ref="E444:F444"/>
    <mergeCell ref="E436:N436"/>
    <mergeCell ref="E437:N437"/>
    <mergeCell ref="E439:F439"/>
    <mergeCell ref="E440:F440"/>
    <mergeCell ref="G442:L442"/>
    <mergeCell ref="G443:L443"/>
    <mergeCell ref="G444:L444"/>
    <mergeCell ref="G439:L439"/>
    <mergeCell ref="E414:F414"/>
    <mergeCell ref="E416:N416"/>
    <mergeCell ref="F417:N417"/>
    <mergeCell ref="F418:N418"/>
    <mergeCell ref="F419:N419"/>
    <mergeCell ref="D434:N434"/>
    <mergeCell ref="E441:F441"/>
    <mergeCell ref="E442:F442"/>
    <mergeCell ref="M406:N406"/>
    <mergeCell ref="I407:N407"/>
    <mergeCell ref="E408:N408"/>
    <mergeCell ref="E410:N410"/>
    <mergeCell ref="E411:N411"/>
    <mergeCell ref="G440:L440"/>
    <mergeCell ref="G441:L441"/>
    <mergeCell ref="E412:N412"/>
    <mergeCell ref="E398:F398"/>
    <mergeCell ref="E399:F399"/>
    <mergeCell ref="E400:F400"/>
    <mergeCell ref="E402:F402"/>
    <mergeCell ref="D406:H406"/>
    <mergeCell ref="I406:L406"/>
    <mergeCell ref="E390:F390"/>
    <mergeCell ref="E391:F391"/>
    <mergeCell ref="E392:F392"/>
    <mergeCell ref="E394:F394"/>
    <mergeCell ref="E395:F395"/>
    <mergeCell ref="E396:F396"/>
    <mergeCell ref="E382:F382"/>
    <mergeCell ref="E383:F383"/>
    <mergeCell ref="E384:F384"/>
    <mergeCell ref="E386:F386"/>
    <mergeCell ref="E387:F387"/>
    <mergeCell ref="E388:F388"/>
    <mergeCell ref="F376:N376"/>
    <mergeCell ref="F377:N377"/>
    <mergeCell ref="F378:N378"/>
    <mergeCell ref="E379:N379"/>
    <mergeCell ref="E380:N380"/>
    <mergeCell ref="E381:M381"/>
    <mergeCell ref="E369:F369"/>
    <mergeCell ref="E371:N371"/>
    <mergeCell ref="E372:N372"/>
    <mergeCell ref="E373:N373"/>
    <mergeCell ref="F374:N374"/>
    <mergeCell ref="F375:N375"/>
    <mergeCell ref="E356:N356"/>
    <mergeCell ref="E357:N357"/>
    <mergeCell ref="E365:N365"/>
    <mergeCell ref="E366:N366"/>
    <mergeCell ref="E367:N367"/>
    <mergeCell ref="E368:F368"/>
    <mergeCell ref="E359:F359"/>
    <mergeCell ref="E360:F360"/>
    <mergeCell ref="E362:F362"/>
    <mergeCell ref="E363:F363"/>
    <mergeCell ref="E351:N351"/>
    <mergeCell ref="E352:N352"/>
    <mergeCell ref="E353:N353"/>
    <mergeCell ref="E354:N354"/>
    <mergeCell ref="E355:N355"/>
    <mergeCell ref="E341:N341"/>
    <mergeCell ref="E342:N342"/>
    <mergeCell ref="F343:N343"/>
    <mergeCell ref="F344:N344"/>
    <mergeCell ref="F345:N345"/>
    <mergeCell ref="E349:F349"/>
    <mergeCell ref="F347:N347"/>
    <mergeCell ref="F346:N346"/>
    <mergeCell ref="E336:M336"/>
    <mergeCell ref="E337:M337"/>
    <mergeCell ref="E338:M338"/>
    <mergeCell ref="E340:N340"/>
    <mergeCell ref="E324:N324"/>
    <mergeCell ref="E325:H325"/>
    <mergeCell ref="E326:G326"/>
    <mergeCell ref="D330:N330"/>
    <mergeCell ref="D332:H332"/>
    <mergeCell ref="I332:N332"/>
    <mergeCell ref="E334:M334"/>
    <mergeCell ref="E335:M335"/>
    <mergeCell ref="E316:N316"/>
    <mergeCell ref="E318:I318"/>
    <mergeCell ref="E319:N319"/>
    <mergeCell ref="E320:N320"/>
    <mergeCell ref="E321:N321"/>
    <mergeCell ref="E323:N323"/>
    <mergeCell ref="E306:I306"/>
    <mergeCell ref="E308:N308"/>
    <mergeCell ref="E310:I310"/>
    <mergeCell ref="E312:N312"/>
    <mergeCell ref="E314:I314"/>
    <mergeCell ref="E315:N315"/>
    <mergeCell ref="E281:N281"/>
    <mergeCell ref="E282:N282"/>
    <mergeCell ref="E283:N283"/>
    <mergeCell ref="E298:N298"/>
    <mergeCell ref="E299:N299"/>
    <mergeCell ref="E305:G305"/>
    <mergeCell ref="E274:N274"/>
    <mergeCell ref="E275:N275"/>
    <mergeCell ref="E277:N277"/>
    <mergeCell ref="F278:N278"/>
    <mergeCell ref="F279:N279"/>
    <mergeCell ref="F280:N280"/>
    <mergeCell ref="E276:N276"/>
    <mergeCell ref="E254:F254"/>
    <mergeCell ref="G254:H254"/>
    <mergeCell ref="I254:L254"/>
    <mergeCell ref="E256:N256"/>
    <mergeCell ref="E257:N257"/>
    <mergeCell ref="E258:N258"/>
    <mergeCell ref="E252:F252"/>
    <mergeCell ref="G252:H252"/>
    <mergeCell ref="I252:L252"/>
    <mergeCell ref="E253:F253"/>
    <mergeCell ref="G253:H253"/>
    <mergeCell ref="I253:L253"/>
    <mergeCell ref="E250:F250"/>
    <mergeCell ref="G250:H250"/>
    <mergeCell ref="I250:L250"/>
    <mergeCell ref="E251:F251"/>
    <mergeCell ref="G251:H251"/>
    <mergeCell ref="I251:L251"/>
    <mergeCell ref="E248:F248"/>
    <mergeCell ref="G248:H248"/>
    <mergeCell ref="I248:L248"/>
    <mergeCell ref="E249:F249"/>
    <mergeCell ref="G249:H249"/>
    <mergeCell ref="I249:L249"/>
    <mergeCell ref="E246:F246"/>
    <mergeCell ref="G246:H246"/>
    <mergeCell ref="I246:L246"/>
    <mergeCell ref="E247:F247"/>
    <mergeCell ref="G247:H247"/>
    <mergeCell ref="I247:L247"/>
    <mergeCell ref="E242:N242"/>
    <mergeCell ref="E244:F244"/>
    <mergeCell ref="G244:H244"/>
    <mergeCell ref="I244:L244"/>
    <mergeCell ref="E245:F245"/>
    <mergeCell ref="G245:H245"/>
    <mergeCell ref="I245:L245"/>
    <mergeCell ref="F236:N236"/>
    <mergeCell ref="F237:N237"/>
    <mergeCell ref="E238:N238"/>
    <mergeCell ref="E239:N239"/>
    <mergeCell ref="E240:N240"/>
    <mergeCell ref="E241:N241"/>
    <mergeCell ref="F221:N221"/>
    <mergeCell ref="F222:N222"/>
    <mergeCell ref="D231:N231"/>
    <mergeCell ref="E233:N233"/>
    <mergeCell ref="E234:N234"/>
    <mergeCell ref="F235:N235"/>
    <mergeCell ref="E215:N215"/>
    <mergeCell ref="E217:F217"/>
    <mergeCell ref="E219:N219"/>
    <mergeCell ref="F220:N220"/>
    <mergeCell ref="E205:F205"/>
    <mergeCell ref="E191:F191"/>
    <mergeCell ref="E193:F193"/>
    <mergeCell ref="E194:F194"/>
    <mergeCell ref="E211:N211"/>
    <mergeCell ref="E199:F199"/>
    <mergeCell ref="E201:F201"/>
    <mergeCell ref="E202:F202"/>
    <mergeCell ref="E203:F203"/>
    <mergeCell ref="E195:F195"/>
    <mergeCell ref="E197:F197"/>
    <mergeCell ref="E198:F198"/>
    <mergeCell ref="I210:N210"/>
    <mergeCell ref="I209:L209"/>
    <mergeCell ref="M209:N209"/>
    <mergeCell ref="E213:N213"/>
    <mergeCell ref="E214:N214"/>
    <mergeCell ref="E152:F152"/>
    <mergeCell ref="E162:F162"/>
    <mergeCell ref="E163:F163"/>
    <mergeCell ref="E165:F165"/>
    <mergeCell ref="E166:F166"/>
    <mergeCell ref="E174:N174"/>
    <mergeCell ref="E190:F190"/>
    <mergeCell ref="E182:N182"/>
    <mergeCell ref="F178:N178"/>
    <mergeCell ref="E185:F185"/>
    <mergeCell ref="E186:F186"/>
    <mergeCell ref="E187:F187"/>
    <mergeCell ref="E189:F189"/>
    <mergeCell ref="E184:M184"/>
    <mergeCell ref="F148:N148"/>
    <mergeCell ref="E183:N183"/>
    <mergeCell ref="F181:N181"/>
    <mergeCell ref="F179:N179"/>
    <mergeCell ref="F150:N150"/>
    <mergeCell ref="E160:N160"/>
    <mergeCell ref="E121:I121"/>
    <mergeCell ref="E119:N119"/>
    <mergeCell ref="E122:N122"/>
    <mergeCell ref="F180:N180"/>
    <mergeCell ref="F147:N147"/>
    <mergeCell ref="E154:N154"/>
    <mergeCell ref="E145:N145"/>
    <mergeCell ref="E158:N158"/>
    <mergeCell ref="F146:N146"/>
    <mergeCell ref="E155:N155"/>
    <mergeCell ref="I57:L57"/>
    <mergeCell ref="E109:I109"/>
    <mergeCell ref="I56:L56"/>
    <mergeCell ref="E102:N102"/>
    <mergeCell ref="E62:N62"/>
    <mergeCell ref="E117:I117"/>
    <mergeCell ref="E159:N159"/>
    <mergeCell ref="E157:N157"/>
    <mergeCell ref="F149:N149"/>
    <mergeCell ref="E140:M140"/>
    <mergeCell ref="D135:H135"/>
    <mergeCell ref="E79:N79"/>
    <mergeCell ref="E86:N86"/>
    <mergeCell ref="E55:F55"/>
    <mergeCell ref="F81:N81"/>
    <mergeCell ref="I55:L55"/>
    <mergeCell ref="E137:M137"/>
    <mergeCell ref="E56:F56"/>
    <mergeCell ref="D133:N133"/>
    <mergeCell ref="G54:H54"/>
    <mergeCell ref="E57:F57"/>
    <mergeCell ref="G56:H56"/>
    <mergeCell ref="E108:G108"/>
    <mergeCell ref="E61:N61"/>
    <mergeCell ref="E84:N84"/>
    <mergeCell ref="F83:N83"/>
    <mergeCell ref="E85:N85"/>
    <mergeCell ref="E123:N123"/>
    <mergeCell ref="E126:N126"/>
    <mergeCell ref="E127:N127"/>
    <mergeCell ref="E128:H128"/>
    <mergeCell ref="E124:N124"/>
    <mergeCell ref="E113:I113"/>
    <mergeCell ref="G57:H57"/>
    <mergeCell ref="E129:G129"/>
    <mergeCell ref="E118:N118"/>
    <mergeCell ref="E43:N43"/>
    <mergeCell ref="F23:N23"/>
    <mergeCell ref="F24:N24"/>
    <mergeCell ref="E42:N42"/>
    <mergeCell ref="E41:N41"/>
    <mergeCell ref="G55:H55"/>
    <mergeCell ref="E101:N101"/>
    <mergeCell ref="E143:N143"/>
    <mergeCell ref="I135:N135"/>
    <mergeCell ref="I53:L53"/>
    <mergeCell ref="E111:N111"/>
    <mergeCell ref="I54:L54"/>
    <mergeCell ref="G53:H53"/>
    <mergeCell ref="E49:F49"/>
    <mergeCell ref="I49:L49"/>
    <mergeCell ref="E138:M138"/>
    <mergeCell ref="E53:F53"/>
    <mergeCell ref="E78:N78"/>
    <mergeCell ref="E80:N80"/>
    <mergeCell ref="E54:F54"/>
    <mergeCell ref="E141:M141"/>
    <mergeCell ref="E115:N115"/>
    <mergeCell ref="E60:N60"/>
    <mergeCell ref="E59:N59"/>
    <mergeCell ref="E36:N36"/>
    <mergeCell ref="E8:M8"/>
    <mergeCell ref="E4:F4"/>
    <mergeCell ref="D6:N6"/>
    <mergeCell ref="M4:N4"/>
    <mergeCell ref="D10:N10"/>
    <mergeCell ref="E20:F20"/>
    <mergeCell ref="B2:D4"/>
    <mergeCell ref="E14:N14"/>
    <mergeCell ref="K4:L4"/>
    <mergeCell ref="G4:H4"/>
    <mergeCell ref="E2:F2"/>
    <mergeCell ref="E16:N16"/>
    <mergeCell ref="E22:N22"/>
    <mergeCell ref="E865:G865"/>
    <mergeCell ref="W3:X3"/>
    <mergeCell ref="Q4:R4"/>
    <mergeCell ref="S4:T4"/>
    <mergeCell ref="U4:V4"/>
    <mergeCell ref="W4:X4"/>
    <mergeCell ref="G3:H3"/>
    <mergeCell ref="I3:J3"/>
    <mergeCell ref="K3:L3"/>
    <mergeCell ref="M3:N3"/>
    <mergeCell ref="S3:T3"/>
    <mergeCell ref="Q3:R3"/>
    <mergeCell ref="U3:V3"/>
    <mergeCell ref="P2:P4"/>
    <mergeCell ref="I2:J2"/>
    <mergeCell ref="I4:J4"/>
    <mergeCell ref="G2:H2"/>
    <mergeCell ref="K2:L2"/>
    <mergeCell ref="M2:N2"/>
    <mergeCell ref="E3:F3"/>
    <mergeCell ref="E44:N44"/>
    <mergeCell ref="F40:N40"/>
    <mergeCell ref="D34:N34"/>
    <mergeCell ref="E18:N18"/>
    <mergeCell ref="E47:F47"/>
    <mergeCell ref="D942:N942"/>
    <mergeCell ref="I48:L48"/>
    <mergeCell ref="I47:L47"/>
    <mergeCell ref="E45:N45"/>
    <mergeCell ref="D209:H209"/>
    <mergeCell ref="E857:G857"/>
    <mergeCell ref="E853:N853"/>
    <mergeCell ref="H857:L857"/>
    <mergeCell ref="E852:N852"/>
    <mergeCell ref="F82:N82"/>
    <mergeCell ref="E171:F171"/>
    <mergeCell ref="F177:N177"/>
    <mergeCell ref="E170:N170"/>
    <mergeCell ref="E169:N169"/>
    <mergeCell ref="E172:F172"/>
    <mergeCell ref="E176:N176"/>
    <mergeCell ref="E168:N168"/>
    <mergeCell ref="E51:F51"/>
    <mergeCell ref="E175:N175"/>
    <mergeCell ref="G52:H52"/>
    <mergeCell ref="I52:L52"/>
    <mergeCell ref="G51:H51"/>
    <mergeCell ref="I51:L51"/>
    <mergeCell ref="E37:N37"/>
    <mergeCell ref="E861:G861"/>
    <mergeCell ref="E259:N259"/>
    <mergeCell ref="E577:N577"/>
    <mergeCell ref="E156:N156"/>
    <mergeCell ref="E139:M139"/>
    <mergeCell ref="E144:N144"/>
    <mergeCell ref="E17:N17"/>
    <mergeCell ref="D12:H12"/>
    <mergeCell ref="F38:N38"/>
    <mergeCell ref="I13:N13"/>
    <mergeCell ref="F25:N25"/>
    <mergeCell ref="F39:N39"/>
    <mergeCell ref="E77:N77"/>
    <mergeCell ref="E52:F52"/>
    <mergeCell ref="E50:F50"/>
    <mergeCell ref="I50:L50"/>
    <mergeCell ref="G50:H50"/>
    <mergeCell ref="G49:H49"/>
    <mergeCell ref="I12:L12"/>
    <mergeCell ref="M12:N12"/>
    <mergeCell ref="E48:F48"/>
    <mergeCell ref="G48:H48"/>
    <mergeCell ref="G47:H47"/>
  </mergeCells>
  <phoneticPr fontId="34" type="noConversion"/>
  <conditionalFormatting sqref="B2:D4">
    <cfRule type="expression" dxfId="420" priority="286" stopIfTrue="1">
      <formula>$G$964</formula>
    </cfRule>
  </conditionalFormatting>
  <conditionalFormatting sqref="C14:N206 C211:N403 C408:N526 C531:N673 C678:N820 C825:N880 C885:N940">
    <cfRule type="expression" dxfId="419" priority="1" stopIfTrue="1">
      <formula>INDEX($AD:$AD,MATCH(MAX(INDIRECT(ADDRESS(1,3)&amp;":"&amp;ADDRESS(ROW(B16),3))),$C:$C,0))</formula>
    </cfRule>
  </conditionalFormatting>
  <conditionalFormatting sqref="E563:G563 M563 E710:G710">
    <cfRule type="expression" dxfId="418" priority="85" stopIfTrue="1">
      <formula>$AD530</formula>
    </cfRule>
  </conditionalFormatting>
  <conditionalFormatting sqref="E48:M48">
    <cfRule type="expression" dxfId="417" priority="509" stopIfTrue="1">
      <formula>$AD13</formula>
    </cfRule>
  </conditionalFormatting>
  <conditionalFormatting sqref="E245:M245">
    <cfRule type="expression" dxfId="416" priority="108" stopIfTrue="1">
      <formula>$AD210</formula>
    </cfRule>
  </conditionalFormatting>
  <conditionalFormatting sqref="F65:N74">
    <cfRule type="expression" dxfId="415" priority="139" stopIfTrue="1">
      <formula>AA65=0</formula>
    </cfRule>
  </conditionalFormatting>
  <conditionalFormatting sqref="F262:N271">
    <cfRule type="expression" dxfId="414" priority="105" stopIfTrue="1">
      <formula>AA262=0</formula>
    </cfRule>
  </conditionalFormatting>
  <conditionalFormatting sqref="F580:N589">
    <cfRule type="expression" dxfId="413" priority="83" stopIfTrue="1">
      <formula>AA580=0</formula>
    </cfRule>
  </conditionalFormatting>
  <conditionalFormatting sqref="F727:N736">
    <cfRule type="expression" dxfId="412" priority="29" stopIfTrue="1">
      <formula>AA727=0</formula>
    </cfRule>
  </conditionalFormatting>
  <conditionalFormatting sqref="G3:N4">
    <cfRule type="expression" dxfId="411" priority="765" stopIfTrue="1">
      <formula>INDEX($G$957:$G$963,MATCH("FB"&amp;Q3,$F$957:$F$963,0))</formula>
    </cfRule>
  </conditionalFormatting>
  <conditionalFormatting sqref="G88:N97">
    <cfRule type="expression" dxfId="410" priority="138" stopIfTrue="1">
      <formula>AB88=0</formula>
    </cfRule>
    <cfRule type="expression" dxfId="409" priority="137" stopIfTrue="1">
      <formula>AB88=1</formula>
    </cfRule>
  </conditionalFormatting>
  <conditionalFormatting sqref="G285:N294">
    <cfRule type="expression" dxfId="408" priority="104" stopIfTrue="1">
      <formula>AB285=0</formula>
    </cfRule>
    <cfRule type="expression" dxfId="407" priority="103" stopIfTrue="1">
      <formula>AB285=1</formula>
    </cfRule>
  </conditionalFormatting>
  <conditionalFormatting sqref="G603:N612">
    <cfRule type="expression" dxfId="406" priority="81" stopIfTrue="1">
      <formula>AB603=1</formula>
    </cfRule>
    <cfRule type="expression" dxfId="405" priority="82" stopIfTrue="1">
      <formula>AB603=0</formula>
    </cfRule>
  </conditionalFormatting>
  <conditionalFormatting sqref="G750:N759">
    <cfRule type="expression" dxfId="404" priority="27" stopIfTrue="1">
      <formula>AB750=1</formula>
    </cfRule>
    <cfRule type="expression" dxfId="403" priority="28" stopIfTrue="1">
      <formula>AB750=0</formula>
    </cfRule>
  </conditionalFormatting>
  <conditionalFormatting sqref="H152:N152 H162:N163 H165:N166 H172:N172 H186:N187 H190:N191 H194:N195 H198:N199 H202:N203">
    <cfRule type="expression" dxfId="402" priority="132" stopIfTrue="1">
      <formula>AC152</formula>
    </cfRule>
    <cfRule type="expression" dxfId="401" priority="133" stopIfTrue="1">
      <formula>MSconst_RequireSubAttrEmissions</formula>
    </cfRule>
  </conditionalFormatting>
  <conditionalFormatting sqref="H349:N349 H359:N360 H362:N363 H369:N369 H383:N384 H387:N388 H391:N392 H395:N396 H399:N400">
    <cfRule type="expression" dxfId="400" priority="100" stopIfTrue="1">
      <formula>MSconst_RequireSubAttrEmissions</formula>
    </cfRule>
    <cfRule type="expression" dxfId="399" priority="99" stopIfTrue="1">
      <formula>AC349</formula>
    </cfRule>
  </conditionalFormatting>
  <conditionalFormatting sqref="H472:N472 H482:N483 H485:N486 H492:N492 H506:N507 H510:N511 H514:N515 H518:N519 H522:N523">
    <cfRule type="expression" dxfId="398" priority="88" stopIfTrue="1">
      <formula>AC472</formula>
    </cfRule>
    <cfRule type="expression" dxfId="397" priority="89" stopIfTrue="1">
      <formula>MSconst_RequireSubAttrEmissions</formula>
    </cfRule>
  </conditionalFormatting>
  <conditionalFormatting sqref="H657:N657 H666:N667 H669:N670">
    <cfRule type="expression" dxfId="396" priority="57" stopIfTrue="1">
      <formula>MSconst_RequireSubAttrEmissions</formula>
    </cfRule>
    <cfRule type="expression" dxfId="395" priority="58" stopIfTrue="1">
      <formula>AC657</formula>
    </cfRule>
  </conditionalFormatting>
  <conditionalFormatting sqref="H804:N804 H813:N814 H816:N817">
    <cfRule type="expression" dxfId="394" priority="23" stopIfTrue="1">
      <formula>MSconst_RequireSubAttrEmissions</formula>
    </cfRule>
    <cfRule type="expression" dxfId="393" priority="24" stopIfTrue="1">
      <formula>AC804</formula>
    </cfRule>
  </conditionalFormatting>
  <conditionalFormatting sqref="H830:N830">
    <cfRule type="expression" dxfId="392" priority="45" stopIfTrue="1">
      <formula>AC830</formula>
    </cfRule>
  </conditionalFormatting>
  <conditionalFormatting sqref="H890:N890">
    <cfRule type="expression" dxfId="391" priority="2" stopIfTrue="1">
      <formula>AC890</formula>
    </cfRule>
  </conditionalFormatting>
  <conditionalFormatting sqref="J104:N104">
    <cfRule type="expression" dxfId="390" priority="193" stopIfTrue="1">
      <formula>$AB104</formula>
    </cfRule>
  </conditionalFormatting>
  <conditionalFormatting sqref="J113:N113">
    <cfRule type="cellIs" dxfId="389" priority="135" stopIfTrue="1" operator="equal">
      <formula>TRUE</formula>
    </cfRule>
  </conditionalFormatting>
  <conditionalFormatting sqref="J117:N117">
    <cfRule type="cellIs" dxfId="388" priority="134" stopIfTrue="1" operator="equal">
      <formula>TRUE</formula>
    </cfRule>
  </conditionalFormatting>
  <conditionalFormatting sqref="J121:N121">
    <cfRule type="expression" dxfId="387" priority="677" stopIfTrue="1">
      <formula>AE121</formula>
    </cfRule>
  </conditionalFormatting>
  <conditionalFormatting sqref="J301:N301">
    <cfRule type="expression" dxfId="386" priority="107" stopIfTrue="1">
      <formula>$AB301</formula>
    </cfRule>
  </conditionalFormatting>
  <conditionalFormatting sqref="J310:N310">
    <cfRule type="cellIs" dxfId="385" priority="102" stopIfTrue="1" operator="equal">
      <formula>TRUE</formula>
    </cfRule>
  </conditionalFormatting>
  <conditionalFormatting sqref="J314:N314">
    <cfRule type="cellIs" dxfId="384" priority="101" stopIfTrue="1" operator="equal">
      <formula>TRUE</formula>
    </cfRule>
  </conditionalFormatting>
  <conditionalFormatting sqref="J318:N318">
    <cfRule type="expression" dxfId="383" priority="109" stopIfTrue="1">
      <formula>AE318</formula>
    </cfRule>
  </conditionalFormatting>
  <conditionalFormatting sqref="J428:N428">
    <cfRule type="cellIs" dxfId="382" priority="74" stopIfTrue="1" operator="equal">
      <formula>TRUE</formula>
    </cfRule>
  </conditionalFormatting>
  <conditionalFormatting sqref="J619:N619">
    <cfRule type="expression" dxfId="381" priority="84" stopIfTrue="1">
      <formula>$AB619</formula>
    </cfRule>
  </conditionalFormatting>
  <conditionalFormatting sqref="J628:N628">
    <cfRule type="cellIs" dxfId="380" priority="80" stopIfTrue="1" operator="equal">
      <formula>TRUE</formula>
    </cfRule>
  </conditionalFormatting>
  <conditionalFormatting sqref="J632:N632">
    <cfRule type="cellIs" dxfId="379" priority="79" stopIfTrue="1" operator="equal">
      <formula>TRUE</formula>
    </cfRule>
  </conditionalFormatting>
  <conditionalFormatting sqref="J636:N636">
    <cfRule type="expression" dxfId="378" priority="86" stopIfTrue="1">
      <formula>AE636</formula>
    </cfRule>
  </conditionalFormatting>
  <conditionalFormatting sqref="J766:N766">
    <cfRule type="expression" dxfId="377" priority="30" stopIfTrue="1">
      <formula>$AB766</formula>
    </cfRule>
  </conditionalFormatting>
  <conditionalFormatting sqref="J775:N775">
    <cfRule type="cellIs" dxfId="376" priority="26" stopIfTrue="1" operator="equal">
      <formula>TRUE</formula>
    </cfRule>
  </conditionalFormatting>
  <conditionalFormatting sqref="J779:N779">
    <cfRule type="cellIs" dxfId="375" priority="25" stopIfTrue="1" operator="equal">
      <formula>TRUE</formula>
    </cfRule>
  </conditionalFormatting>
  <conditionalFormatting sqref="J783:N783">
    <cfRule type="expression" dxfId="374" priority="32" stopIfTrue="1">
      <formula>AE783</formula>
    </cfRule>
  </conditionalFormatting>
  <conditionalFormatting sqref="J844:N844">
    <cfRule type="cellIs" dxfId="373" priority="61" stopIfTrue="1" operator="equal">
      <formula>TRUE</formula>
    </cfRule>
  </conditionalFormatting>
  <conditionalFormatting sqref="J904:N904">
    <cfRule type="cellIs" dxfId="372" priority="40" stopIfTrue="1" operator="equal">
      <formula>TRUE</formula>
    </cfRule>
  </conditionalFormatting>
  <conditionalFormatting sqref="M710">
    <cfRule type="expression" dxfId="371" priority="31" stopIfTrue="1">
      <formula>$AD677</formula>
    </cfRule>
  </conditionalFormatting>
  <conditionalFormatting sqref="V31:Z31 V228:Z228 V425:Z425 V548:Z548 V695:Z695 V841:Z841">
    <cfRule type="expression" dxfId="370" priority="159" stopIfTrue="1">
      <formula>INDEX($AB:$AB,MATCH(MAX(INDIRECT(ADDRESS(1,3)&amp;":"&amp;ADDRESS(ROW(#REF!),3))),$C:$C,0))</formula>
    </cfRule>
  </conditionalFormatting>
  <dataValidations count="7">
    <dataValidation type="list" allowBlank="1" showInputMessage="1" showErrorMessage="1" sqref="G48:G57 G245:G254" xr:uid="{D45EFE56-5C40-4B14-AC45-A02BAADF14BF}">
      <formula1>CNTR_ConnectionListAndWithinInst</formula1>
    </dataValidation>
    <dataValidation type="list" allowBlank="1" showInputMessage="1" showErrorMessage="1" sqref="E48:F57 E245:F254" xr:uid="{4FB2BFB2-12D9-4F6C-9453-335FC93822F1}">
      <formula1>EUconst_HeatUseTypes</formula1>
    </dataValidation>
    <dataValidation type="list" allowBlank="1" showInputMessage="1" showErrorMessage="1" sqref="E856:E865 E916:E925" xr:uid="{2AB77E65-31C9-4E44-876F-0AB66633C561}">
      <formula1>EUconst_ProcessEmissionTypes</formula1>
    </dataValidation>
    <dataValidation type="list" allowBlank="1" showInputMessage="1" showErrorMessage="1" sqref="G440:L449" xr:uid="{AF8AD4F7-6845-49CF-B707-9CB2EED1571B}">
      <formula1>CNTR_ConnectionEntityList</formula1>
    </dataValidation>
    <dataValidation type="decimal" operator="greaterThanOrEqual" allowBlank="1" showInputMessage="1" showErrorMessage="1" errorTitle="Value &lt; 0" error="Values have to be &gt;= 0" sqref="H669:N669 H816:N816" xr:uid="{C74A9CBD-7437-4255-97B4-BDE528ABD6A6}">
      <formula1>0</formula1>
    </dataValidation>
    <dataValidation type="list" allowBlank="1" showInputMessage="1" showErrorMessage="1" sqref="J121:N121 J318:N318 J636:N636 J783:N783" xr:uid="{27F96C8C-95BB-45BC-8C85-A66E9D0D8C31}">
      <formula1>Euconst_TrueFalse</formula1>
    </dataValidation>
    <dataValidation type="list" allowBlank="1" showInputMessage="1" showErrorMessage="1" sqref="E563:F572 E710:F719" xr:uid="{0C43AE39-9577-4B7D-917B-CD3098AF17F8}">
      <formula1>EUconst_FuelUseTypes</formula1>
    </dataValidation>
  </dataValidations>
  <hyperlinks>
    <hyperlink ref="G2:H2" location="JUMP_TOC_Home" display="Table of contents" xr:uid="{2DA8DA30-B115-4570-978A-2FA4AAB8AE57}"/>
    <hyperlink ref="M2:N2" location="JUMP_K_I" display="Summary" xr:uid="{A22CABA9-65FD-4043-9F6C-9A3D9985D4D3}"/>
    <hyperlink ref="E3:F3" location="JUMP_G_Top" display="Top of sheet" xr:uid="{067A595C-235D-47F4-8CF4-1E357D79CF27}"/>
    <hyperlink ref="I2:J2" location="JUMP_F_Top" display="Previous sheet" xr:uid="{0F685B2D-8622-437C-82E9-25F93AE37683}"/>
    <hyperlink ref="E4:F4" location="JUMP_G_Bottom" display="End of sheet" xr:uid="{8C102E2F-A858-43D1-BFF0-7FBD6C0568B0}"/>
    <hyperlink ref="D942:N942" location="JUMP_H_Top" display="&lt;&lt;&lt; Click here to proceed to next sheet &gt;&gt;&gt; " xr:uid="{8132DCD5-9187-4829-8070-DA5C1517004D}"/>
    <hyperlink ref="K2:L2" location="JUMP_H_Top" display="Next sheet" xr:uid="{5407E584-7EAA-471D-B652-F570AF2F9E2B}"/>
    <hyperlink ref="E43" r:id="rId1" display="http://ec.europa.eu/eurostat/ramon/nomenclatures/index.cfm?TargetUrl=LST_CLS_DLD&amp;StrNom=PRD_2010&amp;StrLanguageCode=EN&amp;StrLayoutCode=HIERARCHIC" xr:uid="{09F89D8A-9B60-4A3D-BFC1-0E0C834FF061}"/>
    <hyperlink ref="E17:N17" location="JUMP_E_HeatFinal" display="Values entered here should include eligible emissions from any waste gases as determined in section D.IV." xr:uid="{ECCA1CE1-9FC4-412E-9E42-4F1CD44AA0FD}"/>
    <hyperlink ref="E184:M184" location="JUMP_D_III" display="For attributing emissions from cogeneration (CHP) to production of heat and electricity, the &quot;CHP tool&quot; in section D.III. has to be used." xr:uid="{BED66034-0641-4F79-AB4D-02C7AB5C5784}"/>
    <hyperlink ref="E141:M141" location="JUMP_K_III2" display="Upon entries made below, the attributable emissions are calculated in section K.III.2 of the summary sheet." xr:uid="{B2EFCC82-5AA5-4A85-B884-368E481116F7}"/>
    <hyperlink ref="E140:M140" r:id="rId2" location="tab-0-1" display="tab-0-1" xr:uid="{D0B20F7E-5984-4621-8B3F-20A86956C874}"/>
    <hyperlink ref="E240" r:id="rId3" display="http://ec.europa.eu/eurostat/ramon/nomenclatures/index.cfm?TargetUrl=LST_CLS_DLD&amp;StrNom=PRD_2010&amp;StrLanguageCode=EN&amp;StrLayoutCode=HIERARCHIC" xr:uid="{3027614D-0F0E-4A6D-8E8E-8C247392FA14}"/>
    <hyperlink ref="E214:N214" location="JUMP_E_HeatFinal" display="Values entered here should include eligible emissions from any waste gases as determined in section D.IV." xr:uid="{0E38ABB8-406C-4288-A3A7-16DE9C6043B3}"/>
    <hyperlink ref="E381:M381" location="JUMP_D_III" display="For attributing emissions from cogeneration (CHP) to production of heat and electricity, the &quot;CHP tool&quot; in section D.III. has to be used." xr:uid="{726E434F-FE50-45ED-9BC8-9A2969264CA0}"/>
    <hyperlink ref="E338:M338" location="JUMP_K_III2" display="Upon entries made below, the attributable emissions are calculated in section K.III.2 of the summary sheet." xr:uid="{445E239F-9531-4AFC-8C47-D4684361C6C7}"/>
    <hyperlink ref="E337:M337" r:id="rId4" location="tab-0-1" display="tab-0-1" xr:uid="{A5FAF400-2AE2-4C60-9BB5-FF4DC4311328}"/>
    <hyperlink ref="E411:N411" location="JUMP_E_HeatFinal" display="Values entered here should include eligible emissions from any waste gases as determined in section D.IV." xr:uid="{2573B5CC-9E7D-4105-81EB-2C00AE0795F9}"/>
    <hyperlink ref="E504:M504" location="JUMP_D_III" display="For attributing emissions from cogeneration (CHP) to production of heat and electricity, the &quot;CHP tool&quot; in section D.III. has to be used." xr:uid="{0A840085-1A84-4FA2-A9DC-77F6DFF3D4A7}"/>
    <hyperlink ref="E461:M461" location="JUMP_K_III2" display="Upon entries made below, the attributable emissions are calculated in section K.III.2 of the summary sheet." xr:uid="{D900D3C5-8994-486F-A791-9A32481284F2}"/>
    <hyperlink ref="E460:M460" r:id="rId5" location="tab-0-1" display="tab-0-1" xr:uid="{A82ECD1E-7AC6-4BA4-8610-2914CCBA5ED2}"/>
    <hyperlink ref="E559" r:id="rId6" display="http://ec.europa.eu/eurostat/ramon/nomenclatures/index.cfm?TargetUrl=LST_CLS_DLD&amp;StrNom=PRD_2010&amp;StrLanguageCode=EN&amp;StrLayoutCode=HIERARCHIC" xr:uid="{3534DFB6-B41C-4FB8-AE45-070BF2B37E95}"/>
    <hyperlink ref="E534:N534" location="JUMP_E_I" display="The following data is taken automatically from sheet &quot;E_EnergyFlows&quot;, section E.I. Thus, data input is mandatory there." xr:uid="{11CEF3F0-B444-4282-B5DD-32A6CC9D7736}"/>
    <hyperlink ref="E828:N828" location="JUMP_D_IV" display="Values entered here should include eligible emissions from any waste gases as determined in section D.IV." xr:uid="{E807FBE5-FFBC-4335-997C-552B3EF460D0}"/>
    <hyperlink ref="E888:N888" location="JUMP_D_IV" display="Values entered here should include eligible emissions from any waste gases as determined in section D.IV." xr:uid="{3D286DD9-C437-4A48-83F5-E8E3948D6696}"/>
    <hyperlink ref="E706" r:id="rId7" display="http://ec.europa.eu/eurostat/ramon/nomenclatures/index.cfm?TargetUrl=LST_CLS_DLD&amp;StrNom=PRD_2010&amp;StrLanguageCode=EN&amp;StrLayoutCode=HIERARCHIC" xr:uid="{9231F025-8786-41A2-AAA5-AFC746C963DF}"/>
    <hyperlink ref="E681:N681" location="JUMP_E_I" display="The following data is taken automatically from sheet &quot;E_EnergyFlows&quot;, section E.I. Thus, data input is mandatory there." xr:uid="{A0644B8D-F87D-4939-8E85-904DE0136AE1}"/>
  </hyperlinks>
  <pageMargins left="0.78740157480314965" right="0.78740157480314965" top="0.78740157480314965" bottom="0.78740157480314965" header="0.51181102362204722" footer="0.51181102362204722"/>
  <pageSetup paperSize="9" scale="48" fitToHeight="25" orientation="portrait" r:id="rId8"/>
  <headerFooter alignWithMargins="0">
    <oddHeader>&amp;L&amp;F; &amp;A&amp;R&amp;D; &amp;T</oddHeader>
    <oddFooter>&amp;C&amp;P / &amp;N</oddFooter>
  </headerFooter>
  <legacyDrawing r:id="rId9"/>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056B998C0E698C47A5360BD3228874A8" ma:contentTypeVersion="12" ma:contentTypeDescription="Skapa ett nytt dokument." ma:contentTypeScope="" ma:versionID="e01724ebb07bb05a25ceda7191d588c2">
  <xsd:schema xmlns:xsd="http://www.w3.org/2001/XMLSchema" xmlns:xs="http://www.w3.org/2001/XMLSchema" xmlns:p="http://schemas.microsoft.com/office/2006/metadata/properties" xmlns:ns2="7af8da0a-8a25-444e-b471-bc2b11a782fe" xmlns:ns3="f9f47db6-c9d5-423a-bf82-957142bf5134" targetNamespace="http://schemas.microsoft.com/office/2006/metadata/properties" ma:root="true" ma:fieldsID="80e1a18f01c230aed0f7f013208c406a" ns2:_="" ns3:_="">
    <xsd:import namespace="7af8da0a-8a25-444e-b471-bc2b11a782fe"/>
    <xsd:import namespace="f9f47db6-c9d5-423a-bf82-957142bf5134"/>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af8da0a-8a25-444e-b471-bc2b11a782f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Bildmarkeringar" ma:readOnly="false" ma:fieldId="{5cf76f15-5ced-4ddc-b409-7134ff3c332f}" ma:taxonomyMulti="true" ma:sspId="f715b3c1-6faf-452c-928b-c1f971cfea52"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9f47db6-c9d5-423a-bf82-957142bf5134"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98174797-9c46-4c68-8bb5-8db1d44a0322}" ma:internalName="TaxCatchAll" ma:showField="CatchAllData" ma:web="f9f47db6-c9d5-423a-bf82-957142bf513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7af8da0a-8a25-444e-b471-bc2b11a782fe">
      <Terms xmlns="http://schemas.microsoft.com/office/infopath/2007/PartnerControls"/>
    </lcf76f155ced4ddcb4097134ff3c332f>
    <TaxCatchAll xmlns="f9f47db6-c9d5-423a-bf82-957142bf5134"/>
  </documentManagement>
</p:properties>
</file>

<file path=customXml/itemProps1.xml><?xml version="1.0" encoding="utf-8"?>
<ds:datastoreItem xmlns:ds="http://schemas.openxmlformats.org/officeDocument/2006/customXml" ds:itemID="{D0918AD0-2A1D-49BC-96DA-2FB08807024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af8da0a-8a25-444e-b471-bc2b11a782fe"/>
    <ds:schemaRef ds:uri="f9f47db6-c9d5-423a-bf82-957142bf513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214DCD1-53E3-4BB9-8CDE-43B623C8F80B}">
  <ds:schemaRefs>
    <ds:schemaRef ds:uri="http://schemas.microsoft.com/sharepoint/v3/contenttype/forms"/>
  </ds:schemaRefs>
</ds:datastoreItem>
</file>

<file path=customXml/itemProps3.xml><?xml version="1.0" encoding="utf-8"?>
<ds:datastoreItem xmlns:ds="http://schemas.openxmlformats.org/officeDocument/2006/customXml" ds:itemID="{408E1EA3-661C-49DD-B0FF-F9287E5BA6C3}">
  <ds:schemaRefs>
    <ds:schemaRef ds:uri="http://schemas.microsoft.com/office/infopath/2007/PartnerControls"/>
    <ds:schemaRef ds:uri="http://purl.org/dc/terms/"/>
    <ds:schemaRef ds:uri="http://schemas.microsoft.com/office/2006/documentManagement/types"/>
    <ds:schemaRef ds:uri="http://schemas.openxmlformats.org/package/2006/metadata/core-properties"/>
    <ds:schemaRef ds:uri="7af8da0a-8a25-444e-b471-bc2b11a782fe"/>
    <ds:schemaRef ds:uri="http://purl.org/dc/elements/1.1/"/>
    <ds:schemaRef ds:uri="f9f47db6-c9d5-423a-bf82-957142bf5134"/>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Kalkylblad</vt:lpstr>
      </vt:variant>
      <vt:variant>
        <vt:i4>17</vt:i4>
      </vt:variant>
      <vt:variant>
        <vt:lpstr>Namngivna områden</vt:lpstr>
      </vt:variant>
      <vt:variant>
        <vt:i4>376</vt:i4>
      </vt:variant>
    </vt:vector>
  </HeadingPairs>
  <TitlesOfParts>
    <vt:vector size="393" baseType="lpstr">
      <vt:lpstr>a_Contents</vt:lpstr>
      <vt:lpstr>b_Guidelines &amp; conditions</vt:lpstr>
      <vt:lpstr>c_NIMsSummary</vt:lpstr>
      <vt:lpstr>A_InstallationData</vt:lpstr>
      <vt:lpstr>B+C_SubInstallations</vt:lpstr>
      <vt:lpstr>D_Emissions</vt:lpstr>
      <vt:lpstr>E_EnergyFlows</vt:lpstr>
      <vt:lpstr>F_ProductBM</vt:lpstr>
      <vt:lpstr>G_Fall-back</vt:lpstr>
      <vt:lpstr>H_SpecialBM</vt:lpstr>
      <vt:lpstr>I_MSspecific</vt:lpstr>
      <vt:lpstr>J_Comments</vt:lpstr>
      <vt:lpstr>K_Summary</vt:lpstr>
      <vt:lpstr>EUwideConstants</vt:lpstr>
      <vt:lpstr>MSParameters</vt:lpstr>
      <vt:lpstr>Translations</vt:lpstr>
      <vt:lpstr>VersionDocumentation</vt:lpstr>
      <vt:lpstr>CNTR_AnnexIActivities</vt:lpstr>
      <vt:lpstr>c_NIMsSummary!CNTR_ApplyLinF</vt:lpstr>
      <vt:lpstr>CNTR_ApplyLinF</vt:lpstr>
      <vt:lpstr>CNTR_Cessation</vt:lpstr>
      <vt:lpstr>CNTR_ConfirmationOK</vt:lpstr>
      <vt:lpstr>CNTR_ConnectionEntityList</vt:lpstr>
      <vt:lpstr>CNTR_ConnectionEntityListCITL_IDs</vt:lpstr>
      <vt:lpstr>CNTR_ConnectionEntityListTypes</vt:lpstr>
      <vt:lpstr>CNTR_ConnectionListAndWithinInst</vt:lpstr>
      <vt:lpstr>c_NIMsSummary!CNTR_Eligible10a</vt:lpstr>
      <vt:lpstr>CNTR_Eligible10a</vt:lpstr>
      <vt:lpstr>CNTR_ExistConnectionEntries</vt:lpstr>
      <vt:lpstr>CNTR_ExistProductSubEntries</vt:lpstr>
      <vt:lpstr>CNTR_ExistSubInstEntries</vt:lpstr>
      <vt:lpstr>CNTR_FallBackSubInstRelevant</vt:lpstr>
      <vt:lpstr>CNTR_HasEntries_A_I</vt:lpstr>
      <vt:lpstr>CNTR_HasErrors_A</vt:lpstr>
      <vt:lpstr>CNTR_Incumbent</vt:lpstr>
      <vt:lpstr>CNTR_NACEInstallation</vt:lpstr>
      <vt:lpstr>CNTR_OnlyCombustion</vt:lpstr>
      <vt:lpstr>CNTR_ProdElec</vt:lpstr>
      <vt:lpstr>CNTR_ReportingYear</vt:lpstr>
      <vt:lpstr>CNTR_SubInstCessationDate</vt:lpstr>
      <vt:lpstr>CNTR_SubInstListBMnumbers</vt:lpstr>
      <vt:lpstr>CNTR_SubInstListHALUnit</vt:lpstr>
      <vt:lpstr>CNTR_SubInstListIsProdBM</vt:lpstr>
      <vt:lpstr>CNTR_SubInstListNames</vt:lpstr>
      <vt:lpstr>CNTR_SubInstStartDate</vt:lpstr>
      <vt:lpstr>CNTR_SubPeriod</vt:lpstr>
      <vt:lpstr>CNTR_TemplateVersion</vt:lpstr>
      <vt:lpstr>CNTR_UniqueID</vt:lpstr>
      <vt:lpstr>CTRL_InputMethodFuelDistribution</vt:lpstr>
      <vt:lpstr>CTRL_InputMethodHeatSubInstSplit</vt:lpstr>
      <vt:lpstr>CTRL_InputMethodNIMsvalues</vt:lpstr>
      <vt:lpstr>EUconst_AbsRel</vt:lpstr>
      <vt:lpstr>EUconst_AllocInitial</vt:lpstr>
      <vt:lpstr>EUconst_AllocPrelim</vt:lpstr>
      <vt:lpstr>EUconst_Allowances</vt:lpstr>
      <vt:lpstr>EUconst_AllYears</vt:lpstr>
      <vt:lpstr>EUconst_AnnexIActivities</vt:lpstr>
      <vt:lpstr>EUconst_BaselinePeriods</vt:lpstr>
      <vt:lpstr>EUconst_BM</vt:lpstr>
      <vt:lpstr>EUconst_BM_ARR_Range</vt:lpstr>
      <vt:lpstr>EUconst_BMlist107</vt:lpstr>
      <vt:lpstr>EUconst_BMlistARR</vt:lpstr>
      <vt:lpstr>EUconst_BMlistBMARRvaluesMatrix</vt:lpstr>
      <vt:lpstr>EUconst_BMlistBMmaxvalues</vt:lpstr>
      <vt:lpstr>EUconst_BMlistBMminvalues</vt:lpstr>
      <vt:lpstr>EUconst_BMlistBMvalues</vt:lpstr>
      <vt:lpstr>EUconst_BMlistBMvaluesMatrix</vt:lpstr>
      <vt:lpstr>EUconst_BMlistCLstatus</vt:lpstr>
      <vt:lpstr>EUconst_BMlistElExchangability</vt:lpstr>
      <vt:lpstr>EUconst_BMlistMatrix</vt:lpstr>
      <vt:lpstr>EUconst_BMlistNames</vt:lpstr>
      <vt:lpstr>EUconst_BMlistNotCWT</vt:lpstr>
      <vt:lpstr>EUconst_BMlistNumberOfActivity</vt:lpstr>
      <vt:lpstr>EUconst_BMlistNumberOfBM</vt:lpstr>
      <vt:lpstr>EUconst_BMlistPulp</vt:lpstr>
      <vt:lpstr>EUconst_BMlistSpecialJumpTable</vt:lpstr>
      <vt:lpstr>EUconst_BMlistSpecialReporting</vt:lpstr>
      <vt:lpstr>EUconst_BMlistUnits</vt:lpstr>
      <vt:lpstr>EUconst_BMSubinst</vt:lpstr>
      <vt:lpstr>EUconst_CessationReason</vt:lpstr>
      <vt:lpstr>EUconst_CLEFDistrict</vt:lpstr>
      <vt:lpstr>EUconst_CLEFYears</vt:lpstr>
      <vt:lpstr>EUconst_CLnonCL</vt:lpstr>
      <vt:lpstr>EUconst_CNTR_100EUA_ActivityLevel</vt:lpstr>
      <vt:lpstr>EUconst_CNTR_100EUA_ElExch</vt:lpstr>
      <vt:lpstr>EUconst_CNTR_100EUA_HEAT</vt:lpstr>
      <vt:lpstr>EUconst_CNTR_100EUA_HVC</vt:lpstr>
      <vt:lpstr>EUconst_CNTR_100EUA_VCM</vt:lpstr>
      <vt:lpstr>EUconst_CNTR_100EUA_WGFlare</vt:lpstr>
      <vt:lpstr>EUconst_CNTR_AttributedEmissions</vt:lpstr>
      <vt:lpstr>EUconst_CNTR_CARejection</vt:lpstr>
      <vt:lpstr>EUconst_CNTR_CARejectionRelevant</vt:lpstr>
      <vt:lpstr>EUconst_CNTR_CO2Feedstock</vt:lpstr>
      <vt:lpstr>EUconst_CNTR_ElectricityExported</vt:lpstr>
      <vt:lpstr>EUconst_CNTR_ELEXCH</vt:lpstr>
      <vt:lpstr>EUconst_CNTR_ELEXCHfinal</vt:lpstr>
      <vt:lpstr>EUconst_CNTR_ELEXCHInitial</vt:lpstr>
      <vt:lpstr>EUconst_CNTR_ELEXCHprelim</vt:lpstr>
      <vt:lpstr>EUconst_CNTR_Emissions</vt:lpstr>
      <vt:lpstr>EUconst_CNTR_EmissionsIntSource1</vt:lpstr>
      <vt:lpstr>EUconst_CNTR_EmissionsIntSource2</vt:lpstr>
      <vt:lpstr>EUconst_CNTR_EnEff</vt:lpstr>
      <vt:lpstr>EUconst_CNTR_EnEffInitial</vt:lpstr>
      <vt:lpstr>EUconst_CNTR_EnEffPct</vt:lpstr>
      <vt:lpstr>EUconst_CNTR_FuelEF</vt:lpstr>
      <vt:lpstr>EUconst_CNTR_FuelInput</vt:lpstr>
      <vt:lpstr>EUconst_CNTR_HAL</vt:lpstr>
      <vt:lpstr>EUconst_CNTR_HALAdjPct</vt:lpstr>
      <vt:lpstr>EUconst_CNTR_HALfinal</vt:lpstr>
      <vt:lpstr>EUconst_CNTR_HALinitial</vt:lpstr>
      <vt:lpstr>EUconst_CNTR_HALprelim</vt:lpstr>
      <vt:lpstr>EUconst_CNTR_HALPulpTotal</vt:lpstr>
      <vt:lpstr>EUconst_CNTR_HALspecial</vt:lpstr>
      <vt:lpstr>EUconst_CNTR_HEAT</vt:lpstr>
      <vt:lpstr>EUconst_CNTR_HeatExport</vt:lpstr>
      <vt:lpstr>EUconst_CNTR_HeatExportEF</vt:lpstr>
      <vt:lpstr>EUconst_CNTR_HEATfinal</vt:lpstr>
      <vt:lpstr>EUconst_CNTR_HeatImport</vt:lpstr>
      <vt:lpstr>EUconst_CNTR_HeatImportEF</vt:lpstr>
      <vt:lpstr>EUconst_CNTR_HeatImportFuel</vt:lpstr>
      <vt:lpstr>EUconst_CNTR_HeatImportFuelEF</vt:lpstr>
      <vt:lpstr>EUconst_CNTR_HeatImportNitric</vt:lpstr>
      <vt:lpstr>EUconst_CNTR_HeatImportProduct</vt:lpstr>
      <vt:lpstr>EUconst_CNTR_HeatImportProductEF</vt:lpstr>
      <vt:lpstr>EUconst_CNTR_HeatImportPulp</vt:lpstr>
      <vt:lpstr>EUconst_CNTR_HeatImportPulpEF</vt:lpstr>
      <vt:lpstr>EUconst_CNTR_HEATInitial</vt:lpstr>
      <vt:lpstr>EUconst_CNTR_HEATprelim</vt:lpstr>
      <vt:lpstr>EUconst_CNTR_HeatProduced</vt:lpstr>
      <vt:lpstr>EUconst_CNTR_HVC</vt:lpstr>
      <vt:lpstr>EUconst_CNTR_HVCfinal</vt:lpstr>
      <vt:lpstr>EUconst_CNTR_HVCInitial</vt:lpstr>
      <vt:lpstr>EUconst_CNTR_HVCprelim</vt:lpstr>
      <vt:lpstr>EUconst_CNTR_IntermediateExport</vt:lpstr>
      <vt:lpstr>EUconst_CNTR_IntermediateImport</vt:lpstr>
      <vt:lpstr>EUconst_CNTR_NIMsValue</vt:lpstr>
      <vt:lpstr>EUconst_CNTR_nonETSMeasHeat</vt:lpstr>
      <vt:lpstr>EUconst_CNTR_RelThreshold</vt:lpstr>
      <vt:lpstr>EUconst_CNTR_VCM</vt:lpstr>
      <vt:lpstr>EUconst_CNTR_VCMfinal</vt:lpstr>
      <vt:lpstr>EUconst_CNTR_VCMInitial</vt:lpstr>
      <vt:lpstr>EUconst_CNTR_VCMprelim</vt:lpstr>
      <vt:lpstr>EUconst_CNTR_WGConsumed</vt:lpstr>
      <vt:lpstr>EUconst_CNTR_WGConsumedEF</vt:lpstr>
      <vt:lpstr>EUconst_CNTR_WGExport</vt:lpstr>
      <vt:lpstr>EUconst_CNTR_WGExportEF</vt:lpstr>
      <vt:lpstr>EUconst_CNTR_WGFlared</vt:lpstr>
      <vt:lpstr>EUconst_CNTR_WGFlaredEF</vt:lpstr>
      <vt:lpstr>EUconst_CNTR_WGImport</vt:lpstr>
      <vt:lpstr>EUconst_CNTR_WGImportEF</vt:lpstr>
      <vt:lpstr>EUconst_CNTR_WGProduced</vt:lpstr>
      <vt:lpstr>EUconst_CNTR_WGProducedEF</vt:lpstr>
      <vt:lpstr>EUconst_CombustionActivity</vt:lpstr>
      <vt:lpstr>EUconst_ConfirmAllowUseOfData</vt:lpstr>
      <vt:lpstr>EUconst_ConfirmApplicationForAlloc</vt:lpstr>
      <vt:lpstr>EUconst_ConfirmationNotEligible</vt:lpstr>
      <vt:lpstr>EUconst_ConnectedEntityTypes</vt:lpstr>
      <vt:lpstr>EUconst_ConnectionShortTypes</vt:lpstr>
      <vt:lpstr>EUconst_ConnectionTransferTypes</vt:lpstr>
      <vt:lpstr>EUconst_ConnectionTypes</vt:lpstr>
      <vt:lpstr>EUconst_CWTpa</vt:lpstr>
      <vt:lpstr>EUconst_DateMissing</vt:lpstr>
      <vt:lpstr>EUconst_ElBM</vt:lpstr>
      <vt:lpstr>EUconst_ERR_ActivityMissing</vt:lpstr>
      <vt:lpstr>EUconst_ERR_AttrEmBMapplied</vt:lpstr>
      <vt:lpstr>EUconst_ERR_CADecision</vt:lpstr>
      <vt:lpstr>EUconst_ERR_DatesSorting</vt:lpstr>
      <vt:lpstr>EUconst_ERR_DoubleBMentry</vt:lpstr>
      <vt:lpstr>EUconst_ERR_Goto_DI2</vt:lpstr>
      <vt:lpstr>EUconst_ERR_LinkToNIMs</vt:lpstr>
      <vt:lpstr>EUconst_ERR_Mandatory_abd</vt:lpstr>
      <vt:lpstr>EUconst_ERR_Mandatory_Bbc</vt:lpstr>
      <vt:lpstr>EUconst_ERR_Mandatory_ef</vt:lpstr>
      <vt:lpstr>EUconst_ERR_Mandatory_g</vt:lpstr>
      <vt:lpstr>EUconst_ERR_MandatoryDII3a</vt:lpstr>
      <vt:lpstr>EUconst_ERR_MandatoryEII4</vt:lpstr>
      <vt:lpstr>EUconst_ERR_MissingFallBackEntry</vt:lpstr>
      <vt:lpstr>EUconst_ERR_MissingSubInstEntry</vt:lpstr>
      <vt:lpstr>EUconst_ERR_StartWithFuels</vt:lpstr>
      <vt:lpstr>EUconst_Error</vt:lpstr>
      <vt:lpstr>EUconst_EUA</vt:lpstr>
      <vt:lpstr>EUconst_EUApa</vt:lpstr>
      <vt:lpstr>EUconst_EUApt</vt:lpstr>
      <vt:lpstr>EUconst_FallBackARR</vt:lpstr>
      <vt:lpstr>EUconst_FallBackListBMARRvaluesMatrix</vt:lpstr>
      <vt:lpstr>EUconst_FallBackListBMvalues</vt:lpstr>
      <vt:lpstr>EUconst_FallBackListBMvaluesMatrix</vt:lpstr>
      <vt:lpstr>EUconst_FallBackListCLstatus</vt:lpstr>
      <vt:lpstr>EUconst_FallBackListMatrix</vt:lpstr>
      <vt:lpstr>EUconst_FallbackListMissing</vt:lpstr>
      <vt:lpstr>EUconst_FallBackListNames</vt:lpstr>
      <vt:lpstr>EUconst_FallBackListNumber</vt:lpstr>
      <vt:lpstr>EUconst_FallBackListUnits</vt:lpstr>
      <vt:lpstr>Euconst_FallBackSub</vt:lpstr>
      <vt:lpstr>EUconst_FBSubinst</vt:lpstr>
      <vt:lpstr>EUconst_Fuel</vt:lpstr>
      <vt:lpstr>EUconst_FuelBMvalue</vt:lpstr>
      <vt:lpstr>EUconst_FuelUseTypes</vt:lpstr>
      <vt:lpstr>EUconst_GJ</vt:lpstr>
      <vt:lpstr>EUconst_GJpa</vt:lpstr>
      <vt:lpstr>EUconst_GJperTorKNm3</vt:lpstr>
      <vt:lpstr>EUconst_GJperUnit</vt:lpstr>
      <vt:lpstr>EUconst_GJpt</vt:lpstr>
      <vt:lpstr>EUconst_HALsum</vt:lpstr>
      <vt:lpstr>EUconst_HeatBMvalue</vt:lpstr>
      <vt:lpstr>EUconst_HeatUseTypes</vt:lpstr>
      <vt:lpstr>EUconst_Incomplete</vt:lpstr>
      <vt:lpstr>EUconst_Inconsistent</vt:lpstr>
      <vt:lpstr>EUconst_kNm3pa</vt:lpstr>
      <vt:lpstr>EUconst_LinkManual</vt:lpstr>
      <vt:lpstr>EUconst_MinOrMaxOrActual</vt:lpstr>
      <vt:lpstr>EUconst_MNm3pa</vt:lpstr>
      <vt:lpstr>EUconst_Month</vt:lpstr>
      <vt:lpstr>EUconst_MsgAttrEm</vt:lpstr>
      <vt:lpstr>EUconst_MsgBackToSheetF</vt:lpstr>
      <vt:lpstr>EUconst_MsgEnterThisSection</vt:lpstr>
      <vt:lpstr>EUconst_MsgGoOn</vt:lpstr>
      <vt:lpstr>EUconst_MsgGoOn_cd</vt:lpstr>
      <vt:lpstr>EUconst_MsgGoOn_d</vt:lpstr>
      <vt:lpstr>EUconst_MsgGoOn_e</vt:lpstr>
      <vt:lpstr>EUconst_MsgGoOnIfNotRelevant</vt:lpstr>
      <vt:lpstr>EUconst_MsgGoToNextSubInst</vt:lpstr>
      <vt:lpstr>EUconst_MsgProceedEII2</vt:lpstr>
      <vt:lpstr>EUconst_MsgProceedF</vt:lpstr>
      <vt:lpstr>EUconst_MsgSeeFirst</vt:lpstr>
      <vt:lpstr>EUconst_MsgUseElExchTool</vt:lpstr>
      <vt:lpstr>EUconst_MSlist</vt:lpstr>
      <vt:lpstr>EUconst_MSlistEUTLcodes</vt:lpstr>
      <vt:lpstr>EUconst_MSlistISOcodes</vt:lpstr>
      <vt:lpstr>EUconst_MWh</vt:lpstr>
      <vt:lpstr>EUconst_MWhpa</vt:lpstr>
      <vt:lpstr>EUconst_NA</vt:lpstr>
      <vt:lpstr>EUconst_Negative</vt:lpstr>
      <vt:lpstr>EUconst_NGEFvalue</vt:lpstr>
      <vt:lpstr>EUconst_NotEligible</vt:lpstr>
      <vt:lpstr>EUconst_NotRelevant</vt:lpstr>
      <vt:lpstr>EUconst_OK</vt:lpstr>
      <vt:lpstr>EUconst_Or</vt:lpstr>
      <vt:lpstr>EUconst_ProcessEmissionTypes</vt:lpstr>
      <vt:lpstr>Euconst_ProdBMSub</vt:lpstr>
      <vt:lpstr>EUconst_Relevant</vt:lpstr>
      <vt:lpstr>EUconst_RelevantNotRelevant</vt:lpstr>
      <vt:lpstr>EUconst_relOrMWhpa</vt:lpstr>
      <vt:lpstr>EUconst_relOrtCO2pa</vt:lpstr>
      <vt:lpstr>EUconst_relOrTJpa</vt:lpstr>
      <vt:lpstr>EUconst_ReportingYears</vt:lpstr>
      <vt:lpstr>EUconst_ReportingYears2</vt:lpstr>
      <vt:lpstr>EUconst_StatusOfDataCollection</vt:lpstr>
      <vt:lpstr>EUconst_SumBioCO2</vt:lpstr>
      <vt:lpstr>EUconst_SumCO2</vt:lpstr>
      <vt:lpstr>EUconst_SumEnergyIN</vt:lpstr>
      <vt:lpstr>EUconst_SumN2O</vt:lpstr>
      <vt:lpstr>EUconst_SumPFC</vt:lpstr>
      <vt:lpstr>EUconst_SumTransferCO2</vt:lpstr>
      <vt:lpstr>EUconst_t</vt:lpstr>
      <vt:lpstr>EUconst_tCO2</vt:lpstr>
      <vt:lpstr>EUconst_tCO2e</vt:lpstr>
      <vt:lpstr>EUconst_tCO2epa</vt:lpstr>
      <vt:lpstr>EUconst_tCO2ept</vt:lpstr>
      <vt:lpstr>EUconst_tCO2eptN2O</vt:lpstr>
      <vt:lpstr>EUconst_tCO2pa</vt:lpstr>
      <vt:lpstr>EUconst_tCO2pkNm3</vt:lpstr>
      <vt:lpstr>EUconst_tCO2pMWh</vt:lpstr>
      <vt:lpstr>EUconst_tCO2pt</vt:lpstr>
      <vt:lpstr>EUconst_tCO2pTJ</vt:lpstr>
      <vt:lpstr>EUconst_tCO2pTJorT</vt:lpstr>
      <vt:lpstr>EUconst_TJ</vt:lpstr>
      <vt:lpstr>EUconst_TJpa</vt:lpstr>
      <vt:lpstr>EUconst_tN2O</vt:lpstr>
      <vt:lpstr>EUconst_tN2Opa</vt:lpstr>
      <vt:lpstr>EUconst_TonnesOrkNm3pa</vt:lpstr>
      <vt:lpstr>EUconst_Tons</vt:lpstr>
      <vt:lpstr>EUconst_tpa</vt:lpstr>
      <vt:lpstr>Euconst_TrueFalse</vt:lpstr>
      <vt:lpstr>Euconst_TrueFalseNA</vt:lpstr>
      <vt:lpstr>EUconst_Unit</vt:lpstr>
      <vt:lpstr>EUconst_WasteGasCorrFactor</vt:lpstr>
      <vt:lpstr>EUconst_WithinInst</vt:lpstr>
      <vt:lpstr>EUconst_Year</vt:lpstr>
      <vt:lpstr>JUMP_A_Bottom</vt:lpstr>
      <vt:lpstr>JUMP_A_I</vt:lpstr>
      <vt:lpstr>JUMP_A_I1</vt:lpstr>
      <vt:lpstr>JUMP_A_I2</vt:lpstr>
      <vt:lpstr>JUMP_A_I3</vt:lpstr>
      <vt:lpstr>JUMP_A_I4</vt:lpstr>
      <vt:lpstr>JUMP_A_II</vt:lpstr>
      <vt:lpstr>JUMP_A_II1</vt:lpstr>
      <vt:lpstr>JUMP_A_II2</vt:lpstr>
      <vt:lpstr>JUMP_A_III</vt:lpstr>
      <vt:lpstr>JUMP_A_IV</vt:lpstr>
      <vt:lpstr>JUMP_A_IV1</vt:lpstr>
      <vt:lpstr>JUMP_A_V</vt:lpstr>
      <vt:lpstr>JUMP_B_Bottom</vt:lpstr>
      <vt:lpstr>JUMP_B_I</vt:lpstr>
      <vt:lpstr>JUMP_B_I1</vt:lpstr>
      <vt:lpstr>'B+C_SubInstallations'!JUMP_B_II</vt:lpstr>
      <vt:lpstr>JUMP_Coverpage_Bottom</vt:lpstr>
      <vt:lpstr>JUMP_Coverpage_Top</vt:lpstr>
      <vt:lpstr>JUMP_D_Bottom</vt:lpstr>
      <vt:lpstr>JUMP_D_I</vt:lpstr>
      <vt:lpstr>JUMP_D_II</vt:lpstr>
      <vt:lpstr>JUMP_D_III</vt:lpstr>
      <vt:lpstr>JUMP_D_III2</vt:lpstr>
      <vt:lpstr>JUMP_D_IV</vt:lpstr>
      <vt:lpstr>JUMP_D_IV2</vt:lpstr>
      <vt:lpstr>JUMP_D_Top</vt:lpstr>
      <vt:lpstr>JUMP_E_Bottom</vt:lpstr>
      <vt:lpstr>JUMP_E_HeatFinal</vt:lpstr>
      <vt:lpstr>JUMP_E_I</vt:lpstr>
      <vt:lpstr>JUMP_E_II</vt:lpstr>
      <vt:lpstr>JUMP_E_II_2</vt:lpstr>
      <vt:lpstr>JUMP_E_III</vt:lpstr>
      <vt:lpstr>JUMP_E_IV</vt:lpstr>
      <vt:lpstr>JUMP_E_Top</vt:lpstr>
      <vt:lpstr>JUMP_F_Bottom</vt:lpstr>
      <vt:lpstr>JUMP_F_I</vt:lpstr>
      <vt:lpstr>JUMP_F_Top</vt:lpstr>
      <vt:lpstr>JUMP_F1</vt:lpstr>
      <vt:lpstr>JUMP_F10</vt:lpstr>
      <vt:lpstr>JUMP_F2</vt:lpstr>
      <vt:lpstr>JUMP_F3</vt:lpstr>
      <vt:lpstr>JUMP_F4</vt:lpstr>
      <vt:lpstr>JUMP_F5</vt:lpstr>
      <vt:lpstr>JUMP_F6</vt:lpstr>
      <vt:lpstr>JUMP_F7</vt:lpstr>
      <vt:lpstr>JUMP_F8</vt:lpstr>
      <vt:lpstr>JUMP_F9</vt:lpstr>
      <vt:lpstr>JUMP_G_Bottom</vt:lpstr>
      <vt:lpstr>JUMP_G_I</vt:lpstr>
      <vt:lpstr>JUMP_G_Top</vt:lpstr>
      <vt:lpstr>JUMP_G1</vt:lpstr>
      <vt:lpstr>JUMP_G2</vt:lpstr>
      <vt:lpstr>JUMP_G3</vt:lpstr>
      <vt:lpstr>JUMP_G4</vt:lpstr>
      <vt:lpstr>JUMP_G5</vt:lpstr>
      <vt:lpstr>JUMP_G6</vt:lpstr>
      <vt:lpstr>JUMP_G7</vt:lpstr>
      <vt:lpstr>JUMP_Guidelines_Bottom</vt:lpstr>
      <vt:lpstr>JUMP_Guidelines_Home</vt:lpstr>
      <vt:lpstr>JUMP_H_Bottom</vt:lpstr>
      <vt:lpstr>JUMP_H_I</vt:lpstr>
      <vt:lpstr>JUMP_H_II</vt:lpstr>
      <vt:lpstr>JUMP_H_III</vt:lpstr>
      <vt:lpstr>JUMP_H_IV</vt:lpstr>
      <vt:lpstr>JUMP_H_IX</vt:lpstr>
      <vt:lpstr>JUMP_H_Top</vt:lpstr>
      <vt:lpstr>JUMP_H_V</vt:lpstr>
      <vt:lpstr>JUMP_H_VI</vt:lpstr>
      <vt:lpstr>JUMP_H_VII</vt:lpstr>
      <vt:lpstr>JUMP_H_VIII</vt:lpstr>
      <vt:lpstr>JUMP_I_Bottom</vt:lpstr>
      <vt:lpstr>JUMP_I_MSspecific</vt:lpstr>
      <vt:lpstr>JUMP_I_Top</vt:lpstr>
      <vt:lpstr>JUMP_J_I</vt:lpstr>
      <vt:lpstr>JUMP_J_II</vt:lpstr>
      <vt:lpstr>JUMP_J_Top</vt:lpstr>
      <vt:lpstr>JUMP_K_Bottom</vt:lpstr>
      <vt:lpstr>c_NIMsSummary!JUMP_K_I</vt:lpstr>
      <vt:lpstr>JUMP_K_I</vt:lpstr>
      <vt:lpstr>c_NIMsSummary!JUMP_K_II</vt:lpstr>
      <vt:lpstr>JUMP_K_II</vt:lpstr>
      <vt:lpstr>c_NIMsSummary!JUMP_K_III</vt:lpstr>
      <vt:lpstr>JUMP_K_III</vt:lpstr>
      <vt:lpstr>c_NIMsSummary!JUMP_K_III2</vt:lpstr>
      <vt:lpstr>JUMP_K_III2</vt:lpstr>
      <vt:lpstr>c_NIMsSummary!JUMP_K_IV</vt:lpstr>
      <vt:lpstr>JUMP_K_IV</vt:lpstr>
      <vt:lpstr>c_NIMsSummary!JUMP_K_Top</vt:lpstr>
      <vt:lpstr>JUMP_K_Top</vt:lpstr>
      <vt:lpstr>c_NIMsSummary!JUMP_K_V</vt:lpstr>
      <vt:lpstr>JUMP_K_V</vt:lpstr>
      <vt:lpstr>c_NIMsSummary!JUMP_K_V_Disclaimer</vt:lpstr>
      <vt:lpstr>JUMP_K_V_Disclaimer</vt:lpstr>
      <vt:lpstr>JUMP_NIMsSummary</vt:lpstr>
      <vt:lpstr>JUMP_TOC_Home</vt:lpstr>
      <vt:lpstr>MSconst_RequireEmissionTotals</vt:lpstr>
      <vt:lpstr>MSconst_RequireEnEffDetails</vt:lpstr>
      <vt:lpstr>MSconst_RequireFuelEF</vt:lpstr>
      <vt:lpstr>MSconst_RequirePermitInfo</vt:lpstr>
      <vt:lpstr>MSconst_RequireSubAttrEmissions</vt:lpstr>
      <vt:lpstr>a_Contents!Utskriftsområde</vt:lpstr>
      <vt:lpstr>A_InstallationData!Utskriftsområde</vt:lpstr>
      <vt:lpstr>'b_Guidelines &amp; conditions'!Utskriftsområde</vt:lpstr>
      <vt:lpstr>'B+C_SubInstallations'!Utskriftsområde</vt:lpstr>
      <vt:lpstr>c_NIMsSummary!Utskriftsområde</vt:lpstr>
      <vt:lpstr>D_Emissions!Utskriftsområde</vt:lpstr>
      <vt:lpstr>E_EnergyFlows!Utskriftsområde</vt:lpstr>
      <vt:lpstr>'G_Fall-back'!Utskriftsområde</vt:lpstr>
      <vt:lpstr>H_SpecialBM!Utskriftsområde</vt:lpstr>
      <vt:lpstr>I_MSspecific!Utskriftsområde</vt:lpstr>
      <vt:lpstr>J_Comments!Utskriftsområde</vt:lpstr>
      <vt:lpstr>K_Summary!Utskriftsområde</vt:lpstr>
      <vt:lpstr>VersionDocumentation!Utskriftsområde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Reporting tool for ALC under the EU ETS</dc:title>
  <dc:creator>Heller Christian</dc:creator>
  <dc:description>Template developed by Umweltbundesamt GmbH (Austria) for DG CLIMA</dc:description>
  <cp:lastModifiedBy>Sundblad, Linnea</cp:lastModifiedBy>
  <cp:lastPrinted>2020-04-23T09:10:31Z</cp:lastPrinted>
  <dcterms:created xsi:type="dcterms:W3CDTF">2008-05-26T08:52:55Z</dcterms:created>
  <dcterms:modified xsi:type="dcterms:W3CDTF">2026-01-30T09:44:33Z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0x010100056B998C0E698C47A5360BD3228874A8</vt:lpwstr>
  </property>
</Properties>
</file>